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tables/table19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C8220C9EAF51976/"/>
    </mc:Choice>
  </mc:AlternateContent>
  <xr:revisionPtr revIDLastSave="22021" documentId="14_{761F6AC0-43AD-4E02-BE55-74478962D8FB}" xr6:coauthVersionLast="47" xr6:coauthVersionMax="47" xr10:uidLastSave="{AF8FDEEC-7A18-4930-8515-C705B006A4E6}"/>
  <bookViews>
    <workbookView xWindow="-110" yWindow="-110" windowWidth="19420" windowHeight="11020" tabRatio="585" firstSheet="4" activeTab="5" xr2:uid="{80132D39-11C8-4B4B-A2FF-59DCA58C0602}"/>
  </bookViews>
  <sheets>
    <sheet name="House Buying Power" sheetId="8" state="hidden" r:id="rId1"/>
    <sheet name="M-Priorities" sheetId="21" state="hidden" r:id="rId2"/>
    <sheet name="Priorities" sheetId="36" state="hidden" r:id="rId3"/>
    <sheet name="Dashboards" sheetId="48" r:id="rId4"/>
    <sheet name="Metrics" sheetId="49" r:id="rId5"/>
    <sheet name="Scheduling" sheetId="23" r:id="rId6"/>
    <sheet name="Data" sheetId="7" r:id="rId7"/>
    <sheet name="Calculator" sheetId="22" r:id="rId8"/>
    <sheet name="CpM" sheetId="46" r:id="rId9"/>
    <sheet name="Seasonality WIP" sheetId="53" r:id="rId10"/>
    <sheet name="Pivots" sheetId="15" r:id="rId11"/>
    <sheet name="Combined _WIP_" sheetId="52" r:id="rId12"/>
    <sheet name="KPIs" sheetId="5" r:id="rId13"/>
    <sheet name="Pay Type Comparison" sheetId="47" r:id="rId14"/>
    <sheet name="Profitable Start Times" sheetId="35" r:id="rId15"/>
    <sheet name="Trends" sheetId="24" r:id="rId16"/>
    <sheet name="Millionaire Plan" sheetId="13" state="hidden" r:id="rId17"/>
    <sheet name="Taxes" sheetId="30" r:id="rId18"/>
  </sheets>
  <definedNames>
    <definedName name="_xlcn.WorksheetConnection_0SideGigTracking.xlsxEarningsPerDay1" hidden="1">EarningsPerDay[]</definedName>
    <definedName name="_xlcn.WorksheetConnection_0SideGigTracking.xlsxMileage1" hidden="1">Mileage[]</definedName>
    <definedName name="_xleta.AVERAGE" hidden="1" xlm="1">#NAME?</definedName>
    <definedName name="_xleta.AVERAGEIFS" hidden="1" xlm="1">#NAME?</definedName>
    <definedName name="_xleta.COUNT" hidden="1" xlm="1">#NAME?</definedName>
    <definedName name="_xleta.COUNTIFS" hidden="1" xlm="1">#NAME?</definedName>
    <definedName name="_xleta.DATE" hidden="1" xlm="1">#NAME?</definedName>
    <definedName name="_xleta.HOUR" hidden="1" xlm="1">#NAME?</definedName>
    <definedName name="_xleta.MAX" hidden="1" xlm="1">#NAME?</definedName>
    <definedName name="_xleta.MIN" hidden="1" xlm="1">#NAME?</definedName>
    <definedName name="_xleta.MINIFS" hidden="1" xlm="1">#NAME?</definedName>
    <definedName name="_xleta.SUM" hidden="1" xlm="1">#NAME?</definedName>
    <definedName name="_xleta.SUMIFS" hidden="1" xlm="1">#NAME?</definedName>
    <definedName name="_xleta.TIME" hidden="1" xlm="1">#NAME?</definedName>
    <definedName name="_xlpm.a" hidden="1" xlm="1">#NAME?</definedName>
    <definedName name="_xlpm.body" hidden="1" xlm="1">#NAME?</definedName>
    <definedName name="_xlpm.d" hidden="1" xlm="1">#NAME?</definedName>
    <definedName name="_xlpm.dow" hidden="1" xlm="1">#NAME?</definedName>
    <definedName name="_xlpm.endDate" hidden="1" xlm="1">#NAME?</definedName>
    <definedName name="_xlpm.hrs" hidden="1" xlm="1">#NAME?</definedName>
    <definedName name="_xlpm.mask" hidden="1" xlm="1">#NAME?</definedName>
    <definedName name="_xlpm.startDate" hidden="1" xlm="1">#NAME?</definedName>
    <definedName name="ExternalData_1" localSheetId="11" hidden="1">'Combined _WIP_'!$A$1:$U$883</definedName>
    <definedName name="ExternalData_1" localSheetId="4" hidden="1">Metrics!$S$2:$AA$256</definedName>
    <definedName name="ExternalData_1" localSheetId="14" hidden="1">'Profitable Start Times'!$A$1:$D$218</definedName>
    <definedName name="ExternalData_2" localSheetId="4" hidden="1">Metrics!$AD$2:$AK$67</definedName>
    <definedName name="HBPTable" localSheetId="1">Table5[]</definedName>
    <definedName name="HBPTable" localSheetId="13">Table5[]</definedName>
    <definedName name="HBPTable" localSheetId="2">Table5[]</definedName>
    <definedName name="HBPTable">Table5[]</definedName>
    <definedName name="HBPTable2" localSheetId="13">Table5[]</definedName>
    <definedName name="HBPTable2" localSheetId="2">Table5[]</definedName>
    <definedName name="HBPTable2">Table5[]</definedName>
    <definedName name="pivotable6">Scheduling!$R$17</definedName>
    <definedName name="pivottable10">Pivots!$AQ$2:$AR$5</definedName>
    <definedName name="pivottable6">Scheduling!$R$17</definedName>
    <definedName name="QuarterSelector">Scheduling!$R$17</definedName>
  </definedNames>
  <calcPr calcId="191028"/>
  <pivotCaches>
    <pivotCache cacheId="0" r:id="rId19"/>
    <pivotCache cacheId="1" r:id="rId20"/>
    <pivotCache cacheId="2" r:id="rId21"/>
    <pivotCache cacheId="3" r:id="rId22"/>
    <pivotCache cacheId="4" r:id="rId23"/>
    <pivotCache cacheId="5" r:id="rId24"/>
    <pivotCache cacheId="6" r:id="rId25"/>
    <pivotCache cacheId="7" r:id="rId26"/>
  </pivotCaches>
  <extLst>
    <ext xmlns:x15="http://schemas.microsoft.com/office/spreadsheetml/2010/11/main" uri="{FCE2AD5D-F65C-4FA6-A056-5C36A1767C68}">
      <x15:dataModel>
        <x15:modelTables>
          <x15:modelTable id="Mileage" name="Mileage" connection="WorksheetConnection_0 - Side Gig Tracking.xlsx!Mileage"/>
          <x15:modelTable id="EarningsPerDay" name="EarningsPerDay" connection="WorksheetConnection_0 - Side Gig Tracking.xlsx!EarningsPerDay"/>
        </x15:modelTables>
        <x15:modelRelationships>
          <x15:modelRelationship fromTable="EarningsPerDay" fromColumn="Date" toTable="Mileage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EarningsPerDay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  <x16:modelTimeGrouping tableName="Mileag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99" i="7" l="1"/>
  <c r="B2100" i="7"/>
  <c r="B2098" i="7"/>
  <c r="E2100" i="7"/>
  <c r="F2100" i="7"/>
  <c r="K2100" i="7"/>
  <c r="L2100" i="7" s="1"/>
  <c r="O2100" i="7"/>
  <c r="B2095" i="7"/>
  <c r="B2096" i="7"/>
  <c r="E2096" i="7"/>
  <c r="F2096" i="7"/>
  <c r="K2096" i="7"/>
  <c r="L2096" i="7"/>
  <c r="O2096" i="7"/>
  <c r="I2095" i="7"/>
  <c r="B2097" i="7"/>
  <c r="E2098" i="7"/>
  <c r="E2099" i="7"/>
  <c r="F2098" i="7"/>
  <c r="F2099" i="7"/>
  <c r="K2098" i="7"/>
  <c r="K2099" i="7"/>
  <c r="L2099" i="7"/>
  <c r="O2098" i="7"/>
  <c r="O2099" i="7"/>
  <c r="B2092" i="7"/>
  <c r="B2093" i="7"/>
  <c r="B2094" i="7"/>
  <c r="E2094" i="7"/>
  <c r="E2095" i="7"/>
  <c r="E2097" i="7"/>
  <c r="F2094" i="7"/>
  <c r="F2095" i="7"/>
  <c r="F2097" i="7"/>
  <c r="K2094" i="7"/>
  <c r="L2094" i="7" s="1"/>
  <c r="K2095" i="7"/>
  <c r="L2095" i="7" s="1"/>
  <c r="K2097" i="7"/>
  <c r="L2097" i="7"/>
  <c r="O2094" i="7"/>
  <c r="O2095" i="7"/>
  <c r="O2097" i="7"/>
  <c r="B2090" i="7"/>
  <c r="B2091" i="7"/>
  <c r="E2092" i="7"/>
  <c r="E2093" i="7"/>
  <c r="F2092" i="7"/>
  <c r="F2093" i="7"/>
  <c r="K2092" i="7"/>
  <c r="K2093" i="7"/>
  <c r="O2092" i="7"/>
  <c r="O2093" i="7"/>
  <c r="B2083" i="7"/>
  <c r="B2084" i="7"/>
  <c r="B2085" i="7"/>
  <c r="B2086" i="7"/>
  <c r="B2087" i="7"/>
  <c r="B2088" i="7"/>
  <c r="B2089" i="7"/>
  <c r="E2087" i="7"/>
  <c r="E2088" i="7"/>
  <c r="E2089" i="7"/>
  <c r="E2090" i="7"/>
  <c r="E2091" i="7"/>
  <c r="F2087" i="7"/>
  <c r="F2088" i="7"/>
  <c r="F2089" i="7"/>
  <c r="F2090" i="7"/>
  <c r="F2091" i="7"/>
  <c r="K2087" i="7"/>
  <c r="K2088" i="7"/>
  <c r="K2089" i="7"/>
  <c r="K2090" i="7"/>
  <c r="K2091" i="7"/>
  <c r="L2087" i="7"/>
  <c r="L2089" i="7"/>
  <c r="O2087" i="7"/>
  <c r="O2088" i="7"/>
  <c r="O2089" i="7"/>
  <c r="O2090" i="7"/>
  <c r="O2091" i="7"/>
  <c r="B2063" i="7"/>
  <c r="B2061" i="7"/>
  <c r="B2062" i="7"/>
  <c r="E2062" i="7"/>
  <c r="E2063" i="7"/>
  <c r="F2062" i="7"/>
  <c r="F2063" i="7"/>
  <c r="K2062" i="7"/>
  <c r="K2063" i="7"/>
  <c r="L2062" i="7"/>
  <c r="L2063" i="7"/>
  <c r="O2062" i="7"/>
  <c r="O2063" i="7"/>
  <c r="B2082" i="7"/>
  <c r="E2084" i="7"/>
  <c r="E2085" i="7"/>
  <c r="E2086" i="7"/>
  <c r="F2084" i="7"/>
  <c r="F2085" i="7"/>
  <c r="F2086" i="7"/>
  <c r="K2084" i="7"/>
  <c r="L2084" i="7" s="1"/>
  <c r="K2085" i="7"/>
  <c r="L2085" i="7" s="1"/>
  <c r="K2086" i="7"/>
  <c r="L2086" i="7" s="1"/>
  <c r="O2084" i="7"/>
  <c r="O2085" i="7"/>
  <c r="O2086" i="7"/>
  <c r="B2079" i="7"/>
  <c r="B2080" i="7"/>
  <c r="B2081" i="7"/>
  <c r="E2082" i="7"/>
  <c r="E2083" i="7"/>
  <c r="F2082" i="7"/>
  <c r="F2083" i="7"/>
  <c r="K2082" i="7"/>
  <c r="L2082" i="7" s="1"/>
  <c r="K2083" i="7"/>
  <c r="O2082" i="7"/>
  <c r="O2083" i="7"/>
  <c r="B2077" i="7"/>
  <c r="B2078" i="7"/>
  <c r="E2079" i="7"/>
  <c r="E2080" i="7"/>
  <c r="E2081" i="7"/>
  <c r="F2079" i="7"/>
  <c r="F2080" i="7"/>
  <c r="F2081" i="7"/>
  <c r="K2079" i="7"/>
  <c r="K2080" i="7"/>
  <c r="L2080" i="7" s="1"/>
  <c r="K2081" i="7"/>
  <c r="L2081" i="7" s="1"/>
  <c r="L2079" i="7"/>
  <c r="O2079" i="7"/>
  <c r="O2080" i="7"/>
  <c r="O2081" i="7"/>
  <c r="B2075" i="7"/>
  <c r="B2076" i="7"/>
  <c r="E2077" i="7"/>
  <c r="E2078" i="7"/>
  <c r="F2077" i="7"/>
  <c r="F2078" i="7"/>
  <c r="K2077" i="7"/>
  <c r="L2077" i="7" s="1"/>
  <c r="K2078" i="7"/>
  <c r="L2078" i="7" s="1"/>
  <c r="O2077" i="7"/>
  <c r="O2078" i="7"/>
  <c r="B2074" i="7"/>
  <c r="E2076" i="7"/>
  <c r="F2076" i="7"/>
  <c r="K2076" i="7"/>
  <c r="L2076" i="7" s="1"/>
  <c r="O2076" i="7"/>
  <c r="E2075" i="7"/>
  <c r="F2075" i="7"/>
  <c r="K2075" i="7"/>
  <c r="L2075" i="7" s="1"/>
  <c r="O2075" i="7"/>
  <c r="B2069" i="7"/>
  <c r="B2070" i="7"/>
  <c r="B2071" i="7"/>
  <c r="B2072" i="7"/>
  <c r="B2073" i="7"/>
  <c r="E2071" i="7"/>
  <c r="E2072" i="7"/>
  <c r="E2073" i="7"/>
  <c r="E2074" i="7"/>
  <c r="F2071" i="7"/>
  <c r="F2072" i="7"/>
  <c r="F2073" i="7"/>
  <c r="F2074" i="7"/>
  <c r="K2071" i="7"/>
  <c r="L2071" i="7" s="1"/>
  <c r="K2072" i="7"/>
  <c r="L2072" i="7" s="1"/>
  <c r="K2073" i="7"/>
  <c r="L2073" i="7" s="1"/>
  <c r="K2074" i="7"/>
  <c r="L2074" i="7" s="1"/>
  <c r="O2071" i="7"/>
  <c r="O2072" i="7"/>
  <c r="O2073" i="7"/>
  <c r="O2074" i="7"/>
  <c r="B2067" i="7"/>
  <c r="B2068" i="7"/>
  <c r="E2069" i="7"/>
  <c r="E2070" i="7"/>
  <c r="F2069" i="7"/>
  <c r="F2070" i="7"/>
  <c r="K2069" i="7"/>
  <c r="L2069" i="7" s="1"/>
  <c r="K2070" i="7"/>
  <c r="L2070" i="7" s="1"/>
  <c r="O2069" i="7"/>
  <c r="O2070" i="7"/>
  <c r="L2098" i="7" l="1"/>
  <c r="L2090" i="7"/>
  <c r="L2091" i="7"/>
  <c r="L2092" i="7"/>
  <c r="L2093" i="7"/>
  <c r="L2083" i="7"/>
  <c r="L2088" i="7"/>
  <c r="B2064" i="7"/>
  <c r="B2065" i="7"/>
  <c r="B2066" i="7"/>
  <c r="E2066" i="7"/>
  <c r="E2067" i="7"/>
  <c r="E2068" i="7"/>
  <c r="F2066" i="7"/>
  <c r="F2067" i="7"/>
  <c r="F2068" i="7"/>
  <c r="K2066" i="7"/>
  <c r="L2066" i="7" s="1"/>
  <c r="K2067" i="7"/>
  <c r="L2067" i="7" s="1"/>
  <c r="K2068" i="7"/>
  <c r="L2068" i="7" s="1"/>
  <c r="O2066" i="7"/>
  <c r="O2067" i="7"/>
  <c r="O2068" i="7"/>
  <c r="B2060" i="7" l="1"/>
  <c r="E2064" i="7"/>
  <c r="E2065" i="7"/>
  <c r="F2064" i="7"/>
  <c r="F2065" i="7"/>
  <c r="K2064" i="7"/>
  <c r="L2064" i="7" s="1"/>
  <c r="K2065" i="7"/>
  <c r="L2065" i="7" s="1"/>
  <c r="O2064" i="7"/>
  <c r="O2065" i="7"/>
  <c r="B2059" i="7"/>
  <c r="E2061" i="7"/>
  <c r="F2061" i="7"/>
  <c r="K2061" i="7"/>
  <c r="L2061" i="7" s="1"/>
  <c r="O2061" i="7"/>
  <c r="B2057" i="7" l="1"/>
  <c r="B2058" i="7"/>
  <c r="E2059" i="7"/>
  <c r="E2060" i="7"/>
  <c r="F2059" i="7"/>
  <c r="F2060" i="7"/>
  <c r="K2059" i="7"/>
  <c r="L2059" i="7" s="1"/>
  <c r="K2060" i="7"/>
  <c r="L2060" i="7" s="1"/>
  <c r="O2059" i="7"/>
  <c r="O2060" i="7"/>
  <c r="B2055" i="7" l="1"/>
  <c r="B2056" i="7"/>
  <c r="E2057" i="7"/>
  <c r="E2058" i="7"/>
  <c r="F2057" i="7"/>
  <c r="F2058" i="7"/>
  <c r="K2057" i="7"/>
  <c r="L2057" i="7" s="1"/>
  <c r="K2058" i="7"/>
  <c r="L2058" i="7" s="1"/>
  <c r="O2057" i="7"/>
  <c r="O2058" i="7"/>
  <c r="B2054" i="7" l="1"/>
  <c r="E2056" i="7"/>
  <c r="F2056" i="7"/>
  <c r="K2056" i="7"/>
  <c r="L2056" i="7" s="1"/>
  <c r="O2056" i="7"/>
  <c r="B2051" i="7"/>
  <c r="B2052" i="7"/>
  <c r="B2053" i="7"/>
  <c r="E2053" i="7"/>
  <c r="E2054" i="7"/>
  <c r="E2055" i="7"/>
  <c r="F2053" i="7"/>
  <c r="F2054" i="7"/>
  <c r="F2055" i="7"/>
  <c r="K2053" i="7"/>
  <c r="L2053" i="7" s="1"/>
  <c r="K2054" i="7"/>
  <c r="L2054" i="7" s="1"/>
  <c r="K2055" i="7"/>
  <c r="L2055" i="7" s="1"/>
  <c r="O2053" i="7"/>
  <c r="O2054" i="7"/>
  <c r="O2055" i="7"/>
  <c r="B2049" i="7" l="1"/>
  <c r="B2050" i="7"/>
  <c r="E2051" i="7"/>
  <c r="E2052" i="7"/>
  <c r="F2051" i="7"/>
  <c r="F2052" i="7"/>
  <c r="K2051" i="7"/>
  <c r="L2051" i="7" s="1"/>
  <c r="K2052" i="7"/>
  <c r="L2052" i="7" s="1"/>
  <c r="O2051" i="7"/>
  <c r="O2052" i="7"/>
  <c r="E2050" i="7"/>
  <c r="F2050" i="7"/>
  <c r="K2050" i="7"/>
  <c r="L2050" i="7" s="1"/>
  <c r="O2050" i="7"/>
  <c r="B2045" i="7" l="1"/>
  <c r="B2046" i="7"/>
  <c r="B2047" i="7"/>
  <c r="B2048" i="7"/>
  <c r="E2047" i="7"/>
  <c r="E2048" i="7"/>
  <c r="E2049" i="7"/>
  <c r="F2047" i="7"/>
  <c r="F2048" i="7"/>
  <c r="F2049" i="7"/>
  <c r="K2047" i="7"/>
  <c r="L2047" i="7" s="1"/>
  <c r="K2048" i="7"/>
  <c r="L2048" i="7" s="1"/>
  <c r="K2049" i="7"/>
  <c r="L2049" i="7" s="1"/>
  <c r="O2047" i="7"/>
  <c r="O2048" i="7"/>
  <c r="O2049" i="7"/>
  <c r="O2046" i="7" l="1"/>
  <c r="J2046" i="7"/>
  <c r="K2046" i="7" s="1"/>
  <c r="L2046" i="7" s="1"/>
  <c r="I2046" i="7"/>
  <c r="B2043" i="7"/>
  <c r="B2044" i="7"/>
  <c r="E2045" i="7"/>
  <c r="E2046" i="7"/>
  <c r="F2045" i="7"/>
  <c r="F2046" i="7"/>
  <c r="K2045" i="7"/>
  <c r="L2045" i="7" s="1"/>
  <c r="O2045" i="7"/>
  <c r="B2041" i="7" l="1"/>
  <c r="B2042" i="7"/>
  <c r="E2044" i="7"/>
  <c r="F2044" i="7"/>
  <c r="K2044" i="7"/>
  <c r="L2044" i="7" s="1"/>
  <c r="O2044" i="7"/>
  <c r="B2040" i="7" l="1"/>
  <c r="E2042" i="7"/>
  <c r="E2043" i="7"/>
  <c r="F2042" i="7"/>
  <c r="F2043" i="7"/>
  <c r="K2042" i="7"/>
  <c r="L2042" i="7" s="1"/>
  <c r="K2043" i="7"/>
  <c r="L2043" i="7" s="1"/>
  <c r="O2042" i="7"/>
  <c r="O2043" i="7"/>
  <c r="B2037" i="7"/>
  <c r="B2038" i="7"/>
  <c r="B2039" i="7"/>
  <c r="E2039" i="7"/>
  <c r="E2040" i="7"/>
  <c r="E2041" i="7"/>
  <c r="F2039" i="7"/>
  <c r="F2040" i="7"/>
  <c r="F2041" i="7"/>
  <c r="K2039" i="7"/>
  <c r="L2039" i="7" s="1"/>
  <c r="K2040" i="7"/>
  <c r="L2040" i="7" s="1"/>
  <c r="K2041" i="7"/>
  <c r="L2041" i="7" s="1"/>
  <c r="O2039" i="7"/>
  <c r="O2040" i="7"/>
  <c r="O2041" i="7"/>
  <c r="B2033" i="7" l="1"/>
  <c r="B2034" i="7"/>
  <c r="B2035" i="7"/>
  <c r="B2036" i="7"/>
  <c r="E2036" i="7"/>
  <c r="E2037" i="7"/>
  <c r="E2038" i="7"/>
  <c r="F2036" i="7"/>
  <c r="F2037" i="7"/>
  <c r="F2038" i="7"/>
  <c r="K2036" i="7"/>
  <c r="L2036" i="7" s="1"/>
  <c r="K2037" i="7"/>
  <c r="L2037" i="7" s="1"/>
  <c r="K2038" i="7"/>
  <c r="L2038" i="7" s="1"/>
  <c r="O2036" i="7"/>
  <c r="O2037" i="7"/>
  <c r="O2038" i="7"/>
  <c r="E2035" i="7"/>
  <c r="F2035" i="7"/>
  <c r="K2035" i="7"/>
  <c r="L2035" i="7" s="1"/>
  <c r="O2035" i="7"/>
  <c r="B2032" i="7"/>
  <c r="E2034" i="7"/>
  <c r="F2034" i="7"/>
  <c r="K2034" i="7"/>
  <c r="L2034" i="7" s="1"/>
  <c r="O2034" i="7"/>
  <c r="B2030" i="7" l="1"/>
  <c r="B2031" i="7"/>
  <c r="E2032" i="7"/>
  <c r="E2033" i="7"/>
  <c r="F2032" i="7"/>
  <c r="F2033" i="7"/>
  <c r="K2032" i="7"/>
  <c r="L2032" i="7" s="1"/>
  <c r="K2033" i="7"/>
  <c r="L2033" i="7" s="1"/>
  <c r="O2032" i="7"/>
  <c r="O2033" i="7"/>
  <c r="P16" i="49" l="1"/>
  <c r="B2029" i="7"/>
  <c r="E2031" i="7"/>
  <c r="F2031" i="7"/>
  <c r="K2031" i="7"/>
  <c r="L2031" i="7" s="1"/>
  <c r="O2031" i="7"/>
  <c r="F4" i="49" l="1"/>
  <c r="E4" i="49"/>
  <c r="B2026" i="7"/>
  <c r="B2027" i="7"/>
  <c r="B2028" i="7"/>
  <c r="E2028" i="7"/>
  <c r="E2029" i="7"/>
  <c r="E2030" i="7"/>
  <c r="F2028" i="7"/>
  <c r="F2029" i="7"/>
  <c r="F2030" i="7"/>
  <c r="K2028" i="7"/>
  <c r="L2028" i="7" s="1"/>
  <c r="K2029" i="7"/>
  <c r="L2029" i="7" s="1"/>
  <c r="K2030" i="7"/>
  <c r="L2030" i="7" s="1"/>
  <c r="O2028" i="7"/>
  <c r="O2029" i="7"/>
  <c r="O2030" i="7"/>
  <c r="B2023" i="7" l="1"/>
  <c r="B2024" i="7"/>
  <c r="B2025" i="7"/>
  <c r="E2025" i="7"/>
  <c r="E2026" i="7"/>
  <c r="E2027" i="7"/>
  <c r="F2025" i="7"/>
  <c r="F2026" i="7"/>
  <c r="F2027" i="7"/>
  <c r="K2025" i="7"/>
  <c r="L2025" i="7" s="1"/>
  <c r="K2026" i="7"/>
  <c r="L2026" i="7" s="1"/>
  <c r="K2027" i="7"/>
  <c r="L2027" i="7" s="1"/>
  <c r="O2025" i="7"/>
  <c r="O2026" i="7"/>
  <c r="O2027" i="7"/>
  <c r="I2024" i="7" l="1"/>
  <c r="B2022" i="7"/>
  <c r="E2024" i="7"/>
  <c r="F2024" i="7"/>
  <c r="K2024" i="7"/>
  <c r="L2024" i="7" s="1"/>
  <c r="O2024" i="7"/>
  <c r="B2018" i="7" l="1"/>
  <c r="B2019" i="7"/>
  <c r="B2020" i="7"/>
  <c r="B2021" i="7"/>
  <c r="E2020" i="7"/>
  <c r="E2021" i="7"/>
  <c r="E2022" i="7"/>
  <c r="E2023" i="7"/>
  <c r="F2020" i="7"/>
  <c r="F2021" i="7"/>
  <c r="F2022" i="7"/>
  <c r="F2023" i="7"/>
  <c r="K2020" i="7"/>
  <c r="L2020" i="7" s="1"/>
  <c r="K2021" i="7"/>
  <c r="L2021" i="7" s="1"/>
  <c r="K2022" i="7"/>
  <c r="L2022" i="7" s="1"/>
  <c r="K2023" i="7"/>
  <c r="L2023" i="7" s="1"/>
  <c r="O2020" i="7"/>
  <c r="O2021" i="7"/>
  <c r="O2022" i="7"/>
  <c r="O2023" i="7"/>
  <c r="B2016" i="7"/>
  <c r="B2017" i="7"/>
  <c r="E2018" i="7"/>
  <c r="E2019" i="7"/>
  <c r="F2018" i="7"/>
  <c r="F2019" i="7"/>
  <c r="K2018" i="7"/>
  <c r="L2018" i="7" s="1"/>
  <c r="K2019" i="7"/>
  <c r="L2019" i="7" s="1"/>
  <c r="O2018" i="7"/>
  <c r="O2019" i="7"/>
  <c r="V10" i="23"/>
  <c r="E2016" i="7"/>
  <c r="E2017" i="7"/>
  <c r="F2016" i="7"/>
  <c r="F2017" i="7"/>
  <c r="K2016" i="7"/>
  <c r="L2016" i="7" s="1"/>
  <c r="K2017" i="7"/>
  <c r="L2017" i="7" s="1"/>
  <c r="O2016" i="7"/>
  <c r="O2017" i="7"/>
  <c r="B2012" i="7"/>
  <c r="B2013" i="7"/>
  <c r="B2014" i="7"/>
  <c r="B2015" i="7"/>
  <c r="E2014" i="7"/>
  <c r="E2015" i="7"/>
  <c r="F2014" i="7"/>
  <c r="F2015" i="7"/>
  <c r="K2014" i="7"/>
  <c r="L2014" i="7" s="1"/>
  <c r="K2015" i="7"/>
  <c r="L2015" i="7" s="1"/>
  <c r="O2014" i="7"/>
  <c r="O2015" i="7"/>
  <c r="B2010" i="7"/>
  <c r="B2011" i="7"/>
  <c r="E2012" i="7"/>
  <c r="E2013" i="7"/>
  <c r="F2012" i="7"/>
  <c r="F2013" i="7"/>
  <c r="K2012" i="7"/>
  <c r="L2012" i="7" s="1"/>
  <c r="K2013" i="7"/>
  <c r="L2013" i="7" s="1"/>
  <c r="O2012" i="7"/>
  <c r="O2013" i="7"/>
  <c r="B2009" i="7" l="1"/>
  <c r="E2011" i="7"/>
  <c r="F2011" i="7"/>
  <c r="K2011" i="7"/>
  <c r="L2011" i="7" s="1"/>
  <c r="O2011" i="7"/>
  <c r="B2007" i="7" l="1"/>
  <c r="B2008" i="7"/>
  <c r="E2009" i="7"/>
  <c r="E2010" i="7"/>
  <c r="F2009" i="7"/>
  <c r="F2010" i="7"/>
  <c r="K2009" i="7"/>
  <c r="L2009" i="7" s="1"/>
  <c r="K2010" i="7"/>
  <c r="L2010" i="7" s="1"/>
  <c r="O2009" i="7"/>
  <c r="O2010" i="7"/>
  <c r="B2004" i="7"/>
  <c r="B2005" i="7"/>
  <c r="B2006" i="7"/>
  <c r="E2006" i="7"/>
  <c r="E2007" i="7"/>
  <c r="E2008" i="7"/>
  <c r="F2006" i="7"/>
  <c r="F2007" i="7"/>
  <c r="F2008" i="7"/>
  <c r="K2006" i="7"/>
  <c r="L2006" i="7" s="1"/>
  <c r="K2007" i="7"/>
  <c r="L2007" i="7" s="1"/>
  <c r="K2008" i="7"/>
  <c r="L2008" i="7" s="1"/>
  <c r="O2006" i="7"/>
  <c r="O2007" i="7"/>
  <c r="O2008" i="7"/>
  <c r="E2005" i="7" l="1"/>
  <c r="F2005" i="7"/>
  <c r="K2005" i="7"/>
  <c r="L2005" i="7" s="1"/>
  <c r="O2005" i="7"/>
  <c r="B2001" i="7" l="1"/>
  <c r="B2002" i="7"/>
  <c r="B2003" i="7"/>
  <c r="E2003" i="7"/>
  <c r="E2004" i="7"/>
  <c r="F2003" i="7"/>
  <c r="F2004" i="7"/>
  <c r="K2003" i="7"/>
  <c r="L2003" i="7" s="1"/>
  <c r="K2004" i="7"/>
  <c r="L2004" i="7" s="1"/>
  <c r="O2003" i="7"/>
  <c r="O2004" i="7"/>
  <c r="B1998" i="7"/>
  <c r="B1999" i="7"/>
  <c r="B2000" i="7"/>
  <c r="E2001" i="7"/>
  <c r="E2002" i="7"/>
  <c r="F2001" i="7"/>
  <c r="F2002" i="7"/>
  <c r="K2001" i="7"/>
  <c r="L2001" i="7" s="1"/>
  <c r="K2002" i="7"/>
  <c r="L2002" i="7" s="1"/>
  <c r="O2001" i="7"/>
  <c r="O2002" i="7"/>
  <c r="B1997" i="7" l="1"/>
  <c r="E1999" i="7"/>
  <c r="E2000" i="7"/>
  <c r="F1999" i="7"/>
  <c r="F2000" i="7"/>
  <c r="K1999" i="7"/>
  <c r="L1999" i="7" s="1"/>
  <c r="K2000" i="7"/>
  <c r="L2000" i="7" s="1"/>
  <c r="O1999" i="7"/>
  <c r="O2000" i="7"/>
  <c r="K8" i="46" l="1"/>
  <c r="C7" i="46" l="1"/>
  <c r="B1994" i="7" l="1"/>
  <c r="B1995" i="7"/>
  <c r="B1996" i="7"/>
  <c r="E1996" i="7"/>
  <c r="E1997" i="7"/>
  <c r="E1998" i="7"/>
  <c r="F1996" i="7"/>
  <c r="F1997" i="7"/>
  <c r="F1998" i="7"/>
  <c r="K1996" i="7"/>
  <c r="L1996" i="7" s="1"/>
  <c r="K1997" i="7"/>
  <c r="L1997" i="7" s="1"/>
  <c r="K1998" i="7"/>
  <c r="L1998" i="7" s="1"/>
  <c r="O1996" i="7"/>
  <c r="O1997" i="7"/>
  <c r="O1998" i="7"/>
  <c r="B1992" i="7"/>
  <c r="B1993" i="7"/>
  <c r="E1994" i="7"/>
  <c r="E1995" i="7"/>
  <c r="F1994" i="7"/>
  <c r="F1995" i="7"/>
  <c r="K1994" i="7"/>
  <c r="L1994" i="7" s="1"/>
  <c r="K1995" i="7"/>
  <c r="L1995" i="7" s="1"/>
  <c r="O1994" i="7"/>
  <c r="O1995" i="7"/>
  <c r="B1989" i="7" l="1"/>
  <c r="B1990" i="7"/>
  <c r="B1991" i="7"/>
  <c r="E1991" i="7"/>
  <c r="E1992" i="7"/>
  <c r="E1993" i="7"/>
  <c r="F1991" i="7"/>
  <c r="F1992" i="7"/>
  <c r="F1993" i="7"/>
  <c r="K1991" i="7"/>
  <c r="L1991" i="7" s="1"/>
  <c r="K1992" i="7"/>
  <c r="L1992" i="7" s="1"/>
  <c r="K1993" i="7"/>
  <c r="L1993" i="7" s="1"/>
  <c r="O1991" i="7"/>
  <c r="O1992" i="7"/>
  <c r="O1993" i="7"/>
  <c r="B1986" i="7" l="1"/>
  <c r="B1987" i="7"/>
  <c r="B1988" i="7"/>
  <c r="E1988" i="7"/>
  <c r="E1989" i="7"/>
  <c r="E1990" i="7"/>
  <c r="F1988" i="7"/>
  <c r="F1989" i="7"/>
  <c r="F1990" i="7"/>
  <c r="K1988" i="7"/>
  <c r="L1988" i="7" s="1"/>
  <c r="K1989" i="7"/>
  <c r="L1989" i="7" s="1"/>
  <c r="K1990" i="7"/>
  <c r="L1990" i="7" s="1"/>
  <c r="O1988" i="7"/>
  <c r="O1989" i="7"/>
  <c r="O1990" i="7"/>
  <c r="B1983" i="7" l="1"/>
  <c r="B1984" i="7"/>
  <c r="B1985" i="7"/>
  <c r="E1986" i="7"/>
  <c r="E1987" i="7"/>
  <c r="F1986" i="7"/>
  <c r="F1987" i="7"/>
  <c r="K1986" i="7"/>
  <c r="L1986" i="7" s="1"/>
  <c r="K1987" i="7"/>
  <c r="L1987" i="7" s="1"/>
  <c r="O1986" i="7"/>
  <c r="O1987" i="7"/>
  <c r="B1974" i="7" l="1"/>
  <c r="B1975" i="7"/>
  <c r="B1976" i="7"/>
  <c r="B1977" i="7"/>
  <c r="B1978" i="7"/>
  <c r="B1979" i="7"/>
  <c r="B1980" i="7"/>
  <c r="B1981" i="7"/>
  <c r="B1982" i="7"/>
  <c r="E1977" i="7"/>
  <c r="E1978" i="7"/>
  <c r="E1979" i="7"/>
  <c r="E1980" i="7"/>
  <c r="E1981" i="7"/>
  <c r="E1982" i="7"/>
  <c r="E1983" i="7"/>
  <c r="E1984" i="7"/>
  <c r="E1985" i="7"/>
  <c r="F1977" i="7"/>
  <c r="F1978" i="7"/>
  <c r="F1979" i="7"/>
  <c r="F1980" i="7"/>
  <c r="F1981" i="7"/>
  <c r="F1982" i="7"/>
  <c r="F1983" i="7"/>
  <c r="F1984" i="7"/>
  <c r="F1985" i="7"/>
  <c r="K1977" i="7"/>
  <c r="L1977" i="7" s="1"/>
  <c r="K1978" i="7"/>
  <c r="L1978" i="7" s="1"/>
  <c r="K1979" i="7"/>
  <c r="L1979" i="7" s="1"/>
  <c r="K1980" i="7"/>
  <c r="L1980" i="7" s="1"/>
  <c r="K1981" i="7"/>
  <c r="L1981" i="7" s="1"/>
  <c r="K1982" i="7"/>
  <c r="L1982" i="7" s="1"/>
  <c r="K1983" i="7"/>
  <c r="L1983" i="7" s="1"/>
  <c r="K1984" i="7"/>
  <c r="L1984" i="7" s="1"/>
  <c r="K1985" i="7"/>
  <c r="L1985" i="7" s="1"/>
  <c r="O1977" i="7"/>
  <c r="O1978" i="7"/>
  <c r="O1979" i="7"/>
  <c r="O1980" i="7"/>
  <c r="O1981" i="7"/>
  <c r="O1982" i="7"/>
  <c r="O1983" i="7"/>
  <c r="O1984" i="7"/>
  <c r="O1985" i="7"/>
  <c r="B1973" i="7" l="1"/>
  <c r="E1975" i="7"/>
  <c r="E1976" i="7"/>
  <c r="F1975" i="7"/>
  <c r="F1976" i="7"/>
  <c r="K1975" i="7"/>
  <c r="L1975" i="7" s="1"/>
  <c r="K1976" i="7"/>
  <c r="L1976" i="7" s="1"/>
  <c r="O1975" i="7"/>
  <c r="O1976" i="7"/>
  <c r="E1974" i="7" l="1"/>
  <c r="F1974" i="7"/>
  <c r="K1974" i="7"/>
  <c r="L1974" i="7" s="1"/>
  <c r="O1974" i="7"/>
  <c r="B1972" i="7" l="1"/>
  <c r="E1973" i="7"/>
  <c r="F1973" i="7"/>
  <c r="K1973" i="7"/>
  <c r="L1973" i="7" s="1"/>
  <c r="O1973" i="7"/>
  <c r="B1968" i="7"/>
  <c r="B1969" i="7"/>
  <c r="B1970" i="7"/>
  <c r="B1971" i="7"/>
  <c r="E1970" i="7"/>
  <c r="E1971" i="7"/>
  <c r="E1972" i="7"/>
  <c r="F1970" i="7"/>
  <c r="F1971" i="7"/>
  <c r="F1972" i="7"/>
  <c r="K1970" i="7"/>
  <c r="L1970" i="7" s="1"/>
  <c r="K1971" i="7"/>
  <c r="L1971" i="7" s="1"/>
  <c r="K1972" i="7"/>
  <c r="L1972" i="7" s="1"/>
  <c r="O1970" i="7"/>
  <c r="O1971" i="7"/>
  <c r="O1972" i="7"/>
  <c r="B1966" i="7"/>
  <c r="B1967" i="7"/>
  <c r="E1968" i="7"/>
  <c r="E1969" i="7"/>
  <c r="F1968" i="7"/>
  <c r="F1969" i="7"/>
  <c r="K1968" i="7"/>
  <c r="L1968" i="7" s="1"/>
  <c r="K1969" i="7"/>
  <c r="L1969" i="7" s="1"/>
  <c r="O1968" i="7"/>
  <c r="O1969" i="7"/>
  <c r="B1963" i="7"/>
  <c r="B1964" i="7"/>
  <c r="B1965" i="7"/>
  <c r="E1965" i="7"/>
  <c r="E1966" i="7"/>
  <c r="E1967" i="7"/>
  <c r="F1965" i="7"/>
  <c r="F1966" i="7"/>
  <c r="F1967" i="7"/>
  <c r="K1965" i="7"/>
  <c r="L1965" i="7" s="1"/>
  <c r="K1966" i="7"/>
  <c r="L1966" i="7" s="1"/>
  <c r="K1967" i="7"/>
  <c r="L1967" i="7" s="1"/>
  <c r="O1965" i="7"/>
  <c r="O1966" i="7"/>
  <c r="O1967" i="7"/>
  <c r="E1964" i="7" l="1"/>
  <c r="F1964" i="7"/>
  <c r="K1964" i="7"/>
  <c r="L1964" i="7" s="1"/>
  <c r="O1964" i="7"/>
  <c r="B1959" i="7" l="1"/>
  <c r="B1960" i="7"/>
  <c r="B1961" i="7"/>
  <c r="B1962" i="7"/>
  <c r="E1961" i="7"/>
  <c r="E1962" i="7"/>
  <c r="E1963" i="7"/>
  <c r="F1961" i="7"/>
  <c r="F1962" i="7"/>
  <c r="F1963" i="7"/>
  <c r="K1961" i="7"/>
  <c r="L1961" i="7" s="1"/>
  <c r="K1962" i="7"/>
  <c r="L1962" i="7" s="1"/>
  <c r="K1963" i="7"/>
  <c r="L1963" i="7" s="1"/>
  <c r="O1961" i="7"/>
  <c r="O1962" i="7"/>
  <c r="O1963" i="7"/>
  <c r="B1957" i="7" l="1"/>
  <c r="B1958" i="7"/>
  <c r="E1959" i="7"/>
  <c r="E1960" i="7"/>
  <c r="F1959" i="7"/>
  <c r="F1960" i="7"/>
  <c r="K1959" i="7"/>
  <c r="L1959" i="7" s="1"/>
  <c r="K1960" i="7"/>
  <c r="L1960" i="7" s="1"/>
  <c r="O1959" i="7"/>
  <c r="O1960" i="7"/>
  <c r="I1957" i="7"/>
  <c r="B1955" i="7"/>
  <c r="B1956" i="7"/>
  <c r="E1956" i="7"/>
  <c r="F1956" i="7"/>
  <c r="K1956" i="7"/>
  <c r="L1956" i="7" s="1"/>
  <c r="O1956" i="7"/>
  <c r="B1953" i="7"/>
  <c r="B1954" i="7"/>
  <c r="E1955" i="7"/>
  <c r="E1957" i="7"/>
  <c r="E1958" i="7"/>
  <c r="F1955" i="7"/>
  <c r="F1957" i="7"/>
  <c r="F1958" i="7"/>
  <c r="K1955" i="7"/>
  <c r="L1955" i="7" s="1"/>
  <c r="K1957" i="7"/>
  <c r="L1957" i="7" s="1"/>
  <c r="K1958" i="7"/>
  <c r="L1958" i="7" s="1"/>
  <c r="O1955" i="7"/>
  <c r="O1957" i="7"/>
  <c r="O1958" i="7"/>
  <c r="I1954" i="7" l="1"/>
  <c r="B1952" i="7"/>
  <c r="E1954" i="7"/>
  <c r="F1954" i="7"/>
  <c r="K1954" i="7"/>
  <c r="L1954" i="7" s="1"/>
  <c r="O1954" i="7"/>
  <c r="B1949" i="7" l="1"/>
  <c r="B1950" i="7"/>
  <c r="B1951" i="7"/>
  <c r="E1951" i="7"/>
  <c r="E1952" i="7"/>
  <c r="E1953" i="7"/>
  <c r="F1951" i="7"/>
  <c r="F1952" i="7"/>
  <c r="F1953" i="7"/>
  <c r="K1951" i="7"/>
  <c r="L1951" i="7" s="1"/>
  <c r="K1952" i="7"/>
  <c r="L1952" i="7" s="1"/>
  <c r="K1953" i="7"/>
  <c r="L1953" i="7" s="1"/>
  <c r="O1951" i="7"/>
  <c r="O1952" i="7"/>
  <c r="O1953" i="7"/>
  <c r="B1946" i="7" l="1"/>
  <c r="B1947" i="7"/>
  <c r="B1948" i="7"/>
  <c r="E1948" i="7"/>
  <c r="E1949" i="7"/>
  <c r="E1950" i="7"/>
  <c r="F1948" i="7"/>
  <c r="F1949" i="7"/>
  <c r="F1950" i="7"/>
  <c r="K1948" i="7"/>
  <c r="L1948" i="7" s="1"/>
  <c r="K1949" i="7"/>
  <c r="L1949" i="7" s="1"/>
  <c r="K1950" i="7"/>
  <c r="L1950" i="7" s="1"/>
  <c r="O1948" i="7"/>
  <c r="O1949" i="7"/>
  <c r="O1950" i="7"/>
  <c r="I1947" i="7" l="1"/>
  <c r="B1944" i="7"/>
  <c r="B1945" i="7"/>
  <c r="E1946" i="7"/>
  <c r="E1947" i="7"/>
  <c r="F1946" i="7"/>
  <c r="F1947" i="7"/>
  <c r="K1946" i="7"/>
  <c r="L1946" i="7" s="1"/>
  <c r="K1947" i="7"/>
  <c r="L1947" i="7" s="1"/>
  <c r="O1946" i="7"/>
  <c r="O1947" i="7"/>
  <c r="B1942" i="7" l="1"/>
  <c r="B1943" i="7"/>
  <c r="E1944" i="7"/>
  <c r="E1945" i="7"/>
  <c r="F1944" i="7"/>
  <c r="F1945" i="7"/>
  <c r="K1944" i="7"/>
  <c r="L1944" i="7" s="1"/>
  <c r="K1945" i="7"/>
  <c r="L1945" i="7" s="1"/>
  <c r="O1944" i="7"/>
  <c r="O1945" i="7"/>
  <c r="B1941" i="7"/>
  <c r="E1943" i="7"/>
  <c r="F1943" i="7"/>
  <c r="K1943" i="7"/>
  <c r="L1943" i="7" s="1"/>
  <c r="O1943" i="7"/>
  <c r="B1940" i="7" l="1"/>
  <c r="E1942" i="7"/>
  <c r="F1942" i="7"/>
  <c r="K1942" i="7"/>
  <c r="L1942" i="7" s="1"/>
  <c r="O1942" i="7"/>
  <c r="B1937" i="7"/>
  <c r="B1938" i="7"/>
  <c r="B1939" i="7"/>
  <c r="E1939" i="7"/>
  <c r="E1940" i="7"/>
  <c r="E1941" i="7"/>
  <c r="F1939" i="7"/>
  <c r="F1940" i="7"/>
  <c r="F1941" i="7"/>
  <c r="K1939" i="7"/>
  <c r="L1939" i="7" s="1"/>
  <c r="K1940" i="7"/>
  <c r="L1940" i="7" s="1"/>
  <c r="K1941" i="7"/>
  <c r="L1941" i="7" s="1"/>
  <c r="O1939" i="7"/>
  <c r="O1940" i="7"/>
  <c r="O1941" i="7"/>
  <c r="I1938" i="7" l="1"/>
  <c r="B1934" i="7"/>
  <c r="B1935" i="7"/>
  <c r="B1936" i="7"/>
  <c r="E1936" i="7"/>
  <c r="E1937" i="7"/>
  <c r="E1938" i="7"/>
  <c r="F1936" i="7"/>
  <c r="F1937" i="7"/>
  <c r="F1938" i="7"/>
  <c r="K1936" i="7"/>
  <c r="L1936" i="7" s="1"/>
  <c r="K1937" i="7"/>
  <c r="L1937" i="7" s="1"/>
  <c r="K1938" i="7"/>
  <c r="L1938" i="7" s="1"/>
  <c r="O1936" i="7"/>
  <c r="O1937" i="7"/>
  <c r="O1938" i="7"/>
  <c r="I1935" i="7" l="1"/>
  <c r="B1932" i="7"/>
  <c r="B1933" i="7"/>
  <c r="E1934" i="7"/>
  <c r="E1935" i="7"/>
  <c r="F1934" i="7"/>
  <c r="F1935" i="7"/>
  <c r="K1934" i="7"/>
  <c r="L1934" i="7" s="1"/>
  <c r="K1935" i="7"/>
  <c r="L1935" i="7" s="1"/>
  <c r="O1934" i="7"/>
  <c r="O1935" i="7"/>
  <c r="I1933" i="7" l="1"/>
  <c r="J1931" i="7"/>
  <c r="K1931" i="7" s="1"/>
  <c r="L1931" i="7" s="1"/>
  <c r="I1931" i="7"/>
  <c r="I1932" i="7"/>
  <c r="B1929" i="7"/>
  <c r="B1930" i="7"/>
  <c r="B1931" i="7"/>
  <c r="E1931" i="7"/>
  <c r="E1932" i="7"/>
  <c r="E1933" i="7"/>
  <c r="F1931" i="7"/>
  <c r="F1932" i="7"/>
  <c r="F1933" i="7"/>
  <c r="K1932" i="7"/>
  <c r="L1932" i="7" s="1"/>
  <c r="K1933" i="7"/>
  <c r="L1933" i="7" s="1"/>
  <c r="O1931" i="7"/>
  <c r="O1932" i="7"/>
  <c r="O1933" i="7"/>
  <c r="B1927" i="7"/>
  <c r="B1928" i="7"/>
  <c r="E1929" i="7"/>
  <c r="E1930" i="7"/>
  <c r="F1929" i="7"/>
  <c r="F1930" i="7"/>
  <c r="K1929" i="7"/>
  <c r="L1929" i="7" s="1"/>
  <c r="K1930" i="7"/>
  <c r="L1930" i="7" s="1"/>
  <c r="O1929" i="7"/>
  <c r="O1930" i="7"/>
  <c r="I1927" i="7"/>
  <c r="I1926" i="7"/>
  <c r="B1924" i="7"/>
  <c r="B1925" i="7"/>
  <c r="B1926" i="7"/>
  <c r="E1926" i="7"/>
  <c r="E1927" i="7"/>
  <c r="E1928" i="7"/>
  <c r="F1926" i="7"/>
  <c r="F1927" i="7"/>
  <c r="F1928" i="7"/>
  <c r="K1926" i="7"/>
  <c r="L1926" i="7" s="1"/>
  <c r="K1927" i="7"/>
  <c r="L1927" i="7" s="1"/>
  <c r="K1928" i="7"/>
  <c r="L1928" i="7" s="1"/>
  <c r="O1926" i="7"/>
  <c r="O1927" i="7"/>
  <c r="O1928" i="7"/>
  <c r="B1920" i="7" l="1"/>
  <c r="B1921" i="7"/>
  <c r="B1922" i="7"/>
  <c r="B1923" i="7"/>
  <c r="E1922" i="7"/>
  <c r="E1923" i="7"/>
  <c r="E1924" i="7"/>
  <c r="E1925" i="7"/>
  <c r="F1922" i="7"/>
  <c r="F1923" i="7"/>
  <c r="F1924" i="7"/>
  <c r="F1925" i="7"/>
  <c r="K1922" i="7"/>
  <c r="L1922" i="7" s="1"/>
  <c r="K1923" i="7"/>
  <c r="L1923" i="7" s="1"/>
  <c r="K1924" i="7"/>
  <c r="L1924" i="7" s="1"/>
  <c r="K1925" i="7"/>
  <c r="L1925" i="7" s="1"/>
  <c r="O1922" i="7"/>
  <c r="O1923" i="7"/>
  <c r="O1924" i="7"/>
  <c r="O1925" i="7"/>
  <c r="J1920" i="7" l="1"/>
  <c r="K1920" i="7" s="1"/>
  <c r="L1920" i="7" s="1"/>
  <c r="I1920" i="7"/>
  <c r="I1919" i="7"/>
  <c r="B1917" i="7"/>
  <c r="B1918" i="7"/>
  <c r="B1919" i="7"/>
  <c r="E1919" i="7"/>
  <c r="E1920" i="7"/>
  <c r="E1921" i="7"/>
  <c r="F1919" i="7"/>
  <c r="F1920" i="7"/>
  <c r="F1921" i="7"/>
  <c r="K1919" i="7"/>
  <c r="L1919" i="7" s="1"/>
  <c r="K1921" i="7"/>
  <c r="L1921" i="7" s="1"/>
  <c r="O1919" i="7"/>
  <c r="O1920" i="7"/>
  <c r="O1921" i="7"/>
  <c r="B1915" i="7" l="1"/>
  <c r="B1916" i="7"/>
  <c r="E1917" i="7"/>
  <c r="E1918" i="7"/>
  <c r="F1917" i="7"/>
  <c r="F1918" i="7"/>
  <c r="K1917" i="7"/>
  <c r="L1917" i="7" s="1"/>
  <c r="K1918" i="7"/>
  <c r="L1918" i="7" s="1"/>
  <c r="O1917" i="7"/>
  <c r="O1918" i="7"/>
  <c r="B1912" i="7" l="1"/>
  <c r="B1913" i="7"/>
  <c r="B1914" i="7"/>
  <c r="E1914" i="7"/>
  <c r="E1915" i="7"/>
  <c r="E1916" i="7"/>
  <c r="F1914" i="7"/>
  <c r="F1915" i="7"/>
  <c r="F1916" i="7"/>
  <c r="K1914" i="7"/>
  <c r="L1914" i="7" s="1"/>
  <c r="K1915" i="7"/>
  <c r="L1915" i="7" s="1"/>
  <c r="K1916" i="7"/>
  <c r="L1916" i="7" s="1"/>
  <c r="O1914" i="7"/>
  <c r="O1915" i="7"/>
  <c r="O1916" i="7"/>
  <c r="B1908" i="7" l="1"/>
  <c r="B1909" i="7"/>
  <c r="B1910" i="7"/>
  <c r="B1911" i="7"/>
  <c r="E1910" i="7"/>
  <c r="E1911" i="7"/>
  <c r="E1912" i="7"/>
  <c r="E1913" i="7"/>
  <c r="F1910" i="7"/>
  <c r="F1911" i="7"/>
  <c r="F1912" i="7"/>
  <c r="F1913" i="7"/>
  <c r="K1910" i="7"/>
  <c r="L1910" i="7" s="1"/>
  <c r="K1911" i="7"/>
  <c r="L1911" i="7" s="1"/>
  <c r="K1912" i="7"/>
  <c r="L1912" i="7" s="1"/>
  <c r="K1913" i="7"/>
  <c r="L1913" i="7" s="1"/>
  <c r="O1910" i="7"/>
  <c r="O1911" i="7"/>
  <c r="O1912" i="7"/>
  <c r="O1913" i="7"/>
  <c r="B1906" i="7" l="1"/>
  <c r="B1907" i="7"/>
  <c r="E1908" i="7"/>
  <c r="E1909" i="7"/>
  <c r="F1908" i="7"/>
  <c r="F1909" i="7"/>
  <c r="K1908" i="7"/>
  <c r="L1908" i="7" s="1"/>
  <c r="K1909" i="7"/>
  <c r="L1909" i="7" s="1"/>
  <c r="O1908" i="7"/>
  <c r="O1909" i="7"/>
  <c r="AN89" i="53" l="1"/>
  <c r="AN90" i="53"/>
  <c r="AN91" i="53"/>
  <c r="AN92" i="53"/>
  <c r="AN93" i="53"/>
  <c r="AN94" i="53"/>
  <c r="AN95" i="53"/>
  <c r="AN96" i="53"/>
  <c r="AN97" i="53"/>
  <c r="AN98" i="53"/>
  <c r="AN99" i="53"/>
  <c r="AN100" i="53"/>
  <c r="AN101" i="53"/>
  <c r="AN102" i="53"/>
  <c r="AN103" i="53"/>
  <c r="AN104" i="53"/>
  <c r="AN105" i="53"/>
  <c r="AN106" i="53"/>
  <c r="AN107" i="53"/>
  <c r="AN108" i="53"/>
  <c r="AN109" i="53"/>
  <c r="AN110" i="53"/>
  <c r="AN111" i="53"/>
  <c r="AN112" i="53"/>
  <c r="AN113" i="53"/>
  <c r="AN114" i="53"/>
  <c r="AN115" i="53"/>
  <c r="AN116" i="53"/>
  <c r="AN117" i="53"/>
  <c r="AN118" i="53"/>
  <c r="AN119" i="53"/>
  <c r="AN120" i="53"/>
  <c r="AN121" i="53"/>
  <c r="AN122" i="53"/>
  <c r="AN123" i="53"/>
  <c r="AN124" i="53"/>
  <c r="AN125" i="53"/>
  <c r="AN126" i="53"/>
  <c r="AN127" i="53"/>
  <c r="AN128" i="53"/>
  <c r="AN129" i="53"/>
  <c r="AN130" i="53"/>
  <c r="AN131" i="53"/>
  <c r="AN132" i="53"/>
  <c r="AN133" i="53"/>
  <c r="AN134" i="53"/>
  <c r="AN135" i="53"/>
  <c r="AN136" i="53"/>
  <c r="AN137" i="53"/>
  <c r="AN138" i="53"/>
  <c r="AN139" i="53"/>
  <c r="AN88" i="53"/>
  <c r="AM139" i="53"/>
  <c r="AM138" i="53"/>
  <c r="AM137" i="53"/>
  <c r="AM136" i="53"/>
  <c r="AM135" i="53"/>
  <c r="AM134" i="53"/>
  <c r="AM133" i="53"/>
  <c r="AM132" i="53"/>
  <c r="AM131" i="53"/>
  <c r="AM130" i="53"/>
  <c r="AM129" i="53"/>
  <c r="AM128" i="53"/>
  <c r="AM127" i="53"/>
  <c r="AM126" i="53"/>
  <c r="AM125" i="53"/>
  <c r="AM124" i="53"/>
  <c r="AM123" i="53"/>
  <c r="AM122" i="53"/>
  <c r="AM121" i="53"/>
  <c r="AM120" i="53"/>
  <c r="AM119" i="53"/>
  <c r="AM118" i="53"/>
  <c r="AM117" i="53"/>
  <c r="AM116" i="53"/>
  <c r="AM115" i="53"/>
  <c r="AM114" i="53"/>
  <c r="AM113" i="53"/>
  <c r="AM112" i="53"/>
  <c r="AM111" i="53"/>
  <c r="AM110" i="53"/>
  <c r="AM109" i="53"/>
  <c r="AM108" i="53"/>
  <c r="AM107" i="53"/>
  <c r="AM106" i="53"/>
  <c r="AM105" i="53"/>
  <c r="AM104" i="53"/>
  <c r="AM103" i="53"/>
  <c r="AM102" i="53"/>
  <c r="AM101" i="53"/>
  <c r="AM100" i="53"/>
  <c r="AM99" i="53"/>
  <c r="AM98" i="53"/>
  <c r="AM97" i="53"/>
  <c r="AM96" i="53"/>
  <c r="AM95" i="53"/>
  <c r="AM94" i="53"/>
  <c r="AM93" i="53"/>
  <c r="AM92" i="53"/>
  <c r="AM91" i="53"/>
  <c r="AM90" i="53"/>
  <c r="AM89" i="53"/>
  <c r="AM88" i="53"/>
  <c r="AN6" i="53"/>
  <c r="AN7" i="53"/>
  <c r="AN8" i="53"/>
  <c r="AN9" i="53"/>
  <c r="AN10" i="53"/>
  <c r="AN11" i="53"/>
  <c r="AN12" i="53"/>
  <c r="AN13" i="53"/>
  <c r="AN14" i="53"/>
  <c r="AN15" i="53"/>
  <c r="AN16" i="53"/>
  <c r="AN17" i="53"/>
  <c r="AN18" i="53"/>
  <c r="AN19" i="53"/>
  <c r="AN20" i="53"/>
  <c r="AN21" i="53"/>
  <c r="AM7" i="53"/>
  <c r="AM8" i="53"/>
  <c r="AM9" i="53"/>
  <c r="AM10" i="53"/>
  <c r="AM11" i="53"/>
  <c r="AM12" i="53"/>
  <c r="AM13" i="53"/>
  <c r="AM14" i="53"/>
  <c r="AM15" i="53"/>
  <c r="AM16" i="53"/>
  <c r="AM17" i="53"/>
  <c r="AM18" i="53"/>
  <c r="AM19" i="53"/>
  <c r="AM20" i="53"/>
  <c r="AM21" i="53"/>
  <c r="AM22" i="53"/>
  <c r="AM23" i="53"/>
  <c r="AM24" i="53"/>
  <c r="AM25" i="53"/>
  <c r="AM26" i="53"/>
  <c r="AM27" i="53"/>
  <c r="AM28" i="53"/>
  <c r="AM29" i="53"/>
  <c r="AM30" i="53"/>
  <c r="AM31" i="53"/>
  <c r="AM32" i="53"/>
  <c r="AM33" i="53"/>
  <c r="AM34" i="53"/>
  <c r="AM35" i="53"/>
  <c r="AM36" i="53"/>
  <c r="AM37" i="53"/>
  <c r="AM38" i="53"/>
  <c r="AM39" i="53"/>
  <c r="AM40" i="53"/>
  <c r="AM41" i="53"/>
  <c r="AM42" i="53"/>
  <c r="AM43" i="53"/>
  <c r="AM44" i="53"/>
  <c r="AM45" i="53"/>
  <c r="AM46" i="53"/>
  <c r="AM47" i="53"/>
  <c r="AM48" i="53"/>
  <c r="AM49" i="53"/>
  <c r="AM50" i="53"/>
  <c r="AM51" i="53"/>
  <c r="AM52" i="53"/>
  <c r="AM53" i="53"/>
  <c r="AM54" i="53"/>
  <c r="AM55" i="53"/>
  <c r="AM56" i="53"/>
  <c r="AM57" i="53"/>
  <c r="AM6" i="53"/>
  <c r="B1905" i="7"/>
  <c r="E1907" i="7"/>
  <c r="F1907" i="7"/>
  <c r="K1907" i="7"/>
  <c r="L1907" i="7" s="1"/>
  <c r="O1907" i="7"/>
  <c r="AS72" i="53"/>
  <c r="AS73" i="53"/>
  <c r="AS74" i="53"/>
  <c r="AS75" i="53"/>
  <c r="AS76" i="53"/>
  <c r="AS77" i="53"/>
  <c r="AS78" i="53"/>
  <c r="AS79" i="53"/>
  <c r="AS80" i="53"/>
  <c r="AS81" i="53"/>
  <c r="AS82" i="53"/>
  <c r="AS83" i="53"/>
  <c r="AS84" i="53"/>
  <c r="AS85" i="53"/>
  <c r="AS86" i="53"/>
  <c r="AS87" i="53"/>
  <c r="AS88" i="53"/>
  <c r="AS89" i="53"/>
  <c r="AS90" i="53"/>
  <c r="AS91" i="53"/>
  <c r="AS92" i="53"/>
  <c r="AS93" i="53"/>
  <c r="AS94" i="53"/>
  <c r="AS95" i="53"/>
  <c r="AS96" i="53"/>
  <c r="AS97" i="53"/>
  <c r="AS98" i="53"/>
  <c r="AS99" i="53"/>
  <c r="AS100" i="53"/>
  <c r="AS101" i="53"/>
  <c r="AS102" i="53"/>
  <c r="AS103" i="53"/>
  <c r="AS104" i="53"/>
  <c r="AS105" i="53"/>
  <c r="AS106" i="53"/>
  <c r="AS107" i="53"/>
  <c r="AS108" i="53"/>
  <c r="AS109" i="53"/>
  <c r="AS110" i="53"/>
  <c r="AS111" i="53"/>
  <c r="AS112" i="53"/>
  <c r="AS113" i="53"/>
  <c r="AS114" i="53"/>
  <c r="AS115" i="53"/>
  <c r="AS116" i="53"/>
  <c r="AS117" i="53"/>
  <c r="AS118" i="53"/>
  <c r="AS119" i="53"/>
  <c r="AS120" i="53"/>
  <c r="AS121" i="53"/>
  <c r="AS122" i="53"/>
  <c r="AS71" i="53"/>
  <c r="AD4" i="53"/>
  <c r="AN57" i="53" l="1"/>
  <c r="AN41" i="53"/>
  <c r="AN25" i="53"/>
  <c r="AN55" i="53"/>
  <c r="AN28" i="53"/>
  <c r="AN42" i="53"/>
  <c r="AN56" i="53"/>
  <c r="AN40" i="53"/>
  <c r="AN24" i="53"/>
  <c r="AN27" i="53"/>
  <c r="AN26" i="53"/>
  <c r="AN23" i="53"/>
  <c r="AN43" i="53"/>
  <c r="AN39" i="53"/>
  <c r="AN53" i="53"/>
  <c r="AN37" i="53"/>
  <c r="AN52" i="53"/>
  <c r="AN36" i="53"/>
  <c r="AN51" i="53"/>
  <c r="AN35" i="53"/>
  <c r="AN50" i="53"/>
  <c r="AN34" i="53"/>
  <c r="AN49" i="53"/>
  <c r="AN33" i="53"/>
  <c r="AN29" i="53"/>
  <c r="AN48" i="53"/>
  <c r="AN32" i="53"/>
  <c r="AN47" i="53"/>
  <c r="AN31" i="53"/>
  <c r="AN45" i="53"/>
  <c r="AN46" i="53"/>
  <c r="AN30" i="53"/>
  <c r="AN44" i="53"/>
  <c r="AN22" i="53"/>
  <c r="AN38" i="53"/>
  <c r="AN54" i="53"/>
  <c r="B1903" i="7"/>
  <c r="B1904" i="7"/>
  <c r="E1905" i="7"/>
  <c r="E1906" i="7"/>
  <c r="F1905" i="7"/>
  <c r="F1906" i="7"/>
  <c r="K1905" i="7"/>
  <c r="L1905" i="7" s="1"/>
  <c r="K1906" i="7"/>
  <c r="L1906" i="7" s="1"/>
  <c r="O1905" i="7"/>
  <c r="O1906" i="7"/>
  <c r="B1900" i="7"/>
  <c r="B1901" i="7"/>
  <c r="B1902" i="7"/>
  <c r="E1902" i="7"/>
  <c r="E1903" i="7"/>
  <c r="E1904" i="7"/>
  <c r="F1902" i="7"/>
  <c r="F1903" i="7"/>
  <c r="F1904" i="7"/>
  <c r="K1902" i="7"/>
  <c r="L1902" i="7" s="1"/>
  <c r="K1903" i="7"/>
  <c r="L1903" i="7" s="1"/>
  <c r="K1904" i="7"/>
  <c r="L1904" i="7" s="1"/>
  <c r="O1902" i="7"/>
  <c r="O1903" i="7"/>
  <c r="O1904" i="7"/>
  <c r="B1897" i="7" l="1"/>
  <c r="B1898" i="7"/>
  <c r="B1899" i="7"/>
  <c r="E1899" i="7"/>
  <c r="E1900" i="7"/>
  <c r="E1901" i="7"/>
  <c r="F1899" i="7"/>
  <c r="F1900" i="7"/>
  <c r="F1901" i="7"/>
  <c r="K1899" i="7"/>
  <c r="L1899" i="7" s="1"/>
  <c r="K1900" i="7"/>
  <c r="L1900" i="7" s="1"/>
  <c r="K1901" i="7"/>
  <c r="L1901" i="7" s="1"/>
  <c r="O1899" i="7"/>
  <c r="O1900" i="7"/>
  <c r="O1901" i="7"/>
  <c r="B1894" i="7" l="1"/>
  <c r="B1895" i="7"/>
  <c r="B1896" i="7"/>
  <c r="E1896" i="7"/>
  <c r="E1897" i="7"/>
  <c r="E1898" i="7"/>
  <c r="F1896" i="7"/>
  <c r="F1897" i="7"/>
  <c r="F1898" i="7"/>
  <c r="K1896" i="7"/>
  <c r="L1896" i="7" s="1"/>
  <c r="K1897" i="7"/>
  <c r="L1897" i="7" s="1"/>
  <c r="K1898" i="7"/>
  <c r="L1898" i="7" s="1"/>
  <c r="O1896" i="7"/>
  <c r="O1897" i="7"/>
  <c r="O1898" i="7"/>
  <c r="B1891" i="7" l="1"/>
  <c r="B1892" i="7"/>
  <c r="B1893" i="7"/>
  <c r="E1893" i="7"/>
  <c r="E1894" i="7"/>
  <c r="E1895" i="7"/>
  <c r="F1893" i="7"/>
  <c r="F1894" i="7"/>
  <c r="F1895" i="7"/>
  <c r="K1893" i="7"/>
  <c r="L1893" i="7" s="1"/>
  <c r="K1894" i="7"/>
  <c r="L1894" i="7" s="1"/>
  <c r="K1895" i="7"/>
  <c r="L1895" i="7" s="1"/>
  <c r="O1893" i="7"/>
  <c r="O1894" i="7"/>
  <c r="O1895" i="7"/>
  <c r="B1888" i="7" l="1"/>
  <c r="B1889" i="7"/>
  <c r="B1890" i="7"/>
  <c r="E1890" i="7"/>
  <c r="E1891" i="7"/>
  <c r="E1892" i="7"/>
  <c r="F1890" i="7"/>
  <c r="F1891" i="7"/>
  <c r="F1892" i="7"/>
  <c r="K1890" i="7"/>
  <c r="L1890" i="7" s="1"/>
  <c r="K1891" i="7"/>
  <c r="L1891" i="7" s="1"/>
  <c r="K1892" i="7"/>
  <c r="L1892" i="7" s="1"/>
  <c r="O1890" i="7"/>
  <c r="O1891" i="7"/>
  <c r="O1892" i="7"/>
  <c r="I1889" i="7" l="1"/>
  <c r="B1887" i="7"/>
  <c r="E1889" i="7"/>
  <c r="F1889" i="7"/>
  <c r="K1889" i="7"/>
  <c r="L1889" i="7" s="1"/>
  <c r="O1889" i="7"/>
  <c r="E1888" i="7" l="1"/>
  <c r="F1888" i="7"/>
  <c r="K1888" i="7"/>
  <c r="L1888" i="7" s="1"/>
  <c r="O1888" i="7"/>
  <c r="B1883" i="7"/>
  <c r="B1884" i="7"/>
  <c r="B1885" i="7"/>
  <c r="B1886" i="7"/>
  <c r="E1885" i="7"/>
  <c r="E1886" i="7"/>
  <c r="E1887" i="7"/>
  <c r="F1885" i="7"/>
  <c r="F1886" i="7"/>
  <c r="F1887" i="7"/>
  <c r="K1885" i="7"/>
  <c r="L1885" i="7" s="1"/>
  <c r="K1886" i="7"/>
  <c r="L1886" i="7" s="1"/>
  <c r="K1887" i="7"/>
  <c r="L1887" i="7" s="1"/>
  <c r="O1885" i="7"/>
  <c r="O1886" i="7"/>
  <c r="O1887" i="7"/>
  <c r="AY3" i="23" l="1"/>
  <c r="AY4" i="23"/>
  <c r="AY5" i="23"/>
  <c r="AY6" i="23"/>
  <c r="AY7" i="23"/>
  <c r="AY8" i="23"/>
  <c r="AY9" i="23"/>
  <c r="E1884" i="7"/>
  <c r="F1884" i="7"/>
  <c r="K1884" i="7"/>
  <c r="L1884" i="7" s="1"/>
  <c r="O1884" i="7"/>
  <c r="I1883" i="7"/>
  <c r="H1883" i="7"/>
  <c r="B1881" i="7"/>
  <c r="B1882" i="7"/>
  <c r="E1883" i="7"/>
  <c r="F1883" i="7"/>
  <c r="K1883" i="7"/>
  <c r="L1883" i="7" s="1"/>
  <c r="O1883" i="7"/>
  <c r="B1878" i="7"/>
  <c r="B1879" i="7"/>
  <c r="B1880" i="7"/>
  <c r="E1880" i="7"/>
  <c r="E1881" i="7"/>
  <c r="E1882" i="7"/>
  <c r="F1880" i="7"/>
  <c r="F1881" i="7"/>
  <c r="F1882" i="7"/>
  <c r="K1880" i="7"/>
  <c r="L1880" i="7" s="1"/>
  <c r="K1881" i="7"/>
  <c r="L1881" i="7" s="1"/>
  <c r="K1882" i="7"/>
  <c r="L1882" i="7" s="1"/>
  <c r="O1880" i="7"/>
  <c r="O1881" i="7"/>
  <c r="O1882" i="7"/>
  <c r="B1876" i="7"/>
  <c r="B1877" i="7"/>
  <c r="E1878" i="7"/>
  <c r="E1879" i="7"/>
  <c r="F1878" i="7"/>
  <c r="F1879" i="7"/>
  <c r="K1878" i="7"/>
  <c r="L1878" i="7" s="1"/>
  <c r="K1879" i="7"/>
  <c r="L1879" i="7" s="1"/>
  <c r="O1878" i="7"/>
  <c r="O1879" i="7"/>
  <c r="B1874" i="7"/>
  <c r="B1875" i="7"/>
  <c r="E1876" i="7"/>
  <c r="E1877" i="7"/>
  <c r="F1876" i="7"/>
  <c r="F1877" i="7"/>
  <c r="K1876" i="7"/>
  <c r="L1876" i="7" s="1"/>
  <c r="K1877" i="7"/>
  <c r="L1877" i="7" s="1"/>
  <c r="O1876" i="7"/>
  <c r="O1877" i="7"/>
  <c r="AA5" i="53"/>
  <c r="AB5" i="53" s="1"/>
  <c r="AA6" i="53"/>
  <c r="AB6" i="53" s="1"/>
  <c r="AA7" i="53"/>
  <c r="AB7" i="53" s="1"/>
  <c r="AA8" i="53"/>
  <c r="AB8" i="53" s="1"/>
  <c r="AA9" i="53"/>
  <c r="AB9" i="53" s="1"/>
  <c r="AA10" i="53"/>
  <c r="AB10" i="53" s="1"/>
  <c r="AA11" i="53"/>
  <c r="AB11" i="53" s="1"/>
  <c r="AA12" i="53"/>
  <c r="AB12" i="53" s="1"/>
  <c r="AA13" i="53"/>
  <c r="AB13" i="53" s="1"/>
  <c r="AA14" i="53"/>
  <c r="AB14" i="53" s="1"/>
  <c r="AA15" i="53"/>
  <c r="AB15" i="53" s="1"/>
  <c r="AA16" i="53"/>
  <c r="AB16" i="53" s="1"/>
  <c r="AA17" i="53"/>
  <c r="AB17" i="53" s="1"/>
  <c r="AA18" i="53"/>
  <c r="AB18" i="53" s="1"/>
  <c r="AA19" i="53"/>
  <c r="AB19" i="53" s="1"/>
  <c r="AA20" i="53"/>
  <c r="AB20" i="53" s="1"/>
  <c r="AA21" i="53"/>
  <c r="AB21" i="53" s="1"/>
  <c r="AA22" i="53"/>
  <c r="AB22" i="53" s="1"/>
  <c r="AA23" i="53"/>
  <c r="AB23" i="53" s="1"/>
  <c r="AA24" i="53"/>
  <c r="AB24" i="53" s="1"/>
  <c r="AA25" i="53"/>
  <c r="AB25" i="53" s="1"/>
  <c r="AA26" i="53"/>
  <c r="AB26" i="53" s="1"/>
  <c r="AA27" i="53"/>
  <c r="AB27" i="53" s="1"/>
  <c r="AA28" i="53"/>
  <c r="AB28" i="53" s="1"/>
  <c r="AA29" i="53"/>
  <c r="AB29" i="53" s="1"/>
  <c r="AA30" i="53"/>
  <c r="AB30" i="53" s="1"/>
  <c r="AA31" i="53"/>
  <c r="AB31" i="53" s="1"/>
  <c r="AA32" i="53"/>
  <c r="AB32" i="53" s="1"/>
  <c r="AA33" i="53"/>
  <c r="AB33" i="53" s="1"/>
  <c r="AA34" i="53"/>
  <c r="AB34" i="53" s="1"/>
  <c r="AA35" i="53"/>
  <c r="AB35" i="53" s="1"/>
  <c r="AA36" i="53"/>
  <c r="AB36" i="53" s="1"/>
  <c r="AA37" i="53"/>
  <c r="AB37" i="53" s="1"/>
  <c r="AA38" i="53"/>
  <c r="AB38" i="53" s="1"/>
  <c r="AA39" i="53"/>
  <c r="AB39" i="53" s="1"/>
  <c r="AA40" i="53"/>
  <c r="AB40" i="53" s="1"/>
  <c r="AA41" i="53"/>
  <c r="AB41" i="53" s="1"/>
  <c r="AA42" i="53"/>
  <c r="AB42" i="53" s="1"/>
  <c r="AA43" i="53"/>
  <c r="AB43" i="53" s="1"/>
  <c r="AA44" i="53"/>
  <c r="AB44" i="53" s="1"/>
  <c r="AA45" i="53"/>
  <c r="AB45" i="53" s="1"/>
  <c r="AA46" i="53"/>
  <c r="AB46" i="53" s="1"/>
  <c r="AA47" i="53"/>
  <c r="AB47" i="53" s="1"/>
  <c r="AA48" i="53"/>
  <c r="AB48" i="53" s="1"/>
  <c r="AA49" i="53"/>
  <c r="AB49" i="53" s="1"/>
  <c r="AA50" i="53"/>
  <c r="AB50" i="53" s="1"/>
  <c r="AA51" i="53"/>
  <c r="AB51" i="53" s="1"/>
  <c r="AA52" i="53"/>
  <c r="AB52" i="53" s="1"/>
  <c r="AA53" i="53"/>
  <c r="AB53" i="53" s="1"/>
  <c r="AA54" i="53"/>
  <c r="AB54" i="53" s="1"/>
  <c r="AA55" i="53"/>
  <c r="AB55" i="53" s="1"/>
  <c r="AA56" i="53"/>
  <c r="AB56" i="53" s="1"/>
  <c r="AA57" i="53"/>
  <c r="AB57" i="53" s="1"/>
  <c r="AA58" i="53"/>
  <c r="AB58" i="53" s="1"/>
  <c r="AA59" i="53"/>
  <c r="AB59" i="53" s="1"/>
  <c r="AA60" i="53"/>
  <c r="AB60" i="53" s="1"/>
  <c r="AA61" i="53"/>
  <c r="AB61" i="53" s="1"/>
  <c r="AA62" i="53"/>
  <c r="AB62" i="53" s="1"/>
  <c r="AA63" i="53"/>
  <c r="AB63" i="53" s="1"/>
  <c r="AA64" i="53"/>
  <c r="AB64" i="53" s="1"/>
  <c r="AA65" i="53"/>
  <c r="AB65" i="53" s="1"/>
  <c r="AA66" i="53"/>
  <c r="AB66" i="53" s="1"/>
  <c r="AA67" i="53"/>
  <c r="AB67" i="53" s="1"/>
  <c r="AA68" i="53"/>
  <c r="AB68" i="53" s="1"/>
  <c r="AA69" i="53"/>
  <c r="AB69" i="53" s="1"/>
  <c r="AA70" i="53"/>
  <c r="AB70" i="53" s="1"/>
  <c r="AA71" i="53"/>
  <c r="AB71" i="53" s="1"/>
  <c r="AA72" i="53"/>
  <c r="AB72" i="53" s="1"/>
  <c r="AA73" i="53"/>
  <c r="AB73" i="53" s="1"/>
  <c r="AA74" i="53"/>
  <c r="AB74" i="53" s="1"/>
  <c r="AA75" i="53"/>
  <c r="AB75" i="53" s="1"/>
  <c r="AA76" i="53"/>
  <c r="AB76" i="53" s="1"/>
  <c r="AA77" i="53"/>
  <c r="AB77" i="53" s="1"/>
  <c r="AA78" i="53"/>
  <c r="AB78" i="53" s="1"/>
  <c r="AA79" i="53"/>
  <c r="AB79" i="53" s="1"/>
  <c r="AA80" i="53"/>
  <c r="AB80" i="53" s="1"/>
  <c r="AA81" i="53"/>
  <c r="AB81" i="53" s="1"/>
  <c r="AA82" i="53"/>
  <c r="AB82" i="53" s="1"/>
  <c r="AA83" i="53"/>
  <c r="AB83" i="53" s="1"/>
  <c r="AA84" i="53"/>
  <c r="AB84" i="53" s="1"/>
  <c r="AA85" i="53"/>
  <c r="AB85" i="53" s="1"/>
  <c r="AA86" i="53"/>
  <c r="AB86" i="53" s="1"/>
  <c r="AA87" i="53"/>
  <c r="AB87" i="53" s="1"/>
  <c r="AA88" i="53"/>
  <c r="AB88" i="53" s="1"/>
  <c r="AA89" i="53"/>
  <c r="AB89" i="53" s="1"/>
  <c r="AA90" i="53"/>
  <c r="AB90" i="53" s="1"/>
  <c r="AA91" i="53"/>
  <c r="AB91" i="53" s="1"/>
  <c r="AA92" i="53"/>
  <c r="AB92" i="53" s="1"/>
  <c r="AA93" i="53"/>
  <c r="AB93" i="53" s="1"/>
  <c r="AA94" i="53"/>
  <c r="AB94" i="53" s="1"/>
  <c r="AA95" i="53"/>
  <c r="AB95" i="53" s="1"/>
  <c r="AA96" i="53"/>
  <c r="AB96" i="53" s="1"/>
  <c r="AA97" i="53"/>
  <c r="AB97" i="53" s="1"/>
  <c r="AA98" i="53"/>
  <c r="AB98" i="53" s="1"/>
  <c r="AA99" i="53"/>
  <c r="AB99" i="53" s="1"/>
  <c r="AA100" i="53"/>
  <c r="AB100" i="53" s="1"/>
  <c r="AA101" i="53"/>
  <c r="AB101" i="53" s="1"/>
  <c r="AA102" i="53"/>
  <c r="AB102" i="53" s="1"/>
  <c r="AA103" i="53"/>
  <c r="AB103" i="53" s="1"/>
  <c r="AA104" i="53"/>
  <c r="AB104" i="53" s="1"/>
  <c r="AA105" i="53"/>
  <c r="AB105" i="53" s="1"/>
  <c r="AA106" i="53"/>
  <c r="AB106" i="53" s="1"/>
  <c r="AA107" i="53"/>
  <c r="AB107" i="53" s="1"/>
  <c r="AA108" i="53"/>
  <c r="AB108" i="53" s="1"/>
  <c r="AA109" i="53"/>
  <c r="AB109" i="53" s="1"/>
  <c r="AA110" i="53"/>
  <c r="AB110" i="53" s="1"/>
  <c r="AA111" i="53"/>
  <c r="AB111" i="53" s="1"/>
  <c r="AA112" i="53"/>
  <c r="AB112" i="53" s="1"/>
  <c r="AA113" i="53"/>
  <c r="AB113" i="53" s="1"/>
  <c r="AA114" i="53"/>
  <c r="AB114" i="53" s="1"/>
  <c r="AA115" i="53"/>
  <c r="AB115" i="53" s="1"/>
  <c r="AA116" i="53"/>
  <c r="AB116" i="53" s="1"/>
  <c r="AA117" i="53"/>
  <c r="AB117" i="53" s="1"/>
  <c r="AA118" i="53"/>
  <c r="AB118" i="53" s="1"/>
  <c r="AA119" i="53"/>
  <c r="AB119" i="53" s="1"/>
  <c r="AA120" i="53"/>
  <c r="AB120" i="53" s="1"/>
  <c r="AA121" i="53"/>
  <c r="AB121" i="53" s="1"/>
  <c r="AA122" i="53"/>
  <c r="AB122" i="53" s="1"/>
  <c r="AA123" i="53"/>
  <c r="AB123" i="53" s="1"/>
  <c r="AA124" i="53"/>
  <c r="AB124" i="53" s="1"/>
  <c r="AA125" i="53"/>
  <c r="AB125" i="53" s="1"/>
  <c r="AA126" i="53"/>
  <c r="AB126" i="53" s="1"/>
  <c r="AA127" i="53"/>
  <c r="AB127" i="53" s="1"/>
  <c r="AA128" i="53"/>
  <c r="AB128" i="53" s="1"/>
  <c r="AA129" i="53"/>
  <c r="AB129" i="53" s="1"/>
  <c r="AA130" i="53"/>
  <c r="AB130" i="53" s="1"/>
  <c r="AA131" i="53"/>
  <c r="AB131" i="53" s="1"/>
  <c r="AA132" i="53"/>
  <c r="AB132" i="53" s="1"/>
  <c r="AA133" i="53"/>
  <c r="AB133" i="53" s="1"/>
  <c r="AA134" i="53"/>
  <c r="AB134" i="53" s="1"/>
  <c r="AA135" i="53"/>
  <c r="AB135" i="53" s="1"/>
  <c r="AA136" i="53"/>
  <c r="AB136" i="53" s="1"/>
  <c r="AA137" i="53"/>
  <c r="AB137" i="53" s="1"/>
  <c r="AA138" i="53"/>
  <c r="AB138" i="53" s="1"/>
  <c r="AA139" i="53"/>
  <c r="AB139" i="53" s="1"/>
  <c r="AA140" i="53"/>
  <c r="AB140" i="53" s="1"/>
  <c r="AA141" i="53"/>
  <c r="AB141" i="53" s="1"/>
  <c r="AA142" i="53"/>
  <c r="AB142" i="53" s="1"/>
  <c r="AA143" i="53"/>
  <c r="AB143" i="53" s="1"/>
  <c r="AA144" i="53"/>
  <c r="AB144" i="53" s="1"/>
  <c r="AA145" i="53"/>
  <c r="AB145" i="53" s="1"/>
  <c r="AA146" i="53"/>
  <c r="AB146" i="53" s="1"/>
  <c r="AA147" i="53"/>
  <c r="AB147" i="53" s="1"/>
  <c r="AA148" i="53"/>
  <c r="AB148" i="53" s="1"/>
  <c r="AA149" i="53"/>
  <c r="AB149" i="53" s="1"/>
  <c r="AA150" i="53"/>
  <c r="AB150" i="53" s="1"/>
  <c r="AA151" i="53"/>
  <c r="AB151" i="53" s="1"/>
  <c r="AA152" i="53"/>
  <c r="AB152" i="53" s="1"/>
  <c r="AA153" i="53"/>
  <c r="AB153" i="53" s="1"/>
  <c r="AA154" i="53"/>
  <c r="AB154" i="53" s="1"/>
  <c r="AA155" i="53"/>
  <c r="AB155" i="53" s="1"/>
  <c r="AA156" i="53"/>
  <c r="AB156" i="53" s="1"/>
  <c r="AA157" i="53"/>
  <c r="AB157" i="53" s="1"/>
  <c r="AA158" i="53"/>
  <c r="AB158" i="53" s="1"/>
  <c r="AA159" i="53"/>
  <c r="AB159" i="53" s="1"/>
  <c r="AA160" i="53"/>
  <c r="AB160" i="53" s="1"/>
  <c r="AA161" i="53"/>
  <c r="AB161" i="53" s="1"/>
  <c r="AA162" i="53"/>
  <c r="AB162" i="53" s="1"/>
  <c r="AA163" i="53"/>
  <c r="AB163" i="53" s="1"/>
  <c r="AA164" i="53"/>
  <c r="AB164" i="53" s="1"/>
  <c r="AA165" i="53"/>
  <c r="AB165" i="53" s="1"/>
  <c r="AA166" i="53"/>
  <c r="AB166" i="53" s="1"/>
  <c r="AA167" i="53"/>
  <c r="AB167" i="53" s="1"/>
  <c r="AA168" i="53"/>
  <c r="AB168" i="53" s="1"/>
  <c r="AA169" i="53"/>
  <c r="AB169" i="53" s="1"/>
  <c r="AA170" i="53"/>
  <c r="AB170" i="53" s="1"/>
  <c r="AA171" i="53"/>
  <c r="AB171" i="53" s="1"/>
  <c r="AA172" i="53"/>
  <c r="AB172" i="53" s="1"/>
  <c r="AA173" i="53"/>
  <c r="AB173" i="53" s="1"/>
  <c r="AA174" i="53"/>
  <c r="AB174" i="53" s="1"/>
  <c r="AA175" i="53"/>
  <c r="AB175" i="53" s="1"/>
  <c r="AA176" i="53"/>
  <c r="AB176" i="53" s="1"/>
  <c r="AA177" i="53"/>
  <c r="AB177" i="53" s="1"/>
  <c r="AA178" i="53"/>
  <c r="AB178" i="53" s="1"/>
  <c r="AA179" i="53"/>
  <c r="AB179" i="53" s="1"/>
  <c r="AA180" i="53"/>
  <c r="AB180" i="53" s="1"/>
  <c r="AA181" i="53"/>
  <c r="AB181" i="53" s="1"/>
  <c r="AA182" i="53"/>
  <c r="AB182" i="53" s="1"/>
  <c r="AA183" i="53"/>
  <c r="AB183" i="53" s="1"/>
  <c r="AA184" i="53"/>
  <c r="AB184" i="53" s="1"/>
  <c r="AA185" i="53"/>
  <c r="AB185" i="53" s="1"/>
  <c r="AA186" i="53"/>
  <c r="AB186" i="53" s="1"/>
  <c r="AA187" i="53"/>
  <c r="AB187" i="53" s="1"/>
  <c r="AA188" i="53"/>
  <c r="AB188" i="53" s="1"/>
  <c r="AA189" i="53"/>
  <c r="AB189" i="53" s="1"/>
  <c r="AA190" i="53"/>
  <c r="AB190" i="53" s="1"/>
  <c r="AA191" i="53"/>
  <c r="AB191" i="53" s="1"/>
  <c r="AA192" i="53"/>
  <c r="AB192" i="53" s="1"/>
  <c r="AA193" i="53"/>
  <c r="AB193" i="53" s="1"/>
  <c r="AA194" i="53"/>
  <c r="AB194" i="53" s="1"/>
  <c r="AA195" i="53"/>
  <c r="AB195" i="53" s="1"/>
  <c r="AA196" i="53"/>
  <c r="AB196" i="53" s="1"/>
  <c r="AA197" i="53"/>
  <c r="AB197" i="53" s="1"/>
  <c r="AA198" i="53"/>
  <c r="AB198" i="53" s="1"/>
  <c r="AA199" i="53"/>
  <c r="AB199" i="53" s="1"/>
  <c r="AA200" i="53"/>
  <c r="AB200" i="53" s="1"/>
  <c r="AA201" i="53"/>
  <c r="AB201" i="53" s="1"/>
  <c r="AA202" i="53"/>
  <c r="AB202" i="53" s="1"/>
  <c r="AA203" i="53"/>
  <c r="AB203" i="53" s="1"/>
  <c r="AA204" i="53"/>
  <c r="AB204" i="53" s="1"/>
  <c r="AA205" i="53"/>
  <c r="AB205" i="53" s="1"/>
  <c r="AA206" i="53"/>
  <c r="AB206" i="53" s="1"/>
  <c r="AA207" i="53"/>
  <c r="AB207" i="53" s="1"/>
  <c r="AA208" i="53"/>
  <c r="AB208" i="53" s="1"/>
  <c r="AA209" i="53"/>
  <c r="AB209" i="53" s="1"/>
  <c r="AA210" i="53"/>
  <c r="AB210" i="53" s="1"/>
  <c r="AA211" i="53"/>
  <c r="AB211" i="53" s="1"/>
  <c r="AA212" i="53"/>
  <c r="AB212" i="53" s="1"/>
  <c r="AA213" i="53"/>
  <c r="AB213" i="53" s="1"/>
  <c r="AA214" i="53"/>
  <c r="AB214" i="53" s="1"/>
  <c r="AA215" i="53"/>
  <c r="AB215" i="53" s="1"/>
  <c r="AA216" i="53"/>
  <c r="AB216" i="53" s="1"/>
  <c r="AA217" i="53"/>
  <c r="AB217" i="53" s="1"/>
  <c r="AA218" i="53"/>
  <c r="AB218" i="53" s="1"/>
  <c r="AA219" i="53"/>
  <c r="AB219" i="53" s="1"/>
  <c r="AA220" i="53"/>
  <c r="AB220" i="53" s="1"/>
  <c r="AA221" i="53"/>
  <c r="AB221" i="53" s="1"/>
  <c r="AA222" i="53"/>
  <c r="AB222" i="53" s="1"/>
  <c r="AA223" i="53"/>
  <c r="AB223" i="53" s="1"/>
  <c r="AA224" i="53"/>
  <c r="AB224" i="53" s="1"/>
  <c r="AA225" i="53"/>
  <c r="AB225" i="53" s="1"/>
  <c r="AA226" i="53"/>
  <c r="AB226" i="53" s="1"/>
  <c r="AA227" i="53"/>
  <c r="AB227" i="53" s="1"/>
  <c r="AA228" i="53"/>
  <c r="AB228" i="53" s="1"/>
  <c r="AA229" i="53"/>
  <c r="AB229" i="53" s="1"/>
  <c r="AA230" i="53"/>
  <c r="AB230" i="53" s="1"/>
  <c r="AA231" i="53"/>
  <c r="AB231" i="53" s="1"/>
  <c r="AA232" i="53"/>
  <c r="AB232" i="53" s="1"/>
  <c r="AA233" i="53"/>
  <c r="AB233" i="53" s="1"/>
  <c r="AA234" i="53"/>
  <c r="AB234" i="53" s="1"/>
  <c r="AA235" i="53"/>
  <c r="AB235" i="53" s="1"/>
  <c r="AA236" i="53"/>
  <c r="AB236" i="53" s="1"/>
  <c r="AA237" i="53"/>
  <c r="AB237" i="53" s="1"/>
  <c r="AA238" i="53"/>
  <c r="AB238" i="53" s="1"/>
  <c r="AA239" i="53"/>
  <c r="AB239" i="53" s="1"/>
  <c r="AA240" i="53"/>
  <c r="AB240" i="53" s="1"/>
  <c r="AA241" i="53"/>
  <c r="AB241" i="53" s="1"/>
  <c r="AA242" i="53"/>
  <c r="AB242" i="53" s="1"/>
  <c r="AA243" i="53"/>
  <c r="AB243" i="53" s="1"/>
  <c r="AA244" i="53"/>
  <c r="AB244" i="53" s="1"/>
  <c r="AA245" i="53"/>
  <c r="AB245" i="53" s="1"/>
  <c r="AA246" i="53"/>
  <c r="AB246" i="53" s="1"/>
  <c r="AA247" i="53"/>
  <c r="AB247" i="53" s="1"/>
  <c r="AA248" i="53"/>
  <c r="AB248" i="53" s="1"/>
  <c r="AA249" i="53"/>
  <c r="AB249" i="53" s="1"/>
  <c r="AA250" i="53"/>
  <c r="AB250" i="53" s="1"/>
  <c r="AA251" i="53"/>
  <c r="AB251" i="53" s="1"/>
  <c r="AA252" i="53"/>
  <c r="AB252" i="53" s="1"/>
  <c r="AA253" i="53"/>
  <c r="AB253" i="53" s="1"/>
  <c r="AA254" i="53"/>
  <c r="AB254" i="53" s="1"/>
  <c r="AA255" i="53"/>
  <c r="AB255" i="53" s="1"/>
  <c r="AA256" i="53"/>
  <c r="AB256" i="53" s="1"/>
  <c r="AA257" i="53"/>
  <c r="AB257" i="53" s="1"/>
  <c r="AA258" i="53"/>
  <c r="AB258" i="53" s="1"/>
  <c r="AA259" i="53"/>
  <c r="AB259" i="53" s="1"/>
  <c r="AA260" i="53"/>
  <c r="AB260" i="53" s="1"/>
  <c r="AA261" i="53"/>
  <c r="AB261" i="53" s="1"/>
  <c r="AA262" i="53"/>
  <c r="AB262" i="53" s="1"/>
  <c r="AA263" i="53"/>
  <c r="AB263" i="53" s="1"/>
  <c r="AA264" i="53"/>
  <c r="AB264" i="53" s="1"/>
  <c r="AA265" i="53"/>
  <c r="AB265" i="53" s="1"/>
  <c r="AA266" i="53"/>
  <c r="AB266" i="53" s="1"/>
  <c r="AA267" i="53"/>
  <c r="AB267" i="53" s="1"/>
  <c r="AA268" i="53"/>
  <c r="AB268" i="53" s="1"/>
  <c r="AA269" i="53"/>
  <c r="AB269" i="53" s="1"/>
  <c r="AA270" i="53"/>
  <c r="AB270" i="53" s="1"/>
  <c r="AA271" i="53"/>
  <c r="AB271" i="53" s="1"/>
  <c r="AA272" i="53"/>
  <c r="AB272" i="53" s="1"/>
  <c r="AA273" i="53"/>
  <c r="AB273" i="53" s="1"/>
  <c r="AA274" i="53"/>
  <c r="AB274" i="53" s="1"/>
  <c r="AA275" i="53"/>
  <c r="AB275" i="53" s="1"/>
  <c r="AA276" i="53"/>
  <c r="AB276" i="53" s="1"/>
  <c r="AA277" i="53"/>
  <c r="AB277" i="53" s="1"/>
  <c r="AA278" i="53"/>
  <c r="AB278" i="53" s="1"/>
  <c r="AA279" i="53"/>
  <c r="AB279" i="53" s="1"/>
  <c r="AA280" i="53"/>
  <c r="AB280" i="53" s="1"/>
  <c r="AA281" i="53"/>
  <c r="AB281" i="53" s="1"/>
  <c r="AA282" i="53"/>
  <c r="AB282" i="53" s="1"/>
  <c r="AA283" i="53"/>
  <c r="AB283" i="53" s="1"/>
  <c r="AA284" i="53"/>
  <c r="AB284" i="53" s="1"/>
  <c r="AA285" i="53"/>
  <c r="AB285" i="53" s="1"/>
  <c r="AA286" i="53"/>
  <c r="AB286" i="53" s="1"/>
  <c r="AA287" i="53"/>
  <c r="AB287" i="53" s="1"/>
  <c r="AA288" i="53"/>
  <c r="AB288" i="53" s="1"/>
  <c r="AA289" i="53"/>
  <c r="AB289" i="53" s="1"/>
  <c r="AA290" i="53"/>
  <c r="AB290" i="53" s="1"/>
  <c r="AA291" i="53"/>
  <c r="AB291" i="53" s="1"/>
  <c r="AA292" i="53"/>
  <c r="AB292" i="53" s="1"/>
  <c r="AA293" i="53"/>
  <c r="AB293" i="53" s="1"/>
  <c r="AA294" i="53"/>
  <c r="AB294" i="53" s="1"/>
  <c r="AA295" i="53"/>
  <c r="AB295" i="53" s="1"/>
  <c r="AA296" i="53"/>
  <c r="AB296" i="53" s="1"/>
  <c r="AA297" i="53"/>
  <c r="AB297" i="53" s="1"/>
  <c r="AA298" i="53"/>
  <c r="AB298" i="53" s="1"/>
  <c r="AA299" i="53"/>
  <c r="AB299" i="53" s="1"/>
  <c r="AA300" i="53"/>
  <c r="AB300" i="53" s="1"/>
  <c r="AA301" i="53"/>
  <c r="AB301" i="53" s="1"/>
  <c r="AA302" i="53"/>
  <c r="AB302" i="53" s="1"/>
  <c r="AA303" i="53"/>
  <c r="AB303" i="53" s="1"/>
  <c r="AA304" i="53"/>
  <c r="AB304" i="53" s="1"/>
  <c r="AA305" i="53"/>
  <c r="AB305" i="53" s="1"/>
  <c r="AA306" i="53"/>
  <c r="AB306" i="53" s="1"/>
  <c r="AA307" i="53"/>
  <c r="AB307" i="53" s="1"/>
  <c r="AA308" i="53"/>
  <c r="AB308" i="53" s="1"/>
  <c r="AA309" i="53"/>
  <c r="AB309" i="53" s="1"/>
  <c r="AA310" i="53"/>
  <c r="AB310" i="53" s="1"/>
  <c r="AA311" i="53"/>
  <c r="AB311" i="53" s="1"/>
  <c r="AA312" i="53"/>
  <c r="AB312" i="53" s="1"/>
  <c r="AA313" i="53"/>
  <c r="AB313" i="53" s="1"/>
  <c r="AA314" i="53"/>
  <c r="AB314" i="53" s="1"/>
  <c r="AA315" i="53"/>
  <c r="AB315" i="53" s="1"/>
  <c r="AA316" i="53"/>
  <c r="AB316" i="53" s="1"/>
  <c r="AA317" i="53"/>
  <c r="AB317" i="53" s="1"/>
  <c r="AA318" i="53"/>
  <c r="AB318" i="53" s="1"/>
  <c r="AA319" i="53"/>
  <c r="AB319" i="53" s="1"/>
  <c r="AA320" i="53"/>
  <c r="AB320" i="53" s="1"/>
  <c r="AA321" i="53"/>
  <c r="AB321" i="53" s="1"/>
  <c r="AA322" i="53"/>
  <c r="AB322" i="53" s="1"/>
  <c r="AA323" i="53"/>
  <c r="AB323" i="53" s="1"/>
  <c r="AA324" i="53"/>
  <c r="AB324" i="53" s="1"/>
  <c r="AA325" i="53"/>
  <c r="AB325" i="53" s="1"/>
  <c r="AA326" i="53"/>
  <c r="AB326" i="53" s="1"/>
  <c r="AA327" i="53"/>
  <c r="AB327" i="53" s="1"/>
  <c r="AA328" i="53"/>
  <c r="AB328" i="53" s="1"/>
  <c r="AA329" i="53"/>
  <c r="AB329" i="53" s="1"/>
  <c r="AA330" i="53"/>
  <c r="AB330" i="53" s="1"/>
  <c r="AA331" i="53"/>
  <c r="AB331" i="53" s="1"/>
  <c r="AA332" i="53"/>
  <c r="AB332" i="53" s="1"/>
  <c r="AA333" i="53"/>
  <c r="AB333" i="53" s="1"/>
  <c r="AA334" i="53"/>
  <c r="AB334" i="53" s="1"/>
  <c r="AA335" i="53"/>
  <c r="AB335" i="53" s="1"/>
  <c r="AA336" i="53"/>
  <c r="AB336" i="53" s="1"/>
  <c r="AA337" i="53"/>
  <c r="AB337" i="53" s="1"/>
  <c r="AA338" i="53"/>
  <c r="AB338" i="53" s="1"/>
  <c r="AA339" i="53"/>
  <c r="AB339" i="53" s="1"/>
  <c r="AA340" i="53"/>
  <c r="AB340" i="53" s="1"/>
  <c r="AA341" i="53"/>
  <c r="AB341" i="53" s="1"/>
  <c r="AA342" i="53"/>
  <c r="AB342" i="53" s="1"/>
  <c r="AA343" i="53"/>
  <c r="AB343" i="53" s="1"/>
  <c r="AA344" i="53"/>
  <c r="AB344" i="53" s="1"/>
  <c r="AA345" i="53"/>
  <c r="AB345" i="53" s="1"/>
  <c r="AA346" i="53"/>
  <c r="AB346" i="53" s="1"/>
  <c r="AA347" i="53"/>
  <c r="AB347" i="53" s="1"/>
  <c r="AA348" i="53"/>
  <c r="AB348" i="53" s="1"/>
  <c r="AA349" i="53"/>
  <c r="AB349" i="53" s="1"/>
  <c r="AA350" i="53"/>
  <c r="AB350" i="53" s="1"/>
  <c r="AA351" i="53"/>
  <c r="AB351" i="53" s="1"/>
  <c r="AA352" i="53"/>
  <c r="AB352" i="53" s="1"/>
  <c r="AA353" i="53"/>
  <c r="AB353" i="53" s="1"/>
  <c r="AA354" i="53"/>
  <c r="AB354" i="53" s="1"/>
  <c r="AA355" i="53"/>
  <c r="AB355" i="53" s="1"/>
  <c r="AA356" i="53"/>
  <c r="AB356" i="53" s="1"/>
  <c r="AA357" i="53"/>
  <c r="AB357" i="53" s="1"/>
  <c r="AA358" i="53"/>
  <c r="AB358" i="53" s="1"/>
  <c r="AA359" i="53"/>
  <c r="AB359" i="53" s="1"/>
  <c r="AA360" i="53"/>
  <c r="AB360" i="53" s="1"/>
  <c r="AA361" i="53"/>
  <c r="AB361" i="53" s="1"/>
  <c r="AA362" i="53"/>
  <c r="AB362" i="53" s="1"/>
  <c r="AA363" i="53"/>
  <c r="AB363" i="53" s="1"/>
  <c r="AA364" i="53"/>
  <c r="AB364" i="53" s="1"/>
  <c r="AA365" i="53"/>
  <c r="AB365" i="53" s="1"/>
  <c r="AA366" i="53"/>
  <c r="AB366" i="53" s="1"/>
  <c r="AA367" i="53"/>
  <c r="AB367" i="53" s="1"/>
  <c r="AA368" i="53"/>
  <c r="AB368" i="53" s="1"/>
  <c r="AA369" i="53"/>
  <c r="AB369" i="53" s="1"/>
  <c r="AA370" i="53"/>
  <c r="AB370" i="53" s="1"/>
  <c r="AA371" i="53"/>
  <c r="AB371" i="53" s="1"/>
  <c r="AA372" i="53"/>
  <c r="AB372" i="53" s="1"/>
  <c r="AA373" i="53"/>
  <c r="AB373" i="53" s="1"/>
  <c r="AA374" i="53"/>
  <c r="AB374" i="53" s="1"/>
  <c r="AA375" i="53"/>
  <c r="AB375" i="53" s="1"/>
  <c r="AA376" i="53"/>
  <c r="AB376" i="53" s="1"/>
  <c r="AA377" i="53"/>
  <c r="AB377" i="53" s="1"/>
  <c r="AA378" i="53"/>
  <c r="AB378" i="53" s="1"/>
  <c r="AA379" i="53"/>
  <c r="AB379" i="53" s="1"/>
  <c r="AA380" i="53"/>
  <c r="AB380" i="53" s="1"/>
  <c r="AA381" i="53"/>
  <c r="AB381" i="53" s="1"/>
  <c r="AA382" i="53"/>
  <c r="AB382" i="53" s="1"/>
  <c r="AA383" i="53"/>
  <c r="AB383" i="53" s="1"/>
  <c r="AA384" i="53"/>
  <c r="AB384" i="53" s="1"/>
  <c r="AA385" i="53"/>
  <c r="AB385" i="53" s="1"/>
  <c r="AA386" i="53"/>
  <c r="AB386" i="53" s="1"/>
  <c r="AA387" i="53"/>
  <c r="AB387" i="53" s="1"/>
  <c r="AA388" i="53"/>
  <c r="AB388" i="53" s="1"/>
  <c r="AA389" i="53"/>
  <c r="AB389" i="53" s="1"/>
  <c r="AA390" i="53"/>
  <c r="AB390" i="53" s="1"/>
  <c r="AA391" i="53"/>
  <c r="AB391" i="53" s="1"/>
  <c r="AA392" i="53"/>
  <c r="AB392" i="53" s="1"/>
  <c r="AA393" i="53"/>
  <c r="AB393" i="53" s="1"/>
  <c r="AA394" i="53"/>
  <c r="AB394" i="53" s="1"/>
  <c r="AA395" i="53"/>
  <c r="AB395" i="53" s="1"/>
  <c r="AA396" i="53"/>
  <c r="AB396" i="53" s="1"/>
  <c r="AA397" i="53"/>
  <c r="AB397" i="53" s="1"/>
  <c r="AA398" i="53"/>
  <c r="AB398" i="53" s="1"/>
  <c r="AA399" i="53"/>
  <c r="AB399" i="53" s="1"/>
  <c r="AA400" i="53"/>
  <c r="AB400" i="53" s="1"/>
  <c r="AA401" i="53"/>
  <c r="AB401" i="53" s="1"/>
  <c r="AA402" i="53"/>
  <c r="AB402" i="53" s="1"/>
  <c r="AA403" i="53"/>
  <c r="AB403" i="53" s="1"/>
  <c r="AA404" i="53"/>
  <c r="AB404" i="53" s="1"/>
  <c r="AA405" i="53"/>
  <c r="AB405" i="53" s="1"/>
  <c r="AA406" i="53"/>
  <c r="AB406" i="53" s="1"/>
  <c r="AA407" i="53"/>
  <c r="AB407" i="53" s="1"/>
  <c r="AA408" i="53"/>
  <c r="AB408" i="53" s="1"/>
  <c r="AA409" i="53"/>
  <c r="AB409" i="53" s="1"/>
  <c r="AA410" i="53"/>
  <c r="AB410" i="53" s="1"/>
  <c r="AA411" i="53"/>
  <c r="AB411" i="53" s="1"/>
  <c r="AA412" i="53"/>
  <c r="AB412" i="53" s="1"/>
  <c r="AA413" i="53"/>
  <c r="AB413" i="53" s="1"/>
  <c r="AA414" i="53"/>
  <c r="AB414" i="53" s="1"/>
  <c r="AA415" i="53"/>
  <c r="AB415" i="53" s="1"/>
  <c r="AA416" i="53"/>
  <c r="AB416" i="53" s="1"/>
  <c r="AA417" i="53"/>
  <c r="AB417" i="53" s="1"/>
  <c r="AA418" i="53"/>
  <c r="AB418" i="53" s="1"/>
  <c r="AA419" i="53"/>
  <c r="AB419" i="53" s="1"/>
  <c r="AA420" i="53"/>
  <c r="AB420" i="53" s="1"/>
  <c r="AA421" i="53"/>
  <c r="AB421" i="53" s="1"/>
  <c r="AA422" i="53"/>
  <c r="AB422" i="53" s="1"/>
  <c r="AA423" i="53"/>
  <c r="AB423" i="53" s="1"/>
  <c r="AA424" i="53"/>
  <c r="AB424" i="53" s="1"/>
  <c r="AA425" i="53"/>
  <c r="AB425" i="53" s="1"/>
  <c r="AA426" i="53"/>
  <c r="AB426" i="53" s="1"/>
  <c r="AA427" i="53"/>
  <c r="AB427" i="53" s="1"/>
  <c r="AA428" i="53"/>
  <c r="AB428" i="53" s="1"/>
  <c r="AA429" i="53"/>
  <c r="AB429" i="53" s="1"/>
  <c r="AA430" i="53"/>
  <c r="AB430" i="53" s="1"/>
  <c r="AA431" i="53"/>
  <c r="AB431" i="53" s="1"/>
  <c r="AA432" i="53"/>
  <c r="AB432" i="53" s="1"/>
  <c r="AA433" i="53"/>
  <c r="AB433" i="53" s="1"/>
  <c r="AA434" i="53"/>
  <c r="AB434" i="53" s="1"/>
  <c r="AA435" i="53"/>
  <c r="AB435" i="53" s="1"/>
  <c r="AA436" i="53"/>
  <c r="AB436" i="53" s="1"/>
  <c r="AA437" i="53"/>
  <c r="AB437" i="53" s="1"/>
  <c r="AA438" i="53"/>
  <c r="AB438" i="53" s="1"/>
  <c r="AA439" i="53"/>
  <c r="AB439" i="53" s="1"/>
  <c r="AA440" i="53"/>
  <c r="AB440" i="53" s="1"/>
  <c r="AA441" i="53"/>
  <c r="AB441" i="53" s="1"/>
  <c r="AA442" i="53"/>
  <c r="AB442" i="53" s="1"/>
  <c r="AA443" i="53"/>
  <c r="AB443" i="53" s="1"/>
  <c r="AA444" i="53"/>
  <c r="AB444" i="53" s="1"/>
  <c r="AA445" i="53"/>
  <c r="AB445" i="53" s="1"/>
  <c r="AA446" i="53"/>
  <c r="AB446" i="53" s="1"/>
  <c r="AA447" i="53"/>
  <c r="AB447" i="53" s="1"/>
  <c r="AA448" i="53"/>
  <c r="AB448" i="53" s="1"/>
  <c r="AA449" i="53"/>
  <c r="AB449" i="53" s="1"/>
  <c r="AA450" i="53"/>
  <c r="AB450" i="53" s="1"/>
  <c r="AA451" i="53"/>
  <c r="AB451" i="53" s="1"/>
  <c r="AA452" i="53"/>
  <c r="AB452" i="53" s="1"/>
  <c r="AA453" i="53"/>
  <c r="AB453" i="53" s="1"/>
  <c r="AA454" i="53"/>
  <c r="AB454" i="53" s="1"/>
  <c r="AA455" i="53"/>
  <c r="AB455" i="53" s="1"/>
  <c r="AA456" i="53"/>
  <c r="AB456" i="53" s="1"/>
  <c r="AA457" i="53"/>
  <c r="AB457" i="53" s="1"/>
  <c r="AA458" i="53"/>
  <c r="AB458" i="53" s="1"/>
  <c r="AA459" i="53"/>
  <c r="AB459" i="53" s="1"/>
  <c r="AA460" i="53"/>
  <c r="AB460" i="53" s="1"/>
  <c r="AA461" i="53"/>
  <c r="AB461" i="53" s="1"/>
  <c r="AA462" i="53"/>
  <c r="AB462" i="53" s="1"/>
  <c r="AA463" i="53"/>
  <c r="AB463" i="53" s="1"/>
  <c r="AA464" i="53"/>
  <c r="AB464" i="53" s="1"/>
  <c r="AA465" i="53"/>
  <c r="AB465" i="53" s="1"/>
  <c r="AA466" i="53"/>
  <c r="AB466" i="53" s="1"/>
  <c r="AA467" i="53"/>
  <c r="AB467" i="53" s="1"/>
  <c r="AA468" i="53"/>
  <c r="AB468" i="53" s="1"/>
  <c r="AA469" i="53"/>
  <c r="AB469" i="53" s="1"/>
  <c r="AA470" i="53"/>
  <c r="AB470" i="53" s="1"/>
  <c r="AA471" i="53"/>
  <c r="AB471" i="53" s="1"/>
  <c r="AA472" i="53"/>
  <c r="AB472" i="53" s="1"/>
  <c r="AA473" i="53"/>
  <c r="AB473" i="53" s="1"/>
  <c r="AA474" i="53"/>
  <c r="AB474" i="53" s="1"/>
  <c r="AA475" i="53"/>
  <c r="AB475" i="53" s="1"/>
  <c r="AA476" i="53"/>
  <c r="AB476" i="53" s="1"/>
  <c r="AA477" i="53"/>
  <c r="AB477" i="53" s="1"/>
  <c r="AA478" i="53"/>
  <c r="AB478" i="53" s="1"/>
  <c r="AA479" i="53"/>
  <c r="AB479" i="53" s="1"/>
  <c r="AA480" i="53"/>
  <c r="AB480" i="53" s="1"/>
  <c r="AA481" i="53"/>
  <c r="AB481" i="53" s="1"/>
  <c r="AA482" i="53"/>
  <c r="AB482" i="53" s="1"/>
  <c r="AA483" i="53"/>
  <c r="AB483" i="53" s="1"/>
  <c r="AA484" i="53"/>
  <c r="AB484" i="53" s="1"/>
  <c r="AA485" i="53"/>
  <c r="AB485" i="53" s="1"/>
  <c r="AA486" i="53"/>
  <c r="AB486" i="53" s="1"/>
  <c r="AA487" i="53"/>
  <c r="AB487" i="53" s="1"/>
  <c r="AA488" i="53"/>
  <c r="AB488" i="53" s="1"/>
  <c r="AA489" i="53"/>
  <c r="AB489" i="53" s="1"/>
  <c r="AA490" i="53"/>
  <c r="AB490" i="53" s="1"/>
  <c r="AA491" i="53"/>
  <c r="AB491" i="53" s="1"/>
  <c r="AA492" i="53"/>
  <c r="AB492" i="53" s="1"/>
  <c r="AA493" i="53"/>
  <c r="AB493" i="53" s="1"/>
  <c r="AA494" i="53"/>
  <c r="AB494" i="53" s="1"/>
  <c r="AA495" i="53"/>
  <c r="AB495" i="53" s="1"/>
  <c r="AA496" i="53"/>
  <c r="AB496" i="53" s="1"/>
  <c r="AA497" i="53"/>
  <c r="AB497" i="53" s="1"/>
  <c r="AA498" i="53"/>
  <c r="AB498" i="53" s="1"/>
  <c r="AA499" i="53"/>
  <c r="AB499" i="53" s="1"/>
  <c r="AA500" i="53"/>
  <c r="AB500" i="53" s="1"/>
  <c r="AA501" i="53"/>
  <c r="AB501" i="53" s="1"/>
  <c r="AA502" i="53"/>
  <c r="AB502" i="53" s="1"/>
  <c r="AA503" i="53"/>
  <c r="AB503" i="53" s="1"/>
  <c r="AA504" i="53"/>
  <c r="AB504" i="53" s="1"/>
  <c r="AA505" i="53"/>
  <c r="AB505" i="53" s="1"/>
  <c r="AA506" i="53"/>
  <c r="AB506" i="53" s="1"/>
  <c r="AA507" i="53"/>
  <c r="AB507" i="53" s="1"/>
  <c r="AA508" i="53"/>
  <c r="AB508" i="53" s="1"/>
  <c r="AA509" i="53"/>
  <c r="AB509" i="53" s="1"/>
  <c r="AA510" i="53"/>
  <c r="AB510" i="53" s="1"/>
  <c r="AA511" i="53"/>
  <c r="AB511" i="53" s="1"/>
  <c r="AA512" i="53"/>
  <c r="AB512" i="53" s="1"/>
  <c r="AA513" i="53"/>
  <c r="AB513" i="53" s="1"/>
  <c r="AA514" i="53"/>
  <c r="AB514" i="53" s="1"/>
  <c r="AA515" i="53"/>
  <c r="AB515" i="53" s="1"/>
  <c r="AA516" i="53"/>
  <c r="AB516" i="53" s="1"/>
  <c r="AA517" i="53"/>
  <c r="AB517" i="53" s="1"/>
  <c r="AA518" i="53"/>
  <c r="AB518" i="53" s="1"/>
  <c r="AA519" i="53"/>
  <c r="AB519" i="53" s="1"/>
  <c r="AA520" i="53"/>
  <c r="AB520" i="53" s="1"/>
  <c r="AA521" i="53"/>
  <c r="AB521" i="53" s="1"/>
  <c r="AA522" i="53"/>
  <c r="AB522" i="53" s="1"/>
  <c r="AA523" i="53"/>
  <c r="AB523" i="53" s="1"/>
  <c r="AA524" i="53"/>
  <c r="AB524" i="53" s="1"/>
  <c r="AA525" i="53"/>
  <c r="AB525" i="53" s="1"/>
  <c r="AA526" i="53"/>
  <c r="AB526" i="53" s="1"/>
  <c r="AA527" i="53"/>
  <c r="AB527" i="53" s="1"/>
  <c r="AA528" i="53"/>
  <c r="AB528" i="53" s="1"/>
  <c r="AA529" i="53"/>
  <c r="AB529" i="53" s="1"/>
  <c r="AA530" i="53"/>
  <c r="AB530" i="53" s="1"/>
  <c r="AA531" i="53"/>
  <c r="AB531" i="53" s="1"/>
  <c r="AA532" i="53"/>
  <c r="AB532" i="53" s="1"/>
  <c r="AA533" i="53"/>
  <c r="AB533" i="53" s="1"/>
  <c r="AA534" i="53"/>
  <c r="AB534" i="53" s="1"/>
  <c r="AA535" i="53"/>
  <c r="AB535" i="53" s="1"/>
  <c r="AA536" i="53"/>
  <c r="AB536" i="53" s="1"/>
  <c r="AA537" i="53"/>
  <c r="AB537" i="53" s="1"/>
  <c r="AA538" i="53"/>
  <c r="AB538" i="53" s="1"/>
  <c r="AA539" i="53"/>
  <c r="AB539" i="53" s="1"/>
  <c r="AA540" i="53"/>
  <c r="AB540" i="53" s="1"/>
  <c r="AA541" i="53"/>
  <c r="AB541" i="53" s="1"/>
  <c r="AA542" i="53"/>
  <c r="AB542" i="53" s="1"/>
  <c r="AA543" i="53"/>
  <c r="AB543" i="53" s="1"/>
  <c r="AA544" i="53"/>
  <c r="AB544" i="53" s="1"/>
  <c r="AA545" i="53"/>
  <c r="AB545" i="53" s="1"/>
  <c r="AA546" i="53"/>
  <c r="AB546" i="53" s="1"/>
  <c r="AA547" i="53"/>
  <c r="AB547" i="53" s="1"/>
  <c r="AA548" i="53"/>
  <c r="AB548" i="53" s="1"/>
  <c r="AA549" i="53"/>
  <c r="AB549" i="53" s="1"/>
  <c r="AA550" i="53"/>
  <c r="AB550" i="53" s="1"/>
  <c r="AA551" i="53"/>
  <c r="AB551" i="53" s="1"/>
  <c r="AA552" i="53"/>
  <c r="AB552" i="53" s="1"/>
  <c r="AA553" i="53"/>
  <c r="AB553" i="53" s="1"/>
  <c r="AA554" i="53"/>
  <c r="AB554" i="53" s="1"/>
  <c r="AA555" i="53"/>
  <c r="AB555" i="53" s="1"/>
  <c r="AA556" i="53"/>
  <c r="AB556" i="53" s="1"/>
  <c r="AA557" i="53"/>
  <c r="AB557" i="53" s="1"/>
  <c r="AA558" i="53"/>
  <c r="AB558" i="53" s="1"/>
  <c r="AA559" i="53"/>
  <c r="AB559" i="53" s="1"/>
  <c r="AA560" i="53"/>
  <c r="AB560" i="53" s="1"/>
  <c r="AA561" i="53"/>
  <c r="AB561" i="53" s="1"/>
  <c r="AA562" i="53"/>
  <c r="AB562" i="53" s="1"/>
  <c r="AA563" i="53"/>
  <c r="AB563" i="53" s="1"/>
  <c r="AA564" i="53"/>
  <c r="AB564" i="53" s="1"/>
  <c r="AA565" i="53"/>
  <c r="AB565" i="53" s="1"/>
  <c r="AA566" i="53"/>
  <c r="AB566" i="53" s="1"/>
  <c r="AA567" i="53"/>
  <c r="AB567" i="53" s="1"/>
  <c r="AA568" i="53"/>
  <c r="AB568" i="53" s="1"/>
  <c r="AA569" i="53"/>
  <c r="AB569" i="53" s="1"/>
  <c r="AA570" i="53"/>
  <c r="AB570" i="53" s="1"/>
  <c r="AA571" i="53"/>
  <c r="AB571" i="53" s="1"/>
  <c r="AA572" i="53"/>
  <c r="AB572" i="53" s="1"/>
  <c r="AA573" i="53"/>
  <c r="AB573" i="53" s="1"/>
  <c r="AA574" i="53"/>
  <c r="AB574" i="53" s="1"/>
  <c r="AA575" i="53"/>
  <c r="AB575" i="53" s="1"/>
  <c r="AA576" i="53"/>
  <c r="AB576" i="53" s="1"/>
  <c r="AA577" i="53"/>
  <c r="AB577" i="53" s="1"/>
  <c r="AA578" i="53"/>
  <c r="AB578" i="53" s="1"/>
  <c r="AA579" i="53"/>
  <c r="AB579" i="53" s="1"/>
  <c r="AA580" i="53"/>
  <c r="AB580" i="53" s="1"/>
  <c r="AA581" i="53"/>
  <c r="AB581" i="53" s="1"/>
  <c r="AA582" i="53"/>
  <c r="AB582" i="53" s="1"/>
  <c r="AA583" i="53"/>
  <c r="AB583" i="53" s="1"/>
  <c r="AA584" i="53"/>
  <c r="AB584" i="53" s="1"/>
  <c r="AA585" i="53"/>
  <c r="AB585" i="53" s="1"/>
  <c r="AA586" i="53"/>
  <c r="AB586" i="53" s="1"/>
  <c r="AA587" i="53"/>
  <c r="AB587" i="53" s="1"/>
  <c r="AA588" i="53"/>
  <c r="AB588" i="53" s="1"/>
  <c r="AA589" i="53"/>
  <c r="AB589" i="53" s="1"/>
  <c r="AA590" i="53"/>
  <c r="AB590" i="53" s="1"/>
  <c r="AA591" i="53"/>
  <c r="AB591" i="53" s="1"/>
  <c r="AA592" i="53"/>
  <c r="AB592" i="53" s="1"/>
  <c r="AA593" i="53"/>
  <c r="AB593" i="53" s="1"/>
  <c r="AA594" i="53"/>
  <c r="AB594" i="53" s="1"/>
  <c r="AA595" i="53"/>
  <c r="AB595" i="53" s="1"/>
  <c r="AA596" i="53"/>
  <c r="AB596" i="53" s="1"/>
  <c r="AA597" i="53"/>
  <c r="AB597" i="53" s="1"/>
  <c r="AA598" i="53"/>
  <c r="AB598" i="53" s="1"/>
  <c r="AA599" i="53"/>
  <c r="AB599" i="53" s="1"/>
  <c r="AA600" i="53"/>
  <c r="AB600" i="53" s="1"/>
  <c r="AA601" i="53"/>
  <c r="AB601" i="53" s="1"/>
  <c r="AA602" i="53"/>
  <c r="AB602" i="53" s="1"/>
  <c r="AA603" i="53"/>
  <c r="AB603" i="53" s="1"/>
  <c r="AA604" i="53"/>
  <c r="AB604" i="53" s="1"/>
  <c r="AA605" i="53"/>
  <c r="AB605" i="53" s="1"/>
  <c r="AA606" i="53"/>
  <c r="AB606" i="53" s="1"/>
  <c r="AA607" i="53"/>
  <c r="AB607" i="53" s="1"/>
  <c r="AA608" i="53"/>
  <c r="AB608" i="53" s="1"/>
  <c r="AA609" i="53"/>
  <c r="AB609" i="53" s="1"/>
  <c r="AA610" i="53"/>
  <c r="AB610" i="53" s="1"/>
  <c r="AA611" i="53"/>
  <c r="AB611" i="53" s="1"/>
  <c r="AA612" i="53"/>
  <c r="AB612" i="53" s="1"/>
  <c r="AA613" i="53"/>
  <c r="AB613" i="53" s="1"/>
  <c r="AA614" i="53"/>
  <c r="AB614" i="53" s="1"/>
  <c r="AA615" i="53"/>
  <c r="AB615" i="53" s="1"/>
  <c r="AA616" i="53"/>
  <c r="AB616" i="53" s="1"/>
  <c r="AA617" i="53"/>
  <c r="AB617" i="53" s="1"/>
  <c r="AA618" i="53"/>
  <c r="AB618" i="53" s="1"/>
  <c r="AA619" i="53"/>
  <c r="AB619" i="53" s="1"/>
  <c r="AA620" i="53"/>
  <c r="AB620" i="53" s="1"/>
  <c r="AA621" i="53"/>
  <c r="AB621" i="53" s="1"/>
  <c r="AA622" i="53"/>
  <c r="AB622" i="53" s="1"/>
  <c r="AA623" i="53"/>
  <c r="AB623" i="53" s="1"/>
  <c r="AA624" i="53"/>
  <c r="AB624" i="53" s="1"/>
  <c r="AA625" i="53"/>
  <c r="AB625" i="53" s="1"/>
  <c r="AA626" i="53"/>
  <c r="AB626" i="53" s="1"/>
  <c r="AA627" i="53"/>
  <c r="AB627" i="53" s="1"/>
  <c r="AA628" i="53"/>
  <c r="AB628" i="53" s="1"/>
  <c r="AA629" i="53"/>
  <c r="AB629" i="53" s="1"/>
  <c r="AA630" i="53"/>
  <c r="AB630" i="53" s="1"/>
  <c r="AA631" i="53"/>
  <c r="AB631" i="53" s="1"/>
  <c r="AA632" i="53"/>
  <c r="AB632" i="53" s="1"/>
  <c r="AA633" i="53"/>
  <c r="AB633" i="53" s="1"/>
  <c r="AA634" i="53"/>
  <c r="AB634" i="53" s="1"/>
  <c r="AA635" i="53"/>
  <c r="AB635" i="53" s="1"/>
  <c r="AA636" i="53"/>
  <c r="AB636" i="53" s="1"/>
  <c r="AA637" i="53"/>
  <c r="AB637" i="53" s="1"/>
  <c r="AA638" i="53"/>
  <c r="AB638" i="53" s="1"/>
  <c r="AA639" i="53"/>
  <c r="AB639" i="53" s="1"/>
  <c r="AA640" i="53"/>
  <c r="AB640" i="53" s="1"/>
  <c r="AA641" i="53"/>
  <c r="AB641" i="53" s="1"/>
  <c r="AA642" i="53"/>
  <c r="AB642" i="53" s="1"/>
  <c r="AA643" i="53"/>
  <c r="AB643" i="53" s="1"/>
  <c r="AA644" i="53"/>
  <c r="AB644" i="53" s="1"/>
  <c r="AA645" i="53"/>
  <c r="AB645" i="53" s="1"/>
  <c r="AA646" i="53"/>
  <c r="AB646" i="53" s="1"/>
  <c r="AA647" i="53"/>
  <c r="AB647" i="53" s="1"/>
  <c r="AA648" i="53"/>
  <c r="AB648" i="53" s="1"/>
  <c r="AA649" i="53"/>
  <c r="AB649" i="53" s="1"/>
  <c r="AA650" i="53"/>
  <c r="AB650" i="53" s="1"/>
  <c r="AA651" i="53"/>
  <c r="AB651" i="53" s="1"/>
  <c r="AA652" i="53"/>
  <c r="AB652" i="53" s="1"/>
  <c r="AA653" i="53"/>
  <c r="AB653" i="53" s="1"/>
  <c r="AA654" i="53"/>
  <c r="AB654" i="53" s="1"/>
  <c r="AA655" i="53"/>
  <c r="AB655" i="53" s="1"/>
  <c r="AA656" i="53"/>
  <c r="AB656" i="53" s="1"/>
  <c r="AA657" i="53"/>
  <c r="AB657" i="53" s="1"/>
  <c r="AA658" i="53"/>
  <c r="AB658" i="53" s="1"/>
  <c r="AA659" i="53"/>
  <c r="AB659" i="53" s="1"/>
  <c r="AA660" i="53"/>
  <c r="AB660" i="53" s="1"/>
  <c r="AA661" i="53"/>
  <c r="AB661" i="53" s="1"/>
  <c r="AA662" i="53"/>
  <c r="AB662" i="53" s="1"/>
  <c r="AA663" i="53"/>
  <c r="AB663" i="53" s="1"/>
  <c r="AA664" i="53"/>
  <c r="AB664" i="53" s="1"/>
  <c r="AA665" i="53"/>
  <c r="AB665" i="53" s="1"/>
  <c r="AA666" i="53"/>
  <c r="AB666" i="53" s="1"/>
  <c r="AA667" i="53"/>
  <c r="AB667" i="53" s="1"/>
  <c r="AA668" i="53"/>
  <c r="AB668" i="53" s="1"/>
  <c r="AA669" i="53"/>
  <c r="AB669" i="53" s="1"/>
  <c r="AA670" i="53"/>
  <c r="AB670" i="53" s="1"/>
  <c r="AA671" i="53"/>
  <c r="AB671" i="53" s="1"/>
  <c r="AA672" i="53"/>
  <c r="AB672" i="53" s="1"/>
  <c r="AA673" i="53"/>
  <c r="AB673" i="53" s="1"/>
  <c r="AA674" i="53"/>
  <c r="AB674" i="53" s="1"/>
  <c r="AA675" i="53"/>
  <c r="AB675" i="53" s="1"/>
  <c r="AA676" i="53"/>
  <c r="AB676" i="53" s="1"/>
  <c r="AA677" i="53"/>
  <c r="AB677" i="53" s="1"/>
  <c r="AA678" i="53"/>
  <c r="AB678" i="53" s="1"/>
  <c r="AA679" i="53"/>
  <c r="AB679" i="53" s="1"/>
  <c r="AA680" i="53"/>
  <c r="AB680" i="53" s="1"/>
  <c r="AA681" i="53"/>
  <c r="AB681" i="53" s="1"/>
  <c r="AA682" i="53"/>
  <c r="AB682" i="53" s="1"/>
  <c r="AA683" i="53"/>
  <c r="AB683" i="53" s="1"/>
  <c r="AA684" i="53"/>
  <c r="AB684" i="53" s="1"/>
  <c r="AA685" i="53"/>
  <c r="AB685" i="53" s="1"/>
  <c r="AA686" i="53"/>
  <c r="AB686" i="53" s="1"/>
  <c r="AA687" i="53"/>
  <c r="AB687" i="53" s="1"/>
  <c r="AA688" i="53"/>
  <c r="AB688" i="53" s="1"/>
  <c r="AA689" i="53"/>
  <c r="AB689" i="53" s="1"/>
  <c r="AA690" i="53"/>
  <c r="AB690" i="53" s="1"/>
  <c r="AA691" i="53"/>
  <c r="AB691" i="53" s="1"/>
  <c r="AA692" i="53"/>
  <c r="AB692" i="53" s="1"/>
  <c r="AA693" i="53"/>
  <c r="AB693" i="53" s="1"/>
  <c r="AA694" i="53"/>
  <c r="AB694" i="53" s="1"/>
  <c r="AA695" i="53"/>
  <c r="AB695" i="53" s="1"/>
  <c r="AA696" i="53"/>
  <c r="AB696" i="53" s="1"/>
  <c r="AA697" i="53"/>
  <c r="AB697" i="53" s="1"/>
  <c r="AA698" i="53"/>
  <c r="AB698" i="53" s="1"/>
  <c r="AA699" i="53"/>
  <c r="AB699" i="53" s="1"/>
  <c r="AA700" i="53"/>
  <c r="AB700" i="53" s="1"/>
  <c r="AA701" i="53"/>
  <c r="AB701" i="53" s="1"/>
  <c r="AA702" i="53"/>
  <c r="AB702" i="53" s="1"/>
  <c r="AA703" i="53"/>
  <c r="AB703" i="53" s="1"/>
  <c r="AA704" i="53"/>
  <c r="AB704" i="53" s="1"/>
  <c r="AA705" i="53"/>
  <c r="AB705" i="53" s="1"/>
  <c r="AA706" i="53"/>
  <c r="AB706" i="53" s="1"/>
  <c r="AA707" i="53"/>
  <c r="AB707" i="53" s="1"/>
  <c r="AA708" i="53"/>
  <c r="AB708" i="53" s="1"/>
  <c r="AA709" i="53"/>
  <c r="AB709" i="53" s="1"/>
  <c r="AA710" i="53"/>
  <c r="AB710" i="53" s="1"/>
  <c r="AA711" i="53"/>
  <c r="AB711" i="53" s="1"/>
  <c r="AA712" i="53"/>
  <c r="AB712" i="53" s="1"/>
  <c r="AA713" i="53"/>
  <c r="AB713" i="53" s="1"/>
  <c r="AA714" i="53"/>
  <c r="AB714" i="53" s="1"/>
  <c r="AA715" i="53"/>
  <c r="AB715" i="53" s="1"/>
  <c r="AA716" i="53"/>
  <c r="AB716" i="53" s="1"/>
  <c r="AA717" i="53"/>
  <c r="AB717" i="53" s="1"/>
  <c r="AA718" i="53"/>
  <c r="AB718" i="53" s="1"/>
  <c r="AA719" i="53"/>
  <c r="AB719" i="53" s="1"/>
  <c r="AA720" i="53"/>
  <c r="AB720" i="53" s="1"/>
  <c r="AA721" i="53"/>
  <c r="AB721" i="53" s="1"/>
  <c r="AA722" i="53"/>
  <c r="AB722" i="53" s="1"/>
  <c r="AA723" i="53"/>
  <c r="AB723" i="53" s="1"/>
  <c r="AA724" i="53"/>
  <c r="AB724" i="53" s="1"/>
  <c r="AA725" i="53"/>
  <c r="AB725" i="53" s="1"/>
  <c r="AA726" i="53"/>
  <c r="AB726" i="53" s="1"/>
  <c r="AA727" i="53"/>
  <c r="AB727" i="53" s="1"/>
  <c r="AA728" i="53"/>
  <c r="AB728" i="53" s="1"/>
  <c r="AA729" i="53"/>
  <c r="AB729" i="53" s="1"/>
  <c r="AA730" i="53"/>
  <c r="AB730" i="53" s="1"/>
  <c r="AA731" i="53"/>
  <c r="AB731" i="53" s="1"/>
  <c r="AA732" i="53"/>
  <c r="AB732" i="53" s="1"/>
  <c r="AA733" i="53"/>
  <c r="AB733" i="53" s="1"/>
  <c r="AA734" i="53"/>
  <c r="AB734" i="53" s="1"/>
  <c r="AA735" i="53"/>
  <c r="AB735" i="53" s="1"/>
  <c r="AA736" i="53"/>
  <c r="AB736" i="53" s="1"/>
  <c r="AA737" i="53"/>
  <c r="AB737" i="53" s="1"/>
  <c r="AA738" i="53"/>
  <c r="AB738" i="53" s="1"/>
  <c r="AA739" i="53"/>
  <c r="AB739" i="53" s="1"/>
  <c r="AA740" i="53"/>
  <c r="AB740" i="53" s="1"/>
  <c r="AA741" i="53"/>
  <c r="AB741" i="53" s="1"/>
  <c r="AA742" i="53"/>
  <c r="AB742" i="53" s="1"/>
  <c r="AA743" i="53"/>
  <c r="AB743" i="53" s="1"/>
  <c r="AA744" i="53"/>
  <c r="AB744" i="53" s="1"/>
  <c r="AA745" i="53"/>
  <c r="AB745" i="53" s="1"/>
  <c r="AA746" i="53"/>
  <c r="AB746" i="53" s="1"/>
  <c r="AA747" i="53"/>
  <c r="AB747" i="53" s="1"/>
  <c r="AA748" i="53"/>
  <c r="AB748" i="53" s="1"/>
  <c r="AA749" i="53"/>
  <c r="AB749" i="53" s="1"/>
  <c r="AA750" i="53"/>
  <c r="AB750" i="53" s="1"/>
  <c r="AA751" i="53"/>
  <c r="AB751" i="53" s="1"/>
  <c r="AA752" i="53"/>
  <c r="AB752" i="53" s="1"/>
  <c r="AA753" i="53"/>
  <c r="AB753" i="53" s="1"/>
  <c r="AA754" i="53"/>
  <c r="AB754" i="53" s="1"/>
  <c r="AA755" i="53"/>
  <c r="AB755" i="53" s="1"/>
  <c r="AA756" i="53"/>
  <c r="AB756" i="53" s="1"/>
  <c r="AA757" i="53"/>
  <c r="AB757" i="53" s="1"/>
  <c r="AA758" i="53"/>
  <c r="AB758" i="53" s="1"/>
  <c r="AA759" i="53"/>
  <c r="AB759" i="53" s="1"/>
  <c r="AA760" i="53"/>
  <c r="AB760" i="53" s="1"/>
  <c r="AA761" i="53"/>
  <c r="AB761" i="53" s="1"/>
  <c r="AA762" i="53"/>
  <c r="AB762" i="53" s="1"/>
  <c r="AA763" i="53"/>
  <c r="AB763" i="53" s="1"/>
  <c r="AA764" i="53"/>
  <c r="AB764" i="53" s="1"/>
  <c r="AA765" i="53"/>
  <c r="AB765" i="53" s="1"/>
  <c r="AA766" i="53"/>
  <c r="AB766" i="53" s="1"/>
  <c r="AA767" i="53"/>
  <c r="AB767" i="53" s="1"/>
  <c r="AA768" i="53"/>
  <c r="AB768" i="53" s="1"/>
  <c r="AA769" i="53"/>
  <c r="AB769" i="53" s="1"/>
  <c r="AA770" i="53"/>
  <c r="AB770" i="53" s="1"/>
  <c r="AA771" i="53"/>
  <c r="AB771" i="53" s="1"/>
  <c r="AA772" i="53"/>
  <c r="AB772" i="53" s="1"/>
  <c r="AA773" i="53"/>
  <c r="AB773" i="53" s="1"/>
  <c r="AA774" i="53"/>
  <c r="AB774" i="53" s="1"/>
  <c r="AA775" i="53"/>
  <c r="AB775" i="53" s="1"/>
  <c r="AA776" i="53"/>
  <c r="AB776" i="53" s="1"/>
  <c r="AA777" i="53"/>
  <c r="AB777" i="53" s="1"/>
  <c r="AA778" i="53"/>
  <c r="AB778" i="53" s="1"/>
  <c r="AA779" i="53"/>
  <c r="AB779" i="53" s="1"/>
  <c r="AA780" i="53"/>
  <c r="AB780" i="53" s="1"/>
  <c r="AA4" i="53"/>
  <c r="AB4" i="53" s="1"/>
  <c r="I1874" i="7"/>
  <c r="B1867" i="7"/>
  <c r="B1868" i="7"/>
  <c r="B1869" i="7"/>
  <c r="B1870" i="7"/>
  <c r="B1871" i="7"/>
  <c r="B1872" i="7"/>
  <c r="B1873" i="7"/>
  <c r="E1869" i="7"/>
  <c r="E1870" i="7"/>
  <c r="E1871" i="7"/>
  <c r="E1872" i="7"/>
  <c r="E1873" i="7"/>
  <c r="E1874" i="7"/>
  <c r="E1875" i="7"/>
  <c r="F1869" i="7"/>
  <c r="F1870" i="7"/>
  <c r="F1871" i="7"/>
  <c r="F1872" i="7"/>
  <c r="F1873" i="7"/>
  <c r="F1874" i="7"/>
  <c r="F1875" i="7"/>
  <c r="K1869" i="7"/>
  <c r="L1869" i="7" s="1"/>
  <c r="K1870" i="7"/>
  <c r="L1870" i="7" s="1"/>
  <c r="K1871" i="7"/>
  <c r="L1871" i="7" s="1"/>
  <c r="K1872" i="7"/>
  <c r="L1872" i="7" s="1"/>
  <c r="K1873" i="7"/>
  <c r="L1873" i="7" s="1"/>
  <c r="K1874" i="7"/>
  <c r="L1874" i="7" s="1"/>
  <c r="K1875" i="7"/>
  <c r="L1875" i="7" s="1"/>
  <c r="O1869" i="7"/>
  <c r="O1870" i="7"/>
  <c r="O1871" i="7"/>
  <c r="O1872" i="7"/>
  <c r="O1873" i="7"/>
  <c r="O1874" i="7"/>
  <c r="O1875" i="7"/>
  <c r="B1864" i="7" l="1"/>
  <c r="B1865" i="7"/>
  <c r="B1866" i="7"/>
  <c r="E1866" i="7"/>
  <c r="E1867" i="7"/>
  <c r="E1868" i="7"/>
  <c r="F1866" i="7"/>
  <c r="F1867" i="7"/>
  <c r="F1868" i="7"/>
  <c r="K1866" i="7"/>
  <c r="L1866" i="7" s="1"/>
  <c r="K1867" i="7"/>
  <c r="L1867" i="7" s="1"/>
  <c r="K1868" i="7"/>
  <c r="L1868" i="7" s="1"/>
  <c r="O1866" i="7"/>
  <c r="O1867" i="7"/>
  <c r="O1868" i="7"/>
  <c r="AX2" i="23"/>
  <c r="AY2" i="23"/>
  <c r="AZ2" i="23"/>
  <c r="BA2" i="23"/>
  <c r="BB2" i="23"/>
  <c r="BC2" i="23"/>
  <c r="BD2" i="23"/>
  <c r="BE2" i="23"/>
  <c r="BF2" i="23"/>
  <c r="BG2" i="23"/>
  <c r="B1861" i="7" l="1"/>
  <c r="B1862" i="7"/>
  <c r="B1863" i="7"/>
  <c r="E1863" i="7"/>
  <c r="E1864" i="7"/>
  <c r="E1865" i="7"/>
  <c r="F1863" i="7"/>
  <c r="F1864" i="7"/>
  <c r="F1865" i="7"/>
  <c r="K1863" i="7"/>
  <c r="L1863" i="7" s="1"/>
  <c r="K1864" i="7"/>
  <c r="L1864" i="7" s="1"/>
  <c r="K1865" i="7"/>
  <c r="L1865" i="7" s="1"/>
  <c r="O1863" i="7"/>
  <c r="O1864" i="7"/>
  <c r="O1865" i="7"/>
  <c r="B1859" i="7"/>
  <c r="B1860" i="7"/>
  <c r="E1861" i="7"/>
  <c r="E1862" i="7"/>
  <c r="F1861" i="7"/>
  <c r="F1862" i="7"/>
  <c r="K1861" i="7"/>
  <c r="L1861" i="7" s="1"/>
  <c r="K1862" i="7"/>
  <c r="L1862" i="7" s="1"/>
  <c r="O1861" i="7"/>
  <c r="O1862" i="7"/>
  <c r="B1857" i="7"/>
  <c r="B1858" i="7"/>
  <c r="E1859" i="7"/>
  <c r="E1860" i="7"/>
  <c r="F1859" i="7"/>
  <c r="F1860" i="7"/>
  <c r="K1859" i="7"/>
  <c r="L1859" i="7" s="1"/>
  <c r="K1860" i="7"/>
  <c r="L1860" i="7" s="1"/>
  <c r="O1859" i="7"/>
  <c r="O1860" i="7"/>
  <c r="E1857" i="7"/>
  <c r="E1856" i="7"/>
  <c r="B1854" i="7"/>
  <c r="B1855" i="7"/>
  <c r="B1856" i="7"/>
  <c r="E1858" i="7"/>
  <c r="F1856" i="7"/>
  <c r="F1857" i="7"/>
  <c r="F1858" i="7"/>
  <c r="K1856" i="7"/>
  <c r="L1856" i="7" s="1"/>
  <c r="K1857" i="7"/>
  <c r="L1857" i="7" s="1"/>
  <c r="K1858" i="7"/>
  <c r="L1858" i="7" s="1"/>
  <c r="O1856" i="7"/>
  <c r="O1857" i="7"/>
  <c r="O1858" i="7"/>
  <c r="B1851" i="7"/>
  <c r="B1852" i="7"/>
  <c r="B1853" i="7"/>
  <c r="E1853" i="7"/>
  <c r="E1854" i="7"/>
  <c r="E1855" i="7"/>
  <c r="F1853" i="7"/>
  <c r="F1854" i="7"/>
  <c r="F1855" i="7"/>
  <c r="K1853" i="7"/>
  <c r="L1853" i="7" s="1"/>
  <c r="K1854" i="7"/>
  <c r="L1854" i="7" s="1"/>
  <c r="K1855" i="7"/>
  <c r="L1855" i="7" s="1"/>
  <c r="O1853" i="7"/>
  <c r="O1854" i="7"/>
  <c r="O1855" i="7"/>
  <c r="B1850" i="7" l="1"/>
  <c r="E1852" i="7"/>
  <c r="F1852" i="7"/>
  <c r="K1852" i="7"/>
  <c r="L1852" i="7" s="1"/>
  <c r="O1852" i="7"/>
  <c r="I1851" i="7"/>
  <c r="B1849" i="7"/>
  <c r="E1851" i="7"/>
  <c r="F1851" i="7"/>
  <c r="K1851" i="7"/>
  <c r="L1851" i="7" s="1"/>
  <c r="O1851" i="7"/>
  <c r="B1845" i="7"/>
  <c r="B1846" i="7"/>
  <c r="B1847" i="7"/>
  <c r="B1848" i="7"/>
  <c r="E1847" i="7"/>
  <c r="E1848" i="7"/>
  <c r="E1849" i="7"/>
  <c r="E1850" i="7"/>
  <c r="F1847" i="7"/>
  <c r="F1848" i="7"/>
  <c r="F1849" i="7"/>
  <c r="F1850" i="7"/>
  <c r="K1847" i="7"/>
  <c r="L1847" i="7" s="1"/>
  <c r="K1848" i="7"/>
  <c r="L1848" i="7" s="1"/>
  <c r="K1849" i="7"/>
  <c r="L1849" i="7" s="1"/>
  <c r="K1850" i="7"/>
  <c r="L1850" i="7" s="1"/>
  <c r="O1847" i="7"/>
  <c r="O1848" i="7"/>
  <c r="O1849" i="7"/>
  <c r="O1850" i="7"/>
  <c r="I1846" i="7"/>
  <c r="B1844" i="7"/>
  <c r="E1845" i="7"/>
  <c r="E1846" i="7"/>
  <c r="F1845" i="7"/>
  <c r="F1846" i="7"/>
  <c r="K1845" i="7"/>
  <c r="L1845" i="7" s="1"/>
  <c r="K1846" i="7"/>
  <c r="L1846" i="7" s="1"/>
  <c r="O1845" i="7"/>
  <c r="O1846" i="7"/>
  <c r="B1841" i="7"/>
  <c r="B1842" i="7"/>
  <c r="B1843" i="7"/>
  <c r="E1843" i="7"/>
  <c r="E1844" i="7"/>
  <c r="F1843" i="7"/>
  <c r="F1844" i="7"/>
  <c r="K1843" i="7"/>
  <c r="L1843" i="7" s="1"/>
  <c r="K1844" i="7"/>
  <c r="L1844" i="7" s="1"/>
  <c r="O1843" i="7"/>
  <c r="O1844" i="7"/>
  <c r="B1838" i="7"/>
  <c r="B1839" i="7"/>
  <c r="B1840" i="7"/>
  <c r="E1840" i="7"/>
  <c r="E1841" i="7"/>
  <c r="E1842" i="7"/>
  <c r="F1840" i="7"/>
  <c r="F1841" i="7"/>
  <c r="F1842" i="7"/>
  <c r="K1840" i="7"/>
  <c r="L1840" i="7" s="1"/>
  <c r="K1841" i="7"/>
  <c r="L1841" i="7" s="1"/>
  <c r="K1842" i="7"/>
  <c r="L1842" i="7" s="1"/>
  <c r="O1840" i="7"/>
  <c r="O1841" i="7"/>
  <c r="O1842" i="7"/>
  <c r="B1835" i="7"/>
  <c r="B1836" i="7"/>
  <c r="B1837" i="7"/>
  <c r="E1837" i="7"/>
  <c r="E1838" i="7"/>
  <c r="E1839" i="7"/>
  <c r="F1837" i="7"/>
  <c r="F1838" i="7"/>
  <c r="F1839" i="7"/>
  <c r="K1837" i="7"/>
  <c r="L1837" i="7" s="1"/>
  <c r="K1838" i="7"/>
  <c r="L1838" i="7" s="1"/>
  <c r="K1839" i="7"/>
  <c r="L1839" i="7" s="1"/>
  <c r="O1837" i="7"/>
  <c r="O1838" i="7"/>
  <c r="O1839" i="7"/>
  <c r="BB2" i="48" l="1" a="1"/>
  <c r="B1832" i="7"/>
  <c r="B1833" i="7"/>
  <c r="B1834" i="7"/>
  <c r="E1834" i="7"/>
  <c r="E1835" i="7"/>
  <c r="E1836" i="7"/>
  <c r="F1834" i="7"/>
  <c r="F1835" i="7"/>
  <c r="F1836" i="7"/>
  <c r="K1834" i="7"/>
  <c r="L1834" i="7" s="1"/>
  <c r="K1835" i="7"/>
  <c r="L1835" i="7" s="1"/>
  <c r="K1836" i="7"/>
  <c r="L1836" i="7" s="1"/>
  <c r="O1834" i="7"/>
  <c r="O1835" i="7"/>
  <c r="O1836" i="7"/>
  <c r="B1830" i="7"/>
  <c r="B1831" i="7"/>
  <c r="E1832" i="7"/>
  <c r="E1833" i="7"/>
  <c r="F1832" i="7"/>
  <c r="F1833" i="7"/>
  <c r="K1832" i="7"/>
  <c r="L1832" i="7" s="1"/>
  <c r="K1833" i="7"/>
  <c r="L1833" i="7" s="1"/>
  <c r="O1832" i="7"/>
  <c r="O1833" i="7"/>
  <c r="E1831" i="7"/>
  <c r="F1831" i="7"/>
  <c r="K1831" i="7"/>
  <c r="L1831" i="7" s="1"/>
  <c r="O1831" i="7"/>
  <c r="B1827" i="7"/>
  <c r="B1828" i="7"/>
  <c r="B1829" i="7"/>
  <c r="E1829" i="7"/>
  <c r="E1830" i="7"/>
  <c r="F1829" i="7"/>
  <c r="F1830" i="7"/>
  <c r="K1829" i="7"/>
  <c r="L1829" i="7" s="1"/>
  <c r="K1830" i="7"/>
  <c r="L1830" i="7" s="1"/>
  <c r="O1829" i="7"/>
  <c r="O1830" i="7"/>
  <c r="B1825" i="7"/>
  <c r="B1826" i="7"/>
  <c r="E1827" i="7"/>
  <c r="E1828" i="7"/>
  <c r="F1827" i="7"/>
  <c r="F1828" i="7"/>
  <c r="K1827" i="7"/>
  <c r="L1827" i="7" s="1"/>
  <c r="K1828" i="7"/>
  <c r="L1828" i="7" s="1"/>
  <c r="O1827" i="7"/>
  <c r="O1828" i="7"/>
  <c r="BB2" i="48" l="1"/>
  <c r="B1821" i="7"/>
  <c r="B1822" i="7"/>
  <c r="B1823" i="7"/>
  <c r="B1824" i="7"/>
  <c r="E1823" i="7"/>
  <c r="E1824" i="7"/>
  <c r="E1825" i="7"/>
  <c r="E1826" i="7"/>
  <c r="F1823" i="7"/>
  <c r="F1824" i="7"/>
  <c r="F1825" i="7"/>
  <c r="F1826" i="7"/>
  <c r="K1823" i="7"/>
  <c r="L1823" i="7" s="1"/>
  <c r="K1824" i="7"/>
  <c r="L1824" i="7" s="1"/>
  <c r="K1825" i="7"/>
  <c r="L1825" i="7" s="1"/>
  <c r="K1826" i="7"/>
  <c r="L1826" i="7" s="1"/>
  <c r="O1823" i="7"/>
  <c r="O1824" i="7"/>
  <c r="O1825" i="7"/>
  <c r="O1826" i="7"/>
  <c r="B1818" i="7"/>
  <c r="B1819" i="7"/>
  <c r="B1820" i="7"/>
  <c r="E1820" i="7"/>
  <c r="E1821" i="7"/>
  <c r="E1822" i="7"/>
  <c r="F1820" i="7"/>
  <c r="F1821" i="7"/>
  <c r="F1822" i="7"/>
  <c r="K1820" i="7"/>
  <c r="L1820" i="7" s="1"/>
  <c r="K1821" i="7"/>
  <c r="L1821" i="7" s="1"/>
  <c r="K1822" i="7"/>
  <c r="L1822" i="7" s="1"/>
  <c r="O1820" i="7"/>
  <c r="O1821" i="7"/>
  <c r="O1822" i="7"/>
  <c r="B1815" i="7" l="1"/>
  <c r="B1816" i="7"/>
  <c r="B1817" i="7"/>
  <c r="E1817" i="7"/>
  <c r="E1818" i="7"/>
  <c r="E1819" i="7"/>
  <c r="F1817" i="7"/>
  <c r="F1818" i="7"/>
  <c r="F1819" i="7"/>
  <c r="K1817" i="7"/>
  <c r="L1817" i="7" s="1"/>
  <c r="K1818" i="7"/>
  <c r="L1818" i="7" s="1"/>
  <c r="K1819" i="7"/>
  <c r="L1819" i="7" s="1"/>
  <c r="O1817" i="7"/>
  <c r="O1818" i="7"/>
  <c r="O1819" i="7"/>
  <c r="B1813" i="7" l="1"/>
  <c r="B1814" i="7"/>
  <c r="E1815" i="7"/>
  <c r="E1816" i="7"/>
  <c r="F1815" i="7"/>
  <c r="F1816" i="7"/>
  <c r="K1815" i="7"/>
  <c r="L1815" i="7" s="1"/>
  <c r="K1816" i="7"/>
  <c r="L1816" i="7" s="1"/>
  <c r="O1815" i="7"/>
  <c r="O1816" i="7"/>
  <c r="G15" i="22"/>
  <c r="B1811" i="7"/>
  <c r="B1812" i="7"/>
  <c r="E1813" i="7"/>
  <c r="E1814" i="7"/>
  <c r="F1813" i="7"/>
  <c r="F1814" i="7"/>
  <c r="K1813" i="7"/>
  <c r="L1813" i="7" s="1"/>
  <c r="K1814" i="7"/>
  <c r="L1814" i="7" s="1"/>
  <c r="O1813" i="7"/>
  <c r="O1814" i="7"/>
  <c r="B1809" i="7" l="1"/>
  <c r="B1810" i="7"/>
  <c r="E1811" i="7"/>
  <c r="E1812" i="7"/>
  <c r="F1811" i="7"/>
  <c r="F1812" i="7"/>
  <c r="K1811" i="7"/>
  <c r="L1811" i="7" s="1"/>
  <c r="K1812" i="7"/>
  <c r="L1812" i="7" s="1"/>
  <c r="O1811" i="7"/>
  <c r="O1812" i="7"/>
  <c r="B1806" i="7"/>
  <c r="B1807" i="7"/>
  <c r="B1808" i="7"/>
  <c r="E1808" i="7"/>
  <c r="E1809" i="7"/>
  <c r="E1810" i="7"/>
  <c r="F1808" i="7"/>
  <c r="F1809" i="7"/>
  <c r="F1810" i="7"/>
  <c r="K1808" i="7"/>
  <c r="L1808" i="7" s="1"/>
  <c r="K1809" i="7"/>
  <c r="L1809" i="7" s="1"/>
  <c r="K1810" i="7"/>
  <c r="L1810" i="7" s="1"/>
  <c r="O1808" i="7"/>
  <c r="O1809" i="7"/>
  <c r="O1810" i="7"/>
  <c r="B1804" i="7" l="1"/>
  <c r="B1805" i="7"/>
  <c r="E1806" i="7"/>
  <c r="E1807" i="7"/>
  <c r="F1806" i="7"/>
  <c r="F1807" i="7"/>
  <c r="K1806" i="7"/>
  <c r="L1806" i="7" s="1"/>
  <c r="K1807" i="7"/>
  <c r="L1807" i="7" s="1"/>
  <c r="O1806" i="7"/>
  <c r="O1807" i="7"/>
  <c r="B1800" i="7" l="1"/>
  <c r="B1801" i="7"/>
  <c r="B1802" i="7"/>
  <c r="B1803" i="7"/>
  <c r="E1802" i="7"/>
  <c r="E1803" i="7"/>
  <c r="E1804" i="7"/>
  <c r="E1805" i="7"/>
  <c r="F1802" i="7"/>
  <c r="F1803" i="7"/>
  <c r="F1804" i="7"/>
  <c r="F1805" i="7"/>
  <c r="K1802" i="7"/>
  <c r="L1802" i="7" s="1"/>
  <c r="K1803" i="7"/>
  <c r="L1803" i="7" s="1"/>
  <c r="K1804" i="7"/>
  <c r="L1804" i="7" s="1"/>
  <c r="K1805" i="7"/>
  <c r="L1805" i="7" s="1"/>
  <c r="O1802" i="7"/>
  <c r="O1803" i="7"/>
  <c r="O1804" i="7"/>
  <c r="O1805" i="7"/>
  <c r="B1797" i="7" l="1"/>
  <c r="B1798" i="7"/>
  <c r="B1799" i="7"/>
  <c r="E1799" i="7"/>
  <c r="E1800" i="7"/>
  <c r="E1801" i="7"/>
  <c r="F1799" i="7"/>
  <c r="F1800" i="7"/>
  <c r="F1801" i="7"/>
  <c r="K1799" i="7"/>
  <c r="L1799" i="7" s="1"/>
  <c r="K1800" i="7"/>
  <c r="L1800" i="7" s="1"/>
  <c r="K1801" i="7"/>
  <c r="L1801" i="7" s="1"/>
  <c r="O1799" i="7"/>
  <c r="O1800" i="7"/>
  <c r="O1801" i="7"/>
  <c r="I1796" i="7"/>
  <c r="J1796" i="7"/>
  <c r="K1796" i="7" s="1"/>
  <c r="L1796" i="7" s="1"/>
  <c r="B1794" i="7"/>
  <c r="B1795" i="7"/>
  <c r="B1796" i="7"/>
  <c r="E1796" i="7"/>
  <c r="E1797" i="7"/>
  <c r="E1798" i="7"/>
  <c r="F1796" i="7"/>
  <c r="F1797" i="7"/>
  <c r="F1798" i="7"/>
  <c r="K1797" i="7"/>
  <c r="L1797" i="7" s="1"/>
  <c r="K1798" i="7"/>
  <c r="L1798" i="7" s="1"/>
  <c r="O1796" i="7"/>
  <c r="O1797" i="7"/>
  <c r="O1798" i="7"/>
  <c r="J1793" i="7"/>
  <c r="K1793" i="7" s="1"/>
  <c r="L1793" i="7" s="1"/>
  <c r="I1793" i="7"/>
  <c r="B1791" i="7"/>
  <c r="B1792" i="7"/>
  <c r="B1793" i="7"/>
  <c r="E1793" i="7"/>
  <c r="E1794" i="7"/>
  <c r="E1795" i="7"/>
  <c r="F1793" i="7"/>
  <c r="F1794" i="7"/>
  <c r="F1795" i="7"/>
  <c r="K1794" i="7"/>
  <c r="L1794" i="7" s="1"/>
  <c r="K1795" i="7"/>
  <c r="L1795" i="7" s="1"/>
  <c r="O1793" i="7"/>
  <c r="O1794" i="7"/>
  <c r="O1795" i="7"/>
  <c r="E1792" i="7" l="1"/>
  <c r="F1792" i="7"/>
  <c r="K1792" i="7"/>
  <c r="L1792" i="7" s="1"/>
  <c r="O1792" i="7"/>
  <c r="B1787" i="7"/>
  <c r="B1788" i="7"/>
  <c r="B1789" i="7"/>
  <c r="B1790" i="7"/>
  <c r="E1789" i="7"/>
  <c r="E1790" i="7"/>
  <c r="E1791" i="7"/>
  <c r="F1789" i="7"/>
  <c r="F1790" i="7"/>
  <c r="F1791" i="7"/>
  <c r="K1789" i="7"/>
  <c r="L1789" i="7" s="1"/>
  <c r="K1790" i="7"/>
  <c r="L1790" i="7" s="1"/>
  <c r="K1791" i="7"/>
  <c r="L1791" i="7" s="1"/>
  <c r="O1789" i="7"/>
  <c r="O1790" i="7"/>
  <c r="O1791" i="7"/>
  <c r="B1784" i="7"/>
  <c r="B1785" i="7"/>
  <c r="B1786" i="7"/>
  <c r="E1787" i="7"/>
  <c r="E1788" i="7"/>
  <c r="F1787" i="7"/>
  <c r="F1788" i="7"/>
  <c r="K1787" i="7"/>
  <c r="L1787" i="7" s="1"/>
  <c r="K1788" i="7"/>
  <c r="L1788" i="7" s="1"/>
  <c r="O1787" i="7"/>
  <c r="O1788" i="7"/>
  <c r="B1783" i="7" l="1"/>
  <c r="E1785" i="7"/>
  <c r="E1786" i="7"/>
  <c r="F1785" i="7"/>
  <c r="F1786" i="7"/>
  <c r="K1785" i="7"/>
  <c r="L1785" i="7" s="1"/>
  <c r="K1786" i="7"/>
  <c r="L1786" i="7" s="1"/>
  <c r="O1785" i="7"/>
  <c r="O1786" i="7"/>
  <c r="B1782" i="7" l="1"/>
  <c r="E1784" i="7"/>
  <c r="F1784" i="7"/>
  <c r="K1784" i="7"/>
  <c r="L1784" i="7" s="1"/>
  <c r="O1784" i="7"/>
  <c r="B1780" i="7" l="1"/>
  <c r="B1781" i="7"/>
  <c r="E1782" i="7"/>
  <c r="E1783" i="7"/>
  <c r="F1782" i="7"/>
  <c r="F1783" i="7"/>
  <c r="K1782" i="7"/>
  <c r="L1782" i="7" s="1"/>
  <c r="K1783" i="7"/>
  <c r="L1783" i="7" s="1"/>
  <c r="O1782" i="7"/>
  <c r="O1783" i="7"/>
  <c r="B1778" i="7" l="1"/>
  <c r="B1779" i="7"/>
  <c r="E1780" i="7"/>
  <c r="E1781" i="7"/>
  <c r="F1780" i="7"/>
  <c r="F1781" i="7"/>
  <c r="K1780" i="7"/>
  <c r="L1780" i="7" s="1"/>
  <c r="K1781" i="7"/>
  <c r="L1781" i="7" s="1"/>
  <c r="O1780" i="7"/>
  <c r="O1781" i="7"/>
  <c r="B1776" i="7" l="1"/>
  <c r="B1777" i="7"/>
  <c r="E1778" i="7"/>
  <c r="E1779" i="7"/>
  <c r="F1778" i="7"/>
  <c r="F1779" i="7"/>
  <c r="K1778" i="7"/>
  <c r="L1778" i="7" s="1"/>
  <c r="K1779" i="7"/>
  <c r="L1779" i="7" s="1"/>
  <c r="O1778" i="7"/>
  <c r="O1779" i="7"/>
  <c r="B1774" i="7" l="1"/>
  <c r="B1775" i="7"/>
  <c r="E1776" i="7"/>
  <c r="E1777" i="7"/>
  <c r="F1776" i="7"/>
  <c r="F1777" i="7"/>
  <c r="K1776" i="7"/>
  <c r="L1776" i="7" s="1"/>
  <c r="K1777" i="7"/>
  <c r="L1777" i="7" s="1"/>
  <c r="O1776" i="7"/>
  <c r="O1777" i="7"/>
  <c r="E1773" i="7"/>
  <c r="E1774" i="7"/>
  <c r="E1775" i="7"/>
  <c r="F1773" i="7"/>
  <c r="F1774" i="7"/>
  <c r="F1775" i="7"/>
  <c r="K1773" i="7"/>
  <c r="L1773" i="7" s="1"/>
  <c r="K1774" i="7"/>
  <c r="L1774" i="7" s="1"/>
  <c r="K1775" i="7"/>
  <c r="L1775" i="7" s="1"/>
  <c r="O1773" i="7"/>
  <c r="O1774" i="7"/>
  <c r="O1775" i="7"/>
  <c r="B1773" i="7"/>
  <c r="B1769" i="7" l="1"/>
  <c r="B1770" i="7"/>
  <c r="B1771" i="7"/>
  <c r="B1772" i="7"/>
  <c r="E1771" i="7"/>
  <c r="E1772" i="7"/>
  <c r="F1771" i="7"/>
  <c r="F1772" i="7"/>
  <c r="K1771" i="7"/>
  <c r="L1771" i="7" s="1"/>
  <c r="K1772" i="7"/>
  <c r="L1772" i="7" s="1"/>
  <c r="O1771" i="7"/>
  <c r="O1772" i="7"/>
  <c r="I1770" i="7" l="1"/>
  <c r="B1768" i="7"/>
  <c r="E1769" i="7"/>
  <c r="E1770" i="7"/>
  <c r="F1769" i="7"/>
  <c r="F1770" i="7"/>
  <c r="K1769" i="7"/>
  <c r="L1769" i="7" s="1"/>
  <c r="K1770" i="7"/>
  <c r="L1770" i="7" s="1"/>
  <c r="O1769" i="7"/>
  <c r="O1770" i="7"/>
  <c r="B1766" i="7"/>
  <c r="B1765" i="7" l="1"/>
  <c r="B1767" i="7"/>
  <c r="E1767" i="7"/>
  <c r="E1768" i="7"/>
  <c r="F1767" i="7"/>
  <c r="F1768" i="7"/>
  <c r="K1767" i="7"/>
  <c r="L1767" i="7" s="1"/>
  <c r="K1768" i="7"/>
  <c r="L1768" i="7" s="1"/>
  <c r="O1767" i="7"/>
  <c r="O1768" i="7"/>
  <c r="I1766" i="7"/>
  <c r="B1764" i="7"/>
  <c r="E1766" i="7"/>
  <c r="F1766" i="7"/>
  <c r="K1766" i="7"/>
  <c r="L1766" i="7" s="1"/>
  <c r="O1766" i="7"/>
  <c r="B1762" i="7" l="1"/>
  <c r="B1763" i="7"/>
  <c r="E1764" i="7"/>
  <c r="E1765" i="7"/>
  <c r="F1764" i="7"/>
  <c r="F1765" i="7"/>
  <c r="K1764" i="7"/>
  <c r="L1764" i="7" s="1"/>
  <c r="K1765" i="7"/>
  <c r="L1765" i="7" s="1"/>
  <c r="O1764" i="7"/>
  <c r="O1765" i="7"/>
  <c r="B1760" i="7" l="1"/>
  <c r="B1761" i="7"/>
  <c r="E1762" i="7"/>
  <c r="E1763" i="7"/>
  <c r="F1762" i="7"/>
  <c r="F1763" i="7"/>
  <c r="K1762" i="7"/>
  <c r="L1762" i="7" s="1"/>
  <c r="K1763" i="7"/>
  <c r="L1763" i="7" s="1"/>
  <c r="O1762" i="7"/>
  <c r="O1763" i="7"/>
  <c r="B1758" i="7" l="1"/>
  <c r="B1759" i="7"/>
  <c r="E1760" i="7"/>
  <c r="E1761" i="7"/>
  <c r="F1760" i="7"/>
  <c r="F1761" i="7"/>
  <c r="K1760" i="7"/>
  <c r="L1760" i="7" s="1"/>
  <c r="K1761" i="7"/>
  <c r="L1761" i="7" s="1"/>
  <c r="O1760" i="7"/>
  <c r="O1761" i="7"/>
  <c r="B1756" i="7" l="1"/>
  <c r="B1757" i="7"/>
  <c r="E1758" i="7"/>
  <c r="E1759" i="7"/>
  <c r="F1758" i="7"/>
  <c r="F1759" i="7"/>
  <c r="K1758" i="7"/>
  <c r="L1758" i="7" s="1"/>
  <c r="K1759" i="7"/>
  <c r="L1759" i="7" s="1"/>
  <c r="O1758" i="7"/>
  <c r="O1759" i="7"/>
  <c r="B1755" i="7" l="1"/>
  <c r="E1757" i="7"/>
  <c r="F1757" i="7"/>
  <c r="K1757" i="7"/>
  <c r="L1757" i="7" s="1"/>
  <c r="O1757" i="7"/>
  <c r="B1752" i="7"/>
  <c r="B1753" i="7"/>
  <c r="B1754" i="7"/>
  <c r="E1754" i="7"/>
  <c r="E1755" i="7"/>
  <c r="E1756" i="7"/>
  <c r="F1754" i="7"/>
  <c r="F1755" i="7"/>
  <c r="F1756" i="7"/>
  <c r="K1754" i="7"/>
  <c r="L1754" i="7" s="1"/>
  <c r="K1755" i="7"/>
  <c r="L1755" i="7" s="1"/>
  <c r="K1756" i="7"/>
  <c r="L1756" i="7" s="1"/>
  <c r="O1754" i="7"/>
  <c r="O1755" i="7"/>
  <c r="O1756" i="7"/>
  <c r="B1750" i="7" l="1"/>
  <c r="B1751" i="7"/>
  <c r="E1752" i="7"/>
  <c r="E1753" i="7"/>
  <c r="F1752" i="7"/>
  <c r="F1753" i="7"/>
  <c r="K1752" i="7"/>
  <c r="L1752" i="7" s="1"/>
  <c r="K1753" i="7"/>
  <c r="L1753" i="7" s="1"/>
  <c r="O1752" i="7"/>
  <c r="O1753" i="7"/>
  <c r="B1749" i="7"/>
  <c r="E1751" i="7"/>
  <c r="F1751" i="7"/>
  <c r="K1751" i="7"/>
  <c r="L1751" i="7" s="1"/>
  <c r="O1751" i="7"/>
  <c r="B1747" i="7" l="1"/>
  <c r="B1748" i="7"/>
  <c r="E1749" i="7"/>
  <c r="E1750" i="7"/>
  <c r="F1749" i="7"/>
  <c r="F1750" i="7"/>
  <c r="K1749" i="7"/>
  <c r="L1749" i="7" s="1"/>
  <c r="K1750" i="7"/>
  <c r="L1750" i="7" s="1"/>
  <c r="O1749" i="7"/>
  <c r="O1750" i="7"/>
  <c r="J3" i="35"/>
  <c r="I3" i="35"/>
  <c r="B1745" i="7"/>
  <c r="B1746" i="7"/>
  <c r="E1747" i="7"/>
  <c r="E1748" i="7"/>
  <c r="F1747" i="7"/>
  <c r="F1748" i="7"/>
  <c r="K1747" i="7"/>
  <c r="L1747" i="7" s="1"/>
  <c r="K1748" i="7"/>
  <c r="L1748" i="7" s="1"/>
  <c r="O1747" i="7"/>
  <c r="O1748" i="7"/>
  <c r="B1742" i="7"/>
  <c r="B1743" i="7"/>
  <c r="B1744" i="7"/>
  <c r="E1744" i="7"/>
  <c r="E1745" i="7"/>
  <c r="E1746" i="7"/>
  <c r="F1744" i="7"/>
  <c r="F1745" i="7"/>
  <c r="F1746" i="7"/>
  <c r="K1744" i="7"/>
  <c r="L1744" i="7" s="1"/>
  <c r="K1745" i="7"/>
  <c r="L1745" i="7" s="1"/>
  <c r="K1746" i="7"/>
  <c r="L1746" i="7" s="1"/>
  <c r="O1744" i="7"/>
  <c r="O1745" i="7"/>
  <c r="O1746" i="7"/>
  <c r="B1740" i="7" l="1"/>
  <c r="B1741" i="7"/>
  <c r="E1742" i="7"/>
  <c r="E1743" i="7"/>
  <c r="F1742" i="7"/>
  <c r="F1743" i="7"/>
  <c r="K1742" i="7"/>
  <c r="L1742" i="7" s="1"/>
  <c r="K1743" i="7"/>
  <c r="L1743" i="7" s="1"/>
  <c r="O1742" i="7"/>
  <c r="O1743" i="7"/>
  <c r="B1738" i="7" l="1"/>
  <c r="B1739" i="7"/>
  <c r="E1740" i="7"/>
  <c r="E1741" i="7"/>
  <c r="F1740" i="7"/>
  <c r="F1741" i="7"/>
  <c r="K1740" i="7"/>
  <c r="L1740" i="7" s="1"/>
  <c r="K1741" i="7"/>
  <c r="L1741" i="7" s="1"/>
  <c r="O1740" i="7"/>
  <c r="O1741" i="7"/>
  <c r="I1739" i="7" l="1"/>
  <c r="B1736" i="7"/>
  <c r="B1737" i="7"/>
  <c r="E1738" i="7"/>
  <c r="E1739" i="7"/>
  <c r="F1738" i="7"/>
  <c r="F1739" i="7"/>
  <c r="K1738" i="7"/>
  <c r="L1738" i="7" s="1"/>
  <c r="K1739" i="7"/>
  <c r="L1739" i="7" s="1"/>
  <c r="O1738" i="7"/>
  <c r="O1739" i="7"/>
  <c r="B1734" i="7" l="1"/>
  <c r="B1735" i="7"/>
  <c r="E1736" i="7"/>
  <c r="E1737" i="7"/>
  <c r="F1736" i="7"/>
  <c r="F1737" i="7"/>
  <c r="K1736" i="7"/>
  <c r="L1736" i="7" s="1"/>
  <c r="K1737" i="7"/>
  <c r="L1737" i="7" s="1"/>
  <c r="O1736" i="7"/>
  <c r="O1737" i="7"/>
  <c r="E1735" i="7"/>
  <c r="F1735" i="7"/>
  <c r="K1735" i="7"/>
  <c r="L1735" i="7" s="1"/>
  <c r="O1735" i="7"/>
  <c r="B1731" i="7"/>
  <c r="B1732" i="7"/>
  <c r="B1733" i="7"/>
  <c r="E1733" i="7"/>
  <c r="E1734" i="7"/>
  <c r="F1733" i="7"/>
  <c r="F1734" i="7"/>
  <c r="K1733" i="7"/>
  <c r="L1733" i="7" s="1"/>
  <c r="K1734" i="7"/>
  <c r="L1734" i="7" s="1"/>
  <c r="O1733" i="7"/>
  <c r="O1734" i="7"/>
  <c r="B1727" i="7"/>
  <c r="B1728" i="7"/>
  <c r="B1729" i="7"/>
  <c r="B1730" i="7"/>
  <c r="E1730" i="7"/>
  <c r="E1731" i="7"/>
  <c r="E1732" i="7"/>
  <c r="F1730" i="7"/>
  <c r="F1731" i="7"/>
  <c r="F1732" i="7"/>
  <c r="K1730" i="7"/>
  <c r="L1730" i="7" s="1"/>
  <c r="K1731" i="7"/>
  <c r="L1731" i="7" s="1"/>
  <c r="K1732" i="7"/>
  <c r="L1732" i="7" s="1"/>
  <c r="O1730" i="7"/>
  <c r="O1731" i="7"/>
  <c r="O1732" i="7"/>
  <c r="E1729" i="7"/>
  <c r="F1729" i="7"/>
  <c r="K1729" i="7"/>
  <c r="L1729" i="7" s="1"/>
  <c r="O1729" i="7"/>
  <c r="B1725" i="7" l="1"/>
  <c r="B1726" i="7"/>
  <c r="E1727" i="7"/>
  <c r="E1728" i="7"/>
  <c r="F1727" i="7"/>
  <c r="F1728" i="7"/>
  <c r="K1727" i="7"/>
  <c r="L1727" i="7" s="1"/>
  <c r="K1728" i="7"/>
  <c r="L1728" i="7" s="1"/>
  <c r="O1727" i="7"/>
  <c r="O1728" i="7"/>
  <c r="B1723" i="7" l="1"/>
  <c r="B1724" i="7"/>
  <c r="E1725" i="7"/>
  <c r="E1726" i="7"/>
  <c r="F1725" i="7"/>
  <c r="F1726" i="7"/>
  <c r="K1725" i="7"/>
  <c r="L1725" i="7" s="1"/>
  <c r="K1726" i="7"/>
  <c r="L1726" i="7" s="1"/>
  <c r="O1725" i="7"/>
  <c r="O1726" i="7"/>
  <c r="B1721" i="7" l="1"/>
  <c r="B1722" i="7"/>
  <c r="E1723" i="7"/>
  <c r="E1724" i="7"/>
  <c r="F1723" i="7"/>
  <c r="F1724" i="7"/>
  <c r="K1723" i="7"/>
  <c r="L1723" i="7" s="1"/>
  <c r="K1724" i="7"/>
  <c r="L1724" i="7" s="1"/>
  <c r="O1723" i="7"/>
  <c r="O1724" i="7"/>
  <c r="E1722" i="7" l="1"/>
  <c r="F1722" i="7"/>
  <c r="K1722" i="7"/>
  <c r="L1722" i="7" s="1"/>
  <c r="O1722" i="7"/>
  <c r="B1717" i="7"/>
  <c r="B1718" i="7"/>
  <c r="B1719" i="7"/>
  <c r="B1720" i="7"/>
  <c r="E1719" i="7"/>
  <c r="E1720" i="7"/>
  <c r="E1721" i="7"/>
  <c r="F1719" i="7"/>
  <c r="F1720" i="7"/>
  <c r="F1721" i="7"/>
  <c r="K1719" i="7"/>
  <c r="L1719" i="7" s="1"/>
  <c r="K1720" i="7"/>
  <c r="L1720" i="7" s="1"/>
  <c r="K1721" i="7"/>
  <c r="L1721" i="7" s="1"/>
  <c r="O1719" i="7"/>
  <c r="O1720" i="7"/>
  <c r="O1721" i="7"/>
  <c r="B1715" i="7" l="1"/>
  <c r="B1716" i="7"/>
  <c r="E1717" i="7"/>
  <c r="E1718" i="7"/>
  <c r="F1717" i="7"/>
  <c r="F1718" i="7"/>
  <c r="K1717" i="7"/>
  <c r="L1717" i="7" s="1"/>
  <c r="K1718" i="7"/>
  <c r="L1718" i="7" s="1"/>
  <c r="O1717" i="7"/>
  <c r="O1718" i="7"/>
  <c r="B1713" i="7" l="1"/>
  <c r="B1714" i="7"/>
  <c r="E1716" i="7"/>
  <c r="F1716" i="7"/>
  <c r="K1716" i="7"/>
  <c r="L1716" i="7" s="1"/>
  <c r="O1716" i="7"/>
  <c r="B1709" i="7"/>
  <c r="B1710" i="7"/>
  <c r="B1711" i="7"/>
  <c r="B1712" i="7"/>
  <c r="E1712" i="7"/>
  <c r="E1713" i="7"/>
  <c r="E1714" i="7"/>
  <c r="E1715" i="7"/>
  <c r="F1712" i="7"/>
  <c r="F1713" i="7"/>
  <c r="F1714" i="7"/>
  <c r="F1715" i="7"/>
  <c r="K1712" i="7"/>
  <c r="L1712" i="7" s="1"/>
  <c r="K1713" i="7"/>
  <c r="L1713" i="7" s="1"/>
  <c r="K1714" i="7"/>
  <c r="L1714" i="7" s="1"/>
  <c r="K1715" i="7"/>
  <c r="L1715" i="7" s="1"/>
  <c r="O1712" i="7"/>
  <c r="O1713" i="7"/>
  <c r="O1714" i="7"/>
  <c r="O1715" i="7"/>
  <c r="B1707" i="7" l="1"/>
  <c r="B1708" i="7"/>
  <c r="E1709" i="7"/>
  <c r="E1710" i="7"/>
  <c r="E1711" i="7"/>
  <c r="F1709" i="7"/>
  <c r="F1710" i="7"/>
  <c r="F1711" i="7"/>
  <c r="K1709" i="7"/>
  <c r="L1709" i="7" s="1"/>
  <c r="K1710" i="7"/>
  <c r="L1710" i="7" s="1"/>
  <c r="K1711" i="7"/>
  <c r="L1711" i="7" s="1"/>
  <c r="O1709" i="7"/>
  <c r="O1710" i="7"/>
  <c r="O1711" i="7"/>
  <c r="B1705" i="7" l="1"/>
  <c r="B1706" i="7"/>
  <c r="E1707" i="7"/>
  <c r="E1708" i="7"/>
  <c r="F1707" i="7"/>
  <c r="F1708" i="7"/>
  <c r="K1707" i="7"/>
  <c r="L1707" i="7" s="1"/>
  <c r="K1708" i="7"/>
  <c r="L1708" i="7" s="1"/>
  <c r="O1707" i="7"/>
  <c r="O1708" i="7"/>
  <c r="B1704" i="7"/>
  <c r="E1705" i="7"/>
  <c r="E1706" i="7"/>
  <c r="F1705" i="7"/>
  <c r="F1706" i="7"/>
  <c r="K1705" i="7"/>
  <c r="L1705" i="7" s="1"/>
  <c r="K1706" i="7"/>
  <c r="L1706" i="7" s="1"/>
  <c r="O1705" i="7"/>
  <c r="O1706" i="7"/>
  <c r="B1699" i="7" l="1"/>
  <c r="B1700" i="7"/>
  <c r="B1701" i="7"/>
  <c r="B1702" i="7"/>
  <c r="B1703" i="7"/>
  <c r="E1701" i="7"/>
  <c r="E1702" i="7"/>
  <c r="E1703" i="7"/>
  <c r="E1704" i="7"/>
  <c r="F1701" i="7"/>
  <c r="F1702" i="7"/>
  <c r="F1703" i="7"/>
  <c r="F1704" i="7"/>
  <c r="K1701" i="7"/>
  <c r="L1701" i="7" s="1"/>
  <c r="K1702" i="7"/>
  <c r="L1702" i="7" s="1"/>
  <c r="K1703" i="7"/>
  <c r="L1703" i="7" s="1"/>
  <c r="K1704" i="7"/>
  <c r="L1704" i="7" s="1"/>
  <c r="O1701" i="7"/>
  <c r="O1702" i="7"/>
  <c r="O1703" i="7"/>
  <c r="O1704" i="7"/>
  <c r="B1698" i="7"/>
  <c r="E1699" i="7"/>
  <c r="E1700" i="7"/>
  <c r="F1699" i="7"/>
  <c r="F1700" i="7"/>
  <c r="K1699" i="7"/>
  <c r="L1699" i="7" s="1"/>
  <c r="K1700" i="7"/>
  <c r="L1700" i="7" s="1"/>
  <c r="O1699" i="7"/>
  <c r="O1700" i="7"/>
  <c r="B1695" i="7" l="1"/>
  <c r="B1696" i="7"/>
  <c r="B1697" i="7"/>
  <c r="E1696" i="7"/>
  <c r="E1697" i="7"/>
  <c r="E1698" i="7"/>
  <c r="F1696" i="7"/>
  <c r="F1697" i="7"/>
  <c r="F1698" i="7"/>
  <c r="K1696" i="7"/>
  <c r="L1696" i="7" s="1"/>
  <c r="K1697" i="7"/>
  <c r="L1697" i="7" s="1"/>
  <c r="K1698" i="7"/>
  <c r="L1698" i="7" s="1"/>
  <c r="O1696" i="7"/>
  <c r="O1697" i="7"/>
  <c r="O1698" i="7"/>
  <c r="B1692" i="7" l="1"/>
  <c r="B1693" i="7"/>
  <c r="B1694" i="7"/>
  <c r="E1694" i="7"/>
  <c r="E1695" i="7"/>
  <c r="F1694" i="7"/>
  <c r="F1695" i="7"/>
  <c r="K1694" i="7"/>
  <c r="L1694" i="7" s="1"/>
  <c r="K1695" i="7"/>
  <c r="L1695" i="7" s="1"/>
  <c r="O1694" i="7"/>
  <c r="O1695" i="7"/>
  <c r="E1693" i="7" l="1"/>
  <c r="F1693" i="7"/>
  <c r="K1693" i="7"/>
  <c r="L1693" i="7" s="1"/>
  <c r="O1693" i="7"/>
  <c r="I1691" i="7"/>
  <c r="B1689" i="7"/>
  <c r="B1690" i="7"/>
  <c r="B1691" i="7"/>
  <c r="E1691" i="7"/>
  <c r="E1692" i="7"/>
  <c r="F1691" i="7"/>
  <c r="F1692" i="7"/>
  <c r="K1691" i="7"/>
  <c r="L1691" i="7" s="1"/>
  <c r="K1692" i="7"/>
  <c r="L1692" i="7" s="1"/>
  <c r="O1691" i="7"/>
  <c r="O1692" i="7"/>
  <c r="E1690" i="7"/>
  <c r="F1690" i="7"/>
  <c r="K1690" i="7"/>
  <c r="L1690" i="7" s="1"/>
  <c r="O1690" i="7"/>
  <c r="B1685" i="7" l="1"/>
  <c r="B1686" i="7"/>
  <c r="B1687" i="7"/>
  <c r="B1688" i="7"/>
  <c r="E1687" i="7"/>
  <c r="E1688" i="7"/>
  <c r="E1689" i="7"/>
  <c r="F1687" i="7"/>
  <c r="F1688" i="7"/>
  <c r="F1689" i="7"/>
  <c r="K1687" i="7"/>
  <c r="L1687" i="7" s="1"/>
  <c r="K1688" i="7"/>
  <c r="L1688" i="7" s="1"/>
  <c r="K1689" i="7"/>
  <c r="L1689" i="7" s="1"/>
  <c r="O1687" i="7"/>
  <c r="O1688" i="7"/>
  <c r="O1689" i="7"/>
  <c r="B1683" i="7" l="1"/>
  <c r="B1684" i="7"/>
  <c r="E1685" i="7"/>
  <c r="E1686" i="7"/>
  <c r="F1685" i="7"/>
  <c r="F1686" i="7"/>
  <c r="K1685" i="7"/>
  <c r="L1685" i="7" s="1"/>
  <c r="K1686" i="7"/>
  <c r="L1686" i="7" s="1"/>
  <c r="O1685" i="7"/>
  <c r="O1686" i="7"/>
  <c r="B1680" i="7" l="1"/>
  <c r="B1681" i="7"/>
  <c r="B1682" i="7"/>
  <c r="E1682" i="7"/>
  <c r="E1683" i="7"/>
  <c r="E1684" i="7"/>
  <c r="F1682" i="7"/>
  <c r="F1683" i="7"/>
  <c r="F1684" i="7"/>
  <c r="K1682" i="7"/>
  <c r="L1682" i="7" s="1"/>
  <c r="K1683" i="7"/>
  <c r="L1683" i="7" s="1"/>
  <c r="K1684" i="7"/>
  <c r="L1684" i="7" s="1"/>
  <c r="O1682" i="7"/>
  <c r="O1683" i="7"/>
  <c r="O1684" i="7"/>
  <c r="G7" i="30"/>
  <c r="H7" i="30" s="1"/>
  <c r="B1677" i="7"/>
  <c r="B1678" i="7"/>
  <c r="B1679" i="7"/>
  <c r="E1679" i="7"/>
  <c r="E1680" i="7"/>
  <c r="E1681" i="7"/>
  <c r="F1679" i="7"/>
  <c r="F1680" i="7"/>
  <c r="F1681" i="7"/>
  <c r="K1679" i="7"/>
  <c r="L1679" i="7" s="1"/>
  <c r="K1680" i="7"/>
  <c r="L1680" i="7" s="1"/>
  <c r="K1681" i="7"/>
  <c r="L1681" i="7" s="1"/>
  <c r="O1679" i="7"/>
  <c r="O1680" i="7"/>
  <c r="O1681" i="7"/>
  <c r="B1675" i="7"/>
  <c r="B1676" i="7"/>
  <c r="E1677" i="7"/>
  <c r="E1678" i="7"/>
  <c r="F1677" i="7"/>
  <c r="F1678" i="7"/>
  <c r="K1677" i="7"/>
  <c r="L1677" i="7" s="1"/>
  <c r="K1678" i="7"/>
  <c r="L1678" i="7" s="1"/>
  <c r="O1677" i="7"/>
  <c r="O1678" i="7"/>
  <c r="E1676" i="7" l="1"/>
  <c r="F1676" i="7"/>
  <c r="K1676" i="7"/>
  <c r="L1676" i="7" s="1"/>
  <c r="O1676" i="7"/>
  <c r="B1672" i="7" l="1"/>
  <c r="B1673" i="7"/>
  <c r="B1674" i="7"/>
  <c r="E1675" i="7"/>
  <c r="F1675" i="7"/>
  <c r="K1675" i="7"/>
  <c r="L1675" i="7" s="1"/>
  <c r="O1675" i="7"/>
  <c r="B1671" i="7"/>
  <c r="E1673" i="7"/>
  <c r="E1674" i="7"/>
  <c r="F1673" i="7"/>
  <c r="F1674" i="7"/>
  <c r="K1673" i="7"/>
  <c r="L1673" i="7" s="1"/>
  <c r="K1674" i="7"/>
  <c r="L1674" i="7" s="1"/>
  <c r="O1673" i="7"/>
  <c r="O1674" i="7"/>
  <c r="I1671" i="7" l="1"/>
  <c r="B1668" i="7"/>
  <c r="B1669" i="7"/>
  <c r="B1670" i="7"/>
  <c r="E1670" i="7"/>
  <c r="E1671" i="7"/>
  <c r="E1672" i="7"/>
  <c r="F1670" i="7"/>
  <c r="F1671" i="7"/>
  <c r="F1672" i="7"/>
  <c r="K1670" i="7"/>
  <c r="L1670" i="7" s="1"/>
  <c r="K1671" i="7"/>
  <c r="L1671" i="7" s="1"/>
  <c r="K1672" i="7"/>
  <c r="L1672" i="7" s="1"/>
  <c r="O1670" i="7"/>
  <c r="O1671" i="7"/>
  <c r="O1672" i="7"/>
  <c r="B1666" i="7" l="1"/>
  <c r="B1667" i="7"/>
  <c r="E1668" i="7"/>
  <c r="E1669" i="7"/>
  <c r="F1668" i="7"/>
  <c r="F1669" i="7"/>
  <c r="K1668" i="7"/>
  <c r="L1668" i="7" s="1"/>
  <c r="K1669" i="7"/>
  <c r="L1669" i="7" s="1"/>
  <c r="O1668" i="7"/>
  <c r="O1669" i="7"/>
  <c r="B1663" i="7" l="1"/>
  <c r="B1664" i="7"/>
  <c r="B1665" i="7"/>
  <c r="E1665" i="7"/>
  <c r="E1666" i="7"/>
  <c r="E1667" i="7"/>
  <c r="F1665" i="7"/>
  <c r="F1666" i="7"/>
  <c r="F1667" i="7"/>
  <c r="K1665" i="7"/>
  <c r="L1665" i="7" s="1"/>
  <c r="K1666" i="7"/>
  <c r="L1666" i="7" s="1"/>
  <c r="K1667" i="7"/>
  <c r="L1667" i="7" s="1"/>
  <c r="O1665" i="7"/>
  <c r="O1666" i="7"/>
  <c r="O1667" i="7"/>
  <c r="B1660" i="7" l="1"/>
  <c r="B1661" i="7"/>
  <c r="B1662" i="7"/>
  <c r="E1662" i="7"/>
  <c r="E1663" i="7"/>
  <c r="E1664" i="7"/>
  <c r="F1662" i="7"/>
  <c r="F1663" i="7"/>
  <c r="F1664" i="7"/>
  <c r="K1662" i="7"/>
  <c r="L1662" i="7" s="1"/>
  <c r="K1663" i="7"/>
  <c r="L1663" i="7" s="1"/>
  <c r="K1664" i="7"/>
  <c r="L1664" i="7" s="1"/>
  <c r="O1662" i="7"/>
  <c r="O1663" i="7"/>
  <c r="O1664" i="7"/>
  <c r="B1658" i="7" l="1"/>
  <c r="B1659" i="7"/>
  <c r="E1660" i="7"/>
  <c r="E1661" i="7"/>
  <c r="F1660" i="7"/>
  <c r="F1661" i="7"/>
  <c r="K1660" i="7"/>
  <c r="L1660" i="7" s="1"/>
  <c r="K1661" i="7"/>
  <c r="L1661" i="7" s="1"/>
  <c r="O1660" i="7"/>
  <c r="O1661" i="7"/>
  <c r="B1656" i="7"/>
  <c r="B1657" i="7"/>
  <c r="E1658" i="7"/>
  <c r="E1659" i="7"/>
  <c r="F1658" i="7"/>
  <c r="F1659" i="7"/>
  <c r="K1658" i="7"/>
  <c r="L1658" i="7" s="1"/>
  <c r="K1659" i="7"/>
  <c r="L1659" i="7" s="1"/>
  <c r="O1658" i="7"/>
  <c r="O1659" i="7"/>
  <c r="B1654" i="7" l="1"/>
  <c r="B1655" i="7"/>
  <c r="E1656" i="7"/>
  <c r="E1657" i="7"/>
  <c r="F1656" i="7"/>
  <c r="F1657" i="7"/>
  <c r="K1656" i="7"/>
  <c r="L1656" i="7" s="1"/>
  <c r="K1657" i="7"/>
  <c r="L1657" i="7" s="1"/>
  <c r="O1656" i="7"/>
  <c r="O1657" i="7"/>
  <c r="B1651" i="7" l="1"/>
  <c r="B1652" i="7"/>
  <c r="B1653" i="7"/>
  <c r="E1655" i="7"/>
  <c r="F1655" i="7"/>
  <c r="K1655" i="7"/>
  <c r="L1655" i="7" s="1"/>
  <c r="O1655" i="7"/>
  <c r="B1650" i="7" l="1"/>
  <c r="E1652" i="7"/>
  <c r="E1653" i="7"/>
  <c r="E1654" i="7"/>
  <c r="F1652" i="7"/>
  <c r="F1653" i="7"/>
  <c r="F1654" i="7"/>
  <c r="K1652" i="7"/>
  <c r="L1652" i="7" s="1"/>
  <c r="K1653" i="7"/>
  <c r="L1653" i="7" s="1"/>
  <c r="K1654" i="7"/>
  <c r="L1654" i="7" s="1"/>
  <c r="O1652" i="7"/>
  <c r="O1653" i="7"/>
  <c r="O1654" i="7"/>
  <c r="B1649" i="7" l="1"/>
  <c r="E1651" i="7"/>
  <c r="F1651" i="7"/>
  <c r="K1651" i="7"/>
  <c r="L1651" i="7" s="1"/>
  <c r="O1651" i="7"/>
  <c r="B1645" i="7" l="1"/>
  <c r="B1646" i="7"/>
  <c r="B1647" i="7"/>
  <c r="B1648" i="7"/>
  <c r="E1647" i="7"/>
  <c r="E1648" i="7"/>
  <c r="E1649" i="7"/>
  <c r="E1650" i="7"/>
  <c r="F1647" i="7"/>
  <c r="F1648" i="7"/>
  <c r="F1649" i="7"/>
  <c r="F1650" i="7"/>
  <c r="K1647" i="7"/>
  <c r="L1647" i="7" s="1"/>
  <c r="K1648" i="7"/>
  <c r="L1648" i="7" s="1"/>
  <c r="K1649" i="7"/>
  <c r="L1649" i="7" s="1"/>
  <c r="K1650" i="7"/>
  <c r="L1650" i="7" s="1"/>
  <c r="O1647" i="7"/>
  <c r="O1648" i="7"/>
  <c r="O1649" i="7"/>
  <c r="O1650" i="7"/>
  <c r="B1643" i="7" l="1"/>
  <c r="B1644" i="7"/>
  <c r="E1644" i="7"/>
  <c r="E1645" i="7"/>
  <c r="E1646" i="7"/>
  <c r="F1644" i="7"/>
  <c r="F1645" i="7"/>
  <c r="F1646" i="7"/>
  <c r="K1644" i="7"/>
  <c r="L1644" i="7" s="1"/>
  <c r="K1645" i="7"/>
  <c r="L1645" i="7" s="1"/>
  <c r="K1646" i="7"/>
  <c r="L1646" i="7" s="1"/>
  <c r="O1644" i="7"/>
  <c r="O1645" i="7"/>
  <c r="O1646" i="7"/>
  <c r="B1640" i="7"/>
  <c r="B1641" i="7"/>
  <c r="B1642" i="7"/>
  <c r="E1642" i="7"/>
  <c r="E1643" i="7"/>
  <c r="F1642" i="7"/>
  <c r="F1643" i="7"/>
  <c r="K1642" i="7"/>
  <c r="L1642" i="7" s="1"/>
  <c r="K1643" i="7"/>
  <c r="L1643" i="7" s="1"/>
  <c r="O1642" i="7"/>
  <c r="O1643" i="7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B1637" i="7"/>
  <c r="B1638" i="7"/>
  <c r="B1639" i="7"/>
  <c r="F1638" i="7"/>
  <c r="F1639" i="7"/>
  <c r="F1640" i="7"/>
  <c r="F1641" i="7"/>
  <c r="K1638" i="7"/>
  <c r="L1638" i="7" s="1"/>
  <c r="K1639" i="7"/>
  <c r="L1639" i="7" s="1"/>
  <c r="K1640" i="7"/>
  <c r="L1640" i="7" s="1"/>
  <c r="K1641" i="7"/>
  <c r="L1641" i="7" s="1"/>
  <c r="O1638" i="7"/>
  <c r="O1639" i="7"/>
  <c r="O1640" i="7"/>
  <c r="O1641" i="7"/>
  <c r="B1634" i="7" l="1"/>
  <c r="B1635" i="7"/>
  <c r="B1636" i="7"/>
  <c r="F1636" i="7"/>
  <c r="F1637" i="7"/>
  <c r="K1636" i="7"/>
  <c r="L1636" i="7" s="1"/>
  <c r="K1637" i="7"/>
  <c r="L1637" i="7" s="1"/>
  <c r="O1636" i="7"/>
  <c r="O1637" i="7"/>
  <c r="F1635" i="7"/>
  <c r="K1635" i="7"/>
  <c r="L1635" i="7" s="1"/>
  <c r="O1635" i="7"/>
  <c r="I1633" i="7" l="1"/>
  <c r="B1629" i="7"/>
  <c r="B1630" i="7"/>
  <c r="B1631" i="7"/>
  <c r="B1632" i="7"/>
  <c r="B1633" i="7"/>
  <c r="F1631" i="7"/>
  <c r="F1632" i="7"/>
  <c r="F1633" i="7"/>
  <c r="F1634" i="7"/>
  <c r="K1631" i="7"/>
  <c r="L1631" i="7" s="1"/>
  <c r="K1632" i="7"/>
  <c r="L1632" i="7" s="1"/>
  <c r="K1633" i="7"/>
  <c r="L1633" i="7" s="1"/>
  <c r="K1634" i="7"/>
  <c r="L1634" i="7" s="1"/>
  <c r="O1631" i="7"/>
  <c r="O1632" i="7"/>
  <c r="O1633" i="7"/>
  <c r="O1634" i="7"/>
  <c r="AE10" i="23" l="1"/>
  <c r="B1625" i="7" l="1"/>
  <c r="B1626" i="7"/>
  <c r="B1627" i="7"/>
  <c r="B1628" i="7"/>
  <c r="F1628" i="7"/>
  <c r="F1629" i="7"/>
  <c r="F1630" i="7"/>
  <c r="K1628" i="7"/>
  <c r="L1628" i="7" s="1"/>
  <c r="K1629" i="7"/>
  <c r="L1629" i="7" s="1"/>
  <c r="K1630" i="7"/>
  <c r="L1630" i="7" s="1"/>
  <c r="O1628" i="7"/>
  <c r="O1629" i="7"/>
  <c r="O1630" i="7"/>
  <c r="B1623" i="7" l="1"/>
  <c r="B1624" i="7"/>
  <c r="F1625" i="7"/>
  <c r="F1626" i="7"/>
  <c r="F1627" i="7"/>
  <c r="K1625" i="7"/>
  <c r="L1625" i="7" s="1"/>
  <c r="K1626" i="7"/>
  <c r="L1626" i="7" s="1"/>
  <c r="K1627" i="7"/>
  <c r="L1627" i="7" s="1"/>
  <c r="O1625" i="7"/>
  <c r="O1626" i="7"/>
  <c r="O1627" i="7"/>
  <c r="AF1" i="23" l="1"/>
  <c r="B1620" i="7"/>
  <c r="B1621" i="7"/>
  <c r="B1622" i="7"/>
  <c r="F1622" i="7"/>
  <c r="F1623" i="7"/>
  <c r="F1624" i="7"/>
  <c r="K1622" i="7"/>
  <c r="L1622" i="7" s="1"/>
  <c r="K1623" i="7"/>
  <c r="L1623" i="7" s="1"/>
  <c r="K1624" i="7"/>
  <c r="L1624" i="7" s="1"/>
  <c r="O1622" i="7"/>
  <c r="O1623" i="7"/>
  <c r="O1624" i="7"/>
  <c r="B1617" i="7" l="1"/>
  <c r="B1618" i="7"/>
  <c r="B1619" i="7"/>
  <c r="F1619" i="7"/>
  <c r="F1620" i="7"/>
  <c r="F1621" i="7"/>
  <c r="K1619" i="7"/>
  <c r="L1619" i="7" s="1"/>
  <c r="K1620" i="7"/>
  <c r="L1620" i="7" s="1"/>
  <c r="K1621" i="7"/>
  <c r="L1621" i="7" s="1"/>
  <c r="O1619" i="7"/>
  <c r="O1620" i="7"/>
  <c r="O1621" i="7"/>
  <c r="B1614" i="7" l="1"/>
  <c r="B1615" i="7"/>
  <c r="B1616" i="7"/>
  <c r="F1616" i="7"/>
  <c r="F1617" i="7"/>
  <c r="F1618" i="7"/>
  <c r="K1616" i="7"/>
  <c r="L1616" i="7" s="1"/>
  <c r="K1617" i="7"/>
  <c r="L1617" i="7" s="1"/>
  <c r="K1618" i="7"/>
  <c r="L1618" i="7" s="1"/>
  <c r="O1616" i="7"/>
  <c r="O1617" i="7"/>
  <c r="O1618" i="7"/>
  <c r="B1612" i="7" l="1"/>
  <c r="B1613" i="7"/>
  <c r="F1613" i="7"/>
  <c r="F1614" i="7"/>
  <c r="F1615" i="7"/>
  <c r="K1613" i="7"/>
  <c r="L1613" i="7" s="1"/>
  <c r="K1614" i="7"/>
  <c r="L1614" i="7" s="1"/>
  <c r="K1615" i="7"/>
  <c r="L1615" i="7" s="1"/>
  <c r="O1613" i="7"/>
  <c r="O1614" i="7"/>
  <c r="O1615" i="7"/>
  <c r="B1608" i="7" l="1"/>
  <c r="B1609" i="7"/>
  <c r="B1610" i="7"/>
  <c r="B1611" i="7"/>
  <c r="F1610" i="7"/>
  <c r="F1611" i="7"/>
  <c r="F1612" i="7"/>
  <c r="K1610" i="7"/>
  <c r="L1610" i="7" s="1"/>
  <c r="K1611" i="7"/>
  <c r="L1611" i="7" s="1"/>
  <c r="K1612" i="7"/>
  <c r="L1612" i="7" s="1"/>
  <c r="O1610" i="7"/>
  <c r="O1611" i="7"/>
  <c r="O1612" i="7"/>
  <c r="C22" i="49" l="1"/>
  <c r="D4" i="49"/>
  <c r="D6" i="49"/>
  <c r="D7" i="49"/>
  <c r="D3" i="49"/>
  <c r="C3" i="49"/>
  <c r="C14" i="49"/>
  <c r="C15" i="49" l="1"/>
  <c r="F7" i="49"/>
  <c r="E7" i="49"/>
  <c r="F6" i="49"/>
  <c r="E6" i="49"/>
  <c r="B1607" i="7" l="1"/>
  <c r="F1609" i="7"/>
  <c r="K1609" i="7"/>
  <c r="L1609" i="7" s="1"/>
  <c r="O1609" i="7"/>
  <c r="L16" i="49" l="1"/>
  <c r="M16" i="49"/>
  <c r="N16" i="49"/>
  <c r="O16" i="49"/>
  <c r="K16" i="49"/>
  <c r="C19" i="49"/>
  <c r="C7" i="49"/>
  <c r="C6" i="49"/>
  <c r="B1606" i="7" l="1"/>
  <c r="F1608" i="7"/>
  <c r="K1608" i="7"/>
  <c r="L1608" i="7" s="1"/>
  <c r="O1608" i="7"/>
  <c r="B1602" i="7" l="1"/>
  <c r="B1603" i="7"/>
  <c r="B1604" i="7"/>
  <c r="B1605" i="7"/>
  <c r="F1604" i="7"/>
  <c r="F1605" i="7"/>
  <c r="F1606" i="7"/>
  <c r="F1607" i="7"/>
  <c r="K1604" i="7"/>
  <c r="L1604" i="7" s="1"/>
  <c r="K1605" i="7"/>
  <c r="L1605" i="7" s="1"/>
  <c r="K1606" i="7"/>
  <c r="L1606" i="7" s="1"/>
  <c r="K1607" i="7"/>
  <c r="L1607" i="7" s="1"/>
  <c r="O1604" i="7"/>
  <c r="O1605" i="7"/>
  <c r="O1606" i="7"/>
  <c r="O1607" i="7"/>
  <c r="A7" i="48" l="1"/>
  <c r="A8" i="48" s="1"/>
  <c r="A9" i="48" s="1"/>
  <c r="A10" i="48" s="1"/>
  <c r="A11" i="48" s="1"/>
  <c r="B1601" i="7"/>
  <c r="F1602" i="7"/>
  <c r="F1603" i="7"/>
  <c r="K1602" i="7"/>
  <c r="L1602" i="7" s="1"/>
  <c r="K1603" i="7"/>
  <c r="L1603" i="7" s="1"/>
  <c r="O1602" i="7"/>
  <c r="O1603" i="7"/>
  <c r="B1599" i="7"/>
  <c r="B1600" i="7"/>
  <c r="F1600" i="7"/>
  <c r="F1601" i="7"/>
  <c r="K1600" i="7"/>
  <c r="L1600" i="7" s="1"/>
  <c r="K1601" i="7"/>
  <c r="L1601" i="7" s="1"/>
  <c r="O1600" i="7"/>
  <c r="O1601" i="7"/>
  <c r="A6" i="48" l="1"/>
  <c r="A5" i="48" l="1"/>
  <c r="B1594" i="7"/>
  <c r="B1595" i="7"/>
  <c r="B1596" i="7"/>
  <c r="B1597" i="7"/>
  <c r="B1598" i="7"/>
  <c r="F1596" i="7"/>
  <c r="F1597" i="7"/>
  <c r="F1598" i="7"/>
  <c r="F1599" i="7"/>
  <c r="K1596" i="7"/>
  <c r="L1596" i="7" s="1"/>
  <c r="K1597" i="7"/>
  <c r="L1597" i="7" s="1"/>
  <c r="K1598" i="7"/>
  <c r="L1598" i="7" s="1"/>
  <c r="K1599" i="7"/>
  <c r="L1599" i="7" s="1"/>
  <c r="O1596" i="7"/>
  <c r="O1597" i="7"/>
  <c r="O1598" i="7"/>
  <c r="O1599" i="7"/>
  <c r="A4" i="48" l="1"/>
  <c r="A3" i="48" l="1"/>
  <c r="B1591" i="7"/>
  <c r="B1592" i="7"/>
  <c r="B1593" i="7"/>
  <c r="F1594" i="7"/>
  <c r="F1595" i="7"/>
  <c r="K1594" i="7"/>
  <c r="L1594" i="7" s="1"/>
  <c r="K1595" i="7"/>
  <c r="L1595" i="7" s="1"/>
  <c r="O1594" i="7"/>
  <c r="O1595" i="7"/>
  <c r="B1586" i="7" l="1"/>
  <c r="B1587" i="7"/>
  <c r="B1588" i="7"/>
  <c r="B1589" i="7"/>
  <c r="B1590" i="7"/>
  <c r="F1588" i="7"/>
  <c r="F1589" i="7"/>
  <c r="F1590" i="7"/>
  <c r="F1591" i="7"/>
  <c r="F1592" i="7"/>
  <c r="F1593" i="7"/>
  <c r="K1588" i="7"/>
  <c r="L1588" i="7" s="1"/>
  <c r="K1589" i="7"/>
  <c r="L1589" i="7" s="1"/>
  <c r="K1590" i="7"/>
  <c r="L1590" i="7" s="1"/>
  <c r="K1591" i="7"/>
  <c r="L1591" i="7" s="1"/>
  <c r="K1592" i="7"/>
  <c r="L1592" i="7" s="1"/>
  <c r="K1593" i="7"/>
  <c r="L1593" i="7" s="1"/>
  <c r="O1588" i="7"/>
  <c r="O1589" i="7"/>
  <c r="O1590" i="7"/>
  <c r="O1591" i="7"/>
  <c r="O1592" i="7"/>
  <c r="O1593" i="7"/>
  <c r="B1583" i="7" l="1"/>
  <c r="B1584" i="7"/>
  <c r="B1585" i="7"/>
  <c r="F1585" i="7"/>
  <c r="F1586" i="7"/>
  <c r="F1587" i="7"/>
  <c r="K1585" i="7"/>
  <c r="L1585" i="7" s="1"/>
  <c r="K1586" i="7"/>
  <c r="L1586" i="7" s="1"/>
  <c r="K1587" i="7"/>
  <c r="L1587" i="7" s="1"/>
  <c r="O1585" i="7"/>
  <c r="O1586" i="7"/>
  <c r="O1587" i="7"/>
  <c r="B1581" i="7"/>
  <c r="B1582" i="7"/>
  <c r="F1582" i="7"/>
  <c r="F1583" i="7"/>
  <c r="F1584" i="7"/>
  <c r="K1582" i="7"/>
  <c r="L1582" i="7" s="1"/>
  <c r="K1583" i="7"/>
  <c r="L1583" i="7" s="1"/>
  <c r="K1584" i="7"/>
  <c r="L1584" i="7" s="1"/>
  <c r="O1582" i="7"/>
  <c r="O1583" i="7"/>
  <c r="O1584" i="7"/>
  <c r="B1579" i="7" l="1"/>
  <c r="B1580" i="7"/>
  <c r="F1580" i="7"/>
  <c r="F1581" i="7"/>
  <c r="K1580" i="7"/>
  <c r="L1580" i="7" s="1"/>
  <c r="K1581" i="7"/>
  <c r="L1581" i="7" s="1"/>
  <c r="O1580" i="7"/>
  <c r="O1581" i="7"/>
  <c r="B1577" i="7" l="1"/>
  <c r="B1578" i="7"/>
  <c r="F1579" i="7"/>
  <c r="K1579" i="7"/>
  <c r="L1579" i="7" s="1"/>
  <c r="O1579" i="7"/>
  <c r="B1575" i="7"/>
  <c r="B1576" i="7"/>
  <c r="F1576" i="7"/>
  <c r="F1577" i="7"/>
  <c r="F1578" i="7"/>
  <c r="K1576" i="7"/>
  <c r="L1576" i="7" s="1"/>
  <c r="K1577" i="7"/>
  <c r="L1577" i="7" s="1"/>
  <c r="K1578" i="7"/>
  <c r="L1578" i="7" s="1"/>
  <c r="O1576" i="7"/>
  <c r="O1577" i="7"/>
  <c r="O1578" i="7"/>
  <c r="B1568" i="7" l="1"/>
  <c r="B1569" i="7"/>
  <c r="B1570" i="7"/>
  <c r="B1571" i="7"/>
  <c r="B1572" i="7"/>
  <c r="B1573" i="7"/>
  <c r="B1574" i="7"/>
  <c r="F1570" i="7"/>
  <c r="F1571" i="7"/>
  <c r="F1572" i="7"/>
  <c r="F1573" i="7"/>
  <c r="F1574" i="7"/>
  <c r="F1575" i="7"/>
  <c r="K1570" i="7"/>
  <c r="L1570" i="7" s="1"/>
  <c r="K1571" i="7"/>
  <c r="L1571" i="7" s="1"/>
  <c r="K1572" i="7"/>
  <c r="L1572" i="7" s="1"/>
  <c r="K1573" i="7"/>
  <c r="L1573" i="7" s="1"/>
  <c r="K1574" i="7"/>
  <c r="L1574" i="7" s="1"/>
  <c r="K1575" i="7"/>
  <c r="L1575" i="7" s="1"/>
  <c r="O1570" i="7"/>
  <c r="O1571" i="7"/>
  <c r="O1572" i="7"/>
  <c r="O1573" i="7"/>
  <c r="O1574" i="7"/>
  <c r="O1575" i="7"/>
  <c r="B1566" i="7" l="1"/>
  <c r="B1567" i="7"/>
  <c r="F1568" i="7"/>
  <c r="F1569" i="7"/>
  <c r="K1568" i="7"/>
  <c r="L1568" i="7" s="1"/>
  <c r="K1569" i="7"/>
  <c r="L1569" i="7" s="1"/>
  <c r="O1568" i="7"/>
  <c r="O1569" i="7"/>
  <c r="B1561" i="7" l="1"/>
  <c r="B1562" i="7"/>
  <c r="B1563" i="7"/>
  <c r="B1564" i="7"/>
  <c r="B1565" i="7"/>
  <c r="F1566" i="7"/>
  <c r="F1567" i="7"/>
  <c r="K1566" i="7"/>
  <c r="L1566" i="7" s="1"/>
  <c r="K1567" i="7"/>
  <c r="L1567" i="7" s="1"/>
  <c r="O1566" i="7"/>
  <c r="O1567" i="7"/>
  <c r="B1552" i="7"/>
  <c r="B1553" i="7"/>
  <c r="B1554" i="7"/>
  <c r="B1555" i="7"/>
  <c r="B1556" i="7"/>
  <c r="B1557" i="7"/>
  <c r="B1558" i="7"/>
  <c r="B1559" i="7"/>
  <c r="B1560" i="7"/>
  <c r="F1557" i="7"/>
  <c r="F1558" i="7"/>
  <c r="F1559" i="7"/>
  <c r="F1560" i="7"/>
  <c r="F1561" i="7"/>
  <c r="F1562" i="7"/>
  <c r="F1563" i="7"/>
  <c r="F1564" i="7"/>
  <c r="F1565" i="7"/>
  <c r="K1557" i="7"/>
  <c r="L1557" i="7" s="1"/>
  <c r="K1558" i="7"/>
  <c r="L1558" i="7" s="1"/>
  <c r="K1559" i="7"/>
  <c r="L1559" i="7" s="1"/>
  <c r="K1560" i="7"/>
  <c r="L1560" i="7" s="1"/>
  <c r="K1561" i="7"/>
  <c r="L1561" i="7" s="1"/>
  <c r="K1562" i="7"/>
  <c r="L1562" i="7" s="1"/>
  <c r="K1563" i="7"/>
  <c r="L1563" i="7" s="1"/>
  <c r="K1564" i="7"/>
  <c r="L1564" i="7" s="1"/>
  <c r="K1565" i="7"/>
  <c r="L1565" i="7" s="1"/>
  <c r="O1557" i="7"/>
  <c r="O1558" i="7"/>
  <c r="O1559" i="7"/>
  <c r="O1560" i="7"/>
  <c r="O1561" i="7"/>
  <c r="O1562" i="7"/>
  <c r="O1563" i="7"/>
  <c r="O1564" i="7"/>
  <c r="O1565" i="7"/>
  <c r="I1554" i="7" l="1"/>
  <c r="I1551" i="7"/>
  <c r="B1542" i="7"/>
  <c r="B1543" i="7"/>
  <c r="B1544" i="7"/>
  <c r="B1545" i="7"/>
  <c r="B1546" i="7"/>
  <c r="B1547" i="7"/>
  <c r="B1548" i="7"/>
  <c r="B1549" i="7"/>
  <c r="B1550" i="7"/>
  <c r="B1551" i="7"/>
  <c r="F1546" i="7"/>
  <c r="F1547" i="7"/>
  <c r="F1548" i="7"/>
  <c r="F1549" i="7"/>
  <c r="F1550" i="7"/>
  <c r="F1551" i="7"/>
  <c r="F1552" i="7"/>
  <c r="F1553" i="7"/>
  <c r="F1554" i="7"/>
  <c r="F1555" i="7"/>
  <c r="F1556" i="7"/>
  <c r="K1546" i="7"/>
  <c r="L1546" i="7" s="1"/>
  <c r="K1547" i="7"/>
  <c r="L1547" i="7" s="1"/>
  <c r="K1548" i="7"/>
  <c r="L1548" i="7" s="1"/>
  <c r="K1549" i="7"/>
  <c r="L1549" i="7" s="1"/>
  <c r="K1550" i="7"/>
  <c r="L1550" i="7" s="1"/>
  <c r="K1551" i="7"/>
  <c r="L1551" i="7" s="1"/>
  <c r="K1552" i="7"/>
  <c r="L1552" i="7" s="1"/>
  <c r="K1553" i="7"/>
  <c r="L1553" i="7" s="1"/>
  <c r="K1554" i="7"/>
  <c r="L1554" i="7" s="1"/>
  <c r="K1555" i="7"/>
  <c r="L1555" i="7" s="1"/>
  <c r="K1556" i="7"/>
  <c r="L1556" i="7" s="1"/>
  <c r="O1546" i="7"/>
  <c r="O1547" i="7"/>
  <c r="O1548" i="7"/>
  <c r="O1549" i="7"/>
  <c r="O1550" i="7"/>
  <c r="O1551" i="7"/>
  <c r="O1552" i="7"/>
  <c r="O1553" i="7"/>
  <c r="O1554" i="7"/>
  <c r="O1555" i="7"/>
  <c r="O1556" i="7"/>
  <c r="B1539" i="7"/>
  <c r="B1540" i="7"/>
  <c r="B1541" i="7"/>
  <c r="F1541" i="7"/>
  <c r="F1542" i="7"/>
  <c r="F1543" i="7"/>
  <c r="F1544" i="7"/>
  <c r="F1545" i="7"/>
  <c r="K1541" i="7"/>
  <c r="L1541" i="7" s="1"/>
  <c r="K1542" i="7"/>
  <c r="L1542" i="7" s="1"/>
  <c r="K1543" i="7"/>
  <c r="L1543" i="7" s="1"/>
  <c r="K1544" i="7"/>
  <c r="L1544" i="7" s="1"/>
  <c r="K1545" i="7"/>
  <c r="L1545" i="7" s="1"/>
  <c r="O1541" i="7"/>
  <c r="O1542" i="7"/>
  <c r="O1543" i="7"/>
  <c r="O1544" i="7"/>
  <c r="O1545" i="7"/>
  <c r="I1521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K1522" i="7"/>
  <c r="L1522" i="7" s="1"/>
  <c r="K1523" i="7"/>
  <c r="L1523" i="7" s="1"/>
  <c r="K1524" i="7"/>
  <c r="L1524" i="7" s="1"/>
  <c r="K1525" i="7"/>
  <c r="L1525" i="7" s="1"/>
  <c r="K1526" i="7"/>
  <c r="L1526" i="7" s="1"/>
  <c r="K1527" i="7"/>
  <c r="L1527" i="7" s="1"/>
  <c r="K1528" i="7"/>
  <c r="L1528" i="7" s="1"/>
  <c r="K1529" i="7"/>
  <c r="L1529" i="7" s="1"/>
  <c r="K1530" i="7"/>
  <c r="L1530" i="7" s="1"/>
  <c r="K1531" i="7"/>
  <c r="L1531" i="7" s="1"/>
  <c r="K1532" i="7"/>
  <c r="L1532" i="7" s="1"/>
  <c r="K1533" i="7"/>
  <c r="L1533" i="7" s="1"/>
  <c r="K1534" i="7"/>
  <c r="L1534" i="7" s="1"/>
  <c r="K1535" i="7"/>
  <c r="L1535" i="7" s="1"/>
  <c r="K1536" i="7"/>
  <c r="L1536" i="7" s="1"/>
  <c r="K1537" i="7"/>
  <c r="L1537" i="7" s="1"/>
  <c r="K1538" i="7"/>
  <c r="L1538" i="7" s="1"/>
  <c r="K1539" i="7"/>
  <c r="L1539" i="7" s="1"/>
  <c r="K1540" i="7"/>
  <c r="L1540" i="7" s="1"/>
  <c r="O1522" i="7"/>
  <c r="O1523" i="7"/>
  <c r="O1524" i="7"/>
  <c r="O1525" i="7"/>
  <c r="O1526" i="7"/>
  <c r="O1527" i="7"/>
  <c r="O1528" i="7"/>
  <c r="O1529" i="7"/>
  <c r="O1530" i="7"/>
  <c r="O1531" i="7"/>
  <c r="O1532" i="7"/>
  <c r="O1533" i="7"/>
  <c r="O1534" i="7"/>
  <c r="O1535" i="7"/>
  <c r="O1536" i="7"/>
  <c r="O1537" i="7"/>
  <c r="O1538" i="7"/>
  <c r="O1539" i="7"/>
  <c r="O1540" i="7"/>
  <c r="B1511" i="7" l="1"/>
  <c r="B1512" i="7"/>
  <c r="B1513" i="7"/>
  <c r="B1514" i="7"/>
  <c r="B1515" i="7"/>
  <c r="B1516" i="7"/>
  <c r="B1517" i="7"/>
  <c r="B1518" i="7"/>
  <c r="F1513" i="7"/>
  <c r="F1514" i="7"/>
  <c r="F1515" i="7"/>
  <c r="F1516" i="7"/>
  <c r="F1517" i="7"/>
  <c r="F1518" i="7"/>
  <c r="F1519" i="7"/>
  <c r="F1520" i="7"/>
  <c r="F1521" i="7"/>
  <c r="K1513" i="7"/>
  <c r="L1513" i="7" s="1"/>
  <c r="K1514" i="7"/>
  <c r="L1514" i="7" s="1"/>
  <c r="K1515" i="7"/>
  <c r="L1515" i="7" s="1"/>
  <c r="K1516" i="7"/>
  <c r="L1516" i="7" s="1"/>
  <c r="K1517" i="7"/>
  <c r="L1517" i="7" s="1"/>
  <c r="K1518" i="7"/>
  <c r="L1518" i="7" s="1"/>
  <c r="K1519" i="7"/>
  <c r="L1519" i="7" s="1"/>
  <c r="K1520" i="7"/>
  <c r="L1520" i="7" s="1"/>
  <c r="K1521" i="7"/>
  <c r="L1521" i="7" s="1"/>
  <c r="O1513" i="7"/>
  <c r="O1514" i="7"/>
  <c r="O1515" i="7"/>
  <c r="O1516" i="7"/>
  <c r="O1517" i="7"/>
  <c r="O1518" i="7"/>
  <c r="O1519" i="7"/>
  <c r="O1520" i="7"/>
  <c r="O1521" i="7"/>
  <c r="I1508" i="7" l="1"/>
  <c r="I1506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F1503" i="7"/>
  <c r="F1504" i="7"/>
  <c r="F1505" i="7"/>
  <c r="F1506" i="7"/>
  <c r="F1507" i="7"/>
  <c r="F1508" i="7"/>
  <c r="F1509" i="7"/>
  <c r="F1510" i="7"/>
  <c r="F1511" i="7"/>
  <c r="F1512" i="7"/>
  <c r="K1503" i="7"/>
  <c r="L1503" i="7" s="1"/>
  <c r="K1504" i="7"/>
  <c r="L1504" i="7" s="1"/>
  <c r="K1505" i="7"/>
  <c r="L1505" i="7" s="1"/>
  <c r="K1506" i="7"/>
  <c r="L1506" i="7" s="1"/>
  <c r="K1507" i="7"/>
  <c r="L1507" i="7" s="1"/>
  <c r="K1508" i="7"/>
  <c r="L1508" i="7" s="1"/>
  <c r="K1509" i="7"/>
  <c r="L1509" i="7" s="1"/>
  <c r="K1510" i="7"/>
  <c r="L1510" i="7" s="1"/>
  <c r="K1511" i="7"/>
  <c r="L1511" i="7" s="1"/>
  <c r="K1512" i="7"/>
  <c r="L1512" i="7" s="1"/>
  <c r="O1503" i="7"/>
  <c r="O1504" i="7"/>
  <c r="O1505" i="7"/>
  <c r="O1506" i="7"/>
  <c r="O1507" i="7"/>
  <c r="O1508" i="7"/>
  <c r="O1509" i="7"/>
  <c r="O1510" i="7"/>
  <c r="O1511" i="7"/>
  <c r="O1512" i="7"/>
  <c r="J1501" i="7" l="1"/>
  <c r="I1501" i="7"/>
  <c r="F1501" i="7"/>
  <c r="F1502" i="7"/>
  <c r="K1502" i="7"/>
  <c r="L1502" i="7" s="1"/>
  <c r="O1501" i="7"/>
  <c r="O1502" i="7"/>
  <c r="K1501" i="7" l="1"/>
  <c r="L1501" i="7" s="1"/>
  <c r="I1499" i="7"/>
  <c r="B1494" i="7"/>
  <c r="B1495" i="7"/>
  <c r="B1496" i="7"/>
  <c r="B1497" i="7"/>
  <c r="B1498" i="7"/>
  <c r="F1497" i="7"/>
  <c r="F1498" i="7"/>
  <c r="F1499" i="7"/>
  <c r="F1500" i="7"/>
  <c r="K1497" i="7"/>
  <c r="L1497" i="7" s="1"/>
  <c r="K1498" i="7"/>
  <c r="L1498" i="7" s="1"/>
  <c r="K1499" i="7"/>
  <c r="L1499" i="7" s="1"/>
  <c r="K1500" i="7"/>
  <c r="L1500" i="7" s="1"/>
  <c r="O1497" i="7"/>
  <c r="O1498" i="7"/>
  <c r="O1499" i="7"/>
  <c r="O1500" i="7"/>
  <c r="I1496" i="7" l="1"/>
  <c r="B1484" i="7"/>
  <c r="B1485" i="7"/>
  <c r="B1486" i="7"/>
  <c r="B1487" i="7"/>
  <c r="B1488" i="7"/>
  <c r="B1489" i="7"/>
  <c r="B1490" i="7"/>
  <c r="B1491" i="7"/>
  <c r="B1492" i="7"/>
  <c r="B1493" i="7"/>
  <c r="F1491" i="7"/>
  <c r="F1492" i="7"/>
  <c r="F1493" i="7"/>
  <c r="F1494" i="7"/>
  <c r="F1495" i="7"/>
  <c r="F1496" i="7"/>
  <c r="K1491" i="7"/>
  <c r="L1491" i="7" s="1"/>
  <c r="K1492" i="7"/>
  <c r="L1492" i="7" s="1"/>
  <c r="K1493" i="7"/>
  <c r="L1493" i="7" s="1"/>
  <c r="K1494" i="7"/>
  <c r="L1494" i="7" s="1"/>
  <c r="K1495" i="7"/>
  <c r="L1495" i="7" s="1"/>
  <c r="K1496" i="7"/>
  <c r="L1496" i="7" s="1"/>
  <c r="O1491" i="7"/>
  <c r="O1492" i="7"/>
  <c r="O1493" i="7"/>
  <c r="O1494" i="7"/>
  <c r="O1495" i="7"/>
  <c r="O1496" i="7"/>
  <c r="F1486" i="7"/>
  <c r="F1487" i="7"/>
  <c r="F1488" i="7"/>
  <c r="F1489" i="7"/>
  <c r="F1490" i="7"/>
  <c r="K1486" i="7"/>
  <c r="L1486" i="7" s="1"/>
  <c r="K1487" i="7"/>
  <c r="L1487" i="7" s="1"/>
  <c r="K1488" i="7"/>
  <c r="L1488" i="7" s="1"/>
  <c r="K1489" i="7"/>
  <c r="L1489" i="7" s="1"/>
  <c r="K1490" i="7"/>
  <c r="L1490" i="7" s="1"/>
  <c r="O1486" i="7"/>
  <c r="O1487" i="7"/>
  <c r="O1488" i="7"/>
  <c r="O1489" i="7"/>
  <c r="O1490" i="7"/>
  <c r="I1480" i="7" l="1"/>
  <c r="B1475" i="7"/>
  <c r="B1476" i="7"/>
  <c r="B1477" i="7"/>
  <c r="B1478" i="7"/>
  <c r="B1479" i="7"/>
  <c r="B1480" i="7"/>
  <c r="B1481" i="7"/>
  <c r="B1482" i="7"/>
  <c r="B1483" i="7"/>
  <c r="F1478" i="7"/>
  <c r="F1479" i="7"/>
  <c r="F1480" i="7"/>
  <c r="F1481" i="7"/>
  <c r="F1482" i="7"/>
  <c r="F1483" i="7"/>
  <c r="F1484" i="7"/>
  <c r="F1485" i="7"/>
  <c r="K1478" i="7"/>
  <c r="L1478" i="7" s="1"/>
  <c r="K1479" i="7"/>
  <c r="L1479" i="7" s="1"/>
  <c r="K1480" i="7"/>
  <c r="L1480" i="7" s="1"/>
  <c r="K1481" i="7"/>
  <c r="L1481" i="7" s="1"/>
  <c r="K1482" i="7"/>
  <c r="L1482" i="7" s="1"/>
  <c r="K1483" i="7"/>
  <c r="L1483" i="7" s="1"/>
  <c r="K1484" i="7"/>
  <c r="L1484" i="7" s="1"/>
  <c r="K1485" i="7"/>
  <c r="L1485" i="7" s="1"/>
  <c r="O1478" i="7"/>
  <c r="O1479" i="7"/>
  <c r="O1480" i="7"/>
  <c r="O1481" i="7"/>
  <c r="O1482" i="7"/>
  <c r="O1483" i="7"/>
  <c r="O1484" i="7"/>
  <c r="O1485" i="7"/>
  <c r="B1474" i="7" l="1"/>
  <c r="F1475" i="7"/>
  <c r="F1476" i="7"/>
  <c r="F1477" i="7"/>
  <c r="K1475" i="7"/>
  <c r="L1475" i="7" s="1"/>
  <c r="K1476" i="7"/>
  <c r="L1476" i="7" s="1"/>
  <c r="K1477" i="7"/>
  <c r="L1477" i="7" s="1"/>
  <c r="O1475" i="7"/>
  <c r="O1476" i="7"/>
  <c r="O1477" i="7"/>
  <c r="B1466" i="7" l="1"/>
  <c r="B1467" i="7"/>
  <c r="B1468" i="7"/>
  <c r="B1469" i="7"/>
  <c r="B1470" i="7"/>
  <c r="B1471" i="7"/>
  <c r="B1472" i="7"/>
  <c r="B1473" i="7"/>
  <c r="F1467" i="7"/>
  <c r="F1468" i="7"/>
  <c r="F1469" i="7"/>
  <c r="F1470" i="7"/>
  <c r="F1471" i="7"/>
  <c r="F1472" i="7"/>
  <c r="F1473" i="7"/>
  <c r="F1474" i="7"/>
  <c r="K1467" i="7"/>
  <c r="L1467" i="7" s="1"/>
  <c r="K1468" i="7"/>
  <c r="L1468" i="7" s="1"/>
  <c r="K1469" i="7"/>
  <c r="L1469" i="7" s="1"/>
  <c r="K1470" i="7"/>
  <c r="L1470" i="7" s="1"/>
  <c r="K1471" i="7"/>
  <c r="L1471" i="7" s="1"/>
  <c r="K1472" i="7"/>
  <c r="L1472" i="7" s="1"/>
  <c r="K1473" i="7"/>
  <c r="L1473" i="7" s="1"/>
  <c r="K1474" i="7"/>
  <c r="L1474" i="7" s="1"/>
  <c r="O1467" i="7"/>
  <c r="O1468" i="7"/>
  <c r="O1469" i="7"/>
  <c r="O1470" i="7"/>
  <c r="O1471" i="7"/>
  <c r="O1472" i="7"/>
  <c r="O1473" i="7"/>
  <c r="O1474" i="7"/>
  <c r="I1463" i="7" l="1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F1456" i="7"/>
  <c r="F1457" i="7"/>
  <c r="F1458" i="7"/>
  <c r="F1459" i="7"/>
  <c r="F1460" i="7"/>
  <c r="F1461" i="7"/>
  <c r="F1462" i="7"/>
  <c r="F1463" i="7"/>
  <c r="F1464" i="7"/>
  <c r="F1465" i="7"/>
  <c r="F1466" i="7"/>
  <c r="K1456" i="7"/>
  <c r="L1456" i="7" s="1"/>
  <c r="K1457" i="7"/>
  <c r="L1457" i="7" s="1"/>
  <c r="K1458" i="7"/>
  <c r="L1458" i="7" s="1"/>
  <c r="K1459" i="7"/>
  <c r="L1459" i="7" s="1"/>
  <c r="K1460" i="7"/>
  <c r="L1460" i="7" s="1"/>
  <c r="K1461" i="7"/>
  <c r="L1461" i="7" s="1"/>
  <c r="K1462" i="7"/>
  <c r="L1462" i="7" s="1"/>
  <c r="K1463" i="7"/>
  <c r="L1463" i="7" s="1"/>
  <c r="K1464" i="7"/>
  <c r="L1464" i="7" s="1"/>
  <c r="K1465" i="7"/>
  <c r="L1465" i="7" s="1"/>
  <c r="K1466" i="7"/>
  <c r="L1466" i="7" s="1"/>
  <c r="O1456" i="7"/>
  <c r="O1457" i="7"/>
  <c r="O1458" i="7"/>
  <c r="O1459" i="7"/>
  <c r="O1460" i="7"/>
  <c r="O1461" i="7"/>
  <c r="O1462" i="7"/>
  <c r="O1463" i="7"/>
  <c r="O1464" i="7"/>
  <c r="O1465" i="7"/>
  <c r="O1466" i="7"/>
  <c r="B11" i="30" l="1"/>
  <c r="I1455" i="7"/>
  <c r="B1448" i="7"/>
  <c r="F1451" i="7"/>
  <c r="F1452" i="7"/>
  <c r="F1453" i="7"/>
  <c r="F1454" i="7"/>
  <c r="F1455" i="7"/>
  <c r="K1451" i="7"/>
  <c r="L1451" i="7" s="1"/>
  <c r="K1452" i="7"/>
  <c r="L1452" i="7" s="1"/>
  <c r="K1453" i="7"/>
  <c r="L1453" i="7" s="1"/>
  <c r="K1454" i="7"/>
  <c r="L1454" i="7" s="1"/>
  <c r="K1455" i="7"/>
  <c r="L1455" i="7" s="1"/>
  <c r="O1451" i="7"/>
  <c r="O1452" i="7"/>
  <c r="O1453" i="7"/>
  <c r="O1454" i="7"/>
  <c r="O1455" i="7"/>
  <c r="B1439" i="7" l="1"/>
  <c r="B1440" i="7"/>
  <c r="B1441" i="7"/>
  <c r="B1442" i="7"/>
  <c r="B1443" i="7"/>
  <c r="B1444" i="7"/>
  <c r="B1445" i="7"/>
  <c r="B1446" i="7"/>
  <c r="B1447" i="7"/>
  <c r="F1444" i="7"/>
  <c r="F1445" i="7"/>
  <c r="F1446" i="7"/>
  <c r="F1447" i="7"/>
  <c r="F1448" i="7"/>
  <c r="F1449" i="7"/>
  <c r="F1450" i="7"/>
  <c r="K1444" i="7"/>
  <c r="L1444" i="7" s="1"/>
  <c r="K1445" i="7"/>
  <c r="L1445" i="7" s="1"/>
  <c r="K1446" i="7"/>
  <c r="L1446" i="7" s="1"/>
  <c r="K1447" i="7"/>
  <c r="L1447" i="7" s="1"/>
  <c r="K1448" i="7"/>
  <c r="L1448" i="7" s="1"/>
  <c r="K1449" i="7"/>
  <c r="L1449" i="7" s="1"/>
  <c r="K1450" i="7"/>
  <c r="L1450" i="7" s="1"/>
  <c r="O1444" i="7"/>
  <c r="O1445" i="7"/>
  <c r="O1446" i="7"/>
  <c r="O1447" i="7"/>
  <c r="O1448" i="7"/>
  <c r="O1449" i="7"/>
  <c r="O1450" i="7"/>
  <c r="B1438" i="7" l="1"/>
  <c r="F1440" i="7"/>
  <c r="F1441" i="7"/>
  <c r="F1442" i="7"/>
  <c r="F1443" i="7"/>
  <c r="K1440" i="7"/>
  <c r="L1440" i="7" s="1"/>
  <c r="K1441" i="7"/>
  <c r="L1441" i="7" s="1"/>
  <c r="K1442" i="7"/>
  <c r="L1442" i="7" s="1"/>
  <c r="K1443" i="7"/>
  <c r="L1443" i="7" s="1"/>
  <c r="O1440" i="7"/>
  <c r="O1441" i="7"/>
  <c r="O1442" i="7"/>
  <c r="O1443" i="7"/>
  <c r="I1439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F1434" i="7"/>
  <c r="F1435" i="7"/>
  <c r="F1436" i="7"/>
  <c r="F1437" i="7"/>
  <c r="F1438" i="7"/>
  <c r="F1439" i="7"/>
  <c r="K1434" i="7"/>
  <c r="L1434" i="7" s="1"/>
  <c r="K1435" i="7"/>
  <c r="L1435" i="7" s="1"/>
  <c r="K1436" i="7"/>
  <c r="L1436" i="7" s="1"/>
  <c r="K1437" i="7"/>
  <c r="L1437" i="7" s="1"/>
  <c r="K1438" i="7"/>
  <c r="L1438" i="7" s="1"/>
  <c r="K1439" i="7"/>
  <c r="L1439" i="7" s="1"/>
  <c r="O1434" i="7"/>
  <c r="O1435" i="7"/>
  <c r="O1436" i="7"/>
  <c r="O1437" i="7"/>
  <c r="O1438" i="7"/>
  <c r="O1439" i="7"/>
  <c r="I1421" i="7" l="1"/>
  <c r="B1415" i="7"/>
  <c r="B1416" i="7"/>
  <c r="B1417" i="7"/>
  <c r="B1418" i="7"/>
  <c r="B1419" i="7"/>
  <c r="B1420" i="7"/>
  <c r="B1421" i="7"/>
  <c r="B1422" i="7"/>
  <c r="B1423" i="7"/>
  <c r="B1424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K1419" i="7"/>
  <c r="L1419" i="7" s="1"/>
  <c r="K1420" i="7"/>
  <c r="L1420" i="7" s="1"/>
  <c r="K1421" i="7"/>
  <c r="L1421" i="7" s="1"/>
  <c r="K1422" i="7"/>
  <c r="L1422" i="7" s="1"/>
  <c r="K1423" i="7"/>
  <c r="L1423" i="7" s="1"/>
  <c r="K1424" i="7"/>
  <c r="L1424" i="7" s="1"/>
  <c r="K1425" i="7"/>
  <c r="L1425" i="7" s="1"/>
  <c r="K1426" i="7"/>
  <c r="L1426" i="7" s="1"/>
  <c r="K1427" i="7"/>
  <c r="L1427" i="7" s="1"/>
  <c r="K1428" i="7"/>
  <c r="L1428" i="7" s="1"/>
  <c r="K1429" i="7"/>
  <c r="L1429" i="7" s="1"/>
  <c r="K1430" i="7"/>
  <c r="L1430" i="7" s="1"/>
  <c r="K1431" i="7"/>
  <c r="L1431" i="7" s="1"/>
  <c r="K1432" i="7"/>
  <c r="L1432" i="7" s="1"/>
  <c r="K1433" i="7"/>
  <c r="L1433" i="7" s="1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B1403" i="7" l="1"/>
  <c r="F1403" i="7"/>
  <c r="K1403" i="7"/>
  <c r="L1403" i="7" s="1"/>
  <c r="O1403" i="7"/>
  <c r="B1401" i="7"/>
  <c r="B1402" i="7"/>
  <c r="B1404" i="7"/>
  <c r="B1405" i="7"/>
  <c r="B1406" i="7"/>
  <c r="B1407" i="7"/>
  <c r="B1408" i="7"/>
  <c r="B1409" i="7"/>
  <c r="B1410" i="7"/>
  <c r="B1411" i="7"/>
  <c r="B1412" i="7"/>
  <c r="B1413" i="7"/>
  <c r="B1414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K1404" i="7"/>
  <c r="L1404" i="7" s="1"/>
  <c r="K1405" i="7"/>
  <c r="L1405" i="7" s="1"/>
  <c r="K1406" i="7"/>
  <c r="L1406" i="7" s="1"/>
  <c r="K1407" i="7"/>
  <c r="L1407" i="7" s="1"/>
  <c r="K1408" i="7"/>
  <c r="L1408" i="7" s="1"/>
  <c r="K1409" i="7"/>
  <c r="L1409" i="7" s="1"/>
  <c r="K1410" i="7"/>
  <c r="L1410" i="7" s="1"/>
  <c r="K1411" i="7"/>
  <c r="L1411" i="7" s="1"/>
  <c r="K1412" i="7"/>
  <c r="L1412" i="7" s="1"/>
  <c r="K1413" i="7"/>
  <c r="L1413" i="7" s="1"/>
  <c r="K1414" i="7"/>
  <c r="L1414" i="7" s="1"/>
  <c r="K1415" i="7"/>
  <c r="L1415" i="7" s="1"/>
  <c r="K1416" i="7"/>
  <c r="L1416" i="7" s="1"/>
  <c r="K1417" i="7"/>
  <c r="L1417" i="7" s="1"/>
  <c r="K1418" i="7"/>
  <c r="L1418" i="7" s="1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K1401" i="7" l="1"/>
  <c r="L1401" i="7" s="1"/>
  <c r="B1396" i="7"/>
  <c r="B1397" i="7"/>
  <c r="B1398" i="7"/>
  <c r="B1399" i="7"/>
  <c r="B1400" i="7"/>
  <c r="F1399" i="7"/>
  <c r="F1400" i="7"/>
  <c r="F1401" i="7"/>
  <c r="F1402" i="7"/>
  <c r="K1399" i="7"/>
  <c r="L1399" i="7" s="1"/>
  <c r="K1402" i="7"/>
  <c r="L1402" i="7" s="1"/>
  <c r="O1399" i="7"/>
  <c r="O1400" i="7"/>
  <c r="O1401" i="7"/>
  <c r="O1402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K1386" i="7"/>
  <c r="L1386" i="7" s="1"/>
  <c r="K1387" i="7"/>
  <c r="L1387" i="7" s="1"/>
  <c r="K1388" i="7"/>
  <c r="L1388" i="7" s="1"/>
  <c r="K1389" i="7"/>
  <c r="L1389" i="7" s="1"/>
  <c r="K1390" i="7"/>
  <c r="L1390" i="7" s="1"/>
  <c r="K1391" i="7"/>
  <c r="L1391" i="7" s="1"/>
  <c r="K1392" i="7"/>
  <c r="L1392" i="7" s="1"/>
  <c r="K1393" i="7"/>
  <c r="L1393" i="7" s="1"/>
  <c r="K1394" i="7"/>
  <c r="L1394" i="7" s="1"/>
  <c r="K1395" i="7"/>
  <c r="L1395" i="7" s="1"/>
  <c r="K1396" i="7"/>
  <c r="L1396" i="7" s="1"/>
  <c r="K1397" i="7"/>
  <c r="L1397" i="7" s="1"/>
  <c r="K1398" i="7"/>
  <c r="L1398" i="7" s="1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E15" i="22"/>
  <c r="F15" i="22" s="1"/>
  <c r="E14" i="22"/>
  <c r="F14" i="22" s="1"/>
  <c r="G14" i="22"/>
  <c r="E13" i="22"/>
  <c r="F13" i="22" s="1"/>
  <c r="G13" i="22"/>
  <c r="E12" i="22"/>
  <c r="F12" i="22" s="1"/>
  <c r="G12" i="22"/>
  <c r="E11" i="22"/>
  <c r="F11" i="22" s="1"/>
  <c r="G11" i="22"/>
  <c r="B1364" i="7" l="1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K1373" i="7"/>
  <c r="L1373" i="7" s="1"/>
  <c r="K1374" i="7"/>
  <c r="L1374" i="7" s="1"/>
  <c r="K1375" i="7"/>
  <c r="L1375" i="7" s="1"/>
  <c r="K1376" i="7"/>
  <c r="L1376" i="7" s="1"/>
  <c r="K1377" i="7"/>
  <c r="L1377" i="7" s="1"/>
  <c r="K1378" i="7"/>
  <c r="L1378" i="7" s="1"/>
  <c r="K1379" i="7"/>
  <c r="L1379" i="7" s="1"/>
  <c r="K1380" i="7"/>
  <c r="L1380" i="7" s="1"/>
  <c r="K1381" i="7"/>
  <c r="L1381" i="7" s="1"/>
  <c r="K1382" i="7"/>
  <c r="L1382" i="7" s="1"/>
  <c r="K1383" i="7"/>
  <c r="L1383" i="7" s="1"/>
  <c r="K1384" i="7"/>
  <c r="L1384" i="7" s="1"/>
  <c r="K1385" i="7"/>
  <c r="L1385" i="7" s="1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I1372" i="7" l="1"/>
  <c r="B1362" i="7"/>
  <c r="B1363" i="7"/>
  <c r="F1369" i="7"/>
  <c r="F1370" i="7"/>
  <c r="F1371" i="7"/>
  <c r="F1372" i="7"/>
  <c r="K1369" i="7"/>
  <c r="L1369" i="7" s="1"/>
  <c r="K1370" i="7"/>
  <c r="L1370" i="7" s="1"/>
  <c r="K1371" i="7"/>
  <c r="L1371" i="7" s="1"/>
  <c r="K1372" i="7"/>
  <c r="L1372" i="7" s="1"/>
  <c r="O1369" i="7"/>
  <c r="O1370" i="7"/>
  <c r="O1371" i="7"/>
  <c r="O1372" i="7"/>
  <c r="B1354" i="7"/>
  <c r="B1355" i="7"/>
  <c r="B1356" i="7"/>
  <c r="B1357" i="7"/>
  <c r="B1358" i="7"/>
  <c r="B1359" i="7"/>
  <c r="B1360" i="7"/>
  <c r="B1361" i="7"/>
  <c r="F1360" i="7"/>
  <c r="F1361" i="7"/>
  <c r="F1362" i="7"/>
  <c r="F1363" i="7"/>
  <c r="F1364" i="7"/>
  <c r="F1365" i="7"/>
  <c r="F1366" i="7"/>
  <c r="F1367" i="7"/>
  <c r="F1368" i="7"/>
  <c r="K1360" i="7"/>
  <c r="L1360" i="7" s="1"/>
  <c r="K1361" i="7"/>
  <c r="L1361" i="7" s="1"/>
  <c r="K1362" i="7"/>
  <c r="L1362" i="7" s="1"/>
  <c r="K1363" i="7"/>
  <c r="L1363" i="7" s="1"/>
  <c r="K1364" i="7"/>
  <c r="L1364" i="7" s="1"/>
  <c r="K1365" i="7"/>
  <c r="L1365" i="7" s="1"/>
  <c r="K1366" i="7"/>
  <c r="L1366" i="7" s="1"/>
  <c r="K1367" i="7"/>
  <c r="L1367" i="7" s="1"/>
  <c r="K1368" i="7"/>
  <c r="L1368" i="7" s="1"/>
  <c r="O1360" i="7"/>
  <c r="O1361" i="7"/>
  <c r="O1362" i="7"/>
  <c r="O1363" i="7"/>
  <c r="O1364" i="7"/>
  <c r="O1365" i="7"/>
  <c r="O1366" i="7"/>
  <c r="O1367" i="7"/>
  <c r="O1368" i="7"/>
  <c r="I1359" i="7" l="1"/>
  <c r="F1359" i="7"/>
  <c r="K1359" i="7"/>
  <c r="L1359" i="7" s="1"/>
  <c r="O1359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K1344" i="7"/>
  <c r="L1344" i="7" s="1"/>
  <c r="K1345" i="7"/>
  <c r="L1345" i="7" s="1"/>
  <c r="K1346" i="7"/>
  <c r="L1346" i="7" s="1"/>
  <c r="K1347" i="7"/>
  <c r="L1347" i="7" s="1"/>
  <c r="K1348" i="7"/>
  <c r="L1348" i="7" s="1"/>
  <c r="K1349" i="7"/>
  <c r="L1349" i="7" s="1"/>
  <c r="K1350" i="7"/>
  <c r="L1350" i="7" s="1"/>
  <c r="K1351" i="7"/>
  <c r="L1351" i="7" s="1"/>
  <c r="K1352" i="7"/>
  <c r="L1352" i="7" s="1"/>
  <c r="K1353" i="7"/>
  <c r="L1353" i="7" s="1"/>
  <c r="K1354" i="7"/>
  <c r="L1354" i="7" s="1"/>
  <c r="K1355" i="7"/>
  <c r="L1355" i="7" s="1"/>
  <c r="K1356" i="7"/>
  <c r="L1356" i="7" s="1"/>
  <c r="K1357" i="7"/>
  <c r="L1357" i="7" s="1"/>
  <c r="K1358" i="7"/>
  <c r="L1358" i="7" s="1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F1341" i="7" l="1"/>
  <c r="F1342" i="7"/>
  <c r="F1343" i="7"/>
  <c r="K1341" i="7"/>
  <c r="L1341" i="7" s="1"/>
  <c r="K1342" i="7"/>
  <c r="L1342" i="7" s="1"/>
  <c r="K1343" i="7"/>
  <c r="L1343" i="7" s="1"/>
  <c r="O1341" i="7"/>
  <c r="O1342" i="7"/>
  <c r="O1343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K1328" i="7"/>
  <c r="L1328" i="7" s="1"/>
  <c r="K1329" i="7"/>
  <c r="L1329" i="7" s="1"/>
  <c r="K1330" i="7"/>
  <c r="L1330" i="7" s="1"/>
  <c r="K1331" i="7"/>
  <c r="L1331" i="7" s="1"/>
  <c r="K1332" i="7"/>
  <c r="L1332" i="7" s="1"/>
  <c r="K1333" i="7"/>
  <c r="L1333" i="7" s="1"/>
  <c r="K1334" i="7"/>
  <c r="L1334" i="7" s="1"/>
  <c r="K1335" i="7"/>
  <c r="L1335" i="7" s="1"/>
  <c r="K1336" i="7"/>
  <c r="L1336" i="7" s="1"/>
  <c r="K1337" i="7"/>
  <c r="L1337" i="7" s="1"/>
  <c r="K1338" i="7"/>
  <c r="L1338" i="7" s="1"/>
  <c r="K1339" i="7"/>
  <c r="L1339" i="7" s="1"/>
  <c r="K1340" i="7"/>
  <c r="L1340" i="7" s="1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F1325" i="7" l="1"/>
  <c r="K1325" i="7"/>
  <c r="L1325" i="7" s="1"/>
  <c r="O1325" i="7"/>
  <c r="I1327" i="7"/>
  <c r="I1323" i="7"/>
  <c r="B1314" i="7"/>
  <c r="B1315" i="7"/>
  <c r="B1316" i="7"/>
  <c r="B1317" i="7"/>
  <c r="B1318" i="7"/>
  <c r="B1319" i="7"/>
  <c r="B1320" i="7"/>
  <c r="B1321" i="7"/>
  <c r="B1322" i="7"/>
  <c r="F1322" i="7"/>
  <c r="F1323" i="7"/>
  <c r="F1324" i="7"/>
  <c r="F1326" i="7"/>
  <c r="F1327" i="7"/>
  <c r="K1322" i="7"/>
  <c r="L1322" i="7" s="1"/>
  <c r="K1323" i="7"/>
  <c r="L1323" i="7" s="1"/>
  <c r="K1324" i="7"/>
  <c r="L1324" i="7" s="1"/>
  <c r="K1326" i="7"/>
  <c r="L1326" i="7" s="1"/>
  <c r="K1327" i="7"/>
  <c r="L1327" i="7" s="1"/>
  <c r="O1322" i="7"/>
  <c r="O1323" i="7"/>
  <c r="O1324" i="7"/>
  <c r="O1326" i="7"/>
  <c r="O1327" i="7"/>
  <c r="B1311" i="7" l="1"/>
  <c r="B1312" i="7"/>
  <c r="B1313" i="7"/>
  <c r="F1313" i="7"/>
  <c r="F1314" i="7"/>
  <c r="F1315" i="7"/>
  <c r="F1316" i="7"/>
  <c r="F1317" i="7"/>
  <c r="F1318" i="7"/>
  <c r="F1319" i="7"/>
  <c r="F1320" i="7"/>
  <c r="F1321" i="7"/>
  <c r="K1313" i="7"/>
  <c r="L1313" i="7" s="1"/>
  <c r="K1314" i="7"/>
  <c r="L1314" i="7" s="1"/>
  <c r="K1315" i="7"/>
  <c r="L1315" i="7" s="1"/>
  <c r="K1316" i="7"/>
  <c r="L1316" i="7" s="1"/>
  <c r="K1317" i="7"/>
  <c r="L1317" i="7" s="1"/>
  <c r="K1318" i="7"/>
  <c r="L1318" i="7" s="1"/>
  <c r="K1319" i="7"/>
  <c r="L1319" i="7" s="1"/>
  <c r="K1320" i="7"/>
  <c r="L1320" i="7" s="1"/>
  <c r="K1321" i="7"/>
  <c r="L1321" i="7" s="1"/>
  <c r="O1313" i="7"/>
  <c r="O1314" i="7"/>
  <c r="O1315" i="7"/>
  <c r="O1316" i="7"/>
  <c r="O1317" i="7"/>
  <c r="O1318" i="7"/>
  <c r="O1319" i="7"/>
  <c r="O1320" i="7"/>
  <c r="O1321" i="7"/>
  <c r="I1300" i="7" l="1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K1299" i="7"/>
  <c r="L1299" i="7" s="1"/>
  <c r="K1300" i="7"/>
  <c r="L1300" i="7" s="1"/>
  <c r="K1301" i="7"/>
  <c r="L1301" i="7" s="1"/>
  <c r="K1302" i="7"/>
  <c r="L1302" i="7" s="1"/>
  <c r="K1303" i="7"/>
  <c r="L1303" i="7" s="1"/>
  <c r="K1304" i="7"/>
  <c r="L1304" i="7" s="1"/>
  <c r="K1305" i="7"/>
  <c r="L1305" i="7" s="1"/>
  <c r="K1306" i="7"/>
  <c r="L1306" i="7" s="1"/>
  <c r="K1307" i="7"/>
  <c r="L1307" i="7" s="1"/>
  <c r="K1308" i="7"/>
  <c r="L1308" i="7" s="1"/>
  <c r="K1309" i="7"/>
  <c r="L1309" i="7" s="1"/>
  <c r="K1310" i="7"/>
  <c r="L1310" i="7" s="1"/>
  <c r="K1311" i="7"/>
  <c r="L1311" i="7" s="1"/>
  <c r="K1312" i="7"/>
  <c r="L1312" i="7" s="1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B1291" i="7"/>
  <c r="F1296" i="7"/>
  <c r="F1297" i="7"/>
  <c r="F1298" i="7"/>
  <c r="K1296" i="7"/>
  <c r="L1296" i="7" s="1"/>
  <c r="K1297" i="7"/>
  <c r="L1297" i="7" s="1"/>
  <c r="K1298" i="7"/>
  <c r="L1298" i="7" s="1"/>
  <c r="O1296" i="7"/>
  <c r="O1297" i="7"/>
  <c r="O1298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K1281" i="7"/>
  <c r="L1281" i="7" s="1"/>
  <c r="K1282" i="7"/>
  <c r="L1282" i="7" s="1"/>
  <c r="K1283" i="7"/>
  <c r="L1283" i="7" s="1"/>
  <c r="K1284" i="7"/>
  <c r="L1284" i="7" s="1"/>
  <c r="K1285" i="7"/>
  <c r="L1285" i="7" s="1"/>
  <c r="K1286" i="7"/>
  <c r="L1286" i="7" s="1"/>
  <c r="K1287" i="7"/>
  <c r="L1287" i="7" s="1"/>
  <c r="K1288" i="7"/>
  <c r="L1288" i="7" s="1"/>
  <c r="K1289" i="7"/>
  <c r="L1289" i="7" s="1"/>
  <c r="K1290" i="7"/>
  <c r="L1290" i="7" s="1"/>
  <c r="K1291" i="7"/>
  <c r="L1291" i="7" s="1"/>
  <c r="K1292" i="7"/>
  <c r="L1292" i="7" s="1"/>
  <c r="K1293" i="7"/>
  <c r="L1293" i="7" s="1"/>
  <c r="K1294" i="7"/>
  <c r="L1294" i="7" s="1"/>
  <c r="K1295" i="7"/>
  <c r="L1295" i="7" s="1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F1280" i="7" l="1"/>
  <c r="K1280" i="7"/>
  <c r="L1280" i="7" s="1"/>
  <c r="O1280" i="7"/>
  <c r="B1257" i="7"/>
  <c r="B1258" i="7"/>
  <c r="B1259" i="7"/>
  <c r="B1260" i="7"/>
  <c r="B1261" i="7"/>
  <c r="B1262" i="7"/>
  <c r="B1263" i="7"/>
  <c r="B1264" i="7"/>
  <c r="B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K1266" i="7"/>
  <c r="L1266" i="7" s="1"/>
  <c r="K1267" i="7"/>
  <c r="L1267" i="7" s="1"/>
  <c r="K1268" i="7"/>
  <c r="L1268" i="7" s="1"/>
  <c r="K1269" i="7"/>
  <c r="L1269" i="7" s="1"/>
  <c r="K1270" i="7"/>
  <c r="L1270" i="7" s="1"/>
  <c r="K1271" i="7"/>
  <c r="L1271" i="7" s="1"/>
  <c r="K1272" i="7"/>
  <c r="L1272" i="7" s="1"/>
  <c r="K1273" i="7"/>
  <c r="L1273" i="7" s="1"/>
  <c r="K1274" i="7"/>
  <c r="L1274" i="7" s="1"/>
  <c r="K1275" i="7"/>
  <c r="L1275" i="7" s="1"/>
  <c r="K1276" i="7"/>
  <c r="L1276" i="7" s="1"/>
  <c r="K1277" i="7"/>
  <c r="L1277" i="7" s="1"/>
  <c r="K1278" i="7"/>
  <c r="L1278" i="7" s="1"/>
  <c r="K1279" i="7"/>
  <c r="L1279" i="7" s="1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BK11" i="15" l="1"/>
  <c r="BK16" i="15" s="1"/>
  <c r="BH11" i="15"/>
  <c r="BH21" i="15" s="1"/>
  <c r="BI11" i="15"/>
  <c r="BI18" i="15" s="1"/>
  <c r="BJ11" i="15"/>
  <c r="BJ18" i="15" s="1"/>
  <c r="BG11" i="15"/>
  <c r="BG19" i="15" s="1"/>
  <c r="BG16" i="15" l="1"/>
  <c r="BG22" i="15"/>
  <c r="BG21" i="15"/>
  <c r="BG20" i="15"/>
  <c r="BK20" i="15"/>
  <c r="BK22" i="15"/>
  <c r="BK21" i="15"/>
  <c r="BK19" i="15"/>
  <c r="BG18" i="15"/>
  <c r="BK18" i="15"/>
  <c r="BG17" i="15"/>
  <c r="BK17" i="15"/>
  <c r="BH18" i="15"/>
  <c r="BJ20" i="15"/>
  <c r="BI20" i="15"/>
  <c r="BJ17" i="15"/>
  <c r="BJ22" i="15"/>
  <c r="BH20" i="15"/>
  <c r="BI17" i="15"/>
  <c r="BI22" i="15"/>
  <c r="BJ19" i="15"/>
  <c r="BH17" i="15"/>
  <c r="BH22" i="15"/>
  <c r="BH24" i="15" s="1"/>
  <c r="BI19" i="15"/>
  <c r="BJ16" i="15"/>
  <c r="BJ21" i="15"/>
  <c r="BH19" i="15"/>
  <c r="BI16" i="15"/>
  <c r="BI21" i="15"/>
  <c r="BH16" i="15"/>
  <c r="J1262" i="7"/>
  <c r="K1262" i="7" s="1"/>
  <c r="L1262" i="7" s="1"/>
  <c r="I1262" i="7"/>
  <c r="F1263" i="7"/>
  <c r="F1264" i="7"/>
  <c r="F1265" i="7"/>
  <c r="K1263" i="7"/>
  <c r="L1263" i="7" s="1"/>
  <c r="K1264" i="7"/>
  <c r="L1264" i="7" s="1"/>
  <c r="K1265" i="7"/>
  <c r="L1265" i="7" s="1"/>
  <c r="O1263" i="7"/>
  <c r="O1264" i="7"/>
  <c r="O1265" i="7"/>
  <c r="J1259" i="7"/>
  <c r="K1259" i="7" s="1"/>
  <c r="L1259" i="7" s="1"/>
  <c r="I1259" i="7"/>
  <c r="F1259" i="7"/>
  <c r="F1260" i="7"/>
  <c r="F1261" i="7"/>
  <c r="F1262" i="7"/>
  <c r="K1260" i="7"/>
  <c r="L1260" i="7" s="1"/>
  <c r="K1261" i="7"/>
  <c r="L1261" i="7" s="1"/>
  <c r="O1259" i="7"/>
  <c r="O1260" i="7"/>
  <c r="O1261" i="7"/>
  <c r="O1262" i="7"/>
  <c r="J1255" i="7"/>
  <c r="K1255" i="7" s="1"/>
  <c r="L1255" i="7" s="1"/>
  <c r="I1255" i="7"/>
  <c r="J1253" i="7"/>
  <c r="K1253" i="7" s="1"/>
  <c r="L1253" i="7" s="1"/>
  <c r="I1253" i="7"/>
  <c r="I1248" i="7"/>
  <c r="J1248" i="7"/>
  <c r="K1248" i="7" s="1"/>
  <c r="L1248" i="7" s="1"/>
  <c r="J1244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K1245" i="7"/>
  <c r="L1245" i="7" s="1"/>
  <c r="K1246" i="7"/>
  <c r="L1246" i="7" s="1"/>
  <c r="K1247" i="7"/>
  <c r="L1247" i="7" s="1"/>
  <c r="K1249" i="7"/>
  <c r="L1249" i="7" s="1"/>
  <c r="K1250" i="7"/>
  <c r="L1250" i="7" s="1"/>
  <c r="K1251" i="7"/>
  <c r="L1251" i="7" s="1"/>
  <c r="K1252" i="7"/>
  <c r="L1252" i="7" s="1"/>
  <c r="K1254" i="7"/>
  <c r="L1254" i="7" s="1"/>
  <c r="K1256" i="7"/>
  <c r="L1256" i="7" s="1"/>
  <c r="K1257" i="7"/>
  <c r="L1257" i="7" s="1"/>
  <c r="K1258" i="7"/>
  <c r="L1258" i="7" s="1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BI24" i="15" l="1"/>
  <c r="BJ24" i="15"/>
  <c r="BG24" i="15"/>
  <c r="BH25" i="15"/>
  <c r="BI25" i="15"/>
  <c r="BJ25" i="15"/>
  <c r="BG25" i="15"/>
  <c r="BK25" i="15"/>
  <c r="BK24" i="15"/>
  <c r="K1244" i="7"/>
  <c r="L1244" i="7" s="1"/>
  <c r="F1241" i="7" l="1"/>
  <c r="B1233" i="7"/>
  <c r="B1234" i="7"/>
  <c r="B1235" i="7"/>
  <c r="F1235" i="7"/>
  <c r="F1236" i="7"/>
  <c r="F1237" i="7"/>
  <c r="F1238" i="7"/>
  <c r="F1239" i="7"/>
  <c r="F1240" i="7"/>
  <c r="F1242" i="7"/>
  <c r="F1243" i="7"/>
  <c r="K1235" i="7"/>
  <c r="L1235" i="7" s="1"/>
  <c r="K1236" i="7"/>
  <c r="L1236" i="7" s="1"/>
  <c r="K1237" i="7"/>
  <c r="L1237" i="7" s="1"/>
  <c r="K1238" i="7"/>
  <c r="L1238" i="7" s="1"/>
  <c r="K1239" i="7"/>
  <c r="L1239" i="7" s="1"/>
  <c r="K1240" i="7"/>
  <c r="L1240" i="7" s="1"/>
  <c r="K1241" i="7"/>
  <c r="L1241" i="7" s="1"/>
  <c r="K1242" i="7"/>
  <c r="L1242" i="7" s="1"/>
  <c r="K1243" i="7"/>
  <c r="L1243" i="7" s="1"/>
  <c r="O1235" i="7"/>
  <c r="O1236" i="7"/>
  <c r="O1237" i="7"/>
  <c r="O1238" i="7"/>
  <c r="O1239" i="7"/>
  <c r="O1240" i="7"/>
  <c r="O1241" i="7"/>
  <c r="O1242" i="7"/>
  <c r="O1243" i="7"/>
  <c r="I1221" i="7"/>
  <c r="I1220" i="7"/>
  <c r="B1230" i="7"/>
  <c r="B1231" i="7"/>
  <c r="B1232" i="7"/>
  <c r="F1234" i="7"/>
  <c r="K1234" i="7"/>
  <c r="L1234" i="7" s="1"/>
  <c r="O1234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K1220" i="7"/>
  <c r="L1220" i="7" s="1"/>
  <c r="K1221" i="7"/>
  <c r="L1221" i="7" s="1"/>
  <c r="K1222" i="7"/>
  <c r="L1222" i="7" s="1"/>
  <c r="K1223" i="7"/>
  <c r="L1223" i="7" s="1"/>
  <c r="K1224" i="7"/>
  <c r="L1224" i="7" s="1"/>
  <c r="K1225" i="7"/>
  <c r="L1225" i="7" s="1"/>
  <c r="K1226" i="7"/>
  <c r="L1226" i="7" s="1"/>
  <c r="K1227" i="7"/>
  <c r="L1227" i="7" s="1"/>
  <c r="K1228" i="7"/>
  <c r="L1228" i="7" s="1"/>
  <c r="K1229" i="7"/>
  <c r="L1229" i="7" s="1"/>
  <c r="K1230" i="7"/>
  <c r="L1230" i="7" s="1"/>
  <c r="K1231" i="7"/>
  <c r="L1231" i="7" s="1"/>
  <c r="K1232" i="7"/>
  <c r="L1232" i="7" s="1"/>
  <c r="K1233" i="7"/>
  <c r="L1233" i="7" s="1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B1203" i="7"/>
  <c r="B1204" i="7"/>
  <c r="B1205" i="7"/>
  <c r="B1206" i="7"/>
  <c r="B1207" i="7"/>
  <c r="B1208" i="7"/>
  <c r="B1209" i="7"/>
  <c r="F1211" i="7"/>
  <c r="F1212" i="7"/>
  <c r="F1213" i="7"/>
  <c r="F1214" i="7"/>
  <c r="F1215" i="7"/>
  <c r="F1216" i="7"/>
  <c r="F1217" i="7"/>
  <c r="F1218" i="7"/>
  <c r="F1219" i="7"/>
  <c r="K1211" i="7"/>
  <c r="L1211" i="7" s="1"/>
  <c r="K1212" i="7"/>
  <c r="L1212" i="7" s="1"/>
  <c r="K1213" i="7"/>
  <c r="L1213" i="7" s="1"/>
  <c r="K1214" i="7"/>
  <c r="L1214" i="7" s="1"/>
  <c r="K1215" i="7"/>
  <c r="L1215" i="7" s="1"/>
  <c r="K1216" i="7"/>
  <c r="L1216" i="7" s="1"/>
  <c r="K1217" i="7"/>
  <c r="L1217" i="7" s="1"/>
  <c r="K1218" i="7"/>
  <c r="L1218" i="7" s="1"/>
  <c r="K1219" i="7"/>
  <c r="L1219" i="7" s="1"/>
  <c r="O1211" i="7"/>
  <c r="O1212" i="7"/>
  <c r="O1213" i="7"/>
  <c r="O1214" i="7"/>
  <c r="O1215" i="7"/>
  <c r="O1216" i="7"/>
  <c r="O1217" i="7"/>
  <c r="O1218" i="7"/>
  <c r="O1219" i="7"/>
  <c r="I1210" i="7" l="1"/>
  <c r="J1208" i="7"/>
  <c r="K1208" i="7" s="1"/>
  <c r="L1208" i="7" s="1"/>
  <c r="I1208" i="7"/>
  <c r="J1206" i="7"/>
  <c r="K1206" i="7" s="1"/>
  <c r="L1206" i="7" s="1"/>
  <c r="I1206" i="7"/>
  <c r="J1200" i="7"/>
  <c r="K1200" i="7" s="1"/>
  <c r="L1200" i="7" s="1"/>
  <c r="I1200" i="7"/>
  <c r="J1196" i="7"/>
  <c r="I1196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K1192" i="7"/>
  <c r="L1192" i="7" s="1"/>
  <c r="K1193" i="7"/>
  <c r="L1193" i="7" s="1"/>
  <c r="K1194" i="7"/>
  <c r="L1194" i="7" s="1"/>
  <c r="K1195" i="7"/>
  <c r="L1195" i="7" s="1"/>
  <c r="K1197" i="7"/>
  <c r="L1197" i="7" s="1"/>
  <c r="K1198" i="7"/>
  <c r="L1198" i="7" s="1"/>
  <c r="K1199" i="7"/>
  <c r="L1199" i="7" s="1"/>
  <c r="K1201" i="7"/>
  <c r="L1201" i="7" s="1"/>
  <c r="K1202" i="7"/>
  <c r="L1202" i="7" s="1"/>
  <c r="K1203" i="7"/>
  <c r="L1203" i="7" s="1"/>
  <c r="K1204" i="7"/>
  <c r="L1204" i="7" s="1"/>
  <c r="K1205" i="7"/>
  <c r="L1205" i="7" s="1"/>
  <c r="K1207" i="7"/>
  <c r="L1207" i="7" s="1"/>
  <c r="K1209" i="7"/>
  <c r="L1209" i="7" s="1"/>
  <c r="K1210" i="7"/>
  <c r="L1210" i="7" s="1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K1196" i="7" l="1"/>
  <c r="L1196" i="7" s="1"/>
  <c r="L10" i="36"/>
  <c r="L9" i="36"/>
  <c r="B1184" i="7"/>
  <c r="B1185" i="7"/>
  <c r="B1186" i="7"/>
  <c r="B1187" i="7"/>
  <c r="B1188" i="7"/>
  <c r="B1189" i="7"/>
  <c r="B1190" i="7"/>
  <c r="F1188" i="7"/>
  <c r="F1189" i="7"/>
  <c r="F1190" i="7"/>
  <c r="F1191" i="7"/>
  <c r="K1188" i="7"/>
  <c r="L1188" i="7" s="1"/>
  <c r="K1189" i="7"/>
  <c r="L1189" i="7" s="1"/>
  <c r="K1190" i="7"/>
  <c r="L1190" i="7" s="1"/>
  <c r="K1191" i="7"/>
  <c r="L1191" i="7" s="1"/>
  <c r="O1188" i="7"/>
  <c r="O1189" i="7"/>
  <c r="O1190" i="7"/>
  <c r="O1191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K1174" i="7"/>
  <c r="L1174" i="7" s="1"/>
  <c r="K1175" i="7"/>
  <c r="L1175" i="7" s="1"/>
  <c r="K1176" i="7"/>
  <c r="L1176" i="7" s="1"/>
  <c r="K1177" i="7"/>
  <c r="L1177" i="7" s="1"/>
  <c r="K1178" i="7"/>
  <c r="L1178" i="7" s="1"/>
  <c r="K1179" i="7"/>
  <c r="L1179" i="7" s="1"/>
  <c r="K1180" i="7"/>
  <c r="L1180" i="7" s="1"/>
  <c r="K1181" i="7"/>
  <c r="L1181" i="7" s="1"/>
  <c r="K1182" i="7"/>
  <c r="L1182" i="7" s="1"/>
  <c r="K1183" i="7"/>
  <c r="L1183" i="7" s="1"/>
  <c r="K1184" i="7"/>
  <c r="L1184" i="7" s="1"/>
  <c r="K1185" i="7"/>
  <c r="L1185" i="7" s="1"/>
  <c r="K1186" i="7"/>
  <c r="L1186" i="7" s="1"/>
  <c r="K1187" i="7"/>
  <c r="L1187" i="7" s="1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I11" i="36" l="1"/>
  <c r="M11" i="36"/>
  <c r="F11" i="36"/>
  <c r="G11" i="36"/>
  <c r="B11" i="36"/>
  <c r="N11" i="36"/>
  <c r="S11" i="36"/>
  <c r="I1169" i="7"/>
  <c r="I1170" i="7"/>
  <c r="I1162" i="7"/>
  <c r="I1161" i="7"/>
  <c r="B1154" i="7"/>
  <c r="B1155" i="7"/>
  <c r="B1156" i="7"/>
  <c r="B1157" i="7"/>
  <c r="B1158" i="7"/>
  <c r="B1159" i="7"/>
  <c r="B1160" i="7"/>
  <c r="B1161" i="7"/>
  <c r="B1162" i="7"/>
  <c r="B1163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K1160" i="7"/>
  <c r="L1160" i="7" s="1"/>
  <c r="K1161" i="7"/>
  <c r="L1161" i="7" s="1"/>
  <c r="K1162" i="7"/>
  <c r="L1162" i="7" s="1"/>
  <c r="K1163" i="7"/>
  <c r="L1163" i="7" s="1"/>
  <c r="K1164" i="7"/>
  <c r="L1164" i="7" s="1"/>
  <c r="K1165" i="7"/>
  <c r="L1165" i="7" s="1"/>
  <c r="K1166" i="7"/>
  <c r="L1166" i="7" s="1"/>
  <c r="K1167" i="7"/>
  <c r="L1167" i="7" s="1"/>
  <c r="K1168" i="7"/>
  <c r="L1168" i="7" s="1"/>
  <c r="K1169" i="7"/>
  <c r="L1169" i="7" s="1"/>
  <c r="K1170" i="7"/>
  <c r="L1170" i="7" s="1"/>
  <c r="K1171" i="7"/>
  <c r="L1171" i="7" s="1"/>
  <c r="K1172" i="7"/>
  <c r="L1172" i="7" s="1"/>
  <c r="K1173" i="7"/>
  <c r="L1173" i="7" s="1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S10" i="36"/>
  <c r="S9" i="36"/>
  <c r="S12" i="36"/>
  <c r="S13" i="36"/>
  <c r="S14" i="36"/>
  <c r="S15" i="36"/>
  <c r="S16" i="36"/>
  <c r="S17" i="36"/>
  <c r="B10" i="36"/>
  <c r="B9" i="36"/>
  <c r="B12" i="36"/>
  <c r="B13" i="36"/>
  <c r="B14" i="36"/>
  <c r="B15" i="36"/>
  <c r="B16" i="36"/>
  <c r="B17" i="36"/>
  <c r="I4" i="36"/>
  <c r="U10" i="36"/>
  <c r="U9" i="36"/>
  <c r="N10" i="36"/>
  <c r="N9" i="36"/>
  <c r="N15" i="36"/>
  <c r="N16" i="36"/>
  <c r="N17" i="36"/>
  <c r="M10" i="36"/>
  <c r="M9" i="36"/>
  <c r="M15" i="36"/>
  <c r="M16" i="36"/>
  <c r="M17" i="36"/>
  <c r="F10" i="36"/>
  <c r="G10" i="36"/>
  <c r="G17" i="36"/>
  <c r="O17" i="36" s="1"/>
  <c r="F17" i="36"/>
  <c r="G16" i="36"/>
  <c r="O16" i="36" s="1"/>
  <c r="O15" i="36"/>
  <c r="H15" i="36"/>
  <c r="I15" i="36" s="1"/>
  <c r="O14" i="36"/>
  <c r="H14" i="36"/>
  <c r="G9" i="36"/>
  <c r="O9" i="36" s="1"/>
  <c r="F9" i="36"/>
  <c r="I5" i="36"/>
  <c r="B5" i="36"/>
  <c r="B4" i="36"/>
  <c r="T11" i="36" l="1"/>
  <c r="H11" i="36"/>
  <c r="O11" i="36"/>
  <c r="T12" i="36"/>
  <c r="T10" i="36"/>
  <c r="H10" i="36"/>
  <c r="P10" i="36" s="1"/>
  <c r="O10" i="36"/>
  <c r="T9" i="36"/>
  <c r="T13" i="36"/>
  <c r="H9" i="36"/>
  <c r="P9" i="36" s="1"/>
  <c r="P15" i="36"/>
  <c r="U15" i="36" s="1"/>
  <c r="T15" i="36"/>
  <c r="T14" i="36"/>
  <c r="T17" i="36"/>
  <c r="F16" i="36"/>
  <c r="H16" i="36" s="1"/>
  <c r="I16" i="36" s="1"/>
  <c r="H17" i="36"/>
  <c r="P17" i="36" s="1"/>
  <c r="U17" i="36" s="1"/>
  <c r="L4" i="36"/>
  <c r="T16" i="36"/>
  <c r="P11" i="36" l="1"/>
  <c r="U11" i="36" s="1"/>
  <c r="I17" i="36"/>
  <c r="P16" i="36"/>
  <c r="U16" i="36" s="1"/>
  <c r="I1154" i="7" l="1"/>
  <c r="B1150" i="7"/>
  <c r="B1151" i="7"/>
  <c r="B1152" i="7"/>
  <c r="B1153" i="7"/>
  <c r="F1153" i="7"/>
  <c r="F1154" i="7"/>
  <c r="F1155" i="7"/>
  <c r="F1156" i="7"/>
  <c r="F1157" i="7"/>
  <c r="F1158" i="7"/>
  <c r="F1159" i="7"/>
  <c r="K1153" i="7"/>
  <c r="L1153" i="7" s="1"/>
  <c r="K1154" i="7"/>
  <c r="L1154" i="7" s="1"/>
  <c r="K1155" i="7"/>
  <c r="L1155" i="7" s="1"/>
  <c r="K1156" i="7"/>
  <c r="L1156" i="7" s="1"/>
  <c r="K1157" i="7"/>
  <c r="L1157" i="7" s="1"/>
  <c r="K1158" i="7"/>
  <c r="L1158" i="7" s="1"/>
  <c r="K1159" i="7"/>
  <c r="L1159" i="7" s="1"/>
  <c r="O1153" i="7"/>
  <c r="O1154" i="7"/>
  <c r="O1155" i="7"/>
  <c r="O1156" i="7"/>
  <c r="O1157" i="7"/>
  <c r="O1158" i="7"/>
  <c r="O1159" i="7"/>
  <c r="B1141" i="7"/>
  <c r="B1142" i="7"/>
  <c r="B1143" i="7"/>
  <c r="B1144" i="7"/>
  <c r="B1145" i="7"/>
  <c r="B1146" i="7"/>
  <c r="B1147" i="7"/>
  <c r="B1148" i="7"/>
  <c r="B1149" i="7"/>
  <c r="F1145" i="7"/>
  <c r="F1146" i="7"/>
  <c r="F1147" i="7"/>
  <c r="F1148" i="7"/>
  <c r="F1149" i="7"/>
  <c r="F1150" i="7"/>
  <c r="F1151" i="7"/>
  <c r="F1152" i="7"/>
  <c r="K1145" i="7"/>
  <c r="L1145" i="7" s="1"/>
  <c r="K1146" i="7"/>
  <c r="L1146" i="7" s="1"/>
  <c r="K1147" i="7"/>
  <c r="L1147" i="7" s="1"/>
  <c r="K1148" i="7"/>
  <c r="L1148" i="7" s="1"/>
  <c r="K1149" i="7"/>
  <c r="L1149" i="7" s="1"/>
  <c r="K1150" i="7"/>
  <c r="L1150" i="7" s="1"/>
  <c r="K1151" i="7"/>
  <c r="L1151" i="7" s="1"/>
  <c r="K1152" i="7"/>
  <c r="L1152" i="7" s="1"/>
  <c r="O1145" i="7"/>
  <c r="O1146" i="7"/>
  <c r="O1147" i="7"/>
  <c r="O1148" i="7"/>
  <c r="O1149" i="7"/>
  <c r="O1150" i="7"/>
  <c r="O1151" i="7"/>
  <c r="O1152" i="7"/>
  <c r="B1132" i="7" l="1"/>
  <c r="B1133" i="7"/>
  <c r="B1134" i="7"/>
  <c r="B1135" i="7"/>
  <c r="B1136" i="7"/>
  <c r="B1137" i="7"/>
  <c r="B1138" i="7"/>
  <c r="B1139" i="7"/>
  <c r="B1140" i="7"/>
  <c r="F1134" i="7"/>
  <c r="F1135" i="7"/>
  <c r="F1136" i="7"/>
  <c r="F1137" i="7"/>
  <c r="F1138" i="7"/>
  <c r="F1139" i="7"/>
  <c r="F1140" i="7"/>
  <c r="F1141" i="7"/>
  <c r="F1142" i="7"/>
  <c r="F1143" i="7"/>
  <c r="F1144" i="7"/>
  <c r="K1134" i="7"/>
  <c r="L1134" i="7" s="1"/>
  <c r="K1135" i="7"/>
  <c r="L1135" i="7" s="1"/>
  <c r="K1136" i="7"/>
  <c r="L1136" i="7" s="1"/>
  <c r="K1137" i="7"/>
  <c r="L1137" i="7" s="1"/>
  <c r="K1138" i="7"/>
  <c r="L1138" i="7" s="1"/>
  <c r="K1139" i="7"/>
  <c r="L1139" i="7" s="1"/>
  <c r="K1140" i="7"/>
  <c r="L1140" i="7" s="1"/>
  <c r="K1141" i="7"/>
  <c r="L1141" i="7" s="1"/>
  <c r="K1142" i="7"/>
  <c r="L1142" i="7" s="1"/>
  <c r="K1143" i="7"/>
  <c r="L1143" i="7" s="1"/>
  <c r="K1144" i="7"/>
  <c r="L1144" i="7" s="1"/>
  <c r="O1134" i="7"/>
  <c r="O1135" i="7"/>
  <c r="O1136" i="7"/>
  <c r="O1137" i="7"/>
  <c r="O1138" i="7"/>
  <c r="O1139" i="7"/>
  <c r="O1140" i="7"/>
  <c r="O1141" i="7"/>
  <c r="O1142" i="7"/>
  <c r="O1143" i="7"/>
  <c r="O1144" i="7"/>
  <c r="B1123" i="7" l="1"/>
  <c r="B1124" i="7"/>
  <c r="B1125" i="7"/>
  <c r="B1126" i="7"/>
  <c r="B1127" i="7"/>
  <c r="B1128" i="7"/>
  <c r="B1129" i="7"/>
  <c r="B1130" i="7"/>
  <c r="B1131" i="7"/>
  <c r="F1127" i="7"/>
  <c r="F1128" i="7"/>
  <c r="F1129" i="7"/>
  <c r="F1130" i="7"/>
  <c r="F1131" i="7"/>
  <c r="F1132" i="7"/>
  <c r="F1133" i="7"/>
  <c r="K1127" i="7"/>
  <c r="L1127" i="7" s="1"/>
  <c r="K1128" i="7"/>
  <c r="L1128" i="7" s="1"/>
  <c r="K1129" i="7"/>
  <c r="L1129" i="7" s="1"/>
  <c r="K1130" i="7"/>
  <c r="L1130" i="7" s="1"/>
  <c r="K1131" i="7"/>
  <c r="L1131" i="7" s="1"/>
  <c r="K1132" i="7"/>
  <c r="L1132" i="7" s="1"/>
  <c r="K1133" i="7"/>
  <c r="L1133" i="7" s="1"/>
  <c r="O1127" i="7"/>
  <c r="O1128" i="7"/>
  <c r="O1129" i="7"/>
  <c r="O1130" i="7"/>
  <c r="O1131" i="7"/>
  <c r="O1132" i="7"/>
  <c r="O1133" i="7"/>
  <c r="F1126" i="7"/>
  <c r="K1126" i="7"/>
  <c r="L1126" i="7" s="1"/>
  <c r="O1126" i="7"/>
  <c r="B1120" i="7"/>
  <c r="B1121" i="7"/>
  <c r="B1122" i="7"/>
  <c r="F1121" i="7"/>
  <c r="F1122" i="7"/>
  <c r="F1123" i="7"/>
  <c r="F1124" i="7"/>
  <c r="F1125" i="7"/>
  <c r="K1121" i="7"/>
  <c r="L1121" i="7" s="1"/>
  <c r="K1122" i="7"/>
  <c r="L1122" i="7" s="1"/>
  <c r="K1123" i="7"/>
  <c r="L1123" i="7" s="1"/>
  <c r="K1124" i="7"/>
  <c r="L1124" i="7" s="1"/>
  <c r="K1125" i="7"/>
  <c r="L1125" i="7" s="1"/>
  <c r="O1121" i="7"/>
  <c r="O1122" i="7"/>
  <c r="O1123" i="7"/>
  <c r="O1124" i="7"/>
  <c r="O1125" i="7"/>
  <c r="I1113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F1112" i="7"/>
  <c r="F1113" i="7"/>
  <c r="F1114" i="7"/>
  <c r="F1115" i="7"/>
  <c r="F1116" i="7"/>
  <c r="F1117" i="7"/>
  <c r="F1118" i="7"/>
  <c r="F1119" i="7"/>
  <c r="F1120" i="7"/>
  <c r="K1112" i="7"/>
  <c r="L1112" i="7" s="1"/>
  <c r="K1113" i="7"/>
  <c r="L1113" i="7" s="1"/>
  <c r="K1114" i="7"/>
  <c r="L1114" i="7" s="1"/>
  <c r="K1115" i="7"/>
  <c r="L1115" i="7" s="1"/>
  <c r="K1116" i="7"/>
  <c r="L1116" i="7" s="1"/>
  <c r="K1117" i="7"/>
  <c r="L1117" i="7" s="1"/>
  <c r="K1118" i="7"/>
  <c r="L1118" i="7" s="1"/>
  <c r="K1119" i="7"/>
  <c r="L1119" i="7" s="1"/>
  <c r="K1120" i="7"/>
  <c r="L1120" i="7" s="1"/>
  <c r="O1112" i="7"/>
  <c r="O1113" i="7"/>
  <c r="O1114" i="7"/>
  <c r="O1115" i="7"/>
  <c r="O1116" i="7"/>
  <c r="O1117" i="7"/>
  <c r="O1118" i="7"/>
  <c r="O1119" i="7"/>
  <c r="O1120" i="7"/>
  <c r="B1099" i="7"/>
  <c r="B1100" i="7"/>
  <c r="B1101" i="7"/>
  <c r="B1102" i="7"/>
  <c r="B1103" i="7"/>
  <c r="B1104" i="7"/>
  <c r="B1105" i="7"/>
  <c r="B1106" i="7"/>
  <c r="B1107" i="7"/>
  <c r="F1104" i="7"/>
  <c r="F1105" i="7"/>
  <c r="F1106" i="7"/>
  <c r="F1107" i="7"/>
  <c r="F1108" i="7"/>
  <c r="F1109" i="7"/>
  <c r="F1110" i="7"/>
  <c r="F1111" i="7"/>
  <c r="K1104" i="7"/>
  <c r="L1104" i="7" s="1"/>
  <c r="K1105" i="7"/>
  <c r="L1105" i="7" s="1"/>
  <c r="K1106" i="7"/>
  <c r="L1106" i="7" s="1"/>
  <c r="K1107" i="7"/>
  <c r="L1107" i="7" s="1"/>
  <c r="K1108" i="7"/>
  <c r="L1108" i="7" s="1"/>
  <c r="K1109" i="7"/>
  <c r="L1109" i="7" s="1"/>
  <c r="K1110" i="7"/>
  <c r="L1110" i="7" s="1"/>
  <c r="K1111" i="7"/>
  <c r="L1111" i="7" s="1"/>
  <c r="O1104" i="7"/>
  <c r="O1105" i="7"/>
  <c r="O1106" i="7"/>
  <c r="O1107" i="7"/>
  <c r="O1108" i="7"/>
  <c r="O1109" i="7"/>
  <c r="O1110" i="7"/>
  <c r="O1111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K1092" i="7"/>
  <c r="L1092" i="7" s="1"/>
  <c r="K1093" i="7"/>
  <c r="L1093" i="7" s="1"/>
  <c r="K1094" i="7"/>
  <c r="L1094" i="7" s="1"/>
  <c r="K1095" i="7"/>
  <c r="L1095" i="7" s="1"/>
  <c r="K1096" i="7"/>
  <c r="L1096" i="7" s="1"/>
  <c r="K1097" i="7"/>
  <c r="L1097" i="7" s="1"/>
  <c r="K1098" i="7"/>
  <c r="L1098" i="7" s="1"/>
  <c r="K1099" i="7"/>
  <c r="L1099" i="7" s="1"/>
  <c r="K1100" i="7"/>
  <c r="L1100" i="7" s="1"/>
  <c r="K1101" i="7"/>
  <c r="L1101" i="7" s="1"/>
  <c r="K1102" i="7"/>
  <c r="L1102" i="7" s="1"/>
  <c r="K1103" i="7"/>
  <c r="L1103" i="7" s="1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F13" i="36"/>
  <c r="G13" i="36"/>
  <c r="E13" i="36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K1078" i="7"/>
  <c r="L1078" i="7" s="1"/>
  <c r="K1079" i="7"/>
  <c r="L1079" i="7" s="1"/>
  <c r="K1080" i="7"/>
  <c r="L1080" i="7" s="1"/>
  <c r="K1081" i="7"/>
  <c r="L1081" i="7" s="1"/>
  <c r="K1082" i="7"/>
  <c r="L1082" i="7" s="1"/>
  <c r="K1083" i="7"/>
  <c r="L1083" i="7" s="1"/>
  <c r="K1084" i="7"/>
  <c r="L1084" i="7" s="1"/>
  <c r="K1085" i="7"/>
  <c r="L1085" i="7" s="1"/>
  <c r="K1086" i="7"/>
  <c r="L1086" i="7" s="1"/>
  <c r="K1087" i="7"/>
  <c r="L1087" i="7" s="1"/>
  <c r="K1088" i="7"/>
  <c r="L1088" i="7" s="1"/>
  <c r="K1089" i="7"/>
  <c r="L1089" i="7" s="1"/>
  <c r="K1090" i="7"/>
  <c r="L1090" i="7" s="1"/>
  <c r="K1091" i="7"/>
  <c r="L1091" i="7" s="1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F1072" i="7"/>
  <c r="F1073" i="7"/>
  <c r="F1074" i="7"/>
  <c r="F1075" i="7"/>
  <c r="F1076" i="7"/>
  <c r="F1077" i="7"/>
  <c r="K1072" i="7"/>
  <c r="L1072" i="7" s="1"/>
  <c r="K1073" i="7"/>
  <c r="L1073" i="7" s="1"/>
  <c r="K1074" i="7"/>
  <c r="L1074" i="7" s="1"/>
  <c r="K1075" i="7"/>
  <c r="L1075" i="7" s="1"/>
  <c r="K1076" i="7"/>
  <c r="L1076" i="7" s="1"/>
  <c r="K1077" i="7"/>
  <c r="L1077" i="7" s="1"/>
  <c r="O1072" i="7"/>
  <c r="O1073" i="7"/>
  <c r="O1074" i="7"/>
  <c r="O1075" i="7"/>
  <c r="O1076" i="7"/>
  <c r="O1077" i="7"/>
  <c r="B1065" i="7"/>
  <c r="B1066" i="7"/>
  <c r="B1067" i="7"/>
  <c r="B1068" i="7"/>
  <c r="F1067" i="7"/>
  <c r="F1068" i="7"/>
  <c r="F1069" i="7"/>
  <c r="F1070" i="7"/>
  <c r="F1071" i="7"/>
  <c r="K1067" i="7"/>
  <c r="L1067" i="7" s="1"/>
  <c r="K1068" i="7"/>
  <c r="L1068" i="7" s="1"/>
  <c r="K1069" i="7"/>
  <c r="L1069" i="7" s="1"/>
  <c r="K1070" i="7"/>
  <c r="L1070" i="7" s="1"/>
  <c r="K1071" i="7"/>
  <c r="L1071" i="7" s="1"/>
  <c r="O1067" i="7"/>
  <c r="O1068" i="7"/>
  <c r="O1069" i="7"/>
  <c r="O1070" i="7"/>
  <c r="O1071" i="7"/>
  <c r="M13" i="36" l="1"/>
  <c r="N13" i="36"/>
  <c r="O13" i="36"/>
  <c r="H13" i="36"/>
  <c r="B1062" i="7"/>
  <c r="B1063" i="7"/>
  <c r="B1064" i="7"/>
  <c r="F1064" i="7"/>
  <c r="F1065" i="7"/>
  <c r="F1066" i="7"/>
  <c r="K1064" i="7"/>
  <c r="L1064" i="7" s="1"/>
  <c r="K1065" i="7"/>
  <c r="L1065" i="7" s="1"/>
  <c r="K1066" i="7"/>
  <c r="L1066" i="7" s="1"/>
  <c r="O1064" i="7"/>
  <c r="O1065" i="7"/>
  <c r="O1066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K1050" i="7"/>
  <c r="L1050" i="7" s="1"/>
  <c r="K1051" i="7"/>
  <c r="L1051" i="7" s="1"/>
  <c r="K1052" i="7"/>
  <c r="L1052" i="7" s="1"/>
  <c r="K1053" i="7"/>
  <c r="L1053" i="7" s="1"/>
  <c r="K1054" i="7"/>
  <c r="L1054" i="7" s="1"/>
  <c r="K1055" i="7"/>
  <c r="L1055" i="7" s="1"/>
  <c r="K1056" i="7"/>
  <c r="L1056" i="7" s="1"/>
  <c r="K1057" i="7"/>
  <c r="L1057" i="7" s="1"/>
  <c r="K1058" i="7"/>
  <c r="L1058" i="7" s="1"/>
  <c r="K1059" i="7"/>
  <c r="L1059" i="7" s="1"/>
  <c r="K1060" i="7"/>
  <c r="L1060" i="7" s="1"/>
  <c r="K1061" i="7"/>
  <c r="L1061" i="7" s="1"/>
  <c r="K1062" i="7"/>
  <c r="L1062" i="7" s="1"/>
  <c r="K1063" i="7"/>
  <c r="L1063" i="7" s="1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B1038" i="7"/>
  <c r="B1039" i="7"/>
  <c r="B1040" i="7"/>
  <c r="B1041" i="7"/>
  <c r="B1042" i="7"/>
  <c r="B1043" i="7"/>
  <c r="B1044" i="7"/>
  <c r="B1045" i="7"/>
  <c r="B1046" i="7"/>
  <c r="B1047" i="7"/>
  <c r="B1048" i="7"/>
  <c r="F1042" i="7"/>
  <c r="F1043" i="7"/>
  <c r="F1044" i="7"/>
  <c r="F1045" i="7"/>
  <c r="F1046" i="7"/>
  <c r="F1047" i="7"/>
  <c r="F1048" i="7"/>
  <c r="F1049" i="7"/>
  <c r="K1042" i="7"/>
  <c r="L1042" i="7" s="1"/>
  <c r="K1043" i="7"/>
  <c r="L1043" i="7" s="1"/>
  <c r="K1044" i="7"/>
  <c r="L1044" i="7" s="1"/>
  <c r="K1045" i="7"/>
  <c r="L1045" i="7" s="1"/>
  <c r="K1046" i="7"/>
  <c r="L1046" i="7" s="1"/>
  <c r="K1047" i="7"/>
  <c r="L1047" i="7" s="1"/>
  <c r="K1048" i="7"/>
  <c r="L1048" i="7" s="1"/>
  <c r="K1049" i="7"/>
  <c r="L1049" i="7" s="1"/>
  <c r="O1042" i="7"/>
  <c r="O1043" i="7"/>
  <c r="O1044" i="7"/>
  <c r="O1045" i="7"/>
  <c r="O1046" i="7"/>
  <c r="O1047" i="7"/>
  <c r="O1048" i="7"/>
  <c r="O1049" i="7"/>
  <c r="B1033" i="7"/>
  <c r="B1034" i="7"/>
  <c r="B1035" i="7"/>
  <c r="B1036" i="7"/>
  <c r="B1037" i="7"/>
  <c r="F1036" i="7"/>
  <c r="F1037" i="7"/>
  <c r="F1038" i="7"/>
  <c r="F1039" i="7"/>
  <c r="F1040" i="7"/>
  <c r="F1041" i="7"/>
  <c r="K1036" i="7"/>
  <c r="L1036" i="7" s="1"/>
  <c r="K1037" i="7"/>
  <c r="L1037" i="7" s="1"/>
  <c r="K1038" i="7"/>
  <c r="L1038" i="7" s="1"/>
  <c r="K1039" i="7"/>
  <c r="L1039" i="7" s="1"/>
  <c r="K1040" i="7"/>
  <c r="L1040" i="7" s="1"/>
  <c r="K1041" i="7"/>
  <c r="L1041" i="7" s="1"/>
  <c r="O1036" i="7"/>
  <c r="O1037" i="7"/>
  <c r="O1038" i="7"/>
  <c r="O1039" i="7"/>
  <c r="O1040" i="7"/>
  <c r="O1041" i="7"/>
  <c r="B1030" i="7"/>
  <c r="B1031" i="7"/>
  <c r="B1032" i="7"/>
  <c r="F1033" i="7"/>
  <c r="F1034" i="7"/>
  <c r="F1035" i="7"/>
  <c r="K1033" i="7"/>
  <c r="L1033" i="7" s="1"/>
  <c r="K1034" i="7"/>
  <c r="L1034" i="7" s="1"/>
  <c r="K1035" i="7"/>
  <c r="L1035" i="7" s="1"/>
  <c r="O1033" i="7"/>
  <c r="O1034" i="7"/>
  <c r="O1035" i="7"/>
  <c r="P13" i="36" l="1"/>
  <c r="U13" i="36" s="1"/>
  <c r="I13" i="36"/>
  <c r="F1031" i="7"/>
  <c r="F1032" i="7"/>
  <c r="K1031" i="7"/>
  <c r="L1031" i="7" s="1"/>
  <c r="K1032" i="7"/>
  <c r="L1032" i="7" s="1"/>
  <c r="O1031" i="7"/>
  <c r="O1032" i="7"/>
  <c r="B1023" i="7" l="1"/>
  <c r="B1024" i="7"/>
  <c r="B1025" i="7"/>
  <c r="B1026" i="7"/>
  <c r="B1027" i="7"/>
  <c r="B1028" i="7"/>
  <c r="B1029" i="7"/>
  <c r="F1026" i="7"/>
  <c r="F1027" i="7"/>
  <c r="F1028" i="7"/>
  <c r="F1029" i="7"/>
  <c r="F1030" i="7"/>
  <c r="K1026" i="7"/>
  <c r="L1026" i="7" s="1"/>
  <c r="K1027" i="7"/>
  <c r="L1027" i="7" s="1"/>
  <c r="K1028" i="7"/>
  <c r="L1028" i="7" s="1"/>
  <c r="K1029" i="7"/>
  <c r="L1029" i="7" s="1"/>
  <c r="K1030" i="7"/>
  <c r="L1030" i="7" s="1"/>
  <c r="O1026" i="7"/>
  <c r="O1027" i="7"/>
  <c r="O1028" i="7"/>
  <c r="O1029" i="7"/>
  <c r="O1030" i="7"/>
  <c r="F1024" i="7"/>
  <c r="F1025" i="7"/>
  <c r="K1024" i="7"/>
  <c r="L1024" i="7" s="1"/>
  <c r="K1025" i="7"/>
  <c r="L1025" i="7" s="1"/>
  <c r="O1024" i="7"/>
  <c r="O1025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F1016" i="7"/>
  <c r="F1017" i="7"/>
  <c r="F1018" i="7"/>
  <c r="F1019" i="7"/>
  <c r="F1020" i="7"/>
  <c r="F1021" i="7"/>
  <c r="F1022" i="7"/>
  <c r="F1023" i="7"/>
  <c r="K1016" i="7"/>
  <c r="L1016" i="7" s="1"/>
  <c r="K1017" i="7"/>
  <c r="L1017" i="7" s="1"/>
  <c r="K1018" i="7"/>
  <c r="L1018" i="7" s="1"/>
  <c r="K1019" i="7"/>
  <c r="L1019" i="7" s="1"/>
  <c r="K1020" i="7"/>
  <c r="L1020" i="7" s="1"/>
  <c r="K1021" i="7"/>
  <c r="L1021" i="7" s="1"/>
  <c r="K1022" i="7"/>
  <c r="L1022" i="7" s="1"/>
  <c r="K1023" i="7"/>
  <c r="L1023" i="7" s="1"/>
  <c r="O1016" i="7"/>
  <c r="O1017" i="7"/>
  <c r="O1018" i="7"/>
  <c r="O1019" i="7"/>
  <c r="O1020" i="7"/>
  <c r="O1021" i="7"/>
  <c r="O1022" i="7"/>
  <c r="O1023" i="7"/>
  <c r="B1001" i="7" l="1"/>
  <c r="B1002" i="7"/>
  <c r="B1003" i="7"/>
  <c r="B1004" i="7"/>
  <c r="B1005" i="7"/>
  <c r="B1006" i="7"/>
  <c r="B1007" i="7"/>
  <c r="B1008" i="7"/>
  <c r="B1009" i="7"/>
  <c r="B1010" i="7"/>
  <c r="F1007" i="7"/>
  <c r="F1008" i="7"/>
  <c r="F1009" i="7"/>
  <c r="F1010" i="7"/>
  <c r="F1011" i="7"/>
  <c r="F1012" i="7"/>
  <c r="F1013" i="7"/>
  <c r="F1014" i="7"/>
  <c r="F1015" i="7"/>
  <c r="K1007" i="7"/>
  <c r="L1007" i="7" s="1"/>
  <c r="K1008" i="7"/>
  <c r="L1008" i="7" s="1"/>
  <c r="K1009" i="7"/>
  <c r="L1009" i="7" s="1"/>
  <c r="K1010" i="7"/>
  <c r="L1010" i="7" s="1"/>
  <c r="K1011" i="7"/>
  <c r="L1011" i="7" s="1"/>
  <c r="K1012" i="7"/>
  <c r="L1012" i="7" s="1"/>
  <c r="K1013" i="7"/>
  <c r="L1013" i="7" s="1"/>
  <c r="K1014" i="7"/>
  <c r="L1014" i="7" s="1"/>
  <c r="K1015" i="7"/>
  <c r="L1015" i="7" s="1"/>
  <c r="O1007" i="7"/>
  <c r="O1008" i="7"/>
  <c r="O1009" i="7"/>
  <c r="O1010" i="7"/>
  <c r="O1011" i="7"/>
  <c r="O1012" i="7"/>
  <c r="O1013" i="7"/>
  <c r="O1014" i="7"/>
  <c r="O1015" i="7"/>
  <c r="F1006" i="7"/>
  <c r="K1006" i="7"/>
  <c r="L1006" i="7" s="1"/>
  <c r="O1006" i="7"/>
  <c r="B1000" i="7"/>
  <c r="F1002" i="7"/>
  <c r="F1003" i="7"/>
  <c r="F1004" i="7"/>
  <c r="F1005" i="7"/>
  <c r="K1002" i="7"/>
  <c r="L1002" i="7" s="1"/>
  <c r="K1003" i="7"/>
  <c r="L1003" i="7" s="1"/>
  <c r="K1004" i="7"/>
  <c r="L1004" i="7" s="1"/>
  <c r="K1005" i="7"/>
  <c r="L1005" i="7" s="1"/>
  <c r="O1002" i="7"/>
  <c r="O1003" i="7"/>
  <c r="O1004" i="7"/>
  <c r="O1005" i="7"/>
  <c r="F1001" i="7"/>
  <c r="K1001" i="7"/>
  <c r="L1001" i="7" s="1"/>
  <c r="O1001" i="7"/>
  <c r="B994" i="7"/>
  <c r="B995" i="7"/>
  <c r="B996" i="7"/>
  <c r="B997" i="7"/>
  <c r="B998" i="7"/>
  <c r="B999" i="7"/>
  <c r="F997" i="7"/>
  <c r="F998" i="7"/>
  <c r="F999" i="7"/>
  <c r="F1000" i="7"/>
  <c r="K997" i="7"/>
  <c r="L997" i="7" s="1"/>
  <c r="K998" i="7"/>
  <c r="L998" i="7" s="1"/>
  <c r="K999" i="7"/>
  <c r="L999" i="7" s="1"/>
  <c r="K1000" i="7"/>
  <c r="L1000" i="7" s="1"/>
  <c r="O997" i="7"/>
  <c r="O998" i="7"/>
  <c r="O999" i="7"/>
  <c r="O1000" i="7"/>
  <c r="G5" i="30" l="1"/>
  <c r="G6" i="30"/>
  <c r="B987" i="7" l="1"/>
  <c r="B988" i="7"/>
  <c r="B989" i="7"/>
  <c r="B990" i="7"/>
  <c r="B991" i="7"/>
  <c r="B992" i="7"/>
  <c r="B993" i="7"/>
  <c r="F990" i="7"/>
  <c r="F991" i="7"/>
  <c r="F992" i="7"/>
  <c r="F993" i="7"/>
  <c r="F994" i="7"/>
  <c r="F995" i="7"/>
  <c r="F996" i="7"/>
  <c r="K990" i="7"/>
  <c r="L990" i="7" s="1"/>
  <c r="K991" i="7"/>
  <c r="L991" i="7" s="1"/>
  <c r="K992" i="7"/>
  <c r="L992" i="7" s="1"/>
  <c r="K993" i="7"/>
  <c r="L993" i="7" s="1"/>
  <c r="K994" i="7"/>
  <c r="L994" i="7" s="1"/>
  <c r="K995" i="7"/>
  <c r="L995" i="7" s="1"/>
  <c r="K996" i="7"/>
  <c r="L996" i="7" s="1"/>
  <c r="O990" i="7"/>
  <c r="O991" i="7"/>
  <c r="O992" i="7"/>
  <c r="O993" i="7"/>
  <c r="O994" i="7"/>
  <c r="O995" i="7"/>
  <c r="O996" i="7"/>
  <c r="B982" i="7"/>
  <c r="F982" i="7"/>
  <c r="K982" i="7"/>
  <c r="L982" i="7" s="1"/>
  <c r="O982" i="7"/>
  <c r="B983" i="7"/>
  <c r="B984" i="7"/>
  <c r="B985" i="7"/>
  <c r="B986" i="7"/>
  <c r="B981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3" i="7"/>
  <c r="F981" i="7"/>
  <c r="K981" i="7"/>
  <c r="L981" i="7" s="1"/>
  <c r="O981" i="7"/>
  <c r="F983" i="7"/>
  <c r="F984" i="7"/>
  <c r="F985" i="7"/>
  <c r="F986" i="7"/>
  <c r="F987" i="7"/>
  <c r="F988" i="7"/>
  <c r="F989" i="7"/>
  <c r="K983" i="7"/>
  <c r="L983" i="7" s="1"/>
  <c r="K984" i="7"/>
  <c r="L984" i="7" s="1"/>
  <c r="K985" i="7"/>
  <c r="L985" i="7" s="1"/>
  <c r="K986" i="7"/>
  <c r="L986" i="7" s="1"/>
  <c r="K987" i="7"/>
  <c r="L987" i="7" s="1"/>
  <c r="K988" i="7"/>
  <c r="L988" i="7" s="1"/>
  <c r="K989" i="7"/>
  <c r="L989" i="7" s="1"/>
  <c r="O983" i="7"/>
  <c r="O984" i="7"/>
  <c r="O985" i="7"/>
  <c r="O986" i="7"/>
  <c r="O987" i="7"/>
  <c r="O988" i="7"/>
  <c r="O989" i="7"/>
  <c r="F979" i="7" l="1"/>
  <c r="F980" i="7"/>
  <c r="K979" i="7"/>
  <c r="L979" i="7" s="1"/>
  <c r="K980" i="7"/>
  <c r="L980" i="7" s="1"/>
  <c r="O979" i="7"/>
  <c r="O980" i="7"/>
  <c r="F977" i="7"/>
  <c r="F978" i="7"/>
  <c r="K977" i="7"/>
  <c r="L977" i="7" s="1"/>
  <c r="K978" i="7"/>
  <c r="L978" i="7" s="1"/>
  <c r="O977" i="7"/>
  <c r="O978" i="7"/>
  <c r="F971" i="7"/>
  <c r="F972" i="7"/>
  <c r="F973" i="7"/>
  <c r="F974" i="7"/>
  <c r="F975" i="7"/>
  <c r="F976" i="7"/>
  <c r="K971" i="7"/>
  <c r="L971" i="7" s="1"/>
  <c r="K972" i="7"/>
  <c r="L972" i="7" s="1"/>
  <c r="K973" i="7"/>
  <c r="L973" i="7" s="1"/>
  <c r="K974" i="7"/>
  <c r="L974" i="7" s="1"/>
  <c r="K975" i="7"/>
  <c r="L975" i="7" s="1"/>
  <c r="K976" i="7"/>
  <c r="L976" i="7" s="1"/>
  <c r="O971" i="7"/>
  <c r="O972" i="7"/>
  <c r="O973" i="7"/>
  <c r="O974" i="7"/>
  <c r="O975" i="7"/>
  <c r="O976" i="7"/>
  <c r="F967" i="7"/>
  <c r="F968" i="7"/>
  <c r="F969" i="7"/>
  <c r="F970" i="7"/>
  <c r="K967" i="7"/>
  <c r="L967" i="7" s="1"/>
  <c r="K968" i="7"/>
  <c r="L968" i="7" s="1"/>
  <c r="K969" i="7"/>
  <c r="L969" i="7" s="1"/>
  <c r="K970" i="7"/>
  <c r="L970" i="7" s="1"/>
  <c r="O967" i="7"/>
  <c r="O968" i="7"/>
  <c r="O969" i="7"/>
  <c r="O970" i="7"/>
  <c r="F964" i="7"/>
  <c r="F965" i="7"/>
  <c r="F966" i="7"/>
  <c r="K964" i="7"/>
  <c r="L964" i="7" s="1"/>
  <c r="K965" i="7"/>
  <c r="L965" i="7" s="1"/>
  <c r="K966" i="7"/>
  <c r="L966" i="7" s="1"/>
  <c r="O964" i="7"/>
  <c r="O965" i="7"/>
  <c r="O966" i="7"/>
  <c r="F960" i="7" l="1"/>
  <c r="F961" i="7"/>
  <c r="F962" i="7"/>
  <c r="F963" i="7"/>
  <c r="K960" i="7"/>
  <c r="L960" i="7" s="1"/>
  <c r="K961" i="7"/>
  <c r="L961" i="7" s="1"/>
  <c r="K962" i="7"/>
  <c r="L962" i="7" s="1"/>
  <c r="K963" i="7"/>
  <c r="L963" i="7" s="1"/>
  <c r="O960" i="7"/>
  <c r="O961" i="7"/>
  <c r="O962" i="7"/>
  <c r="O963" i="7"/>
  <c r="F958" i="7" l="1"/>
  <c r="F959" i="7"/>
  <c r="K958" i="7"/>
  <c r="L958" i="7" s="1"/>
  <c r="K959" i="7"/>
  <c r="L959" i="7" s="1"/>
  <c r="O958" i="7"/>
  <c r="O959" i="7"/>
  <c r="F956" i="7" l="1"/>
  <c r="F957" i="7"/>
  <c r="K956" i="7"/>
  <c r="L956" i="7" s="1"/>
  <c r="K957" i="7"/>
  <c r="L957" i="7" s="1"/>
  <c r="O956" i="7"/>
  <c r="O957" i="7"/>
  <c r="I955" i="7" l="1"/>
  <c r="F953" i="7"/>
  <c r="F954" i="7"/>
  <c r="F955" i="7"/>
  <c r="K953" i="7"/>
  <c r="L953" i="7" s="1"/>
  <c r="K954" i="7"/>
  <c r="L954" i="7" s="1"/>
  <c r="K955" i="7"/>
  <c r="L955" i="7" s="1"/>
  <c r="O953" i="7"/>
  <c r="O954" i="7"/>
  <c r="O955" i="7"/>
  <c r="F949" i="7" l="1"/>
  <c r="F950" i="7"/>
  <c r="F951" i="7"/>
  <c r="F952" i="7"/>
  <c r="K949" i="7"/>
  <c r="L949" i="7" s="1"/>
  <c r="K950" i="7"/>
  <c r="L950" i="7" s="1"/>
  <c r="K951" i="7"/>
  <c r="L951" i="7" s="1"/>
  <c r="K952" i="7"/>
  <c r="L952" i="7" s="1"/>
  <c r="O949" i="7"/>
  <c r="O950" i="7"/>
  <c r="O951" i="7"/>
  <c r="O952" i="7"/>
  <c r="F945" i="7"/>
  <c r="F946" i="7"/>
  <c r="F947" i="7"/>
  <c r="F948" i="7"/>
  <c r="K945" i="7"/>
  <c r="L945" i="7" s="1"/>
  <c r="K946" i="7"/>
  <c r="L946" i="7" s="1"/>
  <c r="K947" i="7"/>
  <c r="L947" i="7" s="1"/>
  <c r="K948" i="7"/>
  <c r="L948" i="7" s="1"/>
  <c r="O945" i="7"/>
  <c r="O946" i="7"/>
  <c r="O947" i="7"/>
  <c r="O948" i="7"/>
  <c r="W10" i="36" l="1"/>
  <c r="W9" i="36"/>
  <c r="F942" i="7"/>
  <c r="F943" i="7"/>
  <c r="F944" i="7"/>
  <c r="K942" i="7"/>
  <c r="L942" i="7" s="1"/>
  <c r="K943" i="7"/>
  <c r="L943" i="7" s="1"/>
  <c r="K944" i="7"/>
  <c r="L944" i="7" s="1"/>
  <c r="O942" i="7"/>
  <c r="O943" i="7"/>
  <c r="O944" i="7"/>
  <c r="F940" i="7" l="1"/>
  <c r="F941" i="7"/>
  <c r="K940" i="7"/>
  <c r="L940" i="7" s="1"/>
  <c r="K941" i="7"/>
  <c r="L941" i="7" s="1"/>
  <c r="O940" i="7"/>
  <c r="O941" i="7"/>
  <c r="F937" i="7" l="1"/>
  <c r="F938" i="7"/>
  <c r="F939" i="7"/>
  <c r="K937" i="7"/>
  <c r="L937" i="7" s="1"/>
  <c r="K938" i="7"/>
  <c r="L938" i="7" s="1"/>
  <c r="K939" i="7"/>
  <c r="L939" i="7" s="1"/>
  <c r="O937" i="7"/>
  <c r="O938" i="7"/>
  <c r="O939" i="7"/>
  <c r="F936" i="7"/>
  <c r="K936" i="7"/>
  <c r="L936" i="7" s="1"/>
  <c r="O936" i="7"/>
  <c r="F933" i="7"/>
  <c r="F934" i="7"/>
  <c r="F935" i="7"/>
  <c r="K933" i="7"/>
  <c r="L933" i="7" s="1"/>
  <c r="K934" i="7"/>
  <c r="L934" i="7" s="1"/>
  <c r="K935" i="7"/>
  <c r="L935" i="7" s="1"/>
  <c r="O933" i="7"/>
  <c r="O934" i="7"/>
  <c r="O935" i="7"/>
  <c r="F931" i="7" l="1"/>
  <c r="F932" i="7"/>
  <c r="K931" i="7"/>
  <c r="L931" i="7" s="1"/>
  <c r="K932" i="7"/>
  <c r="L932" i="7" s="1"/>
  <c r="O931" i="7"/>
  <c r="O932" i="7"/>
  <c r="R2" i="22" l="1"/>
  <c r="F929" i="7"/>
  <c r="F930" i="7"/>
  <c r="K929" i="7"/>
  <c r="L929" i="7" s="1"/>
  <c r="K930" i="7"/>
  <c r="L930" i="7" s="1"/>
  <c r="O929" i="7"/>
  <c r="O930" i="7"/>
  <c r="F927" i="7"/>
  <c r="F928" i="7"/>
  <c r="K927" i="7"/>
  <c r="L927" i="7" s="1"/>
  <c r="K928" i="7"/>
  <c r="L928" i="7" s="1"/>
  <c r="O927" i="7"/>
  <c r="O928" i="7"/>
  <c r="I926" i="7" l="1"/>
  <c r="F925" i="7"/>
  <c r="F926" i="7"/>
  <c r="K925" i="7"/>
  <c r="L925" i="7" s="1"/>
  <c r="K926" i="7"/>
  <c r="L926" i="7" s="1"/>
  <c r="O925" i="7"/>
  <c r="O926" i="7"/>
  <c r="W14" i="36" l="1"/>
  <c r="F923" i="7" l="1"/>
  <c r="F924" i="7"/>
  <c r="K923" i="7"/>
  <c r="L923" i="7" s="1"/>
  <c r="K924" i="7"/>
  <c r="L924" i="7" s="1"/>
  <c r="O923" i="7"/>
  <c r="O924" i="7"/>
  <c r="F917" i="7"/>
  <c r="F918" i="7"/>
  <c r="F919" i="7"/>
  <c r="F920" i="7"/>
  <c r="F921" i="7"/>
  <c r="F922" i="7"/>
  <c r="K917" i="7"/>
  <c r="L917" i="7" s="1"/>
  <c r="K918" i="7"/>
  <c r="L918" i="7" s="1"/>
  <c r="K919" i="7"/>
  <c r="L919" i="7" s="1"/>
  <c r="K920" i="7"/>
  <c r="L920" i="7" s="1"/>
  <c r="K921" i="7"/>
  <c r="L921" i="7" s="1"/>
  <c r="K922" i="7"/>
  <c r="L922" i="7" s="1"/>
  <c r="O917" i="7"/>
  <c r="O918" i="7"/>
  <c r="O919" i="7"/>
  <c r="O920" i="7"/>
  <c r="O921" i="7"/>
  <c r="O922" i="7"/>
  <c r="F916" i="7" l="1"/>
  <c r="K916" i="7"/>
  <c r="L916" i="7" s="1"/>
  <c r="O916" i="7"/>
  <c r="F911" i="7"/>
  <c r="F912" i="7"/>
  <c r="F913" i="7"/>
  <c r="F914" i="7"/>
  <c r="F915" i="7"/>
  <c r="K911" i="7"/>
  <c r="L911" i="7" s="1"/>
  <c r="K912" i="7"/>
  <c r="L912" i="7" s="1"/>
  <c r="K913" i="7"/>
  <c r="L913" i="7" s="1"/>
  <c r="K914" i="7"/>
  <c r="L914" i="7" s="1"/>
  <c r="K915" i="7"/>
  <c r="L915" i="7" s="1"/>
  <c r="O911" i="7"/>
  <c r="O912" i="7"/>
  <c r="O913" i="7"/>
  <c r="O914" i="7"/>
  <c r="O915" i="7"/>
  <c r="F910" i="7"/>
  <c r="K910" i="7"/>
  <c r="L910" i="7" s="1"/>
  <c r="O910" i="7"/>
  <c r="F909" i="7"/>
  <c r="K909" i="7"/>
  <c r="L909" i="7" s="1"/>
  <c r="O909" i="7"/>
  <c r="F907" i="7"/>
  <c r="F908" i="7"/>
  <c r="K907" i="7"/>
  <c r="L907" i="7" s="1"/>
  <c r="K908" i="7"/>
  <c r="L908" i="7" s="1"/>
  <c r="O907" i="7"/>
  <c r="O908" i="7"/>
  <c r="F901" i="7"/>
  <c r="F902" i="7"/>
  <c r="F903" i="7"/>
  <c r="F904" i="7"/>
  <c r="F905" i="7"/>
  <c r="F906" i="7"/>
  <c r="K901" i="7"/>
  <c r="L901" i="7" s="1"/>
  <c r="K902" i="7"/>
  <c r="L902" i="7" s="1"/>
  <c r="K903" i="7"/>
  <c r="L903" i="7" s="1"/>
  <c r="K904" i="7"/>
  <c r="L904" i="7" s="1"/>
  <c r="K905" i="7"/>
  <c r="L905" i="7" s="1"/>
  <c r="K906" i="7"/>
  <c r="L906" i="7" s="1"/>
  <c r="O901" i="7"/>
  <c r="O902" i="7"/>
  <c r="O903" i="7"/>
  <c r="O904" i="7"/>
  <c r="O905" i="7"/>
  <c r="O906" i="7"/>
  <c r="F899" i="7" l="1"/>
  <c r="F900" i="7"/>
  <c r="K899" i="7"/>
  <c r="L899" i="7" s="1"/>
  <c r="K900" i="7"/>
  <c r="L900" i="7" s="1"/>
  <c r="O899" i="7"/>
  <c r="O900" i="7"/>
  <c r="F898" i="7" l="1"/>
  <c r="K898" i="7"/>
  <c r="L898" i="7" s="1"/>
  <c r="O898" i="7"/>
  <c r="F894" i="7"/>
  <c r="F895" i="7"/>
  <c r="F896" i="7"/>
  <c r="F897" i="7"/>
  <c r="K894" i="7"/>
  <c r="L894" i="7" s="1"/>
  <c r="K895" i="7"/>
  <c r="L895" i="7" s="1"/>
  <c r="K896" i="7"/>
  <c r="L896" i="7" s="1"/>
  <c r="K897" i="7"/>
  <c r="L897" i="7" s="1"/>
  <c r="O894" i="7"/>
  <c r="O895" i="7"/>
  <c r="O896" i="7"/>
  <c r="O897" i="7"/>
  <c r="F892" i="7"/>
  <c r="F893" i="7"/>
  <c r="K892" i="7"/>
  <c r="L892" i="7" s="1"/>
  <c r="K893" i="7"/>
  <c r="L893" i="7" s="1"/>
  <c r="O892" i="7"/>
  <c r="O893" i="7"/>
  <c r="F889" i="7"/>
  <c r="F890" i="7"/>
  <c r="F891" i="7"/>
  <c r="K889" i="7"/>
  <c r="L889" i="7" s="1"/>
  <c r="K890" i="7"/>
  <c r="L890" i="7" s="1"/>
  <c r="K891" i="7"/>
  <c r="L891" i="7" s="1"/>
  <c r="O889" i="7"/>
  <c r="O890" i="7"/>
  <c r="O891" i="7"/>
  <c r="F888" i="7"/>
  <c r="K888" i="7"/>
  <c r="L888" i="7" s="1"/>
  <c r="O888" i="7"/>
  <c r="F882" i="7"/>
  <c r="F883" i="7"/>
  <c r="F884" i="7"/>
  <c r="F885" i="7"/>
  <c r="F886" i="7"/>
  <c r="F887" i="7"/>
  <c r="K882" i="7"/>
  <c r="L882" i="7" s="1"/>
  <c r="K883" i="7"/>
  <c r="L883" i="7" s="1"/>
  <c r="K884" i="7"/>
  <c r="L884" i="7" s="1"/>
  <c r="K885" i="7"/>
  <c r="L885" i="7" s="1"/>
  <c r="K886" i="7"/>
  <c r="L886" i="7" s="1"/>
  <c r="K887" i="7"/>
  <c r="L887" i="7" s="1"/>
  <c r="O882" i="7"/>
  <c r="O883" i="7"/>
  <c r="O884" i="7"/>
  <c r="O885" i="7"/>
  <c r="O886" i="7"/>
  <c r="O887" i="7"/>
  <c r="F878" i="7"/>
  <c r="F879" i="7"/>
  <c r="F880" i="7"/>
  <c r="F881" i="7"/>
  <c r="K878" i="7"/>
  <c r="L878" i="7" s="1"/>
  <c r="K879" i="7"/>
  <c r="L879" i="7" s="1"/>
  <c r="K880" i="7"/>
  <c r="L880" i="7" s="1"/>
  <c r="K881" i="7"/>
  <c r="L881" i="7" s="1"/>
  <c r="O878" i="7"/>
  <c r="O879" i="7"/>
  <c r="O880" i="7"/>
  <c r="O881" i="7"/>
  <c r="K874" i="7" l="1"/>
  <c r="L874" i="7" s="1"/>
  <c r="F870" i="7"/>
  <c r="F871" i="7"/>
  <c r="F872" i="7"/>
  <c r="F873" i="7"/>
  <c r="F874" i="7"/>
  <c r="F875" i="7"/>
  <c r="F876" i="7"/>
  <c r="F877" i="7"/>
  <c r="K870" i="7"/>
  <c r="L870" i="7" s="1"/>
  <c r="K871" i="7"/>
  <c r="L871" i="7" s="1"/>
  <c r="K872" i="7"/>
  <c r="L872" i="7" s="1"/>
  <c r="K875" i="7"/>
  <c r="L875" i="7" s="1"/>
  <c r="K876" i="7"/>
  <c r="L876" i="7" s="1"/>
  <c r="K877" i="7"/>
  <c r="L877" i="7" s="1"/>
  <c r="O870" i="7"/>
  <c r="O871" i="7"/>
  <c r="O872" i="7"/>
  <c r="O873" i="7"/>
  <c r="O874" i="7"/>
  <c r="O875" i="7"/>
  <c r="O876" i="7"/>
  <c r="O877" i="7"/>
  <c r="F869" i="7" l="1"/>
  <c r="K869" i="7"/>
  <c r="L869" i="7" s="1"/>
  <c r="O869" i="7"/>
  <c r="F867" i="7"/>
  <c r="F868" i="7"/>
  <c r="K867" i="7"/>
  <c r="L867" i="7" s="1"/>
  <c r="K868" i="7"/>
  <c r="L868" i="7" s="1"/>
  <c r="O867" i="7"/>
  <c r="O868" i="7"/>
  <c r="F866" i="7"/>
  <c r="K866" i="7"/>
  <c r="L866" i="7" s="1"/>
  <c r="O866" i="7"/>
  <c r="F861" i="7"/>
  <c r="F862" i="7"/>
  <c r="F863" i="7"/>
  <c r="F864" i="7"/>
  <c r="F865" i="7"/>
  <c r="K861" i="7"/>
  <c r="L861" i="7" s="1"/>
  <c r="K862" i="7"/>
  <c r="L862" i="7" s="1"/>
  <c r="K863" i="7"/>
  <c r="L863" i="7" s="1"/>
  <c r="K864" i="7"/>
  <c r="L864" i="7" s="1"/>
  <c r="K865" i="7"/>
  <c r="L865" i="7" s="1"/>
  <c r="O861" i="7"/>
  <c r="O862" i="7"/>
  <c r="O863" i="7"/>
  <c r="O864" i="7"/>
  <c r="O865" i="7"/>
  <c r="G3" i="30" l="1"/>
  <c r="G4" i="30"/>
  <c r="F858" i="7"/>
  <c r="F859" i="7"/>
  <c r="F860" i="7"/>
  <c r="K858" i="7"/>
  <c r="L858" i="7" s="1"/>
  <c r="K859" i="7"/>
  <c r="L859" i="7" s="1"/>
  <c r="K860" i="7"/>
  <c r="L860" i="7" s="1"/>
  <c r="O858" i="7"/>
  <c r="O859" i="7"/>
  <c r="O860" i="7"/>
  <c r="F856" i="7"/>
  <c r="F857" i="7"/>
  <c r="K856" i="7"/>
  <c r="L856" i="7" s="1"/>
  <c r="K857" i="7"/>
  <c r="L857" i="7" s="1"/>
  <c r="O856" i="7"/>
  <c r="O857" i="7"/>
  <c r="F854" i="7"/>
  <c r="F855" i="7"/>
  <c r="K854" i="7"/>
  <c r="L854" i="7" s="1"/>
  <c r="K855" i="7"/>
  <c r="L855" i="7" s="1"/>
  <c r="O854" i="7"/>
  <c r="O855" i="7"/>
  <c r="F852" i="7"/>
  <c r="F853" i="7"/>
  <c r="K852" i="7"/>
  <c r="L852" i="7" s="1"/>
  <c r="K853" i="7"/>
  <c r="L853" i="7" s="1"/>
  <c r="O852" i="7"/>
  <c r="O853" i="7"/>
  <c r="I851" i="7"/>
  <c r="F849" i="7"/>
  <c r="F850" i="7"/>
  <c r="F851" i="7"/>
  <c r="K849" i="7"/>
  <c r="L849" i="7" s="1"/>
  <c r="K850" i="7"/>
  <c r="L850" i="7" s="1"/>
  <c r="K851" i="7"/>
  <c r="L851" i="7" s="1"/>
  <c r="O849" i="7"/>
  <c r="O850" i="7"/>
  <c r="O851" i="7"/>
  <c r="F846" i="7" l="1"/>
  <c r="F847" i="7"/>
  <c r="F848" i="7"/>
  <c r="K846" i="7"/>
  <c r="L846" i="7" s="1"/>
  <c r="K847" i="7"/>
  <c r="L847" i="7" s="1"/>
  <c r="K848" i="7"/>
  <c r="L848" i="7" s="1"/>
  <c r="O846" i="7"/>
  <c r="O847" i="7"/>
  <c r="O848" i="7"/>
  <c r="F841" i="7"/>
  <c r="F842" i="7"/>
  <c r="F843" i="7"/>
  <c r="F844" i="7"/>
  <c r="F845" i="7"/>
  <c r="K841" i="7"/>
  <c r="L841" i="7" s="1"/>
  <c r="K842" i="7"/>
  <c r="L842" i="7" s="1"/>
  <c r="K843" i="7"/>
  <c r="L843" i="7" s="1"/>
  <c r="K844" i="7"/>
  <c r="L844" i="7" s="1"/>
  <c r="K845" i="7"/>
  <c r="L845" i="7" s="1"/>
  <c r="O841" i="7"/>
  <c r="O842" i="7"/>
  <c r="O843" i="7"/>
  <c r="O844" i="7"/>
  <c r="O845" i="7"/>
  <c r="F838" i="7"/>
  <c r="F839" i="7"/>
  <c r="F840" i="7"/>
  <c r="K838" i="7"/>
  <c r="L838" i="7" s="1"/>
  <c r="K839" i="7"/>
  <c r="L839" i="7" s="1"/>
  <c r="K840" i="7"/>
  <c r="L840" i="7" s="1"/>
  <c r="O838" i="7"/>
  <c r="O839" i="7"/>
  <c r="O840" i="7"/>
  <c r="I837" i="7"/>
  <c r="F837" i="7"/>
  <c r="K837" i="7"/>
  <c r="L837" i="7" s="1"/>
  <c r="O837" i="7"/>
  <c r="F832" i="7"/>
  <c r="F833" i="7"/>
  <c r="F834" i="7"/>
  <c r="F835" i="7"/>
  <c r="F836" i="7"/>
  <c r="K832" i="7"/>
  <c r="L832" i="7" s="1"/>
  <c r="K833" i="7"/>
  <c r="L833" i="7" s="1"/>
  <c r="K834" i="7"/>
  <c r="L834" i="7" s="1"/>
  <c r="K835" i="7"/>
  <c r="L835" i="7" s="1"/>
  <c r="K836" i="7"/>
  <c r="L836" i="7" s="1"/>
  <c r="O832" i="7"/>
  <c r="O833" i="7"/>
  <c r="O834" i="7"/>
  <c r="O835" i="7"/>
  <c r="O836" i="7"/>
  <c r="I831" i="7"/>
  <c r="F827" i="7"/>
  <c r="F828" i="7"/>
  <c r="F829" i="7"/>
  <c r="F830" i="7"/>
  <c r="F831" i="7"/>
  <c r="K827" i="7"/>
  <c r="L827" i="7" s="1"/>
  <c r="K828" i="7"/>
  <c r="L828" i="7" s="1"/>
  <c r="K829" i="7"/>
  <c r="L829" i="7" s="1"/>
  <c r="K830" i="7"/>
  <c r="L830" i="7" s="1"/>
  <c r="K831" i="7"/>
  <c r="L831" i="7" s="1"/>
  <c r="O827" i="7"/>
  <c r="O828" i="7"/>
  <c r="O829" i="7"/>
  <c r="O830" i="7"/>
  <c r="O831" i="7"/>
  <c r="I826" i="7"/>
  <c r="F825" i="7"/>
  <c r="F826" i="7"/>
  <c r="K825" i="7"/>
  <c r="L825" i="7" s="1"/>
  <c r="K826" i="7"/>
  <c r="L826" i="7" s="1"/>
  <c r="O825" i="7"/>
  <c r="O826" i="7"/>
  <c r="F822" i="7"/>
  <c r="F823" i="7"/>
  <c r="F824" i="7"/>
  <c r="K822" i="7"/>
  <c r="L822" i="7" s="1"/>
  <c r="K823" i="7"/>
  <c r="L823" i="7" s="1"/>
  <c r="K824" i="7"/>
  <c r="L824" i="7" s="1"/>
  <c r="O822" i="7"/>
  <c r="O823" i="7"/>
  <c r="O824" i="7"/>
  <c r="F818" i="7"/>
  <c r="F819" i="7"/>
  <c r="F820" i="7"/>
  <c r="F821" i="7"/>
  <c r="K818" i="7"/>
  <c r="L818" i="7" s="1"/>
  <c r="K819" i="7"/>
  <c r="L819" i="7" s="1"/>
  <c r="K820" i="7"/>
  <c r="L820" i="7" s="1"/>
  <c r="K821" i="7"/>
  <c r="L821" i="7" s="1"/>
  <c r="O818" i="7"/>
  <c r="O819" i="7"/>
  <c r="O820" i="7"/>
  <c r="O821" i="7"/>
  <c r="F816" i="7"/>
  <c r="F817" i="7"/>
  <c r="K816" i="7"/>
  <c r="L816" i="7" s="1"/>
  <c r="K817" i="7"/>
  <c r="L817" i="7" s="1"/>
  <c r="O816" i="7"/>
  <c r="O817" i="7"/>
  <c r="F811" i="7"/>
  <c r="F812" i="7"/>
  <c r="F813" i="7"/>
  <c r="F814" i="7"/>
  <c r="F815" i="7"/>
  <c r="K811" i="7"/>
  <c r="L811" i="7" s="1"/>
  <c r="K812" i="7"/>
  <c r="L812" i="7" s="1"/>
  <c r="K813" i="7"/>
  <c r="L813" i="7" s="1"/>
  <c r="K814" i="7"/>
  <c r="L814" i="7" s="1"/>
  <c r="K815" i="7"/>
  <c r="L815" i="7" s="1"/>
  <c r="O811" i="7"/>
  <c r="O812" i="7"/>
  <c r="O813" i="7"/>
  <c r="O814" i="7"/>
  <c r="O815" i="7"/>
  <c r="F809" i="7"/>
  <c r="F810" i="7"/>
  <c r="K809" i="7"/>
  <c r="L809" i="7" s="1"/>
  <c r="K810" i="7"/>
  <c r="L810" i="7" s="1"/>
  <c r="O809" i="7"/>
  <c r="O810" i="7"/>
  <c r="F807" i="7"/>
  <c r="F808" i="7"/>
  <c r="K807" i="7"/>
  <c r="L807" i="7" s="1"/>
  <c r="K808" i="7"/>
  <c r="L808" i="7" s="1"/>
  <c r="O807" i="7"/>
  <c r="O808" i="7"/>
  <c r="F803" i="7"/>
  <c r="F804" i="7"/>
  <c r="F805" i="7"/>
  <c r="F806" i="7"/>
  <c r="K803" i="7"/>
  <c r="L803" i="7" s="1"/>
  <c r="K804" i="7"/>
  <c r="L804" i="7" s="1"/>
  <c r="K805" i="7"/>
  <c r="L805" i="7" s="1"/>
  <c r="K806" i="7"/>
  <c r="L806" i="7" s="1"/>
  <c r="O803" i="7"/>
  <c r="O804" i="7"/>
  <c r="O805" i="7"/>
  <c r="O806" i="7"/>
  <c r="F802" i="7" l="1"/>
  <c r="K802" i="7"/>
  <c r="L802" i="7" s="1"/>
  <c r="O802" i="7"/>
  <c r="F798" i="7"/>
  <c r="F799" i="7"/>
  <c r="F800" i="7"/>
  <c r="F801" i="7"/>
  <c r="K798" i="7"/>
  <c r="L798" i="7" s="1"/>
  <c r="K799" i="7"/>
  <c r="L799" i="7" s="1"/>
  <c r="K800" i="7"/>
  <c r="L800" i="7" s="1"/>
  <c r="K801" i="7"/>
  <c r="L801" i="7" s="1"/>
  <c r="O798" i="7"/>
  <c r="O799" i="7"/>
  <c r="O800" i="7"/>
  <c r="O801" i="7"/>
  <c r="F797" i="7"/>
  <c r="K797" i="7"/>
  <c r="L797" i="7" s="1"/>
  <c r="O797" i="7"/>
  <c r="F792" i="7"/>
  <c r="F793" i="7"/>
  <c r="F794" i="7"/>
  <c r="F795" i="7"/>
  <c r="F796" i="7"/>
  <c r="K792" i="7"/>
  <c r="L792" i="7" s="1"/>
  <c r="K793" i="7"/>
  <c r="L793" i="7" s="1"/>
  <c r="K794" i="7"/>
  <c r="L794" i="7" s="1"/>
  <c r="K795" i="7"/>
  <c r="L795" i="7" s="1"/>
  <c r="K796" i="7"/>
  <c r="L796" i="7" s="1"/>
  <c r="O792" i="7"/>
  <c r="O793" i="7"/>
  <c r="O794" i="7"/>
  <c r="O795" i="7"/>
  <c r="O796" i="7"/>
  <c r="F791" i="7"/>
  <c r="K791" i="7"/>
  <c r="L791" i="7" s="1"/>
  <c r="O791" i="7"/>
  <c r="F788" i="7"/>
  <c r="F789" i="7"/>
  <c r="F790" i="7"/>
  <c r="K788" i="7"/>
  <c r="L788" i="7" s="1"/>
  <c r="K789" i="7"/>
  <c r="L789" i="7" s="1"/>
  <c r="K790" i="7"/>
  <c r="L790" i="7" s="1"/>
  <c r="O788" i="7"/>
  <c r="O789" i="7"/>
  <c r="O790" i="7"/>
  <c r="F785" i="7"/>
  <c r="F786" i="7"/>
  <c r="F787" i="7"/>
  <c r="K785" i="7"/>
  <c r="L785" i="7" s="1"/>
  <c r="K786" i="7"/>
  <c r="L786" i="7" s="1"/>
  <c r="K787" i="7"/>
  <c r="L787" i="7" s="1"/>
  <c r="O785" i="7"/>
  <c r="O786" i="7"/>
  <c r="O787" i="7"/>
  <c r="F779" i="7"/>
  <c r="F780" i="7"/>
  <c r="F781" i="7"/>
  <c r="F782" i="7"/>
  <c r="F783" i="7"/>
  <c r="F784" i="7"/>
  <c r="K779" i="7"/>
  <c r="L779" i="7" s="1"/>
  <c r="K780" i="7"/>
  <c r="L780" i="7" s="1"/>
  <c r="K781" i="7"/>
  <c r="L781" i="7" s="1"/>
  <c r="K782" i="7"/>
  <c r="L782" i="7" s="1"/>
  <c r="K783" i="7"/>
  <c r="L783" i="7" s="1"/>
  <c r="K784" i="7"/>
  <c r="L784" i="7" s="1"/>
  <c r="O779" i="7"/>
  <c r="O780" i="7"/>
  <c r="O781" i="7"/>
  <c r="O782" i="7"/>
  <c r="O783" i="7"/>
  <c r="O784" i="7"/>
  <c r="F776" i="7" l="1"/>
  <c r="F777" i="7"/>
  <c r="F778" i="7"/>
  <c r="K776" i="7"/>
  <c r="L776" i="7" s="1"/>
  <c r="K777" i="7"/>
  <c r="L777" i="7" s="1"/>
  <c r="K778" i="7"/>
  <c r="L778" i="7" s="1"/>
  <c r="O776" i="7"/>
  <c r="O777" i="7"/>
  <c r="O778" i="7"/>
  <c r="F771" i="7"/>
  <c r="F772" i="7"/>
  <c r="F773" i="7"/>
  <c r="F774" i="7"/>
  <c r="F775" i="7"/>
  <c r="K771" i="7"/>
  <c r="L771" i="7" s="1"/>
  <c r="K772" i="7"/>
  <c r="L772" i="7" s="1"/>
  <c r="K773" i="7"/>
  <c r="L773" i="7" s="1"/>
  <c r="K774" i="7"/>
  <c r="L774" i="7" s="1"/>
  <c r="K775" i="7"/>
  <c r="L775" i="7" s="1"/>
  <c r="O771" i="7"/>
  <c r="O772" i="7"/>
  <c r="O773" i="7"/>
  <c r="O774" i="7"/>
  <c r="O775" i="7"/>
  <c r="F768" i="7" l="1"/>
  <c r="F769" i="7"/>
  <c r="F770" i="7"/>
  <c r="K768" i="7"/>
  <c r="L768" i="7" s="1"/>
  <c r="K769" i="7"/>
  <c r="L769" i="7" s="1"/>
  <c r="K770" i="7"/>
  <c r="L770" i="7" s="1"/>
  <c r="O768" i="7"/>
  <c r="O769" i="7"/>
  <c r="O770" i="7"/>
  <c r="F765" i="7"/>
  <c r="F766" i="7"/>
  <c r="F767" i="7"/>
  <c r="K765" i="7"/>
  <c r="L765" i="7" s="1"/>
  <c r="K766" i="7"/>
  <c r="L766" i="7" s="1"/>
  <c r="K767" i="7"/>
  <c r="L767" i="7" s="1"/>
  <c r="O765" i="7"/>
  <c r="O766" i="7"/>
  <c r="O767" i="7"/>
  <c r="F763" i="7" l="1"/>
  <c r="F764" i="7"/>
  <c r="K763" i="7"/>
  <c r="L763" i="7" s="1"/>
  <c r="K764" i="7"/>
  <c r="L764" i="7" s="1"/>
  <c r="O763" i="7"/>
  <c r="O764" i="7"/>
  <c r="F760" i="7"/>
  <c r="F761" i="7"/>
  <c r="F762" i="7"/>
  <c r="K760" i="7"/>
  <c r="L760" i="7" s="1"/>
  <c r="K761" i="7"/>
  <c r="L761" i="7" s="1"/>
  <c r="K762" i="7"/>
  <c r="L762" i="7" s="1"/>
  <c r="O760" i="7"/>
  <c r="O761" i="7"/>
  <c r="O762" i="7"/>
  <c r="F756" i="7"/>
  <c r="F757" i="7"/>
  <c r="F758" i="7"/>
  <c r="F759" i="7"/>
  <c r="K756" i="7"/>
  <c r="L756" i="7" s="1"/>
  <c r="K757" i="7"/>
  <c r="L757" i="7" s="1"/>
  <c r="K758" i="7"/>
  <c r="L758" i="7" s="1"/>
  <c r="K759" i="7"/>
  <c r="L759" i="7" s="1"/>
  <c r="O756" i="7"/>
  <c r="O757" i="7"/>
  <c r="O758" i="7"/>
  <c r="O759" i="7"/>
  <c r="F753" i="7"/>
  <c r="F754" i="7"/>
  <c r="F755" i="7"/>
  <c r="K753" i="7"/>
  <c r="L753" i="7" s="1"/>
  <c r="K754" i="7"/>
  <c r="L754" i="7" s="1"/>
  <c r="K755" i="7"/>
  <c r="L755" i="7" s="1"/>
  <c r="O753" i="7"/>
  <c r="O754" i="7"/>
  <c r="O755" i="7"/>
  <c r="F752" i="7" l="1"/>
  <c r="K752" i="7"/>
  <c r="L752" i="7" s="1"/>
  <c r="O752" i="7"/>
  <c r="F751" i="7"/>
  <c r="K751" i="7"/>
  <c r="L751" i="7" s="1"/>
  <c r="O751" i="7"/>
  <c r="F746" i="7"/>
  <c r="F747" i="7"/>
  <c r="F748" i="7"/>
  <c r="F749" i="7"/>
  <c r="F750" i="7"/>
  <c r="K746" i="7"/>
  <c r="L746" i="7" s="1"/>
  <c r="K747" i="7"/>
  <c r="L747" i="7" s="1"/>
  <c r="K748" i="7"/>
  <c r="L748" i="7" s="1"/>
  <c r="K749" i="7"/>
  <c r="L749" i="7" s="1"/>
  <c r="K750" i="7"/>
  <c r="L750" i="7" s="1"/>
  <c r="O746" i="7"/>
  <c r="O747" i="7"/>
  <c r="O748" i="7"/>
  <c r="O749" i="7"/>
  <c r="O750" i="7"/>
  <c r="F741" i="7" l="1"/>
  <c r="F742" i="7"/>
  <c r="F743" i="7"/>
  <c r="F744" i="7"/>
  <c r="F745" i="7"/>
  <c r="K741" i="7"/>
  <c r="L741" i="7" s="1"/>
  <c r="K742" i="7"/>
  <c r="L742" i="7" s="1"/>
  <c r="K743" i="7"/>
  <c r="L743" i="7" s="1"/>
  <c r="K744" i="7"/>
  <c r="L744" i="7" s="1"/>
  <c r="K745" i="7"/>
  <c r="L745" i="7" s="1"/>
  <c r="O741" i="7"/>
  <c r="O742" i="7"/>
  <c r="O743" i="7"/>
  <c r="O744" i="7"/>
  <c r="O745" i="7"/>
  <c r="F736" i="7" l="1"/>
  <c r="F737" i="7"/>
  <c r="F738" i="7"/>
  <c r="F739" i="7"/>
  <c r="F740" i="7"/>
  <c r="K736" i="7"/>
  <c r="L736" i="7" s="1"/>
  <c r="K737" i="7"/>
  <c r="L737" i="7" s="1"/>
  <c r="K738" i="7"/>
  <c r="L738" i="7" s="1"/>
  <c r="K739" i="7"/>
  <c r="L739" i="7" s="1"/>
  <c r="K740" i="7"/>
  <c r="L740" i="7" s="1"/>
  <c r="O736" i="7"/>
  <c r="O737" i="7"/>
  <c r="O738" i="7"/>
  <c r="O739" i="7"/>
  <c r="O740" i="7"/>
  <c r="F735" i="7"/>
  <c r="K735" i="7"/>
  <c r="L735" i="7" s="1"/>
  <c r="O735" i="7"/>
  <c r="F732" i="7"/>
  <c r="F733" i="7"/>
  <c r="F734" i="7"/>
  <c r="K732" i="7"/>
  <c r="L732" i="7" s="1"/>
  <c r="K733" i="7"/>
  <c r="L733" i="7" s="1"/>
  <c r="K734" i="7"/>
  <c r="L734" i="7" s="1"/>
  <c r="O732" i="7"/>
  <c r="O733" i="7"/>
  <c r="O734" i="7"/>
  <c r="F729" i="7"/>
  <c r="F730" i="7"/>
  <c r="F731" i="7"/>
  <c r="K729" i="7"/>
  <c r="L729" i="7" s="1"/>
  <c r="K730" i="7"/>
  <c r="L730" i="7" s="1"/>
  <c r="K731" i="7"/>
  <c r="L731" i="7" s="1"/>
  <c r="O729" i="7"/>
  <c r="O730" i="7"/>
  <c r="O731" i="7"/>
  <c r="F726" i="7"/>
  <c r="F727" i="7"/>
  <c r="F728" i="7"/>
  <c r="K726" i="7"/>
  <c r="L726" i="7" s="1"/>
  <c r="K727" i="7"/>
  <c r="L727" i="7" s="1"/>
  <c r="K728" i="7"/>
  <c r="L728" i="7" s="1"/>
  <c r="O726" i="7"/>
  <c r="O727" i="7"/>
  <c r="O728" i="7"/>
  <c r="F725" i="7"/>
  <c r="K725" i="7"/>
  <c r="L725" i="7" s="1"/>
  <c r="O725" i="7"/>
  <c r="F724" i="7"/>
  <c r="K724" i="7"/>
  <c r="L724" i="7" s="1"/>
  <c r="O724" i="7"/>
  <c r="F723" i="7"/>
  <c r="K723" i="7"/>
  <c r="L723" i="7" s="1"/>
  <c r="O723" i="7"/>
  <c r="F722" i="7"/>
  <c r="K722" i="7"/>
  <c r="L722" i="7" s="1"/>
  <c r="O722" i="7"/>
  <c r="F719" i="7"/>
  <c r="F720" i="7"/>
  <c r="F721" i="7"/>
  <c r="K719" i="7"/>
  <c r="L719" i="7" s="1"/>
  <c r="K720" i="7"/>
  <c r="L720" i="7" s="1"/>
  <c r="K721" i="7"/>
  <c r="L721" i="7" s="1"/>
  <c r="O719" i="7"/>
  <c r="O720" i="7"/>
  <c r="O721" i="7"/>
  <c r="F716" i="7"/>
  <c r="F717" i="7"/>
  <c r="F718" i="7"/>
  <c r="K716" i="7"/>
  <c r="L716" i="7" s="1"/>
  <c r="K717" i="7"/>
  <c r="L717" i="7" s="1"/>
  <c r="K718" i="7"/>
  <c r="L718" i="7" s="1"/>
  <c r="O716" i="7"/>
  <c r="O717" i="7"/>
  <c r="O718" i="7"/>
  <c r="F715" i="7"/>
  <c r="K715" i="7"/>
  <c r="L715" i="7" s="1"/>
  <c r="O715" i="7"/>
  <c r="F713" i="7"/>
  <c r="F714" i="7"/>
  <c r="K713" i="7"/>
  <c r="L713" i="7" s="1"/>
  <c r="K714" i="7"/>
  <c r="L714" i="7" s="1"/>
  <c r="O713" i="7"/>
  <c r="O714" i="7"/>
  <c r="F712" i="7"/>
  <c r="K712" i="7"/>
  <c r="L712" i="7" s="1"/>
  <c r="O712" i="7"/>
  <c r="F709" i="7"/>
  <c r="F710" i="7"/>
  <c r="F711" i="7"/>
  <c r="K709" i="7"/>
  <c r="L709" i="7" s="1"/>
  <c r="K710" i="7"/>
  <c r="L710" i="7" s="1"/>
  <c r="K711" i="7"/>
  <c r="L711" i="7" s="1"/>
  <c r="O709" i="7"/>
  <c r="O710" i="7"/>
  <c r="O711" i="7"/>
  <c r="I708" i="7"/>
  <c r="F706" i="7"/>
  <c r="F707" i="7"/>
  <c r="F708" i="7"/>
  <c r="K706" i="7"/>
  <c r="L706" i="7" s="1"/>
  <c r="K707" i="7"/>
  <c r="L707" i="7" s="1"/>
  <c r="K708" i="7"/>
  <c r="L708" i="7" s="1"/>
  <c r="O706" i="7"/>
  <c r="O707" i="7"/>
  <c r="O708" i="7"/>
  <c r="AQ2" i="15"/>
  <c r="AQ3" i="15" s="1"/>
  <c r="F704" i="7"/>
  <c r="F705" i="7"/>
  <c r="K704" i="7"/>
  <c r="L704" i="7" s="1"/>
  <c r="K705" i="7"/>
  <c r="L705" i="7" s="1"/>
  <c r="O704" i="7"/>
  <c r="O705" i="7"/>
  <c r="F702" i="7"/>
  <c r="F703" i="7"/>
  <c r="K702" i="7"/>
  <c r="L702" i="7" s="1"/>
  <c r="K703" i="7"/>
  <c r="L703" i="7" s="1"/>
  <c r="O702" i="7"/>
  <c r="O703" i="7"/>
  <c r="I701" i="7"/>
  <c r="F700" i="7"/>
  <c r="F701" i="7"/>
  <c r="K700" i="7"/>
  <c r="L700" i="7" s="1"/>
  <c r="K701" i="7"/>
  <c r="L701" i="7" s="1"/>
  <c r="O700" i="7"/>
  <c r="O701" i="7"/>
  <c r="F698" i="7"/>
  <c r="F699" i="7"/>
  <c r="K698" i="7"/>
  <c r="L698" i="7" s="1"/>
  <c r="K699" i="7"/>
  <c r="L699" i="7" s="1"/>
  <c r="O698" i="7"/>
  <c r="O699" i="7"/>
  <c r="F695" i="7"/>
  <c r="F696" i="7"/>
  <c r="F697" i="7"/>
  <c r="K695" i="7"/>
  <c r="L695" i="7" s="1"/>
  <c r="K696" i="7"/>
  <c r="L696" i="7" s="1"/>
  <c r="K697" i="7"/>
  <c r="L697" i="7" s="1"/>
  <c r="O695" i="7"/>
  <c r="O696" i="7"/>
  <c r="O697" i="7"/>
  <c r="F693" i="7"/>
  <c r="F694" i="7"/>
  <c r="K693" i="7"/>
  <c r="L693" i="7" s="1"/>
  <c r="K694" i="7"/>
  <c r="L694" i="7" s="1"/>
  <c r="O693" i="7"/>
  <c r="O694" i="7"/>
  <c r="F690" i="7" l="1"/>
  <c r="F691" i="7"/>
  <c r="F692" i="7"/>
  <c r="K690" i="7"/>
  <c r="L690" i="7" s="1"/>
  <c r="K691" i="7"/>
  <c r="L691" i="7" s="1"/>
  <c r="K692" i="7"/>
  <c r="L692" i="7" s="1"/>
  <c r="O690" i="7"/>
  <c r="O691" i="7"/>
  <c r="O692" i="7"/>
  <c r="F688" i="7"/>
  <c r="F689" i="7"/>
  <c r="K688" i="7"/>
  <c r="L688" i="7" s="1"/>
  <c r="K689" i="7"/>
  <c r="L689" i="7" s="1"/>
  <c r="O688" i="7"/>
  <c r="O689" i="7"/>
  <c r="F685" i="7"/>
  <c r="F686" i="7"/>
  <c r="F687" i="7"/>
  <c r="K685" i="7"/>
  <c r="L685" i="7" s="1"/>
  <c r="K686" i="7"/>
  <c r="L686" i="7" s="1"/>
  <c r="K687" i="7"/>
  <c r="L687" i="7" s="1"/>
  <c r="O685" i="7"/>
  <c r="O686" i="7"/>
  <c r="O687" i="7"/>
  <c r="F683" i="7"/>
  <c r="F684" i="7"/>
  <c r="K683" i="7"/>
  <c r="L683" i="7" s="1"/>
  <c r="K684" i="7"/>
  <c r="L684" i="7" s="1"/>
  <c r="O683" i="7"/>
  <c r="O684" i="7"/>
  <c r="F679" i="7"/>
  <c r="F680" i="7"/>
  <c r="F681" i="7"/>
  <c r="F682" i="7"/>
  <c r="K679" i="7"/>
  <c r="L679" i="7" s="1"/>
  <c r="K680" i="7"/>
  <c r="L680" i="7" s="1"/>
  <c r="K681" i="7"/>
  <c r="L681" i="7" s="1"/>
  <c r="K682" i="7"/>
  <c r="L682" i="7" s="1"/>
  <c r="O679" i="7"/>
  <c r="O680" i="7"/>
  <c r="O681" i="7"/>
  <c r="O682" i="7"/>
  <c r="I676" i="7"/>
  <c r="I672" i="7"/>
  <c r="I670" i="7"/>
  <c r="F670" i="7"/>
  <c r="F671" i="7"/>
  <c r="F672" i="7"/>
  <c r="F673" i="7"/>
  <c r="F674" i="7"/>
  <c r="F675" i="7"/>
  <c r="F676" i="7"/>
  <c r="F677" i="7"/>
  <c r="F678" i="7"/>
  <c r="K670" i="7"/>
  <c r="L670" i="7" s="1"/>
  <c r="K671" i="7"/>
  <c r="L671" i="7" s="1"/>
  <c r="K672" i="7"/>
  <c r="L672" i="7" s="1"/>
  <c r="K673" i="7"/>
  <c r="L673" i="7" s="1"/>
  <c r="K674" i="7"/>
  <c r="L674" i="7" s="1"/>
  <c r="K675" i="7"/>
  <c r="L675" i="7" s="1"/>
  <c r="K676" i="7"/>
  <c r="L676" i="7" s="1"/>
  <c r="K677" i="7"/>
  <c r="L677" i="7" s="1"/>
  <c r="K678" i="7"/>
  <c r="L678" i="7" s="1"/>
  <c r="O670" i="7"/>
  <c r="O671" i="7"/>
  <c r="O672" i="7"/>
  <c r="O673" i="7"/>
  <c r="O674" i="7"/>
  <c r="O675" i="7"/>
  <c r="O676" i="7"/>
  <c r="O677" i="7"/>
  <c r="O678" i="7"/>
  <c r="F667" i="7"/>
  <c r="F668" i="7"/>
  <c r="F669" i="7"/>
  <c r="K667" i="7"/>
  <c r="L667" i="7" s="1"/>
  <c r="K668" i="7"/>
  <c r="L668" i="7" s="1"/>
  <c r="K669" i="7"/>
  <c r="L669" i="7" s="1"/>
  <c r="O667" i="7"/>
  <c r="O668" i="7"/>
  <c r="O669" i="7"/>
  <c r="F665" i="7"/>
  <c r="F666" i="7"/>
  <c r="K665" i="7"/>
  <c r="L665" i="7" s="1"/>
  <c r="K666" i="7"/>
  <c r="L666" i="7" s="1"/>
  <c r="O665" i="7"/>
  <c r="O666" i="7"/>
  <c r="F664" i="7" l="1"/>
  <c r="K664" i="7"/>
  <c r="L664" i="7" s="1"/>
  <c r="O664" i="7"/>
  <c r="F660" i="7"/>
  <c r="K660" i="7"/>
  <c r="L660" i="7" s="1"/>
  <c r="O660" i="7"/>
  <c r="F657" i="7"/>
  <c r="F658" i="7"/>
  <c r="F659" i="7"/>
  <c r="F661" i="7"/>
  <c r="F662" i="7"/>
  <c r="F663" i="7"/>
  <c r="K657" i="7"/>
  <c r="L657" i="7" s="1"/>
  <c r="K658" i="7"/>
  <c r="L658" i="7" s="1"/>
  <c r="K659" i="7"/>
  <c r="L659" i="7" s="1"/>
  <c r="K661" i="7"/>
  <c r="L661" i="7" s="1"/>
  <c r="K662" i="7"/>
  <c r="L662" i="7" s="1"/>
  <c r="K663" i="7"/>
  <c r="L663" i="7" s="1"/>
  <c r="O657" i="7"/>
  <c r="O658" i="7"/>
  <c r="O659" i="7"/>
  <c r="O661" i="7"/>
  <c r="O662" i="7"/>
  <c r="O663" i="7"/>
  <c r="F656" i="7"/>
  <c r="K656" i="7"/>
  <c r="L656" i="7" s="1"/>
  <c r="O656" i="7"/>
  <c r="I653" i="7" l="1"/>
  <c r="F653" i="7"/>
  <c r="F654" i="7"/>
  <c r="F655" i="7"/>
  <c r="K653" i="7"/>
  <c r="L653" i="7" s="1"/>
  <c r="K654" i="7"/>
  <c r="L654" i="7" s="1"/>
  <c r="K655" i="7"/>
  <c r="L655" i="7" s="1"/>
  <c r="O653" i="7"/>
  <c r="O654" i="7"/>
  <c r="O655" i="7"/>
  <c r="I649" i="7"/>
  <c r="I652" i="7"/>
  <c r="F649" i="7"/>
  <c r="F650" i="7"/>
  <c r="F651" i="7"/>
  <c r="F652" i="7"/>
  <c r="K649" i="7"/>
  <c r="L649" i="7" s="1"/>
  <c r="K650" i="7"/>
  <c r="L650" i="7" s="1"/>
  <c r="K651" i="7"/>
  <c r="L651" i="7" s="1"/>
  <c r="K652" i="7"/>
  <c r="L652" i="7" s="1"/>
  <c r="O649" i="7"/>
  <c r="O650" i="7"/>
  <c r="O651" i="7"/>
  <c r="O652" i="7"/>
  <c r="F646" i="7"/>
  <c r="F647" i="7"/>
  <c r="F648" i="7"/>
  <c r="K646" i="7"/>
  <c r="L646" i="7" s="1"/>
  <c r="K647" i="7"/>
  <c r="L647" i="7" s="1"/>
  <c r="K648" i="7"/>
  <c r="L648" i="7" s="1"/>
  <c r="O646" i="7"/>
  <c r="O647" i="7"/>
  <c r="O648" i="7"/>
  <c r="I645" i="7"/>
  <c r="F643" i="7"/>
  <c r="F644" i="7"/>
  <c r="F645" i="7"/>
  <c r="K643" i="7"/>
  <c r="L643" i="7" s="1"/>
  <c r="K644" i="7"/>
  <c r="L644" i="7" s="1"/>
  <c r="K645" i="7"/>
  <c r="L645" i="7" s="1"/>
  <c r="O643" i="7"/>
  <c r="O644" i="7"/>
  <c r="O645" i="7"/>
  <c r="F640" i="7" l="1"/>
  <c r="F641" i="7"/>
  <c r="F642" i="7"/>
  <c r="K640" i="7"/>
  <c r="L640" i="7" s="1"/>
  <c r="K641" i="7"/>
  <c r="L641" i="7" s="1"/>
  <c r="K642" i="7"/>
  <c r="L642" i="7" s="1"/>
  <c r="O640" i="7"/>
  <c r="O641" i="7"/>
  <c r="O642" i="7"/>
  <c r="F638" i="7"/>
  <c r="F639" i="7"/>
  <c r="K638" i="7"/>
  <c r="L638" i="7" s="1"/>
  <c r="K639" i="7"/>
  <c r="L639" i="7" s="1"/>
  <c r="O638" i="7"/>
  <c r="O639" i="7"/>
  <c r="F636" i="7"/>
  <c r="F637" i="7"/>
  <c r="K636" i="7"/>
  <c r="L636" i="7" s="1"/>
  <c r="K637" i="7"/>
  <c r="L637" i="7" s="1"/>
  <c r="O636" i="7"/>
  <c r="O637" i="7"/>
  <c r="F634" i="7"/>
  <c r="F635" i="7"/>
  <c r="K634" i="7"/>
  <c r="L634" i="7" s="1"/>
  <c r="K635" i="7"/>
  <c r="L635" i="7" s="1"/>
  <c r="O634" i="7"/>
  <c r="O635" i="7"/>
  <c r="F631" i="7"/>
  <c r="F632" i="7"/>
  <c r="F633" i="7"/>
  <c r="K631" i="7"/>
  <c r="L631" i="7" s="1"/>
  <c r="K632" i="7"/>
  <c r="L632" i="7" s="1"/>
  <c r="K633" i="7"/>
  <c r="L633" i="7" s="1"/>
  <c r="O631" i="7"/>
  <c r="O632" i="7"/>
  <c r="O633" i="7"/>
  <c r="F630" i="7"/>
  <c r="K630" i="7"/>
  <c r="L630" i="7" s="1"/>
  <c r="O630" i="7"/>
  <c r="F628" i="7"/>
  <c r="F629" i="7"/>
  <c r="K628" i="7"/>
  <c r="L628" i="7" s="1"/>
  <c r="K629" i="7"/>
  <c r="L629" i="7" s="1"/>
  <c r="O628" i="7"/>
  <c r="O629" i="7"/>
  <c r="F624" i="7"/>
  <c r="F625" i="7"/>
  <c r="F626" i="7"/>
  <c r="F627" i="7"/>
  <c r="K624" i="7"/>
  <c r="L624" i="7" s="1"/>
  <c r="K625" i="7"/>
  <c r="L625" i="7" s="1"/>
  <c r="K626" i="7"/>
  <c r="L626" i="7" s="1"/>
  <c r="K627" i="7"/>
  <c r="L627" i="7" s="1"/>
  <c r="O624" i="7"/>
  <c r="O625" i="7"/>
  <c r="O626" i="7"/>
  <c r="O627" i="7"/>
  <c r="I623" i="7" l="1"/>
  <c r="F622" i="7"/>
  <c r="F623" i="7"/>
  <c r="K622" i="7"/>
  <c r="L622" i="7" s="1"/>
  <c r="K623" i="7"/>
  <c r="L623" i="7" s="1"/>
  <c r="O622" i="7"/>
  <c r="O623" i="7"/>
  <c r="F621" i="7" l="1"/>
  <c r="K621" i="7"/>
  <c r="L621" i="7" s="1"/>
  <c r="O621" i="7"/>
  <c r="F619" i="7"/>
  <c r="F620" i="7"/>
  <c r="K619" i="7"/>
  <c r="L619" i="7" s="1"/>
  <c r="K620" i="7"/>
  <c r="L620" i="7" s="1"/>
  <c r="O619" i="7"/>
  <c r="O620" i="7"/>
  <c r="I618" i="7"/>
  <c r="F617" i="7"/>
  <c r="F618" i="7"/>
  <c r="K617" i="7"/>
  <c r="L617" i="7" s="1"/>
  <c r="K618" i="7"/>
  <c r="L618" i="7" s="1"/>
  <c r="O617" i="7"/>
  <c r="O618" i="7"/>
  <c r="F615" i="7"/>
  <c r="F616" i="7"/>
  <c r="K615" i="7"/>
  <c r="L615" i="7" s="1"/>
  <c r="K616" i="7"/>
  <c r="L616" i="7" s="1"/>
  <c r="O615" i="7"/>
  <c r="O616" i="7"/>
  <c r="F614" i="7"/>
  <c r="K614" i="7"/>
  <c r="L614" i="7" s="1"/>
  <c r="O614" i="7"/>
  <c r="F612" i="7"/>
  <c r="F613" i="7"/>
  <c r="K612" i="7"/>
  <c r="L612" i="7" s="1"/>
  <c r="K613" i="7"/>
  <c r="L613" i="7" s="1"/>
  <c r="O612" i="7"/>
  <c r="O613" i="7"/>
  <c r="F610" i="7" l="1"/>
  <c r="F611" i="7"/>
  <c r="K610" i="7"/>
  <c r="L610" i="7" s="1"/>
  <c r="K611" i="7"/>
  <c r="L611" i="7" s="1"/>
  <c r="O610" i="7"/>
  <c r="O611" i="7"/>
  <c r="F608" i="7"/>
  <c r="F609" i="7"/>
  <c r="K608" i="7"/>
  <c r="L608" i="7" s="1"/>
  <c r="K609" i="7"/>
  <c r="L609" i="7" s="1"/>
  <c r="O608" i="7"/>
  <c r="O609" i="7"/>
  <c r="I607" i="7"/>
  <c r="F606" i="7"/>
  <c r="F607" i="7"/>
  <c r="K606" i="7"/>
  <c r="L606" i="7" s="1"/>
  <c r="K607" i="7"/>
  <c r="L607" i="7" s="1"/>
  <c r="O606" i="7"/>
  <c r="O607" i="7"/>
  <c r="F603" i="7" l="1"/>
  <c r="F604" i="7"/>
  <c r="F605" i="7"/>
  <c r="K603" i="7"/>
  <c r="L603" i="7" s="1"/>
  <c r="K604" i="7"/>
  <c r="L604" i="7" s="1"/>
  <c r="K605" i="7"/>
  <c r="L605" i="7" s="1"/>
  <c r="O603" i="7"/>
  <c r="O604" i="7"/>
  <c r="O605" i="7"/>
  <c r="F601" i="7"/>
  <c r="F602" i="7"/>
  <c r="K601" i="7"/>
  <c r="L601" i="7" s="1"/>
  <c r="K602" i="7"/>
  <c r="L602" i="7" s="1"/>
  <c r="O601" i="7"/>
  <c r="O602" i="7"/>
  <c r="F600" i="7"/>
  <c r="K600" i="7"/>
  <c r="L600" i="7" s="1"/>
  <c r="O600" i="7"/>
  <c r="F596" i="7" l="1"/>
  <c r="F597" i="7"/>
  <c r="F598" i="7"/>
  <c r="F599" i="7"/>
  <c r="K596" i="7"/>
  <c r="L596" i="7" s="1"/>
  <c r="K597" i="7"/>
  <c r="L597" i="7" s="1"/>
  <c r="K598" i="7"/>
  <c r="L598" i="7" s="1"/>
  <c r="K599" i="7"/>
  <c r="L599" i="7" s="1"/>
  <c r="O596" i="7"/>
  <c r="O597" i="7"/>
  <c r="O598" i="7"/>
  <c r="O599" i="7"/>
  <c r="F593" i="7" l="1"/>
  <c r="F594" i="7"/>
  <c r="F595" i="7"/>
  <c r="K593" i="7"/>
  <c r="L593" i="7" s="1"/>
  <c r="K594" i="7"/>
  <c r="L594" i="7" s="1"/>
  <c r="K595" i="7"/>
  <c r="L595" i="7" s="1"/>
  <c r="O593" i="7"/>
  <c r="O594" i="7"/>
  <c r="O595" i="7"/>
  <c r="F590" i="7"/>
  <c r="F591" i="7"/>
  <c r="F592" i="7"/>
  <c r="K590" i="7"/>
  <c r="L590" i="7" s="1"/>
  <c r="K591" i="7"/>
  <c r="L591" i="7" s="1"/>
  <c r="K592" i="7"/>
  <c r="L592" i="7" s="1"/>
  <c r="O590" i="7"/>
  <c r="O591" i="7"/>
  <c r="O592" i="7"/>
  <c r="F588" i="7"/>
  <c r="F589" i="7"/>
  <c r="K588" i="7"/>
  <c r="L588" i="7" s="1"/>
  <c r="K589" i="7"/>
  <c r="L589" i="7" s="1"/>
  <c r="O588" i="7"/>
  <c r="O589" i="7"/>
  <c r="F586" i="7"/>
  <c r="F587" i="7"/>
  <c r="K586" i="7"/>
  <c r="L586" i="7" s="1"/>
  <c r="K587" i="7"/>
  <c r="L587" i="7" s="1"/>
  <c r="O586" i="7"/>
  <c r="O587" i="7"/>
  <c r="F584" i="7"/>
  <c r="F585" i="7"/>
  <c r="K584" i="7"/>
  <c r="L584" i="7" s="1"/>
  <c r="K585" i="7"/>
  <c r="L585" i="7" s="1"/>
  <c r="O584" i="7"/>
  <c r="O585" i="7"/>
  <c r="F581" i="7" l="1"/>
  <c r="F582" i="7"/>
  <c r="F583" i="7"/>
  <c r="K581" i="7"/>
  <c r="L581" i="7" s="1"/>
  <c r="K582" i="7"/>
  <c r="L582" i="7" s="1"/>
  <c r="K583" i="7"/>
  <c r="L583" i="7" s="1"/>
  <c r="O581" i="7"/>
  <c r="O582" i="7"/>
  <c r="O583" i="7"/>
  <c r="F580" i="7" l="1"/>
  <c r="K580" i="7"/>
  <c r="L580" i="7" s="1"/>
  <c r="O580" i="7"/>
  <c r="F578" i="7"/>
  <c r="F579" i="7"/>
  <c r="K578" i="7"/>
  <c r="L578" i="7" s="1"/>
  <c r="K579" i="7"/>
  <c r="L579" i="7" s="1"/>
  <c r="O578" i="7"/>
  <c r="O579" i="7"/>
  <c r="F574" i="7"/>
  <c r="F575" i="7"/>
  <c r="F576" i="7"/>
  <c r="F577" i="7"/>
  <c r="K574" i="7"/>
  <c r="L574" i="7" s="1"/>
  <c r="K575" i="7"/>
  <c r="L575" i="7" s="1"/>
  <c r="K576" i="7"/>
  <c r="L576" i="7" s="1"/>
  <c r="K577" i="7"/>
  <c r="L577" i="7" s="1"/>
  <c r="O574" i="7"/>
  <c r="O575" i="7"/>
  <c r="O576" i="7"/>
  <c r="O577" i="7"/>
  <c r="F570" i="7" l="1"/>
  <c r="F571" i="7"/>
  <c r="F572" i="7"/>
  <c r="F573" i="7"/>
  <c r="K570" i="7"/>
  <c r="L570" i="7" s="1"/>
  <c r="K571" i="7"/>
  <c r="L571" i="7" s="1"/>
  <c r="K572" i="7"/>
  <c r="L572" i="7" s="1"/>
  <c r="K573" i="7"/>
  <c r="L573" i="7" s="1"/>
  <c r="O570" i="7"/>
  <c r="O571" i="7"/>
  <c r="O572" i="7"/>
  <c r="O573" i="7"/>
  <c r="F568" i="7"/>
  <c r="F569" i="7"/>
  <c r="K568" i="7"/>
  <c r="L568" i="7" s="1"/>
  <c r="K569" i="7"/>
  <c r="L569" i="7" s="1"/>
  <c r="O568" i="7"/>
  <c r="O569" i="7"/>
  <c r="F567" i="7" l="1"/>
  <c r="K567" i="7"/>
  <c r="L567" i="7" s="1"/>
  <c r="O567" i="7"/>
  <c r="F564" i="7"/>
  <c r="F565" i="7"/>
  <c r="F566" i="7"/>
  <c r="K564" i="7"/>
  <c r="L564" i="7" s="1"/>
  <c r="K565" i="7"/>
  <c r="L565" i="7" s="1"/>
  <c r="K566" i="7"/>
  <c r="L566" i="7" s="1"/>
  <c r="O564" i="7"/>
  <c r="O565" i="7"/>
  <c r="O566" i="7"/>
  <c r="F562" i="7" l="1"/>
  <c r="F563" i="7"/>
  <c r="K562" i="7"/>
  <c r="L562" i="7" s="1"/>
  <c r="K563" i="7"/>
  <c r="L563" i="7" s="1"/>
  <c r="O562" i="7"/>
  <c r="O563" i="7"/>
  <c r="I561" i="7"/>
  <c r="F558" i="7"/>
  <c r="F559" i="7"/>
  <c r="F560" i="7"/>
  <c r="F561" i="7"/>
  <c r="K558" i="7"/>
  <c r="L558" i="7" s="1"/>
  <c r="K559" i="7"/>
  <c r="L559" i="7" s="1"/>
  <c r="K560" i="7"/>
  <c r="L560" i="7" s="1"/>
  <c r="K561" i="7"/>
  <c r="L561" i="7" s="1"/>
  <c r="O558" i="7"/>
  <c r="O559" i="7"/>
  <c r="O560" i="7"/>
  <c r="O561" i="7"/>
  <c r="F556" i="7"/>
  <c r="F557" i="7"/>
  <c r="K556" i="7"/>
  <c r="L556" i="7" s="1"/>
  <c r="K557" i="7"/>
  <c r="L557" i="7" s="1"/>
  <c r="O556" i="7"/>
  <c r="O557" i="7"/>
  <c r="F552" i="7"/>
  <c r="F553" i="7"/>
  <c r="F554" i="7"/>
  <c r="F555" i="7"/>
  <c r="K552" i="7"/>
  <c r="L552" i="7" s="1"/>
  <c r="K553" i="7"/>
  <c r="L553" i="7" s="1"/>
  <c r="K554" i="7"/>
  <c r="L554" i="7" s="1"/>
  <c r="K555" i="7"/>
  <c r="L555" i="7" s="1"/>
  <c r="O552" i="7"/>
  <c r="O553" i="7"/>
  <c r="O554" i="7"/>
  <c r="O555" i="7"/>
  <c r="G3" i="22"/>
  <c r="G4" i="22"/>
  <c r="G5" i="22"/>
  <c r="G6" i="22"/>
  <c r="G7" i="22"/>
  <c r="G8" i="22"/>
  <c r="G9" i="22"/>
  <c r="G10" i="22"/>
  <c r="F550" i="7"/>
  <c r="F551" i="7"/>
  <c r="K550" i="7"/>
  <c r="L550" i="7" s="1"/>
  <c r="K551" i="7"/>
  <c r="L551" i="7" s="1"/>
  <c r="O550" i="7"/>
  <c r="O551" i="7"/>
  <c r="F547" i="7"/>
  <c r="F548" i="7"/>
  <c r="F549" i="7"/>
  <c r="K547" i="7"/>
  <c r="L547" i="7" s="1"/>
  <c r="K548" i="7"/>
  <c r="L548" i="7" s="1"/>
  <c r="K549" i="7"/>
  <c r="L549" i="7" s="1"/>
  <c r="O547" i="7"/>
  <c r="O548" i="7"/>
  <c r="O549" i="7"/>
  <c r="I546" i="7"/>
  <c r="F544" i="7"/>
  <c r="F545" i="7"/>
  <c r="F546" i="7"/>
  <c r="K544" i="7"/>
  <c r="L544" i="7" s="1"/>
  <c r="K545" i="7"/>
  <c r="L545" i="7" s="1"/>
  <c r="K546" i="7"/>
  <c r="L546" i="7" s="1"/>
  <c r="O544" i="7"/>
  <c r="O545" i="7"/>
  <c r="O546" i="7"/>
  <c r="F542" i="7"/>
  <c r="F543" i="7"/>
  <c r="K542" i="7"/>
  <c r="L542" i="7" s="1"/>
  <c r="K543" i="7"/>
  <c r="L543" i="7" s="1"/>
  <c r="O542" i="7"/>
  <c r="O543" i="7"/>
  <c r="I541" i="7"/>
  <c r="O539" i="7"/>
  <c r="O540" i="7"/>
  <c r="O541" i="7"/>
  <c r="K539" i="7"/>
  <c r="L539" i="7" s="1"/>
  <c r="K540" i="7"/>
  <c r="L540" i="7" s="1"/>
  <c r="K541" i="7"/>
  <c r="L541" i="7" s="1"/>
  <c r="F539" i="7"/>
  <c r="F540" i="7"/>
  <c r="F541" i="7"/>
  <c r="O538" i="7"/>
  <c r="K538" i="7"/>
  <c r="L538" i="7" s="1"/>
  <c r="F538" i="7"/>
  <c r="O534" i="7"/>
  <c r="O535" i="7"/>
  <c r="O536" i="7"/>
  <c r="O537" i="7"/>
  <c r="K534" i="7"/>
  <c r="L534" i="7" s="1"/>
  <c r="K535" i="7"/>
  <c r="L535" i="7" s="1"/>
  <c r="K536" i="7"/>
  <c r="L536" i="7" s="1"/>
  <c r="K537" i="7"/>
  <c r="L537" i="7" s="1"/>
  <c r="F534" i="7"/>
  <c r="F535" i="7"/>
  <c r="F536" i="7"/>
  <c r="F537" i="7"/>
  <c r="F530" i="7"/>
  <c r="F531" i="7"/>
  <c r="F532" i="7"/>
  <c r="F533" i="7"/>
  <c r="K530" i="7"/>
  <c r="L530" i="7" s="1"/>
  <c r="K531" i="7"/>
  <c r="L531" i="7" s="1"/>
  <c r="K532" i="7"/>
  <c r="L532" i="7" s="1"/>
  <c r="K533" i="7"/>
  <c r="L533" i="7" s="1"/>
  <c r="O530" i="7"/>
  <c r="O531" i="7"/>
  <c r="O532" i="7"/>
  <c r="O533" i="7"/>
  <c r="F528" i="7"/>
  <c r="F529" i="7"/>
  <c r="K528" i="7"/>
  <c r="L528" i="7" s="1"/>
  <c r="K529" i="7"/>
  <c r="L529" i="7" s="1"/>
  <c r="O528" i="7"/>
  <c r="O529" i="7"/>
  <c r="F525" i="7"/>
  <c r="F526" i="7"/>
  <c r="F527" i="7"/>
  <c r="K525" i="7"/>
  <c r="L525" i="7" s="1"/>
  <c r="K526" i="7"/>
  <c r="L526" i="7" s="1"/>
  <c r="K527" i="7"/>
  <c r="L527" i="7" s="1"/>
  <c r="O525" i="7"/>
  <c r="O526" i="7"/>
  <c r="O527" i="7"/>
  <c r="F524" i="7"/>
  <c r="K524" i="7"/>
  <c r="L524" i="7" s="1"/>
  <c r="O524" i="7"/>
  <c r="F520" i="7"/>
  <c r="F521" i="7"/>
  <c r="F522" i="7"/>
  <c r="F523" i="7"/>
  <c r="K520" i="7"/>
  <c r="L520" i="7" s="1"/>
  <c r="K521" i="7"/>
  <c r="L521" i="7" s="1"/>
  <c r="K522" i="7"/>
  <c r="L522" i="7" s="1"/>
  <c r="K523" i="7"/>
  <c r="L523" i="7" s="1"/>
  <c r="O520" i="7"/>
  <c r="O521" i="7"/>
  <c r="O522" i="7"/>
  <c r="O523" i="7"/>
  <c r="K3" i="22"/>
  <c r="F518" i="7"/>
  <c r="F519" i="7"/>
  <c r="K518" i="7"/>
  <c r="L518" i="7" s="1"/>
  <c r="K519" i="7"/>
  <c r="L519" i="7" s="1"/>
  <c r="O518" i="7"/>
  <c r="O519" i="7"/>
  <c r="Y230" i="7"/>
  <c r="I517" i="7"/>
  <c r="F517" i="7"/>
  <c r="K517" i="7"/>
  <c r="L517" i="7" s="1"/>
  <c r="O517" i="7"/>
  <c r="F514" i="7"/>
  <c r="F515" i="7"/>
  <c r="F516" i="7"/>
  <c r="K514" i="7"/>
  <c r="L514" i="7" s="1"/>
  <c r="K515" i="7"/>
  <c r="L515" i="7" s="1"/>
  <c r="K516" i="7"/>
  <c r="L516" i="7" s="1"/>
  <c r="O514" i="7"/>
  <c r="O515" i="7"/>
  <c r="O516" i="7"/>
  <c r="Y228" i="7"/>
  <c r="F509" i="7"/>
  <c r="F510" i="7"/>
  <c r="F511" i="7"/>
  <c r="F512" i="7"/>
  <c r="F513" i="7"/>
  <c r="K509" i="7"/>
  <c r="L509" i="7" s="1"/>
  <c r="K510" i="7"/>
  <c r="L510" i="7" s="1"/>
  <c r="K511" i="7"/>
  <c r="L511" i="7" s="1"/>
  <c r="K512" i="7"/>
  <c r="L512" i="7" s="1"/>
  <c r="K513" i="7"/>
  <c r="L513" i="7" s="1"/>
  <c r="O509" i="7"/>
  <c r="O510" i="7"/>
  <c r="O511" i="7"/>
  <c r="O512" i="7"/>
  <c r="O513" i="7"/>
  <c r="Y227" i="7"/>
  <c r="F508" i="7"/>
  <c r="K508" i="7"/>
  <c r="L508" i="7" s="1"/>
  <c r="O508" i="7"/>
  <c r="F506" i="7"/>
  <c r="F507" i="7"/>
  <c r="K506" i="7"/>
  <c r="L506" i="7" s="1"/>
  <c r="K507" i="7"/>
  <c r="L507" i="7" s="1"/>
  <c r="O506" i="7"/>
  <c r="O507" i="7"/>
  <c r="Y226" i="7"/>
  <c r="F500" i="7"/>
  <c r="K500" i="7"/>
  <c r="L500" i="7" s="1"/>
  <c r="O500" i="7"/>
  <c r="F501" i="7"/>
  <c r="F502" i="7"/>
  <c r="F503" i="7"/>
  <c r="F504" i="7"/>
  <c r="F505" i="7"/>
  <c r="K501" i="7"/>
  <c r="L501" i="7" s="1"/>
  <c r="K502" i="7"/>
  <c r="L502" i="7" s="1"/>
  <c r="K503" i="7"/>
  <c r="L503" i="7" s="1"/>
  <c r="K504" i="7"/>
  <c r="L504" i="7" s="1"/>
  <c r="K505" i="7"/>
  <c r="L505" i="7" s="1"/>
  <c r="O501" i="7"/>
  <c r="O502" i="7"/>
  <c r="O503" i="7"/>
  <c r="O504" i="7"/>
  <c r="O505" i="7"/>
  <c r="E10" i="22"/>
  <c r="F10" i="22" s="1"/>
  <c r="E9" i="22"/>
  <c r="F9" i="22" s="1"/>
  <c r="E8" i="22"/>
  <c r="F8" i="22" s="1"/>
  <c r="E7" i="22"/>
  <c r="F7" i="22" s="1"/>
  <c r="E6" i="22"/>
  <c r="F6" i="22" s="1"/>
  <c r="E5" i="22"/>
  <c r="F5" i="22" s="1"/>
  <c r="E4" i="22"/>
  <c r="F4" i="22" s="1"/>
  <c r="E3" i="22"/>
  <c r="F3" i="22" s="1"/>
  <c r="F499" i="7"/>
  <c r="K499" i="7"/>
  <c r="L499" i="7" s="1"/>
  <c r="O499" i="7"/>
  <c r="F495" i="7"/>
  <c r="F496" i="7"/>
  <c r="F497" i="7"/>
  <c r="F498" i="7"/>
  <c r="K495" i="7"/>
  <c r="L495" i="7" s="1"/>
  <c r="K496" i="7"/>
  <c r="L496" i="7" s="1"/>
  <c r="K497" i="7"/>
  <c r="L497" i="7" s="1"/>
  <c r="K498" i="7"/>
  <c r="L498" i="7" s="1"/>
  <c r="O495" i="7"/>
  <c r="O496" i="7"/>
  <c r="O497" i="7"/>
  <c r="O498" i="7"/>
  <c r="Y223" i="7"/>
  <c r="F494" i="7"/>
  <c r="K494" i="7"/>
  <c r="L494" i="7" s="1"/>
  <c r="O494" i="7"/>
  <c r="Y222" i="7"/>
  <c r="I493" i="7"/>
  <c r="F493" i="7"/>
  <c r="K493" i="7"/>
  <c r="L493" i="7" s="1"/>
  <c r="O493" i="7"/>
  <c r="F491" i="7"/>
  <c r="F492" i="7"/>
  <c r="K491" i="7"/>
  <c r="L491" i="7" s="1"/>
  <c r="K492" i="7"/>
  <c r="L492" i="7" s="1"/>
  <c r="O491" i="7"/>
  <c r="O492" i="7"/>
  <c r="Y221" i="7"/>
  <c r="F489" i="7"/>
  <c r="F490" i="7"/>
  <c r="K489" i="7"/>
  <c r="L489" i="7" s="1"/>
  <c r="K490" i="7"/>
  <c r="L490" i="7" s="1"/>
  <c r="O489" i="7"/>
  <c r="O490" i="7"/>
  <c r="Y220" i="7"/>
  <c r="I488" i="7"/>
  <c r="F487" i="7"/>
  <c r="F488" i="7"/>
  <c r="K487" i="7"/>
  <c r="L487" i="7" s="1"/>
  <c r="K488" i="7"/>
  <c r="L488" i="7" s="1"/>
  <c r="O487" i="7"/>
  <c r="O488" i="7"/>
  <c r="Y219" i="7"/>
  <c r="F484" i="7"/>
  <c r="F485" i="7"/>
  <c r="F486" i="7"/>
  <c r="K484" i="7"/>
  <c r="L484" i="7" s="1"/>
  <c r="K485" i="7"/>
  <c r="L485" i="7" s="1"/>
  <c r="K486" i="7"/>
  <c r="L486" i="7" s="1"/>
  <c r="O484" i="7"/>
  <c r="O485" i="7"/>
  <c r="O486" i="7"/>
  <c r="Y218" i="7"/>
  <c r="I481" i="7"/>
  <c r="O481" i="7"/>
  <c r="O482" i="7"/>
  <c r="O483" i="7"/>
  <c r="K481" i="7"/>
  <c r="L481" i="7" s="1"/>
  <c r="K482" i="7"/>
  <c r="L482" i="7" s="1"/>
  <c r="K483" i="7"/>
  <c r="L483" i="7" s="1"/>
  <c r="F481" i="7"/>
  <c r="F482" i="7"/>
  <c r="F483" i="7"/>
  <c r="Y217" i="7"/>
  <c r="F480" i="7"/>
  <c r="K480" i="7"/>
  <c r="L480" i="7" s="1"/>
  <c r="O480" i="7"/>
  <c r="Y216" i="7"/>
  <c r="F478" i="7"/>
  <c r="F479" i="7"/>
  <c r="K478" i="7"/>
  <c r="L478" i="7" s="1"/>
  <c r="K479" i="7"/>
  <c r="L479" i="7" s="1"/>
  <c r="O478" i="7"/>
  <c r="O479" i="7"/>
  <c r="Y215" i="7"/>
  <c r="O475" i="7"/>
  <c r="O476" i="7"/>
  <c r="O477" i="7"/>
  <c r="K475" i="7"/>
  <c r="L475" i="7" s="1"/>
  <c r="K476" i="7"/>
  <c r="L476" i="7" s="1"/>
  <c r="K477" i="7"/>
  <c r="L477" i="7" s="1"/>
  <c r="F475" i="7"/>
  <c r="F476" i="7"/>
  <c r="F477" i="7"/>
  <c r="Y214" i="7"/>
  <c r="O472" i="7"/>
  <c r="O473" i="7"/>
  <c r="O474" i="7"/>
  <c r="K472" i="7"/>
  <c r="L472" i="7" s="1"/>
  <c r="K473" i="7"/>
  <c r="L473" i="7" s="1"/>
  <c r="K474" i="7"/>
  <c r="L474" i="7" s="1"/>
  <c r="F472" i="7"/>
  <c r="F473" i="7"/>
  <c r="F474" i="7"/>
  <c r="Y213" i="7"/>
  <c r="F470" i="7"/>
  <c r="F471" i="7"/>
  <c r="K470" i="7"/>
  <c r="L470" i="7" s="1"/>
  <c r="K471" i="7"/>
  <c r="L471" i="7" s="1"/>
  <c r="O470" i="7"/>
  <c r="O471" i="7"/>
  <c r="F469" i="7"/>
  <c r="K469" i="7"/>
  <c r="L469" i="7" s="1"/>
  <c r="O469" i="7"/>
  <c r="F464" i="7"/>
  <c r="F465" i="7"/>
  <c r="F466" i="7"/>
  <c r="F467" i="7"/>
  <c r="F468" i="7"/>
  <c r="K464" i="7"/>
  <c r="L464" i="7" s="1"/>
  <c r="K465" i="7"/>
  <c r="L465" i="7" s="1"/>
  <c r="K466" i="7"/>
  <c r="L466" i="7" s="1"/>
  <c r="K467" i="7"/>
  <c r="L467" i="7" s="1"/>
  <c r="K468" i="7"/>
  <c r="L468" i="7" s="1"/>
  <c r="O464" i="7"/>
  <c r="O465" i="7"/>
  <c r="O466" i="7"/>
  <c r="O467" i="7"/>
  <c r="O468" i="7"/>
  <c r="F461" i="7"/>
  <c r="F462" i="7"/>
  <c r="F463" i="7"/>
  <c r="K461" i="7"/>
  <c r="L461" i="7" s="1"/>
  <c r="K462" i="7"/>
  <c r="L462" i="7" s="1"/>
  <c r="K463" i="7"/>
  <c r="L463" i="7" s="1"/>
  <c r="O461" i="7"/>
  <c r="O462" i="7"/>
  <c r="O463" i="7"/>
  <c r="F460" i="7"/>
  <c r="K460" i="7"/>
  <c r="L460" i="7" s="1"/>
  <c r="O460" i="7"/>
  <c r="Y209" i="7"/>
  <c r="F456" i="7"/>
  <c r="F457" i="7"/>
  <c r="F458" i="7"/>
  <c r="F459" i="7"/>
  <c r="K456" i="7"/>
  <c r="L456" i="7" s="1"/>
  <c r="K457" i="7"/>
  <c r="L457" i="7" s="1"/>
  <c r="K458" i="7"/>
  <c r="L458" i="7" s="1"/>
  <c r="K459" i="7"/>
  <c r="L459" i="7" s="1"/>
  <c r="O456" i="7"/>
  <c r="O457" i="7"/>
  <c r="O458" i="7"/>
  <c r="O459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Y208" i="7"/>
  <c r="F455" i="7"/>
  <c r="K455" i="7"/>
  <c r="L455" i="7" s="1"/>
  <c r="F452" i="7"/>
  <c r="F453" i="7"/>
  <c r="F454" i="7"/>
  <c r="K452" i="7"/>
  <c r="L452" i="7" s="1"/>
  <c r="K453" i="7"/>
  <c r="L453" i="7" s="1"/>
  <c r="K454" i="7"/>
  <c r="L454" i="7" s="1"/>
  <c r="F449" i="7"/>
  <c r="F450" i="7"/>
  <c r="F451" i="7"/>
  <c r="K449" i="7"/>
  <c r="L449" i="7" s="1"/>
  <c r="K450" i="7"/>
  <c r="L450" i="7" s="1"/>
  <c r="K451" i="7"/>
  <c r="L451" i="7" s="1"/>
  <c r="Y206" i="7"/>
  <c r="F447" i="7"/>
  <c r="F448" i="7"/>
  <c r="K447" i="7"/>
  <c r="L447" i="7" s="1"/>
  <c r="K448" i="7"/>
  <c r="L448" i="7" s="1"/>
  <c r="F446" i="7"/>
  <c r="K446" i="7"/>
  <c r="L446" i="7" s="1"/>
  <c r="B3" i="15" a="1"/>
  <c r="K445" i="7"/>
  <c r="L445" i="7" s="1"/>
  <c r="K444" i="7"/>
  <c r="L444" i="7" s="1"/>
  <c r="Y205" i="7"/>
  <c r="Q3" i="7" a="1"/>
  <c r="R884" i="7" s="1"/>
  <c r="K3" i="7"/>
  <c r="L3" i="7" s="1"/>
  <c r="K4" i="7"/>
  <c r="L4" i="7" s="1"/>
  <c r="K5" i="7"/>
  <c r="L5" i="7" s="1"/>
  <c r="J6" i="7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I14" i="7"/>
  <c r="K14" i="7"/>
  <c r="L14" i="7" s="1"/>
  <c r="I15" i="7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21" i="7"/>
  <c r="L21" i="7" s="1"/>
  <c r="K22" i="7"/>
  <c r="L22" i="7" s="1"/>
  <c r="K23" i="7"/>
  <c r="L23" i="7" s="1"/>
  <c r="K24" i="7"/>
  <c r="L24" i="7" s="1"/>
  <c r="K25" i="7"/>
  <c r="L25" i="7" s="1"/>
  <c r="K26" i="7"/>
  <c r="L26" i="7" s="1"/>
  <c r="K27" i="7"/>
  <c r="L27" i="7" s="1"/>
  <c r="K28" i="7"/>
  <c r="L28" i="7" s="1"/>
  <c r="K29" i="7"/>
  <c r="L29" i="7" s="1"/>
  <c r="I30" i="7"/>
  <c r="K30" i="7"/>
  <c r="L30" i="7" s="1"/>
  <c r="K31" i="7"/>
  <c r="L31" i="7" s="1"/>
  <c r="H30" i="7"/>
  <c r="K32" i="7"/>
  <c r="L32" i="7" s="1"/>
  <c r="K34" i="7"/>
  <c r="L34" i="7" s="1"/>
  <c r="K33" i="7"/>
  <c r="L33" i="7" s="1"/>
  <c r="K36" i="7"/>
  <c r="L36" i="7" s="1"/>
  <c r="K35" i="7"/>
  <c r="L35" i="7" s="1"/>
  <c r="I38" i="7"/>
  <c r="K38" i="7"/>
  <c r="L38" i="7" s="1"/>
  <c r="K37" i="7"/>
  <c r="L37" i="7" s="1"/>
  <c r="H38" i="7"/>
  <c r="K40" i="7"/>
  <c r="L40" i="7" s="1"/>
  <c r="K39" i="7"/>
  <c r="L39" i="7" s="1"/>
  <c r="K41" i="7"/>
  <c r="L41" i="7" s="1"/>
  <c r="K42" i="7"/>
  <c r="L42" i="7" s="1"/>
  <c r="K43" i="7"/>
  <c r="L43" i="7" s="1"/>
  <c r="K44" i="7"/>
  <c r="L44" i="7" s="1"/>
  <c r="K45" i="7"/>
  <c r="L45" i="7" s="1"/>
  <c r="K46" i="7"/>
  <c r="L46" i="7" s="1"/>
  <c r="K47" i="7"/>
  <c r="L47" i="7" s="1"/>
  <c r="K48" i="7"/>
  <c r="L48" i="7" s="1"/>
  <c r="K49" i="7"/>
  <c r="L49" i="7" s="1"/>
  <c r="K51" i="7"/>
  <c r="L51" i="7" s="1"/>
  <c r="K50" i="7"/>
  <c r="L50" i="7" s="1"/>
  <c r="K52" i="7"/>
  <c r="L52" i="7" s="1"/>
  <c r="K53" i="7"/>
  <c r="L53" i="7" s="1"/>
  <c r="K54" i="7"/>
  <c r="L54" i="7" s="1"/>
  <c r="I56" i="7"/>
  <c r="K56" i="7"/>
  <c r="L56" i="7" s="1"/>
  <c r="K55" i="7"/>
  <c r="L55" i="7" s="1"/>
  <c r="I58" i="7"/>
  <c r="J58" i="7"/>
  <c r="K58" i="7" s="1"/>
  <c r="L58" i="7" s="1"/>
  <c r="K57" i="7"/>
  <c r="L57" i="7" s="1"/>
  <c r="K60" i="7"/>
  <c r="L60" i="7" s="1"/>
  <c r="K59" i="7"/>
  <c r="L59" i="7" s="1"/>
  <c r="K61" i="7"/>
  <c r="L61" i="7" s="1"/>
  <c r="K62" i="7"/>
  <c r="L62" i="7" s="1"/>
  <c r="K63" i="7"/>
  <c r="L63" i="7" s="1"/>
  <c r="K64" i="7"/>
  <c r="L64" i="7" s="1"/>
  <c r="K65" i="7"/>
  <c r="L65" i="7" s="1"/>
  <c r="I66" i="7"/>
  <c r="I67" i="7"/>
  <c r="J66" i="7"/>
  <c r="K66" i="7" s="1"/>
  <c r="L66" i="7" s="1"/>
  <c r="K67" i="7"/>
  <c r="L67" i="7" s="1"/>
  <c r="K69" i="7"/>
  <c r="L69" i="7" s="1"/>
  <c r="K68" i="7"/>
  <c r="L68" i="7" s="1"/>
  <c r="I71" i="7"/>
  <c r="J71" i="7"/>
  <c r="K71" i="7" s="1"/>
  <c r="L71" i="7" s="1"/>
  <c r="K70" i="7"/>
  <c r="L70" i="7" s="1"/>
  <c r="K73" i="7"/>
  <c r="L73" i="7" s="1"/>
  <c r="K72" i="7"/>
  <c r="L72" i="7" s="1"/>
  <c r="K75" i="7"/>
  <c r="L75" i="7" s="1"/>
  <c r="K74" i="7"/>
  <c r="L74" i="7" s="1"/>
  <c r="I77" i="7"/>
  <c r="J77" i="7"/>
  <c r="K77" i="7" s="1"/>
  <c r="L77" i="7" s="1"/>
  <c r="K76" i="7"/>
  <c r="L76" i="7" s="1"/>
  <c r="H77" i="7"/>
  <c r="K79" i="7"/>
  <c r="L79" i="7" s="1"/>
  <c r="K78" i="7"/>
  <c r="L78" i="7" s="1"/>
  <c r="K80" i="7"/>
  <c r="L80" i="7" s="1"/>
  <c r="K82" i="7"/>
  <c r="L82" i="7" s="1"/>
  <c r="K81" i="7"/>
  <c r="L81" i="7" s="1"/>
  <c r="K84" i="7"/>
  <c r="L84" i="7" s="1"/>
  <c r="K83" i="7"/>
  <c r="L83" i="7" s="1"/>
  <c r="K86" i="7"/>
  <c r="L86" i="7" s="1"/>
  <c r="K85" i="7"/>
  <c r="L85" i="7" s="1"/>
  <c r="K88" i="7"/>
  <c r="L88" i="7" s="1"/>
  <c r="K87" i="7"/>
  <c r="L87" i="7" s="1"/>
  <c r="K90" i="7"/>
  <c r="L90" i="7" s="1"/>
  <c r="K89" i="7"/>
  <c r="L89" i="7" s="1"/>
  <c r="I92" i="7"/>
  <c r="J92" i="7"/>
  <c r="K92" i="7" s="1"/>
  <c r="L92" i="7" s="1"/>
  <c r="K91" i="7"/>
  <c r="L91" i="7" s="1"/>
  <c r="H92" i="7"/>
  <c r="K94" i="7"/>
  <c r="L94" i="7" s="1"/>
  <c r="K93" i="7"/>
  <c r="L93" i="7" s="1"/>
  <c r="K96" i="7"/>
  <c r="L96" i="7" s="1"/>
  <c r="K95" i="7"/>
  <c r="L95" i="7" s="1"/>
  <c r="I98" i="7"/>
  <c r="J98" i="7"/>
  <c r="K98" i="7" s="1"/>
  <c r="L98" i="7" s="1"/>
  <c r="K97" i="7"/>
  <c r="L97" i="7" s="1"/>
  <c r="K100" i="7"/>
  <c r="L100" i="7" s="1"/>
  <c r="K99" i="7"/>
  <c r="L99" i="7" s="1"/>
  <c r="K102" i="7"/>
  <c r="L102" i="7" s="1"/>
  <c r="K101" i="7"/>
  <c r="L101" i="7" s="1"/>
  <c r="K103" i="7"/>
  <c r="L103" i="7" s="1"/>
  <c r="K104" i="7"/>
  <c r="L104" i="7" s="1"/>
  <c r="K105" i="7"/>
  <c r="L105" i="7" s="1"/>
  <c r="K106" i="7"/>
  <c r="L106" i="7" s="1"/>
  <c r="K107" i="7"/>
  <c r="L107" i="7" s="1"/>
  <c r="K108" i="7"/>
  <c r="L108" i="7" s="1"/>
  <c r="K109" i="7"/>
  <c r="L109" i="7" s="1"/>
  <c r="K110" i="7"/>
  <c r="L110" i="7" s="1"/>
  <c r="K111" i="7"/>
  <c r="L111" i="7" s="1"/>
  <c r="K112" i="7"/>
  <c r="L112" i="7" s="1"/>
  <c r="K113" i="7"/>
  <c r="L113" i="7" s="1"/>
  <c r="K114" i="7"/>
  <c r="L114" i="7" s="1"/>
  <c r="K115" i="7"/>
  <c r="L115" i="7" s="1"/>
  <c r="K116" i="7"/>
  <c r="L116" i="7" s="1"/>
  <c r="I117" i="7"/>
  <c r="K117" i="7"/>
  <c r="L117" i="7" s="1"/>
  <c r="K118" i="7"/>
  <c r="L118" i="7" s="1"/>
  <c r="K119" i="7"/>
  <c r="L119" i="7" s="1"/>
  <c r="I120" i="7"/>
  <c r="J120" i="7"/>
  <c r="K120" i="7" s="1"/>
  <c r="L120" i="7" s="1"/>
  <c r="K121" i="7"/>
  <c r="L121" i="7" s="1"/>
  <c r="I122" i="7"/>
  <c r="K122" i="7"/>
  <c r="L122" i="7" s="1"/>
  <c r="K123" i="7"/>
  <c r="L123" i="7" s="1"/>
  <c r="K125" i="7"/>
  <c r="L125" i="7" s="1"/>
  <c r="K124" i="7"/>
  <c r="L124" i="7" s="1"/>
  <c r="K127" i="7"/>
  <c r="L127" i="7" s="1"/>
  <c r="K128" i="7"/>
  <c r="L128" i="7" s="1"/>
  <c r="K126" i="7"/>
  <c r="L126" i="7" s="1"/>
  <c r="I130" i="7"/>
  <c r="K129" i="7"/>
  <c r="L129" i="7" s="1"/>
  <c r="K130" i="7"/>
  <c r="L130" i="7" s="1"/>
  <c r="K131" i="7"/>
  <c r="L131" i="7" s="1"/>
  <c r="K132" i="7"/>
  <c r="L132" i="7" s="1"/>
  <c r="I133" i="7"/>
  <c r="J133" i="7"/>
  <c r="K133" i="7" s="1"/>
  <c r="L133" i="7" s="1"/>
  <c r="K134" i="7"/>
  <c r="L134" i="7" s="1"/>
  <c r="K135" i="7"/>
  <c r="L135" i="7" s="1"/>
  <c r="I136" i="7"/>
  <c r="K137" i="7"/>
  <c r="L137" i="7" s="1"/>
  <c r="K136" i="7"/>
  <c r="L136" i="7" s="1"/>
  <c r="K138" i="7"/>
  <c r="L138" i="7" s="1"/>
  <c r="I139" i="7"/>
  <c r="J139" i="7"/>
  <c r="K139" i="7" s="1"/>
  <c r="L139" i="7" s="1"/>
  <c r="K140" i="7"/>
  <c r="L140" i="7" s="1"/>
  <c r="K141" i="7"/>
  <c r="L141" i="7" s="1"/>
  <c r="K142" i="7"/>
  <c r="L142" i="7" s="1"/>
  <c r="I144" i="7"/>
  <c r="J144" i="7"/>
  <c r="K144" i="7" s="1"/>
  <c r="L144" i="7" s="1"/>
  <c r="K143" i="7"/>
  <c r="L143" i="7" s="1"/>
  <c r="H144" i="7"/>
  <c r="K145" i="7"/>
  <c r="L145" i="7" s="1"/>
  <c r="K147" i="7"/>
  <c r="L147" i="7" s="1"/>
  <c r="K146" i="7"/>
  <c r="L146" i="7" s="1"/>
  <c r="I149" i="7"/>
  <c r="J149" i="7"/>
  <c r="K149" i="7" s="1"/>
  <c r="L149" i="7" s="1"/>
  <c r="K148" i="7"/>
  <c r="L148" i="7" s="1"/>
  <c r="H149" i="7"/>
  <c r="J150" i="7"/>
  <c r="I152" i="7"/>
  <c r="J152" i="7"/>
  <c r="K152" i="7" s="1"/>
  <c r="L152" i="7" s="1"/>
  <c r="K153" i="7"/>
  <c r="L153" i="7" s="1"/>
  <c r="K151" i="7"/>
  <c r="L151" i="7" s="1"/>
  <c r="K155" i="7"/>
  <c r="L155" i="7" s="1"/>
  <c r="K154" i="7"/>
  <c r="L154" i="7" s="1"/>
  <c r="J157" i="7"/>
  <c r="K158" i="7"/>
  <c r="L158" i="7" s="1"/>
  <c r="K156" i="7"/>
  <c r="L156" i="7" s="1"/>
  <c r="K160" i="7"/>
  <c r="L160" i="7" s="1"/>
  <c r="K159" i="7"/>
  <c r="L159" i="7" s="1"/>
  <c r="K161" i="7"/>
  <c r="L161" i="7" s="1"/>
  <c r="K163" i="7"/>
  <c r="L163" i="7" s="1"/>
  <c r="K162" i="7"/>
  <c r="L162" i="7" s="1"/>
  <c r="K165" i="7"/>
  <c r="L165" i="7" s="1"/>
  <c r="K164" i="7"/>
  <c r="L164" i="7" s="1"/>
  <c r="K167" i="7"/>
  <c r="L167" i="7" s="1"/>
  <c r="K168" i="7"/>
  <c r="L168" i="7" s="1"/>
  <c r="K166" i="7"/>
  <c r="L166" i="7" s="1"/>
  <c r="K169" i="7"/>
  <c r="L169" i="7" s="1"/>
  <c r="K170" i="7"/>
  <c r="L170" i="7" s="1"/>
  <c r="K171" i="7"/>
  <c r="L171" i="7" s="1"/>
  <c r="K173" i="7"/>
  <c r="L173" i="7" s="1"/>
  <c r="K172" i="7"/>
  <c r="L172" i="7" s="1"/>
  <c r="I174" i="7"/>
  <c r="J174" i="7"/>
  <c r="K174" i="7" s="1"/>
  <c r="L174" i="7" s="1"/>
  <c r="H174" i="7"/>
  <c r="K175" i="7"/>
  <c r="L175" i="7" s="1"/>
  <c r="K177" i="7"/>
  <c r="L177" i="7" s="1"/>
  <c r="K176" i="7"/>
  <c r="L176" i="7" s="1"/>
  <c r="I179" i="7"/>
  <c r="J179" i="7"/>
  <c r="K179" i="7" s="1"/>
  <c r="L179" i="7" s="1"/>
  <c r="J178" i="7"/>
  <c r="I181" i="7"/>
  <c r="K181" i="7"/>
  <c r="L181" i="7" s="1"/>
  <c r="K180" i="7"/>
  <c r="L180" i="7" s="1"/>
  <c r="K182" i="7"/>
  <c r="L182" i="7" s="1"/>
  <c r="K183" i="7"/>
  <c r="L183" i="7" s="1"/>
  <c r="K184" i="7"/>
  <c r="L184" i="7" s="1"/>
  <c r="K185" i="7"/>
  <c r="L185" i="7" s="1"/>
  <c r="K186" i="7"/>
  <c r="L186" i="7" s="1"/>
  <c r="K187" i="7"/>
  <c r="L187" i="7" s="1"/>
  <c r="K189" i="7"/>
  <c r="L189" i="7" s="1"/>
  <c r="K190" i="7"/>
  <c r="L190" i="7" s="1"/>
  <c r="K191" i="7"/>
  <c r="L191" i="7" s="1"/>
  <c r="K188" i="7"/>
  <c r="L188" i="7" s="1"/>
  <c r="K193" i="7"/>
  <c r="L193" i="7" s="1"/>
  <c r="K192" i="7"/>
  <c r="L192" i="7" s="1"/>
  <c r="K194" i="7"/>
  <c r="L194" i="7" s="1"/>
  <c r="K196" i="7"/>
  <c r="L196" i="7" s="1"/>
  <c r="K195" i="7"/>
  <c r="L195" i="7" s="1"/>
  <c r="I198" i="7"/>
  <c r="J198" i="7"/>
  <c r="K198" i="7" s="1"/>
  <c r="L198" i="7" s="1"/>
  <c r="K197" i="7"/>
  <c r="L197" i="7" s="1"/>
  <c r="H198" i="7"/>
  <c r="K199" i="7"/>
  <c r="L199" i="7" s="1"/>
  <c r="K200" i="7"/>
  <c r="L200" i="7" s="1"/>
  <c r="K201" i="7"/>
  <c r="L201" i="7" s="1"/>
  <c r="K203" i="7"/>
  <c r="L203" i="7" s="1"/>
  <c r="K202" i="7"/>
  <c r="L202" i="7" s="1"/>
  <c r="K204" i="7"/>
  <c r="L204" i="7" s="1"/>
  <c r="K205" i="7"/>
  <c r="L205" i="7" s="1"/>
  <c r="K206" i="7"/>
  <c r="L206" i="7" s="1"/>
  <c r="K207" i="7"/>
  <c r="L207" i="7" s="1"/>
  <c r="K208" i="7"/>
  <c r="L208" i="7" s="1"/>
  <c r="K209" i="7"/>
  <c r="L209" i="7" s="1"/>
  <c r="K210" i="7"/>
  <c r="L210" i="7" s="1"/>
  <c r="K211" i="7"/>
  <c r="L211" i="7" s="1"/>
  <c r="K212" i="7"/>
  <c r="L212" i="7" s="1"/>
  <c r="K213" i="7"/>
  <c r="L213" i="7" s="1"/>
  <c r="K215" i="7"/>
  <c r="L215" i="7" s="1"/>
  <c r="K216" i="7"/>
  <c r="L216" i="7" s="1"/>
  <c r="K214" i="7"/>
  <c r="L214" i="7" s="1"/>
  <c r="K218" i="7"/>
  <c r="L218" i="7" s="1"/>
  <c r="K217" i="7"/>
  <c r="L217" i="7" s="1"/>
  <c r="K220" i="7"/>
  <c r="L220" i="7" s="1"/>
  <c r="K219" i="7"/>
  <c r="L219" i="7" s="1"/>
  <c r="K221" i="7"/>
  <c r="L221" i="7" s="1"/>
  <c r="K222" i="7"/>
  <c r="L222" i="7" s="1"/>
  <c r="K223" i="7"/>
  <c r="L223" i="7" s="1"/>
  <c r="K224" i="7"/>
  <c r="L224" i="7" s="1"/>
  <c r="K226" i="7"/>
  <c r="L226" i="7" s="1"/>
  <c r="K225" i="7"/>
  <c r="L225" i="7" s="1"/>
  <c r="K227" i="7"/>
  <c r="L227" i="7" s="1"/>
  <c r="K229" i="7"/>
  <c r="L229" i="7" s="1"/>
  <c r="K230" i="7"/>
  <c r="L230" i="7" s="1"/>
  <c r="K231" i="7"/>
  <c r="L231" i="7" s="1"/>
  <c r="K228" i="7"/>
  <c r="L228" i="7" s="1"/>
  <c r="K233" i="7"/>
  <c r="L233" i="7" s="1"/>
  <c r="K234" i="7"/>
  <c r="L234" i="7" s="1"/>
  <c r="K232" i="7"/>
  <c r="L232" i="7" s="1"/>
  <c r="K235" i="7"/>
  <c r="L235" i="7" s="1"/>
  <c r="K236" i="7"/>
  <c r="L236" i="7" s="1"/>
  <c r="K237" i="7"/>
  <c r="L237" i="7" s="1"/>
  <c r="I238" i="7"/>
  <c r="K239" i="7"/>
  <c r="L239" i="7" s="1"/>
  <c r="K238" i="7"/>
  <c r="L238" i="7" s="1"/>
  <c r="K241" i="7"/>
  <c r="L241" i="7" s="1"/>
  <c r="K242" i="7"/>
  <c r="L242" i="7" s="1"/>
  <c r="K240" i="7"/>
  <c r="L240" i="7" s="1"/>
  <c r="I244" i="7"/>
  <c r="K244" i="7"/>
  <c r="L244" i="7" s="1"/>
  <c r="J243" i="7"/>
  <c r="H243" i="7"/>
  <c r="K246" i="7"/>
  <c r="L246" i="7" s="1"/>
  <c r="K247" i="7"/>
  <c r="L247" i="7" s="1"/>
  <c r="K248" i="7"/>
  <c r="L248" i="7" s="1"/>
  <c r="K245" i="7"/>
  <c r="L245" i="7" s="1"/>
  <c r="K250" i="7"/>
  <c r="L250" i="7" s="1"/>
  <c r="K251" i="7"/>
  <c r="L251" i="7" s="1"/>
  <c r="K252" i="7"/>
  <c r="L252" i="7" s="1"/>
  <c r="K249" i="7"/>
  <c r="L249" i="7" s="1"/>
  <c r="K254" i="7"/>
  <c r="L254" i="7" s="1"/>
  <c r="K255" i="7"/>
  <c r="L255" i="7" s="1"/>
  <c r="K253" i="7"/>
  <c r="L253" i="7" s="1"/>
  <c r="K257" i="7"/>
  <c r="L257" i="7" s="1"/>
  <c r="K258" i="7"/>
  <c r="L258" i="7" s="1"/>
  <c r="K259" i="7"/>
  <c r="L259" i="7" s="1"/>
  <c r="K256" i="7"/>
  <c r="L256" i="7" s="1"/>
  <c r="K261" i="7"/>
  <c r="L261" i="7" s="1"/>
  <c r="K260" i="7"/>
  <c r="L260" i="7" s="1"/>
  <c r="K263" i="7"/>
  <c r="L263" i="7" s="1"/>
  <c r="K264" i="7"/>
  <c r="L264" i="7" s="1"/>
  <c r="K262" i="7"/>
  <c r="L262" i="7" s="1"/>
  <c r="K266" i="7"/>
  <c r="L266" i="7" s="1"/>
  <c r="K267" i="7"/>
  <c r="L267" i="7" s="1"/>
  <c r="K265" i="7"/>
  <c r="L265" i="7" s="1"/>
  <c r="K269" i="7"/>
  <c r="L269" i="7" s="1"/>
  <c r="K270" i="7"/>
  <c r="L270" i="7" s="1"/>
  <c r="K268" i="7"/>
  <c r="L268" i="7" s="1"/>
  <c r="K271" i="7"/>
  <c r="L271" i="7" s="1"/>
  <c r="K273" i="7"/>
  <c r="L273" i="7" s="1"/>
  <c r="K274" i="7"/>
  <c r="L274" i="7" s="1"/>
  <c r="K272" i="7"/>
  <c r="L272" i="7" s="1"/>
  <c r="K275" i="7"/>
  <c r="L275" i="7" s="1"/>
  <c r="K276" i="7"/>
  <c r="L276" i="7" s="1"/>
  <c r="K278" i="7"/>
  <c r="L278" i="7" s="1"/>
  <c r="K279" i="7"/>
  <c r="L279" i="7" s="1"/>
  <c r="K277" i="7"/>
  <c r="L277" i="7" s="1"/>
  <c r="K281" i="7"/>
  <c r="L281" i="7" s="1"/>
  <c r="K282" i="7"/>
  <c r="L282" i="7" s="1"/>
  <c r="K280" i="7"/>
  <c r="L280" i="7" s="1"/>
  <c r="K283" i="7"/>
  <c r="L283" i="7" s="1"/>
  <c r="K284" i="7"/>
  <c r="L284" i="7" s="1"/>
  <c r="K285" i="7"/>
  <c r="L285" i="7" s="1"/>
  <c r="K287" i="7"/>
  <c r="L287" i="7" s="1"/>
  <c r="K286" i="7"/>
  <c r="L286" i="7" s="1"/>
  <c r="I289" i="7"/>
  <c r="K289" i="7"/>
  <c r="L289" i="7" s="1"/>
  <c r="K288" i="7"/>
  <c r="L288" i="7" s="1"/>
  <c r="I290" i="7"/>
  <c r="I293" i="7"/>
  <c r="K291" i="7"/>
  <c r="L291" i="7" s="1"/>
  <c r="K292" i="7"/>
  <c r="L292" i="7" s="1"/>
  <c r="J290" i="7"/>
  <c r="K290" i="7" s="1"/>
  <c r="L290" i="7" s="1"/>
  <c r="J293" i="7"/>
  <c r="K293" i="7" s="1"/>
  <c r="L293" i="7" s="1"/>
  <c r="K295" i="7"/>
  <c r="L295" i="7" s="1"/>
  <c r="K296" i="7"/>
  <c r="L296" i="7" s="1"/>
  <c r="K294" i="7"/>
  <c r="L294" i="7" s="1"/>
  <c r="K298" i="7"/>
  <c r="L298" i="7" s="1"/>
  <c r="K297" i="7"/>
  <c r="L297" i="7" s="1"/>
  <c r="I300" i="7"/>
  <c r="K300" i="7"/>
  <c r="L300" i="7" s="1"/>
  <c r="K299" i="7"/>
  <c r="L299" i="7" s="1"/>
  <c r="K302" i="7"/>
  <c r="L302" i="7" s="1"/>
  <c r="K303" i="7"/>
  <c r="L303" i="7" s="1"/>
  <c r="K301" i="7"/>
  <c r="L301" i="7" s="1"/>
  <c r="K305" i="7"/>
  <c r="L305" i="7" s="1"/>
  <c r="K304" i="7"/>
  <c r="L304" i="7" s="1"/>
  <c r="K307" i="7"/>
  <c r="L307" i="7" s="1"/>
  <c r="K308" i="7"/>
  <c r="L308" i="7" s="1"/>
  <c r="K306" i="7"/>
  <c r="L306" i="7" s="1"/>
  <c r="K309" i="7"/>
  <c r="L309" i="7" s="1"/>
  <c r="K311" i="7"/>
  <c r="L311" i="7" s="1"/>
  <c r="K310" i="7"/>
  <c r="L310" i="7" s="1"/>
  <c r="K313" i="7"/>
  <c r="L313" i="7" s="1"/>
  <c r="K314" i="7"/>
  <c r="L314" i="7" s="1"/>
  <c r="K312" i="7"/>
  <c r="L312" i="7" s="1"/>
  <c r="I317" i="7"/>
  <c r="K316" i="7"/>
  <c r="L316" i="7" s="1"/>
  <c r="K317" i="7"/>
  <c r="L317" i="7" s="1"/>
  <c r="K318" i="7"/>
  <c r="L318" i="7" s="1"/>
  <c r="K315" i="7"/>
  <c r="L315" i="7" s="1"/>
  <c r="K320" i="7"/>
  <c r="L320" i="7" s="1"/>
  <c r="K321" i="7"/>
  <c r="L321" i="7" s="1"/>
  <c r="K319" i="7"/>
  <c r="L319" i="7" s="1"/>
  <c r="K323" i="7"/>
  <c r="L323" i="7" s="1"/>
  <c r="K322" i="7"/>
  <c r="L322" i="7" s="1"/>
  <c r="K325" i="7"/>
  <c r="L325" i="7" s="1"/>
  <c r="K326" i="7"/>
  <c r="L326" i="7" s="1"/>
  <c r="K327" i="7"/>
  <c r="L327" i="7" s="1"/>
  <c r="K324" i="7"/>
  <c r="L324" i="7" s="1"/>
  <c r="K329" i="7"/>
  <c r="L329" i="7" s="1"/>
  <c r="K328" i="7"/>
  <c r="L328" i="7" s="1"/>
  <c r="K331" i="7"/>
  <c r="L331" i="7" s="1"/>
  <c r="K332" i="7"/>
  <c r="L332" i="7" s="1"/>
  <c r="K330" i="7"/>
  <c r="L330" i="7" s="1"/>
  <c r="K334" i="7"/>
  <c r="L334" i="7" s="1"/>
  <c r="K333" i="7"/>
  <c r="L333" i="7" s="1"/>
  <c r="K335" i="7"/>
  <c r="L335" i="7" s="1"/>
  <c r="K337" i="7"/>
  <c r="L337" i="7" s="1"/>
  <c r="K338" i="7"/>
  <c r="L338" i="7" s="1"/>
  <c r="K336" i="7"/>
  <c r="L336" i="7" s="1"/>
  <c r="K340" i="7"/>
  <c r="L340" i="7" s="1"/>
  <c r="K341" i="7"/>
  <c r="L341" i="7" s="1"/>
  <c r="K342" i="7"/>
  <c r="L342" i="7" s="1"/>
  <c r="K339" i="7"/>
  <c r="L339" i="7" s="1"/>
  <c r="K343" i="7"/>
  <c r="L343" i="7" s="1"/>
  <c r="K345" i="7"/>
  <c r="L345" i="7" s="1"/>
  <c r="K346" i="7"/>
  <c r="L346" i="7" s="1"/>
  <c r="K344" i="7"/>
  <c r="L344" i="7" s="1"/>
  <c r="K348" i="7"/>
  <c r="L348" i="7" s="1"/>
  <c r="K347" i="7"/>
  <c r="L347" i="7" s="1"/>
  <c r="K349" i="7"/>
  <c r="L349" i="7" s="1"/>
  <c r="K351" i="7"/>
  <c r="L351" i="7" s="1"/>
  <c r="K352" i="7"/>
  <c r="L352" i="7" s="1"/>
  <c r="K350" i="7"/>
  <c r="L350" i="7" s="1"/>
  <c r="I355" i="7"/>
  <c r="K354" i="7"/>
  <c r="L354" i="7" s="1"/>
  <c r="K355" i="7"/>
  <c r="L355" i="7" s="1"/>
  <c r="K353" i="7"/>
  <c r="L353" i="7" s="1"/>
  <c r="K356" i="7"/>
  <c r="L356" i="7" s="1"/>
  <c r="K358" i="7"/>
  <c r="L358" i="7" s="1"/>
  <c r="K359" i="7"/>
  <c r="L359" i="7" s="1"/>
  <c r="K360" i="7"/>
  <c r="L360" i="7" s="1"/>
  <c r="K357" i="7"/>
  <c r="L357" i="7" s="1"/>
  <c r="K362" i="7"/>
  <c r="L362" i="7" s="1"/>
  <c r="K363" i="7"/>
  <c r="L363" i="7" s="1"/>
  <c r="K361" i="7"/>
  <c r="L361" i="7" s="1"/>
  <c r="K365" i="7"/>
  <c r="L365" i="7" s="1"/>
  <c r="K364" i="7"/>
  <c r="L364" i="7" s="1"/>
  <c r="K367" i="7"/>
  <c r="L367" i="7" s="1"/>
  <c r="K366" i="7"/>
  <c r="L366" i="7" s="1"/>
  <c r="K369" i="7"/>
  <c r="L369" i="7" s="1"/>
  <c r="K368" i="7"/>
  <c r="L368" i="7" s="1"/>
  <c r="I370" i="7"/>
  <c r="K371" i="7"/>
  <c r="L371" i="7" s="1"/>
  <c r="K370" i="7"/>
  <c r="L370" i="7" s="1"/>
  <c r="K373" i="7"/>
  <c r="L373" i="7" s="1"/>
  <c r="K372" i="7"/>
  <c r="L372" i="7" s="1"/>
  <c r="K374" i="7"/>
  <c r="L374" i="7" s="1"/>
  <c r="K376" i="7"/>
  <c r="L376" i="7" s="1"/>
  <c r="K377" i="7"/>
  <c r="L377" i="7" s="1"/>
  <c r="K375" i="7"/>
  <c r="L375" i="7" s="1"/>
  <c r="I379" i="7"/>
  <c r="K379" i="7"/>
  <c r="L379" i="7" s="1"/>
  <c r="K378" i="7"/>
  <c r="L378" i="7" s="1"/>
  <c r="K381" i="7"/>
  <c r="L381" i="7" s="1"/>
  <c r="K380" i="7"/>
  <c r="L380" i="7" s="1"/>
  <c r="K383" i="7"/>
  <c r="L383" i="7" s="1"/>
  <c r="K384" i="7"/>
  <c r="L384" i="7" s="1"/>
  <c r="K385" i="7"/>
  <c r="L385" i="7" s="1"/>
  <c r="K382" i="7"/>
  <c r="L382" i="7" s="1"/>
  <c r="K387" i="7"/>
  <c r="L387" i="7" s="1"/>
  <c r="K388" i="7"/>
  <c r="L388" i="7" s="1"/>
  <c r="K386" i="7"/>
  <c r="L386" i="7" s="1"/>
  <c r="K390" i="7"/>
  <c r="L390" i="7" s="1"/>
  <c r="K389" i="7"/>
  <c r="L389" i="7" s="1"/>
  <c r="K392" i="7"/>
  <c r="L392" i="7" s="1"/>
  <c r="K391" i="7"/>
  <c r="L391" i="7" s="1"/>
  <c r="I394" i="7"/>
  <c r="K394" i="7"/>
  <c r="L394" i="7" s="1"/>
  <c r="K393" i="7"/>
  <c r="L393" i="7" s="1"/>
  <c r="K396" i="7"/>
  <c r="L396" i="7" s="1"/>
  <c r="K397" i="7"/>
  <c r="L397" i="7" s="1"/>
  <c r="K395" i="7"/>
  <c r="L395" i="7" s="1"/>
  <c r="K399" i="7"/>
  <c r="L399" i="7" s="1"/>
  <c r="K398" i="7"/>
  <c r="L398" i="7" s="1"/>
  <c r="K401" i="7"/>
  <c r="L401" i="7" s="1"/>
  <c r="K402" i="7"/>
  <c r="L402" i="7" s="1"/>
  <c r="K400" i="7"/>
  <c r="L400" i="7" s="1"/>
  <c r="K404" i="7"/>
  <c r="L404" i="7" s="1"/>
  <c r="K405" i="7"/>
  <c r="L405" i="7" s="1"/>
  <c r="K403" i="7"/>
  <c r="L403" i="7" s="1"/>
  <c r="K407" i="7"/>
  <c r="L407" i="7" s="1"/>
  <c r="K408" i="7"/>
  <c r="L408" i="7" s="1"/>
  <c r="K409" i="7"/>
  <c r="L409" i="7" s="1"/>
  <c r="K410" i="7"/>
  <c r="L410" i="7" s="1"/>
  <c r="K406" i="7"/>
  <c r="L406" i="7" s="1"/>
  <c r="K412" i="7"/>
  <c r="L412" i="7" s="1"/>
  <c r="K411" i="7"/>
  <c r="L411" i="7" s="1"/>
  <c r="K414" i="7"/>
  <c r="L414" i="7" s="1"/>
  <c r="K415" i="7"/>
  <c r="L415" i="7" s="1"/>
  <c r="K416" i="7"/>
  <c r="L416" i="7" s="1"/>
  <c r="K413" i="7"/>
  <c r="L413" i="7" s="1"/>
  <c r="K418" i="7"/>
  <c r="L418" i="7" s="1"/>
  <c r="K419" i="7"/>
  <c r="L419" i="7" s="1"/>
  <c r="K420" i="7"/>
  <c r="L420" i="7" s="1"/>
  <c r="K417" i="7"/>
  <c r="L417" i="7" s="1"/>
  <c r="K422" i="7"/>
  <c r="L422" i="7" s="1"/>
  <c r="K423" i="7"/>
  <c r="L423" i="7" s="1"/>
  <c r="K424" i="7"/>
  <c r="L424" i="7" s="1"/>
  <c r="K421" i="7"/>
  <c r="L421" i="7" s="1"/>
  <c r="K426" i="7"/>
  <c r="L426" i="7" s="1"/>
  <c r="K427" i="7"/>
  <c r="L427" i="7" s="1"/>
  <c r="K425" i="7"/>
  <c r="L425" i="7" s="1"/>
  <c r="K429" i="7"/>
  <c r="L429" i="7" s="1"/>
  <c r="K428" i="7"/>
  <c r="L428" i="7" s="1"/>
  <c r="K431" i="7"/>
  <c r="L431" i="7" s="1"/>
  <c r="K430" i="7"/>
  <c r="L430" i="7" s="1"/>
  <c r="K433" i="7"/>
  <c r="L433" i="7" s="1"/>
  <c r="K434" i="7"/>
  <c r="L434" i="7" s="1"/>
  <c r="K435" i="7"/>
  <c r="L435" i="7" s="1"/>
  <c r="K432" i="7"/>
  <c r="L432" i="7" s="1"/>
  <c r="K437" i="7"/>
  <c r="L437" i="7" s="1"/>
  <c r="K438" i="7"/>
  <c r="L438" i="7" s="1"/>
  <c r="K439" i="7"/>
  <c r="L439" i="7" s="1"/>
  <c r="K436" i="7"/>
  <c r="L436" i="7" s="1"/>
  <c r="K441" i="7"/>
  <c r="L441" i="7" s="1"/>
  <c r="K442" i="7"/>
  <c r="L442" i="7" s="1"/>
  <c r="K440" i="7"/>
  <c r="L440" i="7" s="1"/>
  <c r="K443" i="7"/>
  <c r="L443" i="7" s="1"/>
  <c r="F444" i="7"/>
  <c r="F445" i="7"/>
  <c r="F440" i="7"/>
  <c r="F441" i="7"/>
  <c r="F442" i="7"/>
  <c r="F443" i="7"/>
  <c r="Y203" i="7"/>
  <c r="F436" i="7"/>
  <c r="F437" i="7"/>
  <c r="F438" i="7"/>
  <c r="F439" i="7"/>
  <c r="Y202" i="7"/>
  <c r="F435" i="7"/>
  <c r="F432" i="7"/>
  <c r="F433" i="7"/>
  <c r="F434" i="7"/>
  <c r="Y201" i="7"/>
  <c r="F430" i="7"/>
  <c r="F431" i="7"/>
  <c r="F428" i="7"/>
  <c r="F429" i="7"/>
  <c r="Y199" i="7"/>
  <c r="F425" i="7"/>
  <c r="F426" i="7"/>
  <c r="F427" i="7"/>
  <c r="F421" i="7"/>
  <c r="F422" i="7"/>
  <c r="F423" i="7"/>
  <c r="F424" i="7"/>
  <c r="Y197" i="7"/>
  <c r="F417" i="7"/>
  <c r="F418" i="7"/>
  <c r="F419" i="7"/>
  <c r="F420" i="7"/>
  <c r="Y196" i="7"/>
  <c r="F416" i="7"/>
  <c r="F413" i="7"/>
  <c r="F414" i="7"/>
  <c r="F415" i="7"/>
  <c r="F411" i="7"/>
  <c r="F412" i="7"/>
  <c r="Y194" i="7"/>
  <c r="F406" i="7"/>
  <c r="F407" i="7"/>
  <c r="F408" i="7"/>
  <c r="F409" i="7"/>
  <c r="F410" i="7"/>
  <c r="Y193" i="7"/>
  <c r="F403" i="7"/>
  <c r="F404" i="7"/>
  <c r="F405" i="7"/>
  <c r="Y192" i="7"/>
  <c r="F402" i="7"/>
  <c r="F400" i="7"/>
  <c r="F401" i="7"/>
  <c r="Y191" i="7"/>
  <c r="F398" i="7"/>
  <c r="F399" i="7"/>
  <c r="F395" i="7"/>
  <c r="F396" i="7"/>
  <c r="F397" i="7"/>
  <c r="Y189" i="7"/>
  <c r="F393" i="7"/>
  <c r="F394" i="7"/>
  <c r="F391" i="7"/>
  <c r="F392" i="7"/>
  <c r="F389" i="7"/>
  <c r="F390" i="7"/>
  <c r="Y186" i="7"/>
  <c r="F386" i="7"/>
  <c r="F387" i="7"/>
  <c r="F388" i="7"/>
  <c r="Y185" i="7"/>
  <c r="F382" i="7"/>
  <c r="F383" i="7"/>
  <c r="F384" i="7"/>
  <c r="F385" i="7"/>
  <c r="Y184" i="7"/>
  <c r="F380" i="7"/>
  <c r="F381" i="7"/>
  <c r="F378" i="7"/>
  <c r="F379" i="7"/>
  <c r="Y182" i="7"/>
  <c r="F375" i="7"/>
  <c r="F376" i="7"/>
  <c r="F377" i="7"/>
  <c r="F374" i="7"/>
  <c r="Y180" i="7"/>
  <c r="F372" i="7"/>
  <c r="F373" i="7"/>
  <c r="F370" i="7"/>
  <c r="F371" i="7"/>
  <c r="I9" i="21"/>
  <c r="G18" i="21"/>
  <c r="F368" i="7"/>
  <c r="F369" i="7"/>
  <c r="Y177" i="7"/>
  <c r="F366" i="7"/>
  <c r="F367" i="7"/>
  <c r="I8" i="21"/>
  <c r="G20" i="21"/>
  <c r="I6" i="21"/>
  <c r="I5" i="21"/>
  <c r="O11" i="21"/>
  <c r="D2" i="21"/>
  <c r="I4" i="21"/>
  <c r="I7" i="21"/>
  <c r="F364" i="7"/>
  <c r="F365" i="7"/>
  <c r="G13" i="21"/>
  <c r="G19" i="21"/>
  <c r="Y175" i="7"/>
  <c r="F361" i="7"/>
  <c r="F362" i="7"/>
  <c r="F363" i="7"/>
  <c r="Y174" i="7"/>
  <c r="F357" i="7"/>
  <c r="F358" i="7"/>
  <c r="F359" i="7"/>
  <c r="F360" i="7"/>
  <c r="Y173" i="7"/>
  <c r="F353" i="7"/>
  <c r="F354" i="7"/>
  <c r="F355" i="7"/>
  <c r="F356" i="7"/>
  <c r="Y172" i="7"/>
  <c r="F349" i="7"/>
  <c r="F350" i="7"/>
  <c r="F351" i="7"/>
  <c r="F352" i="7"/>
  <c r="F347" i="7"/>
  <c r="F348" i="7"/>
  <c r="Y169" i="7"/>
  <c r="F344" i="7"/>
  <c r="F345" i="7"/>
  <c r="F346" i="7"/>
  <c r="F343" i="7"/>
  <c r="F339" i="7"/>
  <c r="F340" i="7"/>
  <c r="F341" i="7"/>
  <c r="F342" i="7"/>
  <c r="Y167" i="7"/>
  <c r="F338" i="7"/>
  <c r="F336" i="7"/>
  <c r="F337" i="7"/>
  <c r="L7" i="21"/>
  <c r="O10" i="21"/>
  <c r="C2" i="21"/>
  <c r="H2" i="21"/>
  <c r="K7" i="21" s="1"/>
  <c r="L4" i="21"/>
  <c r="L5" i="21"/>
  <c r="L6" i="21"/>
  <c r="L8" i="21"/>
  <c r="F335" i="7"/>
  <c r="Y165" i="7"/>
  <c r="F333" i="7"/>
  <c r="F334" i="7"/>
  <c r="Y164" i="7"/>
  <c r="F330" i="7"/>
  <c r="F331" i="7"/>
  <c r="F332" i="7"/>
  <c r="Y163" i="7"/>
  <c r="F328" i="7"/>
  <c r="F329" i="7"/>
  <c r="Y162" i="7"/>
  <c r="F324" i="7"/>
  <c r="F325" i="7"/>
  <c r="F326" i="7"/>
  <c r="F327" i="7"/>
  <c r="Y161" i="7"/>
  <c r="F322" i="7"/>
  <c r="F323" i="7"/>
  <c r="Y160" i="7"/>
  <c r="F319" i="7"/>
  <c r="F320" i="7"/>
  <c r="F321" i="7"/>
  <c r="Y159" i="7"/>
  <c r="F315" i="7"/>
  <c r="F316" i="7"/>
  <c r="F317" i="7"/>
  <c r="F318" i="7"/>
  <c r="Y158" i="7"/>
  <c r="F314" i="7"/>
  <c r="F312" i="7"/>
  <c r="F313" i="7"/>
  <c r="Y157" i="7"/>
  <c r="F310" i="7"/>
  <c r="F311" i="7"/>
  <c r="F306" i="7"/>
  <c r="F307" i="7"/>
  <c r="F308" i="7"/>
  <c r="F309" i="7"/>
  <c r="F304" i="7"/>
  <c r="F305" i="7"/>
  <c r="F301" i="7"/>
  <c r="F302" i="7"/>
  <c r="F303" i="7"/>
  <c r="Y153" i="7"/>
  <c r="F299" i="7"/>
  <c r="F300" i="7"/>
  <c r="Y152" i="7"/>
  <c r="F297" i="7"/>
  <c r="F298" i="7"/>
  <c r="Y151" i="7"/>
  <c r="F296" i="7"/>
  <c r="F294" i="7"/>
  <c r="F295" i="7"/>
  <c r="Y150" i="7"/>
  <c r="F293" i="7"/>
  <c r="F290" i="7"/>
  <c r="F291" i="7"/>
  <c r="F292" i="7"/>
  <c r="Y149" i="7"/>
  <c r="F288" i="7"/>
  <c r="F289" i="7"/>
  <c r="Y148" i="7"/>
  <c r="F286" i="7"/>
  <c r="F287" i="7"/>
  <c r="F285" i="7"/>
  <c r="F283" i="7"/>
  <c r="F284" i="7"/>
  <c r="Y146" i="7"/>
  <c r="F280" i="7"/>
  <c r="F281" i="7"/>
  <c r="F282" i="7"/>
  <c r="F279" i="7"/>
  <c r="F278" i="7"/>
  <c r="F276" i="7"/>
  <c r="F277" i="7"/>
  <c r="F272" i="7"/>
  <c r="F273" i="7"/>
  <c r="F274" i="7"/>
  <c r="F275" i="7"/>
  <c r="F268" i="7"/>
  <c r="F269" i="7"/>
  <c r="F270" i="7"/>
  <c r="F271" i="7"/>
  <c r="F265" i="7"/>
  <c r="F266" i="7"/>
  <c r="F267" i="7"/>
  <c r="Y140" i="7"/>
  <c r="F262" i="7"/>
  <c r="F263" i="7"/>
  <c r="F264" i="7"/>
  <c r="F260" i="7"/>
  <c r="F261" i="7"/>
  <c r="Y138" i="7"/>
  <c r="F259" i="7"/>
  <c r="F256" i="7"/>
  <c r="F257" i="7"/>
  <c r="F258" i="7"/>
  <c r="F255" i="7"/>
  <c r="F253" i="7"/>
  <c r="F254" i="7"/>
  <c r="Y136" i="7"/>
  <c r="F249" i="7"/>
  <c r="F250" i="7"/>
  <c r="F251" i="7"/>
  <c r="F252" i="7"/>
  <c r="F247" i="7"/>
  <c r="F248" i="7"/>
  <c r="F245" i="7"/>
  <c r="F246" i="7"/>
  <c r="F243" i="7"/>
  <c r="F244" i="7"/>
  <c r="Y133" i="7"/>
  <c r="F240" i="7"/>
  <c r="F241" i="7"/>
  <c r="F242" i="7"/>
  <c r="F238" i="7"/>
  <c r="F239" i="7"/>
  <c r="Y131" i="7"/>
  <c r="F237" i="7"/>
  <c r="F235" i="7"/>
  <c r="F236" i="7"/>
  <c r="F232" i="7"/>
  <c r="F233" i="7"/>
  <c r="F234" i="7"/>
  <c r="F228" i="7"/>
  <c r="F229" i="7"/>
  <c r="F230" i="7"/>
  <c r="F231" i="7"/>
  <c r="F227" i="7"/>
  <c r="F226" i="7"/>
  <c r="F224" i="7"/>
  <c r="F225" i="7"/>
  <c r="Y126" i="7"/>
  <c r="F223" i="7"/>
  <c r="F221" i="7"/>
  <c r="F222" i="7"/>
  <c r="F219" i="7"/>
  <c r="F220" i="7"/>
  <c r="F217" i="7"/>
  <c r="F218" i="7"/>
  <c r="Y123" i="7"/>
  <c r="F216" i="7"/>
  <c r="F214" i="7"/>
  <c r="F215" i="7"/>
  <c r="F213" i="7"/>
  <c r="F211" i="7"/>
  <c r="F212" i="7"/>
  <c r="Y120" i="7"/>
  <c r="F210" i="7"/>
  <c r="F209" i="7"/>
  <c r="F208" i="7"/>
  <c r="F207" i="7"/>
  <c r="F206" i="7"/>
  <c r="F205" i="7"/>
  <c r="F204" i="7"/>
  <c r="F203" i="7"/>
  <c r="F202" i="7"/>
  <c r="F201" i="7"/>
  <c r="Y116" i="7"/>
  <c r="F199" i="7"/>
  <c r="F200" i="7"/>
  <c r="F197" i="7"/>
  <c r="F198" i="7"/>
  <c r="Y114" i="7"/>
  <c r="F196" i="7"/>
  <c r="F195" i="7"/>
  <c r="Y113" i="7"/>
  <c r="F194" i="7"/>
  <c r="F193" i="7"/>
  <c r="F192" i="7"/>
  <c r="Y111" i="7"/>
  <c r="F191" i="7"/>
  <c r="F190" i="7"/>
  <c r="F189" i="7"/>
  <c r="F188" i="7"/>
  <c r="O40" i="8"/>
  <c r="P40" i="8"/>
  <c r="U40" i="8"/>
  <c r="Q40" i="8"/>
  <c r="R40" i="8"/>
  <c r="S40" i="8"/>
  <c r="R41" i="8"/>
  <c r="O41" i="8"/>
  <c r="P41" i="8"/>
  <c r="U41" i="8"/>
  <c r="Q41" i="8"/>
  <c r="S41" i="8"/>
  <c r="O42" i="8"/>
  <c r="P42" i="8"/>
  <c r="U42" i="8"/>
  <c r="Q42" i="8"/>
  <c r="S42" i="8"/>
  <c r="O43" i="8"/>
  <c r="P43" i="8"/>
  <c r="U43" i="8"/>
  <c r="Q43" i="8"/>
  <c r="S43" i="8"/>
  <c r="O44" i="8"/>
  <c r="P44" i="8"/>
  <c r="U44" i="8"/>
  <c r="Q44" i="8"/>
  <c r="S44" i="8"/>
  <c r="O45" i="8"/>
  <c r="P45" i="8"/>
  <c r="U45" i="8"/>
  <c r="Q45" i="8"/>
  <c r="S45" i="8"/>
  <c r="N40" i="8"/>
  <c r="N41" i="8"/>
  <c r="N42" i="8"/>
  <c r="N43" i="8"/>
  <c r="N44" i="8"/>
  <c r="N4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5" i="8"/>
  <c r="Q4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5" i="8"/>
  <c r="P4" i="8"/>
  <c r="F186" i="7"/>
  <c r="F187" i="7"/>
  <c r="Y109" i="7"/>
  <c r="Y108" i="7"/>
  <c r="Y107" i="7"/>
  <c r="Y106" i="7"/>
  <c r="Y105" i="7"/>
  <c r="F185" i="7"/>
  <c r="F184" i="7"/>
  <c r="F183" i="7"/>
  <c r="F182" i="7"/>
  <c r="F181" i="7"/>
  <c r="F180" i="7"/>
  <c r="F179" i="7"/>
  <c r="F178" i="7"/>
  <c r="F177" i="7"/>
  <c r="F176" i="7"/>
  <c r="Y103" i="7"/>
  <c r="F175" i="7"/>
  <c r="F174" i="7"/>
  <c r="Y102" i="7"/>
  <c r="Y101" i="7"/>
  <c r="Y100" i="7"/>
  <c r="Y99" i="7"/>
  <c r="Y98" i="7"/>
  <c r="Y97" i="7"/>
  <c r="Y96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BD5" i="15"/>
  <c r="BD4" i="15"/>
  <c r="BD3" i="15"/>
  <c r="Y95" i="7"/>
  <c r="F160" i="7"/>
  <c r="F159" i="7"/>
  <c r="Y94" i="7"/>
  <c r="F158" i="7"/>
  <c r="F157" i="7"/>
  <c r="F156" i="7"/>
  <c r="Y93" i="7"/>
  <c r="F155" i="7"/>
  <c r="F154" i="7"/>
  <c r="Y92" i="7"/>
  <c r="F153" i="7"/>
  <c r="F152" i="7"/>
  <c r="F151" i="7"/>
  <c r="F150" i="7"/>
  <c r="F148" i="7"/>
  <c r="F149" i="7"/>
  <c r="Y90" i="7"/>
  <c r="F147" i="7"/>
  <c r="F146" i="7"/>
  <c r="F143" i="7"/>
  <c r="F144" i="7"/>
  <c r="F145" i="7"/>
  <c r="Y87" i="7"/>
  <c r="Y83" i="7"/>
  <c r="Y82" i="7"/>
  <c r="Y86" i="7"/>
  <c r="F142" i="7"/>
  <c r="F141" i="7"/>
  <c r="F140" i="7"/>
  <c r="F139" i="7"/>
  <c r="F138" i="7"/>
  <c r="F137" i="7"/>
  <c r="F136" i="7"/>
  <c r="F135" i="7"/>
  <c r="Y84" i="7"/>
  <c r="F133" i="7"/>
  <c r="F134" i="7"/>
  <c r="F129" i="7"/>
  <c r="F130" i="7"/>
  <c r="F132" i="7"/>
  <c r="F131" i="7"/>
  <c r="S3" i="13"/>
  <c r="R3" i="13"/>
  <c r="S2" i="13"/>
  <c r="T2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S4" i="13"/>
  <c r="R4" i="13"/>
  <c r="S5" i="13"/>
  <c r="R5" i="13"/>
  <c r="S6" i="13"/>
  <c r="R6" i="13"/>
  <c r="S7" i="13"/>
  <c r="R7" i="13"/>
  <c r="S8" i="13"/>
  <c r="R8" i="13"/>
  <c r="S9" i="13"/>
  <c r="R9" i="13"/>
  <c r="S10" i="13"/>
  <c r="R10" i="13"/>
  <c r="N7" i="13"/>
  <c r="N8" i="13"/>
  <c r="J2" i="13"/>
  <c r="K2" i="13"/>
  <c r="F128" i="7"/>
  <c r="F127" i="7"/>
  <c r="F126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S3" i="8"/>
  <c r="S4" i="8"/>
  <c r="H6" i="8"/>
  <c r="H7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R3" i="8"/>
  <c r="R4" i="8"/>
  <c r="G19" i="8"/>
  <c r="G20" i="8" s="1"/>
  <c r="C6" i="8" s="1"/>
  <c r="H23" i="8"/>
  <c r="G23" i="8"/>
  <c r="I23" i="8"/>
  <c r="H3" i="8"/>
  <c r="H4" i="8"/>
  <c r="N5" i="8"/>
  <c r="N6" i="8"/>
  <c r="Q3" i="8"/>
  <c r="P3" i="8"/>
  <c r="I6" i="8"/>
  <c r="O3" i="8"/>
  <c r="E9" i="8"/>
  <c r="S11" i="13"/>
  <c r="R11" i="13"/>
  <c r="T3" i="13"/>
  <c r="S12" i="13"/>
  <c r="R12" i="13"/>
  <c r="T4" i="13"/>
  <c r="S13" i="13"/>
  <c r="R13" i="13"/>
  <c r="T5" i="13"/>
  <c r="S14" i="13"/>
  <c r="R14" i="13"/>
  <c r="T6" i="13"/>
  <c r="S15" i="13"/>
  <c r="R15" i="13"/>
  <c r="T7" i="13"/>
  <c r="S16" i="13"/>
  <c r="R16" i="13"/>
  <c r="T8" i="13"/>
  <c r="S17" i="13"/>
  <c r="R17" i="13"/>
  <c r="T9" i="13"/>
  <c r="S18" i="13"/>
  <c r="R18" i="13"/>
  <c r="T10" i="13"/>
  <c r="S19" i="13"/>
  <c r="R19" i="13"/>
  <c r="T11" i="13"/>
  <c r="S20" i="13"/>
  <c r="R20" i="13"/>
  <c r="T12" i="13"/>
  <c r="S21" i="13"/>
  <c r="R21" i="13"/>
  <c r="T13" i="13"/>
  <c r="S22" i="13"/>
  <c r="R22" i="13"/>
  <c r="T14" i="13"/>
  <c r="S23" i="13"/>
  <c r="R23" i="13"/>
  <c r="T15" i="13"/>
  <c r="S24" i="13"/>
  <c r="R24" i="13"/>
  <c r="T16" i="13"/>
  <c r="S25" i="13"/>
  <c r="R25" i="13"/>
  <c r="T17" i="13"/>
  <c r="S26" i="13"/>
  <c r="R26" i="13"/>
  <c r="T18" i="13"/>
  <c r="S27" i="13"/>
  <c r="R27" i="13"/>
  <c r="T19" i="13"/>
  <c r="S28" i="13"/>
  <c r="R28" i="13"/>
  <c r="T20" i="13"/>
  <c r="S29" i="13"/>
  <c r="R29" i="13"/>
  <c r="T21" i="13"/>
  <c r="S30" i="13"/>
  <c r="R30" i="13"/>
  <c r="T22" i="13"/>
  <c r="S31" i="13"/>
  <c r="R31" i="13"/>
  <c r="T23" i="13"/>
  <c r="S32" i="13"/>
  <c r="R32" i="13"/>
  <c r="T24" i="13"/>
  <c r="T25" i="13"/>
  <c r="T26" i="13"/>
  <c r="T27" i="13"/>
  <c r="T28" i="13"/>
  <c r="T29" i="13"/>
  <c r="T30" i="13"/>
  <c r="T31" i="13"/>
  <c r="T32" i="13"/>
  <c r="N9" i="13"/>
  <c r="V41" i="8"/>
  <c r="W41" i="8"/>
  <c r="V40" i="8"/>
  <c r="W40" i="8"/>
  <c r="R42" i="8"/>
  <c r="V42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U3" i="8"/>
  <c r="V3" i="8"/>
  <c r="R43" i="8"/>
  <c r="W42" i="8"/>
  <c r="H14" i="8"/>
  <c r="W3" i="8"/>
  <c r="V43" i="8"/>
  <c r="W43" i="8"/>
  <c r="R44" i="8"/>
  <c r="H9" i="8"/>
  <c r="G2" i="8"/>
  <c r="V44" i="8"/>
  <c r="W44" i="8"/>
  <c r="R45" i="8"/>
  <c r="G9" i="8"/>
  <c r="O4" i="8"/>
  <c r="V45" i="8"/>
  <c r="W45" i="8"/>
  <c r="U4" i="8"/>
  <c r="O5" i="8"/>
  <c r="O6" i="8"/>
  <c r="U5" i="8"/>
  <c r="W4" i="8"/>
  <c r="V4" i="8"/>
  <c r="W5" i="8"/>
  <c r="V5" i="8"/>
  <c r="U6" i="8"/>
  <c r="O7" i="8"/>
  <c r="W6" i="8"/>
  <c r="V6" i="8"/>
  <c r="U7" i="8"/>
  <c r="O8" i="8"/>
  <c r="W7" i="8"/>
  <c r="V7" i="8"/>
  <c r="O9" i="8"/>
  <c r="U8" i="8"/>
  <c r="U9" i="8"/>
  <c r="O10" i="8"/>
  <c r="V8" i="8"/>
  <c r="W8" i="8"/>
  <c r="V9" i="8"/>
  <c r="W9" i="8"/>
  <c r="U10" i="8"/>
  <c r="O11" i="8"/>
  <c r="U11" i="8"/>
  <c r="O12" i="8"/>
  <c r="W10" i="8"/>
  <c r="V10" i="8"/>
  <c r="O13" i="8"/>
  <c r="U12" i="8"/>
  <c r="W11" i="8"/>
  <c r="V11" i="8"/>
  <c r="V12" i="8"/>
  <c r="W12" i="8"/>
  <c r="O14" i="8"/>
  <c r="U13" i="8"/>
  <c r="O15" i="8"/>
  <c r="U14" i="8"/>
  <c r="W13" i="8"/>
  <c r="V13" i="8"/>
  <c r="V14" i="8"/>
  <c r="W14" i="8"/>
  <c r="O16" i="8"/>
  <c r="U15" i="8"/>
  <c r="O17" i="8"/>
  <c r="U16" i="8"/>
  <c r="V15" i="8"/>
  <c r="W15" i="8"/>
  <c r="V16" i="8"/>
  <c r="W16" i="8"/>
  <c r="O18" i="8"/>
  <c r="U17" i="8"/>
  <c r="V17" i="8"/>
  <c r="W17" i="8"/>
  <c r="O19" i="8"/>
  <c r="U18" i="8"/>
  <c r="V18" i="8"/>
  <c r="W18" i="8"/>
  <c r="O20" i="8"/>
  <c r="U19" i="8"/>
  <c r="W19" i="8"/>
  <c r="V19" i="8"/>
  <c r="O21" i="8"/>
  <c r="U20" i="8"/>
  <c r="O22" i="8"/>
  <c r="U21" i="8"/>
  <c r="V20" i="8"/>
  <c r="W20" i="8"/>
  <c r="V21" i="8"/>
  <c r="W21" i="8"/>
  <c r="O23" i="8"/>
  <c r="U22" i="8"/>
  <c r="O24" i="8"/>
  <c r="U23" i="8"/>
  <c r="W22" i="8"/>
  <c r="V22" i="8"/>
  <c r="V23" i="8"/>
  <c r="W23" i="8"/>
  <c r="O25" i="8"/>
  <c r="U24" i="8"/>
  <c r="O26" i="8"/>
  <c r="U25" i="8"/>
  <c r="V24" i="8"/>
  <c r="W24" i="8"/>
  <c r="O27" i="8"/>
  <c r="U26" i="8"/>
  <c r="W25" i="8"/>
  <c r="V25" i="8"/>
  <c r="V26" i="8"/>
  <c r="W26" i="8"/>
  <c r="O28" i="8"/>
  <c r="U27" i="8"/>
  <c r="W27" i="8"/>
  <c r="V27" i="8"/>
  <c r="O29" i="8"/>
  <c r="U28" i="8"/>
  <c r="O30" i="8"/>
  <c r="U29" i="8"/>
  <c r="W28" i="8"/>
  <c r="V28" i="8"/>
  <c r="V29" i="8"/>
  <c r="W29" i="8"/>
  <c r="O31" i="8"/>
  <c r="U30" i="8"/>
  <c r="O32" i="8"/>
  <c r="U31" i="8"/>
  <c r="V30" i="8"/>
  <c r="W30" i="8"/>
  <c r="W31" i="8"/>
  <c r="V31" i="8"/>
  <c r="O33" i="8"/>
  <c r="U32" i="8"/>
  <c r="W32" i="8"/>
  <c r="V32" i="8"/>
  <c r="O34" i="8"/>
  <c r="U33" i="8"/>
  <c r="W33" i="8"/>
  <c r="V33" i="8"/>
  <c r="O35" i="8"/>
  <c r="U34" i="8"/>
  <c r="W34" i="8"/>
  <c r="V34" i="8"/>
  <c r="O36" i="8"/>
  <c r="U35" i="8"/>
  <c r="W35" i="8"/>
  <c r="V35" i="8"/>
  <c r="O37" i="8"/>
  <c r="U36" i="8"/>
  <c r="W36" i="8"/>
  <c r="V36" i="8"/>
  <c r="O38" i="8"/>
  <c r="U37" i="8"/>
  <c r="W37" i="8"/>
  <c r="V37" i="8"/>
  <c r="O39" i="8"/>
  <c r="U38" i="8"/>
  <c r="W38" i="8"/>
  <c r="V38" i="8"/>
  <c r="U39" i="8"/>
  <c r="W39" i="8"/>
  <c r="V39" i="8"/>
  <c r="C881" i="15" l="1"/>
  <c r="C884" i="15"/>
  <c r="H884" i="15"/>
  <c r="C882" i="15"/>
  <c r="C883" i="15"/>
  <c r="S884" i="7"/>
  <c r="V884" i="7" a="1"/>
  <c r="V884" i="7" s="1"/>
  <c r="Z884" i="7"/>
  <c r="C879" i="15"/>
  <c r="C880" i="15"/>
  <c r="H882" i="15"/>
  <c r="H883" i="15"/>
  <c r="R880" i="7"/>
  <c r="R881" i="7"/>
  <c r="Z881" i="7" s="1"/>
  <c r="R882" i="7"/>
  <c r="R883" i="7"/>
  <c r="H881" i="15"/>
  <c r="V881" i="7" a="1"/>
  <c r="V881" i="7" s="1"/>
  <c r="C878" i="15"/>
  <c r="H879" i="15"/>
  <c r="C877" i="15"/>
  <c r="H880" i="15"/>
  <c r="R876" i="7"/>
  <c r="R877" i="7"/>
  <c r="R878" i="7"/>
  <c r="Z878" i="7" s="1"/>
  <c r="R879" i="7"/>
  <c r="C871" i="15"/>
  <c r="C872" i="15"/>
  <c r="C873" i="15"/>
  <c r="C874" i="15"/>
  <c r="C875" i="15"/>
  <c r="C876" i="15"/>
  <c r="H877" i="15"/>
  <c r="H878" i="15"/>
  <c r="V878" i="7" a="1"/>
  <c r="V878" i="7" s="1"/>
  <c r="S878" i="7"/>
  <c r="R875" i="7"/>
  <c r="Z875" i="7" s="1"/>
  <c r="Z876" i="7"/>
  <c r="Z877" i="7"/>
  <c r="H876" i="15"/>
  <c r="R874" i="7"/>
  <c r="Z874" i="7" s="1"/>
  <c r="H875" i="15"/>
  <c r="R873" i="7"/>
  <c r="Z873" i="7" s="1"/>
  <c r="H874" i="15"/>
  <c r="H873" i="15"/>
  <c r="R871" i="7"/>
  <c r="Z871" i="7" s="1"/>
  <c r="R872" i="7"/>
  <c r="V872" i="7" a="1"/>
  <c r="V872" i="7" s="1"/>
  <c r="H872" i="15"/>
  <c r="H871" i="15"/>
  <c r="C870" i="15"/>
  <c r="R870" i="7"/>
  <c r="Z870" i="7" s="1"/>
  <c r="C869" i="15"/>
  <c r="H870" i="15"/>
  <c r="R869" i="7"/>
  <c r="Z869" i="7" s="1"/>
  <c r="C868" i="15"/>
  <c r="H869" i="15"/>
  <c r="C867" i="15"/>
  <c r="H868" i="15"/>
  <c r="R867" i="7"/>
  <c r="R868" i="7"/>
  <c r="Z868" i="7" s="1"/>
  <c r="C865" i="15"/>
  <c r="C866" i="15"/>
  <c r="H867" i="15"/>
  <c r="R865" i="7"/>
  <c r="R866" i="7"/>
  <c r="C864" i="15"/>
  <c r="H865" i="15"/>
  <c r="H866" i="15"/>
  <c r="R863" i="7"/>
  <c r="R864" i="7"/>
  <c r="C863" i="15"/>
  <c r="H864" i="15"/>
  <c r="C862" i="15"/>
  <c r="C860" i="15"/>
  <c r="C861" i="15"/>
  <c r="H863" i="15"/>
  <c r="R862" i="7"/>
  <c r="H862" i="15"/>
  <c r="R861" i="7"/>
  <c r="C859" i="15"/>
  <c r="H861" i="15"/>
  <c r="R859" i="7"/>
  <c r="R860" i="7"/>
  <c r="H860" i="15"/>
  <c r="C858" i="15"/>
  <c r="C857" i="15"/>
  <c r="H859" i="15"/>
  <c r="R857" i="7"/>
  <c r="R858" i="7"/>
  <c r="C856" i="15"/>
  <c r="H858" i="15"/>
  <c r="H857" i="15"/>
  <c r="R856" i="7"/>
  <c r="C854" i="15"/>
  <c r="C853" i="15"/>
  <c r="C855" i="15"/>
  <c r="H856" i="15"/>
  <c r="R855" i="7"/>
  <c r="H855" i="15"/>
  <c r="C852" i="15"/>
  <c r="R853" i="7"/>
  <c r="R854" i="7"/>
  <c r="H854" i="15"/>
  <c r="C851" i="15"/>
  <c r="H853" i="15"/>
  <c r="R851" i="7"/>
  <c r="R852" i="7"/>
  <c r="H852" i="15"/>
  <c r="C850" i="15"/>
  <c r="H851" i="15"/>
  <c r="C849" i="15"/>
  <c r="R850" i="7"/>
  <c r="H850" i="15"/>
  <c r="R848" i="7"/>
  <c r="Z848" i="7" s="1"/>
  <c r="R849" i="7"/>
  <c r="C847" i="15"/>
  <c r="C848" i="15"/>
  <c r="H849" i="15"/>
  <c r="H848" i="15"/>
  <c r="H847" i="15"/>
  <c r="C845" i="15"/>
  <c r="C846" i="15"/>
  <c r="R846" i="7"/>
  <c r="R847" i="7"/>
  <c r="H846" i="15"/>
  <c r="R844" i="7"/>
  <c r="R845" i="7"/>
  <c r="H845" i="15"/>
  <c r="C844" i="15"/>
  <c r="C843" i="15"/>
  <c r="R843" i="7"/>
  <c r="H844" i="15"/>
  <c r="C842" i="15"/>
  <c r="H843" i="15"/>
  <c r="C841" i="15"/>
  <c r="R842" i="7"/>
  <c r="C840" i="15"/>
  <c r="H842" i="15"/>
  <c r="R840" i="7"/>
  <c r="R841" i="7"/>
  <c r="C839" i="15"/>
  <c r="H841" i="15"/>
  <c r="C838" i="15"/>
  <c r="H840" i="15"/>
  <c r="R839" i="7"/>
  <c r="H839" i="15"/>
  <c r="C837" i="15"/>
  <c r="R838" i="7"/>
  <c r="C836" i="15"/>
  <c r="H838" i="15"/>
  <c r="R837" i="7"/>
  <c r="H837" i="15"/>
  <c r="R835" i="7"/>
  <c r="R836" i="7"/>
  <c r="C834" i="15"/>
  <c r="C835" i="15"/>
  <c r="H836" i="15"/>
  <c r="R834" i="7"/>
  <c r="C833" i="15"/>
  <c r="H835" i="15"/>
  <c r="H834" i="15"/>
  <c r="R832" i="7"/>
  <c r="R833" i="7"/>
  <c r="H833" i="15"/>
  <c r="C831" i="15"/>
  <c r="C832" i="15"/>
  <c r="R831" i="7"/>
  <c r="H832" i="15"/>
  <c r="C829" i="15"/>
  <c r="C830" i="15"/>
  <c r="H831" i="15"/>
  <c r="R830" i="7"/>
  <c r="C827" i="15"/>
  <c r="C828" i="15"/>
  <c r="H829" i="15"/>
  <c r="H830" i="15"/>
  <c r="R827" i="7"/>
  <c r="R828" i="7"/>
  <c r="R829" i="7"/>
  <c r="C823" i="15"/>
  <c r="C824" i="15"/>
  <c r="C825" i="15"/>
  <c r="C826" i="15"/>
  <c r="H825" i="15"/>
  <c r="H826" i="15"/>
  <c r="H827" i="15"/>
  <c r="H828" i="15"/>
  <c r="R825" i="7"/>
  <c r="R826" i="7"/>
  <c r="R824" i="7"/>
  <c r="C821" i="15"/>
  <c r="H824" i="15"/>
  <c r="R823" i="7"/>
  <c r="C822" i="15"/>
  <c r="H823" i="15"/>
  <c r="R822" i="7"/>
  <c r="C820" i="15"/>
  <c r="H822" i="15"/>
  <c r="R820" i="7"/>
  <c r="R821" i="7"/>
  <c r="Z821" i="7" s="1"/>
  <c r="H821" i="15"/>
  <c r="C819" i="15"/>
  <c r="C818" i="15"/>
  <c r="H820" i="15"/>
  <c r="R819" i="7"/>
  <c r="S819" i="7" s="1"/>
  <c r="H819" i="15"/>
  <c r="H817" i="15"/>
  <c r="H818" i="15"/>
  <c r="C815" i="15"/>
  <c r="C816" i="15"/>
  <c r="C817" i="15"/>
  <c r="R814" i="7"/>
  <c r="R815" i="7"/>
  <c r="R816" i="7"/>
  <c r="R817" i="7"/>
  <c r="R818" i="7"/>
  <c r="H815" i="15"/>
  <c r="H816" i="15"/>
  <c r="C813" i="15"/>
  <c r="C814" i="15"/>
  <c r="H814" i="15"/>
  <c r="R813" i="7"/>
  <c r="C811" i="15"/>
  <c r="C812" i="15"/>
  <c r="H813" i="15"/>
  <c r="R812" i="7"/>
  <c r="C810" i="15"/>
  <c r="H812" i="15"/>
  <c r="R811" i="7"/>
  <c r="H811" i="15"/>
  <c r="R810" i="7"/>
  <c r="C809" i="15"/>
  <c r="H810" i="15"/>
  <c r="R809" i="7"/>
  <c r="C808" i="15"/>
  <c r="H809" i="15"/>
  <c r="R808" i="7"/>
  <c r="C806" i="15"/>
  <c r="C807" i="15"/>
  <c r="H808" i="15"/>
  <c r="R807" i="7"/>
  <c r="H807" i="15"/>
  <c r="R806" i="7"/>
  <c r="C804" i="15"/>
  <c r="C805" i="15"/>
  <c r="H806" i="15"/>
  <c r="R805" i="7"/>
  <c r="C803" i="15"/>
  <c r="H805" i="15"/>
  <c r="R804" i="7"/>
  <c r="H804" i="15"/>
  <c r="R803" i="7"/>
  <c r="H803" i="15"/>
  <c r="C801" i="15"/>
  <c r="C802" i="15"/>
  <c r="R801" i="7"/>
  <c r="R802" i="7"/>
  <c r="H802" i="15"/>
  <c r="C800" i="15"/>
  <c r="C799" i="15"/>
  <c r="H801" i="15"/>
  <c r="H800" i="15"/>
  <c r="R799" i="7"/>
  <c r="R800" i="7"/>
  <c r="C797" i="15"/>
  <c r="C798" i="15"/>
  <c r="H799" i="15"/>
  <c r="R797" i="7"/>
  <c r="R798" i="7"/>
  <c r="H798" i="15"/>
  <c r="C796" i="15"/>
  <c r="H797" i="15"/>
  <c r="R796" i="7"/>
  <c r="C794" i="15"/>
  <c r="C795" i="15"/>
  <c r="H795" i="15"/>
  <c r="H796" i="15"/>
  <c r="R794" i="7"/>
  <c r="R795" i="7"/>
  <c r="C792" i="15"/>
  <c r="C793" i="15"/>
  <c r="H794" i="15"/>
  <c r="R793" i="7"/>
  <c r="H793" i="15"/>
  <c r="R792" i="7"/>
  <c r="C789" i="15"/>
  <c r="C790" i="15"/>
  <c r="C791" i="15"/>
  <c r="H791" i="15"/>
  <c r="H792" i="15"/>
  <c r="R790" i="7"/>
  <c r="R791" i="7"/>
  <c r="H790" i="15"/>
  <c r="R789" i="7"/>
  <c r="C788" i="15"/>
  <c r="H789" i="15"/>
  <c r="R788" i="7"/>
  <c r="C787" i="15"/>
  <c r="H788" i="15"/>
  <c r="R787" i="7"/>
  <c r="C785" i="15"/>
  <c r="C786" i="15"/>
  <c r="H787" i="15"/>
  <c r="R786" i="7"/>
  <c r="H786" i="15"/>
  <c r="R785" i="7"/>
  <c r="C783" i="15"/>
  <c r="C784" i="15"/>
  <c r="H785" i="15"/>
  <c r="R784" i="7"/>
  <c r="H784" i="15"/>
  <c r="R783" i="7"/>
  <c r="C781" i="15"/>
  <c r="C782" i="15"/>
  <c r="H782" i="15"/>
  <c r="H783" i="15"/>
  <c r="R781" i="7"/>
  <c r="R782" i="7"/>
  <c r="C780" i="15"/>
  <c r="H781" i="15"/>
  <c r="R780" i="7"/>
  <c r="Z780" i="7" s="1"/>
  <c r="C779" i="15"/>
  <c r="H780" i="15"/>
  <c r="C777" i="15"/>
  <c r="C778" i="15"/>
  <c r="H778" i="15"/>
  <c r="H779" i="15"/>
  <c r="C774" i="15"/>
  <c r="C775" i="15"/>
  <c r="C776" i="15"/>
  <c r="H776" i="15"/>
  <c r="H777" i="15"/>
  <c r="R775" i="7"/>
  <c r="R776" i="7"/>
  <c r="R777" i="7"/>
  <c r="R778" i="7"/>
  <c r="R779" i="7"/>
  <c r="H775" i="15"/>
  <c r="R774" i="7"/>
  <c r="H774" i="15"/>
  <c r="C773" i="15"/>
  <c r="C772" i="15"/>
  <c r="R773" i="7"/>
  <c r="H773" i="15"/>
  <c r="R772" i="7"/>
  <c r="H772" i="15"/>
  <c r="C771" i="15"/>
  <c r="R771" i="7"/>
  <c r="Z771" i="7" s="1"/>
  <c r="H771" i="15"/>
  <c r="H770" i="15"/>
  <c r="C770" i="15"/>
  <c r="R769" i="7"/>
  <c r="R770" i="7"/>
  <c r="C768" i="15"/>
  <c r="C769" i="15"/>
  <c r="H769" i="15"/>
  <c r="R768" i="7"/>
  <c r="C767" i="15"/>
  <c r="H768" i="15"/>
  <c r="R767" i="7"/>
  <c r="C766" i="15"/>
  <c r="H767" i="15"/>
  <c r="R766" i="7"/>
  <c r="C765" i="15"/>
  <c r="H766" i="15"/>
  <c r="R765" i="7"/>
  <c r="C764" i="15"/>
  <c r="H765" i="15"/>
  <c r="R764" i="7"/>
  <c r="H764" i="15"/>
  <c r="C763" i="15"/>
  <c r="R763" i="7"/>
  <c r="H763" i="15"/>
  <c r="C762" i="15"/>
  <c r="R762" i="7"/>
  <c r="H762" i="15"/>
  <c r="R761" i="7"/>
  <c r="C760" i="15"/>
  <c r="C761" i="15"/>
  <c r="H761" i="15"/>
  <c r="R760" i="7"/>
  <c r="C759" i="15"/>
  <c r="H760" i="15"/>
  <c r="R759" i="7"/>
  <c r="H759" i="15"/>
  <c r="C758" i="15"/>
  <c r="R758" i="7"/>
  <c r="C757" i="15"/>
  <c r="H758" i="15"/>
  <c r="R757" i="7"/>
  <c r="H757" i="15"/>
  <c r="R756" i="7"/>
  <c r="C756" i="15"/>
  <c r="H756" i="15"/>
  <c r="R755" i="7"/>
  <c r="C754" i="15"/>
  <c r="C755" i="15"/>
  <c r="H755" i="15"/>
  <c r="R754" i="7"/>
  <c r="H754" i="15"/>
  <c r="C753" i="15"/>
  <c r="R753" i="7"/>
  <c r="C752" i="15"/>
  <c r="H753" i="15"/>
  <c r="R752" i="7"/>
  <c r="C751" i="15"/>
  <c r="H752" i="15"/>
  <c r="R751" i="7"/>
  <c r="K178" i="7"/>
  <c r="L178" i="7" s="1"/>
  <c r="K243" i="7"/>
  <c r="L243" i="7" s="1"/>
  <c r="K157" i="7"/>
  <c r="L157" i="7" s="1"/>
  <c r="H751" i="15"/>
  <c r="H749" i="15"/>
  <c r="C748" i="15"/>
  <c r="C749" i="15"/>
  <c r="C750" i="15"/>
  <c r="H750" i="15"/>
  <c r="R748" i="7"/>
  <c r="R749" i="7"/>
  <c r="R750" i="7"/>
  <c r="C747" i="15"/>
  <c r="H748" i="15"/>
  <c r="R747" i="7"/>
  <c r="H746" i="15"/>
  <c r="H747" i="15"/>
  <c r="C745" i="15"/>
  <c r="C746" i="15"/>
  <c r="R745" i="7"/>
  <c r="R746" i="7"/>
  <c r="C743" i="15"/>
  <c r="C744" i="15"/>
  <c r="H744" i="15"/>
  <c r="H745" i="15"/>
  <c r="R743" i="7"/>
  <c r="R744" i="7"/>
  <c r="C742" i="15"/>
  <c r="H743" i="15"/>
  <c r="R742" i="7"/>
  <c r="C741" i="15"/>
  <c r="H742" i="15"/>
  <c r="R741" i="7"/>
  <c r="C740" i="15"/>
  <c r="H741" i="15"/>
  <c r="R740" i="7"/>
  <c r="C739" i="15"/>
  <c r="H740" i="15"/>
  <c r="R739" i="7"/>
  <c r="S739" i="7" s="1"/>
  <c r="C738" i="15"/>
  <c r="H739" i="15"/>
  <c r="C737" i="15"/>
  <c r="H738" i="15"/>
  <c r="R737" i="7"/>
  <c r="R738" i="7"/>
  <c r="C736" i="15"/>
  <c r="H737" i="15"/>
  <c r="R736" i="7"/>
  <c r="C735" i="15"/>
  <c r="H736" i="15"/>
  <c r="R735" i="7"/>
  <c r="C734" i="15"/>
  <c r="H735" i="15"/>
  <c r="R734" i="7"/>
  <c r="H734" i="15"/>
  <c r="R733" i="7"/>
  <c r="C732" i="15"/>
  <c r="C733" i="15"/>
  <c r="H733" i="15"/>
  <c r="R732" i="7"/>
  <c r="C731" i="15"/>
  <c r="H732" i="15"/>
  <c r="R731" i="7"/>
  <c r="C730" i="15"/>
  <c r="H731" i="15"/>
  <c r="R730" i="7"/>
  <c r="H730" i="15"/>
  <c r="R729" i="7"/>
  <c r="C728" i="15"/>
  <c r="H729" i="15"/>
  <c r="C729" i="15"/>
  <c r="R728" i="7"/>
  <c r="C727" i="15"/>
  <c r="H728" i="15"/>
  <c r="R727" i="7"/>
  <c r="Z727" i="7" s="1"/>
  <c r="H727" i="15"/>
  <c r="C726" i="15"/>
  <c r="C725" i="15"/>
  <c r="H726" i="15"/>
  <c r="R725" i="7"/>
  <c r="R726" i="7"/>
  <c r="C724" i="15"/>
  <c r="H725" i="15"/>
  <c r="R724" i="7"/>
  <c r="C723" i="15"/>
  <c r="H724" i="15"/>
  <c r="R723" i="7"/>
  <c r="C722" i="15"/>
  <c r="H723" i="15"/>
  <c r="R722" i="7"/>
  <c r="C721" i="15"/>
  <c r="H722" i="15"/>
  <c r="R721" i="7"/>
  <c r="C719" i="15"/>
  <c r="C720" i="15"/>
  <c r="H721" i="15"/>
  <c r="R720" i="7"/>
  <c r="H720" i="15"/>
  <c r="R719" i="7"/>
  <c r="H719" i="15"/>
  <c r="R718" i="7"/>
  <c r="C717" i="15"/>
  <c r="C718" i="15"/>
  <c r="H718" i="15"/>
  <c r="R717" i="7"/>
  <c r="H717" i="15"/>
  <c r="C716" i="15"/>
  <c r="R716" i="7"/>
  <c r="H716" i="15"/>
  <c r="C715" i="15"/>
  <c r="R715" i="7"/>
  <c r="C714" i="15"/>
  <c r="H715" i="15"/>
  <c r="R714" i="7"/>
  <c r="C713" i="15"/>
  <c r="H714" i="15"/>
  <c r="R713" i="7"/>
  <c r="C712" i="15"/>
  <c r="H713" i="15"/>
  <c r="R712" i="7"/>
  <c r="C711" i="15"/>
  <c r="H712" i="15"/>
  <c r="R711" i="7"/>
  <c r="C710" i="15"/>
  <c r="H711" i="15"/>
  <c r="R710" i="7"/>
  <c r="C709" i="15"/>
  <c r="H710" i="15"/>
  <c r="R709" i="7"/>
  <c r="H709" i="15"/>
  <c r="C708" i="15"/>
  <c r="R708" i="7"/>
  <c r="C707" i="15"/>
  <c r="H708" i="15"/>
  <c r="R707" i="7"/>
  <c r="C706" i="15"/>
  <c r="H707" i="15"/>
  <c r="R706" i="7"/>
  <c r="H705" i="15"/>
  <c r="H706" i="15"/>
  <c r="C704" i="15"/>
  <c r="C705" i="15"/>
  <c r="R704" i="7"/>
  <c r="R705" i="7"/>
  <c r="C703" i="15"/>
  <c r="H704" i="15"/>
  <c r="R703" i="7"/>
  <c r="C702" i="15"/>
  <c r="H703" i="15"/>
  <c r="R702" i="7"/>
  <c r="H702" i="15"/>
  <c r="C701" i="15"/>
  <c r="R701" i="7"/>
  <c r="Z701" i="7" s="1"/>
  <c r="C700" i="15"/>
  <c r="H701" i="15"/>
  <c r="C699" i="15"/>
  <c r="H700" i="15"/>
  <c r="R699" i="7"/>
  <c r="Z699" i="7" s="1"/>
  <c r="R700" i="7"/>
  <c r="C698" i="15"/>
  <c r="H699" i="15"/>
  <c r="H698" i="15"/>
  <c r="C696" i="15"/>
  <c r="C697" i="15"/>
  <c r="R697" i="7"/>
  <c r="R698" i="7"/>
  <c r="H697" i="15"/>
  <c r="R696" i="7"/>
  <c r="C695" i="15"/>
  <c r="H696" i="15"/>
  <c r="R695" i="7"/>
  <c r="C694" i="15"/>
  <c r="H695" i="15"/>
  <c r="R694" i="7"/>
  <c r="C693" i="15"/>
  <c r="H694" i="15"/>
  <c r="R693" i="7"/>
  <c r="C692" i="15"/>
  <c r="H693" i="15"/>
  <c r="R692" i="7"/>
  <c r="C691" i="15"/>
  <c r="H692" i="15"/>
  <c r="R691" i="7"/>
  <c r="C690" i="15"/>
  <c r="H691" i="15"/>
  <c r="R690" i="7"/>
  <c r="C689" i="15"/>
  <c r="H690" i="15"/>
  <c r="R689" i="7"/>
  <c r="C688" i="15"/>
  <c r="H689" i="15"/>
  <c r="R688" i="7"/>
  <c r="C687" i="15"/>
  <c r="H688" i="15"/>
  <c r="R687" i="7"/>
  <c r="H687" i="15"/>
  <c r="C686" i="15"/>
  <c r="R686" i="7"/>
  <c r="C685" i="15"/>
  <c r="H686" i="15"/>
  <c r="R685" i="7"/>
  <c r="C684" i="15"/>
  <c r="H685" i="15"/>
  <c r="R684" i="7"/>
  <c r="C683" i="15"/>
  <c r="H684" i="15"/>
  <c r="R682" i="7"/>
  <c r="R683" i="7"/>
  <c r="H683" i="15"/>
  <c r="C681" i="15"/>
  <c r="H682" i="15"/>
  <c r="C682" i="15"/>
  <c r="R681" i="7"/>
  <c r="S681" i="7" s="1"/>
  <c r="C680" i="15"/>
  <c r="H681" i="15"/>
  <c r="H680" i="15"/>
  <c r="R679" i="7"/>
  <c r="S679" i="7" s="1"/>
  <c r="R680" i="7"/>
  <c r="C678" i="15"/>
  <c r="C679" i="15"/>
  <c r="H679" i="15"/>
  <c r="C677" i="15"/>
  <c r="H678" i="15"/>
  <c r="R677" i="7"/>
  <c r="R678" i="7"/>
  <c r="C676" i="15"/>
  <c r="H677" i="15"/>
  <c r="R676" i="7"/>
  <c r="C675" i="15"/>
  <c r="H676" i="15"/>
  <c r="R675" i="7"/>
  <c r="S675" i="7" s="1"/>
  <c r="C674" i="15"/>
  <c r="H675" i="15"/>
  <c r="C672" i="15"/>
  <c r="C673" i="15"/>
  <c r="H673" i="15"/>
  <c r="H674" i="15"/>
  <c r="R672" i="7"/>
  <c r="S672" i="7" s="1"/>
  <c r="R673" i="7"/>
  <c r="R674" i="7"/>
  <c r="C671" i="15"/>
  <c r="H672" i="15"/>
  <c r="H671" i="15"/>
  <c r="R670" i="7"/>
  <c r="R671" i="7"/>
  <c r="C669" i="15"/>
  <c r="C670" i="15"/>
  <c r="H670" i="15"/>
  <c r="R669" i="7"/>
  <c r="C668" i="15"/>
  <c r="H669" i="15"/>
  <c r="R668" i="7"/>
  <c r="C667" i="15"/>
  <c r="H668" i="15"/>
  <c r="R667" i="7"/>
  <c r="C666" i="15"/>
  <c r="H667" i="15"/>
  <c r="R666" i="7"/>
  <c r="C665" i="15"/>
  <c r="H666" i="15"/>
  <c r="R665" i="7"/>
  <c r="C664" i="15"/>
  <c r="H665" i="15"/>
  <c r="R664" i="7"/>
  <c r="S664" i="7" s="1"/>
  <c r="H664" i="15"/>
  <c r="C663" i="15"/>
  <c r="C662" i="15"/>
  <c r="H663" i="15"/>
  <c r="R662" i="7"/>
  <c r="R663" i="7"/>
  <c r="H662" i="15"/>
  <c r="R661" i="7"/>
  <c r="A11" i="49"/>
  <c r="C660" i="15"/>
  <c r="C661" i="15"/>
  <c r="H661" i="15"/>
  <c r="R660" i="7"/>
  <c r="C659" i="15"/>
  <c r="H660" i="15"/>
  <c r="R659" i="7"/>
  <c r="H659" i="15"/>
  <c r="R658" i="7"/>
  <c r="C657" i="15"/>
  <c r="C658" i="15"/>
  <c r="H658" i="15"/>
  <c r="R657" i="7"/>
  <c r="H657" i="15"/>
  <c r="C655" i="15"/>
  <c r="C656" i="15"/>
  <c r="H656" i="15"/>
  <c r="R655" i="7"/>
  <c r="R656" i="7"/>
  <c r="H655" i="15"/>
  <c r="C653" i="15"/>
  <c r="C654" i="15"/>
  <c r="H654" i="15"/>
  <c r="R653" i="7"/>
  <c r="R654" i="7"/>
  <c r="C651" i="15"/>
  <c r="C652" i="15"/>
  <c r="H652" i="15"/>
  <c r="H653" i="15"/>
  <c r="R651" i="7"/>
  <c r="S651" i="7" s="1"/>
  <c r="R652" i="7"/>
  <c r="C650" i="15"/>
  <c r="H651" i="15"/>
  <c r="H649" i="15"/>
  <c r="H650" i="15"/>
  <c r="C647" i="15"/>
  <c r="C648" i="15"/>
  <c r="C649" i="15"/>
  <c r="R648" i="7"/>
  <c r="V648" i="7" s="1" a="1"/>
  <c r="V648" i="7" s="1"/>
  <c r="R649" i="7"/>
  <c r="R650" i="7"/>
  <c r="H648" i="15"/>
  <c r="R647" i="7"/>
  <c r="S647" i="7" s="1"/>
  <c r="C646" i="15"/>
  <c r="H647" i="15"/>
  <c r="H645" i="15"/>
  <c r="C645" i="15"/>
  <c r="H646" i="15"/>
  <c r="R645" i="7"/>
  <c r="R646" i="7"/>
  <c r="C643" i="15"/>
  <c r="C644" i="15"/>
  <c r="H644" i="15"/>
  <c r="R643" i="7"/>
  <c r="R644" i="7"/>
  <c r="C642" i="15"/>
  <c r="H643" i="15"/>
  <c r="R642" i="7"/>
  <c r="Z642" i="7" s="1"/>
  <c r="C640" i="15"/>
  <c r="H640" i="15"/>
  <c r="H642" i="15"/>
  <c r="C641" i="15"/>
  <c r="H641" i="15"/>
  <c r="C637" i="15"/>
  <c r="C639" i="15"/>
  <c r="H639" i="15"/>
  <c r="C636" i="15"/>
  <c r="C638" i="15"/>
  <c r="H638" i="15"/>
  <c r="R636" i="7"/>
  <c r="Z636" i="7" s="1"/>
  <c r="R637" i="7"/>
  <c r="Z637" i="7" s="1"/>
  <c r="R638" i="7"/>
  <c r="Z638" i="7" s="1"/>
  <c r="R639" i="7"/>
  <c r="Z639" i="7" s="1"/>
  <c r="R640" i="7"/>
  <c r="Z640" i="7" s="1"/>
  <c r="R641" i="7"/>
  <c r="Z641" i="7" s="1"/>
  <c r="C631" i="15"/>
  <c r="H636" i="15"/>
  <c r="H634" i="15"/>
  <c r="C632" i="15"/>
  <c r="H637" i="15"/>
  <c r="C633" i="15"/>
  <c r="C634" i="15"/>
  <c r="H635" i="15"/>
  <c r="C635" i="15"/>
  <c r="H632" i="15"/>
  <c r="H633" i="15"/>
  <c r="R631" i="7"/>
  <c r="Z631" i="7" s="1"/>
  <c r="R632" i="7"/>
  <c r="Z632" i="7" s="1"/>
  <c r="R633" i="7"/>
  <c r="Z633" i="7" s="1"/>
  <c r="R634" i="7"/>
  <c r="Z634" i="7" s="1"/>
  <c r="R635" i="7"/>
  <c r="Z635" i="7" s="1"/>
  <c r="H628" i="15"/>
  <c r="C624" i="15"/>
  <c r="H629" i="15"/>
  <c r="C625" i="15"/>
  <c r="H630" i="15"/>
  <c r="C626" i="15"/>
  <c r="H623" i="15"/>
  <c r="H631" i="15"/>
  <c r="C627" i="15"/>
  <c r="H624" i="15"/>
  <c r="C628" i="15"/>
  <c r="H625" i="15"/>
  <c r="C629" i="15"/>
  <c r="H626" i="15"/>
  <c r="C630" i="15"/>
  <c r="H627" i="15"/>
  <c r="C623" i="15"/>
  <c r="R620" i="7"/>
  <c r="Z620" i="7" s="1"/>
  <c r="R628" i="7"/>
  <c r="Z628" i="7" s="1"/>
  <c r="R621" i="7"/>
  <c r="Z621" i="7" s="1"/>
  <c r="R629" i="7"/>
  <c r="Z629" i="7" s="1"/>
  <c r="R622" i="7"/>
  <c r="Z622" i="7" s="1"/>
  <c r="R630" i="7"/>
  <c r="Z630" i="7" s="1"/>
  <c r="R623" i="7"/>
  <c r="Z623" i="7" s="1"/>
  <c r="R624" i="7"/>
  <c r="Z624" i="7" s="1"/>
  <c r="R625" i="7"/>
  <c r="Z625" i="7" s="1"/>
  <c r="R626" i="7"/>
  <c r="Z626" i="7" s="1"/>
  <c r="R627" i="7"/>
  <c r="Z627" i="7" s="1"/>
  <c r="C618" i="15"/>
  <c r="C619" i="15"/>
  <c r="C620" i="15"/>
  <c r="C621" i="15"/>
  <c r="H619" i="15"/>
  <c r="C622" i="15"/>
  <c r="H620" i="15"/>
  <c r="H621" i="15"/>
  <c r="H622" i="15"/>
  <c r="R619" i="7"/>
  <c r="Z619" i="7" s="1"/>
  <c r="R618" i="7"/>
  <c r="Z618" i="7" s="1"/>
  <c r="C617" i="15"/>
  <c r="H613" i="15"/>
  <c r="C610" i="15"/>
  <c r="H614" i="15"/>
  <c r="C611" i="15"/>
  <c r="H615" i="15"/>
  <c r="C612" i="15"/>
  <c r="H616" i="15"/>
  <c r="C613" i="15"/>
  <c r="H617" i="15"/>
  <c r="C614" i="15"/>
  <c r="H618" i="15"/>
  <c r="C615" i="15"/>
  <c r="C616" i="15"/>
  <c r="R617" i="7"/>
  <c r="Z617" i="7" s="1"/>
  <c r="R610" i="7"/>
  <c r="Z610" i="7" s="1"/>
  <c r="R615" i="7"/>
  <c r="Z615" i="7" s="1"/>
  <c r="R616" i="7"/>
  <c r="Z616" i="7" s="1"/>
  <c r="R611" i="7"/>
  <c r="Z611" i="7" s="1"/>
  <c r="R614" i="7"/>
  <c r="Z614" i="7" s="1"/>
  <c r="R612" i="7"/>
  <c r="Z612" i="7" s="1"/>
  <c r="R613" i="7"/>
  <c r="Z613" i="7" s="1"/>
  <c r="H612" i="15"/>
  <c r="H610" i="15"/>
  <c r="H611" i="15"/>
  <c r="C606" i="15"/>
  <c r="H609" i="15"/>
  <c r="C607" i="15"/>
  <c r="C608" i="15"/>
  <c r="C609" i="15"/>
  <c r="R607" i="7"/>
  <c r="Z607" i="7" s="1"/>
  <c r="R608" i="7"/>
  <c r="Z608" i="7" s="1"/>
  <c r="R609" i="7"/>
  <c r="Z609" i="7" s="1"/>
  <c r="C602" i="15"/>
  <c r="C603" i="15"/>
  <c r="H606" i="15"/>
  <c r="C604" i="15"/>
  <c r="H607" i="15"/>
  <c r="C605" i="15"/>
  <c r="H608" i="15"/>
  <c r="R606" i="7"/>
  <c r="Z606" i="7" s="1"/>
  <c r="R605" i="7"/>
  <c r="Z605" i="7" s="1"/>
  <c r="H604" i="15"/>
  <c r="H605" i="15"/>
  <c r="R604" i="7"/>
  <c r="Z604" i="7" s="1"/>
  <c r="H603" i="15"/>
  <c r="C601" i="15"/>
  <c r="H601" i="15"/>
  <c r="H602" i="15"/>
  <c r="R600" i="7"/>
  <c r="Z600" i="7" s="1"/>
  <c r="R601" i="7"/>
  <c r="Z601" i="7" s="1"/>
  <c r="R602" i="7"/>
  <c r="Z602" i="7" s="1"/>
  <c r="R603" i="7"/>
  <c r="Z603" i="7" s="1"/>
  <c r="C599" i="15"/>
  <c r="C600" i="15"/>
  <c r="H600" i="15"/>
  <c r="R599" i="7"/>
  <c r="Z599" i="7" s="1"/>
  <c r="R598" i="7"/>
  <c r="Z598" i="7" s="1"/>
  <c r="R597" i="7"/>
  <c r="Z597" i="7" s="1"/>
  <c r="R596" i="7"/>
  <c r="Z596" i="7" s="1"/>
  <c r="R595" i="7"/>
  <c r="Z595" i="7" s="1"/>
  <c r="C596" i="15"/>
  <c r="C597" i="15"/>
  <c r="C598" i="15"/>
  <c r="H597" i="15"/>
  <c r="H598" i="15"/>
  <c r="H599" i="15"/>
  <c r="R592" i="7"/>
  <c r="Z592" i="7" s="1"/>
  <c r="R593" i="7"/>
  <c r="Z593" i="7" s="1"/>
  <c r="R594" i="7"/>
  <c r="Z594" i="7" s="1"/>
  <c r="H593" i="15"/>
  <c r="C591" i="15"/>
  <c r="H594" i="15"/>
  <c r="C593" i="15"/>
  <c r="H596" i="15"/>
  <c r="C595" i="15"/>
  <c r="C592" i="15"/>
  <c r="H595" i="15"/>
  <c r="C594" i="15"/>
  <c r="H591" i="15"/>
  <c r="C590" i="15"/>
  <c r="H592" i="15"/>
  <c r="R590" i="7"/>
  <c r="Z590" i="7" s="1"/>
  <c r="R591" i="7"/>
  <c r="Z591" i="7" s="1"/>
  <c r="C585" i="15"/>
  <c r="C586" i="15"/>
  <c r="C587" i="15"/>
  <c r="C588" i="15"/>
  <c r="C589" i="15"/>
  <c r="H589" i="15"/>
  <c r="H588" i="15"/>
  <c r="H590" i="15"/>
  <c r="R587" i="7"/>
  <c r="Z587" i="7" s="1"/>
  <c r="R588" i="7"/>
  <c r="Z588" i="7" s="1"/>
  <c r="R589" i="7"/>
  <c r="Z589" i="7" s="1"/>
  <c r="H587" i="15"/>
  <c r="C581" i="15"/>
  <c r="C582" i="15"/>
  <c r="C583" i="15"/>
  <c r="H586" i="15"/>
  <c r="C584" i="15"/>
  <c r="H584" i="15"/>
  <c r="H585" i="15"/>
  <c r="R585" i="7"/>
  <c r="Z585" i="7" s="1"/>
  <c r="R586" i="7"/>
  <c r="Z586" i="7" s="1"/>
  <c r="R583" i="7"/>
  <c r="Z583" i="7" s="1"/>
  <c r="R584" i="7"/>
  <c r="Z584" i="7" s="1"/>
  <c r="C575" i="15"/>
  <c r="H578" i="15"/>
  <c r="C576" i="15"/>
  <c r="H579" i="15"/>
  <c r="H582" i="15"/>
  <c r="C577" i="15"/>
  <c r="H580" i="15"/>
  <c r="C578" i="15"/>
  <c r="H581" i="15"/>
  <c r="C579" i="15"/>
  <c r="C580" i="15"/>
  <c r="H583" i="15"/>
  <c r="H577" i="15"/>
  <c r="R582" i="7"/>
  <c r="Z582" i="7" s="1"/>
  <c r="R578" i="7"/>
  <c r="Z578" i="7" s="1"/>
  <c r="R576" i="7"/>
  <c r="Z576" i="7" s="1"/>
  <c r="R577" i="7"/>
  <c r="Z577" i="7" s="1"/>
  <c r="R579" i="7"/>
  <c r="Z579" i="7" s="1"/>
  <c r="R581" i="7"/>
  <c r="Z581" i="7" s="1"/>
  <c r="R580" i="7"/>
  <c r="Z580" i="7" s="1"/>
  <c r="C571" i="15"/>
  <c r="H572" i="15"/>
  <c r="C572" i="15"/>
  <c r="H573" i="15"/>
  <c r="H574" i="15"/>
  <c r="C573" i="15"/>
  <c r="C574" i="15"/>
  <c r="H575" i="15"/>
  <c r="H576" i="15"/>
  <c r="C568" i="15"/>
  <c r="C569" i="15"/>
  <c r="C570" i="15"/>
  <c r="H571" i="15"/>
  <c r="R569" i="7"/>
  <c r="Z569" i="7" s="1"/>
  <c r="R574" i="7"/>
  <c r="Z574" i="7" s="1"/>
  <c r="R570" i="7"/>
  <c r="Z570" i="7" s="1"/>
  <c r="R568" i="7"/>
  <c r="Z568" i="7" s="1"/>
  <c r="R571" i="7"/>
  <c r="Z571" i="7" s="1"/>
  <c r="R572" i="7"/>
  <c r="Z572" i="7" s="1"/>
  <c r="R573" i="7"/>
  <c r="Z573" i="7" s="1"/>
  <c r="R575" i="7"/>
  <c r="Z575" i="7" s="1"/>
  <c r="R564" i="7"/>
  <c r="Z564" i="7" s="1"/>
  <c r="R565" i="7"/>
  <c r="Z565" i="7" s="1"/>
  <c r="R566" i="7"/>
  <c r="Z566" i="7" s="1"/>
  <c r="R567" i="7"/>
  <c r="Z567" i="7" s="1"/>
  <c r="C562" i="15"/>
  <c r="C563" i="15"/>
  <c r="C564" i="15"/>
  <c r="H565" i="15"/>
  <c r="C565" i="15"/>
  <c r="H566" i="15"/>
  <c r="C566" i="15"/>
  <c r="H567" i="15"/>
  <c r="H570" i="15"/>
  <c r="C567" i="15"/>
  <c r="H568" i="15"/>
  <c r="H569" i="15"/>
  <c r="R213" i="7"/>
  <c r="Z213" i="7" s="1"/>
  <c r="R221" i="7"/>
  <c r="Z221" i="7" s="1"/>
  <c r="R229" i="7"/>
  <c r="Z229" i="7" s="1"/>
  <c r="R237" i="7"/>
  <c r="Z237" i="7" s="1"/>
  <c r="R245" i="7"/>
  <c r="Z245" i="7" s="1"/>
  <c r="R253" i="7"/>
  <c r="Z253" i="7" s="1"/>
  <c r="R261" i="7"/>
  <c r="Z261" i="7" s="1"/>
  <c r="R269" i="7"/>
  <c r="Z269" i="7" s="1"/>
  <c r="R277" i="7"/>
  <c r="Z277" i="7" s="1"/>
  <c r="R285" i="7"/>
  <c r="Z285" i="7" s="1"/>
  <c r="R293" i="7"/>
  <c r="Z293" i="7" s="1"/>
  <c r="R301" i="7"/>
  <c r="Z301" i="7" s="1"/>
  <c r="R309" i="7"/>
  <c r="Z309" i="7" s="1"/>
  <c r="R317" i="7"/>
  <c r="Z317" i="7" s="1"/>
  <c r="R325" i="7"/>
  <c r="Z325" i="7" s="1"/>
  <c r="R333" i="7"/>
  <c r="Z333" i="7" s="1"/>
  <c r="R341" i="7"/>
  <c r="Z341" i="7" s="1"/>
  <c r="R349" i="7"/>
  <c r="Z349" i="7" s="1"/>
  <c r="R357" i="7"/>
  <c r="Z357" i="7" s="1"/>
  <c r="R365" i="7"/>
  <c r="Z365" i="7" s="1"/>
  <c r="R373" i="7"/>
  <c r="Z373" i="7" s="1"/>
  <c r="R381" i="7"/>
  <c r="Z381" i="7" s="1"/>
  <c r="R389" i="7"/>
  <c r="Z389" i="7" s="1"/>
  <c r="R397" i="7"/>
  <c r="Z397" i="7" s="1"/>
  <c r="R405" i="7"/>
  <c r="Z405" i="7" s="1"/>
  <c r="R413" i="7"/>
  <c r="Z413" i="7" s="1"/>
  <c r="R421" i="7"/>
  <c r="Z421" i="7" s="1"/>
  <c r="R429" i="7"/>
  <c r="Z429" i="7" s="1"/>
  <c r="R437" i="7"/>
  <c r="Z437" i="7" s="1"/>
  <c r="R445" i="7"/>
  <c r="Z445" i="7" s="1"/>
  <c r="R453" i="7"/>
  <c r="Z453" i="7" s="1"/>
  <c r="R461" i="7"/>
  <c r="Z461" i="7" s="1"/>
  <c r="R469" i="7"/>
  <c r="Z469" i="7" s="1"/>
  <c r="R477" i="7"/>
  <c r="Z477" i="7" s="1"/>
  <c r="R485" i="7"/>
  <c r="Z485" i="7" s="1"/>
  <c r="R493" i="7"/>
  <c r="Z493" i="7" s="1"/>
  <c r="R501" i="7"/>
  <c r="Z501" i="7" s="1"/>
  <c r="R509" i="7"/>
  <c r="Z509" i="7" s="1"/>
  <c r="R517" i="7"/>
  <c r="Z517" i="7" s="1"/>
  <c r="R525" i="7"/>
  <c r="Z525" i="7" s="1"/>
  <c r="R533" i="7"/>
  <c r="Z533" i="7" s="1"/>
  <c r="R541" i="7"/>
  <c r="Z541" i="7" s="1"/>
  <c r="R549" i="7"/>
  <c r="Z549" i="7" s="1"/>
  <c r="R557" i="7"/>
  <c r="Z557" i="7" s="1"/>
  <c r="R400" i="7"/>
  <c r="Z400" i="7" s="1"/>
  <c r="R440" i="7"/>
  <c r="Z440" i="7" s="1"/>
  <c r="R480" i="7"/>
  <c r="Z480" i="7" s="1"/>
  <c r="R512" i="7"/>
  <c r="Z512" i="7" s="1"/>
  <c r="R536" i="7"/>
  <c r="Z536" i="7" s="1"/>
  <c r="R274" i="7"/>
  <c r="Z274" i="7" s="1"/>
  <c r="R394" i="7"/>
  <c r="Z394" i="7" s="1"/>
  <c r="R466" i="7"/>
  <c r="Z466" i="7" s="1"/>
  <c r="R538" i="7"/>
  <c r="Z538" i="7" s="1"/>
  <c r="R243" i="7"/>
  <c r="Z243" i="7" s="1"/>
  <c r="R323" i="7"/>
  <c r="Z323" i="7" s="1"/>
  <c r="R379" i="7"/>
  <c r="Z379" i="7" s="1"/>
  <c r="R419" i="7"/>
  <c r="Z419" i="7" s="1"/>
  <c r="R467" i="7"/>
  <c r="Z467" i="7" s="1"/>
  <c r="R507" i="7"/>
  <c r="Z507" i="7" s="1"/>
  <c r="R547" i="7"/>
  <c r="Z547" i="7" s="1"/>
  <c r="R220" i="7"/>
  <c r="Z220" i="7" s="1"/>
  <c r="R300" i="7"/>
  <c r="Z300" i="7" s="1"/>
  <c r="R348" i="7"/>
  <c r="Z348" i="7" s="1"/>
  <c r="R396" i="7"/>
  <c r="Z396" i="7" s="1"/>
  <c r="R436" i="7"/>
  <c r="Z436" i="7" s="1"/>
  <c r="R492" i="7"/>
  <c r="Z492" i="7" s="1"/>
  <c r="R532" i="7"/>
  <c r="Z532" i="7" s="1"/>
  <c r="R214" i="7"/>
  <c r="Z214" i="7" s="1"/>
  <c r="R222" i="7"/>
  <c r="Z222" i="7" s="1"/>
  <c r="R230" i="7"/>
  <c r="Z230" i="7" s="1"/>
  <c r="R238" i="7"/>
  <c r="Z238" i="7" s="1"/>
  <c r="R246" i="7"/>
  <c r="Z246" i="7" s="1"/>
  <c r="R254" i="7"/>
  <c r="Z254" i="7" s="1"/>
  <c r="R262" i="7"/>
  <c r="Z262" i="7" s="1"/>
  <c r="R270" i="7"/>
  <c r="Z270" i="7" s="1"/>
  <c r="R278" i="7"/>
  <c r="Z278" i="7" s="1"/>
  <c r="R286" i="7"/>
  <c r="Z286" i="7" s="1"/>
  <c r="R294" i="7"/>
  <c r="Z294" i="7" s="1"/>
  <c r="R302" i="7"/>
  <c r="Z302" i="7" s="1"/>
  <c r="R310" i="7"/>
  <c r="Z310" i="7" s="1"/>
  <c r="R318" i="7"/>
  <c r="Z318" i="7" s="1"/>
  <c r="R326" i="7"/>
  <c r="Z326" i="7" s="1"/>
  <c r="R334" i="7"/>
  <c r="Z334" i="7" s="1"/>
  <c r="R342" i="7"/>
  <c r="Z342" i="7" s="1"/>
  <c r="R350" i="7"/>
  <c r="Z350" i="7" s="1"/>
  <c r="R358" i="7"/>
  <c r="Z358" i="7" s="1"/>
  <c r="R366" i="7"/>
  <c r="Z366" i="7" s="1"/>
  <c r="R374" i="7"/>
  <c r="Z374" i="7" s="1"/>
  <c r="R382" i="7"/>
  <c r="Z382" i="7" s="1"/>
  <c r="R390" i="7"/>
  <c r="Z390" i="7" s="1"/>
  <c r="R398" i="7"/>
  <c r="Z398" i="7" s="1"/>
  <c r="R406" i="7"/>
  <c r="Z406" i="7" s="1"/>
  <c r="R414" i="7"/>
  <c r="Z414" i="7" s="1"/>
  <c r="R422" i="7"/>
  <c r="Z422" i="7" s="1"/>
  <c r="R430" i="7"/>
  <c r="Z430" i="7" s="1"/>
  <c r="R438" i="7"/>
  <c r="Z438" i="7" s="1"/>
  <c r="R446" i="7"/>
  <c r="Z446" i="7" s="1"/>
  <c r="R454" i="7"/>
  <c r="Z454" i="7" s="1"/>
  <c r="R462" i="7"/>
  <c r="Z462" i="7" s="1"/>
  <c r="R470" i="7"/>
  <c r="Z470" i="7" s="1"/>
  <c r="R478" i="7"/>
  <c r="Z478" i="7" s="1"/>
  <c r="R486" i="7"/>
  <c r="Z486" i="7" s="1"/>
  <c r="R494" i="7"/>
  <c r="Z494" i="7" s="1"/>
  <c r="R502" i="7"/>
  <c r="Z502" i="7" s="1"/>
  <c r="R510" i="7"/>
  <c r="Z510" i="7" s="1"/>
  <c r="R518" i="7"/>
  <c r="Z518" i="7" s="1"/>
  <c r="R526" i="7"/>
  <c r="Z526" i="7" s="1"/>
  <c r="R534" i="7"/>
  <c r="Z534" i="7" s="1"/>
  <c r="R542" i="7"/>
  <c r="Z542" i="7" s="1"/>
  <c r="R550" i="7"/>
  <c r="Z550" i="7" s="1"/>
  <c r="R558" i="7"/>
  <c r="Z558" i="7" s="1"/>
  <c r="R368" i="7"/>
  <c r="Z368" i="7" s="1"/>
  <c r="R424" i="7"/>
  <c r="Z424" i="7" s="1"/>
  <c r="R448" i="7"/>
  <c r="Z448" i="7" s="1"/>
  <c r="R472" i="7"/>
  <c r="Z472" i="7" s="1"/>
  <c r="R496" i="7"/>
  <c r="Z496" i="7" s="1"/>
  <c r="R528" i="7"/>
  <c r="Z528" i="7" s="1"/>
  <c r="R560" i="7"/>
  <c r="Z560" i="7" s="1"/>
  <c r="R290" i="7"/>
  <c r="Z290" i="7" s="1"/>
  <c r="R338" i="7"/>
  <c r="Z338" i="7" s="1"/>
  <c r="R354" i="7"/>
  <c r="Z354" i="7" s="1"/>
  <c r="R386" i="7"/>
  <c r="Z386" i="7" s="1"/>
  <c r="R418" i="7"/>
  <c r="Z418" i="7" s="1"/>
  <c r="R450" i="7"/>
  <c r="Z450" i="7" s="1"/>
  <c r="R490" i="7"/>
  <c r="Z490" i="7" s="1"/>
  <c r="R522" i="7"/>
  <c r="Z522" i="7" s="1"/>
  <c r="R554" i="7"/>
  <c r="Z554" i="7" s="1"/>
  <c r="R227" i="7"/>
  <c r="Z227" i="7" s="1"/>
  <c r="R259" i="7"/>
  <c r="Z259" i="7" s="1"/>
  <c r="R275" i="7"/>
  <c r="Z275" i="7" s="1"/>
  <c r="R291" i="7"/>
  <c r="Z291" i="7" s="1"/>
  <c r="R307" i="7"/>
  <c r="Z307" i="7" s="1"/>
  <c r="R331" i="7"/>
  <c r="Z331" i="7" s="1"/>
  <c r="R355" i="7"/>
  <c r="Z355" i="7" s="1"/>
  <c r="R387" i="7"/>
  <c r="Z387" i="7" s="1"/>
  <c r="R411" i="7"/>
  <c r="Z411" i="7" s="1"/>
  <c r="R443" i="7"/>
  <c r="Z443" i="7" s="1"/>
  <c r="R475" i="7"/>
  <c r="Z475" i="7" s="1"/>
  <c r="R515" i="7"/>
  <c r="Z515" i="7" s="1"/>
  <c r="R555" i="7"/>
  <c r="Z555" i="7" s="1"/>
  <c r="R236" i="7"/>
  <c r="Z236" i="7" s="1"/>
  <c r="R268" i="7"/>
  <c r="Z268" i="7" s="1"/>
  <c r="R284" i="7"/>
  <c r="Z284" i="7" s="1"/>
  <c r="R316" i="7"/>
  <c r="Z316" i="7" s="1"/>
  <c r="R340" i="7"/>
  <c r="Z340" i="7" s="1"/>
  <c r="R372" i="7"/>
  <c r="Z372" i="7" s="1"/>
  <c r="R420" i="7"/>
  <c r="Z420" i="7" s="1"/>
  <c r="R468" i="7"/>
  <c r="Z468" i="7" s="1"/>
  <c r="R508" i="7"/>
  <c r="Z508" i="7" s="1"/>
  <c r="R548" i="7"/>
  <c r="Z548" i="7" s="1"/>
  <c r="R215" i="7"/>
  <c r="Z215" i="7" s="1"/>
  <c r="R223" i="7"/>
  <c r="Z223" i="7" s="1"/>
  <c r="R231" i="7"/>
  <c r="Z231" i="7" s="1"/>
  <c r="R239" i="7"/>
  <c r="Z239" i="7" s="1"/>
  <c r="R247" i="7"/>
  <c r="Z247" i="7" s="1"/>
  <c r="R255" i="7"/>
  <c r="Z255" i="7" s="1"/>
  <c r="R263" i="7"/>
  <c r="Z263" i="7" s="1"/>
  <c r="R271" i="7"/>
  <c r="Z271" i="7" s="1"/>
  <c r="R279" i="7"/>
  <c r="Z279" i="7" s="1"/>
  <c r="R287" i="7"/>
  <c r="Z287" i="7" s="1"/>
  <c r="R295" i="7"/>
  <c r="Z295" i="7" s="1"/>
  <c r="R303" i="7"/>
  <c r="Z303" i="7" s="1"/>
  <c r="R311" i="7"/>
  <c r="Z311" i="7" s="1"/>
  <c r="R319" i="7"/>
  <c r="Z319" i="7" s="1"/>
  <c r="R327" i="7"/>
  <c r="Z327" i="7" s="1"/>
  <c r="R335" i="7"/>
  <c r="Z335" i="7" s="1"/>
  <c r="R343" i="7"/>
  <c r="Z343" i="7" s="1"/>
  <c r="R351" i="7"/>
  <c r="Z351" i="7" s="1"/>
  <c r="R359" i="7"/>
  <c r="Z359" i="7" s="1"/>
  <c r="R367" i="7"/>
  <c r="Z367" i="7" s="1"/>
  <c r="R375" i="7"/>
  <c r="Z375" i="7" s="1"/>
  <c r="R383" i="7"/>
  <c r="Z383" i="7" s="1"/>
  <c r="R391" i="7"/>
  <c r="Z391" i="7" s="1"/>
  <c r="R399" i="7"/>
  <c r="Z399" i="7" s="1"/>
  <c r="R407" i="7"/>
  <c r="Z407" i="7" s="1"/>
  <c r="R415" i="7"/>
  <c r="Z415" i="7" s="1"/>
  <c r="R423" i="7"/>
  <c r="Z423" i="7" s="1"/>
  <c r="R431" i="7"/>
  <c r="Z431" i="7" s="1"/>
  <c r="R439" i="7"/>
  <c r="Z439" i="7" s="1"/>
  <c r="R447" i="7"/>
  <c r="Z447" i="7" s="1"/>
  <c r="R455" i="7"/>
  <c r="Z455" i="7" s="1"/>
  <c r="R463" i="7"/>
  <c r="Z463" i="7" s="1"/>
  <c r="R471" i="7"/>
  <c r="Z471" i="7" s="1"/>
  <c r="R479" i="7"/>
  <c r="Z479" i="7" s="1"/>
  <c r="R487" i="7"/>
  <c r="Z487" i="7" s="1"/>
  <c r="R495" i="7"/>
  <c r="Z495" i="7" s="1"/>
  <c r="R503" i="7"/>
  <c r="Z503" i="7" s="1"/>
  <c r="R511" i="7"/>
  <c r="Z511" i="7" s="1"/>
  <c r="R519" i="7"/>
  <c r="Z519" i="7" s="1"/>
  <c r="R527" i="7"/>
  <c r="Z527" i="7" s="1"/>
  <c r="R535" i="7"/>
  <c r="Z535" i="7" s="1"/>
  <c r="R543" i="7"/>
  <c r="Z543" i="7" s="1"/>
  <c r="R551" i="7"/>
  <c r="Z551" i="7" s="1"/>
  <c r="R559" i="7"/>
  <c r="Z559" i="7" s="1"/>
  <c r="R392" i="7"/>
  <c r="Z392" i="7" s="1"/>
  <c r="R456" i="7"/>
  <c r="Z456" i="7" s="1"/>
  <c r="R488" i="7"/>
  <c r="Z488" i="7" s="1"/>
  <c r="R520" i="7"/>
  <c r="Z520" i="7" s="1"/>
  <c r="R544" i="7"/>
  <c r="Z544" i="7" s="1"/>
  <c r="R298" i="7"/>
  <c r="Z298" i="7" s="1"/>
  <c r="R362" i="7"/>
  <c r="Z362" i="7" s="1"/>
  <c r="R410" i="7"/>
  <c r="Z410" i="7" s="1"/>
  <c r="R458" i="7"/>
  <c r="Z458" i="7" s="1"/>
  <c r="R498" i="7"/>
  <c r="Z498" i="7" s="1"/>
  <c r="R546" i="7"/>
  <c r="Z546" i="7" s="1"/>
  <c r="R251" i="7"/>
  <c r="Z251" i="7" s="1"/>
  <c r="R363" i="7"/>
  <c r="Z363" i="7" s="1"/>
  <c r="R403" i="7"/>
  <c r="Z403" i="7" s="1"/>
  <c r="R451" i="7"/>
  <c r="Z451" i="7" s="1"/>
  <c r="R499" i="7"/>
  <c r="Z499" i="7" s="1"/>
  <c r="R563" i="7"/>
  <c r="Z563" i="7" s="1"/>
  <c r="R260" i="7"/>
  <c r="Z260" i="7" s="1"/>
  <c r="R388" i="7"/>
  <c r="Z388" i="7" s="1"/>
  <c r="R476" i="7"/>
  <c r="Z476" i="7" s="1"/>
  <c r="R216" i="7"/>
  <c r="Z216" i="7" s="1"/>
  <c r="R224" i="7"/>
  <c r="Z224" i="7" s="1"/>
  <c r="R232" i="7"/>
  <c r="Z232" i="7" s="1"/>
  <c r="R240" i="7"/>
  <c r="Z240" i="7" s="1"/>
  <c r="R248" i="7"/>
  <c r="Z248" i="7" s="1"/>
  <c r="R256" i="7"/>
  <c r="Z256" i="7" s="1"/>
  <c r="R264" i="7"/>
  <c r="Z264" i="7" s="1"/>
  <c r="R272" i="7"/>
  <c r="Z272" i="7" s="1"/>
  <c r="R280" i="7"/>
  <c r="Z280" i="7" s="1"/>
  <c r="R288" i="7"/>
  <c r="Z288" i="7" s="1"/>
  <c r="R296" i="7"/>
  <c r="Z296" i="7" s="1"/>
  <c r="R304" i="7"/>
  <c r="Z304" i="7" s="1"/>
  <c r="R312" i="7"/>
  <c r="Z312" i="7" s="1"/>
  <c r="R320" i="7"/>
  <c r="Z320" i="7" s="1"/>
  <c r="R328" i="7"/>
  <c r="Z328" i="7" s="1"/>
  <c r="R336" i="7"/>
  <c r="Z336" i="7" s="1"/>
  <c r="R344" i="7"/>
  <c r="Z344" i="7" s="1"/>
  <c r="R352" i="7"/>
  <c r="Z352" i="7" s="1"/>
  <c r="R360" i="7"/>
  <c r="Z360" i="7" s="1"/>
  <c r="R376" i="7"/>
  <c r="Z376" i="7" s="1"/>
  <c r="R384" i="7"/>
  <c r="Z384" i="7" s="1"/>
  <c r="R408" i="7"/>
  <c r="Z408" i="7" s="1"/>
  <c r="R416" i="7"/>
  <c r="Z416" i="7" s="1"/>
  <c r="R432" i="7"/>
  <c r="Z432" i="7" s="1"/>
  <c r="R464" i="7"/>
  <c r="Z464" i="7" s="1"/>
  <c r="R504" i="7"/>
  <c r="Z504" i="7" s="1"/>
  <c r="R552" i="7"/>
  <c r="Z552" i="7" s="1"/>
  <c r="R314" i="7"/>
  <c r="Z314" i="7" s="1"/>
  <c r="R378" i="7"/>
  <c r="Z378" i="7" s="1"/>
  <c r="R426" i="7"/>
  <c r="Z426" i="7" s="1"/>
  <c r="R474" i="7"/>
  <c r="Z474" i="7" s="1"/>
  <c r="R514" i="7"/>
  <c r="Z514" i="7" s="1"/>
  <c r="R562" i="7"/>
  <c r="Z562" i="7" s="1"/>
  <c r="R235" i="7"/>
  <c r="Z235" i="7" s="1"/>
  <c r="R347" i="7"/>
  <c r="Z347" i="7" s="1"/>
  <c r="R427" i="7"/>
  <c r="Z427" i="7" s="1"/>
  <c r="R483" i="7"/>
  <c r="Z483" i="7" s="1"/>
  <c r="R539" i="7"/>
  <c r="Z539" i="7" s="1"/>
  <c r="R252" i="7"/>
  <c r="Z252" i="7" s="1"/>
  <c r="R332" i="7"/>
  <c r="Z332" i="7" s="1"/>
  <c r="R380" i="7"/>
  <c r="Z380" i="7" s="1"/>
  <c r="R428" i="7"/>
  <c r="Z428" i="7" s="1"/>
  <c r="R460" i="7"/>
  <c r="Z460" i="7" s="1"/>
  <c r="R516" i="7"/>
  <c r="Z516" i="7" s="1"/>
  <c r="R556" i="7"/>
  <c r="Z556" i="7" s="1"/>
  <c r="R217" i="7"/>
  <c r="Z217" i="7" s="1"/>
  <c r="R225" i="7"/>
  <c r="Z225" i="7" s="1"/>
  <c r="R233" i="7"/>
  <c r="Z233" i="7" s="1"/>
  <c r="R241" i="7"/>
  <c r="Z241" i="7" s="1"/>
  <c r="R249" i="7"/>
  <c r="Z249" i="7" s="1"/>
  <c r="R257" i="7"/>
  <c r="Z257" i="7" s="1"/>
  <c r="R265" i="7"/>
  <c r="Z265" i="7" s="1"/>
  <c r="R273" i="7"/>
  <c r="Z273" i="7" s="1"/>
  <c r="R281" i="7"/>
  <c r="Z281" i="7" s="1"/>
  <c r="R289" i="7"/>
  <c r="Z289" i="7" s="1"/>
  <c r="R297" i="7"/>
  <c r="Z297" i="7" s="1"/>
  <c r="R305" i="7"/>
  <c r="Z305" i="7" s="1"/>
  <c r="R313" i="7"/>
  <c r="Z313" i="7" s="1"/>
  <c r="R321" i="7"/>
  <c r="Z321" i="7" s="1"/>
  <c r="R329" i="7"/>
  <c r="Z329" i="7" s="1"/>
  <c r="R337" i="7"/>
  <c r="Z337" i="7" s="1"/>
  <c r="R345" i="7"/>
  <c r="Z345" i="7" s="1"/>
  <c r="R353" i="7"/>
  <c r="Z353" i="7" s="1"/>
  <c r="R361" i="7"/>
  <c r="Z361" i="7" s="1"/>
  <c r="R369" i="7"/>
  <c r="Z369" i="7" s="1"/>
  <c r="R377" i="7"/>
  <c r="Z377" i="7" s="1"/>
  <c r="R385" i="7"/>
  <c r="Z385" i="7" s="1"/>
  <c r="R393" i="7"/>
  <c r="Z393" i="7" s="1"/>
  <c r="R401" i="7"/>
  <c r="Z401" i="7" s="1"/>
  <c r="R409" i="7"/>
  <c r="Z409" i="7" s="1"/>
  <c r="R417" i="7"/>
  <c r="Z417" i="7" s="1"/>
  <c r="R425" i="7"/>
  <c r="Z425" i="7" s="1"/>
  <c r="R433" i="7"/>
  <c r="Z433" i="7" s="1"/>
  <c r="R441" i="7"/>
  <c r="Z441" i="7" s="1"/>
  <c r="R449" i="7"/>
  <c r="Z449" i="7" s="1"/>
  <c r="R457" i="7"/>
  <c r="Z457" i="7" s="1"/>
  <c r="R465" i="7"/>
  <c r="Z465" i="7" s="1"/>
  <c r="R473" i="7"/>
  <c r="Z473" i="7" s="1"/>
  <c r="R481" i="7"/>
  <c r="Z481" i="7" s="1"/>
  <c r="R489" i="7"/>
  <c r="Z489" i="7" s="1"/>
  <c r="R497" i="7"/>
  <c r="Z497" i="7" s="1"/>
  <c r="R505" i="7"/>
  <c r="Z505" i="7" s="1"/>
  <c r="R513" i="7"/>
  <c r="Z513" i="7" s="1"/>
  <c r="R521" i="7"/>
  <c r="Z521" i="7" s="1"/>
  <c r="R529" i="7"/>
  <c r="Z529" i="7" s="1"/>
  <c r="R537" i="7"/>
  <c r="Z537" i="7" s="1"/>
  <c r="R545" i="7"/>
  <c r="Z545" i="7" s="1"/>
  <c r="R553" i="7"/>
  <c r="Z553" i="7" s="1"/>
  <c r="R561" i="7"/>
  <c r="Z561" i="7" s="1"/>
  <c r="R218" i="7"/>
  <c r="Z218" i="7" s="1"/>
  <c r="R226" i="7"/>
  <c r="Z226" i="7" s="1"/>
  <c r="R234" i="7"/>
  <c r="Z234" i="7" s="1"/>
  <c r="R242" i="7"/>
  <c r="Z242" i="7" s="1"/>
  <c r="R250" i="7"/>
  <c r="Z250" i="7" s="1"/>
  <c r="R258" i="7"/>
  <c r="Z258" i="7" s="1"/>
  <c r="R266" i="7"/>
  <c r="Z266" i="7" s="1"/>
  <c r="R282" i="7"/>
  <c r="Z282" i="7" s="1"/>
  <c r="R306" i="7"/>
  <c r="Z306" i="7" s="1"/>
  <c r="R322" i="7"/>
  <c r="Z322" i="7" s="1"/>
  <c r="R330" i="7"/>
  <c r="Z330" i="7" s="1"/>
  <c r="R346" i="7"/>
  <c r="Z346" i="7" s="1"/>
  <c r="R370" i="7"/>
  <c r="Z370" i="7" s="1"/>
  <c r="R402" i="7"/>
  <c r="Z402" i="7" s="1"/>
  <c r="R434" i="7"/>
  <c r="Z434" i="7" s="1"/>
  <c r="R482" i="7"/>
  <c r="Z482" i="7" s="1"/>
  <c r="R506" i="7"/>
  <c r="Z506" i="7" s="1"/>
  <c r="R530" i="7"/>
  <c r="Z530" i="7" s="1"/>
  <c r="R219" i="7"/>
  <c r="Z219" i="7" s="1"/>
  <c r="R267" i="7"/>
  <c r="Z267" i="7" s="1"/>
  <c r="R283" i="7"/>
  <c r="Z283" i="7" s="1"/>
  <c r="R299" i="7"/>
  <c r="Z299" i="7" s="1"/>
  <c r="R315" i="7"/>
  <c r="Z315" i="7" s="1"/>
  <c r="R339" i="7"/>
  <c r="Z339" i="7" s="1"/>
  <c r="R371" i="7"/>
  <c r="Z371" i="7" s="1"/>
  <c r="R395" i="7"/>
  <c r="Z395" i="7" s="1"/>
  <c r="R435" i="7"/>
  <c r="Z435" i="7" s="1"/>
  <c r="R459" i="7"/>
  <c r="Z459" i="7" s="1"/>
  <c r="R491" i="7"/>
  <c r="Z491" i="7" s="1"/>
  <c r="R531" i="7"/>
  <c r="Z531" i="7" s="1"/>
  <c r="R244" i="7"/>
  <c r="Z244" i="7" s="1"/>
  <c r="R276" i="7"/>
  <c r="Z276" i="7" s="1"/>
  <c r="R292" i="7"/>
  <c r="Z292" i="7" s="1"/>
  <c r="R324" i="7"/>
  <c r="Z324" i="7" s="1"/>
  <c r="R364" i="7"/>
  <c r="Z364" i="7" s="1"/>
  <c r="R404" i="7"/>
  <c r="Z404" i="7" s="1"/>
  <c r="R444" i="7"/>
  <c r="Z444" i="7" s="1"/>
  <c r="R484" i="7"/>
  <c r="Z484" i="7" s="1"/>
  <c r="R524" i="7"/>
  <c r="Z524" i="7" s="1"/>
  <c r="R442" i="7"/>
  <c r="Z442" i="7" s="1"/>
  <c r="R523" i="7"/>
  <c r="Z523" i="7" s="1"/>
  <c r="R228" i="7"/>
  <c r="Z228" i="7" s="1"/>
  <c r="R308" i="7"/>
  <c r="Z308" i="7" s="1"/>
  <c r="R356" i="7"/>
  <c r="Z356" i="7" s="1"/>
  <c r="R412" i="7"/>
  <c r="Z412" i="7" s="1"/>
  <c r="R452" i="7"/>
  <c r="Z452" i="7" s="1"/>
  <c r="R500" i="7"/>
  <c r="Z500" i="7" s="1"/>
  <c r="R540" i="7"/>
  <c r="Z540" i="7" s="1"/>
  <c r="R205" i="7"/>
  <c r="Z205" i="7" s="1"/>
  <c r="R206" i="7"/>
  <c r="Z206" i="7" s="1"/>
  <c r="R207" i="7"/>
  <c r="Z207" i="7" s="1"/>
  <c r="R208" i="7"/>
  <c r="Z208" i="7" s="1"/>
  <c r="R209" i="7"/>
  <c r="Z209" i="7" s="1"/>
  <c r="R210" i="7"/>
  <c r="Z210" i="7" s="1"/>
  <c r="R211" i="7"/>
  <c r="Z211" i="7" s="1"/>
  <c r="R212" i="7"/>
  <c r="Z212" i="7" s="1"/>
  <c r="R92" i="7"/>
  <c r="Z92" i="7" s="1"/>
  <c r="R100" i="7"/>
  <c r="Z100" i="7" s="1"/>
  <c r="R108" i="7"/>
  <c r="Z108" i="7" s="1"/>
  <c r="R116" i="7"/>
  <c r="Z116" i="7" s="1"/>
  <c r="R124" i="7"/>
  <c r="Z124" i="7" s="1"/>
  <c r="R132" i="7"/>
  <c r="Z132" i="7" s="1"/>
  <c r="R140" i="7"/>
  <c r="Z140" i="7" s="1"/>
  <c r="R148" i="7"/>
  <c r="Z148" i="7" s="1"/>
  <c r="R156" i="7"/>
  <c r="Z156" i="7" s="1"/>
  <c r="R164" i="7"/>
  <c r="Z164" i="7" s="1"/>
  <c r="R172" i="7"/>
  <c r="Z172" i="7" s="1"/>
  <c r="R180" i="7"/>
  <c r="Z180" i="7" s="1"/>
  <c r="R188" i="7"/>
  <c r="Z188" i="7" s="1"/>
  <c r="R196" i="7"/>
  <c r="Z196" i="7" s="1"/>
  <c r="R204" i="7"/>
  <c r="Z204" i="7" s="1"/>
  <c r="R93" i="7"/>
  <c r="Z93" i="7" s="1"/>
  <c r="R101" i="7"/>
  <c r="Z101" i="7" s="1"/>
  <c r="R109" i="7"/>
  <c r="Z109" i="7" s="1"/>
  <c r="R117" i="7"/>
  <c r="Z117" i="7" s="1"/>
  <c r="R125" i="7"/>
  <c r="Z125" i="7" s="1"/>
  <c r="R133" i="7"/>
  <c r="Z133" i="7" s="1"/>
  <c r="R141" i="7"/>
  <c r="Z141" i="7" s="1"/>
  <c r="R149" i="7"/>
  <c r="Z149" i="7" s="1"/>
  <c r="R157" i="7"/>
  <c r="Z157" i="7" s="1"/>
  <c r="R165" i="7"/>
  <c r="Z165" i="7" s="1"/>
  <c r="R173" i="7"/>
  <c r="Z173" i="7" s="1"/>
  <c r="R181" i="7"/>
  <c r="Z181" i="7" s="1"/>
  <c r="R189" i="7"/>
  <c r="Z189" i="7" s="1"/>
  <c r="R197" i="7"/>
  <c r="Z197" i="7" s="1"/>
  <c r="R94" i="7"/>
  <c r="Z94" i="7" s="1"/>
  <c r="R102" i="7"/>
  <c r="Z102" i="7" s="1"/>
  <c r="R110" i="7"/>
  <c r="Z110" i="7" s="1"/>
  <c r="R118" i="7"/>
  <c r="Z118" i="7" s="1"/>
  <c r="R126" i="7"/>
  <c r="Z126" i="7" s="1"/>
  <c r="R134" i="7"/>
  <c r="Z134" i="7" s="1"/>
  <c r="R142" i="7"/>
  <c r="Z142" i="7" s="1"/>
  <c r="R150" i="7"/>
  <c r="Z150" i="7" s="1"/>
  <c r="R158" i="7"/>
  <c r="Z158" i="7" s="1"/>
  <c r="R166" i="7"/>
  <c r="Z166" i="7" s="1"/>
  <c r="R174" i="7"/>
  <c r="Z174" i="7" s="1"/>
  <c r="R182" i="7"/>
  <c r="Z182" i="7" s="1"/>
  <c r="R190" i="7"/>
  <c r="Z190" i="7" s="1"/>
  <c r="R198" i="7"/>
  <c r="Z198" i="7" s="1"/>
  <c r="R95" i="7"/>
  <c r="Z95" i="7" s="1"/>
  <c r="R103" i="7"/>
  <c r="Z103" i="7" s="1"/>
  <c r="R111" i="7"/>
  <c r="Z111" i="7" s="1"/>
  <c r="R119" i="7"/>
  <c r="Z119" i="7" s="1"/>
  <c r="R127" i="7"/>
  <c r="Z127" i="7" s="1"/>
  <c r="R135" i="7"/>
  <c r="Z135" i="7" s="1"/>
  <c r="R143" i="7"/>
  <c r="Z143" i="7" s="1"/>
  <c r="R151" i="7"/>
  <c r="Z151" i="7" s="1"/>
  <c r="R159" i="7"/>
  <c r="Z159" i="7" s="1"/>
  <c r="R167" i="7"/>
  <c r="Z167" i="7" s="1"/>
  <c r="R175" i="7"/>
  <c r="Z175" i="7" s="1"/>
  <c r="R183" i="7"/>
  <c r="Z183" i="7" s="1"/>
  <c r="R191" i="7"/>
  <c r="Z191" i="7" s="1"/>
  <c r="R199" i="7"/>
  <c r="Z199" i="7" s="1"/>
  <c r="R96" i="7"/>
  <c r="Z96" i="7" s="1"/>
  <c r="R104" i="7"/>
  <c r="Z104" i="7" s="1"/>
  <c r="R112" i="7"/>
  <c r="Z112" i="7" s="1"/>
  <c r="R120" i="7"/>
  <c r="Z120" i="7" s="1"/>
  <c r="R128" i="7"/>
  <c r="Z128" i="7" s="1"/>
  <c r="R136" i="7"/>
  <c r="Z136" i="7" s="1"/>
  <c r="R144" i="7"/>
  <c r="Z144" i="7" s="1"/>
  <c r="R152" i="7"/>
  <c r="Z152" i="7" s="1"/>
  <c r="R160" i="7"/>
  <c r="Z160" i="7" s="1"/>
  <c r="R168" i="7"/>
  <c r="Z168" i="7" s="1"/>
  <c r="R176" i="7"/>
  <c r="Z176" i="7" s="1"/>
  <c r="R184" i="7"/>
  <c r="Z184" i="7" s="1"/>
  <c r="R192" i="7"/>
  <c r="Z192" i="7" s="1"/>
  <c r="R200" i="7"/>
  <c r="Z200" i="7" s="1"/>
  <c r="R115" i="7"/>
  <c r="Z115" i="7" s="1"/>
  <c r="R123" i="7"/>
  <c r="Z123" i="7" s="1"/>
  <c r="R147" i="7"/>
  <c r="Z147" i="7" s="1"/>
  <c r="R171" i="7"/>
  <c r="Z171" i="7" s="1"/>
  <c r="R195" i="7"/>
  <c r="Z195" i="7" s="1"/>
  <c r="R97" i="7"/>
  <c r="Z97" i="7" s="1"/>
  <c r="R105" i="7"/>
  <c r="Z105" i="7" s="1"/>
  <c r="R113" i="7"/>
  <c r="Z113" i="7" s="1"/>
  <c r="R121" i="7"/>
  <c r="Z121" i="7" s="1"/>
  <c r="R129" i="7"/>
  <c r="Z129" i="7" s="1"/>
  <c r="R137" i="7"/>
  <c r="Z137" i="7" s="1"/>
  <c r="R145" i="7"/>
  <c r="Z145" i="7" s="1"/>
  <c r="R153" i="7"/>
  <c r="Z153" i="7" s="1"/>
  <c r="R161" i="7"/>
  <c r="Z161" i="7" s="1"/>
  <c r="R169" i="7"/>
  <c r="Z169" i="7" s="1"/>
  <c r="R177" i="7"/>
  <c r="Z177" i="7" s="1"/>
  <c r="R185" i="7"/>
  <c r="Z185" i="7" s="1"/>
  <c r="R193" i="7"/>
  <c r="Z193" i="7" s="1"/>
  <c r="R201" i="7"/>
  <c r="Z201" i="7" s="1"/>
  <c r="R107" i="7"/>
  <c r="Z107" i="7" s="1"/>
  <c r="R131" i="7"/>
  <c r="Z131" i="7" s="1"/>
  <c r="R155" i="7"/>
  <c r="Z155" i="7" s="1"/>
  <c r="R179" i="7"/>
  <c r="Z179" i="7" s="1"/>
  <c r="R203" i="7"/>
  <c r="Z203" i="7" s="1"/>
  <c r="R98" i="7"/>
  <c r="Z98" i="7" s="1"/>
  <c r="R106" i="7"/>
  <c r="Z106" i="7" s="1"/>
  <c r="R114" i="7"/>
  <c r="Z114" i="7" s="1"/>
  <c r="R122" i="7"/>
  <c r="Z122" i="7" s="1"/>
  <c r="R130" i="7"/>
  <c r="Z130" i="7" s="1"/>
  <c r="R138" i="7"/>
  <c r="Z138" i="7" s="1"/>
  <c r="R146" i="7"/>
  <c r="Z146" i="7" s="1"/>
  <c r="R154" i="7"/>
  <c r="Z154" i="7" s="1"/>
  <c r="R162" i="7"/>
  <c r="Z162" i="7" s="1"/>
  <c r="R170" i="7"/>
  <c r="Z170" i="7" s="1"/>
  <c r="R178" i="7"/>
  <c r="Z178" i="7" s="1"/>
  <c r="R186" i="7"/>
  <c r="Z186" i="7" s="1"/>
  <c r="R194" i="7"/>
  <c r="Z194" i="7" s="1"/>
  <c r="R202" i="7"/>
  <c r="Z202" i="7" s="1"/>
  <c r="R99" i="7"/>
  <c r="Z99" i="7" s="1"/>
  <c r="R139" i="7"/>
  <c r="Z139" i="7" s="1"/>
  <c r="R163" i="7"/>
  <c r="Z163" i="7" s="1"/>
  <c r="R187" i="7"/>
  <c r="Z187" i="7" s="1"/>
  <c r="R90" i="7"/>
  <c r="Z90" i="7" s="1"/>
  <c r="R91" i="7"/>
  <c r="Z91" i="7" s="1"/>
  <c r="R32" i="7"/>
  <c r="Z32" i="7" s="1"/>
  <c r="R87" i="7"/>
  <c r="Z87" i="7" s="1"/>
  <c r="H564" i="15"/>
  <c r="C559" i="15"/>
  <c r="H561" i="15"/>
  <c r="C560" i="15"/>
  <c r="H562" i="15"/>
  <c r="C561" i="15"/>
  <c r="H559" i="15"/>
  <c r="C558" i="15"/>
  <c r="H560" i="15"/>
  <c r="H563" i="15"/>
  <c r="C550" i="15"/>
  <c r="H553" i="15"/>
  <c r="C551" i="15"/>
  <c r="H554" i="15"/>
  <c r="C552" i="15"/>
  <c r="H555" i="15"/>
  <c r="C553" i="15"/>
  <c r="H556" i="15"/>
  <c r="C554" i="15"/>
  <c r="H557" i="15"/>
  <c r="C555" i="15"/>
  <c r="H558" i="15"/>
  <c r="C556" i="15"/>
  <c r="C557" i="15"/>
  <c r="C549" i="15"/>
  <c r="H552" i="15"/>
  <c r="H550" i="15"/>
  <c r="C548" i="15"/>
  <c r="H551" i="15"/>
  <c r="C544" i="15"/>
  <c r="H546" i="15"/>
  <c r="C545" i="15"/>
  <c r="H547" i="15"/>
  <c r="C546" i="15"/>
  <c r="H548" i="15"/>
  <c r="C547" i="15"/>
  <c r="H549" i="15"/>
  <c r="C539" i="15"/>
  <c r="H544" i="15"/>
  <c r="C540" i="15"/>
  <c r="H545" i="15"/>
  <c r="C541" i="15"/>
  <c r="C542" i="15"/>
  <c r="H543" i="15"/>
  <c r="C543" i="15"/>
  <c r="H540" i="15"/>
  <c r="H541" i="15"/>
  <c r="H542" i="15"/>
  <c r="C534" i="15"/>
  <c r="H538" i="15"/>
  <c r="C535" i="15"/>
  <c r="H539" i="15"/>
  <c r="C536" i="15"/>
  <c r="C537" i="15"/>
  <c r="C538" i="15"/>
  <c r="H534" i="15"/>
  <c r="H535" i="15"/>
  <c r="C533" i="15"/>
  <c r="H537" i="15"/>
  <c r="C532" i="15"/>
  <c r="H536" i="15"/>
  <c r="C524" i="15"/>
  <c r="C525" i="15"/>
  <c r="C526" i="15"/>
  <c r="H531" i="15"/>
  <c r="C530" i="15"/>
  <c r="C531" i="15"/>
  <c r="C527" i="15"/>
  <c r="H532" i="15"/>
  <c r="C528" i="15"/>
  <c r="H533" i="15"/>
  <c r="H527" i="15"/>
  <c r="H528" i="15"/>
  <c r="H530" i="15"/>
  <c r="C529" i="15"/>
  <c r="H529" i="15"/>
  <c r="C522" i="15"/>
  <c r="C523" i="15"/>
  <c r="H520" i="15"/>
  <c r="H521" i="15"/>
  <c r="H522" i="15"/>
  <c r="C518" i="15"/>
  <c r="H523" i="15"/>
  <c r="C519" i="15"/>
  <c r="H524" i="15"/>
  <c r="C520" i="15"/>
  <c r="H525" i="15"/>
  <c r="C521" i="15"/>
  <c r="H526" i="15"/>
  <c r="H317" i="15"/>
  <c r="H318" i="15"/>
  <c r="C511" i="15"/>
  <c r="H514" i="15"/>
  <c r="H518" i="15"/>
  <c r="C512" i="15"/>
  <c r="C317" i="15"/>
  <c r="C318" i="15"/>
  <c r="C514" i="15"/>
  <c r="H511" i="15"/>
  <c r="H512" i="15"/>
  <c r="C509" i="15"/>
  <c r="C510" i="15"/>
  <c r="C48" i="15"/>
  <c r="H48" i="15"/>
  <c r="C306" i="15"/>
  <c r="H306" i="15"/>
  <c r="C307" i="15"/>
  <c r="H307" i="15"/>
  <c r="C506" i="15"/>
  <c r="H510" i="15"/>
  <c r="C507" i="15"/>
  <c r="C508" i="15"/>
  <c r="H508" i="15"/>
  <c r="H509" i="15"/>
  <c r="C501" i="15"/>
  <c r="H502" i="15"/>
  <c r="C502" i="15"/>
  <c r="H503" i="15"/>
  <c r="C503" i="15"/>
  <c r="H504" i="15"/>
  <c r="C504" i="15"/>
  <c r="H505" i="15"/>
  <c r="C497" i="15"/>
  <c r="C505" i="15"/>
  <c r="H506" i="15"/>
  <c r="C498" i="15"/>
  <c r="H507" i="15"/>
  <c r="C499" i="15"/>
  <c r="C500" i="15"/>
  <c r="H497" i="15"/>
  <c r="H498" i="15"/>
  <c r="H499" i="15"/>
  <c r="H500" i="15"/>
  <c r="H501" i="15"/>
  <c r="C495" i="15"/>
  <c r="C496" i="15"/>
  <c r="H496" i="15"/>
  <c r="H491" i="15"/>
  <c r="C492" i="15"/>
  <c r="H492" i="15"/>
  <c r="C493" i="15"/>
  <c r="H493" i="15"/>
  <c r="C494" i="15"/>
  <c r="H494" i="15"/>
  <c r="C491" i="15"/>
  <c r="H495" i="15"/>
  <c r="C486" i="15"/>
  <c r="C487" i="15"/>
  <c r="C488" i="15"/>
  <c r="C489" i="15"/>
  <c r="C490" i="15"/>
  <c r="H487" i="15"/>
  <c r="H488" i="15"/>
  <c r="H489" i="15"/>
  <c r="H490" i="15"/>
  <c r="C479" i="15"/>
  <c r="H482" i="15"/>
  <c r="C482" i="15"/>
  <c r="H485" i="15"/>
  <c r="C480" i="15"/>
  <c r="H483" i="15"/>
  <c r="C481" i="15"/>
  <c r="H484" i="15"/>
  <c r="C483" i="15"/>
  <c r="H486" i="15"/>
  <c r="C484" i="15"/>
  <c r="C485" i="15"/>
  <c r="H479" i="15"/>
  <c r="H480" i="15"/>
  <c r="H481" i="15"/>
  <c r="C477" i="15"/>
  <c r="C478" i="15"/>
  <c r="H478" i="15"/>
  <c r="C476" i="15"/>
  <c r="H477" i="15"/>
  <c r="C474" i="15"/>
  <c r="H474" i="15"/>
  <c r="H473" i="15"/>
  <c r="C475" i="15"/>
  <c r="H475" i="15"/>
  <c r="C473" i="15"/>
  <c r="H476" i="15"/>
  <c r="C470" i="15"/>
  <c r="C471" i="15"/>
  <c r="C472" i="15"/>
  <c r="H472" i="15"/>
  <c r="H470" i="15"/>
  <c r="H471" i="15"/>
  <c r="H465" i="15"/>
  <c r="C465" i="15"/>
  <c r="C468" i="15"/>
  <c r="H466" i="15"/>
  <c r="H467" i="15"/>
  <c r="H468" i="15"/>
  <c r="H469" i="15"/>
  <c r="C467" i="15"/>
  <c r="C469" i="15"/>
  <c r="C466" i="15"/>
  <c r="C459" i="15"/>
  <c r="H460" i="15"/>
  <c r="C460" i="15"/>
  <c r="H461" i="15"/>
  <c r="C461" i="15"/>
  <c r="H462" i="15"/>
  <c r="C462" i="15"/>
  <c r="H463" i="15"/>
  <c r="C463" i="15"/>
  <c r="H464" i="15"/>
  <c r="C458" i="15"/>
  <c r="C464" i="15"/>
  <c r="H458" i="15"/>
  <c r="H459" i="15"/>
  <c r="C454" i="15"/>
  <c r="C457" i="15"/>
  <c r="C455" i="15"/>
  <c r="H457" i="15"/>
  <c r="C456" i="15"/>
  <c r="H456" i="15"/>
  <c r="C448" i="15"/>
  <c r="H453" i="15"/>
  <c r="C449" i="15"/>
  <c r="H454" i="15"/>
  <c r="C450" i="15"/>
  <c r="H455" i="15"/>
  <c r="C452" i="15"/>
  <c r="H450" i="15"/>
  <c r="C451" i="15"/>
  <c r="H449" i="15"/>
  <c r="H451" i="15"/>
  <c r="C453" i="15"/>
  <c r="H452" i="15"/>
  <c r="C445" i="15"/>
  <c r="C446" i="15"/>
  <c r="C447" i="15"/>
  <c r="H447" i="15"/>
  <c r="H448" i="15"/>
  <c r="H446" i="15"/>
  <c r="C442" i="15"/>
  <c r="H445" i="15"/>
  <c r="C443" i="15"/>
  <c r="H443" i="15"/>
  <c r="C444" i="15"/>
  <c r="H444" i="15"/>
  <c r="C441" i="15"/>
  <c r="H442" i="15"/>
  <c r="H441" i="15"/>
  <c r="C440" i="15"/>
  <c r="H439" i="15"/>
  <c r="H440" i="15"/>
  <c r="C437" i="15"/>
  <c r="H438" i="15"/>
  <c r="C438" i="15"/>
  <c r="C439" i="15"/>
  <c r="H436" i="15"/>
  <c r="H437" i="15"/>
  <c r="C433" i="15"/>
  <c r="C435" i="15"/>
  <c r="H433" i="15"/>
  <c r="C434" i="15"/>
  <c r="H434" i="15"/>
  <c r="H435" i="15"/>
  <c r="C436" i="15"/>
  <c r="C431" i="15"/>
  <c r="C432" i="15"/>
  <c r="H431" i="15"/>
  <c r="H432" i="15"/>
  <c r="C428" i="15"/>
  <c r="C429" i="15"/>
  <c r="C430" i="15"/>
  <c r="H429" i="15"/>
  <c r="H430" i="15"/>
  <c r="C426" i="15"/>
  <c r="H428" i="15"/>
  <c r="C427" i="15"/>
  <c r="H426" i="15"/>
  <c r="H427" i="15"/>
  <c r="C425" i="15"/>
  <c r="H425" i="15"/>
  <c r="C422" i="15"/>
  <c r="C423" i="15"/>
  <c r="H423" i="15"/>
  <c r="C424" i="15"/>
  <c r="H424" i="15"/>
  <c r="C421" i="15"/>
  <c r="H422" i="15"/>
  <c r="C418" i="15"/>
  <c r="C419" i="15"/>
  <c r="H419" i="15"/>
  <c r="C420" i="15"/>
  <c r="H420" i="15"/>
  <c r="H421" i="15"/>
  <c r="C417" i="15"/>
  <c r="H418" i="15"/>
  <c r="C416" i="15"/>
  <c r="H417" i="15"/>
  <c r="H416" i="15"/>
  <c r="C415" i="15"/>
  <c r="H414" i="15"/>
  <c r="C413" i="15"/>
  <c r="C414" i="15"/>
  <c r="H415" i="15"/>
  <c r="C412" i="15"/>
  <c r="H413" i="15"/>
  <c r="H412" i="15"/>
  <c r="H411" i="15"/>
  <c r="C410" i="15"/>
  <c r="C411" i="15"/>
  <c r="H407" i="15"/>
  <c r="C409" i="15"/>
  <c r="H408" i="15"/>
  <c r="H409" i="15"/>
  <c r="H410" i="15"/>
  <c r="C407" i="15"/>
  <c r="C408" i="15"/>
  <c r="H406" i="15"/>
  <c r="C404" i="15"/>
  <c r="C405" i="15"/>
  <c r="C406" i="15"/>
  <c r="H405" i="15"/>
  <c r="C402" i="15"/>
  <c r="C403" i="15"/>
  <c r="H404" i="15"/>
  <c r="H403" i="15"/>
  <c r="H401" i="15"/>
  <c r="H402" i="15"/>
  <c r="C400" i="15"/>
  <c r="C401" i="15"/>
  <c r="C399" i="15"/>
  <c r="H400" i="15"/>
  <c r="C398" i="15"/>
  <c r="H399" i="15"/>
  <c r="C397" i="15"/>
  <c r="H398" i="15"/>
  <c r="C396" i="15"/>
  <c r="H397" i="15"/>
  <c r="H396" i="15"/>
  <c r="C394" i="15"/>
  <c r="H393" i="15"/>
  <c r="H394" i="15"/>
  <c r="C392" i="15"/>
  <c r="C393" i="15"/>
  <c r="C395" i="15"/>
  <c r="H395" i="15"/>
  <c r="H391" i="15"/>
  <c r="C390" i="15"/>
  <c r="H392" i="15"/>
  <c r="C391" i="15"/>
  <c r="C389" i="15"/>
  <c r="H390" i="15"/>
  <c r="C386" i="15"/>
  <c r="C387" i="15"/>
  <c r="C388" i="15"/>
  <c r="H387" i="15"/>
  <c r="H388" i="15"/>
  <c r="H389" i="15"/>
  <c r="C385" i="15"/>
  <c r="C384" i="15"/>
  <c r="H386" i="15"/>
  <c r="H385" i="15"/>
  <c r="C383" i="15"/>
  <c r="H382" i="15"/>
  <c r="H383" i="15"/>
  <c r="H384" i="15"/>
  <c r="C382" i="15"/>
  <c r="C381" i="15"/>
  <c r="H381" i="15"/>
  <c r="C380" i="15"/>
  <c r="C379" i="15"/>
  <c r="H380" i="15"/>
  <c r="C378" i="15"/>
  <c r="H378" i="15"/>
  <c r="H376" i="15"/>
  <c r="H377" i="15"/>
  <c r="C374" i="15"/>
  <c r="C375" i="15"/>
  <c r="H379" i="15"/>
  <c r="C376" i="15"/>
  <c r="C377" i="15"/>
  <c r="C372" i="15"/>
  <c r="C373" i="15"/>
  <c r="H374" i="15"/>
  <c r="H373" i="15"/>
  <c r="H375" i="15"/>
  <c r="C371" i="15"/>
  <c r="H372" i="15"/>
  <c r="C370" i="15"/>
  <c r="H371" i="15"/>
  <c r="H368" i="15"/>
  <c r="H369" i="15"/>
  <c r="H370" i="15"/>
  <c r="C367" i="15"/>
  <c r="C368" i="15"/>
  <c r="C369" i="15"/>
  <c r="C366" i="15"/>
  <c r="H367" i="15"/>
  <c r="H366" i="15"/>
  <c r="C365" i="15"/>
  <c r="C364" i="15"/>
  <c r="H365" i="15"/>
  <c r="H364" i="15"/>
  <c r="C363" i="15"/>
  <c r="C362" i="15"/>
  <c r="H363" i="15"/>
  <c r="C360" i="15"/>
  <c r="H361" i="15"/>
  <c r="C361" i="15"/>
  <c r="H362" i="15"/>
  <c r="H360" i="15"/>
  <c r="C359" i="15"/>
  <c r="C357" i="15"/>
  <c r="H358" i="15"/>
  <c r="C358" i="15"/>
  <c r="H359" i="15"/>
  <c r="H357" i="15"/>
  <c r="C356" i="15"/>
  <c r="H356" i="15"/>
  <c r="C355" i="15"/>
  <c r="C353" i="15"/>
  <c r="C354" i="15"/>
  <c r="H354" i="15"/>
  <c r="H355" i="15"/>
  <c r="H353" i="15"/>
  <c r="C350" i="15"/>
  <c r="H351" i="15"/>
  <c r="C351" i="15"/>
  <c r="H352" i="15"/>
  <c r="C352" i="15"/>
  <c r="H350" i="15"/>
  <c r="C349" i="15"/>
  <c r="H349" i="15"/>
  <c r="C346" i="15"/>
  <c r="C347" i="15"/>
  <c r="H347" i="15"/>
  <c r="C348" i="15"/>
  <c r="H348" i="15"/>
  <c r="C344" i="15"/>
  <c r="C345" i="15"/>
  <c r="H345" i="15"/>
  <c r="H346" i="15"/>
  <c r="C341" i="15"/>
  <c r="C342" i="15"/>
  <c r="C343" i="15"/>
  <c r="H343" i="15"/>
  <c r="H344" i="15"/>
  <c r="H342" i="15"/>
  <c r="C340" i="15"/>
  <c r="H341" i="15"/>
  <c r="H340" i="15"/>
  <c r="C339" i="15"/>
  <c r="C338" i="15"/>
  <c r="H338" i="15"/>
  <c r="H339" i="15"/>
  <c r="C337" i="15"/>
  <c r="H336" i="15"/>
  <c r="H337" i="15"/>
  <c r="C335" i="15"/>
  <c r="C336" i="15"/>
  <c r="H335" i="15"/>
  <c r="C334" i="15"/>
  <c r="C333" i="15"/>
  <c r="H334" i="15"/>
  <c r="H333" i="15"/>
  <c r="C332" i="15"/>
  <c r="C331" i="15"/>
  <c r="H332" i="15"/>
  <c r="C330" i="15"/>
  <c r="H330" i="15"/>
  <c r="H331" i="15"/>
  <c r="C328" i="15"/>
  <c r="C329" i="15"/>
  <c r="H329" i="15"/>
  <c r="C326" i="15"/>
  <c r="H327" i="15"/>
  <c r="C327" i="15"/>
  <c r="H328" i="15"/>
  <c r="C324" i="15"/>
  <c r="C325" i="15"/>
  <c r="H325" i="15"/>
  <c r="H326" i="15"/>
  <c r="C322" i="15"/>
  <c r="C323" i="15"/>
  <c r="H323" i="15"/>
  <c r="H324" i="15"/>
  <c r="C320" i="15"/>
  <c r="H320" i="15"/>
  <c r="C321" i="15"/>
  <c r="H321" i="15"/>
  <c r="H322" i="15"/>
  <c r="H315" i="15"/>
  <c r="C315" i="15"/>
  <c r="C314" i="15"/>
  <c r="H314" i="15"/>
  <c r="C134" i="15"/>
  <c r="H134" i="15"/>
  <c r="C316" i="15"/>
  <c r="C132" i="15"/>
  <c r="H132" i="15"/>
  <c r="H316" i="15"/>
  <c r="C129" i="15"/>
  <c r="H129" i="15"/>
  <c r="C313" i="15"/>
  <c r="C312" i="15"/>
  <c r="H313" i="15"/>
  <c r="H312" i="15"/>
  <c r="H311" i="15"/>
  <c r="C311" i="15"/>
  <c r="C310" i="15"/>
  <c r="H310" i="15"/>
  <c r="H309" i="15"/>
  <c r="C309" i="15"/>
  <c r="C308" i="15"/>
  <c r="H308" i="15"/>
  <c r="C305" i="15"/>
  <c r="H305" i="15"/>
  <c r="C516" i="15"/>
  <c r="O7" i="21"/>
  <c r="C47" i="15"/>
  <c r="H516" i="15"/>
  <c r="H47" i="15"/>
  <c r="C304" i="15"/>
  <c r="C303" i="15"/>
  <c r="H304" i="15"/>
  <c r="H303" i="15"/>
  <c r="C302" i="15"/>
  <c r="H302" i="15"/>
  <c r="C301" i="15"/>
  <c r="H301" i="15"/>
  <c r="C300" i="15"/>
  <c r="H300" i="15"/>
  <c r="H297" i="15"/>
  <c r="H298" i="15"/>
  <c r="C298" i="15"/>
  <c r="H299" i="15"/>
  <c r="C297" i="15"/>
  <c r="C299" i="15"/>
  <c r="C296" i="15"/>
  <c r="H296" i="15"/>
  <c r="C293" i="15"/>
  <c r="C294" i="15"/>
  <c r="H295" i="15"/>
  <c r="C295" i="15"/>
  <c r="H293" i="15"/>
  <c r="H294" i="15"/>
  <c r="C291" i="15"/>
  <c r="C292" i="15"/>
  <c r="H292" i="15"/>
  <c r="H291" i="15"/>
  <c r="C288" i="15"/>
  <c r="C289" i="15"/>
  <c r="C290" i="15"/>
  <c r="H290" i="15"/>
  <c r="H289" i="15"/>
  <c r="C287" i="15"/>
  <c r="H288" i="15"/>
  <c r="C285" i="15"/>
  <c r="C286" i="15"/>
  <c r="H287" i="15"/>
  <c r="H286" i="15"/>
  <c r="H285" i="15"/>
  <c r="C282" i="15"/>
  <c r="C283" i="15"/>
  <c r="C284" i="15"/>
  <c r="H284" i="15"/>
  <c r="H283" i="15"/>
  <c r="H282" i="15"/>
  <c r="C281" i="15"/>
  <c r="C280" i="15"/>
  <c r="H281" i="15"/>
  <c r="H280" i="15"/>
  <c r="C279" i="15"/>
  <c r="H279" i="15"/>
  <c r="H278" i="15"/>
  <c r="C277" i="15"/>
  <c r="C278" i="15"/>
  <c r="H277" i="15"/>
  <c r="C275" i="15"/>
  <c r="H276" i="15"/>
  <c r="C276" i="15"/>
  <c r="H275" i="15"/>
  <c r="C273" i="15"/>
  <c r="C274" i="15"/>
  <c r="H274" i="15"/>
  <c r="C272" i="15"/>
  <c r="H273" i="15"/>
  <c r="H272" i="15"/>
  <c r="H271" i="15"/>
  <c r="C271" i="15"/>
  <c r="C270" i="15"/>
  <c r="H270" i="15"/>
  <c r="H269" i="15"/>
  <c r="C269" i="15"/>
  <c r="C267" i="15"/>
  <c r="H268" i="15"/>
  <c r="C268" i="15"/>
  <c r="H267" i="15"/>
  <c r="C264" i="15"/>
  <c r="H266" i="15"/>
  <c r="C265" i="15"/>
  <c r="C266" i="15"/>
  <c r="H265" i="15"/>
  <c r="H264" i="15"/>
  <c r="H263" i="15"/>
  <c r="C263" i="15"/>
  <c r="K6" i="7"/>
  <c r="L6" i="7" s="1"/>
  <c r="H262" i="15"/>
  <c r="C262" i="15"/>
  <c r="C261" i="15"/>
  <c r="H261" i="15"/>
  <c r="C260" i="15"/>
  <c r="H260" i="15"/>
  <c r="C149" i="15"/>
  <c r="C209" i="15"/>
  <c r="C211" i="15"/>
  <c r="C218" i="15"/>
  <c r="H151" i="15"/>
  <c r="H115" i="15"/>
  <c r="C259" i="15"/>
  <c r="H259" i="15"/>
  <c r="H249" i="15"/>
  <c r="H81" i="15"/>
  <c r="C240" i="15"/>
  <c r="C237" i="15"/>
  <c r="H218" i="15"/>
  <c r="C162" i="15"/>
  <c r="H258" i="15"/>
  <c r="C258" i="15"/>
  <c r="H231" i="15"/>
  <c r="C196" i="15"/>
  <c r="C113" i="15"/>
  <c r="C68" i="15"/>
  <c r="H54" i="15"/>
  <c r="H57" i="15"/>
  <c r="C199" i="15"/>
  <c r="H87" i="15"/>
  <c r="H142" i="15"/>
  <c r="H71" i="15"/>
  <c r="C19" i="15"/>
  <c r="C101" i="15"/>
  <c r="C13" i="15"/>
  <c r="C238" i="15"/>
  <c r="C147" i="15"/>
  <c r="H114" i="15"/>
  <c r="C14" i="15"/>
  <c r="H181" i="15"/>
  <c r="H154" i="15"/>
  <c r="H155" i="15"/>
  <c r="H513" i="15"/>
  <c r="H237" i="15"/>
  <c r="H7" i="15"/>
  <c r="C61" i="15"/>
  <c r="C73" i="15"/>
  <c r="C102" i="15"/>
  <c r="C81" i="15"/>
  <c r="H91" i="15"/>
  <c r="H73" i="15"/>
  <c r="H74" i="15"/>
  <c r="H130" i="15"/>
  <c r="H219" i="15"/>
  <c r="C249" i="15"/>
  <c r="H161" i="15"/>
  <c r="H58" i="15"/>
  <c r="H98" i="15"/>
  <c r="H123" i="15"/>
  <c r="H63" i="15"/>
  <c r="C170" i="15"/>
  <c r="C70" i="15"/>
  <c r="C26" i="15"/>
  <c r="H13" i="15"/>
  <c r="C112" i="15"/>
  <c r="C188" i="15"/>
  <c r="H222" i="15"/>
  <c r="C88" i="15"/>
  <c r="C185" i="15"/>
  <c r="H221" i="15"/>
  <c r="H36" i="15"/>
  <c r="C45" i="15"/>
  <c r="C22" i="15"/>
  <c r="C35" i="15"/>
  <c r="C142" i="15"/>
  <c r="H93" i="15"/>
  <c r="C123" i="15"/>
  <c r="H193" i="15"/>
  <c r="C105" i="15"/>
  <c r="H75" i="15"/>
  <c r="H226" i="15"/>
  <c r="H99" i="15"/>
  <c r="H109" i="15"/>
  <c r="H39" i="15"/>
  <c r="C319" i="15"/>
  <c r="H127" i="15"/>
  <c r="C43" i="15"/>
  <c r="C6" i="15"/>
  <c r="C84" i="15"/>
  <c r="H153" i="15"/>
  <c r="H67" i="15"/>
  <c r="H35" i="15"/>
  <c r="H119" i="15"/>
  <c r="C5" i="15"/>
  <c r="H229" i="15"/>
  <c r="C85" i="15"/>
  <c r="H40" i="15"/>
  <c r="C93" i="15"/>
  <c r="H248" i="15"/>
  <c r="H170" i="15"/>
  <c r="H121" i="15"/>
  <c r="C133" i="15"/>
  <c r="H173" i="15"/>
  <c r="C219" i="15"/>
  <c r="C32" i="15"/>
  <c r="C194" i="15"/>
  <c r="C513" i="15"/>
  <c r="C233" i="15"/>
  <c r="C221" i="15"/>
  <c r="C192" i="15"/>
  <c r="C256" i="15"/>
  <c r="C257" i="15"/>
  <c r="H257" i="15"/>
  <c r="H256" i="15"/>
  <c r="K150" i="7"/>
  <c r="L150" i="7" s="1"/>
  <c r="R45" i="7"/>
  <c r="Z45" i="7" s="1"/>
  <c r="H255" i="15"/>
  <c r="C255" i="15"/>
  <c r="C239" i="15"/>
  <c r="H216" i="15"/>
  <c r="C214" i="15"/>
  <c r="C517" i="15"/>
  <c r="C44" i="15"/>
  <c r="H4" i="15"/>
  <c r="C216" i="15"/>
  <c r="C116" i="15"/>
  <c r="C77" i="15"/>
  <c r="H177" i="15"/>
  <c r="H223" i="15"/>
  <c r="H145" i="15"/>
  <c r="C50" i="15"/>
  <c r="H113" i="15"/>
  <c r="C7" i="15"/>
  <c r="C161" i="15"/>
  <c r="H84" i="15"/>
  <c r="C231" i="15"/>
  <c r="C204" i="15"/>
  <c r="H140" i="15"/>
  <c r="H97" i="15"/>
  <c r="H319" i="15"/>
  <c r="H27" i="15"/>
  <c r="C145" i="15"/>
  <c r="C33" i="15"/>
  <c r="H42" i="15"/>
  <c r="C28" i="15"/>
  <c r="H188" i="15"/>
  <c r="H16" i="15"/>
  <c r="C197" i="15"/>
  <c r="C119" i="15"/>
  <c r="C15" i="15"/>
  <c r="R10" i="7"/>
  <c r="Z10" i="7" s="1"/>
  <c r="R61" i="7"/>
  <c r="Z61" i="7" s="1"/>
  <c r="R75" i="7"/>
  <c r="Z75" i="7" s="1"/>
  <c r="R85" i="7"/>
  <c r="Z85" i="7" s="1"/>
  <c r="R76" i="7"/>
  <c r="Z76" i="7" s="1"/>
  <c r="R17" i="7"/>
  <c r="Z17" i="7" s="1"/>
  <c r="R41" i="7"/>
  <c r="Z41" i="7" s="1"/>
  <c r="R55" i="7"/>
  <c r="Z55" i="7" s="1"/>
  <c r="R60" i="7"/>
  <c r="Z60" i="7" s="1"/>
  <c r="R71" i="7"/>
  <c r="Z71" i="7" s="1"/>
  <c r="R16" i="7"/>
  <c r="Z16" i="7" s="1"/>
  <c r="R27" i="7"/>
  <c r="Z27" i="7" s="1"/>
  <c r="R21" i="7"/>
  <c r="Z21" i="7" s="1"/>
  <c r="R79" i="7"/>
  <c r="Z79" i="7" s="1"/>
  <c r="R58" i="7"/>
  <c r="Z58" i="7" s="1"/>
  <c r="R52" i="7"/>
  <c r="Z52" i="7" s="1"/>
  <c r="R13" i="7"/>
  <c r="Z13" i="7" s="1"/>
  <c r="R31" i="7"/>
  <c r="Z31" i="7" s="1"/>
  <c r="R9" i="7"/>
  <c r="Z9" i="7" s="1"/>
  <c r="R43" i="7"/>
  <c r="Z43" i="7" s="1"/>
  <c r="R39" i="7"/>
  <c r="Z39" i="7" s="1"/>
  <c r="R42" i="7"/>
  <c r="Z42" i="7" s="1"/>
  <c r="R19" i="7"/>
  <c r="Z19" i="7" s="1"/>
  <c r="R4" i="7"/>
  <c r="Z4" i="7" s="1"/>
  <c r="R66" i="7"/>
  <c r="Z66" i="7" s="1"/>
  <c r="R70" i="7"/>
  <c r="Z70" i="7" s="1"/>
  <c r="R53" i="7"/>
  <c r="Z53" i="7" s="1"/>
  <c r="R29" i="7"/>
  <c r="Z29" i="7" s="1"/>
  <c r="R49" i="7"/>
  <c r="Z49" i="7" s="1"/>
  <c r="R77" i="7"/>
  <c r="Z77" i="7" s="1"/>
  <c r="R80" i="7"/>
  <c r="Z80" i="7" s="1"/>
  <c r="R12" i="7"/>
  <c r="Z12" i="7" s="1"/>
  <c r="R36" i="7"/>
  <c r="Z36" i="7" s="1"/>
  <c r="R59" i="7"/>
  <c r="Z59" i="7" s="1"/>
  <c r="R14" i="7"/>
  <c r="Z14" i="7" s="1"/>
  <c r="R28" i="7"/>
  <c r="Z28" i="7" s="1"/>
  <c r="R22" i="7"/>
  <c r="Z22" i="7" s="1"/>
  <c r="R6" i="7"/>
  <c r="Z6" i="7" s="1"/>
  <c r="R48" i="7"/>
  <c r="Z48" i="7" s="1"/>
  <c r="R78" i="7"/>
  <c r="Z78" i="7" s="1"/>
  <c r="R67" i="7"/>
  <c r="Z67" i="7" s="1"/>
  <c r="R86" i="7"/>
  <c r="Z86" i="7" s="1"/>
  <c r="R33" i="7"/>
  <c r="Z33" i="7" s="1"/>
  <c r="R73" i="7"/>
  <c r="Z73" i="7" s="1"/>
  <c r="R8" i="7"/>
  <c r="Z8" i="7" s="1"/>
  <c r="R74" i="7"/>
  <c r="Z74" i="7" s="1"/>
  <c r="R26" i="7"/>
  <c r="Z26" i="7" s="1"/>
  <c r="R38" i="7"/>
  <c r="Z38" i="7" s="1"/>
  <c r="R18" i="7"/>
  <c r="Z18" i="7" s="1"/>
  <c r="R57" i="7"/>
  <c r="Z57" i="7" s="1"/>
  <c r="R51" i="7"/>
  <c r="Z51" i="7" s="1"/>
  <c r="R62" i="7"/>
  <c r="Z62" i="7" s="1"/>
  <c r="R23" i="7"/>
  <c r="Z23" i="7" s="1"/>
  <c r="C253" i="15"/>
  <c r="C254" i="15"/>
  <c r="H254" i="15"/>
  <c r="C135" i="15"/>
  <c r="C83" i="15"/>
  <c r="C167" i="15"/>
  <c r="C17" i="15"/>
  <c r="H92" i="15"/>
  <c r="H162" i="15"/>
  <c r="H180" i="15"/>
  <c r="H220" i="15"/>
  <c r="H77" i="15"/>
  <c r="H227" i="15"/>
  <c r="C38" i="15"/>
  <c r="H135" i="15"/>
  <c r="H110" i="15"/>
  <c r="H9" i="15"/>
  <c r="C171" i="15"/>
  <c r="C16" i="15"/>
  <c r="C69" i="15"/>
  <c r="C8" i="15"/>
  <c r="H94" i="15"/>
  <c r="C107" i="15"/>
  <c r="C248" i="15"/>
  <c r="H232" i="15"/>
  <c r="C140" i="15"/>
  <c r="C213" i="15"/>
  <c r="C27" i="15"/>
  <c r="C138" i="15"/>
  <c r="C23" i="15"/>
  <c r="C21" i="15"/>
  <c r="H17" i="15"/>
  <c r="C82" i="15"/>
  <c r="C210" i="15"/>
  <c r="H217" i="15"/>
  <c r="H86" i="15"/>
  <c r="C90" i="15"/>
  <c r="H147" i="15"/>
  <c r="C79" i="15"/>
  <c r="H85" i="15"/>
  <c r="H169" i="15"/>
  <c r="C130" i="15"/>
  <c r="C128" i="15"/>
  <c r="H200" i="15"/>
  <c r="C124" i="15"/>
  <c r="H46" i="15"/>
  <c r="R65" i="7"/>
  <c r="Z65" i="7" s="1"/>
  <c r="R82" i="7"/>
  <c r="Z82" i="7" s="1"/>
  <c r="R56" i="7"/>
  <c r="Z56" i="7" s="1"/>
  <c r="R34" i="7"/>
  <c r="Z34" i="7" s="1"/>
  <c r="R81" i="7"/>
  <c r="Z81" i="7" s="1"/>
  <c r="R44" i="7"/>
  <c r="Z44" i="7" s="1"/>
  <c r="R40" i="7"/>
  <c r="Z40" i="7" s="1"/>
  <c r="R30" i="7"/>
  <c r="Z30" i="7" s="1"/>
  <c r="R63" i="7"/>
  <c r="Z63" i="7" s="1"/>
  <c r="R50" i="7"/>
  <c r="Z50" i="7" s="1"/>
  <c r="R84" i="7"/>
  <c r="Z84" i="7" s="1"/>
  <c r="R46" i="7"/>
  <c r="Z46" i="7" s="1"/>
  <c r="R37" i="7"/>
  <c r="Z37" i="7" s="1"/>
  <c r="R11" i="7"/>
  <c r="Z11" i="7" s="1"/>
  <c r="R15" i="7"/>
  <c r="Z15" i="7" s="1"/>
  <c r="R5" i="7"/>
  <c r="Z5" i="7" s="1"/>
  <c r="R89" i="7"/>
  <c r="Z89" i="7" s="1"/>
  <c r="R69" i="7"/>
  <c r="Z69" i="7" s="1"/>
  <c r="R88" i="7"/>
  <c r="Z88" i="7" s="1"/>
  <c r="R35" i="7"/>
  <c r="Z35" i="7" s="1"/>
  <c r="H253" i="15"/>
  <c r="K2" i="22"/>
  <c r="H28" i="15"/>
  <c r="H159" i="15"/>
  <c r="H12" i="15"/>
  <c r="H234" i="15"/>
  <c r="H49" i="15"/>
  <c r="C92" i="15"/>
  <c r="C163" i="15"/>
  <c r="H225" i="15"/>
  <c r="H55" i="15"/>
  <c r="H126" i="15"/>
  <c r="H5" i="15"/>
  <c r="H157" i="15"/>
  <c r="C243" i="15"/>
  <c r="H156" i="15"/>
  <c r="H80" i="15"/>
  <c r="C71" i="15"/>
  <c r="H72" i="15"/>
  <c r="C226" i="15"/>
  <c r="C95" i="15"/>
  <c r="C225" i="15"/>
  <c r="H33" i="15"/>
  <c r="H11" i="15"/>
  <c r="H213" i="15"/>
  <c r="C46" i="15"/>
  <c r="H131" i="15"/>
  <c r="H107" i="15"/>
  <c r="H244" i="15"/>
  <c r="H204" i="15"/>
  <c r="C114" i="15"/>
  <c r="H165" i="15"/>
  <c r="C183" i="15"/>
  <c r="H241" i="15"/>
  <c r="C72" i="15"/>
  <c r="H233" i="15"/>
  <c r="C115" i="15"/>
  <c r="H176" i="15"/>
  <c r="C30" i="15"/>
  <c r="C215" i="15"/>
  <c r="H178" i="15"/>
  <c r="C195" i="15"/>
  <c r="C235" i="15"/>
  <c r="C200" i="15"/>
  <c r="H146" i="15"/>
  <c r="H206" i="15"/>
  <c r="C144" i="15"/>
  <c r="C24" i="15"/>
  <c r="C207" i="15"/>
  <c r="H102" i="15"/>
  <c r="H104" i="15"/>
  <c r="H148" i="15"/>
  <c r="H23" i="15"/>
  <c r="C244" i="15"/>
  <c r="H242" i="15"/>
  <c r="H78" i="15"/>
  <c r="H205" i="15"/>
  <c r="H212" i="15"/>
  <c r="C177" i="15"/>
  <c r="C117" i="15"/>
  <c r="C146" i="15"/>
  <c r="C208" i="15"/>
  <c r="H120" i="15"/>
  <c r="C202" i="15"/>
  <c r="H517" i="15"/>
  <c r="H182" i="15"/>
  <c r="C11" i="15"/>
  <c r="C54" i="15"/>
  <c r="H245" i="15"/>
  <c r="H29" i="15"/>
  <c r="H34" i="15"/>
  <c r="C31" i="15"/>
  <c r="C139" i="15"/>
  <c r="C60" i="15"/>
  <c r="H105" i="15"/>
  <c r="C53" i="15"/>
  <c r="H150" i="15"/>
  <c r="H125" i="15"/>
  <c r="H82" i="15"/>
  <c r="C39" i="15"/>
  <c r="C166" i="15"/>
  <c r="C178" i="15"/>
  <c r="C98" i="15"/>
  <c r="H197" i="15"/>
  <c r="H166" i="15"/>
  <c r="H189" i="15"/>
  <c r="H138" i="15"/>
  <c r="C152" i="15"/>
  <c r="H203" i="15"/>
  <c r="H128" i="15"/>
  <c r="C91" i="15"/>
  <c r="C222" i="15"/>
  <c r="H179" i="15"/>
  <c r="H15" i="15"/>
  <c r="C182" i="15"/>
  <c r="H143" i="15"/>
  <c r="H69" i="15"/>
  <c r="H519" i="15"/>
  <c r="H202" i="15"/>
  <c r="H111" i="15"/>
  <c r="C159" i="15"/>
  <c r="H103" i="15"/>
  <c r="C75" i="15"/>
  <c r="C168" i="15"/>
  <c r="H25" i="15"/>
  <c r="C148" i="15"/>
  <c r="H136" i="15"/>
  <c r="H228" i="15"/>
  <c r="C212" i="15"/>
  <c r="H194" i="15"/>
  <c r="H247" i="15"/>
  <c r="H101" i="15"/>
  <c r="C131" i="15"/>
  <c r="C121" i="15"/>
  <c r="H19" i="15"/>
  <c r="H171" i="15"/>
  <c r="C118" i="15"/>
  <c r="H184" i="15"/>
  <c r="H246" i="15"/>
  <c r="H164" i="15"/>
  <c r="C176" i="15"/>
  <c r="C110" i="15"/>
  <c r="C76" i="15"/>
  <c r="H96" i="15"/>
  <c r="H66" i="15"/>
  <c r="C165" i="15"/>
  <c r="H124" i="15"/>
  <c r="H88" i="15"/>
  <c r="H118" i="15"/>
  <c r="H26" i="15"/>
  <c r="H8" i="15"/>
  <c r="H211" i="15"/>
  <c r="C89" i="15"/>
  <c r="H238" i="15"/>
  <c r="C29" i="15"/>
  <c r="C234" i="15"/>
  <c r="C198" i="15"/>
  <c r="C230" i="15"/>
  <c r="C59" i="15"/>
  <c r="C120" i="15"/>
  <c r="C241" i="15"/>
  <c r="H133" i="15"/>
  <c r="H235" i="15"/>
  <c r="C141" i="15"/>
  <c r="C223" i="15"/>
  <c r="H68" i="15"/>
  <c r="H168" i="15"/>
  <c r="C201" i="15"/>
  <c r="C65" i="15"/>
  <c r="C40" i="15"/>
  <c r="H122" i="15"/>
  <c r="C229" i="15"/>
  <c r="C217" i="15"/>
  <c r="C87" i="15"/>
  <c r="H61" i="15"/>
  <c r="H83" i="15"/>
  <c r="H30" i="15"/>
  <c r="H21" i="15"/>
  <c r="H144" i="15"/>
  <c r="H141" i="15"/>
  <c r="H515" i="15"/>
  <c r="H56" i="15"/>
  <c r="H214" i="15"/>
  <c r="H106" i="15"/>
  <c r="C151" i="15"/>
  <c r="H230" i="15"/>
  <c r="H187" i="15"/>
  <c r="C100" i="15"/>
  <c r="C247" i="15"/>
  <c r="H45" i="15"/>
  <c r="C160" i="15"/>
  <c r="H174" i="15"/>
  <c r="H70" i="15"/>
  <c r="C157" i="15"/>
  <c r="H18" i="15"/>
  <c r="R47" i="7"/>
  <c r="Z47" i="7" s="1"/>
  <c r="R68" i="7"/>
  <c r="Z68" i="7" s="1"/>
  <c r="R25" i="7"/>
  <c r="Z25" i="7" s="1"/>
  <c r="R54" i="7"/>
  <c r="Z54" i="7" s="1"/>
  <c r="R83" i="7"/>
  <c r="Z83" i="7" s="1"/>
  <c r="R20" i="7"/>
  <c r="Z20" i="7" s="1"/>
  <c r="R64" i="7"/>
  <c r="Z64" i="7" s="1"/>
  <c r="C99" i="15"/>
  <c r="H112" i="15"/>
  <c r="C150" i="15"/>
  <c r="H20" i="15"/>
  <c r="C97" i="15"/>
  <c r="C86" i="15"/>
  <c r="C173" i="15"/>
  <c r="H14" i="15"/>
  <c r="H50" i="15"/>
  <c r="C232" i="15"/>
  <c r="H44" i="15"/>
  <c r="H76" i="15"/>
  <c r="H195" i="15"/>
  <c r="C41" i="15"/>
  <c r="C109" i="15"/>
  <c r="H207" i="15"/>
  <c r="C104" i="15"/>
  <c r="H37" i="15"/>
  <c r="H185" i="15"/>
  <c r="C106" i="15"/>
  <c r="C236" i="15"/>
  <c r="C246" i="15"/>
  <c r="H243" i="15"/>
  <c r="C251" i="15"/>
  <c r="C252" i="15"/>
  <c r="C42" i="15"/>
  <c r="C64" i="15"/>
  <c r="C203" i="15"/>
  <c r="H240" i="15"/>
  <c r="C51" i="15"/>
  <c r="H152" i="15"/>
  <c r="C156" i="15"/>
  <c r="C74" i="15"/>
  <c r="C20" i="15"/>
  <c r="H215" i="15"/>
  <c r="H236" i="15"/>
  <c r="C137" i="15"/>
  <c r="H163" i="15"/>
  <c r="H89" i="15"/>
  <c r="C190" i="15"/>
  <c r="C63" i="15"/>
  <c r="C158" i="15"/>
  <c r="C12" i="15"/>
  <c r="H160" i="15"/>
  <c r="H100" i="15"/>
  <c r="C25" i="15"/>
  <c r="C154" i="15"/>
  <c r="C126" i="15"/>
  <c r="H137" i="15"/>
  <c r="C206" i="15"/>
  <c r="C193" i="15"/>
  <c r="C37" i="15"/>
  <c r="C242" i="15"/>
  <c r="H252" i="15"/>
  <c r="C181" i="15"/>
  <c r="H198" i="15"/>
  <c r="C122" i="15"/>
  <c r="C515" i="15"/>
  <c r="H239" i="15"/>
  <c r="H22" i="15"/>
  <c r="C36" i="15"/>
  <c r="H224" i="15"/>
  <c r="C191" i="15"/>
  <c r="H43" i="15"/>
  <c r="H167" i="15"/>
  <c r="C189" i="15"/>
  <c r="C169" i="15"/>
  <c r="H51" i="15"/>
  <c r="C228" i="15"/>
  <c r="C80" i="15"/>
  <c r="C205" i="15"/>
  <c r="R24" i="7"/>
  <c r="Z24" i="7" s="1"/>
  <c r="R72" i="7"/>
  <c r="Z72" i="7" s="1"/>
  <c r="R7" i="7"/>
  <c r="Z7" i="7" s="1"/>
  <c r="K4" i="22"/>
  <c r="K8" i="21"/>
  <c r="H250" i="15"/>
  <c r="B3" i="15"/>
  <c r="Q3" i="7"/>
  <c r="R3" i="7" s="1"/>
  <c r="Z3" i="7" s="1"/>
  <c r="H12" i="8"/>
  <c r="H13" i="8" s="1"/>
  <c r="G12" i="8"/>
  <c r="G13" i="8" s="1"/>
  <c r="G15" i="8" s="1"/>
  <c r="H251" i="15"/>
  <c r="H201" i="15"/>
  <c r="C127" i="15"/>
  <c r="C186" i="15"/>
  <c r="H183" i="15"/>
  <c r="C224" i="15"/>
  <c r="H79" i="15"/>
  <c r="C153" i="15"/>
  <c r="H53" i="15"/>
  <c r="C184" i="15"/>
  <c r="C125" i="15"/>
  <c r="C155" i="15"/>
  <c r="C179" i="15"/>
  <c r="H139" i="15"/>
  <c r="C164" i="15"/>
  <c r="C62" i="15"/>
  <c r="C94" i="15"/>
  <c r="H65" i="15"/>
  <c r="H186" i="15"/>
  <c r="H59" i="15"/>
  <c r="H149" i="15"/>
  <c r="H199" i="15"/>
  <c r="C58" i="15"/>
  <c r="H208" i="15"/>
  <c r="C245" i="15"/>
  <c r="C34" i="15"/>
  <c r="C56" i="15"/>
  <c r="H117" i="15"/>
  <c r="H192" i="15"/>
  <c r="C78" i="15"/>
  <c r="H209" i="15"/>
  <c r="H41" i="15"/>
  <c r="C57" i="15"/>
  <c r="H6" i="15"/>
  <c r="C172" i="15"/>
  <c r="C66" i="15"/>
  <c r="C143" i="15"/>
  <c r="H191" i="15"/>
  <c r="H60" i="15"/>
  <c r="H158" i="15"/>
  <c r="H190" i="15"/>
  <c r="H210" i="15"/>
  <c r="C4" i="15"/>
  <c r="H10" i="15"/>
  <c r="H175" i="15"/>
  <c r="H52" i="15"/>
  <c r="C96" i="15"/>
  <c r="H38" i="15"/>
  <c r="C175" i="15"/>
  <c r="C180" i="15"/>
  <c r="C10" i="15"/>
  <c r="C55" i="15"/>
  <c r="H64" i="15"/>
  <c r="H32" i="15"/>
  <c r="C9" i="15"/>
  <c r="C250" i="15"/>
  <c r="H95" i="15"/>
  <c r="C111" i="15"/>
  <c r="H24" i="15"/>
  <c r="C187" i="15"/>
  <c r="C52" i="15"/>
  <c r="C220" i="15"/>
  <c r="C49" i="15"/>
  <c r="H172" i="15"/>
  <c r="H116" i="15"/>
  <c r="H108" i="15"/>
  <c r="C227" i="15"/>
  <c r="H196" i="15"/>
  <c r="H31" i="15"/>
  <c r="H90" i="15"/>
  <c r="C67" i="15"/>
  <c r="C103" i="15"/>
  <c r="C136" i="15"/>
  <c r="C18" i="15"/>
  <c r="H62" i="15"/>
  <c r="C174" i="15"/>
  <c r="C108" i="15"/>
  <c r="K5" i="21"/>
  <c r="K6" i="21"/>
  <c r="K4" i="21"/>
  <c r="S881" i="7" l="1"/>
  <c r="R884" i="15"/>
  <c r="Q884" i="15"/>
  <c r="P884" i="15"/>
  <c r="O884" i="15"/>
  <c r="N884" i="15"/>
  <c r="Y884" i="15" s="1"/>
  <c r="M884" i="15"/>
  <c r="Z884" i="15" s="1"/>
  <c r="L884" i="15"/>
  <c r="K884" i="15"/>
  <c r="G884" i="15"/>
  <c r="J884" i="15" a="1"/>
  <c r="J884" i="15" s="1"/>
  <c r="I884" i="15"/>
  <c r="R882" i="15"/>
  <c r="Q882" i="15"/>
  <c r="P882" i="15"/>
  <c r="O882" i="15"/>
  <c r="N882" i="15"/>
  <c r="M882" i="15"/>
  <c r="Z882" i="15" s="1"/>
  <c r="L882" i="15"/>
  <c r="K882" i="15"/>
  <c r="J882" i="15" a="1"/>
  <c r="J882" i="15" s="1"/>
  <c r="I882" i="15"/>
  <c r="G882" i="15"/>
  <c r="R883" i="15"/>
  <c r="Q883" i="15"/>
  <c r="P883" i="15"/>
  <c r="O883" i="15"/>
  <c r="N883" i="15"/>
  <c r="M883" i="15"/>
  <c r="L883" i="15"/>
  <c r="K883" i="15"/>
  <c r="J883" i="15" a="1"/>
  <c r="J883" i="15" s="1"/>
  <c r="I883" i="15"/>
  <c r="G883" i="15"/>
  <c r="Z882" i="7"/>
  <c r="V882" i="7" a="1"/>
  <c r="V882" i="7" s="1"/>
  <c r="S882" i="7"/>
  <c r="V883" i="7" a="1"/>
  <c r="V883" i="7" s="1"/>
  <c r="Z883" i="7"/>
  <c r="S883" i="7"/>
  <c r="J881" i="15" a="1"/>
  <c r="J881" i="15" s="1"/>
  <c r="I881" i="15"/>
  <c r="Q881" i="15"/>
  <c r="O881" i="15"/>
  <c r="N881" i="15"/>
  <c r="L881" i="15"/>
  <c r="K881" i="15"/>
  <c r="R881" i="15"/>
  <c r="P881" i="15"/>
  <c r="M881" i="15"/>
  <c r="G881" i="15"/>
  <c r="R879" i="15"/>
  <c r="Q879" i="15"/>
  <c r="P879" i="15"/>
  <c r="O879" i="15"/>
  <c r="N879" i="15"/>
  <c r="M879" i="15"/>
  <c r="Z879" i="15" s="1"/>
  <c r="K879" i="15"/>
  <c r="L879" i="15"/>
  <c r="J879" i="15" a="1"/>
  <c r="J879" i="15" s="1"/>
  <c r="I879" i="15"/>
  <c r="G879" i="15"/>
  <c r="J880" i="15" a="1"/>
  <c r="J880" i="15" s="1"/>
  <c r="I880" i="15"/>
  <c r="G880" i="15"/>
  <c r="R880" i="15"/>
  <c r="P880" i="15"/>
  <c r="N880" i="15"/>
  <c r="M880" i="15"/>
  <c r="L880" i="15"/>
  <c r="K880" i="15"/>
  <c r="O880" i="15"/>
  <c r="Q880" i="15"/>
  <c r="Z879" i="7"/>
  <c r="V879" i="7" a="1"/>
  <c r="V879" i="7" s="1"/>
  <c r="S879" i="7"/>
  <c r="Z880" i="7"/>
  <c r="V880" i="7" a="1"/>
  <c r="V880" i="7" s="1"/>
  <c r="S880" i="7"/>
  <c r="Q877" i="15"/>
  <c r="P877" i="15"/>
  <c r="O877" i="15"/>
  <c r="N877" i="15"/>
  <c r="Y877" i="15" s="1"/>
  <c r="M877" i="15"/>
  <c r="Z877" i="15" s="1"/>
  <c r="L877" i="15"/>
  <c r="K877" i="15"/>
  <c r="R877" i="15"/>
  <c r="J877" i="15" a="1"/>
  <c r="J877" i="15" s="1"/>
  <c r="I877" i="15"/>
  <c r="G877" i="15"/>
  <c r="R878" i="15"/>
  <c r="Q878" i="15"/>
  <c r="O878" i="15"/>
  <c r="N878" i="15"/>
  <c r="Y878" i="15" s="1"/>
  <c r="M878" i="15"/>
  <c r="Z878" i="15" s="1"/>
  <c r="L878" i="15"/>
  <c r="K878" i="15"/>
  <c r="G878" i="15"/>
  <c r="P878" i="15"/>
  <c r="J878" i="15" a="1"/>
  <c r="J878" i="15" s="1"/>
  <c r="I878" i="15"/>
  <c r="S872" i="7"/>
  <c r="Z872" i="7"/>
  <c r="V877" i="7" a="1"/>
  <c r="V877" i="7" s="1"/>
  <c r="S877" i="7"/>
  <c r="J876" i="15" a="1"/>
  <c r="J876" i="15" s="1"/>
  <c r="I876" i="15"/>
  <c r="R876" i="15"/>
  <c r="Q876" i="15"/>
  <c r="P876" i="15"/>
  <c r="O876" i="15"/>
  <c r="N876" i="15"/>
  <c r="Y876" i="15" s="1"/>
  <c r="M876" i="15"/>
  <c r="L876" i="15"/>
  <c r="K876" i="15"/>
  <c r="G876" i="15"/>
  <c r="V876" i="7" a="1"/>
  <c r="V876" i="7" s="1"/>
  <c r="S876" i="7"/>
  <c r="Q875" i="15"/>
  <c r="O875" i="15"/>
  <c r="M875" i="15"/>
  <c r="K875" i="15"/>
  <c r="R875" i="15"/>
  <c r="P875" i="15"/>
  <c r="N875" i="15"/>
  <c r="L875" i="15"/>
  <c r="J875" i="15" a="1"/>
  <c r="J875" i="15" s="1"/>
  <c r="I875" i="15"/>
  <c r="G875" i="15"/>
  <c r="V875" i="7" a="1"/>
  <c r="V875" i="7" s="1"/>
  <c r="S875" i="7"/>
  <c r="I874" i="15"/>
  <c r="Q874" i="15"/>
  <c r="P874" i="15"/>
  <c r="G874" i="15"/>
  <c r="R874" i="15"/>
  <c r="N874" i="15"/>
  <c r="M874" i="15"/>
  <c r="L874" i="15"/>
  <c r="K874" i="15"/>
  <c r="J874" i="15" a="1"/>
  <c r="J874" i="15" s="1"/>
  <c r="O874" i="15"/>
  <c r="S874" i="7"/>
  <c r="V874" i="7" a="1"/>
  <c r="V874" i="7" s="1"/>
  <c r="I873" i="15"/>
  <c r="M873" i="15"/>
  <c r="O873" i="15"/>
  <c r="G873" i="15"/>
  <c r="N873" i="15"/>
  <c r="J873" i="15" a="1"/>
  <c r="J873" i="15" s="1"/>
  <c r="L873" i="15"/>
  <c r="K873" i="15"/>
  <c r="R873" i="15"/>
  <c r="Q873" i="15"/>
  <c r="P873" i="15"/>
  <c r="V873" i="7" a="1"/>
  <c r="V873" i="7" s="1"/>
  <c r="S873" i="7"/>
  <c r="M872" i="15"/>
  <c r="I872" i="15"/>
  <c r="N872" i="15"/>
  <c r="G872" i="15"/>
  <c r="P872" i="15"/>
  <c r="L872" i="15"/>
  <c r="R872" i="15"/>
  <c r="O872" i="15"/>
  <c r="K872" i="15"/>
  <c r="Q872" i="15"/>
  <c r="J872" i="15" a="1"/>
  <c r="J872" i="15" s="1"/>
  <c r="M871" i="15"/>
  <c r="R871" i="15"/>
  <c r="I871" i="15"/>
  <c r="K871" i="15"/>
  <c r="G871" i="15"/>
  <c r="J871" i="15" a="1"/>
  <c r="J871" i="15" s="1"/>
  <c r="L871" i="15"/>
  <c r="N871" i="15"/>
  <c r="P871" i="15"/>
  <c r="Q871" i="15"/>
  <c r="O871" i="15"/>
  <c r="S871" i="7"/>
  <c r="V871" i="7" a="1"/>
  <c r="V871" i="7" s="1"/>
  <c r="S869" i="7"/>
  <c r="V869" i="7" a="1"/>
  <c r="V869" i="7" s="1"/>
  <c r="K870" i="15"/>
  <c r="L870" i="15"/>
  <c r="M870" i="15"/>
  <c r="N870" i="15"/>
  <c r="G870" i="15"/>
  <c r="O870" i="15"/>
  <c r="I870" i="15"/>
  <c r="Q870" i="15"/>
  <c r="J870" i="15" a="1"/>
  <c r="J870" i="15" s="1"/>
  <c r="P870" i="15"/>
  <c r="R870" i="15"/>
  <c r="S870" i="7"/>
  <c r="V870" i="7" a="1"/>
  <c r="V870" i="7" s="1"/>
  <c r="Q869" i="15"/>
  <c r="P869" i="15"/>
  <c r="G869" i="15"/>
  <c r="L869" i="15"/>
  <c r="N869" i="15"/>
  <c r="I869" i="15"/>
  <c r="K869" i="15"/>
  <c r="M869" i="15"/>
  <c r="O869" i="15"/>
  <c r="J869" i="15" a="1"/>
  <c r="J869" i="15" s="1"/>
  <c r="R869" i="15"/>
  <c r="I868" i="15"/>
  <c r="N868" i="15"/>
  <c r="J868" i="15" a="1"/>
  <c r="J868" i="15" s="1"/>
  <c r="G868" i="15"/>
  <c r="L868" i="15"/>
  <c r="R868" i="15"/>
  <c r="K868" i="15"/>
  <c r="M868" i="15"/>
  <c r="Q868" i="15"/>
  <c r="O868" i="15"/>
  <c r="P868" i="15"/>
  <c r="S868" i="7"/>
  <c r="V868" i="7" a="1"/>
  <c r="V868" i="7" s="1"/>
  <c r="J867" i="15" a="1"/>
  <c r="J867" i="15" s="1"/>
  <c r="K867" i="15"/>
  <c r="M867" i="15"/>
  <c r="N867" i="15"/>
  <c r="P867" i="15"/>
  <c r="O867" i="15"/>
  <c r="R867" i="15"/>
  <c r="Q867" i="15"/>
  <c r="G867" i="15"/>
  <c r="I867" i="15"/>
  <c r="L867" i="15"/>
  <c r="Z867" i="7"/>
  <c r="S867" i="7"/>
  <c r="V867" i="7" a="1"/>
  <c r="V867" i="7" s="1"/>
  <c r="L866" i="15"/>
  <c r="P866" i="15"/>
  <c r="I866" i="15"/>
  <c r="M866" i="15"/>
  <c r="Q866" i="15"/>
  <c r="N866" i="15"/>
  <c r="R866" i="15"/>
  <c r="J866" i="15" a="1"/>
  <c r="J866" i="15" s="1"/>
  <c r="G866" i="15"/>
  <c r="K866" i="15"/>
  <c r="O866" i="15"/>
  <c r="L865" i="15"/>
  <c r="P865" i="15"/>
  <c r="I865" i="15"/>
  <c r="M865" i="15"/>
  <c r="Q865" i="15"/>
  <c r="N865" i="15"/>
  <c r="R865" i="15"/>
  <c r="J865" i="15" a="1"/>
  <c r="J865" i="15" s="1"/>
  <c r="G865" i="15"/>
  <c r="K865" i="15"/>
  <c r="O865" i="15"/>
  <c r="V866" i="7" a="1"/>
  <c r="V866" i="7" s="1"/>
  <c r="Z866" i="7"/>
  <c r="S866" i="7"/>
  <c r="Z865" i="7"/>
  <c r="S865" i="7"/>
  <c r="V865" i="7" a="1"/>
  <c r="V865" i="7" s="1"/>
  <c r="M864" i="15"/>
  <c r="N864" i="15"/>
  <c r="G864" i="15"/>
  <c r="O864" i="15"/>
  <c r="P864" i="15"/>
  <c r="Q864" i="15"/>
  <c r="R864" i="15"/>
  <c r="I864" i="15"/>
  <c r="K864" i="15"/>
  <c r="J864" i="15" a="1"/>
  <c r="J864" i="15" s="1"/>
  <c r="L864" i="15"/>
  <c r="S864" i="7"/>
  <c r="V864" i="7" a="1"/>
  <c r="V864" i="7" s="1"/>
  <c r="Z864" i="7"/>
  <c r="I863" i="15"/>
  <c r="J863" i="15" a="1"/>
  <c r="J863" i="15" s="1"/>
  <c r="L863" i="15"/>
  <c r="O863" i="15"/>
  <c r="R863" i="15"/>
  <c r="M863" i="15"/>
  <c r="G863" i="15"/>
  <c r="N863" i="15"/>
  <c r="K863" i="15"/>
  <c r="Q863" i="15"/>
  <c r="P863" i="15"/>
  <c r="S863" i="7"/>
  <c r="V863" i="7" a="1"/>
  <c r="V863" i="7" s="1"/>
  <c r="Z863" i="7"/>
  <c r="K862" i="15"/>
  <c r="L862" i="15"/>
  <c r="N862" i="15"/>
  <c r="O862" i="15"/>
  <c r="I862" i="15"/>
  <c r="R862" i="15"/>
  <c r="M862" i="15"/>
  <c r="G862" i="15"/>
  <c r="P862" i="15"/>
  <c r="Q862" i="15"/>
  <c r="J862" i="15" a="1"/>
  <c r="J862" i="15" s="1"/>
  <c r="V862" i="7" a="1"/>
  <c r="V862" i="7" s="1"/>
  <c r="S862" i="7"/>
  <c r="Z862" i="7"/>
  <c r="I861" i="15"/>
  <c r="M861" i="15"/>
  <c r="N861" i="15"/>
  <c r="O861" i="15"/>
  <c r="Q861" i="15"/>
  <c r="G861" i="15"/>
  <c r="R861" i="15"/>
  <c r="J861" i="15" a="1"/>
  <c r="J861" i="15" s="1"/>
  <c r="L861" i="15"/>
  <c r="P861" i="15"/>
  <c r="K861" i="15"/>
  <c r="V861" i="7" a="1"/>
  <c r="V861" i="7" s="1"/>
  <c r="S861" i="7"/>
  <c r="Z861" i="7"/>
  <c r="I860" i="15"/>
  <c r="O860" i="15"/>
  <c r="G860" i="15"/>
  <c r="R860" i="15"/>
  <c r="J860" i="15" a="1"/>
  <c r="J860" i="15" s="1"/>
  <c r="K860" i="15"/>
  <c r="M860" i="15"/>
  <c r="N860" i="15"/>
  <c r="L860" i="15"/>
  <c r="Q860" i="15"/>
  <c r="P860" i="15"/>
  <c r="S860" i="7"/>
  <c r="V860" i="7" a="1"/>
  <c r="V860" i="7" s="1"/>
  <c r="Z860" i="7"/>
  <c r="L859" i="15"/>
  <c r="O859" i="15"/>
  <c r="P859" i="15"/>
  <c r="R859" i="15"/>
  <c r="K859" i="15"/>
  <c r="M859" i="15"/>
  <c r="N859" i="15"/>
  <c r="G859" i="15"/>
  <c r="I859" i="15"/>
  <c r="Q859" i="15"/>
  <c r="J859" i="15" a="1"/>
  <c r="J859" i="15" s="1"/>
  <c r="S859" i="7"/>
  <c r="V859" i="7" a="1"/>
  <c r="V859" i="7" s="1"/>
  <c r="Z859" i="7"/>
  <c r="L858" i="15"/>
  <c r="N858" i="15"/>
  <c r="O858" i="15"/>
  <c r="P858" i="15"/>
  <c r="G858" i="15"/>
  <c r="I858" i="15"/>
  <c r="Q858" i="15"/>
  <c r="R858" i="15"/>
  <c r="M858" i="15"/>
  <c r="J858" i="15" a="1"/>
  <c r="J858" i="15" s="1"/>
  <c r="K858" i="15"/>
  <c r="S858" i="7"/>
  <c r="V858" i="7" a="1"/>
  <c r="V858" i="7" s="1"/>
  <c r="Z858" i="7"/>
  <c r="P857" i="15"/>
  <c r="R857" i="15"/>
  <c r="N857" i="15"/>
  <c r="G857" i="15"/>
  <c r="O857" i="15"/>
  <c r="I857" i="15"/>
  <c r="Q857" i="15"/>
  <c r="J857" i="15" a="1"/>
  <c r="J857" i="15" s="1"/>
  <c r="K857" i="15"/>
  <c r="L857" i="15"/>
  <c r="M857" i="15"/>
  <c r="S857" i="7"/>
  <c r="V857" i="7" a="1"/>
  <c r="V857" i="7" s="1"/>
  <c r="Z857" i="7"/>
  <c r="I856" i="15"/>
  <c r="M856" i="15"/>
  <c r="L856" i="15"/>
  <c r="N856" i="15"/>
  <c r="G856" i="15"/>
  <c r="R856" i="15"/>
  <c r="J856" i="15" a="1"/>
  <c r="J856" i="15" s="1"/>
  <c r="O856" i="15"/>
  <c r="K856" i="15"/>
  <c r="Q856" i="15"/>
  <c r="P856" i="15"/>
  <c r="S856" i="7"/>
  <c r="V856" i="7" a="1"/>
  <c r="V856" i="7" s="1"/>
  <c r="Z856" i="7"/>
  <c r="O855" i="15"/>
  <c r="G855" i="15"/>
  <c r="J855" i="15" a="1"/>
  <c r="J855" i="15" s="1"/>
  <c r="K855" i="15"/>
  <c r="L855" i="15"/>
  <c r="M855" i="15"/>
  <c r="N855" i="15"/>
  <c r="R855" i="15"/>
  <c r="P855" i="15"/>
  <c r="I855" i="15"/>
  <c r="Q855" i="15"/>
  <c r="V855" i="7" a="1"/>
  <c r="V855" i="7" s="1"/>
  <c r="S855" i="7"/>
  <c r="Z855" i="7"/>
  <c r="M854" i="15"/>
  <c r="P854" i="15"/>
  <c r="L854" i="15"/>
  <c r="G854" i="15"/>
  <c r="R854" i="15"/>
  <c r="N854" i="15"/>
  <c r="I854" i="15"/>
  <c r="K854" i="15"/>
  <c r="J854" i="15" a="1"/>
  <c r="J854" i="15" s="1"/>
  <c r="Q854" i="15"/>
  <c r="O854" i="15"/>
  <c r="K853" i="15"/>
  <c r="L853" i="15"/>
  <c r="G853" i="15"/>
  <c r="Q853" i="15"/>
  <c r="N853" i="15"/>
  <c r="R853" i="15"/>
  <c r="M853" i="15"/>
  <c r="J853" i="15" a="1"/>
  <c r="J853" i="15" s="1"/>
  <c r="I853" i="15"/>
  <c r="O853" i="15"/>
  <c r="P853" i="15"/>
  <c r="S853" i="7"/>
  <c r="V853" i="7" a="1"/>
  <c r="V853" i="7" s="1"/>
  <c r="Z853" i="7"/>
  <c r="V854" i="7" a="1"/>
  <c r="V854" i="7" s="1"/>
  <c r="S854" i="7"/>
  <c r="Z854" i="7"/>
  <c r="N852" i="15"/>
  <c r="P852" i="15"/>
  <c r="R852" i="15"/>
  <c r="G852" i="15"/>
  <c r="O852" i="15"/>
  <c r="I852" i="15"/>
  <c r="Q852" i="15"/>
  <c r="J852" i="15" a="1"/>
  <c r="J852" i="15" s="1"/>
  <c r="K852" i="15"/>
  <c r="M852" i="15"/>
  <c r="L852" i="15"/>
  <c r="S852" i="7"/>
  <c r="V852" i="7" a="1"/>
  <c r="V852" i="7" s="1"/>
  <c r="Z852" i="7"/>
  <c r="I851" i="15"/>
  <c r="N851" i="15"/>
  <c r="O851" i="15"/>
  <c r="G851" i="15"/>
  <c r="P851" i="15"/>
  <c r="Q851" i="15"/>
  <c r="R851" i="15"/>
  <c r="J851" i="15" a="1"/>
  <c r="J851" i="15" s="1"/>
  <c r="K851" i="15"/>
  <c r="L851" i="15"/>
  <c r="M851" i="15"/>
  <c r="Z851" i="15" s="1"/>
  <c r="S851" i="7"/>
  <c r="Z851" i="7"/>
  <c r="V851" i="7" a="1"/>
  <c r="V851" i="7" s="1"/>
  <c r="J850" i="15" a="1"/>
  <c r="J850" i="15" s="1"/>
  <c r="K850" i="15"/>
  <c r="M850" i="15"/>
  <c r="N850" i="15"/>
  <c r="I850" i="15"/>
  <c r="R850" i="15"/>
  <c r="L850" i="15"/>
  <c r="G850" i="15"/>
  <c r="O850" i="15"/>
  <c r="P850" i="15"/>
  <c r="Q850" i="15"/>
  <c r="S850" i="7"/>
  <c r="Z850" i="7"/>
  <c r="V850" i="7" a="1"/>
  <c r="V850" i="7" s="1"/>
  <c r="S848" i="7"/>
  <c r="V848" i="7" a="1"/>
  <c r="V848" i="7" s="1"/>
  <c r="I849" i="15"/>
  <c r="M849" i="15"/>
  <c r="P849" i="15"/>
  <c r="L849" i="15"/>
  <c r="N849" i="15"/>
  <c r="R849" i="15"/>
  <c r="K849" i="15"/>
  <c r="O849" i="15"/>
  <c r="G849" i="15"/>
  <c r="Q849" i="15"/>
  <c r="J849" i="15" a="1"/>
  <c r="J849" i="15" s="1"/>
  <c r="S849" i="7"/>
  <c r="V849" i="7" a="1"/>
  <c r="V849" i="7" s="1"/>
  <c r="Z849" i="7"/>
  <c r="K848" i="15"/>
  <c r="L848" i="15"/>
  <c r="P848" i="15"/>
  <c r="Q848" i="15"/>
  <c r="M848" i="15"/>
  <c r="G848" i="15"/>
  <c r="O848" i="15"/>
  <c r="I848" i="15"/>
  <c r="R848" i="15"/>
  <c r="N848" i="15"/>
  <c r="J848" i="15" a="1"/>
  <c r="J848" i="15" s="1"/>
  <c r="P847" i="15"/>
  <c r="K847" i="15"/>
  <c r="L847" i="15"/>
  <c r="M847" i="15"/>
  <c r="N847" i="15"/>
  <c r="G847" i="15"/>
  <c r="O847" i="15"/>
  <c r="I847" i="15"/>
  <c r="J847" i="15" a="1"/>
  <c r="J847" i="15" s="1"/>
  <c r="Q847" i="15"/>
  <c r="R847" i="15"/>
  <c r="V847" i="7" a="1"/>
  <c r="V847" i="7" s="1"/>
  <c r="S847" i="7"/>
  <c r="Z847" i="7"/>
  <c r="G846" i="15"/>
  <c r="I846" i="15"/>
  <c r="L846" i="15"/>
  <c r="J846" i="15" a="1"/>
  <c r="J846" i="15" s="1"/>
  <c r="K846" i="15"/>
  <c r="M846" i="15"/>
  <c r="N846" i="15"/>
  <c r="O846" i="15"/>
  <c r="P846" i="15"/>
  <c r="Q846" i="15"/>
  <c r="R846" i="15"/>
  <c r="S846" i="7"/>
  <c r="V846" i="7" a="1"/>
  <c r="V846" i="7" s="1"/>
  <c r="Z846" i="7"/>
  <c r="J845" i="15" a="1"/>
  <c r="J845" i="15" s="1"/>
  <c r="K845" i="15"/>
  <c r="L845" i="15"/>
  <c r="M845" i="15"/>
  <c r="P845" i="15"/>
  <c r="N845" i="15"/>
  <c r="G845" i="15"/>
  <c r="O845" i="15"/>
  <c r="Q845" i="15"/>
  <c r="R845" i="15"/>
  <c r="I845" i="15"/>
  <c r="S845" i="7"/>
  <c r="V845" i="7" a="1"/>
  <c r="V845" i="7" s="1"/>
  <c r="Z845" i="7"/>
  <c r="O844" i="15"/>
  <c r="Q844" i="15"/>
  <c r="I844" i="15"/>
  <c r="P844" i="15"/>
  <c r="R844" i="15"/>
  <c r="K844" i="15"/>
  <c r="G844" i="15"/>
  <c r="J844" i="15" a="1"/>
  <c r="J844" i="15" s="1"/>
  <c r="L844" i="15"/>
  <c r="N844" i="15"/>
  <c r="M844" i="15"/>
  <c r="Z844" i="7"/>
  <c r="S844" i="7"/>
  <c r="V844" i="7" a="1"/>
  <c r="V844" i="7" s="1"/>
  <c r="J843" i="15" a="1"/>
  <c r="J843" i="15" s="1"/>
  <c r="K843" i="15"/>
  <c r="M843" i="15"/>
  <c r="L843" i="15"/>
  <c r="N843" i="15"/>
  <c r="G843" i="15"/>
  <c r="O843" i="15"/>
  <c r="P843" i="15"/>
  <c r="I843" i="15"/>
  <c r="Q843" i="15"/>
  <c r="R843" i="15"/>
  <c r="S843" i="7"/>
  <c r="V843" i="7" a="1"/>
  <c r="V843" i="7" s="1"/>
  <c r="Z843" i="7"/>
  <c r="J842" i="15" a="1"/>
  <c r="J842" i="15" s="1"/>
  <c r="K842" i="15"/>
  <c r="M842" i="15"/>
  <c r="L842" i="15"/>
  <c r="N842" i="15"/>
  <c r="O842" i="15"/>
  <c r="P842" i="15"/>
  <c r="Q842" i="15"/>
  <c r="R842" i="15"/>
  <c r="I842" i="15"/>
  <c r="G842" i="15"/>
  <c r="V842" i="7" a="1"/>
  <c r="V842" i="7" s="1"/>
  <c r="S842" i="7"/>
  <c r="Z842" i="7"/>
  <c r="I841" i="15"/>
  <c r="N841" i="15"/>
  <c r="R841" i="15"/>
  <c r="L841" i="15"/>
  <c r="M841" i="15"/>
  <c r="O841" i="15"/>
  <c r="G841" i="15"/>
  <c r="J841" i="15" a="1"/>
  <c r="J841" i="15" s="1"/>
  <c r="K841" i="15"/>
  <c r="P841" i="15"/>
  <c r="Q841" i="15"/>
  <c r="S841" i="7"/>
  <c r="V841" i="7" a="1"/>
  <c r="V841" i="7" s="1"/>
  <c r="Z841" i="7"/>
  <c r="J840" i="15" a="1"/>
  <c r="J840" i="15" s="1"/>
  <c r="K840" i="15"/>
  <c r="Q840" i="15"/>
  <c r="L840" i="15"/>
  <c r="M840" i="15"/>
  <c r="N840" i="15"/>
  <c r="I840" i="15"/>
  <c r="G840" i="15"/>
  <c r="O840" i="15"/>
  <c r="P840" i="15"/>
  <c r="R840" i="15"/>
  <c r="S840" i="7"/>
  <c r="V840" i="7" a="1"/>
  <c r="V840" i="7" s="1"/>
  <c r="Z840" i="7"/>
  <c r="I839" i="15"/>
  <c r="J839" i="15" a="1"/>
  <c r="J839" i="15" s="1"/>
  <c r="M839" i="15"/>
  <c r="R839" i="15"/>
  <c r="O839" i="15"/>
  <c r="G839" i="15"/>
  <c r="N839" i="15"/>
  <c r="P839" i="15"/>
  <c r="L839" i="15"/>
  <c r="K839" i="15"/>
  <c r="Q839" i="15"/>
  <c r="S839" i="7"/>
  <c r="V839" i="7" a="1"/>
  <c r="V839" i="7" s="1"/>
  <c r="Z839" i="7"/>
  <c r="P838" i="15"/>
  <c r="M838" i="15"/>
  <c r="N838" i="15"/>
  <c r="O838" i="15"/>
  <c r="J838" i="15" a="1"/>
  <c r="J838" i="15" s="1"/>
  <c r="G838" i="15"/>
  <c r="R838" i="15"/>
  <c r="K838" i="15"/>
  <c r="I838" i="15"/>
  <c r="L838" i="15"/>
  <c r="Q838" i="15"/>
  <c r="S838" i="7"/>
  <c r="V838" i="7" a="1"/>
  <c r="V838" i="7" s="1"/>
  <c r="Z838" i="7"/>
  <c r="Q837" i="15"/>
  <c r="P837" i="15"/>
  <c r="I837" i="15"/>
  <c r="N837" i="15"/>
  <c r="G837" i="15"/>
  <c r="O837" i="15"/>
  <c r="J837" i="15" a="1"/>
  <c r="J837" i="15" s="1"/>
  <c r="K837" i="15"/>
  <c r="L837" i="15"/>
  <c r="M837" i="15"/>
  <c r="R837" i="15"/>
  <c r="S837" i="7"/>
  <c r="V837" i="7" a="1"/>
  <c r="V837" i="7" s="1"/>
  <c r="Z837" i="7"/>
  <c r="G836" i="15"/>
  <c r="J836" i="15" a="1"/>
  <c r="J836" i="15" s="1"/>
  <c r="L836" i="15"/>
  <c r="O836" i="15"/>
  <c r="P836" i="15"/>
  <c r="R836" i="15"/>
  <c r="K836" i="15"/>
  <c r="Q836" i="15"/>
  <c r="I836" i="15"/>
  <c r="M836" i="15"/>
  <c r="N836" i="15"/>
  <c r="S836" i="7"/>
  <c r="V836" i="7" a="1"/>
  <c r="V836" i="7" s="1"/>
  <c r="Z836" i="7"/>
  <c r="P835" i="15"/>
  <c r="R835" i="15"/>
  <c r="M835" i="15"/>
  <c r="Q835" i="15"/>
  <c r="G835" i="15"/>
  <c r="O835" i="15"/>
  <c r="I835" i="15"/>
  <c r="N835" i="15"/>
  <c r="J835" i="15" a="1"/>
  <c r="J835" i="15" s="1"/>
  <c r="K835" i="15"/>
  <c r="L835" i="15"/>
  <c r="S835" i="7"/>
  <c r="V835" i="7" a="1"/>
  <c r="V835" i="7" s="1"/>
  <c r="Z835" i="7"/>
  <c r="Q834" i="15"/>
  <c r="K834" i="15"/>
  <c r="N834" i="15"/>
  <c r="R834" i="15"/>
  <c r="G834" i="15"/>
  <c r="O834" i="15"/>
  <c r="M834" i="15"/>
  <c r="P834" i="15"/>
  <c r="I834" i="15"/>
  <c r="J834" i="15" a="1"/>
  <c r="J834" i="15" s="1"/>
  <c r="L834" i="15"/>
  <c r="S834" i="7"/>
  <c r="V834" i="7" a="1"/>
  <c r="V834" i="7" s="1"/>
  <c r="Z834" i="7"/>
  <c r="O833" i="15"/>
  <c r="I833" i="15"/>
  <c r="J833" i="15" a="1"/>
  <c r="J833" i="15" s="1"/>
  <c r="N833" i="15"/>
  <c r="P833" i="15"/>
  <c r="Q833" i="15"/>
  <c r="M833" i="15"/>
  <c r="G833" i="15"/>
  <c r="K833" i="15"/>
  <c r="L833" i="15"/>
  <c r="R833" i="15"/>
  <c r="S833" i="7"/>
  <c r="V833" i="7" a="1"/>
  <c r="V833" i="7" s="1"/>
  <c r="Z833" i="7"/>
  <c r="Q832" i="15"/>
  <c r="G832" i="15"/>
  <c r="J832" i="15" a="1"/>
  <c r="J832" i="15" s="1"/>
  <c r="I832" i="15"/>
  <c r="N832" i="15"/>
  <c r="O832" i="15"/>
  <c r="K832" i="15"/>
  <c r="M832" i="15"/>
  <c r="L832" i="15"/>
  <c r="R832" i="15"/>
  <c r="P832" i="15"/>
  <c r="S832" i="7"/>
  <c r="V832" i="7" a="1"/>
  <c r="V832" i="7" s="1"/>
  <c r="Z832" i="7"/>
  <c r="O831" i="15"/>
  <c r="I831" i="15"/>
  <c r="M831" i="15"/>
  <c r="K831" i="15"/>
  <c r="L831" i="15"/>
  <c r="P831" i="15"/>
  <c r="J831" i="15" a="1"/>
  <c r="J831" i="15" s="1"/>
  <c r="R831" i="15"/>
  <c r="Q831" i="15"/>
  <c r="N831" i="15"/>
  <c r="G831" i="15"/>
  <c r="S831" i="7"/>
  <c r="V831" i="7" a="1"/>
  <c r="V831" i="7" s="1"/>
  <c r="Z831" i="7"/>
  <c r="K830" i="15"/>
  <c r="M830" i="15"/>
  <c r="N830" i="15"/>
  <c r="O830" i="15"/>
  <c r="P830" i="15"/>
  <c r="J830" i="15" a="1"/>
  <c r="J830" i="15" s="1"/>
  <c r="G830" i="15"/>
  <c r="R830" i="15"/>
  <c r="I830" i="15"/>
  <c r="L830" i="15"/>
  <c r="Q830" i="15"/>
  <c r="J829" i="15" a="1"/>
  <c r="J829" i="15" s="1"/>
  <c r="R829" i="15"/>
  <c r="M829" i="15"/>
  <c r="N829" i="15"/>
  <c r="O829" i="15"/>
  <c r="P829" i="15"/>
  <c r="Q829" i="15"/>
  <c r="G829" i="15"/>
  <c r="I829" i="15"/>
  <c r="K829" i="15"/>
  <c r="L829" i="15"/>
  <c r="Z830" i="7"/>
  <c r="S830" i="7"/>
  <c r="V830" i="7" a="1"/>
  <c r="V830" i="7" s="1"/>
  <c r="S829" i="7"/>
  <c r="V829" i="7" a="1"/>
  <c r="V829" i="7" s="1"/>
  <c r="Z829" i="7"/>
  <c r="L828" i="15"/>
  <c r="R828" i="15"/>
  <c r="M828" i="15"/>
  <c r="P828" i="15"/>
  <c r="Q828" i="15"/>
  <c r="I828" i="15"/>
  <c r="J828" i="15" a="1"/>
  <c r="J828" i="15" s="1"/>
  <c r="K828" i="15"/>
  <c r="N828" i="15"/>
  <c r="G828" i="15"/>
  <c r="O828" i="15"/>
  <c r="K827" i="15"/>
  <c r="P827" i="15"/>
  <c r="O827" i="15"/>
  <c r="I827" i="15"/>
  <c r="Q827" i="15"/>
  <c r="M827" i="15"/>
  <c r="N827" i="15"/>
  <c r="G827" i="15"/>
  <c r="J827" i="15" a="1"/>
  <c r="J827" i="15" s="1"/>
  <c r="L827" i="15"/>
  <c r="R827" i="15"/>
  <c r="R826" i="15"/>
  <c r="I826" i="15"/>
  <c r="N826" i="15"/>
  <c r="M826" i="15"/>
  <c r="J826" i="15" a="1"/>
  <c r="J826" i="15" s="1"/>
  <c r="P826" i="15"/>
  <c r="K826" i="15"/>
  <c r="L826" i="15"/>
  <c r="G826" i="15"/>
  <c r="O826" i="15"/>
  <c r="Q826" i="15"/>
  <c r="I825" i="15"/>
  <c r="N825" i="15"/>
  <c r="J825" i="15" a="1"/>
  <c r="J825" i="15" s="1"/>
  <c r="M825" i="15"/>
  <c r="P825" i="15"/>
  <c r="K825" i="15"/>
  <c r="Q825" i="15"/>
  <c r="G825" i="15"/>
  <c r="O825" i="15"/>
  <c r="L825" i="15"/>
  <c r="R825" i="15"/>
  <c r="Z828" i="7"/>
  <c r="S828" i="7"/>
  <c r="V828" i="7" a="1"/>
  <c r="V828" i="7" s="1"/>
  <c r="S827" i="7"/>
  <c r="V827" i="7" a="1"/>
  <c r="V827" i="7" s="1"/>
  <c r="Z827" i="7"/>
  <c r="S826" i="7"/>
  <c r="V826" i="7" a="1"/>
  <c r="V826" i="7" s="1"/>
  <c r="Z826" i="7"/>
  <c r="V821" i="7" a="1"/>
  <c r="V821" i="7" s="1"/>
  <c r="S825" i="7"/>
  <c r="V825" i="7" a="1"/>
  <c r="V825" i="7" s="1"/>
  <c r="Z825" i="7"/>
  <c r="S821" i="7"/>
  <c r="N824" i="15"/>
  <c r="M824" i="15"/>
  <c r="Q824" i="15"/>
  <c r="O824" i="15"/>
  <c r="R824" i="15"/>
  <c r="J824" i="15" a="1"/>
  <c r="J824" i="15" s="1"/>
  <c r="I824" i="15"/>
  <c r="G824" i="15"/>
  <c r="P824" i="15"/>
  <c r="K824" i="15"/>
  <c r="L824" i="15"/>
  <c r="Z824" i="7"/>
  <c r="S824" i="7"/>
  <c r="V824" i="7" a="1"/>
  <c r="V824" i="7" s="1"/>
  <c r="R823" i="15"/>
  <c r="L823" i="15"/>
  <c r="N823" i="15"/>
  <c r="P823" i="15"/>
  <c r="G823" i="15"/>
  <c r="M823" i="15"/>
  <c r="K823" i="15"/>
  <c r="O823" i="15"/>
  <c r="Q823" i="15"/>
  <c r="I823" i="15"/>
  <c r="J823" i="15" a="1"/>
  <c r="J823" i="15" s="1"/>
  <c r="S823" i="7"/>
  <c r="V823" i="7" a="1"/>
  <c r="V823" i="7" s="1"/>
  <c r="Z823" i="7"/>
  <c r="Z819" i="7"/>
  <c r="P822" i="15"/>
  <c r="Q822" i="15"/>
  <c r="L822" i="15"/>
  <c r="O822" i="15"/>
  <c r="K822" i="15"/>
  <c r="M822" i="15"/>
  <c r="G822" i="15"/>
  <c r="R822" i="15"/>
  <c r="J822" i="15" a="1"/>
  <c r="J822" i="15" s="1"/>
  <c r="I822" i="15"/>
  <c r="N822" i="15"/>
  <c r="S822" i="7"/>
  <c r="V822" i="7" a="1"/>
  <c r="V822" i="7" s="1"/>
  <c r="Z822" i="7"/>
  <c r="N821" i="15"/>
  <c r="Q821" i="15"/>
  <c r="O821" i="15"/>
  <c r="G821" i="15"/>
  <c r="I821" i="15"/>
  <c r="K821" i="15"/>
  <c r="L821" i="15"/>
  <c r="J821" i="15" a="1"/>
  <c r="J821" i="15" s="1"/>
  <c r="R821" i="15"/>
  <c r="P821" i="15"/>
  <c r="M821" i="15"/>
  <c r="V819" i="7" a="1"/>
  <c r="V819" i="7" s="1"/>
  <c r="O820" i="15"/>
  <c r="P820" i="15"/>
  <c r="Q820" i="15"/>
  <c r="J820" i="15" a="1"/>
  <c r="J820" i="15" s="1"/>
  <c r="G820" i="15"/>
  <c r="M820" i="15"/>
  <c r="I820" i="15"/>
  <c r="L820" i="15"/>
  <c r="R820" i="15"/>
  <c r="N820" i="15"/>
  <c r="K820" i="15"/>
  <c r="S820" i="7"/>
  <c r="V820" i="7" a="1"/>
  <c r="V820" i="7" s="1"/>
  <c r="Z820" i="7"/>
  <c r="K819" i="15"/>
  <c r="M819" i="15"/>
  <c r="O819" i="15"/>
  <c r="Q819" i="15"/>
  <c r="N819" i="15"/>
  <c r="G819" i="15"/>
  <c r="J819" i="15" a="1"/>
  <c r="J819" i="15" s="1"/>
  <c r="L819" i="15"/>
  <c r="P819" i="15"/>
  <c r="I819" i="15"/>
  <c r="R819" i="15"/>
  <c r="R817" i="15"/>
  <c r="G817" i="15"/>
  <c r="N817" i="15"/>
  <c r="O817" i="15"/>
  <c r="P817" i="15"/>
  <c r="I817" i="15"/>
  <c r="Q817" i="15"/>
  <c r="K817" i="15"/>
  <c r="L817" i="15"/>
  <c r="J817" i="15" a="1"/>
  <c r="J817" i="15" s="1"/>
  <c r="M817" i="15"/>
  <c r="K818" i="15"/>
  <c r="M818" i="15"/>
  <c r="G818" i="15"/>
  <c r="N818" i="15"/>
  <c r="O818" i="15"/>
  <c r="P818" i="15"/>
  <c r="I818" i="15"/>
  <c r="Q818" i="15"/>
  <c r="L818" i="15"/>
  <c r="J818" i="15" a="1"/>
  <c r="J818" i="15" s="1"/>
  <c r="R818" i="15"/>
  <c r="S818" i="7"/>
  <c r="V818" i="7" a="1"/>
  <c r="V818" i="7" s="1"/>
  <c r="Z818" i="7"/>
  <c r="S817" i="7"/>
  <c r="V817" i="7" a="1"/>
  <c r="V817" i="7" s="1"/>
  <c r="Z817" i="7"/>
  <c r="M816" i="15"/>
  <c r="G816" i="15"/>
  <c r="N816" i="15"/>
  <c r="O816" i="15"/>
  <c r="Q816" i="15"/>
  <c r="L816" i="15"/>
  <c r="R816" i="15"/>
  <c r="I816" i="15"/>
  <c r="P816" i="15"/>
  <c r="K816" i="15"/>
  <c r="J816" i="15" a="1"/>
  <c r="J816" i="15" s="1"/>
  <c r="G815" i="15"/>
  <c r="N815" i="15"/>
  <c r="M815" i="15"/>
  <c r="O815" i="15"/>
  <c r="J815" i="15" a="1"/>
  <c r="J815" i="15" s="1"/>
  <c r="I815" i="15"/>
  <c r="P815" i="15"/>
  <c r="R815" i="15"/>
  <c r="K815" i="15"/>
  <c r="Q815" i="15"/>
  <c r="L815" i="15"/>
  <c r="S816" i="7"/>
  <c r="V816" i="7" a="1"/>
  <c r="V816" i="7" s="1"/>
  <c r="Z816" i="7"/>
  <c r="S815" i="7"/>
  <c r="V815" i="7" a="1"/>
  <c r="V815" i="7" s="1"/>
  <c r="Z815" i="7"/>
  <c r="K814" i="15"/>
  <c r="N814" i="15"/>
  <c r="O814" i="15"/>
  <c r="G814" i="15"/>
  <c r="R814" i="15"/>
  <c r="P814" i="15"/>
  <c r="I814" i="15"/>
  <c r="M814" i="15"/>
  <c r="Q814" i="15"/>
  <c r="J814" i="15" a="1"/>
  <c r="J814" i="15" s="1"/>
  <c r="L814" i="15"/>
  <c r="S814" i="7"/>
  <c r="V814" i="7" a="1"/>
  <c r="V814" i="7" s="1"/>
  <c r="Z814" i="7"/>
  <c r="G813" i="15"/>
  <c r="I813" i="15"/>
  <c r="K813" i="15"/>
  <c r="L813" i="15"/>
  <c r="J813" i="15" a="1"/>
  <c r="J813" i="15" s="1"/>
  <c r="M813" i="15"/>
  <c r="R813" i="15"/>
  <c r="O813" i="15"/>
  <c r="P813" i="15"/>
  <c r="Q813" i="15"/>
  <c r="N813" i="15"/>
  <c r="S813" i="7"/>
  <c r="V813" i="7" a="1"/>
  <c r="V813" i="7" s="1"/>
  <c r="Z813" i="7"/>
  <c r="P812" i="15"/>
  <c r="I812" i="15"/>
  <c r="L812" i="15"/>
  <c r="J812" i="15" a="1"/>
  <c r="J812" i="15" s="1"/>
  <c r="K812" i="15"/>
  <c r="M812" i="15"/>
  <c r="Q812" i="15"/>
  <c r="G812" i="15"/>
  <c r="R812" i="15"/>
  <c r="N812" i="15"/>
  <c r="O812" i="15"/>
  <c r="S812" i="7"/>
  <c r="Z812" i="7"/>
  <c r="V812" i="7" a="1"/>
  <c r="V812" i="7" s="1"/>
  <c r="P811" i="15"/>
  <c r="G811" i="15"/>
  <c r="R811" i="15"/>
  <c r="M811" i="15"/>
  <c r="O811" i="15"/>
  <c r="Q811" i="15"/>
  <c r="I811" i="15"/>
  <c r="K811" i="15"/>
  <c r="L811" i="15"/>
  <c r="J811" i="15" a="1"/>
  <c r="J811" i="15" s="1"/>
  <c r="N811" i="15"/>
  <c r="S811" i="7"/>
  <c r="V811" i="7" a="1"/>
  <c r="V811" i="7" s="1"/>
  <c r="Z811" i="7"/>
  <c r="I810" i="15"/>
  <c r="R810" i="15"/>
  <c r="G810" i="15"/>
  <c r="L810" i="15"/>
  <c r="K810" i="15"/>
  <c r="M810" i="15"/>
  <c r="N810" i="15"/>
  <c r="O810" i="15"/>
  <c r="P810" i="15"/>
  <c r="J810" i="15" a="1"/>
  <c r="J810" i="15" s="1"/>
  <c r="Q810" i="15"/>
  <c r="S810" i="7"/>
  <c r="V810" i="7" a="1"/>
  <c r="V810" i="7" s="1"/>
  <c r="Z810" i="7"/>
  <c r="P809" i="15"/>
  <c r="L809" i="15"/>
  <c r="N809" i="15"/>
  <c r="Q809" i="15"/>
  <c r="K809" i="15"/>
  <c r="J809" i="15" a="1"/>
  <c r="J809" i="15" s="1"/>
  <c r="G809" i="15"/>
  <c r="M809" i="15"/>
  <c r="O809" i="15"/>
  <c r="I809" i="15"/>
  <c r="R809" i="15"/>
  <c r="S809" i="7"/>
  <c r="V809" i="7" a="1"/>
  <c r="V809" i="7" s="1"/>
  <c r="Z809" i="7"/>
  <c r="R808" i="15"/>
  <c r="P808" i="15"/>
  <c r="G808" i="15"/>
  <c r="M808" i="15"/>
  <c r="O808" i="15"/>
  <c r="I808" i="15"/>
  <c r="L808" i="15"/>
  <c r="K808" i="15"/>
  <c r="N808" i="15"/>
  <c r="J808" i="15" a="1"/>
  <c r="J808" i="15" s="1"/>
  <c r="Q808" i="15"/>
  <c r="S808" i="7"/>
  <c r="V808" i="7" a="1"/>
  <c r="V808" i="7" s="1"/>
  <c r="Z808" i="7"/>
  <c r="R807" i="15"/>
  <c r="L807" i="15"/>
  <c r="M807" i="15"/>
  <c r="O807" i="15"/>
  <c r="I807" i="15"/>
  <c r="J807" i="15" a="1"/>
  <c r="J807" i="15" s="1"/>
  <c r="N807" i="15"/>
  <c r="Q807" i="15"/>
  <c r="P807" i="15"/>
  <c r="K807" i="15"/>
  <c r="G807" i="15"/>
  <c r="V807" i="7" a="1"/>
  <c r="V807" i="7" s="1"/>
  <c r="S807" i="7"/>
  <c r="Z807" i="7"/>
  <c r="O806" i="15"/>
  <c r="M806" i="15"/>
  <c r="Q806" i="15"/>
  <c r="G806" i="15"/>
  <c r="N806" i="15"/>
  <c r="P806" i="15"/>
  <c r="K806" i="15"/>
  <c r="R806" i="15"/>
  <c r="J806" i="15" a="1"/>
  <c r="J806" i="15" s="1"/>
  <c r="I806" i="15"/>
  <c r="L806" i="15"/>
  <c r="S806" i="7"/>
  <c r="V806" i="7" a="1"/>
  <c r="V806" i="7" s="1"/>
  <c r="Z806" i="7"/>
  <c r="P805" i="15"/>
  <c r="R805" i="15"/>
  <c r="Q805" i="15"/>
  <c r="I805" i="15"/>
  <c r="M805" i="15"/>
  <c r="O805" i="15"/>
  <c r="G805" i="15"/>
  <c r="J805" i="15" a="1"/>
  <c r="J805" i="15" s="1"/>
  <c r="K805" i="15"/>
  <c r="L805" i="15"/>
  <c r="N805" i="15"/>
  <c r="S805" i="7"/>
  <c r="V805" i="7" a="1"/>
  <c r="V805" i="7" s="1"/>
  <c r="Z805" i="7"/>
  <c r="Q804" i="15"/>
  <c r="P804" i="15"/>
  <c r="G804" i="15"/>
  <c r="M804" i="15"/>
  <c r="O804" i="15"/>
  <c r="I804" i="15"/>
  <c r="K804" i="15"/>
  <c r="N804" i="15"/>
  <c r="L804" i="15"/>
  <c r="R804" i="15"/>
  <c r="J804" i="15" a="1"/>
  <c r="J804" i="15" s="1"/>
  <c r="S804" i="7"/>
  <c r="V804" i="7" a="1"/>
  <c r="V804" i="7" s="1"/>
  <c r="Z804" i="7"/>
  <c r="O803" i="15"/>
  <c r="G803" i="15"/>
  <c r="M803" i="15"/>
  <c r="P803" i="15"/>
  <c r="Q803" i="15"/>
  <c r="K803" i="15"/>
  <c r="J803" i="15" a="1"/>
  <c r="J803" i="15" s="1"/>
  <c r="N803" i="15"/>
  <c r="I803" i="15"/>
  <c r="R803" i="15"/>
  <c r="L803" i="15"/>
  <c r="S803" i="7"/>
  <c r="V803" i="7" a="1"/>
  <c r="V803" i="7" s="1"/>
  <c r="Z803" i="7"/>
  <c r="G802" i="15"/>
  <c r="J802" i="15" a="1"/>
  <c r="J802" i="15" s="1"/>
  <c r="P802" i="15"/>
  <c r="I802" i="15"/>
  <c r="K802" i="15"/>
  <c r="N802" i="15"/>
  <c r="L802" i="15"/>
  <c r="R802" i="15"/>
  <c r="M802" i="15"/>
  <c r="O802" i="15"/>
  <c r="Q802" i="15"/>
  <c r="S802" i="7"/>
  <c r="V802" i="7" a="1"/>
  <c r="V802" i="7" s="1"/>
  <c r="Z802" i="7"/>
  <c r="J801" i="15" a="1"/>
  <c r="J801" i="15" s="1"/>
  <c r="L801" i="15"/>
  <c r="R801" i="15"/>
  <c r="P801" i="15"/>
  <c r="K801" i="15"/>
  <c r="M801" i="15"/>
  <c r="G801" i="15"/>
  <c r="N801" i="15"/>
  <c r="O801" i="15"/>
  <c r="I801" i="15"/>
  <c r="Q801" i="15"/>
  <c r="J800" i="15" a="1"/>
  <c r="J800" i="15" s="1"/>
  <c r="R800" i="15"/>
  <c r="O800" i="15"/>
  <c r="P800" i="15"/>
  <c r="K800" i="15"/>
  <c r="M800" i="15"/>
  <c r="I800" i="15"/>
  <c r="G800" i="15"/>
  <c r="L800" i="15"/>
  <c r="N800" i="15"/>
  <c r="Q800" i="15"/>
  <c r="S801" i="7"/>
  <c r="V801" i="7" a="1"/>
  <c r="V801" i="7" s="1"/>
  <c r="Z801" i="7"/>
  <c r="S800" i="7"/>
  <c r="V800" i="7" a="1"/>
  <c r="V800" i="7" s="1"/>
  <c r="Z800" i="7"/>
  <c r="G799" i="15"/>
  <c r="L799" i="15"/>
  <c r="R799" i="15"/>
  <c r="M799" i="15"/>
  <c r="N799" i="15"/>
  <c r="P799" i="15"/>
  <c r="Q799" i="15"/>
  <c r="I799" i="15"/>
  <c r="K799" i="15"/>
  <c r="J799" i="15" a="1"/>
  <c r="J799" i="15" s="1"/>
  <c r="O799" i="15"/>
  <c r="S799" i="7"/>
  <c r="V799" i="7" a="1"/>
  <c r="V799" i="7" s="1"/>
  <c r="Z799" i="7"/>
  <c r="Q798" i="15"/>
  <c r="J798" i="15" a="1"/>
  <c r="J798" i="15" s="1"/>
  <c r="G798" i="15"/>
  <c r="I798" i="15"/>
  <c r="P798" i="15"/>
  <c r="K798" i="15"/>
  <c r="N798" i="15"/>
  <c r="O798" i="15"/>
  <c r="L798" i="15"/>
  <c r="R798" i="15"/>
  <c r="M798" i="15"/>
  <c r="S798" i="7"/>
  <c r="V798" i="7" a="1"/>
  <c r="V798" i="7" s="1"/>
  <c r="Z798" i="7"/>
  <c r="O797" i="15"/>
  <c r="G797" i="15"/>
  <c r="L797" i="15"/>
  <c r="J797" i="15" a="1"/>
  <c r="J797" i="15" s="1"/>
  <c r="Q797" i="15"/>
  <c r="I797" i="15"/>
  <c r="M797" i="15"/>
  <c r="P797" i="15"/>
  <c r="K797" i="15"/>
  <c r="R797" i="15"/>
  <c r="N797" i="15"/>
  <c r="S797" i="7"/>
  <c r="V797" i="7" a="1"/>
  <c r="V797" i="7" s="1"/>
  <c r="Z797" i="7"/>
  <c r="R795" i="15"/>
  <c r="M795" i="15"/>
  <c r="P795" i="15"/>
  <c r="G795" i="15"/>
  <c r="N795" i="15"/>
  <c r="Q795" i="15"/>
  <c r="L795" i="15"/>
  <c r="J795" i="15" a="1"/>
  <c r="J795" i="15" s="1"/>
  <c r="O795" i="15"/>
  <c r="I795" i="15"/>
  <c r="K795" i="15"/>
  <c r="I796" i="15"/>
  <c r="R796" i="15"/>
  <c r="M796" i="15"/>
  <c r="P796" i="15"/>
  <c r="K796" i="15"/>
  <c r="L796" i="15"/>
  <c r="O796" i="15"/>
  <c r="G796" i="15"/>
  <c r="N796" i="15"/>
  <c r="J796" i="15" a="1"/>
  <c r="J796" i="15" s="1"/>
  <c r="Q796" i="15"/>
  <c r="S796" i="7"/>
  <c r="V796" i="7" a="1"/>
  <c r="V796" i="7" s="1"/>
  <c r="Z796" i="7"/>
  <c r="S795" i="7"/>
  <c r="V795" i="7" a="1"/>
  <c r="V795" i="7" s="1"/>
  <c r="Z795" i="7"/>
  <c r="G794" i="15"/>
  <c r="K794" i="15"/>
  <c r="N794" i="15"/>
  <c r="I794" i="15"/>
  <c r="L794" i="15"/>
  <c r="J794" i="15" a="1"/>
  <c r="J794" i="15" s="1"/>
  <c r="M794" i="15"/>
  <c r="Q794" i="15"/>
  <c r="R794" i="15"/>
  <c r="O794" i="15"/>
  <c r="P794" i="15"/>
  <c r="Z794" i="7"/>
  <c r="S794" i="7"/>
  <c r="V794" i="7" a="1"/>
  <c r="V794" i="7" s="1"/>
  <c r="I793" i="15"/>
  <c r="K793" i="15"/>
  <c r="L793" i="15"/>
  <c r="Q793" i="15"/>
  <c r="G793" i="15"/>
  <c r="J793" i="15" a="1"/>
  <c r="J793" i="15" s="1"/>
  <c r="R793" i="15"/>
  <c r="M793" i="15"/>
  <c r="N793" i="15"/>
  <c r="O793" i="15"/>
  <c r="P793" i="15"/>
  <c r="S793" i="7"/>
  <c r="V793" i="7" a="1"/>
  <c r="V793" i="7" s="1"/>
  <c r="Z793" i="7"/>
  <c r="K792" i="15"/>
  <c r="J792" i="15" a="1"/>
  <c r="J792" i="15" s="1"/>
  <c r="R792" i="15"/>
  <c r="M792" i="15"/>
  <c r="G792" i="15"/>
  <c r="N792" i="15"/>
  <c r="O792" i="15"/>
  <c r="P792" i="15"/>
  <c r="I792" i="15"/>
  <c r="L792" i="15"/>
  <c r="Q792" i="15"/>
  <c r="J791" i="15" a="1"/>
  <c r="J791" i="15" s="1"/>
  <c r="R791" i="15"/>
  <c r="M791" i="15"/>
  <c r="G791" i="15"/>
  <c r="N791" i="15"/>
  <c r="O791" i="15"/>
  <c r="P791" i="15"/>
  <c r="I791" i="15"/>
  <c r="Q791" i="15"/>
  <c r="K791" i="15"/>
  <c r="L791" i="15"/>
  <c r="S792" i="7"/>
  <c r="V792" i="7" a="1"/>
  <c r="V792" i="7" s="1"/>
  <c r="Z792" i="7"/>
  <c r="S791" i="7"/>
  <c r="V791" i="7" a="1"/>
  <c r="V791" i="7" s="1"/>
  <c r="Z791" i="7"/>
  <c r="P790" i="15"/>
  <c r="G790" i="15"/>
  <c r="K790" i="15"/>
  <c r="J790" i="15" a="1"/>
  <c r="J790" i="15" s="1"/>
  <c r="L790" i="15"/>
  <c r="M790" i="15"/>
  <c r="I790" i="15"/>
  <c r="R790" i="15"/>
  <c r="O790" i="15"/>
  <c r="Q790" i="15"/>
  <c r="N790" i="15"/>
  <c r="S790" i="7"/>
  <c r="V790" i="7" a="1"/>
  <c r="V790" i="7" s="1"/>
  <c r="Z790" i="7"/>
  <c r="G789" i="15"/>
  <c r="J789" i="15" a="1"/>
  <c r="J789" i="15" s="1"/>
  <c r="M789" i="15"/>
  <c r="I789" i="15"/>
  <c r="K789" i="15"/>
  <c r="L789" i="15"/>
  <c r="N789" i="15"/>
  <c r="O789" i="15"/>
  <c r="P789" i="15"/>
  <c r="R789" i="15"/>
  <c r="Q789" i="15"/>
  <c r="S789" i="7"/>
  <c r="V789" i="7" a="1"/>
  <c r="V789" i="7" s="1"/>
  <c r="Z789" i="7"/>
  <c r="R788" i="15"/>
  <c r="N788" i="15"/>
  <c r="P788" i="15"/>
  <c r="G788" i="15"/>
  <c r="L788" i="15"/>
  <c r="J788" i="15" a="1"/>
  <c r="J788" i="15" s="1"/>
  <c r="Q788" i="15"/>
  <c r="I788" i="15"/>
  <c r="M788" i="15"/>
  <c r="K788" i="15"/>
  <c r="O788" i="15"/>
  <c r="V788" i="7" a="1"/>
  <c r="V788" i="7" s="1"/>
  <c r="S788" i="7"/>
  <c r="Z788" i="7"/>
  <c r="G787" i="15"/>
  <c r="I787" i="15"/>
  <c r="K787" i="15"/>
  <c r="L787" i="15"/>
  <c r="J787" i="15" a="1"/>
  <c r="J787" i="15" s="1"/>
  <c r="R787" i="15"/>
  <c r="M787" i="15"/>
  <c r="N787" i="15"/>
  <c r="O787" i="15"/>
  <c r="P787" i="15"/>
  <c r="Q787" i="15"/>
  <c r="S787" i="7"/>
  <c r="V787" i="7" a="1"/>
  <c r="V787" i="7" s="1"/>
  <c r="Z787" i="7"/>
  <c r="R786" i="15"/>
  <c r="N786" i="15"/>
  <c r="P786" i="15"/>
  <c r="G786" i="15"/>
  <c r="J786" i="15" a="1"/>
  <c r="J786" i="15" s="1"/>
  <c r="I786" i="15"/>
  <c r="M786" i="15"/>
  <c r="O786" i="15"/>
  <c r="Q786" i="15"/>
  <c r="K786" i="15"/>
  <c r="L786" i="15"/>
  <c r="S786" i="7"/>
  <c r="V786" i="7" a="1"/>
  <c r="V786" i="7" s="1"/>
  <c r="Z786" i="7"/>
  <c r="P785" i="15"/>
  <c r="G785" i="15"/>
  <c r="R785" i="15"/>
  <c r="N785" i="15"/>
  <c r="I785" i="15"/>
  <c r="M785" i="15"/>
  <c r="O785" i="15"/>
  <c r="K785" i="15"/>
  <c r="Q785" i="15"/>
  <c r="L785" i="15"/>
  <c r="J785" i="15" a="1"/>
  <c r="J785" i="15" s="1"/>
  <c r="S785" i="7"/>
  <c r="V785" i="7" a="1"/>
  <c r="V785" i="7" s="1"/>
  <c r="Z785" i="7"/>
  <c r="V780" i="7" a="1"/>
  <c r="V780" i="7" s="1"/>
  <c r="R784" i="15"/>
  <c r="M784" i="15"/>
  <c r="N784" i="15"/>
  <c r="O784" i="15"/>
  <c r="P784" i="15"/>
  <c r="Q784" i="15"/>
  <c r="G784" i="15"/>
  <c r="I784" i="15"/>
  <c r="K784" i="15"/>
  <c r="L784" i="15"/>
  <c r="J784" i="15" a="1"/>
  <c r="J784" i="15" s="1"/>
  <c r="S780" i="7"/>
  <c r="S784" i="7"/>
  <c r="V784" i="7" a="1"/>
  <c r="V784" i="7" s="1"/>
  <c r="Z784" i="7"/>
  <c r="K783" i="15"/>
  <c r="R783" i="15"/>
  <c r="L783" i="15"/>
  <c r="M783" i="15"/>
  <c r="G783" i="15"/>
  <c r="N783" i="15"/>
  <c r="O783" i="15"/>
  <c r="I783" i="15"/>
  <c r="P783" i="15"/>
  <c r="J783" i="15" a="1"/>
  <c r="J783" i="15" s="1"/>
  <c r="Q783" i="15"/>
  <c r="Q782" i="15"/>
  <c r="M782" i="15"/>
  <c r="G782" i="15"/>
  <c r="N782" i="15"/>
  <c r="O782" i="15"/>
  <c r="I782" i="15"/>
  <c r="P782" i="15"/>
  <c r="K782" i="15"/>
  <c r="J782" i="15" a="1"/>
  <c r="J782" i="15" s="1"/>
  <c r="L782" i="15"/>
  <c r="R782" i="15"/>
  <c r="S783" i="7"/>
  <c r="V783" i="7" a="1"/>
  <c r="V783" i="7" s="1"/>
  <c r="Z783" i="7"/>
  <c r="S782" i="7"/>
  <c r="V782" i="7" a="1"/>
  <c r="V782" i="7" s="1"/>
  <c r="Z782" i="7"/>
  <c r="O781" i="15"/>
  <c r="P781" i="15"/>
  <c r="Q781" i="15"/>
  <c r="G781" i="15"/>
  <c r="I781" i="15"/>
  <c r="K781" i="15"/>
  <c r="L781" i="15"/>
  <c r="J781" i="15" a="1"/>
  <c r="J781" i="15" s="1"/>
  <c r="R781" i="15"/>
  <c r="M781" i="15"/>
  <c r="N781" i="15"/>
  <c r="S781" i="7"/>
  <c r="V781" i="7" a="1"/>
  <c r="V781" i="7" s="1"/>
  <c r="Z781" i="7"/>
  <c r="G780" i="15"/>
  <c r="I780" i="15"/>
  <c r="K780" i="15"/>
  <c r="L780" i="15"/>
  <c r="J780" i="15" a="1"/>
  <c r="J780" i="15" s="1"/>
  <c r="R780" i="15"/>
  <c r="M780" i="15"/>
  <c r="N780" i="15"/>
  <c r="O780" i="15"/>
  <c r="P780" i="15"/>
  <c r="Q780" i="15"/>
  <c r="V771" i="7" a="1"/>
  <c r="V771" i="7" s="1"/>
  <c r="K776" i="15"/>
  <c r="N776" i="15"/>
  <c r="L776" i="15"/>
  <c r="G776" i="15"/>
  <c r="J776" i="15" a="1"/>
  <c r="J776" i="15" s="1"/>
  <c r="O776" i="15"/>
  <c r="R776" i="15"/>
  <c r="I776" i="15"/>
  <c r="M776" i="15"/>
  <c r="Q776" i="15"/>
  <c r="P776" i="15"/>
  <c r="K779" i="15"/>
  <c r="J779" i="15" a="1"/>
  <c r="J779" i="15" s="1"/>
  <c r="N779" i="15"/>
  <c r="L779" i="15"/>
  <c r="G779" i="15"/>
  <c r="P779" i="15"/>
  <c r="I779" i="15"/>
  <c r="M779" i="15"/>
  <c r="O779" i="15"/>
  <c r="Q779" i="15"/>
  <c r="R779" i="15"/>
  <c r="K778" i="15"/>
  <c r="O778" i="15"/>
  <c r="N778" i="15"/>
  <c r="L778" i="15"/>
  <c r="P778" i="15"/>
  <c r="J778" i="15" a="1"/>
  <c r="J778" i="15" s="1"/>
  <c r="I778" i="15"/>
  <c r="M778" i="15"/>
  <c r="G778" i="15"/>
  <c r="Q778" i="15"/>
  <c r="R778" i="15"/>
  <c r="K777" i="15"/>
  <c r="N777" i="15"/>
  <c r="L777" i="15"/>
  <c r="O777" i="15"/>
  <c r="G777" i="15"/>
  <c r="J777" i="15" a="1"/>
  <c r="J777" i="15" s="1"/>
  <c r="R777" i="15"/>
  <c r="P777" i="15"/>
  <c r="I777" i="15"/>
  <c r="M777" i="15"/>
  <c r="Q777" i="15"/>
  <c r="Z779" i="7"/>
  <c r="S779" i="7"/>
  <c r="V779" i="7" a="1"/>
  <c r="V779" i="7" s="1"/>
  <c r="Z778" i="7"/>
  <c r="S778" i="7"/>
  <c r="V778" i="7" a="1"/>
  <c r="V778" i="7" s="1"/>
  <c r="Z777" i="7"/>
  <c r="S777" i="7"/>
  <c r="V777" i="7" a="1"/>
  <c r="V777" i="7" s="1"/>
  <c r="Z776" i="7"/>
  <c r="S776" i="7"/>
  <c r="V776" i="7" a="1"/>
  <c r="V776" i="7" s="1"/>
  <c r="J775" i="15" a="1"/>
  <c r="J775" i="15" s="1"/>
  <c r="M775" i="15"/>
  <c r="R775" i="15"/>
  <c r="G775" i="15"/>
  <c r="Q775" i="15"/>
  <c r="L775" i="15"/>
  <c r="I775" i="15"/>
  <c r="O775" i="15"/>
  <c r="K775" i="15"/>
  <c r="N775" i="15"/>
  <c r="P775" i="15"/>
  <c r="V775" i="7" a="1"/>
  <c r="V775" i="7" s="1"/>
  <c r="S775" i="7"/>
  <c r="Z775" i="7"/>
  <c r="O774" i="15"/>
  <c r="N774" i="15"/>
  <c r="M774" i="15"/>
  <c r="R774" i="15"/>
  <c r="J774" i="15" a="1"/>
  <c r="J774" i="15" s="1"/>
  <c r="P774" i="15"/>
  <c r="I774" i="15"/>
  <c r="K774" i="15"/>
  <c r="Q774" i="15"/>
  <c r="G774" i="15"/>
  <c r="L774" i="15"/>
  <c r="S774" i="7"/>
  <c r="V774" i="7" a="1"/>
  <c r="V774" i="7" s="1"/>
  <c r="Z774" i="7"/>
  <c r="S771" i="7"/>
  <c r="G773" i="15"/>
  <c r="I773" i="15"/>
  <c r="L773" i="15"/>
  <c r="J773" i="15" a="1"/>
  <c r="J773" i="15" s="1"/>
  <c r="K773" i="15"/>
  <c r="R773" i="15"/>
  <c r="M773" i="15"/>
  <c r="N773" i="15"/>
  <c r="O773" i="15"/>
  <c r="P773" i="15"/>
  <c r="Q773" i="15"/>
  <c r="S773" i="7"/>
  <c r="V773" i="7" a="1"/>
  <c r="V773" i="7" s="1"/>
  <c r="Z773" i="7"/>
  <c r="M772" i="15"/>
  <c r="G772" i="15"/>
  <c r="J772" i="15" a="1"/>
  <c r="J772" i="15" s="1"/>
  <c r="N772" i="15"/>
  <c r="O772" i="15"/>
  <c r="P772" i="15"/>
  <c r="Q772" i="15"/>
  <c r="L772" i="15"/>
  <c r="I772" i="15"/>
  <c r="K772" i="15"/>
  <c r="R772" i="15"/>
  <c r="Z772" i="7"/>
  <c r="V772" i="7" a="1"/>
  <c r="V772" i="7" s="1"/>
  <c r="S772" i="7"/>
  <c r="Q771" i="15"/>
  <c r="P771" i="15"/>
  <c r="O771" i="15"/>
  <c r="N771" i="15"/>
  <c r="M771" i="15"/>
  <c r="R771" i="15"/>
  <c r="J771" i="15" a="1"/>
  <c r="J771" i="15" s="1"/>
  <c r="L771" i="15"/>
  <c r="K771" i="15"/>
  <c r="I771" i="15"/>
  <c r="G771" i="15"/>
  <c r="R770" i="15"/>
  <c r="M770" i="15"/>
  <c r="N770" i="15"/>
  <c r="O770" i="15"/>
  <c r="I770" i="15"/>
  <c r="G770" i="15"/>
  <c r="K770" i="15"/>
  <c r="L770" i="15"/>
  <c r="J770" i="15" a="1"/>
  <c r="J770" i="15" s="1"/>
  <c r="P770" i="15"/>
  <c r="Q770" i="15"/>
  <c r="S770" i="7"/>
  <c r="V770" i="7" a="1"/>
  <c r="V770" i="7" s="1"/>
  <c r="Z770" i="7"/>
  <c r="O769" i="15"/>
  <c r="Q769" i="15"/>
  <c r="G769" i="15"/>
  <c r="I769" i="15"/>
  <c r="P769" i="15"/>
  <c r="K769" i="15"/>
  <c r="L769" i="15"/>
  <c r="J769" i="15" a="1"/>
  <c r="J769" i="15" s="1"/>
  <c r="R769" i="15"/>
  <c r="M769" i="15"/>
  <c r="N769" i="15"/>
  <c r="S769" i="7"/>
  <c r="V769" i="7" a="1"/>
  <c r="V769" i="7" s="1"/>
  <c r="Z769" i="7"/>
  <c r="J768" i="15" a="1"/>
  <c r="J768" i="15" s="1"/>
  <c r="R768" i="15"/>
  <c r="M768" i="15"/>
  <c r="N768" i="15"/>
  <c r="O768" i="15"/>
  <c r="P768" i="15"/>
  <c r="Q768" i="15"/>
  <c r="I768" i="15"/>
  <c r="G768" i="15"/>
  <c r="K768" i="15"/>
  <c r="L768" i="15"/>
  <c r="S768" i="7"/>
  <c r="V768" i="7" a="1"/>
  <c r="V768" i="7" s="1"/>
  <c r="Z768" i="7"/>
  <c r="O767" i="15"/>
  <c r="P767" i="15"/>
  <c r="Q767" i="15"/>
  <c r="K767" i="15"/>
  <c r="I767" i="15"/>
  <c r="L767" i="15"/>
  <c r="J767" i="15" a="1"/>
  <c r="J767" i="15" s="1"/>
  <c r="R767" i="15"/>
  <c r="M767" i="15"/>
  <c r="N767" i="15"/>
  <c r="G767" i="15"/>
  <c r="S767" i="7"/>
  <c r="V767" i="7" a="1"/>
  <c r="V767" i="7" s="1"/>
  <c r="Z767" i="7"/>
  <c r="K766" i="15"/>
  <c r="L766" i="15"/>
  <c r="O766" i="15"/>
  <c r="J766" i="15" a="1"/>
  <c r="J766" i="15" s="1"/>
  <c r="R766" i="15"/>
  <c r="M766" i="15"/>
  <c r="N766" i="15"/>
  <c r="Q766" i="15"/>
  <c r="G766" i="15"/>
  <c r="I766" i="15"/>
  <c r="P766" i="15"/>
  <c r="S766" i="7"/>
  <c r="V766" i="7" a="1"/>
  <c r="V766" i="7" s="1"/>
  <c r="Z766" i="7"/>
  <c r="M765" i="15"/>
  <c r="N765" i="15"/>
  <c r="O765" i="15"/>
  <c r="Q765" i="15"/>
  <c r="P765" i="15"/>
  <c r="I765" i="15"/>
  <c r="K765" i="15"/>
  <c r="L765" i="15"/>
  <c r="J765" i="15" a="1"/>
  <c r="J765" i="15" s="1"/>
  <c r="R765" i="15"/>
  <c r="G765" i="15"/>
  <c r="S765" i="7"/>
  <c r="V765" i="7" a="1"/>
  <c r="V765" i="7" s="1"/>
  <c r="Z765" i="7"/>
  <c r="O764" i="15"/>
  <c r="I764" i="15"/>
  <c r="R764" i="15"/>
  <c r="K764" i="15"/>
  <c r="M764" i="15"/>
  <c r="N764" i="15"/>
  <c r="L764" i="15"/>
  <c r="J764" i="15" a="1"/>
  <c r="J764" i="15" s="1"/>
  <c r="P764" i="15"/>
  <c r="G764" i="15"/>
  <c r="Q764" i="15"/>
  <c r="S764" i="7"/>
  <c r="V764" i="7" a="1"/>
  <c r="V764" i="7" s="1"/>
  <c r="Z764" i="7"/>
  <c r="O763" i="15"/>
  <c r="Q763" i="15"/>
  <c r="G763" i="15"/>
  <c r="I763" i="15"/>
  <c r="M763" i="15"/>
  <c r="N763" i="15"/>
  <c r="K763" i="15"/>
  <c r="L763" i="15"/>
  <c r="R763" i="15"/>
  <c r="P763" i="15"/>
  <c r="J763" i="15" a="1"/>
  <c r="J763" i="15" s="1"/>
  <c r="S763" i="7"/>
  <c r="V763" i="7" a="1"/>
  <c r="V763" i="7" s="1"/>
  <c r="Z763" i="7"/>
  <c r="G181" i="15"/>
  <c r="G108" i="15"/>
  <c r="E108" i="15" s="1"/>
  <c r="G52" i="15"/>
  <c r="E52" i="15" s="1"/>
  <c r="G25" i="15"/>
  <c r="E25" i="15" s="1"/>
  <c r="G51" i="15"/>
  <c r="E51" i="15" s="1"/>
  <c r="G41" i="15"/>
  <c r="E41" i="15" s="1"/>
  <c r="G226" i="15"/>
  <c r="G174" i="15"/>
  <c r="F174" i="15" s="1"/>
  <c r="G187" i="15"/>
  <c r="E187" i="15" s="1"/>
  <c r="G4" i="15"/>
  <c r="F4" i="15" s="1"/>
  <c r="G56" i="15"/>
  <c r="F56" i="15" s="1"/>
  <c r="G125" i="15"/>
  <c r="E125" i="15" s="1"/>
  <c r="G203" i="15"/>
  <c r="E203" i="15" s="1"/>
  <c r="G18" i="15"/>
  <c r="E18" i="15" s="1"/>
  <c r="G111" i="15"/>
  <c r="E111" i="15" s="1"/>
  <c r="G34" i="15"/>
  <c r="E34" i="15" s="1"/>
  <c r="G184" i="15"/>
  <c r="E184" i="15" s="1"/>
  <c r="G12" i="15"/>
  <c r="F12" i="15" s="1"/>
  <c r="G64" i="15"/>
  <c r="E64" i="15" s="1"/>
  <c r="G223" i="15"/>
  <c r="E223" i="15" s="1"/>
  <c r="G131" i="15"/>
  <c r="E131" i="15" s="1"/>
  <c r="G166" i="15"/>
  <c r="E166" i="15" s="1"/>
  <c r="G207" i="15"/>
  <c r="E207" i="15" s="1"/>
  <c r="G183" i="15"/>
  <c r="E183" i="15" s="1"/>
  <c r="G16" i="15"/>
  <c r="E16" i="15" s="1"/>
  <c r="G145" i="15"/>
  <c r="E145" i="15" s="1"/>
  <c r="G116" i="15"/>
  <c r="F116" i="15" s="1"/>
  <c r="G192" i="15"/>
  <c r="E192" i="15" s="1"/>
  <c r="G5" i="15"/>
  <c r="E5" i="15" s="1"/>
  <c r="G70" i="15"/>
  <c r="E70" i="15" s="1"/>
  <c r="G61" i="15"/>
  <c r="E61" i="15" s="1"/>
  <c r="G279" i="15"/>
  <c r="E279" i="15" s="1"/>
  <c r="G293" i="15"/>
  <c r="E293" i="15" s="1"/>
  <c r="G311" i="15"/>
  <c r="E311" i="15" s="1"/>
  <c r="G315" i="15"/>
  <c r="E315" i="15" s="1"/>
  <c r="G327" i="15"/>
  <c r="F327" i="15" s="1"/>
  <c r="G343" i="15"/>
  <c r="E343" i="15" s="1"/>
  <c r="G357" i="15"/>
  <c r="F357" i="15" s="1"/>
  <c r="G366" i="15"/>
  <c r="E366" i="15" s="1"/>
  <c r="G377" i="15"/>
  <c r="E377" i="15" s="1"/>
  <c r="G398" i="15"/>
  <c r="E398" i="15" s="1"/>
  <c r="G408" i="15"/>
  <c r="E408" i="15" s="1"/>
  <c r="G424" i="15"/>
  <c r="E424" i="15" s="1"/>
  <c r="G437" i="15"/>
  <c r="E437" i="15" s="1"/>
  <c r="G447" i="15"/>
  <c r="E447" i="15" s="1"/>
  <c r="G533" i="15"/>
  <c r="E533" i="15" s="1"/>
  <c r="G541" i="15"/>
  <c r="E541" i="15" s="1"/>
  <c r="G563" i="15"/>
  <c r="E563" i="15" s="1"/>
  <c r="G569" i="15"/>
  <c r="G593" i="15"/>
  <c r="E593" i="15" s="1"/>
  <c r="G606" i="15"/>
  <c r="G623" i="15"/>
  <c r="G631" i="15"/>
  <c r="G646" i="15"/>
  <c r="G667" i="15"/>
  <c r="G42" i="15"/>
  <c r="E42" i="15" s="1"/>
  <c r="G141" i="15"/>
  <c r="E141" i="15" s="1"/>
  <c r="G39" i="15"/>
  <c r="F39" i="15" s="1"/>
  <c r="G202" i="15"/>
  <c r="F202" i="15" s="1"/>
  <c r="G24" i="15"/>
  <c r="E24" i="15" s="1"/>
  <c r="G210" i="15"/>
  <c r="E210" i="15" s="1"/>
  <c r="G171" i="15"/>
  <c r="E171" i="15" s="1"/>
  <c r="G254" i="15"/>
  <c r="E254" i="15" s="1"/>
  <c r="G216" i="15"/>
  <c r="E216" i="15" s="1"/>
  <c r="G221" i="15"/>
  <c r="G123" i="15"/>
  <c r="F123" i="15" s="1"/>
  <c r="G170" i="15"/>
  <c r="F170" i="15" s="1"/>
  <c r="G199" i="15"/>
  <c r="G259" i="15"/>
  <c r="E259" i="15" s="1"/>
  <c r="G287" i="15"/>
  <c r="E287" i="15" s="1"/>
  <c r="G303" i="15"/>
  <c r="E303" i="15" s="1"/>
  <c r="G336" i="15"/>
  <c r="E336" i="15" s="1"/>
  <c r="G342" i="15"/>
  <c r="E342" i="15" s="1"/>
  <c r="G351" i="15"/>
  <c r="E351" i="15" s="1"/>
  <c r="G359" i="15"/>
  <c r="E359" i="15" s="1"/>
  <c r="G369" i="15"/>
  <c r="E369" i="15" s="1"/>
  <c r="G376" i="15"/>
  <c r="E376" i="15" s="1"/>
  <c r="G390" i="15"/>
  <c r="E390" i="15" s="1"/>
  <c r="G407" i="15"/>
  <c r="E407" i="15" s="1"/>
  <c r="G415" i="15"/>
  <c r="E415" i="15" s="1"/>
  <c r="G446" i="15"/>
  <c r="E446" i="15" s="1"/>
  <c r="G456" i="15"/>
  <c r="E456" i="15" s="1"/>
  <c r="G460" i="15"/>
  <c r="E460" i="15" s="1"/>
  <c r="G472" i="15"/>
  <c r="E472" i="15" s="1"/>
  <c r="G504" i="15"/>
  <c r="E504" i="15" s="1"/>
  <c r="G306" i="15"/>
  <c r="E306" i="15" s="1"/>
  <c r="G549" i="15"/>
  <c r="E549" i="15" s="1"/>
  <c r="G562" i="15"/>
  <c r="E562" i="15" s="1"/>
  <c r="G568" i="15"/>
  <c r="F568" i="15" s="1"/>
  <c r="G589" i="15"/>
  <c r="F589" i="15" s="1"/>
  <c r="G613" i="15"/>
  <c r="G621" i="15"/>
  <c r="G640" i="15"/>
  <c r="G652" i="15"/>
  <c r="G658" i="15"/>
  <c r="G122" i="15"/>
  <c r="E122" i="15" s="1"/>
  <c r="G63" i="15"/>
  <c r="E63" i="15" s="1"/>
  <c r="G252" i="15"/>
  <c r="F252" i="15" s="1"/>
  <c r="G182" i="15"/>
  <c r="E182" i="15" s="1"/>
  <c r="G144" i="15"/>
  <c r="E144" i="15" s="1"/>
  <c r="G114" i="15"/>
  <c r="E114" i="15" s="1"/>
  <c r="G243" i="15"/>
  <c r="E243" i="15" s="1"/>
  <c r="G82" i="15"/>
  <c r="E82" i="15" s="1"/>
  <c r="G253" i="15"/>
  <c r="E253" i="15" s="1"/>
  <c r="G233" i="15"/>
  <c r="F233" i="15" s="1"/>
  <c r="G296" i="15"/>
  <c r="E296" i="15" s="1"/>
  <c r="G304" i="15"/>
  <c r="E304" i="15" s="1"/>
  <c r="G326" i="15"/>
  <c r="E326" i="15" s="1"/>
  <c r="G335" i="15"/>
  <c r="E335" i="15" s="1"/>
  <c r="G341" i="15"/>
  <c r="E341" i="15" s="1"/>
  <c r="G368" i="15"/>
  <c r="E368" i="15" s="1"/>
  <c r="G383" i="15"/>
  <c r="E383" i="15" s="1"/>
  <c r="G399" i="15"/>
  <c r="E399" i="15" s="1"/>
  <c r="G423" i="15"/>
  <c r="F423" i="15" s="1"/>
  <c r="G432" i="15"/>
  <c r="F432" i="15" s="1"/>
  <c r="G445" i="15"/>
  <c r="E445" i="15" s="1"/>
  <c r="G471" i="15"/>
  <c r="E471" i="15" s="1"/>
  <c r="G496" i="15"/>
  <c r="G521" i="15"/>
  <c r="E521" i="15" s="1"/>
  <c r="G540" i="15"/>
  <c r="E540" i="15" s="1"/>
  <c r="G557" i="15"/>
  <c r="E557" i="15" s="1"/>
  <c r="G558" i="15"/>
  <c r="E558" i="15" s="1"/>
  <c r="G588" i="15"/>
  <c r="E588" i="15" s="1"/>
  <c r="G591" i="15"/>
  <c r="E591" i="15" s="1"/>
  <c r="G620" i="15"/>
  <c r="G630" i="15"/>
  <c r="G651" i="15"/>
  <c r="G657" i="15"/>
  <c r="G662" i="15"/>
  <c r="G190" i="15"/>
  <c r="E190" i="15" s="1"/>
  <c r="G251" i="15"/>
  <c r="E251" i="15" s="1"/>
  <c r="G157" i="15"/>
  <c r="E157" i="15" s="1"/>
  <c r="G165" i="15"/>
  <c r="E165" i="15" s="1"/>
  <c r="G208" i="15"/>
  <c r="E208" i="15" s="1"/>
  <c r="G44" i="15"/>
  <c r="F44" i="15" s="1"/>
  <c r="G513" i="15"/>
  <c r="E513" i="15" s="1"/>
  <c r="G142" i="15"/>
  <c r="E142" i="15" s="1"/>
  <c r="G266" i="15"/>
  <c r="F266" i="15" s="1"/>
  <c r="G272" i="15"/>
  <c r="F272" i="15" s="1"/>
  <c r="G280" i="15"/>
  <c r="F280" i="15" s="1"/>
  <c r="G299" i="15"/>
  <c r="E299" i="15" s="1"/>
  <c r="G350" i="15"/>
  <c r="E350" i="15" s="1"/>
  <c r="G367" i="15"/>
  <c r="E367" i="15" s="1"/>
  <c r="G375" i="15"/>
  <c r="E375" i="15" s="1"/>
  <c r="G401" i="15"/>
  <c r="E401" i="15" s="1"/>
  <c r="G422" i="15"/>
  <c r="F422" i="15" s="1"/>
  <c r="G431" i="15"/>
  <c r="F431" i="15" s="1"/>
  <c r="G440" i="15"/>
  <c r="E440" i="15" s="1"/>
  <c r="G455" i="15"/>
  <c r="E455" i="15" s="1"/>
  <c r="G459" i="15"/>
  <c r="E459" i="15" s="1"/>
  <c r="G470" i="15"/>
  <c r="E470" i="15" s="1"/>
  <c r="G485" i="15"/>
  <c r="E485" i="15" s="1"/>
  <c r="G490" i="15"/>
  <c r="F490" i="15" s="1"/>
  <c r="G495" i="15"/>
  <c r="F495" i="15" s="1"/>
  <c r="G503" i="15"/>
  <c r="E503" i="15" s="1"/>
  <c r="G48" i="15"/>
  <c r="E48" i="15" s="1"/>
  <c r="G538" i="15"/>
  <c r="E538" i="15" s="1"/>
  <c r="G556" i="15"/>
  <c r="E556" i="15" s="1"/>
  <c r="G587" i="15"/>
  <c r="E587" i="15" s="1"/>
  <c r="G600" i="15"/>
  <c r="G605" i="15"/>
  <c r="G612" i="15"/>
  <c r="G619" i="15"/>
  <c r="G663" i="15"/>
  <c r="G668" i="15"/>
  <c r="G21" i="15"/>
  <c r="G517" i="15"/>
  <c r="E517" i="15" s="1"/>
  <c r="G194" i="15"/>
  <c r="E194" i="15" s="1"/>
  <c r="G35" i="15"/>
  <c r="F35" i="15" s="1"/>
  <c r="G68" i="15"/>
  <c r="F68" i="15" s="1"/>
  <c r="G218" i="15"/>
  <c r="E218" i="15" s="1"/>
  <c r="G265" i="15"/>
  <c r="E265" i="15" s="1"/>
  <c r="G281" i="15"/>
  <c r="E281" i="15" s="1"/>
  <c r="G290" i="15"/>
  <c r="E290" i="15" s="1"/>
  <c r="G297" i="15"/>
  <c r="G312" i="15"/>
  <c r="E312" i="15" s="1"/>
  <c r="G321" i="15"/>
  <c r="E321" i="15" s="1"/>
  <c r="G329" i="15"/>
  <c r="E329" i="15" s="1"/>
  <c r="G361" i="15"/>
  <c r="F361" i="15" s="1"/>
  <c r="G374" i="15"/>
  <c r="E374" i="15" s="1"/>
  <c r="G395" i="15"/>
  <c r="E395" i="15" s="1"/>
  <c r="G400" i="15"/>
  <c r="E400" i="15" s="1"/>
  <c r="G416" i="15"/>
  <c r="G436" i="15"/>
  <c r="E436" i="15" s="1"/>
  <c r="G453" i="15"/>
  <c r="E453" i="15" s="1"/>
  <c r="G457" i="15"/>
  <c r="E457" i="15" s="1"/>
  <c r="G466" i="15"/>
  <c r="E466" i="15" s="1"/>
  <c r="G484" i="15"/>
  <c r="E484" i="15" s="1"/>
  <c r="G489" i="15"/>
  <c r="E489" i="15" s="1"/>
  <c r="G510" i="15"/>
  <c r="F510" i="15" s="1"/>
  <c r="G520" i="15"/>
  <c r="E520" i="15" s="1"/>
  <c r="G528" i="15"/>
  <c r="E528" i="15" s="1"/>
  <c r="G537" i="15"/>
  <c r="F537" i="15" s="1"/>
  <c r="G539" i="15"/>
  <c r="E539" i="15" s="1"/>
  <c r="G561" i="15"/>
  <c r="E561" i="15" s="1"/>
  <c r="G574" i="15"/>
  <c r="G580" i="15"/>
  <c r="G586" i="15"/>
  <c r="E586" i="15" s="1"/>
  <c r="G599" i="15"/>
  <c r="G618" i="15"/>
  <c r="G629" i="15"/>
  <c r="G642" i="15"/>
  <c r="G146" i="15"/>
  <c r="F146" i="15" s="1"/>
  <c r="G117" i="15"/>
  <c r="G204" i="15"/>
  <c r="G214" i="15"/>
  <c r="G32" i="15"/>
  <c r="E32" i="15" s="1"/>
  <c r="G84" i="15"/>
  <c r="E84" i="15" s="1"/>
  <c r="G22" i="15"/>
  <c r="E22" i="15" s="1"/>
  <c r="G113" i="15"/>
  <c r="E113" i="15" s="1"/>
  <c r="G211" i="15"/>
  <c r="E211" i="15" s="1"/>
  <c r="G274" i="15"/>
  <c r="E274" i="15" s="1"/>
  <c r="G289" i="15"/>
  <c r="E289" i="15" s="1"/>
  <c r="G47" i="15"/>
  <c r="E47" i="15" s="1"/>
  <c r="G313" i="15"/>
  <c r="E313" i="15" s="1"/>
  <c r="G328" i="15"/>
  <c r="E328" i="15" s="1"/>
  <c r="G337" i="15"/>
  <c r="E337" i="15" s="1"/>
  <c r="G345" i="15"/>
  <c r="F345" i="15" s="1"/>
  <c r="G384" i="15"/>
  <c r="E384" i="15" s="1"/>
  <c r="G393" i="15"/>
  <c r="E393" i="15" s="1"/>
  <c r="G409" i="15"/>
  <c r="E409" i="15" s="1"/>
  <c r="G425" i="15"/>
  <c r="G454" i="15"/>
  <c r="E454" i="15" s="1"/>
  <c r="G469" i="15"/>
  <c r="E469" i="15" s="1"/>
  <c r="G473" i="15"/>
  <c r="E473" i="15" s="1"/>
  <c r="G488" i="15"/>
  <c r="E488" i="15" s="1"/>
  <c r="G502" i="15"/>
  <c r="E502" i="15" s="1"/>
  <c r="G509" i="15"/>
  <c r="E509" i="15" s="1"/>
  <c r="G536" i="15"/>
  <c r="E536" i="15" s="1"/>
  <c r="G555" i="15"/>
  <c r="E555" i="15" s="1"/>
  <c r="G573" i="15"/>
  <c r="G579" i="15"/>
  <c r="G584" i="15"/>
  <c r="E584" i="15" s="1"/>
  <c r="G585" i="15"/>
  <c r="E585" i="15" s="1"/>
  <c r="G604" i="15"/>
  <c r="G611" i="15"/>
  <c r="G158" i="15"/>
  <c r="E158" i="15" s="1"/>
  <c r="G103" i="15"/>
  <c r="E103" i="15" s="1"/>
  <c r="G153" i="15"/>
  <c r="E153" i="15" s="1"/>
  <c r="G242" i="15"/>
  <c r="E242" i="15" s="1"/>
  <c r="G236" i="15"/>
  <c r="E236" i="15" s="1"/>
  <c r="G160" i="15"/>
  <c r="E160" i="15" s="1"/>
  <c r="G177" i="15"/>
  <c r="E177" i="15" s="1"/>
  <c r="G235" i="15"/>
  <c r="E235" i="15" s="1"/>
  <c r="G124" i="15"/>
  <c r="E124" i="15" s="1"/>
  <c r="G138" i="15"/>
  <c r="E138" i="15" s="1"/>
  <c r="G231" i="15"/>
  <c r="E231" i="15" s="1"/>
  <c r="G219" i="15"/>
  <c r="E219" i="15" s="1"/>
  <c r="G6" i="15"/>
  <c r="E6" i="15" s="1"/>
  <c r="G45" i="15"/>
  <c r="F45" i="15" s="1"/>
  <c r="G196" i="15"/>
  <c r="F196" i="15" s="1"/>
  <c r="G209" i="15"/>
  <c r="E209" i="15" s="1"/>
  <c r="G264" i="15"/>
  <c r="E264" i="15" s="1"/>
  <c r="G273" i="15"/>
  <c r="E273" i="15" s="1"/>
  <c r="G288" i="15"/>
  <c r="G298" i="15"/>
  <c r="E298" i="15" s="1"/>
  <c r="G320" i="15"/>
  <c r="E320" i="15" s="1"/>
  <c r="G344" i="15"/>
  <c r="E344" i="15" s="1"/>
  <c r="G360" i="15"/>
  <c r="E360" i="15" s="1"/>
  <c r="G385" i="15"/>
  <c r="E385" i="15" s="1"/>
  <c r="G392" i="15"/>
  <c r="E392" i="15" s="1"/>
  <c r="G417" i="15"/>
  <c r="G441" i="15"/>
  <c r="G467" i="15"/>
  <c r="E467" i="15" s="1"/>
  <c r="G483" i="15"/>
  <c r="E483" i="15" s="1"/>
  <c r="G487" i="15"/>
  <c r="F487" i="15" s="1"/>
  <c r="G519" i="15"/>
  <c r="F519" i="15" s="1"/>
  <c r="G527" i="15"/>
  <c r="E527" i="15" s="1"/>
  <c r="G547" i="15"/>
  <c r="E547" i="15" s="1"/>
  <c r="G560" i="15"/>
  <c r="E560" i="15" s="1"/>
  <c r="G628" i="15"/>
  <c r="G649" i="15"/>
  <c r="G654" i="15"/>
  <c r="G246" i="15"/>
  <c r="E246" i="15" s="1"/>
  <c r="G23" i="15"/>
  <c r="E23" i="15" s="1"/>
  <c r="G59" i="15"/>
  <c r="E59" i="15" s="1"/>
  <c r="G76" i="15"/>
  <c r="E76" i="15" s="1"/>
  <c r="G91" i="15"/>
  <c r="E91" i="15" s="1"/>
  <c r="G227" i="15"/>
  <c r="E227" i="15" s="1"/>
  <c r="G10" i="15"/>
  <c r="E10" i="15" s="1"/>
  <c r="G172" i="15"/>
  <c r="E172" i="15" s="1"/>
  <c r="G239" i="15"/>
  <c r="E239" i="15" s="1"/>
  <c r="G43" i="15"/>
  <c r="E43" i="15" s="1"/>
  <c r="G249" i="15"/>
  <c r="E249" i="15" s="1"/>
  <c r="G14" i="15"/>
  <c r="E14" i="15" s="1"/>
  <c r="G149" i="15"/>
  <c r="E149" i="15" s="1"/>
  <c r="G516" i="15"/>
  <c r="E516" i="15" s="1"/>
  <c r="G129" i="15"/>
  <c r="G354" i="15"/>
  <c r="E354" i="15" s="1"/>
  <c r="G411" i="15"/>
  <c r="E411" i="15" s="1"/>
  <c r="G434" i="15"/>
  <c r="E434" i="15" s="1"/>
  <c r="G451" i="15"/>
  <c r="E451" i="15" s="1"/>
  <c r="G475" i="15"/>
  <c r="E475" i="15" s="1"/>
  <c r="G486" i="15"/>
  <c r="E486" i="15" s="1"/>
  <c r="G501" i="15"/>
  <c r="E501" i="15" s="1"/>
  <c r="G531" i="15"/>
  <c r="E531" i="15" s="1"/>
  <c r="G535" i="15"/>
  <c r="E535" i="15" s="1"/>
  <c r="G554" i="15"/>
  <c r="F554" i="15" s="1"/>
  <c r="G578" i="15"/>
  <c r="G583" i="15"/>
  <c r="G603" i="15"/>
  <c r="G610" i="15"/>
  <c r="G648" i="15"/>
  <c r="G653" i="15"/>
  <c r="G659" i="15"/>
  <c r="G664" i="15"/>
  <c r="G136" i="15"/>
  <c r="E136" i="15" s="1"/>
  <c r="G245" i="15"/>
  <c r="E245" i="15" s="1"/>
  <c r="G515" i="15"/>
  <c r="E515" i="15" s="1"/>
  <c r="G173" i="15"/>
  <c r="F173" i="15" s="1"/>
  <c r="G222" i="15"/>
  <c r="G200" i="15"/>
  <c r="G186" i="15"/>
  <c r="E186" i="15" s="1"/>
  <c r="G169" i="15"/>
  <c r="E169" i="15" s="1"/>
  <c r="G193" i="15"/>
  <c r="E193" i="15" s="1"/>
  <c r="G150" i="15"/>
  <c r="E150" i="15" s="1"/>
  <c r="G247" i="15"/>
  <c r="E247" i="15" s="1"/>
  <c r="G217" i="15"/>
  <c r="E217" i="15" s="1"/>
  <c r="G198" i="15"/>
  <c r="E198" i="15" s="1"/>
  <c r="G176" i="15"/>
  <c r="E176" i="15" s="1"/>
  <c r="G139" i="15"/>
  <c r="E139" i="15" s="1"/>
  <c r="G163" i="15"/>
  <c r="E163" i="15" s="1"/>
  <c r="G128" i="15"/>
  <c r="E128" i="15" s="1"/>
  <c r="G213" i="15"/>
  <c r="E213" i="15" s="1"/>
  <c r="G15" i="15"/>
  <c r="E15" i="15" s="1"/>
  <c r="G161" i="15"/>
  <c r="E161" i="15" s="1"/>
  <c r="G255" i="15"/>
  <c r="E255" i="15" s="1"/>
  <c r="G133" i="15"/>
  <c r="E133" i="15" s="1"/>
  <c r="G258" i="15"/>
  <c r="F258" i="15" s="1"/>
  <c r="G268" i="15"/>
  <c r="E268" i="15" s="1"/>
  <c r="G276" i="15"/>
  <c r="E276" i="15" s="1"/>
  <c r="G284" i="15"/>
  <c r="E284" i="15" s="1"/>
  <c r="G330" i="15"/>
  <c r="E330" i="15" s="1"/>
  <c r="G338" i="15"/>
  <c r="E338" i="15" s="1"/>
  <c r="G348" i="15"/>
  <c r="E348" i="15" s="1"/>
  <c r="G353" i="15"/>
  <c r="E353" i="15" s="1"/>
  <c r="G362" i="15"/>
  <c r="E362" i="15" s="1"/>
  <c r="G370" i="15"/>
  <c r="E370" i="15" s="1"/>
  <c r="G378" i="15"/>
  <c r="F378" i="15" s="1"/>
  <c r="G410" i="15"/>
  <c r="E410" i="15" s="1"/>
  <c r="G427" i="15"/>
  <c r="G444" i="15"/>
  <c r="E444" i="15" s="1"/>
  <c r="G464" i="15"/>
  <c r="G481" i="15"/>
  <c r="E481" i="15" s="1"/>
  <c r="G514" i="15"/>
  <c r="F514" i="15" s="1"/>
  <c r="G518" i="15"/>
  <c r="E518" i="15" s="1"/>
  <c r="G530" i="15"/>
  <c r="E530" i="15" s="1"/>
  <c r="G546" i="15"/>
  <c r="E546" i="15" s="1"/>
  <c r="G559" i="15"/>
  <c r="E559" i="15" s="1"/>
  <c r="G567" i="15"/>
  <c r="G572" i="15"/>
  <c r="G582" i="15"/>
  <c r="E582" i="15" s="1"/>
  <c r="G602" i="15"/>
  <c r="G627" i="15"/>
  <c r="G635" i="15"/>
  <c r="G638" i="15"/>
  <c r="G644" i="15"/>
  <c r="G647" i="15"/>
  <c r="G38" i="15"/>
  <c r="E38" i="15" s="1"/>
  <c r="G55" i="15"/>
  <c r="E55" i="15" s="1"/>
  <c r="G66" i="15"/>
  <c r="E66" i="15" s="1"/>
  <c r="G228" i="15"/>
  <c r="F228" i="15" s="1"/>
  <c r="G137" i="15"/>
  <c r="F137" i="15" s="1"/>
  <c r="G97" i="15"/>
  <c r="E97" i="15" s="1"/>
  <c r="G127" i="15"/>
  <c r="E127" i="15" s="1"/>
  <c r="G106" i="15"/>
  <c r="E106" i="15" s="1"/>
  <c r="G87" i="15"/>
  <c r="E87" i="15" s="1"/>
  <c r="G230" i="15"/>
  <c r="E230" i="15" s="1"/>
  <c r="G110" i="15"/>
  <c r="E110" i="15" s="1"/>
  <c r="G148" i="15"/>
  <c r="E148" i="15" s="1"/>
  <c r="G60" i="15"/>
  <c r="E60" i="15" s="1"/>
  <c r="G195" i="15"/>
  <c r="E195" i="15" s="1"/>
  <c r="G46" i="15"/>
  <c r="E46" i="15" s="1"/>
  <c r="G27" i="15"/>
  <c r="E27" i="15" s="1"/>
  <c r="G180" i="15"/>
  <c r="E180" i="15" s="1"/>
  <c r="G175" i="15"/>
  <c r="E175" i="15" s="1"/>
  <c r="G57" i="15"/>
  <c r="E57" i="15" s="1"/>
  <c r="G94" i="15"/>
  <c r="E94" i="15" s="1"/>
  <c r="G189" i="15"/>
  <c r="F189" i="15" s="1"/>
  <c r="G206" i="15"/>
  <c r="E206" i="15" s="1"/>
  <c r="G20" i="15"/>
  <c r="E20" i="15" s="1"/>
  <c r="G100" i="15"/>
  <c r="E100" i="15" s="1"/>
  <c r="G229" i="15"/>
  <c r="E229" i="15" s="1"/>
  <c r="G234" i="15"/>
  <c r="E234" i="15" s="1"/>
  <c r="G168" i="15"/>
  <c r="E168" i="15" s="1"/>
  <c r="G152" i="15"/>
  <c r="E152" i="15" s="1"/>
  <c r="G31" i="15"/>
  <c r="E31" i="15" s="1"/>
  <c r="G215" i="15"/>
  <c r="E215" i="15" s="1"/>
  <c r="G92" i="15"/>
  <c r="E92" i="15" s="1"/>
  <c r="G130" i="15"/>
  <c r="E130" i="15" s="1"/>
  <c r="G140" i="15"/>
  <c r="E140" i="15" s="1"/>
  <c r="G119" i="15"/>
  <c r="E119" i="15" s="1"/>
  <c r="G7" i="15"/>
  <c r="E7" i="15" s="1"/>
  <c r="G319" i="15"/>
  <c r="F319" i="15" s="1"/>
  <c r="G185" i="15"/>
  <c r="F185" i="15" s="1"/>
  <c r="G147" i="15"/>
  <c r="G260" i="15"/>
  <c r="E260" i="15" s="1"/>
  <c r="G283" i="15"/>
  <c r="E283" i="15" s="1"/>
  <c r="G292" i="15"/>
  <c r="E292" i="15" s="1"/>
  <c r="G305" i="15"/>
  <c r="E305" i="15" s="1"/>
  <c r="G323" i="15"/>
  <c r="E323" i="15" s="1"/>
  <c r="G339" i="15"/>
  <c r="E339" i="15" s="1"/>
  <c r="G355" i="15"/>
  <c r="E355" i="15" s="1"/>
  <c r="G363" i="15"/>
  <c r="F363" i="15" s="1"/>
  <c r="G394" i="15"/>
  <c r="E394" i="15" s="1"/>
  <c r="G403" i="15"/>
  <c r="E403" i="15" s="1"/>
  <c r="G420" i="15"/>
  <c r="G435" i="15"/>
  <c r="E435" i="15" s="1"/>
  <c r="G452" i="15"/>
  <c r="F452" i="15" s="1"/>
  <c r="G458" i="15"/>
  <c r="E458" i="15" s="1"/>
  <c r="G491" i="15"/>
  <c r="E491" i="15" s="1"/>
  <c r="G500" i="15"/>
  <c r="G318" i="15"/>
  <c r="E318" i="15" s="1"/>
  <c r="G534" i="15"/>
  <c r="E534" i="15" s="1"/>
  <c r="G553" i="15"/>
  <c r="E553" i="15" s="1"/>
  <c r="G577" i="15"/>
  <c r="G581" i="15"/>
  <c r="G590" i="15"/>
  <c r="E590" i="15" s="1"/>
  <c r="G617" i="15"/>
  <c r="G636" i="15"/>
  <c r="G643" i="15"/>
  <c r="G212" i="15"/>
  <c r="E212" i="15" s="1"/>
  <c r="G80" i="15"/>
  <c r="E80" i="15" s="1"/>
  <c r="G86" i="15"/>
  <c r="E86" i="15" s="1"/>
  <c r="G37" i="15"/>
  <c r="E37" i="15" s="1"/>
  <c r="G62" i="15"/>
  <c r="E62" i="15" s="1"/>
  <c r="G74" i="15"/>
  <c r="E74" i="15" s="1"/>
  <c r="G104" i="15"/>
  <c r="E104" i="15" s="1"/>
  <c r="G99" i="15"/>
  <c r="E99" i="15" s="1"/>
  <c r="G29" i="15"/>
  <c r="E29" i="15" s="1"/>
  <c r="G75" i="15"/>
  <c r="E75" i="15" s="1"/>
  <c r="G30" i="15"/>
  <c r="E30" i="15" s="1"/>
  <c r="G197" i="15"/>
  <c r="E197" i="15" s="1"/>
  <c r="G88" i="15"/>
  <c r="E88" i="15" s="1"/>
  <c r="G238" i="15"/>
  <c r="E238" i="15" s="1"/>
  <c r="G162" i="15"/>
  <c r="E162" i="15" s="1"/>
  <c r="G267" i="15"/>
  <c r="E267" i="15" s="1"/>
  <c r="G275" i="15"/>
  <c r="E275" i="15" s="1"/>
  <c r="G282" i="15"/>
  <c r="E282" i="15" s="1"/>
  <c r="G291" i="15"/>
  <c r="E291" i="15" s="1"/>
  <c r="G300" i="15"/>
  <c r="E300" i="15" s="1"/>
  <c r="G132" i="15"/>
  <c r="F132" i="15" s="1"/>
  <c r="G322" i="15"/>
  <c r="F322" i="15" s="1"/>
  <c r="G331" i="15"/>
  <c r="G347" i="15"/>
  <c r="E347" i="15" s="1"/>
  <c r="G371" i="15"/>
  <c r="G379" i="15"/>
  <c r="E379" i="15" s="1"/>
  <c r="G388" i="15"/>
  <c r="E388" i="15" s="1"/>
  <c r="G402" i="15"/>
  <c r="E402" i="15" s="1"/>
  <c r="G426" i="15"/>
  <c r="F426" i="15" s="1"/>
  <c r="G433" i="15"/>
  <c r="E433" i="15" s="1"/>
  <c r="G443" i="15"/>
  <c r="E443" i="15" s="1"/>
  <c r="G474" i="15"/>
  <c r="E474" i="15" s="1"/>
  <c r="G480" i="15"/>
  <c r="E480" i="15" s="1"/>
  <c r="G499" i="15"/>
  <c r="E499" i="15" s="1"/>
  <c r="G508" i="15"/>
  <c r="E508" i="15" s="1"/>
  <c r="G317" i="15"/>
  <c r="F317" i="15" s="1"/>
  <c r="G526" i="15"/>
  <c r="E526" i="15" s="1"/>
  <c r="G545" i="15"/>
  <c r="E545" i="15" s="1"/>
  <c r="G571" i="15"/>
  <c r="G598" i="15"/>
  <c r="G634" i="15"/>
  <c r="G661" i="15"/>
  <c r="G665" i="15"/>
  <c r="G9" i="15"/>
  <c r="G58" i="15"/>
  <c r="F58" i="15" s="1"/>
  <c r="G224" i="15"/>
  <c r="E224" i="15" s="1"/>
  <c r="G248" i="15"/>
  <c r="E248" i="15" s="1"/>
  <c r="G50" i="15"/>
  <c r="E50" i="15" s="1"/>
  <c r="G13" i="15"/>
  <c r="E13" i="15" s="1"/>
  <c r="G261" i="15"/>
  <c r="E261" i="15" s="1"/>
  <c r="G269" i="15"/>
  <c r="E269" i="15" s="1"/>
  <c r="G308" i="15"/>
  <c r="F308" i="15" s="1"/>
  <c r="G316" i="15"/>
  <c r="F316" i="15" s="1"/>
  <c r="G332" i="15"/>
  <c r="F332" i="15" s="1"/>
  <c r="G346" i="15"/>
  <c r="G356" i="15"/>
  <c r="E356" i="15" s="1"/>
  <c r="G380" i="15"/>
  <c r="E380" i="15" s="1"/>
  <c r="G387" i="15"/>
  <c r="E387" i="15" s="1"/>
  <c r="G419" i="15"/>
  <c r="G450" i="15"/>
  <c r="E450" i="15" s="1"/>
  <c r="G463" i="15"/>
  <c r="E463" i="15" s="1"/>
  <c r="G468" i="15"/>
  <c r="E468" i="15" s="1"/>
  <c r="G494" i="15"/>
  <c r="G507" i="15"/>
  <c r="F507" i="15" s="1"/>
  <c r="G512" i="15"/>
  <c r="E512" i="15" s="1"/>
  <c r="G525" i="15"/>
  <c r="E525" i="15" s="1"/>
  <c r="G552" i="15"/>
  <c r="E552" i="15" s="1"/>
  <c r="G566" i="15"/>
  <c r="F566" i="15" s="1"/>
  <c r="G594" i="15"/>
  <c r="F594" i="15" s="1"/>
  <c r="G597" i="15"/>
  <c r="G601" i="15"/>
  <c r="G626" i="15"/>
  <c r="G633" i="15"/>
  <c r="G639" i="15"/>
  <c r="G660" i="15"/>
  <c r="G205" i="15"/>
  <c r="G120" i="15"/>
  <c r="F120" i="15" s="1"/>
  <c r="G53" i="15"/>
  <c r="F53" i="15" s="1"/>
  <c r="G49" i="15"/>
  <c r="E49" i="15" s="1"/>
  <c r="G96" i="15"/>
  <c r="G164" i="15"/>
  <c r="F164" i="15" s="1"/>
  <c r="G126" i="15"/>
  <c r="E126" i="15" s="1"/>
  <c r="G156" i="15"/>
  <c r="E156" i="15" s="1"/>
  <c r="G225" i="15"/>
  <c r="E225" i="15" s="1"/>
  <c r="G220" i="15"/>
  <c r="F220" i="15" s="1"/>
  <c r="G78" i="15"/>
  <c r="E78" i="15" s="1"/>
  <c r="G191" i="15"/>
  <c r="G154" i="15"/>
  <c r="G109" i="15"/>
  <c r="G151" i="15"/>
  <c r="E151" i="15" s="1"/>
  <c r="G65" i="15"/>
  <c r="E65" i="15" s="1"/>
  <c r="G89" i="15"/>
  <c r="E89" i="15" s="1"/>
  <c r="G118" i="15"/>
  <c r="E118" i="15" s="1"/>
  <c r="G159" i="15"/>
  <c r="E159" i="15" s="1"/>
  <c r="G115" i="15"/>
  <c r="E115" i="15" s="1"/>
  <c r="G95" i="15"/>
  <c r="E95" i="15" s="1"/>
  <c r="G79" i="15"/>
  <c r="G107" i="15"/>
  <c r="E107" i="15" s="1"/>
  <c r="G17" i="15"/>
  <c r="E17" i="15" s="1"/>
  <c r="G93" i="15"/>
  <c r="F93" i="15" s="1"/>
  <c r="G188" i="15"/>
  <c r="F188" i="15" s="1"/>
  <c r="G101" i="15"/>
  <c r="E101" i="15" s="1"/>
  <c r="G237" i="15"/>
  <c r="E237" i="15" s="1"/>
  <c r="G262" i="15"/>
  <c r="E262" i="15" s="1"/>
  <c r="G278" i="15"/>
  <c r="E278" i="15" s="1"/>
  <c r="G301" i="15"/>
  <c r="E301" i="15" s="1"/>
  <c r="G309" i="15"/>
  <c r="E309" i="15" s="1"/>
  <c r="G340" i="15"/>
  <c r="E340" i="15" s="1"/>
  <c r="G364" i="15"/>
  <c r="E364" i="15" s="1"/>
  <c r="G386" i="15"/>
  <c r="E386" i="15" s="1"/>
  <c r="G396" i="15"/>
  <c r="E396" i="15" s="1"/>
  <c r="G406" i="15"/>
  <c r="E406" i="15" s="1"/>
  <c r="G412" i="15"/>
  <c r="E412" i="15" s="1"/>
  <c r="G418" i="15"/>
  <c r="F418" i="15" s="1"/>
  <c r="G442" i="15"/>
  <c r="E442" i="15" s="1"/>
  <c r="G465" i="15"/>
  <c r="F465" i="15" s="1"/>
  <c r="G476" i="15"/>
  <c r="F476" i="15" s="1"/>
  <c r="G482" i="15"/>
  <c r="E482" i="15" s="1"/>
  <c r="G498" i="15"/>
  <c r="G523" i="15"/>
  <c r="E523" i="15" s="1"/>
  <c r="G524" i="15"/>
  <c r="E524" i="15" s="1"/>
  <c r="G544" i="15"/>
  <c r="E544" i="15" s="1"/>
  <c r="G576" i="15"/>
  <c r="G596" i="15"/>
  <c r="E596" i="15" s="1"/>
  <c r="G609" i="15"/>
  <c r="G616" i="15"/>
  <c r="G637" i="15"/>
  <c r="G650" i="15"/>
  <c r="G656" i="15"/>
  <c r="G40" i="15"/>
  <c r="E40" i="15" s="1"/>
  <c r="G244" i="15"/>
  <c r="E244" i="15" s="1"/>
  <c r="G167" i="15"/>
  <c r="F167" i="15" s="1"/>
  <c r="G28" i="15"/>
  <c r="E28" i="15" s="1"/>
  <c r="G112" i="15"/>
  <c r="F112" i="15" s="1"/>
  <c r="G81" i="15"/>
  <c r="E81" i="15" s="1"/>
  <c r="G19" i="15"/>
  <c r="E19" i="15" s="1"/>
  <c r="G240" i="15"/>
  <c r="E240" i="15" s="1"/>
  <c r="G277" i="15"/>
  <c r="E277" i="15" s="1"/>
  <c r="G295" i="15"/>
  <c r="E295" i="15" s="1"/>
  <c r="G134" i="15"/>
  <c r="E134" i="15" s="1"/>
  <c r="G325" i="15"/>
  <c r="E325" i="15" s="1"/>
  <c r="G349" i="15"/>
  <c r="E349" i="15" s="1"/>
  <c r="G365" i="15"/>
  <c r="E365" i="15" s="1"/>
  <c r="G381" i="15"/>
  <c r="E381" i="15" s="1"/>
  <c r="G405" i="15"/>
  <c r="E405" i="15" s="1"/>
  <c r="G430" i="15"/>
  <c r="G439" i="15"/>
  <c r="E439" i="15" s="1"/>
  <c r="G449" i="15"/>
  <c r="E449" i="15" s="1"/>
  <c r="G462" i="15"/>
  <c r="E462" i="15" s="1"/>
  <c r="G493" i="15"/>
  <c r="E493" i="15" s="1"/>
  <c r="G506" i="15"/>
  <c r="E506" i="15" s="1"/>
  <c r="G522" i="15"/>
  <c r="E522" i="15" s="1"/>
  <c r="G543" i="15"/>
  <c r="E543" i="15" s="1"/>
  <c r="G551" i="15"/>
  <c r="E551" i="15" s="1"/>
  <c r="G565" i="15"/>
  <c r="E565" i="15" s="1"/>
  <c r="G592" i="15"/>
  <c r="F592" i="15" s="1"/>
  <c r="G608" i="15"/>
  <c r="G615" i="15"/>
  <c r="G625" i="15"/>
  <c r="G632" i="15"/>
  <c r="G645" i="15"/>
  <c r="G655" i="15"/>
  <c r="G666" i="15"/>
  <c r="G179" i="15"/>
  <c r="F179" i="15" s="1"/>
  <c r="G54" i="15"/>
  <c r="F54" i="15" s="1"/>
  <c r="G155" i="15"/>
  <c r="F155" i="15" s="1"/>
  <c r="G36" i="15"/>
  <c r="E36" i="15" s="1"/>
  <c r="G98" i="15"/>
  <c r="E98" i="15" s="1"/>
  <c r="G11" i="15"/>
  <c r="E11" i="15" s="1"/>
  <c r="G72" i="15"/>
  <c r="E72" i="15" s="1"/>
  <c r="G90" i="15"/>
  <c r="E90" i="15" s="1"/>
  <c r="G8" i="15"/>
  <c r="E8" i="15" s="1"/>
  <c r="G83" i="15"/>
  <c r="E83" i="15" s="1"/>
  <c r="G257" i="15"/>
  <c r="F257" i="15" s="1"/>
  <c r="G85" i="15"/>
  <c r="E85" i="15" s="1"/>
  <c r="G102" i="15"/>
  <c r="F102" i="15" s="1"/>
  <c r="G270" i="15"/>
  <c r="E270" i="15" s="1"/>
  <c r="G286" i="15"/>
  <c r="E286" i="15" s="1"/>
  <c r="G302" i="15"/>
  <c r="E302" i="15" s="1"/>
  <c r="G324" i="15"/>
  <c r="F324" i="15" s="1"/>
  <c r="G333" i="15"/>
  <c r="E333" i="15" s="1"/>
  <c r="G358" i="15"/>
  <c r="F358" i="15" s="1"/>
  <c r="G373" i="15"/>
  <c r="F373" i="15" s="1"/>
  <c r="G382" i="15"/>
  <c r="E382" i="15" s="1"/>
  <c r="G389" i="15"/>
  <c r="E389" i="15" s="1"/>
  <c r="G397" i="15"/>
  <c r="E397" i="15" s="1"/>
  <c r="G404" i="15"/>
  <c r="E404" i="15" s="1"/>
  <c r="G414" i="15"/>
  <c r="E414" i="15" s="1"/>
  <c r="G421" i="15"/>
  <c r="F421" i="15" s="1"/>
  <c r="G429" i="15"/>
  <c r="F429" i="15" s="1"/>
  <c r="G438" i="15"/>
  <c r="E438" i="15" s="1"/>
  <c r="G478" i="15"/>
  <c r="E478" i="15" s="1"/>
  <c r="G479" i="15"/>
  <c r="E479" i="15" s="1"/>
  <c r="G505" i="15"/>
  <c r="E505" i="15" s="1"/>
  <c r="G511" i="15"/>
  <c r="E511" i="15" s="1"/>
  <c r="G532" i="15"/>
  <c r="E532" i="15" s="1"/>
  <c r="G548" i="15"/>
  <c r="E548" i="15" s="1"/>
  <c r="G575" i="15"/>
  <c r="G595" i="15"/>
  <c r="E595" i="15" s="1"/>
  <c r="G607" i="15"/>
  <c r="G641" i="15"/>
  <c r="G232" i="15"/>
  <c r="E232" i="15" s="1"/>
  <c r="G250" i="15"/>
  <c r="E250" i="15" s="1"/>
  <c r="G67" i="15"/>
  <c r="E67" i="15" s="1"/>
  <c r="G241" i="15"/>
  <c r="E241" i="15" s="1"/>
  <c r="G143" i="15"/>
  <c r="E143" i="15" s="1"/>
  <c r="G201" i="15"/>
  <c r="G121" i="15"/>
  <c r="E121" i="15" s="1"/>
  <c r="G178" i="15"/>
  <c r="E178" i="15" s="1"/>
  <c r="G71" i="15"/>
  <c r="E71" i="15" s="1"/>
  <c r="G69" i="15"/>
  <c r="E69" i="15" s="1"/>
  <c r="G135" i="15"/>
  <c r="E135" i="15" s="1"/>
  <c r="G33" i="15"/>
  <c r="F33" i="15" s="1"/>
  <c r="G77" i="15"/>
  <c r="F77" i="15" s="1"/>
  <c r="G256" i="15"/>
  <c r="E256" i="15" s="1"/>
  <c r="G105" i="15"/>
  <c r="E105" i="15" s="1"/>
  <c r="G26" i="15"/>
  <c r="E26" i="15" s="1"/>
  <c r="G73" i="15"/>
  <c r="E73" i="15" s="1"/>
  <c r="G263" i="15"/>
  <c r="E263" i="15" s="1"/>
  <c r="G271" i="15"/>
  <c r="E271" i="15" s="1"/>
  <c r="G285" i="15"/>
  <c r="E285" i="15" s="1"/>
  <c r="G294" i="15"/>
  <c r="E294" i="15" s="1"/>
  <c r="G310" i="15"/>
  <c r="G314" i="15"/>
  <c r="E314" i="15" s="1"/>
  <c r="G334" i="15"/>
  <c r="E334" i="15" s="1"/>
  <c r="G352" i="15"/>
  <c r="E352" i="15" s="1"/>
  <c r="G372" i="15"/>
  <c r="G391" i="15"/>
  <c r="E391" i="15" s="1"/>
  <c r="G413" i="15"/>
  <c r="E413" i="15" s="1"/>
  <c r="G428" i="15"/>
  <c r="E428" i="15" s="1"/>
  <c r="G448" i="15"/>
  <c r="E448" i="15" s="1"/>
  <c r="G461" i="15"/>
  <c r="E461" i="15" s="1"/>
  <c r="G477" i="15"/>
  <c r="E477" i="15" s="1"/>
  <c r="G492" i="15"/>
  <c r="E492" i="15" s="1"/>
  <c r="G497" i="15"/>
  <c r="E497" i="15" s="1"/>
  <c r="G307" i="15"/>
  <c r="E307" i="15" s="1"/>
  <c r="G529" i="15"/>
  <c r="E529" i="15" s="1"/>
  <c r="G542" i="15"/>
  <c r="E542" i="15" s="1"/>
  <c r="G550" i="15"/>
  <c r="E550" i="15" s="1"/>
  <c r="G564" i="15"/>
  <c r="G570" i="15"/>
  <c r="F570" i="15" s="1"/>
  <c r="G614" i="15"/>
  <c r="G622" i="15"/>
  <c r="G624" i="15"/>
  <c r="G762" i="15"/>
  <c r="Q762" i="15"/>
  <c r="I762" i="15"/>
  <c r="P762" i="15"/>
  <c r="J762" i="15" a="1"/>
  <c r="J762" i="15" s="1"/>
  <c r="R762" i="15"/>
  <c r="M762" i="15"/>
  <c r="N762" i="15"/>
  <c r="O762" i="15"/>
  <c r="K762" i="15"/>
  <c r="L762" i="15"/>
  <c r="S762" i="7"/>
  <c r="V762" i="7" a="1"/>
  <c r="V762" i="7" s="1"/>
  <c r="Z762" i="7"/>
  <c r="N761" i="15"/>
  <c r="O761" i="15"/>
  <c r="P761" i="15"/>
  <c r="R761" i="15"/>
  <c r="Q761" i="15"/>
  <c r="J761" i="15" a="1"/>
  <c r="J761" i="15" s="1"/>
  <c r="L761" i="15"/>
  <c r="G761" i="15"/>
  <c r="K761" i="15"/>
  <c r="M761" i="15"/>
  <c r="I761" i="15"/>
  <c r="S761" i="7"/>
  <c r="V761" i="7" a="1"/>
  <c r="V761" i="7" s="1"/>
  <c r="Z761" i="7"/>
  <c r="P760" i="15"/>
  <c r="Q760" i="15"/>
  <c r="K760" i="15"/>
  <c r="M760" i="15"/>
  <c r="I760" i="15"/>
  <c r="L760" i="15"/>
  <c r="G760" i="15"/>
  <c r="R760" i="15"/>
  <c r="J760" i="15" a="1"/>
  <c r="J760" i="15" s="1"/>
  <c r="O760" i="15"/>
  <c r="N760" i="15"/>
  <c r="V760" i="7" a="1"/>
  <c r="V760" i="7" s="1"/>
  <c r="Z760" i="7"/>
  <c r="S760" i="7"/>
  <c r="P759" i="15"/>
  <c r="N759" i="15"/>
  <c r="M759" i="15"/>
  <c r="K759" i="15"/>
  <c r="J759" i="15" a="1"/>
  <c r="J759" i="15" s="1"/>
  <c r="I759" i="15"/>
  <c r="Q759" i="15"/>
  <c r="O759" i="15"/>
  <c r="R759" i="15"/>
  <c r="L759" i="15"/>
  <c r="G759" i="15"/>
  <c r="S759" i="7"/>
  <c r="V759" i="7" a="1"/>
  <c r="V759" i="7" s="1"/>
  <c r="Z759" i="7"/>
  <c r="N758" i="15"/>
  <c r="K758" i="15"/>
  <c r="L758" i="15"/>
  <c r="M758" i="15"/>
  <c r="O758" i="15"/>
  <c r="P758" i="15"/>
  <c r="Q758" i="15"/>
  <c r="J758" i="15" a="1"/>
  <c r="J758" i="15" s="1"/>
  <c r="R758" i="15"/>
  <c r="G758" i="15"/>
  <c r="I758" i="15"/>
  <c r="S758" i="7"/>
  <c r="V758" i="7" a="1"/>
  <c r="V758" i="7" s="1"/>
  <c r="Z758" i="7"/>
  <c r="Q757" i="15"/>
  <c r="G757" i="15"/>
  <c r="M757" i="15"/>
  <c r="R757" i="15"/>
  <c r="P757" i="15"/>
  <c r="I757" i="15"/>
  <c r="K757" i="15"/>
  <c r="L757" i="15"/>
  <c r="J757" i="15" a="1"/>
  <c r="J757" i="15" s="1"/>
  <c r="N757" i="15"/>
  <c r="O757" i="15"/>
  <c r="V757" i="7" a="1"/>
  <c r="V757" i="7" s="1"/>
  <c r="S757" i="7"/>
  <c r="Z757" i="7"/>
  <c r="L756" i="15"/>
  <c r="N756" i="15"/>
  <c r="M756" i="15"/>
  <c r="G756" i="15"/>
  <c r="I756" i="15"/>
  <c r="J756" i="15" a="1"/>
  <c r="J756" i="15" s="1"/>
  <c r="K756" i="15"/>
  <c r="P756" i="15"/>
  <c r="R756" i="15"/>
  <c r="Q756" i="15"/>
  <c r="O756" i="15"/>
  <c r="S756" i="7"/>
  <c r="V756" i="7" a="1"/>
  <c r="V756" i="7" s="1"/>
  <c r="Z756" i="7"/>
  <c r="M755" i="15"/>
  <c r="N755" i="15"/>
  <c r="Q755" i="15"/>
  <c r="G755" i="15"/>
  <c r="O755" i="15"/>
  <c r="J755" i="15" a="1"/>
  <c r="J755" i="15" s="1"/>
  <c r="P755" i="15"/>
  <c r="K755" i="15"/>
  <c r="L755" i="15"/>
  <c r="I755" i="15"/>
  <c r="R755" i="15"/>
  <c r="S755" i="7"/>
  <c r="V755" i="7" a="1"/>
  <c r="V755" i="7" s="1"/>
  <c r="Z755" i="7"/>
  <c r="M754" i="15"/>
  <c r="N754" i="15"/>
  <c r="R754" i="15"/>
  <c r="O754" i="15"/>
  <c r="P754" i="15"/>
  <c r="J754" i="15" a="1"/>
  <c r="J754" i="15" s="1"/>
  <c r="Q754" i="15"/>
  <c r="L754" i="15"/>
  <c r="G754" i="15"/>
  <c r="I754" i="15"/>
  <c r="K754" i="15"/>
  <c r="S754" i="7"/>
  <c r="V754" i="7" a="1"/>
  <c r="V754" i="7" s="1"/>
  <c r="Z754" i="7"/>
  <c r="G753" i="15"/>
  <c r="K753" i="15"/>
  <c r="O753" i="15"/>
  <c r="P753" i="15"/>
  <c r="Q753" i="15"/>
  <c r="I753" i="15"/>
  <c r="L753" i="15"/>
  <c r="J753" i="15" a="1"/>
  <c r="J753" i="15" s="1"/>
  <c r="R753" i="15"/>
  <c r="M753" i="15"/>
  <c r="N753" i="15"/>
  <c r="S753" i="7"/>
  <c r="V753" i="7" a="1"/>
  <c r="V753" i="7" s="1"/>
  <c r="Z753" i="7"/>
  <c r="R752" i="15"/>
  <c r="N752" i="15"/>
  <c r="M752" i="15"/>
  <c r="O752" i="15"/>
  <c r="G752" i="15"/>
  <c r="L752" i="15"/>
  <c r="P752" i="15"/>
  <c r="J752" i="15" a="1"/>
  <c r="J752" i="15" s="1"/>
  <c r="Q752" i="15"/>
  <c r="K752" i="15"/>
  <c r="I752" i="15"/>
  <c r="S752" i="7"/>
  <c r="V752" i="7" a="1"/>
  <c r="V752" i="7" s="1"/>
  <c r="Z752" i="7"/>
  <c r="M750" i="15"/>
  <c r="O750" i="15"/>
  <c r="J750" i="15" a="1"/>
  <c r="J750" i="15" s="1"/>
  <c r="L750" i="15"/>
  <c r="P750" i="15"/>
  <c r="R750" i="15"/>
  <c r="Q750" i="15"/>
  <c r="I750" i="15"/>
  <c r="N750" i="15"/>
  <c r="K750" i="15"/>
  <c r="G750" i="15"/>
  <c r="I749" i="15"/>
  <c r="O749" i="15"/>
  <c r="G749" i="15"/>
  <c r="P749" i="15"/>
  <c r="Q749" i="15"/>
  <c r="N749" i="15"/>
  <c r="L749" i="15"/>
  <c r="K749" i="15"/>
  <c r="M749" i="15"/>
  <c r="J749" i="15" a="1"/>
  <c r="J749" i="15" s="1"/>
  <c r="R749" i="15"/>
  <c r="I751" i="15"/>
  <c r="Q751" i="15"/>
  <c r="M751" i="15"/>
  <c r="L751" i="15"/>
  <c r="R751" i="15"/>
  <c r="K751" i="15"/>
  <c r="O751" i="15"/>
  <c r="N751" i="15"/>
  <c r="P751" i="15"/>
  <c r="J751" i="15" a="1"/>
  <c r="J751" i="15" s="1"/>
  <c r="G751" i="15"/>
  <c r="V751" i="7" a="1"/>
  <c r="V751" i="7" s="1"/>
  <c r="S751" i="7"/>
  <c r="Z751" i="7"/>
  <c r="S750" i="7"/>
  <c r="Z750" i="7"/>
  <c r="V750" i="7" a="1"/>
  <c r="V750" i="7" s="1"/>
  <c r="S749" i="7"/>
  <c r="V749" i="7" a="1"/>
  <c r="V749" i="7" s="1"/>
  <c r="Z749" i="7"/>
  <c r="G748" i="15"/>
  <c r="I748" i="15"/>
  <c r="K748" i="15"/>
  <c r="L748" i="15"/>
  <c r="J748" i="15" a="1"/>
  <c r="J748" i="15" s="1"/>
  <c r="R748" i="15"/>
  <c r="Q748" i="15"/>
  <c r="M748" i="15"/>
  <c r="N748" i="15"/>
  <c r="O748" i="15"/>
  <c r="P748" i="15"/>
  <c r="S748" i="7"/>
  <c r="V748" i="7" a="1"/>
  <c r="V748" i="7" s="1"/>
  <c r="Z748" i="7"/>
  <c r="J746" i="15" a="1"/>
  <c r="J746" i="15" s="1"/>
  <c r="N746" i="15"/>
  <c r="O746" i="15"/>
  <c r="I746" i="15"/>
  <c r="K746" i="15"/>
  <c r="Q746" i="15"/>
  <c r="L746" i="15"/>
  <c r="G746" i="15"/>
  <c r="P746" i="15"/>
  <c r="R746" i="15"/>
  <c r="M746" i="15"/>
  <c r="N747" i="15"/>
  <c r="I747" i="15"/>
  <c r="P747" i="15"/>
  <c r="G747" i="15"/>
  <c r="K747" i="15"/>
  <c r="Q747" i="15"/>
  <c r="R747" i="15"/>
  <c r="M747" i="15"/>
  <c r="O747" i="15"/>
  <c r="L747" i="15"/>
  <c r="J747" i="15" a="1"/>
  <c r="J747" i="15" s="1"/>
  <c r="Z747" i="7"/>
  <c r="S747" i="7"/>
  <c r="V747" i="7" a="1"/>
  <c r="V747" i="7" s="1"/>
  <c r="S746" i="7"/>
  <c r="Z746" i="7"/>
  <c r="V746" i="7" a="1"/>
  <c r="V746" i="7" s="1"/>
  <c r="K745" i="15"/>
  <c r="J745" i="15" a="1"/>
  <c r="J745" i="15" s="1"/>
  <c r="R745" i="15"/>
  <c r="P745" i="15"/>
  <c r="Q745" i="15"/>
  <c r="M745" i="15"/>
  <c r="I745" i="15"/>
  <c r="N745" i="15"/>
  <c r="G745" i="15"/>
  <c r="O745" i="15"/>
  <c r="L745" i="15"/>
  <c r="J744" i="15" a="1"/>
  <c r="J744" i="15" s="1"/>
  <c r="R744" i="15"/>
  <c r="O744" i="15"/>
  <c r="P744" i="15"/>
  <c r="L744" i="15"/>
  <c r="Q744" i="15"/>
  <c r="M744" i="15"/>
  <c r="N744" i="15"/>
  <c r="G744" i="15"/>
  <c r="I744" i="15"/>
  <c r="K744" i="15"/>
  <c r="S745" i="7"/>
  <c r="V745" i="7" a="1"/>
  <c r="V745" i="7" s="1"/>
  <c r="Z745" i="7"/>
  <c r="S744" i="7"/>
  <c r="V744" i="7" a="1"/>
  <c r="V744" i="7" s="1"/>
  <c r="Z744" i="7"/>
  <c r="V739" i="7" a="1"/>
  <c r="V739" i="7" s="1"/>
  <c r="Z739" i="7"/>
  <c r="Q743" i="15"/>
  <c r="G743" i="15"/>
  <c r="I743" i="15"/>
  <c r="K743" i="15"/>
  <c r="R743" i="15"/>
  <c r="L743" i="15"/>
  <c r="J743" i="15" a="1"/>
  <c r="J743" i="15" s="1"/>
  <c r="M743" i="15"/>
  <c r="N743" i="15"/>
  <c r="O743" i="15"/>
  <c r="P743" i="15"/>
  <c r="S743" i="7"/>
  <c r="V743" i="7" a="1"/>
  <c r="V743" i="7" s="1"/>
  <c r="Z743" i="7"/>
  <c r="M742" i="15"/>
  <c r="N742" i="15"/>
  <c r="G742" i="15"/>
  <c r="L742" i="15"/>
  <c r="R742" i="15"/>
  <c r="P742" i="15"/>
  <c r="Q742" i="15"/>
  <c r="I742" i="15"/>
  <c r="J742" i="15" a="1"/>
  <c r="J742" i="15" s="1"/>
  <c r="K742" i="15"/>
  <c r="O742" i="15"/>
  <c r="V742" i="7" a="1"/>
  <c r="V742" i="7" s="1"/>
  <c r="S742" i="7"/>
  <c r="Z742" i="7"/>
  <c r="G741" i="15"/>
  <c r="I741" i="15"/>
  <c r="K741" i="15"/>
  <c r="L741" i="15"/>
  <c r="N741" i="15"/>
  <c r="O741" i="15"/>
  <c r="J741" i="15" a="1"/>
  <c r="J741" i="15" s="1"/>
  <c r="R741" i="15"/>
  <c r="P741" i="15"/>
  <c r="M741" i="15"/>
  <c r="Q741" i="15"/>
  <c r="S741" i="7"/>
  <c r="V741" i="7" a="1"/>
  <c r="V741" i="7" s="1"/>
  <c r="Z741" i="7"/>
  <c r="I740" i="15"/>
  <c r="M740" i="15"/>
  <c r="N740" i="15"/>
  <c r="O740" i="15"/>
  <c r="P740" i="15"/>
  <c r="G740" i="15"/>
  <c r="R740" i="15"/>
  <c r="K740" i="15"/>
  <c r="J740" i="15" a="1"/>
  <c r="J740" i="15" s="1"/>
  <c r="L740" i="15"/>
  <c r="Q740" i="15"/>
  <c r="V740" i="7" a="1"/>
  <c r="V740" i="7" s="1"/>
  <c r="S740" i="7"/>
  <c r="Z740" i="7"/>
  <c r="O739" i="15"/>
  <c r="P739" i="15"/>
  <c r="G739" i="15"/>
  <c r="I739" i="15"/>
  <c r="K739" i="15"/>
  <c r="L739" i="15"/>
  <c r="J739" i="15" a="1"/>
  <c r="J739" i="15" s="1"/>
  <c r="R739" i="15"/>
  <c r="M739" i="15"/>
  <c r="N739" i="15"/>
  <c r="Q739" i="15"/>
  <c r="Q738" i="15"/>
  <c r="N738" i="15"/>
  <c r="L738" i="15"/>
  <c r="M738" i="15"/>
  <c r="O738" i="15"/>
  <c r="J738" i="15" a="1"/>
  <c r="J738" i="15" s="1"/>
  <c r="G738" i="15"/>
  <c r="I738" i="15"/>
  <c r="P738" i="15"/>
  <c r="K738" i="15"/>
  <c r="R738" i="15"/>
  <c r="V738" i="7" a="1"/>
  <c r="V738" i="7" s="1"/>
  <c r="S738" i="7"/>
  <c r="Z738" i="7"/>
  <c r="Q737" i="15"/>
  <c r="N737" i="15"/>
  <c r="G737" i="15"/>
  <c r="I737" i="15"/>
  <c r="K737" i="15"/>
  <c r="L737" i="15"/>
  <c r="J737" i="15" a="1"/>
  <c r="J737" i="15" s="1"/>
  <c r="R737" i="15"/>
  <c r="O737" i="15"/>
  <c r="M737" i="15"/>
  <c r="P737" i="15"/>
  <c r="S737" i="7"/>
  <c r="V737" i="7" a="1"/>
  <c r="V737" i="7" s="1"/>
  <c r="Z737" i="7"/>
  <c r="G736" i="15"/>
  <c r="I736" i="15"/>
  <c r="M736" i="15"/>
  <c r="N736" i="15"/>
  <c r="O736" i="15"/>
  <c r="K736" i="15"/>
  <c r="R736" i="15"/>
  <c r="P736" i="15"/>
  <c r="Q736" i="15"/>
  <c r="L736" i="15"/>
  <c r="J736" i="15" a="1"/>
  <c r="J736" i="15" s="1"/>
  <c r="V736" i="7" a="1"/>
  <c r="V736" i="7" s="1"/>
  <c r="S736" i="7"/>
  <c r="Z736" i="7"/>
  <c r="G735" i="15"/>
  <c r="R735" i="15"/>
  <c r="I735" i="15"/>
  <c r="K735" i="15"/>
  <c r="L735" i="15"/>
  <c r="J735" i="15" a="1"/>
  <c r="J735" i="15" s="1"/>
  <c r="O735" i="15"/>
  <c r="M735" i="15"/>
  <c r="N735" i="15"/>
  <c r="P735" i="15"/>
  <c r="Q735" i="15"/>
  <c r="S735" i="7"/>
  <c r="V735" i="7" a="1"/>
  <c r="V735" i="7" s="1"/>
  <c r="Z735" i="7"/>
  <c r="N734" i="15"/>
  <c r="O734" i="15"/>
  <c r="R734" i="15"/>
  <c r="P734" i="15"/>
  <c r="Q734" i="15"/>
  <c r="M734" i="15"/>
  <c r="G734" i="15"/>
  <c r="I734" i="15"/>
  <c r="K734" i="15"/>
  <c r="L734" i="15"/>
  <c r="J734" i="15" a="1"/>
  <c r="J734" i="15" s="1"/>
  <c r="S734" i="7"/>
  <c r="V734" i="7" a="1"/>
  <c r="V734" i="7" s="1"/>
  <c r="Z734" i="7"/>
  <c r="L733" i="15"/>
  <c r="R733" i="15"/>
  <c r="O733" i="15"/>
  <c r="G733" i="15"/>
  <c r="J733" i="15" a="1"/>
  <c r="J733" i="15" s="1"/>
  <c r="K733" i="15"/>
  <c r="M733" i="15"/>
  <c r="I733" i="15"/>
  <c r="P733" i="15"/>
  <c r="N733" i="15"/>
  <c r="Q733" i="15"/>
  <c r="S733" i="7"/>
  <c r="V733" i="7" a="1"/>
  <c r="V733" i="7" s="1"/>
  <c r="Z733" i="7"/>
  <c r="O732" i="15"/>
  <c r="P732" i="15"/>
  <c r="M732" i="15"/>
  <c r="G732" i="15"/>
  <c r="L732" i="15"/>
  <c r="R732" i="15"/>
  <c r="I732" i="15"/>
  <c r="N732" i="15"/>
  <c r="Q732" i="15"/>
  <c r="K732" i="15"/>
  <c r="J732" i="15" a="1"/>
  <c r="J732" i="15" s="1"/>
  <c r="V732" i="7" a="1"/>
  <c r="V732" i="7" s="1"/>
  <c r="S732" i="7"/>
  <c r="Z732" i="7"/>
  <c r="V727" i="7" a="1"/>
  <c r="V727" i="7" s="1"/>
  <c r="N731" i="15"/>
  <c r="P731" i="15"/>
  <c r="Q731" i="15"/>
  <c r="G731" i="15"/>
  <c r="K731" i="15"/>
  <c r="L731" i="15"/>
  <c r="R731" i="15"/>
  <c r="M731" i="15"/>
  <c r="O731" i="15"/>
  <c r="I731" i="15"/>
  <c r="J731" i="15" a="1"/>
  <c r="J731" i="15" s="1"/>
  <c r="S727" i="7"/>
  <c r="V731" i="7" a="1"/>
  <c r="V731" i="7" s="1"/>
  <c r="S731" i="7"/>
  <c r="Z731" i="7"/>
  <c r="Q730" i="15"/>
  <c r="I730" i="15"/>
  <c r="P730" i="15"/>
  <c r="G730" i="15"/>
  <c r="K730" i="15"/>
  <c r="N730" i="15"/>
  <c r="L730" i="15"/>
  <c r="M730" i="15"/>
  <c r="O730" i="15"/>
  <c r="J730" i="15" a="1"/>
  <c r="J730" i="15" s="1"/>
  <c r="R730" i="15"/>
  <c r="V730" i="7" a="1"/>
  <c r="V730" i="7" s="1"/>
  <c r="S730" i="7"/>
  <c r="Z730" i="7"/>
  <c r="I729" i="15"/>
  <c r="K729" i="15"/>
  <c r="L729" i="15"/>
  <c r="J729" i="15" a="1"/>
  <c r="J729" i="15" s="1"/>
  <c r="R729" i="15"/>
  <c r="M729" i="15"/>
  <c r="N729" i="15"/>
  <c r="O729" i="15"/>
  <c r="P729" i="15"/>
  <c r="Q729" i="15"/>
  <c r="G729" i="15"/>
  <c r="V729" i="7" a="1"/>
  <c r="V729" i="7" s="1"/>
  <c r="S729" i="7"/>
  <c r="Z729" i="7"/>
  <c r="G728" i="15"/>
  <c r="I728" i="15"/>
  <c r="K728" i="15"/>
  <c r="L728" i="15"/>
  <c r="J728" i="15" a="1"/>
  <c r="J728" i="15" s="1"/>
  <c r="R728" i="15"/>
  <c r="M728" i="15"/>
  <c r="N728" i="15"/>
  <c r="O728" i="15"/>
  <c r="P728" i="15"/>
  <c r="Q728" i="15"/>
  <c r="S728" i="7"/>
  <c r="V728" i="7" a="1"/>
  <c r="V728" i="7" s="1"/>
  <c r="Z728" i="7"/>
  <c r="J727" i="15" a="1"/>
  <c r="J727" i="15" s="1"/>
  <c r="R727" i="15"/>
  <c r="M727" i="15"/>
  <c r="N727" i="15"/>
  <c r="O727" i="15"/>
  <c r="L727" i="15"/>
  <c r="P727" i="15"/>
  <c r="Q727" i="15"/>
  <c r="G727" i="15"/>
  <c r="I727" i="15"/>
  <c r="K727" i="15"/>
  <c r="R726" i="15"/>
  <c r="M726" i="15"/>
  <c r="N726" i="15"/>
  <c r="O726" i="15"/>
  <c r="P726" i="15"/>
  <c r="Q726" i="15"/>
  <c r="G726" i="15"/>
  <c r="I726" i="15"/>
  <c r="K726" i="15"/>
  <c r="L726" i="15"/>
  <c r="J726" i="15" a="1"/>
  <c r="J726" i="15" s="1"/>
  <c r="V726" i="7" a="1"/>
  <c r="V726" i="7" s="1"/>
  <c r="S726" i="7"/>
  <c r="Z726" i="7"/>
  <c r="Q725" i="15"/>
  <c r="G725" i="15"/>
  <c r="P725" i="15"/>
  <c r="I725" i="15"/>
  <c r="K725" i="15"/>
  <c r="L725" i="15"/>
  <c r="J725" i="15" a="1"/>
  <c r="J725" i="15" s="1"/>
  <c r="R725" i="15"/>
  <c r="M725" i="15"/>
  <c r="N725" i="15"/>
  <c r="O725" i="15"/>
  <c r="S725" i="7"/>
  <c r="V725" i="7" a="1"/>
  <c r="V725" i="7" s="1"/>
  <c r="Z725" i="7"/>
  <c r="K724" i="15"/>
  <c r="L724" i="15"/>
  <c r="R724" i="15"/>
  <c r="M724" i="15"/>
  <c r="N724" i="15"/>
  <c r="G724" i="15"/>
  <c r="O724" i="15"/>
  <c r="I724" i="15"/>
  <c r="J724" i="15" a="1"/>
  <c r="J724" i="15" s="1"/>
  <c r="P724" i="15"/>
  <c r="Q724" i="15"/>
  <c r="Z724" i="7"/>
  <c r="S724" i="7"/>
  <c r="V724" i="7" a="1"/>
  <c r="V724" i="7" s="1"/>
  <c r="P723" i="15"/>
  <c r="G723" i="15"/>
  <c r="I723" i="15"/>
  <c r="K723" i="15"/>
  <c r="L723" i="15"/>
  <c r="J723" i="15" a="1"/>
  <c r="J723" i="15" s="1"/>
  <c r="R723" i="15"/>
  <c r="M723" i="15"/>
  <c r="N723" i="15"/>
  <c r="O723" i="15"/>
  <c r="Q723" i="15"/>
  <c r="S723" i="7"/>
  <c r="V723" i="7" a="1"/>
  <c r="V723" i="7" s="1"/>
  <c r="Z723" i="7"/>
  <c r="K722" i="15"/>
  <c r="L722" i="15"/>
  <c r="J722" i="15" a="1"/>
  <c r="J722" i="15" s="1"/>
  <c r="O722" i="15"/>
  <c r="G722" i="15"/>
  <c r="M722" i="15"/>
  <c r="N722" i="15"/>
  <c r="P722" i="15"/>
  <c r="Q722" i="15"/>
  <c r="I722" i="15"/>
  <c r="R722" i="15"/>
  <c r="S722" i="7"/>
  <c r="V722" i="7" a="1"/>
  <c r="V722" i="7" s="1"/>
  <c r="Z722" i="7"/>
  <c r="R721" i="15"/>
  <c r="M721" i="15"/>
  <c r="N721" i="15"/>
  <c r="O721" i="15"/>
  <c r="P721" i="15"/>
  <c r="Q721" i="15"/>
  <c r="I721" i="15"/>
  <c r="L721" i="15"/>
  <c r="J721" i="15" a="1"/>
  <c r="J721" i="15" s="1"/>
  <c r="K721" i="15"/>
  <c r="G721" i="15"/>
  <c r="V721" i="7" a="1"/>
  <c r="V721" i="7" s="1"/>
  <c r="S721" i="7"/>
  <c r="Z721" i="7"/>
  <c r="M720" i="15"/>
  <c r="G720" i="15"/>
  <c r="K720" i="15"/>
  <c r="R720" i="15"/>
  <c r="N720" i="15"/>
  <c r="P720" i="15"/>
  <c r="I720" i="15"/>
  <c r="J720" i="15" a="1"/>
  <c r="J720" i="15" s="1"/>
  <c r="L720" i="15"/>
  <c r="Q720" i="15"/>
  <c r="O720" i="15"/>
  <c r="V720" i="7" a="1"/>
  <c r="V720" i="7" s="1"/>
  <c r="S720" i="7"/>
  <c r="Z720" i="7"/>
  <c r="O719" i="15"/>
  <c r="P719" i="15"/>
  <c r="Q719" i="15"/>
  <c r="M719" i="15"/>
  <c r="G719" i="15"/>
  <c r="L719" i="15"/>
  <c r="J719" i="15" a="1"/>
  <c r="J719" i="15" s="1"/>
  <c r="N719" i="15"/>
  <c r="I719" i="15"/>
  <c r="K719" i="15"/>
  <c r="R719" i="15"/>
  <c r="S719" i="7"/>
  <c r="V719" i="7" a="1"/>
  <c r="V719" i="7" s="1"/>
  <c r="Z719" i="7"/>
  <c r="Q718" i="15"/>
  <c r="I718" i="15"/>
  <c r="K718" i="15"/>
  <c r="L718" i="15"/>
  <c r="J718" i="15" a="1"/>
  <c r="J718" i="15" s="1"/>
  <c r="G718" i="15"/>
  <c r="M718" i="15"/>
  <c r="O718" i="15"/>
  <c r="R718" i="15"/>
  <c r="N718" i="15"/>
  <c r="P718" i="15"/>
  <c r="S718" i="7"/>
  <c r="V718" i="7" a="1"/>
  <c r="V718" i="7" s="1"/>
  <c r="Z718" i="7"/>
  <c r="G717" i="15"/>
  <c r="I717" i="15"/>
  <c r="K717" i="15"/>
  <c r="L717" i="15"/>
  <c r="J717" i="15" a="1"/>
  <c r="J717" i="15" s="1"/>
  <c r="R717" i="15"/>
  <c r="M717" i="15"/>
  <c r="N717" i="15"/>
  <c r="O717" i="15"/>
  <c r="P717" i="15"/>
  <c r="Q717" i="15"/>
  <c r="S717" i="7"/>
  <c r="V717" i="7" a="1"/>
  <c r="V717" i="7" s="1"/>
  <c r="Z717" i="7"/>
  <c r="J716" i="15" a="1"/>
  <c r="J716" i="15" s="1"/>
  <c r="R716" i="15"/>
  <c r="M716" i="15"/>
  <c r="N716" i="15"/>
  <c r="Q716" i="15"/>
  <c r="O716" i="15"/>
  <c r="G716" i="15"/>
  <c r="P716" i="15"/>
  <c r="I716" i="15"/>
  <c r="K716" i="15"/>
  <c r="L716" i="15"/>
  <c r="S716" i="7"/>
  <c r="V716" i="7" a="1"/>
  <c r="V716" i="7" s="1"/>
  <c r="Z716" i="7"/>
  <c r="O715" i="15"/>
  <c r="P715" i="15"/>
  <c r="Q715" i="15"/>
  <c r="N715" i="15"/>
  <c r="G715" i="15"/>
  <c r="I715" i="15"/>
  <c r="K715" i="15"/>
  <c r="L715" i="15"/>
  <c r="J715" i="15" a="1"/>
  <c r="J715" i="15" s="1"/>
  <c r="R715" i="15"/>
  <c r="M715" i="15"/>
  <c r="S715" i="7"/>
  <c r="V715" i="7" a="1"/>
  <c r="V715" i="7" s="1"/>
  <c r="Z715" i="7"/>
  <c r="P714" i="15"/>
  <c r="R714" i="15"/>
  <c r="N714" i="15"/>
  <c r="O714" i="15"/>
  <c r="I714" i="15"/>
  <c r="K714" i="15"/>
  <c r="M714" i="15"/>
  <c r="Q714" i="15"/>
  <c r="G714" i="15"/>
  <c r="L714" i="15"/>
  <c r="J714" i="15" a="1"/>
  <c r="J714" i="15" s="1"/>
  <c r="S714" i="7"/>
  <c r="V714" i="7" a="1"/>
  <c r="V714" i="7" s="1"/>
  <c r="Z714" i="7"/>
  <c r="L713" i="15"/>
  <c r="Q713" i="15"/>
  <c r="G713" i="15"/>
  <c r="J713" i="15" a="1"/>
  <c r="J713" i="15" s="1"/>
  <c r="R713" i="15"/>
  <c r="M713" i="15"/>
  <c r="K713" i="15"/>
  <c r="N713" i="15"/>
  <c r="I713" i="15"/>
  <c r="O713" i="15"/>
  <c r="P713" i="15"/>
  <c r="S713" i="7"/>
  <c r="V713" i="7" a="1"/>
  <c r="V713" i="7" s="1"/>
  <c r="Z713" i="7"/>
  <c r="Q712" i="15"/>
  <c r="M712" i="15"/>
  <c r="O712" i="15"/>
  <c r="G712" i="15"/>
  <c r="I712" i="15"/>
  <c r="P712" i="15"/>
  <c r="K712" i="15"/>
  <c r="L712" i="15"/>
  <c r="J712" i="15" a="1"/>
  <c r="J712" i="15" s="1"/>
  <c r="R712" i="15"/>
  <c r="N712" i="15"/>
  <c r="S712" i="7"/>
  <c r="V712" i="7" a="1"/>
  <c r="V712" i="7" s="1"/>
  <c r="Z712" i="7"/>
  <c r="G711" i="15"/>
  <c r="R711" i="15"/>
  <c r="P711" i="15"/>
  <c r="I711" i="15"/>
  <c r="Q711" i="15"/>
  <c r="N711" i="15"/>
  <c r="K711" i="15"/>
  <c r="L711" i="15"/>
  <c r="M711" i="15"/>
  <c r="O711" i="15"/>
  <c r="J711" i="15" a="1"/>
  <c r="J711" i="15" s="1"/>
  <c r="S711" i="7"/>
  <c r="V711" i="7" a="1"/>
  <c r="V711" i="7" s="1"/>
  <c r="Z711" i="7"/>
  <c r="V701" i="7" a="1"/>
  <c r="V701" i="7" s="1"/>
  <c r="G710" i="15"/>
  <c r="Q710" i="15"/>
  <c r="I710" i="15"/>
  <c r="K710" i="15"/>
  <c r="L710" i="15"/>
  <c r="R710" i="15"/>
  <c r="M710" i="15"/>
  <c r="N710" i="15"/>
  <c r="O710" i="15"/>
  <c r="J710" i="15" a="1"/>
  <c r="J710" i="15" s="1"/>
  <c r="P710" i="15"/>
  <c r="V710" i="7" a="1"/>
  <c r="V710" i="7" s="1"/>
  <c r="S710" i="7"/>
  <c r="Z710" i="7"/>
  <c r="L709" i="15"/>
  <c r="M709" i="15"/>
  <c r="J709" i="15" a="1"/>
  <c r="J709" i="15" s="1"/>
  <c r="R709" i="15"/>
  <c r="I709" i="15"/>
  <c r="N709" i="15"/>
  <c r="O709" i="15"/>
  <c r="P709" i="15"/>
  <c r="Q709" i="15"/>
  <c r="K709" i="15"/>
  <c r="G709" i="15"/>
  <c r="S709" i="7"/>
  <c r="V709" i="7" a="1"/>
  <c r="V709" i="7" s="1"/>
  <c r="Z709" i="7"/>
  <c r="M708" i="15"/>
  <c r="Q708" i="15"/>
  <c r="P708" i="15"/>
  <c r="I708" i="15"/>
  <c r="G708" i="15"/>
  <c r="L708" i="15"/>
  <c r="K708" i="15"/>
  <c r="J708" i="15" a="1"/>
  <c r="J708" i="15" s="1"/>
  <c r="N708" i="15"/>
  <c r="R708" i="15"/>
  <c r="O708" i="15"/>
  <c r="S708" i="7"/>
  <c r="V708" i="7" a="1"/>
  <c r="V708" i="7" s="1"/>
  <c r="Z708" i="7"/>
  <c r="Q707" i="15"/>
  <c r="L707" i="15"/>
  <c r="R707" i="15"/>
  <c r="N707" i="15"/>
  <c r="I707" i="15"/>
  <c r="P707" i="15"/>
  <c r="G707" i="15"/>
  <c r="K707" i="15"/>
  <c r="M707" i="15"/>
  <c r="J707" i="15" a="1"/>
  <c r="J707" i="15" s="1"/>
  <c r="O707" i="15"/>
  <c r="S707" i="7"/>
  <c r="V707" i="7" a="1"/>
  <c r="V707" i="7" s="1"/>
  <c r="Z707" i="7"/>
  <c r="O705" i="15"/>
  <c r="P705" i="15"/>
  <c r="R705" i="15"/>
  <c r="N705" i="15"/>
  <c r="L705" i="15"/>
  <c r="I705" i="15"/>
  <c r="Q705" i="15"/>
  <c r="M705" i="15"/>
  <c r="G705" i="15"/>
  <c r="K705" i="15"/>
  <c r="J705" i="15" a="1"/>
  <c r="J705" i="15" s="1"/>
  <c r="K706" i="15"/>
  <c r="G706" i="15"/>
  <c r="J706" i="15" a="1"/>
  <c r="J706" i="15" s="1"/>
  <c r="L706" i="15"/>
  <c r="M706" i="15"/>
  <c r="O706" i="15"/>
  <c r="I706" i="15"/>
  <c r="Q706" i="15"/>
  <c r="R706" i="15"/>
  <c r="P706" i="15"/>
  <c r="N706" i="15"/>
  <c r="Z706" i="7"/>
  <c r="V706" i="7" a="1"/>
  <c r="V706" i="7" s="1"/>
  <c r="S706" i="7"/>
  <c r="Z705" i="7"/>
  <c r="S705" i="7"/>
  <c r="V705" i="7" a="1"/>
  <c r="V705" i="7" s="1"/>
  <c r="S701" i="7"/>
  <c r="J704" i="15" a="1"/>
  <c r="J704" i="15" s="1"/>
  <c r="R704" i="15"/>
  <c r="M704" i="15"/>
  <c r="G704" i="15"/>
  <c r="N704" i="15"/>
  <c r="O704" i="15"/>
  <c r="Q704" i="15"/>
  <c r="I704" i="15"/>
  <c r="P704" i="15"/>
  <c r="K704" i="15"/>
  <c r="L704" i="15"/>
  <c r="S704" i="7"/>
  <c r="V704" i="7" a="1"/>
  <c r="V704" i="7" s="1"/>
  <c r="Z704" i="7"/>
  <c r="G703" i="15"/>
  <c r="I703" i="15"/>
  <c r="K703" i="15"/>
  <c r="L703" i="15"/>
  <c r="J703" i="15" a="1"/>
  <c r="J703" i="15" s="1"/>
  <c r="R703" i="15"/>
  <c r="M703" i="15"/>
  <c r="N703" i="15"/>
  <c r="O703" i="15"/>
  <c r="P703" i="15"/>
  <c r="Q703" i="15"/>
  <c r="S703" i="7"/>
  <c r="V703" i="7" a="1"/>
  <c r="V703" i="7" s="1"/>
  <c r="Z703" i="7"/>
  <c r="S699" i="7"/>
  <c r="J702" i="15" a="1"/>
  <c r="J702" i="15" s="1"/>
  <c r="R702" i="15"/>
  <c r="M702" i="15"/>
  <c r="O702" i="15"/>
  <c r="P702" i="15"/>
  <c r="N702" i="15"/>
  <c r="Q702" i="15"/>
  <c r="I702" i="15"/>
  <c r="K702" i="15"/>
  <c r="L702" i="15"/>
  <c r="G702" i="15"/>
  <c r="V699" i="7" a="1"/>
  <c r="V699" i="7" s="1"/>
  <c r="S702" i="7"/>
  <c r="V702" i="7" a="1"/>
  <c r="V702" i="7" s="1"/>
  <c r="Z702" i="7"/>
  <c r="J701" i="15" a="1"/>
  <c r="J701" i="15" s="1"/>
  <c r="G701" i="15"/>
  <c r="R701" i="15"/>
  <c r="I701" i="15"/>
  <c r="L701" i="15"/>
  <c r="M701" i="15"/>
  <c r="N701" i="15"/>
  <c r="P701" i="15"/>
  <c r="K701" i="15"/>
  <c r="O701" i="15"/>
  <c r="Q701" i="15"/>
  <c r="O700" i="15"/>
  <c r="J700" i="15" a="1"/>
  <c r="J700" i="15" s="1"/>
  <c r="N700" i="15"/>
  <c r="G700" i="15"/>
  <c r="P700" i="15"/>
  <c r="I700" i="15"/>
  <c r="K700" i="15"/>
  <c r="L700" i="15"/>
  <c r="Q700" i="15"/>
  <c r="M700" i="15"/>
  <c r="R700" i="15"/>
  <c r="S700" i="7"/>
  <c r="Z700" i="7"/>
  <c r="V700" i="7" a="1"/>
  <c r="V700" i="7" s="1"/>
  <c r="G699" i="15"/>
  <c r="P699" i="15"/>
  <c r="N699" i="15"/>
  <c r="Q699" i="15"/>
  <c r="O699" i="15"/>
  <c r="I699" i="15"/>
  <c r="J699" i="15" a="1"/>
  <c r="J699" i="15" s="1"/>
  <c r="K699" i="15"/>
  <c r="R699" i="15"/>
  <c r="M699" i="15"/>
  <c r="L699" i="15"/>
  <c r="G698" i="15"/>
  <c r="Q698" i="15"/>
  <c r="I698" i="15"/>
  <c r="R698" i="15"/>
  <c r="M698" i="15"/>
  <c r="N698" i="15"/>
  <c r="K698" i="15"/>
  <c r="P698" i="15"/>
  <c r="L698" i="15"/>
  <c r="J698" i="15" a="1"/>
  <c r="J698" i="15" s="1"/>
  <c r="O698" i="15"/>
  <c r="S698" i="7"/>
  <c r="V698" i="7" a="1"/>
  <c r="V698" i="7" s="1"/>
  <c r="Z698" i="7"/>
  <c r="G697" i="15"/>
  <c r="I697" i="15"/>
  <c r="K697" i="15"/>
  <c r="L697" i="15"/>
  <c r="J697" i="15" a="1"/>
  <c r="J697" i="15" s="1"/>
  <c r="R697" i="15"/>
  <c r="M697" i="15"/>
  <c r="N697" i="15"/>
  <c r="O697" i="15"/>
  <c r="P697" i="15"/>
  <c r="Q697" i="15"/>
  <c r="S697" i="7"/>
  <c r="Z697" i="7"/>
  <c r="V697" i="7" a="1"/>
  <c r="V697" i="7" s="1"/>
  <c r="K696" i="15"/>
  <c r="L696" i="15"/>
  <c r="O696" i="15"/>
  <c r="G696" i="15"/>
  <c r="I696" i="15"/>
  <c r="P696" i="15"/>
  <c r="J696" i="15" a="1"/>
  <c r="J696" i="15" s="1"/>
  <c r="R696" i="15"/>
  <c r="M696" i="15"/>
  <c r="N696" i="15"/>
  <c r="Q696" i="15"/>
  <c r="Z696" i="7"/>
  <c r="V696" i="7" a="1"/>
  <c r="V696" i="7" s="1"/>
  <c r="S696" i="7"/>
  <c r="J695" i="15" a="1"/>
  <c r="J695" i="15" s="1"/>
  <c r="I695" i="15"/>
  <c r="O695" i="15"/>
  <c r="G695" i="15"/>
  <c r="K695" i="15"/>
  <c r="R695" i="15"/>
  <c r="P695" i="15"/>
  <c r="L695" i="15"/>
  <c r="M695" i="15"/>
  <c r="Q695" i="15"/>
  <c r="N695" i="15"/>
  <c r="Z695" i="7"/>
  <c r="S695" i="7"/>
  <c r="V695" i="7" a="1"/>
  <c r="V695" i="7" s="1"/>
  <c r="O694" i="15"/>
  <c r="P694" i="15"/>
  <c r="G694" i="15"/>
  <c r="R694" i="15"/>
  <c r="M694" i="15"/>
  <c r="Q694" i="15"/>
  <c r="I694" i="15"/>
  <c r="L694" i="15"/>
  <c r="K694" i="15"/>
  <c r="J694" i="15" a="1"/>
  <c r="J694" i="15" s="1"/>
  <c r="N694" i="15"/>
  <c r="S694" i="7"/>
  <c r="V694" i="7" a="1"/>
  <c r="V694" i="7" s="1"/>
  <c r="Z694" i="7"/>
  <c r="P693" i="15"/>
  <c r="J693" i="15" a="1"/>
  <c r="J693" i="15" s="1"/>
  <c r="Q693" i="15"/>
  <c r="M693" i="15"/>
  <c r="R693" i="15"/>
  <c r="L693" i="15"/>
  <c r="O693" i="15"/>
  <c r="K693" i="15"/>
  <c r="G693" i="15"/>
  <c r="N693" i="15"/>
  <c r="I693" i="15"/>
  <c r="S693" i="7"/>
  <c r="V693" i="7" a="1"/>
  <c r="V693" i="7" s="1"/>
  <c r="Z693" i="7"/>
  <c r="Q692" i="15"/>
  <c r="R692" i="15"/>
  <c r="N692" i="15"/>
  <c r="O692" i="15"/>
  <c r="K692" i="15"/>
  <c r="I692" i="15"/>
  <c r="L692" i="15"/>
  <c r="G692" i="15"/>
  <c r="J692" i="15" a="1"/>
  <c r="J692" i="15" s="1"/>
  <c r="M692" i="15"/>
  <c r="P692" i="15"/>
  <c r="S692" i="7"/>
  <c r="V692" i="7" a="1"/>
  <c r="V692" i="7" s="1"/>
  <c r="Z692" i="7"/>
  <c r="L691" i="15"/>
  <c r="J691" i="15" a="1"/>
  <c r="J691" i="15" s="1"/>
  <c r="R691" i="15"/>
  <c r="M691" i="15"/>
  <c r="N691" i="15"/>
  <c r="P691" i="15"/>
  <c r="Q691" i="15"/>
  <c r="I691" i="15"/>
  <c r="K691" i="15"/>
  <c r="O691" i="15"/>
  <c r="G691" i="15"/>
  <c r="S691" i="7"/>
  <c r="V691" i="7" a="1"/>
  <c r="V691" i="7" s="1"/>
  <c r="Z691" i="7"/>
  <c r="R690" i="15"/>
  <c r="M690" i="15"/>
  <c r="P690" i="15"/>
  <c r="G690" i="15"/>
  <c r="O690" i="15"/>
  <c r="N690" i="15"/>
  <c r="I690" i="15"/>
  <c r="K690" i="15"/>
  <c r="L690" i="15"/>
  <c r="J690" i="15" a="1"/>
  <c r="J690" i="15" s="1"/>
  <c r="Q690" i="15"/>
  <c r="S690" i="7"/>
  <c r="V690" i="7" a="1"/>
  <c r="V690" i="7" s="1"/>
  <c r="Z690" i="7"/>
  <c r="N689" i="15"/>
  <c r="Q689" i="15"/>
  <c r="M689" i="15"/>
  <c r="G689" i="15"/>
  <c r="I689" i="15"/>
  <c r="O689" i="15"/>
  <c r="K689" i="15"/>
  <c r="L689" i="15"/>
  <c r="J689" i="15" a="1"/>
  <c r="J689" i="15" s="1"/>
  <c r="R689" i="15"/>
  <c r="P689" i="15"/>
  <c r="V689" i="7" a="1"/>
  <c r="V689" i="7" s="1"/>
  <c r="S689" i="7"/>
  <c r="Z689" i="7"/>
  <c r="O688" i="15"/>
  <c r="P688" i="15"/>
  <c r="Q688" i="15"/>
  <c r="L688" i="15"/>
  <c r="J688" i="15" a="1"/>
  <c r="J688" i="15" s="1"/>
  <c r="G688" i="15"/>
  <c r="K688" i="15"/>
  <c r="I688" i="15"/>
  <c r="N688" i="15"/>
  <c r="M688" i="15"/>
  <c r="R688" i="15"/>
  <c r="V688" i="7" a="1"/>
  <c r="V688" i="7" s="1"/>
  <c r="S688" i="7"/>
  <c r="Z688" i="7"/>
  <c r="P687" i="15"/>
  <c r="Q687" i="15"/>
  <c r="L687" i="15"/>
  <c r="M687" i="15"/>
  <c r="G687" i="15"/>
  <c r="J687" i="15" a="1"/>
  <c r="J687" i="15" s="1"/>
  <c r="I687" i="15"/>
  <c r="N687" i="15"/>
  <c r="K687" i="15"/>
  <c r="O687" i="15"/>
  <c r="R687" i="15"/>
  <c r="S687" i="7"/>
  <c r="V687" i="7" a="1"/>
  <c r="V687" i="7" s="1"/>
  <c r="Z687" i="7"/>
  <c r="M686" i="15"/>
  <c r="N686" i="15"/>
  <c r="P686" i="15"/>
  <c r="I686" i="15"/>
  <c r="L686" i="15"/>
  <c r="J686" i="15" a="1"/>
  <c r="J686" i="15" s="1"/>
  <c r="K686" i="15"/>
  <c r="G686" i="15"/>
  <c r="Q686" i="15"/>
  <c r="R686" i="15"/>
  <c r="O686" i="15"/>
  <c r="S686" i="7"/>
  <c r="Z686" i="7"/>
  <c r="V686" i="7" a="1"/>
  <c r="V686" i="7" s="1"/>
  <c r="V681" i="7" a="1"/>
  <c r="V681" i="7" s="1"/>
  <c r="R685" i="15"/>
  <c r="P685" i="15"/>
  <c r="G685" i="15"/>
  <c r="N685" i="15"/>
  <c r="K685" i="15"/>
  <c r="O685" i="15"/>
  <c r="M685" i="15"/>
  <c r="I685" i="15"/>
  <c r="L685" i="15"/>
  <c r="Q685" i="15"/>
  <c r="J685" i="15" a="1"/>
  <c r="J685" i="15" s="1"/>
  <c r="S685" i="7"/>
  <c r="V685" i="7" a="1"/>
  <c r="V685" i="7" s="1"/>
  <c r="Z685" i="7"/>
  <c r="Z681" i="7"/>
  <c r="Q684" i="15"/>
  <c r="M684" i="15"/>
  <c r="N684" i="15"/>
  <c r="L684" i="15"/>
  <c r="J684" i="15" a="1"/>
  <c r="J684" i="15" s="1"/>
  <c r="O684" i="15"/>
  <c r="P684" i="15"/>
  <c r="G684" i="15"/>
  <c r="I684" i="15"/>
  <c r="K684" i="15"/>
  <c r="R684" i="15"/>
  <c r="S684" i="7"/>
  <c r="V684" i="7" a="1"/>
  <c r="V684" i="7" s="1"/>
  <c r="Z684" i="7"/>
  <c r="G683" i="15"/>
  <c r="J683" i="15" a="1"/>
  <c r="J683" i="15" s="1"/>
  <c r="O683" i="15"/>
  <c r="I683" i="15"/>
  <c r="K683" i="15"/>
  <c r="R683" i="15"/>
  <c r="M683" i="15"/>
  <c r="Q683" i="15"/>
  <c r="L683" i="15"/>
  <c r="N683" i="15"/>
  <c r="P683" i="15"/>
  <c r="S683" i="7"/>
  <c r="Z683" i="7"/>
  <c r="V683" i="7" a="1"/>
  <c r="V683" i="7" s="1"/>
  <c r="V679" i="7" a="1"/>
  <c r="V679" i="7" s="1"/>
  <c r="Q682" i="15"/>
  <c r="O682" i="15"/>
  <c r="G682" i="15"/>
  <c r="K682" i="15"/>
  <c r="M682" i="15"/>
  <c r="I682" i="15"/>
  <c r="N682" i="15"/>
  <c r="R682" i="15"/>
  <c r="L682" i="15"/>
  <c r="P682" i="15"/>
  <c r="J682" i="15" a="1"/>
  <c r="J682" i="15" s="1"/>
  <c r="S682" i="7"/>
  <c r="V682" i="7" a="1"/>
  <c r="V682" i="7" s="1"/>
  <c r="Z682" i="7"/>
  <c r="M681" i="15"/>
  <c r="O681" i="15"/>
  <c r="L681" i="15"/>
  <c r="G681" i="15"/>
  <c r="N681" i="15"/>
  <c r="J681" i="15" a="1"/>
  <c r="J681" i="15" s="1"/>
  <c r="P681" i="15"/>
  <c r="R681" i="15"/>
  <c r="I681" i="15"/>
  <c r="Q681" i="15"/>
  <c r="K681" i="15"/>
  <c r="Z679" i="7"/>
  <c r="G680" i="15"/>
  <c r="I680" i="15"/>
  <c r="R680" i="15"/>
  <c r="M680" i="15"/>
  <c r="N680" i="15"/>
  <c r="P680" i="15"/>
  <c r="Q680" i="15"/>
  <c r="O680" i="15"/>
  <c r="K680" i="15"/>
  <c r="L680" i="15"/>
  <c r="J680" i="15" a="1"/>
  <c r="J680" i="15" s="1"/>
  <c r="V680" i="7" a="1"/>
  <c r="V680" i="7" s="1"/>
  <c r="S680" i="7"/>
  <c r="Z680" i="7"/>
  <c r="Z675" i="7"/>
  <c r="V675" i="7" a="1"/>
  <c r="V675" i="7" s="1"/>
  <c r="K679" i="15"/>
  <c r="M679" i="15"/>
  <c r="N679" i="15"/>
  <c r="Q679" i="15"/>
  <c r="G679" i="15"/>
  <c r="I679" i="15"/>
  <c r="J679" i="15" a="1"/>
  <c r="J679" i="15" s="1"/>
  <c r="L679" i="15"/>
  <c r="P679" i="15"/>
  <c r="O679" i="15"/>
  <c r="R679" i="15"/>
  <c r="P678" i="15"/>
  <c r="Q678" i="15"/>
  <c r="M678" i="15"/>
  <c r="L678" i="15"/>
  <c r="R678" i="15"/>
  <c r="O678" i="15"/>
  <c r="G678" i="15"/>
  <c r="N678" i="15"/>
  <c r="I678" i="15"/>
  <c r="J678" i="15" a="1"/>
  <c r="J678" i="15" s="1"/>
  <c r="K678" i="15"/>
  <c r="S678" i="7"/>
  <c r="Z678" i="7"/>
  <c r="V678" i="7" a="1"/>
  <c r="V678" i="7" s="1"/>
  <c r="L677" i="15"/>
  <c r="Q677" i="15"/>
  <c r="P677" i="15"/>
  <c r="J677" i="15" a="1"/>
  <c r="J677" i="15" s="1"/>
  <c r="G677" i="15"/>
  <c r="O677" i="15"/>
  <c r="I677" i="15"/>
  <c r="R677" i="15"/>
  <c r="N677" i="15"/>
  <c r="K677" i="15"/>
  <c r="M677" i="15"/>
  <c r="S677" i="7"/>
  <c r="V677" i="7" a="1"/>
  <c r="V677" i="7" s="1"/>
  <c r="Z677" i="7"/>
  <c r="V672" i="7" a="1"/>
  <c r="V672" i="7" s="1"/>
  <c r="L676" i="15"/>
  <c r="Q676" i="15"/>
  <c r="J676" i="15" a="1"/>
  <c r="J676" i="15" s="1"/>
  <c r="R676" i="15"/>
  <c r="M676" i="15"/>
  <c r="N676" i="15"/>
  <c r="G676" i="15"/>
  <c r="O676" i="15"/>
  <c r="I676" i="15"/>
  <c r="P676" i="15"/>
  <c r="K676" i="15"/>
  <c r="S676" i="7"/>
  <c r="V676" i="7" a="1"/>
  <c r="V676" i="7" s="1"/>
  <c r="Z676" i="7"/>
  <c r="Z672" i="7"/>
  <c r="J675" i="15" a="1"/>
  <c r="J675" i="15" s="1"/>
  <c r="R675" i="15"/>
  <c r="M675" i="15"/>
  <c r="N675" i="15"/>
  <c r="O675" i="15"/>
  <c r="I675" i="15"/>
  <c r="P675" i="15"/>
  <c r="K675" i="15"/>
  <c r="Q675" i="15"/>
  <c r="L675" i="15"/>
  <c r="G675" i="15"/>
  <c r="K674" i="15"/>
  <c r="R674" i="15"/>
  <c r="M674" i="15"/>
  <c r="N674" i="15"/>
  <c r="O674" i="15"/>
  <c r="L674" i="15"/>
  <c r="I674" i="15"/>
  <c r="P674" i="15"/>
  <c r="Q674" i="15"/>
  <c r="J674" i="15" a="1"/>
  <c r="J674" i="15" s="1"/>
  <c r="G674" i="15"/>
  <c r="M673" i="15"/>
  <c r="N673" i="15"/>
  <c r="J673" i="15" a="1"/>
  <c r="J673" i="15" s="1"/>
  <c r="G673" i="15"/>
  <c r="O673" i="15"/>
  <c r="L673" i="15"/>
  <c r="R673" i="15"/>
  <c r="I673" i="15"/>
  <c r="P673" i="15"/>
  <c r="Q673" i="15"/>
  <c r="K673" i="15"/>
  <c r="Z674" i="7"/>
  <c r="S674" i="7"/>
  <c r="V674" i="7" a="1"/>
  <c r="V674" i="7" s="1"/>
  <c r="S673" i="7"/>
  <c r="V673" i="7" a="1"/>
  <c r="V673" i="7" s="1"/>
  <c r="Z673" i="7"/>
  <c r="J672" i="15" a="1"/>
  <c r="J672" i="15" s="1"/>
  <c r="O672" i="15"/>
  <c r="N672" i="15"/>
  <c r="M672" i="15"/>
  <c r="G672" i="15"/>
  <c r="P672" i="15"/>
  <c r="I672" i="15"/>
  <c r="Q672" i="15"/>
  <c r="K672" i="15"/>
  <c r="L672" i="15"/>
  <c r="R672" i="15"/>
  <c r="K671" i="15"/>
  <c r="J671" i="15" a="1"/>
  <c r="J671" i="15" s="1"/>
  <c r="L671" i="15"/>
  <c r="R671" i="15"/>
  <c r="P671" i="15"/>
  <c r="Q671" i="15"/>
  <c r="G671" i="15"/>
  <c r="M671" i="15"/>
  <c r="N671" i="15"/>
  <c r="I671" i="15"/>
  <c r="O671" i="15"/>
  <c r="V671" i="7" a="1"/>
  <c r="V671" i="7" s="1"/>
  <c r="Z671" i="7"/>
  <c r="S671" i="7"/>
  <c r="L670" i="15"/>
  <c r="G670" i="15"/>
  <c r="M670" i="15"/>
  <c r="I670" i="15"/>
  <c r="Q670" i="15"/>
  <c r="K670" i="15"/>
  <c r="R670" i="15"/>
  <c r="N670" i="15"/>
  <c r="P670" i="15"/>
  <c r="J670" i="15" a="1"/>
  <c r="J670" i="15" s="1"/>
  <c r="O670" i="15"/>
  <c r="S670" i="7"/>
  <c r="V670" i="7" a="1"/>
  <c r="V670" i="7" s="1"/>
  <c r="Z670" i="7"/>
  <c r="G669" i="15"/>
  <c r="R669" i="15"/>
  <c r="O669" i="15"/>
  <c r="I669" i="15"/>
  <c r="Q669" i="15"/>
  <c r="K669" i="15"/>
  <c r="J669" i="15" a="1"/>
  <c r="J669" i="15" s="1"/>
  <c r="L669" i="15"/>
  <c r="P669" i="15"/>
  <c r="M669" i="15"/>
  <c r="N669" i="15"/>
  <c r="S669" i="7"/>
  <c r="V669" i="7" a="1"/>
  <c r="V669" i="7" s="1"/>
  <c r="Z669" i="7"/>
  <c r="V664" i="7" a="1"/>
  <c r="V664" i="7" s="1"/>
  <c r="L668" i="15"/>
  <c r="J668" i="15" a="1"/>
  <c r="J668" i="15" s="1"/>
  <c r="I668" i="15"/>
  <c r="Q668" i="15"/>
  <c r="K668" i="15"/>
  <c r="R668" i="15"/>
  <c r="N668" i="15"/>
  <c r="O668" i="15"/>
  <c r="P668" i="15"/>
  <c r="M668" i="15"/>
  <c r="V668" i="7" a="1"/>
  <c r="V668" i="7" s="1"/>
  <c r="S668" i="7"/>
  <c r="Z668" i="7"/>
  <c r="O667" i="15"/>
  <c r="Q667" i="15"/>
  <c r="P667" i="15"/>
  <c r="M667" i="15"/>
  <c r="K667" i="15"/>
  <c r="J667" i="15" a="1"/>
  <c r="J667" i="15" s="1"/>
  <c r="L667" i="15"/>
  <c r="I667" i="15"/>
  <c r="R667" i="15"/>
  <c r="N667" i="15"/>
  <c r="S667" i="7"/>
  <c r="V667" i="7" a="1"/>
  <c r="V667" i="7" s="1"/>
  <c r="Z667" i="7"/>
  <c r="Z664" i="7"/>
  <c r="O666" i="15"/>
  <c r="Q666" i="15"/>
  <c r="P666" i="15"/>
  <c r="I666" i="15"/>
  <c r="K666" i="15"/>
  <c r="L666" i="15"/>
  <c r="J666" i="15" a="1"/>
  <c r="J666" i="15" s="1"/>
  <c r="R666" i="15"/>
  <c r="M666" i="15"/>
  <c r="N666" i="15"/>
  <c r="S666" i="7"/>
  <c r="V666" i="7" a="1"/>
  <c r="V666" i="7" s="1"/>
  <c r="Z666" i="7"/>
  <c r="J665" i="15" a="1"/>
  <c r="J665" i="15" s="1"/>
  <c r="Q665" i="15"/>
  <c r="I665" i="15"/>
  <c r="N665" i="15"/>
  <c r="K665" i="15"/>
  <c r="L665" i="15"/>
  <c r="P665" i="15"/>
  <c r="O665" i="15"/>
  <c r="R665" i="15"/>
  <c r="M665" i="15"/>
  <c r="S665" i="7"/>
  <c r="V665" i="7" a="1"/>
  <c r="V665" i="7" s="1"/>
  <c r="Z665" i="7"/>
  <c r="I664" i="15"/>
  <c r="K664" i="15"/>
  <c r="L664" i="15"/>
  <c r="J664" i="15" a="1"/>
  <c r="J664" i="15" s="1"/>
  <c r="R664" i="15"/>
  <c r="P664" i="15"/>
  <c r="M664" i="15"/>
  <c r="O664" i="15"/>
  <c r="N664" i="15"/>
  <c r="Q664" i="15"/>
  <c r="L663" i="15"/>
  <c r="R663" i="15"/>
  <c r="N663" i="15"/>
  <c r="P663" i="15"/>
  <c r="I663" i="15"/>
  <c r="K663" i="15"/>
  <c r="J663" i="15" a="1"/>
  <c r="J663" i="15" s="1"/>
  <c r="M663" i="15"/>
  <c r="O663" i="15"/>
  <c r="Q663" i="15"/>
  <c r="S663" i="7"/>
  <c r="V663" i="7" a="1"/>
  <c r="V663" i="7" s="1"/>
  <c r="Z663" i="7"/>
  <c r="R662" i="15"/>
  <c r="K662" i="15"/>
  <c r="M662" i="15"/>
  <c r="N662" i="15"/>
  <c r="Q662" i="15"/>
  <c r="O662" i="15"/>
  <c r="I662" i="15"/>
  <c r="P662" i="15"/>
  <c r="L662" i="15"/>
  <c r="J662" i="15" a="1"/>
  <c r="J662" i="15" s="1"/>
  <c r="S662" i="7"/>
  <c r="V662" i="7" a="1"/>
  <c r="V662" i="7" s="1"/>
  <c r="Z662" i="7"/>
  <c r="C3" i="15"/>
  <c r="C23" i="49"/>
  <c r="Q661" i="15"/>
  <c r="J661" i="15" a="1"/>
  <c r="J661" i="15" s="1"/>
  <c r="R661" i="15"/>
  <c r="M661" i="15"/>
  <c r="O661" i="15"/>
  <c r="I661" i="15"/>
  <c r="K661" i="15"/>
  <c r="P661" i="15"/>
  <c r="L661" i="15"/>
  <c r="N661" i="15"/>
  <c r="S661" i="7"/>
  <c r="Z661" i="7"/>
  <c r="V661" i="7" a="1"/>
  <c r="V661" i="7" s="1"/>
  <c r="N660" i="15"/>
  <c r="J660" i="15" a="1"/>
  <c r="J660" i="15" s="1"/>
  <c r="Q660" i="15"/>
  <c r="M660" i="15"/>
  <c r="P660" i="15"/>
  <c r="O660" i="15"/>
  <c r="I660" i="15"/>
  <c r="K660" i="15"/>
  <c r="L660" i="15"/>
  <c r="R660" i="15"/>
  <c r="S660" i="7"/>
  <c r="V660" i="7" a="1"/>
  <c r="V660" i="7" s="1"/>
  <c r="Z660" i="7"/>
  <c r="N659" i="15"/>
  <c r="R659" i="15"/>
  <c r="J659" i="15" a="1"/>
  <c r="J659" i="15" s="1"/>
  <c r="O659" i="15"/>
  <c r="Q659" i="15"/>
  <c r="M659" i="15"/>
  <c r="K659" i="15"/>
  <c r="I659" i="15"/>
  <c r="L659" i="15"/>
  <c r="P659" i="15"/>
  <c r="S659" i="7"/>
  <c r="V659" i="7" a="1"/>
  <c r="V659" i="7" s="1"/>
  <c r="Z659" i="7"/>
  <c r="J658" i="15" a="1"/>
  <c r="J658" i="15" s="1"/>
  <c r="R658" i="15"/>
  <c r="K658" i="15"/>
  <c r="M658" i="15"/>
  <c r="N658" i="15"/>
  <c r="O658" i="15"/>
  <c r="L658" i="15"/>
  <c r="P658" i="15"/>
  <c r="Q658" i="15"/>
  <c r="I658" i="15"/>
  <c r="S658" i="7"/>
  <c r="V658" i="7" a="1"/>
  <c r="V658" i="7" s="1"/>
  <c r="Z658" i="7"/>
  <c r="O656" i="15"/>
  <c r="I656" i="15"/>
  <c r="P656" i="15"/>
  <c r="M656" i="15"/>
  <c r="K656" i="15"/>
  <c r="Q656" i="15"/>
  <c r="R656" i="15"/>
  <c r="L656" i="15"/>
  <c r="N656" i="15"/>
  <c r="J656" i="15" a="1"/>
  <c r="J656" i="15" s="1"/>
  <c r="O657" i="15"/>
  <c r="R657" i="15"/>
  <c r="N657" i="15"/>
  <c r="I657" i="15"/>
  <c r="L657" i="15"/>
  <c r="J657" i="15" a="1"/>
  <c r="J657" i="15" s="1"/>
  <c r="K657" i="15"/>
  <c r="P657" i="15"/>
  <c r="M657" i="15"/>
  <c r="Q657" i="15"/>
  <c r="S657" i="7"/>
  <c r="Z657" i="7"/>
  <c r="V657" i="7" a="1"/>
  <c r="V657" i="7" s="1"/>
  <c r="Z656" i="7"/>
  <c r="S656" i="7"/>
  <c r="V656" i="7" a="1"/>
  <c r="V656" i="7" s="1"/>
  <c r="I655" i="15"/>
  <c r="R655" i="15"/>
  <c r="O655" i="15"/>
  <c r="Q655" i="15"/>
  <c r="K655" i="15"/>
  <c r="M655" i="15"/>
  <c r="L655" i="15"/>
  <c r="N655" i="15"/>
  <c r="P655" i="15"/>
  <c r="J655" i="15" a="1"/>
  <c r="J655" i="15" s="1"/>
  <c r="I654" i="15"/>
  <c r="R654" i="15"/>
  <c r="K654" i="15"/>
  <c r="M654" i="15"/>
  <c r="L654" i="15"/>
  <c r="N654" i="15"/>
  <c r="P654" i="15"/>
  <c r="Q654" i="15"/>
  <c r="J654" i="15" a="1"/>
  <c r="J654" i="15" s="1"/>
  <c r="O654" i="15"/>
  <c r="Z655" i="7"/>
  <c r="S655" i="7"/>
  <c r="V655" i="7" a="1"/>
  <c r="V655" i="7" s="1"/>
  <c r="Z654" i="7"/>
  <c r="S654" i="7"/>
  <c r="V654" i="7" a="1"/>
  <c r="V654" i="7" s="1"/>
  <c r="Z651" i="7"/>
  <c r="V651" i="7" a="1"/>
  <c r="V651" i="7" s="1"/>
  <c r="I653" i="15"/>
  <c r="R653" i="15"/>
  <c r="O653" i="15"/>
  <c r="K653" i="15"/>
  <c r="M653" i="15"/>
  <c r="Q653" i="15"/>
  <c r="L653" i="15"/>
  <c r="N653" i="15"/>
  <c r="P653" i="15"/>
  <c r="J653" i="15" a="1"/>
  <c r="J653" i="15" s="1"/>
  <c r="K652" i="15"/>
  <c r="M652" i="15"/>
  <c r="Q652" i="15"/>
  <c r="L652" i="15"/>
  <c r="N652" i="15"/>
  <c r="P652" i="15"/>
  <c r="O652" i="15"/>
  <c r="J652" i="15" a="1"/>
  <c r="J652" i="15" s="1"/>
  <c r="I652" i="15"/>
  <c r="R652" i="15"/>
  <c r="V653" i="7" a="1"/>
  <c r="V653" i="7" s="1"/>
  <c r="Z653" i="7"/>
  <c r="S653" i="7"/>
  <c r="Z652" i="7"/>
  <c r="S652" i="7"/>
  <c r="V652" i="7" a="1"/>
  <c r="V652" i="7" s="1"/>
  <c r="V647" i="7" a="1"/>
  <c r="V647" i="7" s="1"/>
  <c r="J651" i="15" a="1"/>
  <c r="J651" i="15" s="1"/>
  <c r="O651" i="15"/>
  <c r="L651" i="15"/>
  <c r="R651" i="15"/>
  <c r="N651" i="15"/>
  <c r="I651" i="15"/>
  <c r="P651" i="15"/>
  <c r="K651" i="15"/>
  <c r="Q651" i="15"/>
  <c r="M651" i="15"/>
  <c r="Z647" i="7"/>
  <c r="I649" i="15"/>
  <c r="L649" i="15"/>
  <c r="N649" i="15"/>
  <c r="O649" i="15"/>
  <c r="K649" i="15"/>
  <c r="M649" i="15"/>
  <c r="P649" i="15"/>
  <c r="J649" i="15" a="1"/>
  <c r="J649" i="15" s="1"/>
  <c r="Q649" i="15"/>
  <c r="R649" i="15"/>
  <c r="J650" i="15" a="1"/>
  <c r="J650" i="15" s="1"/>
  <c r="I650" i="15"/>
  <c r="R650" i="15"/>
  <c r="K650" i="15"/>
  <c r="M650" i="15"/>
  <c r="L650" i="15"/>
  <c r="N650" i="15"/>
  <c r="P650" i="15"/>
  <c r="O650" i="15"/>
  <c r="Q650" i="15"/>
  <c r="Z650" i="7"/>
  <c r="S650" i="7"/>
  <c r="V650" i="7" a="1"/>
  <c r="V650" i="7" s="1"/>
  <c r="Z649" i="7"/>
  <c r="V649" i="7" a="1"/>
  <c r="V649" i="7" s="1"/>
  <c r="S649" i="7"/>
  <c r="Q648" i="15"/>
  <c r="I648" i="15"/>
  <c r="R648" i="15"/>
  <c r="N648" i="15"/>
  <c r="K648" i="15"/>
  <c r="P648" i="15"/>
  <c r="L648" i="15"/>
  <c r="J648" i="15" a="1"/>
  <c r="J648" i="15" s="1"/>
  <c r="M648" i="15"/>
  <c r="O648" i="15"/>
  <c r="S648" i="7"/>
  <c r="Z648" i="7"/>
  <c r="J647" i="15" a="1"/>
  <c r="J647" i="15" s="1"/>
  <c r="R647" i="15"/>
  <c r="Q647" i="15"/>
  <c r="M647" i="15"/>
  <c r="N647" i="15"/>
  <c r="O647" i="15"/>
  <c r="P647" i="15"/>
  <c r="I647" i="15"/>
  <c r="K647" i="15"/>
  <c r="L647" i="15"/>
  <c r="I645" i="15"/>
  <c r="O645" i="15"/>
  <c r="J645" i="15" a="1"/>
  <c r="J645" i="15" s="1"/>
  <c r="L645" i="15"/>
  <c r="N645" i="15"/>
  <c r="K645" i="15"/>
  <c r="R645" i="15"/>
  <c r="M645" i="15"/>
  <c r="Q645" i="15"/>
  <c r="P645" i="15"/>
  <c r="J646" i="15" a="1"/>
  <c r="J646" i="15" s="1"/>
  <c r="I646" i="15"/>
  <c r="O646" i="15"/>
  <c r="R646" i="15"/>
  <c r="M646" i="15"/>
  <c r="Q646" i="15"/>
  <c r="P646" i="15"/>
  <c r="N646" i="15"/>
  <c r="K646" i="15"/>
  <c r="L646" i="15"/>
  <c r="S646" i="7"/>
  <c r="Z646" i="7"/>
  <c r="V646" i="7" a="1"/>
  <c r="V646" i="7" s="1"/>
  <c r="S645" i="7"/>
  <c r="V645" i="7" a="1"/>
  <c r="V645" i="7" s="1"/>
  <c r="Z645" i="7"/>
  <c r="J644" i="15" a="1"/>
  <c r="J644" i="15" s="1"/>
  <c r="R644" i="15"/>
  <c r="Q644" i="15"/>
  <c r="M644" i="15"/>
  <c r="N644" i="15"/>
  <c r="O644" i="15"/>
  <c r="P644" i="15"/>
  <c r="I644" i="15"/>
  <c r="K644" i="15"/>
  <c r="L644" i="15"/>
  <c r="S644" i="7"/>
  <c r="V644" i="7" a="1"/>
  <c r="V644" i="7" s="1"/>
  <c r="Z644" i="7"/>
  <c r="I643" i="15"/>
  <c r="P643" i="15"/>
  <c r="K643" i="15"/>
  <c r="L643" i="15"/>
  <c r="J643" i="15" a="1"/>
  <c r="J643" i="15" s="1"/>
  <c r="R643" i="15"/>
  <c r="Q643" i="15"/>
  <c r="M643" i="15"/>
  <c r="N643" i="15"/>
  <c r="O643" i="15"/>
  <c r="S643" i="7"/>
  <c r="V643" i="7" a="1"/>
  <c r="V643" i="7" s="1"/>
  <c r="Z643" i="7"/>
  <c r="K639" i="15"/>
  <c r="O639" i="15"/>
  <c r="R639" i="15"/>
  <c r="N639" i="15"/>
  <c r="Q639" i="15"/>
  <c r="I639" i="15"/>
  <c r="J639" i="15" a="1"/>
  <c r="J639" i="15" s="1"/>
  <c r="L639" i="15"/>
  <c r="M639" i="15"/>
  <c r="P639" i="15"/>
  <c r="L641" i="15"/>
  <c r="Q641" i="15"/>
  <c r="M641" i="15"/>
  <c r="P641" i="15"/>
  <c r="R641" i="15"/>
  <c r="N641" i="15"/>
  <c r="K641" i="15"/>
  <c r="O641" i="15"/>
  <c r="I641" i="15"/>
  <c r="J641" i="15" a="1"/>
  <c r="J641" i="15" s="1"/>
  <c r="K638" i="15"/>
  <c r="O638" i="15"/>
  <c r="J638" i="15" a="1"/>
  <c r="J638" i="15" s="1"/>
  <c r="R638" i="15"/>
  <c r="L638" i="15"/>
  <c r="Q638" i="15"/>
  <c r="M638" i="15"/>
  <c r="P638" i="15"/>
  <c r="I638" i="15"/>
  <c r="N638" i="15"/>
  <c r="L642" i="15"/>
  <c r="Q642" i="15"/>
  <c r="M642" i="15"/>
  <c r="P642" i="15"/>
  <c r="O642" i="15"/>
  <c r="R642" i="15"/>
  <c r="I642" i="15"/>
  <c r="J642" i="15" a="1"/>
  <c r="J642" i="15" s="1"/>
  <c r="K642" i="15"/>
  <c r="N642" i="15"/>
  <c r="M640" i="15"/>
  <c r="P640" i="15"/>
  <c r="K640" i="15"/>
  <c r="O640" i="15"/>
  <c r="I640" i="15"/>
  <c r="J640" i="15" a="1"/>
  <c r="J640" i="15" s="1"/>
  <c r="N640" i="15"/>
  <c r="L640" i="15"/>
  <c r="R640" i="15"/>
  <c r="Q640" i="15"/>
  <c r="V154" i="7" a="1"/>
  <c r="V154" i="7" s="1"/>
  <c r="V177" i="7" a="1"/>
  <c r="V177" i="7" s="1"/>
  <c r="V136" i="7" a="1"/>
  <c r="V136" i="7" s="1"/>
  <c r="V119" i="7" a="1"/>
  <c r="V119" i="7" s="1"/>
  <c r="V102" i="7" a="1"/>
  <c r="V102" i="7" s="1"/>
  <c r="V140" i="7" a="1"/>
  <c r="V140" i="7" s="1"/>
  <c r="V25" i="7" a="1"/>
  <c r="V25" i="7" s="1"/>
  <c r="V3" i="7" a="1"/>
  <c r="V3" i="7" s="1"/>
  <c r="V37" i="7" a="1"/>
  <c r="V37" i="7" s="1"/>
  <c r="V65" i="7" a="1"/>
  <c r="V65" i="7" s="1"/>
  <c r="V62" i="7" a="1"/>
  <c r="V62" i="7" s="1"/>
  <c r="V73" i="7" a="1"/>
  <c r="V73" i="7" s="1"/>
  <c r="V28" i="7" a="1"/>
  <c r="V28" i="7" s="1"/>
  <c r="V29" i="7" a="1"/>
  <c r="V29" i="7" s="1"/>
  <c r="V43" i="7" a="1"/>
  <c r="V43" i="7" s="1"/>
  <c r="V27" i="7" a="1"/>
  <c r="V27" i="7" s="1"/>
  <c r="V85" i="7" a="1"/>
  <c r="V85" i="7" s="1"/>
  <c r="V202" i="7" a="1"/>
  <c r="V202" i="7" s="1"/>
  <c r="V138" i="7" a="1"/>
  <c r="V138" i="7" s="1"/>
  <c r="V155" i="7" a="1"/>
  <c r="V155" i="7" s="1"/>
  <c r="V97" i="7" a="1"/>
  <c r="V97" i="7" s="1"/>
  <c r="V184" i="7" a="1"/>
  <c r="V184" i="7" s="1"/>
  <c r="V120" i="7" a="1"/>
  <c r="V120" i="7" s="1"/>
  <c r="V167" i="7" a="1"/>
  <c r="V167" i="7" s="1"/>
  <c r="V103" i="7" a="1"/>
  <c r="V103" i="7" s="1"/>
  <c r="V150" i="7" a="1"/>
  <c r="V150" i="7" s="1"/>
  <c r="V197" i="7" a="1"/>
  <c r="V197" i="7" s="1"/>
  <c r="V133" i="7" a="1"/>
  <c r="V133" i="7" s="1"/>
  <c r="V188" i="7" a="1"/>
  <c r="V188" i="7" s="1"/>
  <c r="V124" i="7" a="1"/>
  <c r="V124" i="7" s="1"/>
  <c r="V209" i="7" a="1"/>
  <c r="V209" i="7" s="1"/>
  <c r="V283" i="7" a="1"/>
  <c r="V283" i="7" s="1"/>
  <c r="S281" i="7"/>
  <c r="V255" i="7" a="1"/>
  <c r="V255" i="7" s="1"/>
  <c r="V214" i="7" a="1"/>
  <c r="V214" i="7" s="1"/>
  <c r="V237" i="7" a="1"/>
  <c r="V237" i="7" s="1"/>
  <c r="V6" i="7" a="1"/>
  <c r="V6" i="7" s="1"/>
  <c r="V17" i="7" a="1"/>
  <c r="V17" i="7" s="1"/>
  <c r="V68" i="7" a="1"/>
  <c r="V68" i="7" s="1"/>
  <c r="V7" i="7" a="1"/>
  <c r="V7" i="7" s="1"/>
  <c r="V47" i="7" a="1"/>
  <c r="V47" i="7" s="1"/>
  <c r="V35" i="7" a="1"/>
  <c r="V35" i="7" s="1"/>
  <c r="V46" i="7" a="1"/>
  <c r="V46" i="7" s="1"/>
  <c r="V51" i="7" a="1"/>
  <c r="V51" i="7" s="1"/>
  <c r="V33" i="7" a="1"/>
  <c r="V33" i="7" s="1"/>
  <c r="V14" i="7" a="1"/>
  <c r="V14" i="7" s="1"/>
  <c r="V53" i="7" a="1"/>
  <c r="V53" i="7" s="1"/>
  <c r="V9" i="7" a="1"/>
  <c r="V9" i="7" s="1"/>
  <c r="V16" i="7" a="1"/>
  <c r="V16" i="7" s="1"/>
  <c r="V75" i="7" a="1"/>
  <c r="V75" i="7" s="1"/>
  <c r="V32" i="7" a="1"/>
  <c r="V32" i="7" s="1"/>
  <c r="V131" i="7" a="1"/>
  <c r="V131" i="7" s="1"/>
  <c r="V153" i="7" a="1"/>
  <c r="V153" i="7" s="1"/>
  <c r="V195" i="7" a="1"/>
  <c r="V195" i="7" s="1"/>
  <c r="V176" i="7" a="1"/>
  <c r="V176" i="7" s="1"/>
  <c r="V112" i="7" a="1"/>
  <c r="V112" i="7" s="1"/>
  <c r="V159" i="7" a="1"/>
  <c r="V159" i="7" s="1"/>
  <c r="V95" i="7" a="1"/>
  <c r="V95" i="7" s="1"/>
  <c r="V142" i="7" a="1"/>
  <c r="V142" i="7" s="1"/>
  <c r="V189" i="7" a="1"/>
  <c r="V189" i="7" s="1"/>
  <c r="V125" i="7" a="1"/>
  <c r="V125" i="7" s="1"/>
  <c r="V180" i="7" a="1"/>
  <c r="V180" i="7" s="1"/>
  <c r="V116" i="7" a="1"/>
  <c r="V116" i="7" s="1"/>
  <c r="V208" i="7" a="1"/>
  <c r="V208" i="7" s="1"/>
  <c r="V439" i="7" a="1"/>
  <c r="V439" i="7" s="1"/>
  <c r="S375" i="7"/>
  <c r="V247" i="7" a="1"/>
  <c r="V247" i="7" s="1"/>
  <c r="S334" i="7"/>
  <c r="V229" i="7" a="1"/>
  <c r="V229" i="7" s="1"/>
  <c r="S580" i="7"/>
  <c r="V54" i="7" a="1"/>
  <c r="V54" i="7" s="1"/>
  <c r="V77" i="7" a="1"/>
  <c r="V77" i="7" s="1"/>
  <c r="V79" i="7" a="1"/>
  <c r="V79" i="7" s="1"/>
  <c r="V139" i="7" a="1"/>
  <c r="V139" i="7" s="1"/>
  <c r="V203" i="7" a="1"/>
  <c r="V203" i="7" s="1"/>
  <c r="V113" i="7" a="1"/>
  <c r="V113" i="7" s="1"/>
  <c r="V200" i="7" a="1"/>
  <c r="V200" i="7" s="1"/>
  <c r="V183" i="7" a="1"/>
  <c r="V183" i="7" s="1"/>
  <c r="V166" i="7" a="1"/>
  <c r="V166" i="7" s="1"/>
  <c r="V149" i="7" a="1"/>
  <c r="V149" i="7" s="1"/>
  <c r="V204" i="7" a="1"/>
  <c r="V204" i="7" s="1"/>
  <c r="V244" i="7" a="1"/>
  <c r="V244" i="7" s="1"/>
  <c r="V272" i="7" a="1"/>
  <c r="V272" i="7" s="1"/>
  <c r="V251" i="7" a="1"/>
  <c r="V251" i="7" s="1"/>
  <c r="V268" i="7" a="1"/>
  <c r="V268" i="7" s="1"/>
  <c r="S522" i="7"/>
  <c r="V72" i="7" a="1"/>
  <c r="V72" i="7" s="1"/>
  <c r="V88" i="7" a="1"/>
  <c r="V88" i="7" s="1"/>
  <c r="V84" i="7" a="1"/>
  <c r="V84" i="7" s="1"/>
  <c r="V40" i="7" a="1"/>
  <c r="V40" i="7" s="1"/>
  <c r="V59" i="7" a="1"/>
  <c r="V59" i="7" s="1"/>
  <c r="V70" i="7" a="1"/>
  <c r="V70" i="7" s="1"/>
  <c r="V31" i="7" a="1"/>
  <c r="V31" i="7" s="1"/>
  <c r="V71" i="7" a="1"/>
  <c r="V71" i="7" s="1"/>
  <c r="V61" i="7" a="1"/>
  <c r="V61" i="7" s="1"/>
  <c r="V91" i="7" a="1"/>
  <c r="V91" i="7" s="1"/>
  <c r="V186" i="7" a="1"/>
  <c r="V186" i="7" s="1"/>
  <c r="V122" i="7" a="1"/>
  <c r="V122" i="7" s="1"/>
  <c r="V107" i="7" a="1"/>
  <c r="V107" i="7" s="1"/>
  <c r="V171" i="7" a="1"/>
  <c r="V171" i="7" s="1"/>
  <c r="V168" i="7" a="1"/>
  <c r="V168" i="7" s="1"/>
  <c r="V104" i="7" a="1"/>
  <c r="V104" i="7" s="1"/>
  <c r="V151" i="7" a="1"/>
  <c r="V151" i="7" s="1"/>
  <c r="V181" i="7" a="1"/>
  <c r="V181" i="7" s="1"/>
  <c r="V117" i="7" a="1"/>
  <c r="V117" i="7" s="1"/>
  <c r="V172" i="7" a="1"/>
  <c r="V172" i="7" s="1"/>
  <c r="V108" i="7" a="1"/>
  <c r="V108" i="7" s="1"/>
  <c r="V207" i="7" a="1"/>
  <c r="V207" i="7" s="1"/>
  <c r="S308" i="7"/>
  <c r="V219" i="7" a="1"/>
  <c r="V219" i="7" s="1"/>
  <c r="V234" i="7" a="1"/>
  <c r="V234" i="7" s="1"/>
  <c r="S521" i="7"/>
  <c r="V265" i="7" a="1"/>
  <c r="V265" i="7" s="1"/>
  <c r="S304" i="7"/>
  <c r="V240" i="7" a="1"/>
  <c r="V240" i="7" s="1"/>
  <c r="S303" i="7"/>
  <c r="V239" i="7" a="1"/>
  <c r="V239" i="7" s="1"/>
  <c r="V326" i="7" a="1"/>
  <c r="V326" i="7" s="1"/>
  <c r="S285" i="7"/>
  <c r="S581" i="7"/>
  <c r="V266" i="7" a="1"/>
  <c r="V266" i="7" s="1"/>
  <c r="V253" i="7" a="1"/>
  <c r="V253" i="7" s="1"/>
  <c r="S583" i="7"/>
  <c r="V64" i="7" a="1"/>
  <c r="V64" i="7" s="1"/>
  <c r="V50" i="7" a="1"/>
  <c r="V50" i="7" s="1"/>
  <c r="V18" i="7" a="1"/>
  <c r="V18" i="7" s="1"/>
  <c r="V36" i="7" a="1"/>
  <c r="V36" i="7" s="1"/>
  <c r="V66" i="7" a="1"/>
  <c r="V66" i="7" s="1"/>
  <c r="V178" i="7" a="1"/>
  <c r="V178" i="7" s="1"/>
  <c r="V201" i="7" a="1"/>
  <c r="V201" i="7" s="1"/>
  <c r="V137" i="7" a="1"/>
  <c r="V137" i="7" s="1"/>
  <c r="V147" i="7" a="1"/>
  <c r="V147" i="7" s="1"/>
  <c r="V143" i="7" a="1"/>
  <c r="V143" i="7" s="1"/>
  <c r="V190" i="7" a="1"/>
  <c r="V190" i="7" s="1"/>
  <c r="V126" i="7" a="1"/>
  <c r="V126" i="7" s="1"/>
  <c r="V173" i="7" a="1"/>
  <c r="V173" i="7" s="1"/>
  <c r="V109" i="7" a="1"/>
  <c r="V109" i="7" s="1"/>
  <c r="V164" i="7" a="1"/>
  <c r="V164" i="7" s="1"/>
  <c r="V100" i="7" a="1"/>
  <c r="V100" i="7" s="1"/>
  <c r="V228" i="7" a="1"/>
  <c r="V228" i="7" s="1"/>
  <c r="S324" i="7"/>
  <c r="V226" i="7" a="1"/>
  <c r="V226" i="7" s="1"/>
  <c r="S296" i="7"/>
  <c r="V232" i="7" a="1"/>
  <c r="V232" i="7" s="1"/>
  <c r="V231" i="7" a="1"/>
  <c r="V231" i="7" s="1"/>
  <c r="V259" i="7" a="1"/>
  <c r="V259" i="7" s="1"/>
  <c r="V254" i="7" a="1"/>
  <c r="V254" i="7" s="1"/>
  <c r="S579" i="7"/>
  <c r="S587" i="7"/>
  <c r="V56" i="7" a="1"/>
  <c r="V56" i="7" s="1"/>
  <c r="V271" i="7" a="1"/>
  <c r="V271" i="7" s="1"/>
  <c r="S578" i="7"/>
  <c r="V24" i="7" a="1"/>
  <c r="V24" i="7" s="1"/>
  <c r="V20" i="7" a="1"/>
  <c r="V20" i="7" s="1"/>
  <c r="V89" i="7" a="1"/>
  <c r="V89" i="7" s="1"/>
  <c r="V63" i="7" a="1"/>
  <c r="V63" i="7" s="1"/>
  <c r="V81" i="7" a="1"/>
  <c r="V81" i="7" s="1"/>
  <c r="V38" i="7" a="1"/>
  <c r="V38" i="7" s="1"/>
  <c r="V78" i="7" a="1"/>
  <c r="V78" i="7" s="1"/>
  <c r="V12" i="7" a="1"/>
  <c r="V12" i="7" s="1"/>
  <c r="V52" i="7" a="1"/>
  <c r="V52" i="7" s="1"/>
  <c r="V55" i="7" a="1"/>
  <c r="V55" i="7" s="1"/>
  <c r="V187" i="7" a="1"/>
  <c r="V187" i="7" s="1"/>
  <c r="V106" i="7" a="1"/>
  <c r="V106" i="7" s="1"/>
  <c r="V193" i="7" a="1"/>
  <c r="V193" i="7" s="1"/>
  <c r="V129" i="7" a="1"/>
  <c r="V129" i="7" s="1"/>
  <c r="V123" i="7" a="1"/>
  <c r="V123" i="7" s="1"/>
  <c r="V152" i="7" a="1"/>
  <c r="V152" i="7" s="1"/>
  <c r="V135" i="7" a="1"/>
  <c r="V135" i="7" s="1"/>
  <c r="V182" i="7" a="1"/>
  <c r="V182" i="7" s="1"/>
  <c r="V118" i="7" a="1"/>
  <c r="V118" i="7" s="1"/>
  <c r="V165" i="7" a="1"/>
  <c r="V165" i="7" s="1"/>
  <c r="V101" i="7" a="1"/>
  <c r="V101" i="7" s="1"/>
  <c r="V156" i="7" a="1"/>
  <c r="V156" i="7" s="1"/>
  <c r="V92" i="7" a="1"/>
  <c r="V92" i="7" s="1"/>
  <c r="S523" i="7"/>
  <c r="S292" i="7"/>
  <c r="S306" i="7"/>
  <c r="V218" i="7" a="1"/>
  <c r="V218" i="7" s="1"/>
  <c r="V249" i="7" a="1"/>
  <c r="V249" i="7" s="1"/>
  <c r="V235" i="7" a="1"/>
  <c r="V235" i="7" s="1"/>
  <c r="V224" i="7" a="1"/>
  <c r="V224" i="7" s="1"/>
  <c r="S403" i="7"/>
  <c r="V298" i="7" a="1"/>
  <c r="V298" i="7" s="1"/>
  <c r="S287" i="7"/>
  <c r="V223" i="7" a="1"/>
  <c r="V223" i="7" s="1"/>
  <c r="V227" i="7" a="1"/>
  <c r="V227" i="7" s="1"/>
  <c r="S438" i="7"/>
  <c r="S310" i="7"/>
  <c r="V246" i="7" a="1"/>
  <c r="V246" i="7" s="1"/>
  <c r="S525" i="7"/>
  <c r="S577" i="7"/>
  <c r="V83" i="7" a="1"/>
  <c r="V83" i="7" s="1"/>
  <c r="V5" i="7" a="1"/>
  <c r="V5" i="7" s="1"/>
  <c r="V30" i="7" a="1"/>
  <c r="V30" i="7" s="1"/>
  <c r="V34" i="7" a="1"/>
  <c r="V34" i="7" s="1"/>
  <c r="V48" i="7" a="1"/>
  <c r="V48" i="7" s="1"/>
  <c r="V19" i="7" a="1"/>
  <c r="V19" i="7" s="1"/>
  <c r="V41" i="7" a="1"/>
  <c r="V41" i="7" s="1"/>
  <c r="V163" i="7" a="1"/>
  <c r="V163" i="7" s="1"/>
  <c r="V162" i="7" a="1"/>
  <c r="V162" i="7" s="1"/>
  <c r="V98" i="7" a="1"/>
  <c r="V98" i="7" s="1"/>
  <c r="V185" i="7" a="1"/>
  <c r="V185" i="7" s="1"/>
  <c r="V121" i="7" a="1"/>
  <c r="V121" i="7" s="1"/>
  <c r="V115" i="7" a="1"/>
  <c r="V115" i="7" s="1"/>
  <c r="V144" i="7" a="1"/>
  <c r="V144" i="7" s="1"/>
  <c r="V191" i="7" a="1"/>
  <c r="V191" i="7" s="1"/>
  <c r="V127" i="7" a="1"/>
  <c r="V127" i="7" s="1"/>
  <c r="V174" i="7" a="1"/>
  <c r="V174" i="7" s="1"/>
  <c r="V110" i="7" a="1"/>
  <c r="V110" i="7" s="1"/>
  <c r="V93" i="7" a="1"/>
  <c r="V93" i="7" s="1"/>
  <c r="V212" i="7" a="1"/>
  <c r="V212" i="7" s="1"/>
  <c r="S276" i="7"/>
  <c r="V216" i="7" a="1"/>
  <c r="V216" i="7" s="1"/>
  <c r="S363" i="7"/>
  <c r="S279" i="7"/>
  <c r="V215" i="7" a="1"/>
  <c r="V215" i="7" s="1"/>
  <c r="S302" i="7"/>
  <c r="V238" i="7" a="1"/>
  <c r="V238" i="7" s="1"/>
  <c r="V261" i="7" a="1"/>
  <c r="V261" i="7" s="1"/>
  <c r="S576" i="7"/>
  <c r="V15" i="7" a="1"/>
  <c r="V15" i="7" s="1"/>
  <c r="S524" i="7"/>
  <c r="V315" i="7" a="1"/>
  <c r="V315" i="7" s="1"/>
  <c r="V233" i="7" a="1"/>
  <c r="V233" i="7" s="1"/>
  <c r="S520" i="7"/>
  <c r="S294" i="7"/>
  <c r="V230" i="7" a="1"/>
  <c r="V230" i="7" s="1"/>
  <c r="S300" i="7"/>
  <c r="V243" i="7" a="1"/>
  <c r="V243" i="7" s="1"/>
  <c r="S440" i="7"/>
  <c r="V11" i="7" a="1"/>
  <c r="V11" i="7" s="1"/>
  <c r="V23" i="7" a="1"/>
  <c r="V23" i="7" s="1"/>
  <c r="V22" i="7" a="1"/>
  <c r="V22" i="7" s="1"/>
  <c r="V49" i="7" a="1"/>
  <c r="V49" i="7" s="1"/>
  <c r="V39" i="7" a="1"/>
  <c r="V39" i="7" s="1"/>
  <c r="V21" i="7" a="1"/>
  <c r="V21" i="7" s="1"/>
  <c r="V76" i="7" a="1"/>
  <c r="V76" i="7" s="1"/>
  <c r="V99" i="7" a="1"/>
  <c r="V99" i="7" s="1"/>
  <c r="V146" i="7" a="1"/>
  <c r="V146" i="7" s="1"/>
  <c r="V169" i="7" a="1"/>
  <c r="V169" i="7" s="1"/>
  <c r="V105" i="7" a="1"/>
  <c r="V105" i="7" s="1"/>
  <c r="V192" i="7" a="1"/>
  <c r="V192" i="7" s="1"/>
  <c r="V128" i="7" a="1"/>
  <c r="V128" i="7" s="1"/>
  <c r="V111" i="7" a="1"/>
  <c r="V111" i="7" s="1"/>
  <c r="V94" i="7" a="1"/>
  <c r="V94" i="7" s="1"/>
  <c r="V196" i="7" a="1"/>
  <c r="V196" i="7" s="1"/>
  <c r="V132" i="7" a="1"/>
  <c r="V132" i="7" s="1"/>
  <c r="V210" i="7" a="1"/>
  <c r="V210" i="7" s="1"/>
  <c r="V258" i="7" a="1"/>
  <c r="V258" i="7" s="1"/>
  <c r="V225" i="7" a="1"/>
  <c r="V225" i="7" s="1"/>
  <c r="S519" i="7"/>
  <c r="V263" i="7" a="1"/>
  <c r="V263" i="7" s="1"/>
  <c r="V236" i="7" a="1"/>
  <c r="V236" i="7" s="1"/>
  <c r="S286" i="7"/>
  <c r="V222" i="7" a="1"/>
  <c r="V222" i="7" s="1"/>
  <c r="V220" i="7" a="1"/>
  <c r="V220" i="7" s="1"/>
  <c r="V245" i="7" a="1"/>
  <c r="V245" i="7" s="1"/>
  <c r="S582" i="7"/>
  <c r="S642" i="7"/>
  <c r="V642" i="7" a="1"/>
  <c r="V642" i="7" s="1"/>
  <c r="S641" i="7"/>
  <c r="V641" i="7" a="1"/>
  <c r="V641" i="7" s="1"/>
  <c r="V640" i="7" a="1"/>
  <c r="V640" i="7" s="1"/>
  <c r="S640" i="7"/>
  <c r="S639" i="7"/>
  <c r="V639" i="7" a="1"/>
  <c r="V639" i="7" s="1"/>
  <c r="V638" i="7" a="1"/>
  <c r="V638" i="7" s="1"/>
  <c r="S638" i="7"/>
  <c r="L634" i="15"/>
  <c r="P634" i="15"/>
  <c r="N634" i="15"/>
  <c r="R634" i="15"/>
  <c r="J634" i="15" a="1"/>
  <c r="J634" i="15" s="1"/>
  <c r="O634" i="15"/>
  <c r="K634" i="15"/>
  <c r="M634" i="15"/>
  <c r="Q634" i="15"/>
  <c r="I634" i="15"/>
  <c r="N633" i="15"/>
  <c r="M633" i="15"/>
  <c r="K633" i="15"/>
  <c r="I633" i="15"/>
  <c r="Q633" i="15"/>
  <c r="R633" i="15"/>
  <c r="O633" i="15"/>
  <c r="L633" i="15"/>
  <c r="P633" i="15"/>
  <c r="J633" i="15" a="1"/>
  <c r="J633" i="15" s="1"/>
  <c r="K632" i="15"/>
  <c r="M632" i="15"/>
  <c r="Q632" i="15"/>
  <c r="O632" i="15"/>
  <c r="L632" i="15"/>
  <c r="I632" i="15"/>
  <c r="R632" i="15"/>
  <c r="P632" i="15"/>
  <c r="J632" i="15" a="1"/>
  <c r="J632" i="15" s="1"/>
  <c r="N632" i="15"/>
  <c r="O636" i="15"/>
  <c r="P636" i="15"/>
  <c r="M636" i="15"/>
  <c r="I636" i="15"/>
  <c r="J636" i="15" a="1"/>
  <c r="J636" i="15" s="1"/>
  <c r="L636" i="15"/>
  <c r="N636" i="15"/>
  <c r="Q636" i="15"/>
  <c r="K636" i="15"/>
  <c r="R636" i="15"/>
  <c r="R637" i="15"/>
  <c r="O637" i="15"/>
  <c r="J637" i="15" a="1"/>
  <c r="J637" i="15" s="1"/>
  <c r="Q637" i="15"/>
  <c r="L637" i="15"/>
  <c r="P637" i="15"/>
  <c r="N637" i="15"/>
  <c r="M637" i="15"/>
  <c r="I637" i="15"/>
  <c r="K637" i="15"/>
  <c r="O635" i="15"/>
  <c r="P635" i="15"/>
  <c r="N635" i="15"/>
  <c r="Q635" i="15"/>
  <c r="L635" i="15"/>
  <c r="K635" i="15"/>
  <c r="M635" i="15"/>
  <c r="R635" i="15"/>
  <c r="J635" i="15" a="1"/>
  <c r="J635" i="15" s="1"/>
  <c r="I635" i="15"/>
  <c r="S637" i="7"/>
  <c r="V637" i="7" a="1"/>
  <c r="V637" i="7" s="1"/>
  <c r="V636" i="7" a="1"/>
  <c r="V636" i="7" s="1"/>
  <c r="S636" i="7"/>
  <c r="S635" i="7"/>
  <c r="V635" i="7" a="1"/>
  <c r="V635" i="7" s="1"/>
  <c r="S634" i="7"/>
  <c r="V634" i="7" a="1"/>
  <c r="V634" i="7" s="1"/>
  <c r="S633" i="7"/>
  <c r="V633" i="7" a="1"/>
  <c r="V633" i="7" s="1"/>
  <c r="V632" i="7" a="1"/>
  <c r="V632" i="7" s="1"/>
  <c r="S632" i="7"/>
  <c r="M630" i="15"/>
  <c r="N630" i="15"/>
  <c r="P630" i="15"/>
  <c r="O630" i="15"/>
  <c r="I630" i="15"/>
  <c r="K630" i="15"/>
  <c r="L630" i="15"/>
  <c r="Q630" i="15"/>
  <c r="J630" i="15" a="1"/>
  <c r="J630" i="15" s="1"/>
  <c r="R630" i="15"/>
  <c r="K626" i="15"/>
  <c r="L626" i="15"/>
  <c r="Q626" i="15"/>
  <c r="J626" i="15" a="1"/>
  <c r="J626" i="15" s="1"/>
  <c r="R626" i="15"/>
  <c r="M626" i="15"/>
  <c r="N626" i="15"/>
  <c r="P626" i="15"/>
  <c r="O626" i="15"/>
  <c r="I626" i="15"/>
  <c r="N629" i="15"/>
  <c r="P629" i="15"/>
  <c r="O629" i="15"/>
  <c r="I629" i="15"/>
  <c r="K629" i="15"/>
  <c r="L629" i="15"/>
  <c r="Q629" i="15"/>
  <c r="J629" i="15" a="1"/>
  <c r="J629" i="15" s="1"/>
  <c r="R629" i="15"/>
  <c r="M629" i="15"/>
  <c r="L625" i="15"/>
  <c r="Q625" i="15"/>
  <c r="J625" i="15" a="1"/>
  <c r="J625" i="15" s="1"/>
  <c r="R625" i="15"/>
  <c r="M625" i="15"/>
  <c r="N625" i="15"/>
  <c r="P625" i="15"/>
  <c r="O625" i="15"/>
  <c r="I625" i="15"/>
  <c r="K625" i="15"/>
  <c r="O628" i="15"/>
  <c r="I628" i="15"/>
  <c r="K628" i="15"/>
  <c r="L628" i="15"/>
  <c r="Q628" i="15"/>
  <c r="J628" i="15" a="1"/>
  <c r="J628" i="15" s="1"/>
  <c r="R628" i="15"/>
  <c r="M628" i="15"/>
  <c r="N628" i="15"/>
  <c r="P628" i="15"/>
  <c r="R631" i="15"/>
  <c r="M631" i="15"/>
  <c r="N631" i="15"/>
  <c r="P631" i="15"/>
  <c r="O631" i="15"/>
  <c r="I631" i="15"/>
  <c r="K631" i="15"/>
  <c r="L631" i="15"/>
  <c r="Q631" i="15"/>
  <c r="J631" i="15" a="1"/>
  <c r="J631" i="15" s="1"/>
  <c r="J624" i="15" a="1"/>
  <c r="J624" i="15" s="1"/>
  <c r="R624" i="15"/>
  <c r="M624" i="15"/>
  <c r="N624" i="15"/>
  <c r="P624" i="15"/>
  <c r="O624" i="15"/>
  <c r="I624" i="15"/>
  <c r="K624" i="15"/>
  <c r="L624" i="15"/>
  <c r="Q624" i="15"/>
  <c r="R623" i="15"/>
  <c r="M623" i="15"/>
  <c r="N623" i="15"/>
  <c r="P623" i="15"/>
  <c r="O623" i="15"/>
  <c r="I623" i="15"/>
  <c r="K623" i="15"/>
  <c r="L623" i="15"/>
  <c r="Q623" i="15"/>
  <c r="J623" i="15" a="1"/>
  <c r="J623" i="15" s="1"/>
  <c r="I627" i="15"/>
  <c r="K627" i="15"/>
  <c r="L627" i="15"/>
  <c r="Q627" i="15"/>
  <c r="J627" i="15" a="1"/>
  <c r="J627" i="15" s="1"/>
  <c r="R627" i="15"/>
  <c r="M627" i="15"/>
  <c r="N627" i="15"/>
  <c r="P627" i="15"/>
  <c r="O627" i="15"/>
  <c r="S631" i="7"/>
  <c r="V631" i="7" a="1"/>
  <c r="V631" i="7" s="1"/>
  <c r="S623" i="7"/>
  <c r="V623" i="7" a="1"/>
  <c r="V623" i="7" s="1"/>
  <c r="V630" i="7" a="1"/>
  <c r="V630" i="7" s="1"/>
  <c r="S630" i="7"/>
  <c r="S627" i="7"/>
  <c r="V627" i="7" a="1"/>
  <c r="V627" i="7" s="1"/>
  <c r="V629" i="7" a="1"/>
  <c r="V629" i="7" s="1"/>
  <c r="S629" i="7"/>
  <c r="V626" i="7" a="1"/>
  <c r="V626" i="7" s="1"/>
  <c r="S626" i="7"/>
  <c r="V625" i="7" a="1"/>
  <c r="V625" i="7" s="1"/>
  <c r="S625" i="7"/>
  <c r="S628" i="7"/>
  <c r="V628" i="7" a="1"/>
  <c r="V628" i="7" s="1"/>
  <c r="S624" i="7"/>
  <c r="V624" i="7" a="1"/>
  <c r="V624" i="7" s="1"/>
  <c r="R622" i="15"/>
  <c r="N622" i="15"/>
  <c r="L622" i="15"/>
  <c r="K622" i="15"/>
  <c r="Q622" i="15"/>
  <c r="I622" i="15"/>
  <c r="P622" i="15"/>
  <c r="J622" i="15" a="1"/>
  <c r="J622" i="15" s="1"/>
  <c r="M622" i="15"/>
  <c r="O622" i="15"/>
  <c r="V622" i="7" a="1"/>
  <c r="V622" i="7" s="1"/>
  <c r="S622" i="7"/>
  <c r="S621" i="7"/>
  <c r="V621" i="7" a="1"/>
  <c r="V621" i="7" s="1"/>
  <c r="R621" i="15"/>
  <c r="K621" i="15"/>
  <c r="Q621" i="15"/>
  <c r="L621" i="15"/>
  <c r="P621" i="15"/>
  <c r="J621" i="15" a="1"/>
  <c r="J621" i="15" s="1"/>
  <c r="M621" i="15"/>
  <c r="O621" i="15"/>
  <c r="I621" i="15"/>
  <c r="N621" i="15"/>
  <c r="S620" i="7"/>
  <c r="V620" i="7" a="1"/>
  <c r="V620" i="7" s="1"/>
  <c r="I620" i="15"/>
  <c r="L620" i="15"/>
  <c r="P620" i="15"/>
  <c r="K620" i="15"/>
  <c r="Q620" i="15"/>
  <c r="J620" i="15" a="1"/>
  <c r="J620" i="15" s="1"/>
  <c r="M620" i="15"/>
  <c r="O620" i="15"/>
  <c r="N620" i="15"/>
  <c r="R620" i="15"/>
  <c r="V619" i="7" a="1"/>
  <c r="V619" i="7" s="1"/>
  <c r="S619" i="7"/>
  <c r="R619" i="15"/>
  <c r="N619" i="15"/>
  <c r="K619" i="15"/>
  <c r="J619" i="15" a="1"/>
  <c r="J619" i="15" s="1"/>
  <c r="Q619" i="15"/>
  <c r="M619" i="15"/>
  <c r="O619" i="15"/>
  <c r="I619" i="15"/>
  <c r="L619" i="15"/>
  <c r="P619" i="15"/>
  <c r="S613" i="7"/>
  <c r="V613" i="7" a="1"/>
  <c r="V613" i="7" s="1"/>
  <c r="V617" i="7" a="1"/>
  <c r="V617" i="7" s="1"/>
  <c r="S617" i="7"/>
  <c r="I616" i="15"/>
  <c r="J616" i="15" a="1"/>
  <c r="J616" i="15" s="1"/>
  <c r="P616" i="15"/>
  <c r="L616" i="15"/>
  <c r="M616" i="15"/>
  <c r="R616" i="15"/>
  <c r="N616" i="15"/>
  <c r="Q616" i="15"/>
  <c r="O616" i="15"/>
  <c r="K616" i="15"/>
  <c r="S614" i="7"/>
  <c r="V614" i="7" a="1"/>
  <c r="V614" i="7" s="1"/>
  <c r="I615" i="15"/>
  <c r="J615" i="15" a="1"/>
  <c r="J615" i="15" s="1"/>
  <c r="L615" i="15"/>
  <c r="M615" i="15"/>
  <c r="Q615" i="15"/>
  <c r="P615" i="15"/>
  <c r="N615" i="15"/>
  <c r="K615" i="15"/>
  <c r="R615" i="15"/>
  <c r="O615" i="15"/>
  <c r="S616" i="7"/>
  <c r="V616" i="7" a="1"/>
  <c r="V616" i="7" s="1"/>
  <c r="L614" i="15"/>
  <c r="Q614" i="15"/>
  <c r="P614" i="15"/>
  <c r="M614" i="15"/>
  <c r="K614" i="15"/>
  <c r="R614" i="15"/>
  <c r="O614" i="15"/>
  <c r="N614" i="15"/>
  <c r="I614" i="15"/>
  <c r="J614" i="15" a="1"/>
  <c r="J614" i="15" s="1"/>
  <c r="I618" i="15"/>
  <c r="J618" i="15" a="1"/>
  <c r="J618" i="15" s="1"/>
  <c r="N618" i="15"/>
  <c r="Q618" i="15"/>
  <c r="P618" i="15"/>
  <c r="O618" i="15"/>
  <c r="R618" i="15"/>
  <c r="L618" i="15"/>
  <c r="M618" i="15"/>
  <c r="K618" i="15"/>
  <c r="S615" i="7"/>
  <c r="V615" i="7" a="1"/>
  <c r="V615" i="7" s="1"/>
  <c r="V618" i="7" a="1"/>
  <c r="V618" i="7" s="1"/>
  <c r="S618" i="7"/>
  <c r="L613" i="15"/>
  <c r="K613" i="15"/>
  <c r="R613" i="15"/>
  <c r="O613" i="15"/>
  <c r="M613" i="15"/>
  <c r="N613" i="15"/>
  <c r="P613" i="15"/>
  <c r="Q613" i="15"/>
  <c r="I613" i="15"/>
  <c r="J613" i="15" a="1"/>
  <c r="J613" i="15" s="1"/>
  <c r="K617" i="15"/>
  <c r="O617" i="15"/>
  <c r="Q617" i="15"/>
  <c r="L617" i="15"/>
  <c r="M617" i="15"/>
  <c r="I617" i="15"/>
  <c r="J617" i="15" a="1"/>
  <c r="J617" i="15" s="1"/>
  <c r="P617" i="15"/>
  <c r="N617" i="15"/>
  <c r="R617" i="15"/>
  <c r="V612" i="7" a="1"/>
  <c r="V612" i="7" s="1"/>
  <c r="S612" i="7"/>
  <c r="I612" i="15"/>
  <c r="P612" i="15"/>
  <c r="K612" i="15"/>
  <c r="L612" i="15"/>
  <c r="J612" i="15" a="1"/>
  <c r="J612" i="15" s="1"/>
  <c r="R612" i="15"/>
  <c r="M612" i="15"/>
  <c r="O612" i="15"/>
  <c r="N612" i="15"/>
  <c r="Q612" i="15"/>
  <c r="R611" i="15"/>
  <c r="P611" i="15"/>
  <c r="O611" i="15"/>
  <c r="L611" i="15"/>
  <c r="I611" i="15"/>
  <c r="Q611" i="15"/>
  <c r="M611" i="15"/>
  <c r="N611" i="15"/>
  <c r="K611" i="15"/>
  <c r="J611" i="15" a="1"/>
  <c r="J611" i="15" s="1"/>
  <c r="V611" i="7" a="1"/>
  <c r="V611" i="7" s="1"/>
  <c r="S611" i="7"/>
  <c r="O610" i="15"/>
  <c r="L610" i="15"/>
  <c r="M610" i="15"/>
  <c r="J610" i="15" a="1"/>
  <c r="J610" i="15" s="1"/>
  <c r="P610" i="15"/>
  <c r="I610" i="15"/>
  <c r="N610" i="15"/>
  <c r="K610" i="15"/>
  <c r="Q610" i="15"/>
  <c r="R610" i="15"/>
  <c r="V610" i="7" a="1"/>
  <c r="V610" i="7" s="1"/>
  <c r="S610" i="7"/>
  <c r="V609" i="7" a="1"/>
  <c r="V609" i="7" s="1"/>
  <c r="S609" i="7"/>
  <c r="L609" i="15"/>
  <c r="M609" i="15"/>
  <c r="I609" i="15"/>
  <c r="R609" i="15"/>
  <c r="J609" i="15" a="1"/>
  <c r="J609" i="15" s="1"/>
  <c r="Q609" i="15"/>
  <c r="P609" i="15"/>
  <c r="O609" i="15"/>
  <c r="N609" i="15"/>
  <c r="K609" i="15"/>
  <c r="S606" i="7"/>
  <c r="V606" i="7" a="1"/>
  <c r="V606" i="7" s="1"/>
  <c r="V608" i="7" a="1"/>
  <c r="V608" i="7" s="1"/>
  <c r="S608" i="7"/>
  <c r="S607" i="7"/>
  <c r="V607" i="7" a="1"/>
  <c r="V607" i="7" s="1"/>
  <c r="M606" i="15"/>
  <c r="Q606" i="15"/>
  <c r="J606" i="15" a="1"/>
  <c r="J606" i="15" s="1"/>
  <c r="R606" i="15"/>
  <c r="O606" i="15"/>
  <c r="I606" i="15"/>
  <c r="N606" i="15"/>
  <c r="L606" i="15"/>
  <c r="P606" i="15"/>
  <c r="K606" i="15"/>
  <c r="K608" i="15"/>
  <c r="L608" i="15"/>
  <c r="O608" i="15"/>
  <c r="P608" i="15"/>
  <c r="N608" i="15"/>
  <c r="J608" i="15" a="1"/>
  <c r="J608" i="15" s="1"/>
  <c r="I608" i="15"/>
  <c r="M608" i="15"/>
  <c r="R608" i="15"/>
  <c r="Q608" i="15"/>
  <c r="J607" i="15" a="1"/>
  <c r="J607" i="15" s="1"/>
  <c r="L607" i="15"/>
  <c r="O607" i="15"/>
  <c r="Q607" i="15"/>
  <c r="I607" i="15"/>
  <c r="R607" i="15"/>
  <c r="M607" i="15"/>
  <c r="P607" i="15"/>
  <c r="N607" i="15"/>
  <c r="K607" i="15"/>
  <c r="V605" i="7" a="1"/>
  <c r="V605" i="7" s="1"/>
  <c r="S605" i="7"/>
  <c r="S604" i="7"/>
  <c r="V604" i="7" a="1"/>
  <c r="V604" i="7" s="1"/>
  <c r="Q605" i="15"/>
  <c r="L605" i="15"/>
  <c r="N605" i="15"/>
  <c r="J605" i="15" a="1"/>
  <c r="J605" i="15" s="1"/>
  <c r="O605" i="15"/>
  <c r="K605" i="15"/>
  <c r="P605" i="15"/>
  <c r="I605" i="15"/>
  <c r="R605" i="15"/>
  <c r="M605" i="15"/>
  <c r="L604" i="15"/>
  <c r="N604" i="15"/>
  <c r="J604" i="15" a="1"/>
  <c r="J604" i="15" s="1"/>
  <c r="O604" i="15"/>
  <c r="I604" i="15"/>
  <c r="R604" i="15"/>
  <c r="K604" i="15"/>
  <c r="M604" i="15"/>
  <c r="P604" i="15"/>
  <c r="Q604" i="15"/>
  <c r="S601" i="7"/>
  <c r="V601" i="7" a="1"/>
  <c r="V601" i="7" s="1"/>
  <c r="R603" i="15"/>
  <c r="L603" i="15"/>
  <c r="O603" i="15"/>
  <c r="I603" i="15"/>
  <c r="J603" i="15" a="1"/>
  <c r="J603" i="15" s="1"/>
  <c r="K603" i="15"/>
  <c r="N603" i="15"/>
  <c r="P603" i="15"/>
  <c r="M603" i="15"/>
  <c r="Q603" i="15"/>
  <c r="L602" i="15"/>
  <c r="O602" i="15"/>
  <c r="I602" i="15"/>
  <c r="J602" i="15" a="1"/>
  <c r="J602" i="15" s="1"/>
  <c r="K602" i="15"/>
  <c r="N602" i="15"/>
  <c r="P602" i="15"/>
  <c r="Q602" i="15"/>
  <c r="M602" i="15"/>
  <c r="R602" i="15"/>
  <c r="V603" i="7" a="1"/>
  <c r="V603" i="7" s="1"/>
  <c r="S603" i="7"/>
  <c r="I601" i="15"/>
  <c r="M601" i="15"/>
  <c r="J601" i="15" a="1"/>
  <c r="J601" i="15" s="1"/>
  <c r="K601" i="15"/>
  <c r="Q601" i="15"/>
  <c r="N601" i="15"/>
  <c r="R601" i="15"/>
  <c r="P601" i="15"/>
  <c r="L601" i="15"/>
  <c r="O601" i="15"/>
  <c r="V602" i="7" a="1"/>
  <c r="V602" i="7" s="1"/>
  <c r="S602" i="7"/>
  <c r="V600" i="7" a="1"/>
  <c r="V600" i="7" s="1"/>
  <c r="S600" i="7"/>
  <c r="J600" i="15" a="1"/>
  <c r="J600" i="15" s="1"/>
  <c r="R600" i="15"/>
  <c r="Q600" i="15"/>
  <c r="M600" i="15"/>
  <c r="N600" i="15"/>
  <c r="P600" i="15"/>
  <c r="O600" i="15"/>
  <c r="I600" i="15"/>
  <c r="K600" i="15"/>
  <c r="L600" i="15"/>
  <c r="J598" i="15" a="1"/>
  <c r="J598" i="15" s="1"/>
  <c r="N598" i="15"/>
  <c r="K598" i="15"/>
  <c r="R598" i="15"/>
  <c r="Q598" i="15"/>
  <c r="I598" i="15"/>
  <c r="M598" i="15"/>
  <c r="L598" i="15"/>
  <c r="O598" i="15"/>
  <c r="P598" i="15"/>
  <c r="K597" i="15"/>
  <c r="N597" i="15"/>
  <c r="R597" i="15"/>
  <c r="Q597" i="15"/>
  <c r="L597" i="15"/>
  <c r="O597" i="15"/>
  <c r="P597" i="15"/>
  <c r="I597" i="15"/>
  <c r="M597" i="15"/>
  <c r="J597" i="15" a="1"/>
  <c r="J597" i="15" s="1"/>
  <c r="S597" i="7"/>
  <c r="V597" i="7" a="1"/>
  <c r="V597" i="7" s="1"/>
  <c r="V599" i="7" a="1"/>
  <c r="V599" i="7" s="1"/>
  <c r="S599" i="7"/>
  <c r="I599" i="15"/>
  <c r="M599" i="15"/>
  <c r="J599" i="15" a="1"/>
  <c r="J599" i="15" s="1"/>
  <c r="K599" i="15"/>
  <c r="N599" i="15"/>
  <c r="P599" i="15"/>
  <c r="R599" i="15"/>
  <c r="Q599" i="15"/>
  <c r="L599" i="15"/>
  <c r="O599" i="15"/>
  <c r="V598" i="7" a="1"/>
  <c r="V598" i="7" s="1"/>
  <c r="S598" i="7"/>
  <c r="J582" i="15" a="1"/>
  <c r="J582" i="15" s="1"/>
  <c r="S596" i="7"/>
  <c r="V596" i="7" a="1"/>
  <c r="V596" i="7" s="1"/>
  <c r="S594" i="7"/>
  <c r="V594" i="7" a="1"/>
  <c r="V594" i="7" s="1"/>
  <c r="S593" i="7"/>
  <c r="V593" i="7" a="1"/>
  <c r="V593" i="7" s="1"/>
  <c r="S595" i="7"/>
  <c r="V595" i="7" a="1"/>
  <c r="V595" i="7" s="1"/>
  <c r="J575" i="15" a="1"/>
  <c r="J575" i="15" s="1"/>
  <c r="J572" i="15" a="1"/>
  <c r="J572" i="15" s="1"/>
  <c r="J578" i="15" a="1"/>
  <c r="J578" i="15" s="1"/>
  <c r="J583" i="15" a="1"/>
  <c r="J583" i="15" s="1"/>
  <c r="J579" i="15" a="1"/>
  <c r="J579" i="15" s="1"/>
  <c r="J571" i="15" a="1"/>
  <c r="J571" i="15" s="1"/>
  <c r="J577" i="15" a="1"/>
  <c r="J577" i="15" s="1"/>
  <c r="J581" i="15" a="1"/>
  <c r="J581" i="15" s="1"/>
  <c r="J574" i="15" a="1"/>
  <c r="J574" i="15" s="1"/>
  <c r="J573" i="15" a="1"/>
  <c r="J573" i="15" s="1"/>
  <c r="J580" i="15" a="1"/>
  <c r="J580" i="15" s="1"/>
  <c r="J576" i="15" a="1"/>
  <c r="J576" i="15" s="1"/>
  <c r="J595" i="15" a="1"/>
  <c r="J595" i="15" s="1"/>
  <c r="K595" i="15"/>
  <c r="M595" i="15"/>
  <c r="O595" i="15"/>
  <c r="Q595" i="15"/>
  <c r="I595" i="15"/>
  <c r="R595" i="15"/>
  <c r="N595" i="15"/>
  <c r="P595" i="15"/>
  <c r="L595" i="15"/>
  <c r="J593" i="15" a="1"/>
  <c r="J593" i="15" s="1"/>
  <c r="K593" i="15"/>
  <c r="F593" i="15"/>
  <c r="Q593" i="15"/>
  <c r="R593" i="15"/>
  <c r="N593" i="15"/>
  <c r="P593" i="15"/>
  <c r="M593" i="15"/>
  <c r="O593" i="15"/>
  <c r="L593" i="15"/>
  <c r="I593" i="15"/>
  <c r="J594" i="15" a="1"/>
  <c r="J594" i="15" s="1"/>
  <c r="K594" i="15"/>
  <c r="L594" i="15"/>
  <c r="Q594" i="15"/>
  <c r="N594" i="15"/>
  <c r="P594" i="15"/>
  <c r="O594" i="15"/>
  <c r="M594" i="15"/>
  <c r="I594" i="15"/>
  <c r="R594" i="15"/>
  <c r="I596" i="15"/>
  <c r="M596" i="15"/>
  <c r="O596" i="15"/>
  <c r="L596" i="15"/>
  <c r="Q596" i="15"/>
  <c r="R596" i="15"/>
  <c r="N596" i="15"/>
  <c r="K596" i="15"/>
  <c r="J596" i="15" a="1"/>
  <c r="J596" i="15" s="1"/>
  <c r="P596" i="15"/>
  <c r="V576" i="7" a="1"/>
  <c r="V576" i="7" s="1"/>
  <c r="V587" i="7" a="1"/>
  <c r="V587" i="7" s="1"/>
  <c r="V578" i="7" a="1"/>
  <c r="V578" i="7" s="1"/>
  <c r="S591" i="7"/>
  <c r="V591" i="7" a="1"/>
  <c r="V591" i="7" s="1"/>
  <c r="S592" i="7"/>
  <c r="V592" i="7" a="1"/>
  <c r="V592" i="7" s="1"/>
  <c r="I592" i="15"/>
  <c r="L592" i="15"/>
  <c r="N592" i="15"/>
  <c r="J592" i="15" a="1"/>
  <c r="J592" i="15" s="1"/>
  <c r="R592" i="15"/>
  <c r="Q592" i="15"/>
  <c r="P592" i="15"/>
  <c r="K592" i="15"/>
  <c r="M592" i="15"/>
  <c r="O592" i="15"/>
  <c r="J591" i="15" a="1"/>
  <c r="J591" i="15" s="1"/>
  <c r="R591" i="15"/>
  <c r="Q591" i="15"/>
  <c r="I591" i="15"/>
  <c r="P591" i="15"/>
  <c r="L591" i="15"/>
  <c r="K591" i="15"/>
  <c r="M591" i="15"/>
  <c r="N591" i="15"/>
  <c r="O591" i="15"/>
  <c r="N590" i="15"/>
  <c r="Q590" i="15"/>
  <c r="J590" i="15" a="1"/>
  <c r="J590" i="15" s="1"/>
  <c r="K590" i="15"/>
  <c r="M590" i="15"/>
  <c r="R590" i="15"/>
  <c r="P590" i="15"/>
  <c r="I590" i="15"/>
  <c r="F590" i="15"/>
  <c r="O590" i="15"/>
  <c r="L590" i="15"/>
  <c r="V589" i="7" a="1"/>
  <c r="V589" i="7" s="1"/>
  <c r="S589" i="7"/>
  <c r="J589" i="15" a="1"/>
  <c r="J589" i="15" s="1"/>
  <c r="I589" i="15"/>
  <c r="Q589" i="15"/>
  <c r="N589" i="15"/>
  <c r="K589" i="15"/>
  <c r="P589" i="15"/>
  <c r="R589" i="15"/>
  <c r="O589" i="15"/>
  <c r="L589" i="15"/>
  <c r="M589" i="15"/>
  <c r="S590" i="7"/>
  <c r="V590" i="7" a="1"/>
  <c r="V590" i="7" s="1"/>
  <c r="I588" i="15"/>
  <c r="N588" i="15"/>
  <c r="P588" i="15"/>
  <c r="K588" i="15"/>
  <c r="R588" i="15"/>
  <c r="O588" i="15"/>
  <c r="M588" i="15"/>
  <c r="Q588" i="15"/>
  <c r="L588" i="15"/>
  <c r="J588" i="15" a="1"/>
  <c r="J588" i="15" s="1"/>
  <c r="V588" i="7" a="1"/>
  <c r="V588" i="7" s="1"/>
  <c r="S588" i="7"/>
  <c r="R587" i="15"/>
  <c r="M587" i="15"/>
  <c r="Q587" i="15"/>
  <c r="N587" i="15"/>
  <c r="O587" i="15"/>
  <c r="I587" i="15"/>
  <c r="K587" i="15"/>
  <c r="P587" i="15"/>
  <c r="L587" i="15"/>
  <c r="J587" i="15" a="1"/>
  <c r="J587" i="15" s="1"/>
  <c r="V583" i="7" a="1"/>
  <c r="V583" i="7" s="1"/>
  <c r="V582" i="7" a="1"/>
  <c r="V582" i="7" s="1"/>
  <c r="V579" i="7" a="1"/>
  <c r="V579" i="7" s="1"/>
  <c r="M585" i="15"/>
  <c r="N585" i="15"/>
  <c r="I585" i="15"/>
  <c r="J585" i="15" a="1"/>
  <c r="J585" i="15" s="1"/>
  <c r="K585" i="15"/>
  <c r="Q585" i="15"/>
  <c r="L585" i="15"/>
  <c r="R585" i="15"/>
  <c r="P585" i="15"/>
  <c r="O585" i="15"/>
  <c r="S584" i="7"/>
  <c r="V584" i="7" a="1"/>
  <c r="V584" i="7" s="1"/>
  <c r="I584" i="15"/>
  <c r="N584" i="15"/>
  <c r="Q584" i="15"/>
  <c r="J584" i="15" a="1"/>
  <c r="J584" i="15" s="1"/>
  <c r="K584" i="15"/>
  <c r="R584" i="15"/>
  <c r="P584" i="15"/>
  <c r="O584" i="15"/>
  <c r="L584" i="15"/>
  <c r="M584" i="15"/>
  <c r="S586" i="7"/>
  <c r="V586" i="7" a="1"/>
  <c r="V586" i="7" s="1"/>
  <c r="V577" i="7" a="1"/>
  <c r="V577" i="7" s="1"/>
  <c r="S585" i="7"/>
  <c r="V585" i="7" a="1"/>
  <c r="V585" i="7" s="1"/>
  <c r="L586" i="15"/>
  <c r="M586" i="15"/>
  <c r="I586" i="15"/>
  <c r="J586" i="15" a="1"/>
  <c r="J586" i="15" s="1"/>
  <c r="N586" i="15"/>
  <c r="O586" i="15"/>
  <c r="K586" i="15"/>
  <c r="Q586" i="15"/>
  <c r="R586" i="15"/>
  <c r="P586" i="15"/>
  <c r="V580" i="7" a="1"/>
  <c r="V580" i="7" s="1"/>
  <c r="L582" i="15"/>
  <c r="P582" i="15"/>
  <c r="O582" i="15"/>
  <c r="M582" i="15"/>
  <c r="N582" i="15"/>
  <c r="Q582" i="15"/>
  <c r="R582" i="15"/>
  <c r="I582" i="15"/>
  <c r="K582" i="15"/>
  <c r="K581" i="15"/>
  <c r="N581" i="15"/>
  <c r="Q581" i="15"/>
  <c r="R581" i="15"/>
  <c r="I581" i="15"/>
  <c r="M581" i="15"/>
  <c r="L581" i="15"/>
  <c r="O581" i="15"/>
  <c r="P581" i="15"/>
  <c r="R577" i="15"/>
  <c r="N577" i="15"/>
  <c r="L577" i="15"/>
  <c r="O577" i="15"/>
  <c r="K577" i="15"/>
  <c r="Q577" i="15"/>
  <c r="P577" i="15"/>
  <c r="I577" i="15"/>
  <c r="M577" i="15"/>
  <c r="I580" i="15"/>
  <c r="M580" i="15"/>
  <c r="R580" i="15"/>
  <c r="L580" i="15"/>
  <c r="O580" i="15"/>
  <c r="P580" i="15"/>
  <c r="K580" i="15"/>
  <c r="N580" i="15"/>
  <c r="Q580" i="15"/>
  <c r="V581" i="7" a="1"/>
  <c r="V581" i="7" s="1"/>
  <c r="I579" i="15"/>
  <c r="M579" i="15"/>
  <c r="R579" i="15"/>
  <c r="O579" i="15"/>
  <c r="L579" i="15"/>
  <c r="P579" i="15"/>
  <c r="K579" i="15"/>
  <c r="N579" i="15"/>
  <c r="Q579" i="15"/>
  <c r="P583" i="15"/>
  <c r="K583" i="15"/>
  <c r="N583" i="15"/>
  <c r="Q583" i="15"/>
  <c r="I583" i="15"/>
  <c r="M583" i="15"/>
  <c r="R583" i="15"/>
  <c r="O583" i="15"/>
  <c r="L583" i="15"/>
  <c r="R578" i="15"/>
  <c r="P578" i="15"/>
  <c r="L578" i="15"/>
  <c r="O578" i="15"/>
  <c r="K578" i="15"/>
  <c r="N578" i="15"/>
  <c r="Q578" i="15"/>
  <c r="I578" i="15"/>
  <c r="M578" i="15"/>
  <c r="N574" i="15"/>
  <c r="P574" i="15"/>
  <c r="M574" i="15"/>
  <c r="K574" i="15"/>
  <c r="Q574" i="15"/>
  <c r="O574" i="15"/>
  <c r="R574" i="15"/>
  <c r="I574" i="15"/>
  <c r="L574" i="15"/>
  <c r="L573" i="15"/>
  <c r="K573" i="15"/>
  <c r="Q573" i="15"/>
  <c r="R573" i="15"/>
  <c r="O573" i="15"/>
  <c r="P573" i="15"/>
  <c r="M573" i="15"/>
  <c r="N573" i="15"/>
  <c r="I573" i="15"/>
  <c r="I576" i="15"/>
  <c r="L576" i="15"/>
  <c r="N576" i="15"/>
  <c r="M576" i="15"/>
  <c r="K576" i="15"/>
  <c r="Q576" i="15"/>
  <c r="R576" i="15"/>
  <c r="O576" i="15"/>
  <c r="P576" i="15"/>
  <c r="M572" i="15"/>
  <c r="Q572" i="15"/>
  <c r="R572" i="15"/>
  <c r="O572" i="15"/>
  <c r="I572" i="15"/>
  <c r="N572" i="15"/>
  <c r="P572" i="15"/>
  <c r="L572" i="15"/>
  <c r="K572" i="15"/>
  <c r="Q575" i="15"/>
  <c r="P575" i="15"/>
  <c r="N575" i="15"/>
  <c r="M575" i="15"/>
  <c r="R575" i="15"/>
  <c r="L575" i="15"/>
  <c r="K575" i="15"/>
  <c r="O575" i="15"/>
  <c r="I575" i="15"/>
  <c r="M571" i="15"/>
  <c r="K571" i="15"/>
  <c r="R571" i="15"/>
  <c r="O571" i="15"/>
  <c r="I571" i="15"/>
  <c r="N571" i="15"/>
  <c r="P571" i="15"/>
  <c r="L571" i="15"/>
  <c r="Q571" i="15"/>
  <c r="S575" i="7"/>
  <c r="V575" i="7" a="1"/>
  <c r="V575" i="7" s="1"/>
  <c r="V573" i="7" a="1"/>
  <c r="V573" i="7" s="1"/>
  <c r="S573" i="7"/>
  <c r="S572" i="7"/>
  <c r="V572" i="7" a="1"/>
  <c r="V572" i="7" s="1"/>
  <c r="V571" i="7" a="1"/>
  <c r="V571" i="7" s="1"/>
  <c r="S571" i="7"/>
  <c r="S574" i="7"/>
  <c r="V574" i="7" a="1"/>
  <c r="V574" i="7" s="1"/>
  <c r="V570" i="7" a="1"/>
  <c r="V570" i="7" s="1"/>
  <c r="S570" i="7"/>
  <c r="S569" i="7"/>
  <c r="V569" i="7" a="1"/>
  <c r="V569" i="7" s="1"/>
  <c r="S568" i="7"/>
  <c r="V568" i="7" a="1"/>
  <c r="V568" i="7" s="1"/>
  <c r="S567" i="7"/>
  <c r="V567" i="7" a="1"/>
  <c r="V567" i="7" s="1"/>
  <c r="S566" i="7"/>
  <c r="V566" i="7" a="1"/>
  <c r="V566" i="7" s="1"/>
  <c r="S565" i="7"/>
  <c r="V565" i="7" a="1"/>
  <c r="V565" i="7" s="1"/>
  <c r="J566" i="15" a="1"/>
  <c r="J566" i="15" s="1"/>
  <c r="I566" i="15"/>
  <c r="L566" i="15"/>
  <c r="R566" i="15"/>
  <c r="O566" i="15"/>
  <c r="N566" i="15"/>
  <c r="Q566" i="15"/>
  <c r="K566" i="15"/>
  <c r="P566" i="15"/>
  <c r="M566" i="15"/>
  <c r="M569" i="15"/>
  <c r="N569" i="15"/>
  <c r="P569" i="15"/>
  <c r="K569" i="15"/>
  <c r="I569" i="15"/>
  <c r="O569" i="15"/>
  <c r="Q569" i="15"/>
  <c r="L569" i="15"/>
  <c r="R569" i="15"/>
  <c r="J569" i="15" a="1"/>
  <c r="J569" i="15" s="1"/>
  <c r="I565" i="15"/>
  <c r="L565" i="15"/>
  <c r="R565" i="15"/>
  <c r="O565" i="15"/>
  <c r="J565" i="15" a="1"/>
  <c r="J565" i="15" s="1"/>
  <c r="K565" i="15"/>
  <c r="N565" i="15"/>
  <c r="Q565" i="15"/>
  <c r="P565" i="15"/>
  <c r="M565" i="15"/>
  <c r="K568" i="15"/>
  <c r="J568" i="15" a="1"/>
  <c r="J568" i="15" s="1"/>
  <c r="I568" i="15"/>
  <c r="M568" i="15"/>
  <c r="L568" i="15"/>
  <c r="N568" i="15"/>
  <c r="R568" i="15"/>
  <c r="O568" i="15"/>
  <c r="Q568" i="15"/>
  <c r="P568" i="15"/>
  <c r="J567" i="15" a="1"/>
  <c r="J567" i="15" s="1"/>
  <c r="I567" i="15"/>
  <c r="L567" i="15"/>
  <c r="Q567" i="15"/>
  <c r="P567" i="15"/>
  <c r="R567" i="15"/>
  <c r="O567" i="15"/>
  <c r="K567" i="15"/>
  <c r="N567" i="15"/>
  <c r="M567" i="15"/>
  <c r="K570" i="15"/>
  <c r="J570" i="15" a="1"/>
  <c r="J570" i="15" s="1"/>
  <c r="I570" i="15"/>
  <c r="P570" i="15"/>
  <c r="M570" i="15"/>
  <c r="R570" i="15"/>
  <c r="N570" i="15"/>
  <c r="L570" i="15"/>
  <c r="O570" i="15"/>
  <c r="Q570" i="15"/>
  <c r="M67" i="15"/>
  <c r="M49" i="15"/>
  <c r="M9" i="15"/>
  <c r="M96" i="15"/>
  <c r="M58" i="15"/>
  <c r="M164" i="15"/>
  <c r="M247" i="15"/>
  <c r="M176" i="15"/>
  <c r="M78" i="15"/>
  <c r="M130" i="15"/>
  <c r="M254" i="15"/>
  <c r="M220" i="15"/>
  <c r="M217" i="15"/>
  <c r="M166" i="15"/>
  <c r="M139" i="15"/>
  <c r="M183" i="15"/>
  <c r="M163" i="15"/>
  <c r="M171" i="15"/>
  <c r="M210" i="15"/>
  <c r="M140" i="15"/>
  <c r="M122" i="15"/>
  <c r="M63" i="15"/>
  <c r="M74" i="15"/>
  <c r="M252" i="15"/>
  <c r="M104" i="15"/>
  <c r="M99" i="15"/>
  <c r="M223" i="15"/>
  <c r="M198" i="15"/>
  <c r="M131" i="15"/>
  <c r="M207" i="15"/>
  <c r="M103" i="15"/>
  <c r="M250" i="15"/>
  <c r="M62" i="15"/>
  <c r="M153" i="15"/>
  <c r="M189" i="15"/>
  <c r="M515" i="15"/>
  <c r="M206" i="15"/>
  <c r="M158" i="15"/>
  <c r="M20" i="15"/>
  <c r="M42" i="15"/>
  <c r="M232" i="15"/>
  <c r="M157" i="15"/>
  <c r="M40" i="15"/>
  <c r="M165" i="15"/>
  <c r="M208" i="15"/>
  <c r="M244" i="15"/>
  <c r="M225" i="15"/>
  <c r="M21" i="15"/>
  <c r="M517" i="15"/>
  <c r="M13" i="15"/>
  <c r="M259" i="15"/>
  <c r="M279" i="15"/>
  <c r="M323" i="15"/>
  <c r="M334" i="15"/>
  <c r="M358" i="15"/>
  <c r="M360" i="15"/>
  <c r="M373" i="15"/>
  <c r="M385" i="15"/>
  <c r="M392" i="15"/>
  <c r="M397" i="15"/>
  <c r="M409" i="15"/>
  <c r="M439" i="15"/>
  <c r="M449" i="15"/>
  <c r="M462" i="15"/>
  <c r="M473" i="15"/>
  <c r="M488" i="15"/>
  <c r="M493" i="15"/>
  <c r="M502" i="15"/>
  <c r="M506" i="15"/>
  <c r="M509" i="15"/>
  <c r="M522" i="15"/>
  <c r="M536" i="15"/>
  <c r="M543" i="15"/>
  <c r="M555" i="15"/>
  <c r="M551" i="15"/>
  <c r="M107" i="15"/>
  <c r="M389" i="15"/>
  <c r="M405" i="15"/>
  <c r="M469" i="15"/>
  <c r="M10" i="15"/>
  <c r="M4" i="15"/>
  <c r="M172" i="15"/>
  <c r="M56" i="15"/>
  <c r="M125" i="15"/>
  <c r="M127" i="15"/>
  <c r="M228" i="15"/>
  <c r="M36" i="15"/>
  <c r="M242" i="15"/>
  <c r="M137" i="15"/>
  <c r="M236" i="15"/>
  <c r="M97" i="15"/>
  <c r="M151" i="15"/>
  <c r="M65" i="15"/>
  <c r="M241" i="15"/>
  <c r="M89" i="15"/>
  <c r="M118" i="15"/>
  <c r="M212" i="15"/>
  <c r="M159" i="15"/>
  <c r="M146" i="15"/>
  <c r="M115" i="15"/>
  <c r="M95" i="15"/>
  <c r="M23" i="15"/>
  <c r="M38" i="15"/>
  <c r="M167" i="15"/>
  <c r="M28" i="15"/>
  <c r="M204" i="15"/>
  <c r="M214" i="15"/>
  <c r="M194" i="15"/>
  <c r="M93" i="15"/>
  <c r="M35" i="15"/>
  <c r="M188" i="15"/>
  <c r="M101" i="15"/>
  <c r="M68" i="15"/>
  <c r="M237" i="15"/>
  <c r="M260" i="15"/>
  <c r="M266" i="15"/>
  <c r="M267" i="15"/>
  <c r="M283" i="15"/>
  <c r="M287" i="15"/>
  <c r="M293" i="15"/>
  <c r="M313" i="15"/>
  <c r="M322" i="15"/>
  <c r="M326" i="15"/>
  <c r="M352" i="15"/>
  <c r="M354" i="15"/>
  <c r="M372" i="15"/>
  <c r="M391" i="15"/>
  <c r="M404" i="15"/>
  <c r="M414" i="15"/>
  <c r="M417" i="15"/>
  <c r="M421" i="15"/>
  <c r="M429" i="15"/>
  <c r="M438" i="15"/>
  <c r="M441" i="15"/>
  <c r="M467" i="15"/>
  <c r="M478" i="15"/>
  <c r="M483" i="15"/>
  <c r="M479" i="15"/>
  <c r="M487" i="15"/>
  <c r="M505" i="15"/>
  <c r="M511" i="15"/>
  <c r="M519" i="15"/>
  <c r="M527" i="15"/>
  <c r="J532" i="15" a="1"/>
  <c r="J532" i="15" s="1"/>
  <c r="M532" i="15"/>
  <c r="M547" i="15"/>
  <c r="M548" i="15"/>
  <c r="M560" i="15"/>
  <c r="M564" i="15"/>
  <c r="M174" i="15"/>
  <c r="M25" i="15"/>
  <c r="M79" i="15"/>
  <c r="M17" i="15"/>
  <c r="M142" i="15"/>
  <c r="M276" i="15"/>
  <c r="M294" i="15"/>
  <c r="M312" i="15"/>
  <c r="M344" i="15"/>
  <c r="M425" i="15"/>
  <c r="M430" i="15"/>
  <c r="M454" i="15"/>
  <c r="M227" i="15"/>
  <c r="M18" i="15"/>
  <c r="M111" i="15"/>
  <c r="M180" i="15"/>
  <c r="M34" i="15"/>
  <c r="M184" i="15"/>
  <c r="M37" i="15"/>
  <c r="M203" i="15"/>
  <c r="M106" i="15"/>
  <c r="M201" i="15"/>
  <c r="M120" i="15"/>
  <c r="M222" i="15"/>
  <c r="M53" i="15"/>
  <c r="M54" i="15"/>
  <c r="M117" i="15"/>
  <c r="M200" i="15"/>
  <c r="M226" i="15"/>
  <c r="M124" i="15"/>
  <c r="M90" i="15"/>
  <c r="M138" i="15"/>
  <c r="M8" i="15"/>
  <c r="M83" i="15"/>
  <c r="M231" i="15"/>
  <c r="M32" i="15"/>
  <c r="M84" i="15"/>
  <c r="M22" i="15"/>
  <c r="M112" i="15"/>
  <c r="M81" i="15"/>
  <c r="M19" i="15"/>
  <c r="M113" i="15"/>
  <c r="M240" i="15"/>
  <c r="M265" i="15"/>
  <c r="M269" i="15"/>
  <c r="M272" i="15"/>
  <c r="M275" i="15"/>
  <c r="M282" i="15"/>
  <c r="M292" i="15"/>
  <c r="M303" i="15"/>
  <c r="M516" i="15"/>
  <c r="M310" i="15"/>
  <c r="M134" i="15"/>
  <c r="M336" i="15"/>
  <c r="M338" i="15"/>
  <c r="M343" i="15"/>
  <c r="M348" i="15"/>
  <c r="M353" i="15"/>
  <c r="M357" i="15"/>
  <c r="M362" i="15"/>
  <c r="M366" i="15"/>
  <c r="M370" i="15"/>
  <c r="M377" i="15"/>
  <c r="M378" i="15"/>
  <c r="M398" i="15"/>
  <c r="M411" i="15"/>
  <c r="M413" i="15"/>
  <c r="M428" i="15"/>
  <c r="M434" i="15"/>
  <c r="M451" i="15"/>
  <c r="M448" i="15"/>
  <c r="M461" i="15"/>
  <c r="M475" i="15"/>
  <c r="M477" i="15"/>
  <c r="M486" i="15"/>
  <c r="M492" i="15"/>
  <c r="M497" i="15"/>
  <c r="M501" i="15"/>
  <c r="M307" i="15"/>
  <c r="J529" i="15" a="1"/>
  <c r="J529" i="15" s="1"/>
  <c r="M529" i="15"/>
  <c r="J531" i="15" a="1"/>
  <c r="J531" i="15" s="1"/>
  <c r="M531" i="15"/>
  <c r="M535" i="15"/>
  <c r="M542" i="15"/>
  <c r="M554" i="15"/>
  <c r="M550" i="15"/>
  <c r="M224" i="15"/>
  <c r="M187" i="15"/>
  <c r="M55" i="15"/>
  <c r="M66" i="15"/>
  <c r="M155" i="15"/>
  <c r="M186" i="15"/>
  <c r="M80" i="15"/>
  <c r="M51" i="15"/>
  <c r="M246" i="15"/>
  <c r="M41" i="15"/>
  <c r="M86" i="15"/>
  <c r="M513" i="15"/>
  <c r="M284" i="15"/>
  <c r="M382" i="15"/>
  <c r="M136" i="15"/>
  <c r="M175" i="15"/>
  <c r="M57" i="15"/>
  <c r="M245" i="15"/>
  <c r="M94" i="15"/>
  <c r="M169" i="15"/>
  <c r="M193" i="15"/>
  <c r="M12" i="15"/>
  <c r="M64" i="15"/>
  <c r="M150" i="15"/>
  <c r="M160" i="15"/>
  <c r="M59" i="15"/>
  <c r="M76" i="15"/>
  <c r="M91" i="15"/>
  <c r="M98" i="15"/>
  <c r="M11" i="15"/>
  <c r="M177" i="15"/>
  <c r="M235" i="15"/>
  <c r="M72" i="15"/>
  <c r="M27" i="15"/>
  <c r="M69" i="15"/>
  <c r="M135" i="15"/>
  <c r="M33" i="15"/>
  <c r="M77" i="15"/>
  <c r="M239" i="15"/>
  <c r="M219" i="15"/>
  <c r="M85" i="15"/>
  <c r="M6" i="15"/>
  <c r="M45" i="15"/>
  <c r="M102" i="15"/>
  <c r="M196" i="15"/>
  <c r="M218" i="15"/>
  <c r="M261" i="15"/>
  <c r="M280" i="15"/>
  <c r="M291" i="15"/>
  <c r="M296" i="15"/>
  <c r="M300" i="15"/>
  <c r="M304" i="15"/>
  <c r="M311" i="15"/>
  <c r="M129" i="15"/>
  <c r="M321" i="15"/>
  <c r="M329" i="15"/>
  <c r="M331" i="15"/>
  <c r="M335" i="15"/>
  <c r="M339" i="15"/>
  <c r="M342" i="15"/>
  <c r="M351" i="15"/>
  <c r="M355" i="15"/>
  <c r="M359" i="15"/>
  <c r="M363" i="15"/>
  <c r="M369" i="15"/>
  <c r="M376" i="15"/>
  <c r="M390" i="15"/>
  <c r="M394" i="15"/>
  <c r="M408" i="15"/>
  <c r="M410" i="15"/>
  <c r="M424" i="15"/>
  <c r="M427" i="15"/>
  <c r="M437" i="15"/>
  <c r="M444" i="15"/>
  <c r="M447" i="15"/>
  <c r="M464" i="15"/>
  <c r="M481" i="15"/>
  <c r="M514" i="15"/>
  <c r="M518" i="15"/>
  <c r="J530" i="15" a="1"/>
  <c r="J530" i="15" s="1"/>
  <c r="M530" i="15"/>
  <c r="J533" i="15" a="1"/>
  <c r="J533" i="15" s="1"/>
  <c r="M533" i="15"/>
  <c r="M541" i="15"/>
  <c r="M546" i="15"/>
  <c r="M559" i="15"/>
  <c r="M87" i="15"/>
  <c r="M230" i="15"/>
  <c r="M110" i="15"/>
  <c r="M121" i="15"/>
  <c r="M148" i="15"/>
  <c r="M178" i="15"/>
  <c r="M60" i="15"/>
  <c r="M195" i="15"/>
  <c r="M46" i="15"/>
  <c r="M71" i="15"/>
  <c r="M128" i="15"/>
  <c r="M213" i="15"/>
  <c r="M16" i="15"/>
  <c r="M15" i="15"/>
  <c r="M145" i="15"/>
  <c r="M161" i="15"/>
  <c r="M116" i="15"/>
  <c r="M255" i="15"/>
  <c r="M43" i="15"/>
  <c r="M105" i="15"/>
  <c r="M26" i="15"/>
  <c r="M249" i="15"/>
  <c r="M73" i="15"/>
  <c r="M14" i="15"/>
  <c r="M263" i="15"/>
  <c r="M264" i="15"/>
  <c r="M274" i="15"/>
  <c r="M278" i="15"/>
  <c r="M281" i="15"/>
  <c r="M290" i="15"/>
  <c r="M299" i="15"/>
  <c r="M305" i="15"/>
  <c r="M314" i="15"/>
  <c r="M325" i="15"/>
  <c r="M328" i="15"/>
  <c r="M332" i="15"/>
  <c r="M341" i="15"/>
  <c r="M347" i="15"/>
  <c r="M368" i="15"/>
  <c r="M371" i="15"/>
  <c r="M379" i="15"/>
  <c r="M383" i="15"/>
  <c r="M388" i="15"/>
  <c r="M403" i="15"/>
  <c r="M407" i="15"/>
  <c r="M415" i="15"/>
  <c r="M420" i="15"/>
  <c r="M435" i="15"/>
  <c r="M446" i="15"/>
  <c r="M452" i="15"/>
  <c r="M456" i="15"/>
  <c r="M458" i="15"/>
  <c r="M460" i="15"/>
  <c r="M472" i="15"/>
  <c r="M491" i="15"/>
  <c r="M500" i="15"/>
  <c r="M504" i="15"/>
  <c r="M306" i="15"/>
  <c r="M318" i="15"/>
  <c r="M534" i="15"/>
  <c r="M549" i="15"/>
  <c r="M553" i="15"/>
  <c r="M563" i="15"/>
  <c r="M119" i="15"/>
  <c r="M7" i="15"/>
  <c r="M216" i="15"/>
  <c r="M192" i="15"/>
  <c r="M133" i="15"/>
  <c r="M5" i="15"/>
  <c r="M70" i="15"/>
  <c r="M61" i="15"/>
  <c r="M258" i="15"/>
  <c r="M211" i="15"/>
  <c r="M262" i="15"/>
  <c r="M270" i="15"/>
  <c r="M273" i="15"/>
  <c r="M277" i="15"/>
  <c r="M289" i="15"/>
  <c r="M297" i="15"/>
  <c r="M301" i="15"/>
  <c r="M320" i="15"/>
  <c r="M324" i="15"/>
  <c r="M346" i="15"/>
  <c r="M350" i="15"/>
  <c r="M356" i="15"/>
  <c r="M367" i="15"/>
  <c r="M375" i="15"/>
  <c r="M380" i="15"/>
  <c r="M387" i="15"/>
  <c r="M399" i="15"/>
  <c r="M402" i="15"/>
  <c r="M423" i="15"/>
  <c r="M426" i="15"/>
  <c r="M432" i="15"/>
  <c r="M433" i="15"/>
  <c r="M443" i="15"/>
  <c r="M445" i="15"/>
  <c r="M471" i="15"/>
  <c r="M474" i="15"/>
  <c r="M480" i="15"/>
  <c r="M496" i="15"/>
  <c r="M499" i="15"/>
  <c r="M508" i="15"/>
  <c r="M317" i="15"/>
  <c r="M521" i="15"/>
  <c r="M526" i="15"/>
  <c r="M540" i="15"/>
  <c r="M545" i="15"/>
  <c r="M557" i="15"/>
  <c r="M558" i="15"/>
  <c r="M100" i="15"/>
  <c r="M229" i="15"/>
  <c r="M141" i="15"/>
  <c r="M234" i="15"/>
  <c r="M168" i="15"/>
  <c r="M152" i="15"/>
  <c r="M39" i="15"/>
  <c r="M31" i="15"/>
  <c r="M202" i="15"/>
  <c r="M24" i="15"/>
  <c r="M215" i="15"/>
  <c r="M92" i="15"/>
  <c r="M197" i="15"/>
  <c r="M257" i="15"/>
  <c r="M221" i="15"/>
  <c r="M319" i="15"/>
  <c r="M123" i="15"/>
  <c r="M185" i="15"/>
  <c r="M170" i="15"/>
  <c r="M147" i="15"/>
  <c r="M199" i="15"/>
  <c r="M209" i="15"/>
  <c r="M271" i="15"/>
  <c r="M286" i="15"/>
  <c r="M288" i="15"/>
  <c r="M295" i="15"/>
  <c r="M47" i="15"/>
  <c r="M308" i="15"/>
  <c r="M132" i="15"/>
  <c r="M340" i="15"/>
  <c r="M361" i="15"/>
  <c r="M364" i="15"/>
  <c r="M374" i="15"/>
  <c r="M386" i="15"/>
  <c r="M395" i="15"/>
  <c r="M396" i="15"/>
  <c r="M401" i="15"/>
  <c r="M419" i="15"/>
  <c r="M422" i="15"/>
  <c r="M431" i="15"/>
  <c r="M440" i="15"/>
  <c r="M450" i="15"/>
  <c r="M455" i="15"/>
  <c r="M463" i="15"/>
  <c r="M459" i="15"/>
  <c r="M468" i="15"/>
  <c r="M470" i="15"/>
  <c r="M485" i="15"/>
  <c r="M490" i="15"/>
  <c r="M494" i="15"/>
  <c r="M495" i="15"/>
  <c r="M503" i="15"/>
  <c r="M507" i="15"/>
  <c r="M48" i="15"/>
  <c r="M512" i="15"/>
  <c r="M525" i="15"/>
  <c r="M538" i="15"/>
  <c r="M556" i="15"/>
  <c r="M552" i="15"/>
  <c r="M562" i="15"/>
  <c r="M126" i="15"/>
  <c r="M190" i="15"/>
  <c r="M156" i="15"/>
  <c r="M251" i="15"/>
  <c r="M82" i="15"/>
  <c r="M253" i="15"/>
  <c r="M108" i="15"/>
  <c r="M52" i="15"/>
  <c r="M143" i="15"/>
  <c r="M179" i="15"/>
  <c r="M205" i="15"/>
  <c r="M191" i="15"/>
  <c r="M181" i="15"/>
  <c r="M154" i="15"/>
  <c r="M109" i="15"/>
  <c r="M173" i="15"/>
  <c r="M29" i="15"/>
  <c r="M75" i="15"/>
  <c r="M182" i="15"/>
  <c r="M144" i="15"/>
  <c r="M30" i="15"/>
  <c r="M114" i="15"/>
  <c r="M243" i="15"/>
  <c r="M248" i="15"/>
  <c r="M50" i="15"/>
  <c r="M44" i="15"/>
  <c r="M256" i="15"/>
  <c r="M233" i="15"/>
  <c r="M88" i="15"/>
  <c r="M238" i="15"/>
  <c r="M162" i="15"/>
  <c r="M149" i="15"/>
  <c r="M268" i="15"/>
  <c r="M285" i="15"/>
  <c r="M298" i="15"/>
  <c r="M302" i="15"/>
  <c r="M309" i="15"/>
  <c r="M316" i="15"/>
  <c r="M315" i="15"/>
  <c r="M327" i="15"/>
  <c r="M330" i="15"/>
  <c r="M333" i="15"/>
  <c r="M337" i="15"/>
  <c r="M345" i="15"/>
  <c r="M349" i="15"/>
  <c r="M365" i="15"/>
  <c r="M381" i="15"/>
  <c r="M384" i="15"/>
  <c r="M393" i="15"/>
  <c r="M400" i="15"/>
  <c r="M406" i="15"/>
  <c r="M412" i="15"/>
  <c r="M416" i="15"/>
  <c r="M418" i="15"/>
  <c r="M436" i="15"/>
  <c r="M442" i="15"/>
  <c r="M453" i="15"/>
  <c r="M457" i="15"/>
  <c r="M466" i="15"/>
  <c r="M465" i="15"/>
  <c r="M476" i="15"/>
  <c r="M484" i="15"/>
  <c r="M482" i="15"/>
  <c r="M489" i="15"/>
  <c r="M498" i="15"/>
  <c r="M510" i="15"/>
  <c r="M520" i="15"/>
  <c r="M523" i="15"/>
  <c r="J528" i="15" a="1"/>
  <c r="J528" i="15" s="1"/>
  <c r="M528" i="15"/>
  <c r="M524" i="15"/>
  <c r="M537" i="15"/>
  <c r="M539" i="15"/>
  <c r="M544" i="15"/>
  <c r="M561" i="15"/>
  <c r="S32" i="7"/>
  <c r="S87" i="7"/>
  <c r="V87" i="7" a="1"/>
  <c r="V87" i="7" s="1"/>
  <c r="V564" i="7" a="1"/>
  <c r="V564" i="7" s="1"/>
  <c r="S564" i="7"/>
  <c r="S563" i="7"/>
  <c r="V563" i="7" a="1"/>
  <c r="V563" i="7" s="1"/>
  <c r="S562" i="7"/>
  <c r="V562" i="7" a="1"/>
  <c r="V562" i="7" s="1"/>
  <c r="S439" i="7"/>
  <c r="S561" i="7"/>
  <c r="V561" i="7" a="1"/>
  <c r="V561" i="7" s="1"/>
  <c r="V560" i="7" a="1"/>
  <c r="V560" i="7" s="1"/>
  <c r="S560" i="7"/>
  <c r="S559" i="7"/>
  <c r="V559" i="7" a="1"/>
  <c r="V559" i="7" s="1"/>
  <c r="V558" i="7" a="1"/>
  <c r="V558" i="7" s="1"/>
  <c r="S558" i="7"/>
  <c r="V557" i="7" a="1"/>
  <c r="V557" i="7" s="1"/>
  <c r="S557" i="7"/>
  <c r="K564" i="15"/>
  <c r="P564" i="15"/>
  <c r="J564" i="15" a="1"/>
  <c r="J564" i="15" s="1"/>
  <c r="O564" i="15"/>
  <c r="Q564" i="15"/>
  <c r="R564" i="15"/>
  <c r="N564" i="15"/>
  <c r="L564" i="15"/>
  <c r="I564" i="15"/>
  <c r="S556" i="7"/>
  <c r="V556" i="7" a="1"/>
  <c r="V556" i="7" s="1"/>
  <c r="I559" i="15"/>
  <c r="L559" i="15"/>
  <c r="O559" i="15"/>
  <c r="R559" i="15"/>
  <c r="K559" i="15"/>
  <c r="Q559" i="15"/>
  <c r="N559" i="15"/>
  <c r="P559" i="15"/>
  <c r="J559" i="15" a="1"/>
  <c r="J559" i="15" s="1"/>
  <c r="S551" i="7"/>
  <c r="V551" i="7" a="1"/>
  <c r="V551" i="7" s="1"/>
  <c r="L563" i="15"/>
  <c r="J563" i="15" a="1"/>
  <c r="J563" i="15" s="1"/>
  <c r="Q563" i="15"/>
  <c r="N563" i="15"/>
  <c r="P563" i="15"/>
  <c r="O563" i="15"/>
  <c r="R563" i="15"/>
  <c r="K563" i="15"/>
  <c r="I563" i="15"/>
  <c r="V552" i="7" a="1"/>
  <c r="V552" i="7" s="1"/>
  <c r="S552" i="7"/>
  <c r="K562" i="15"/>
  <c r="J562" i="15" a="1"/>
  <c r="J562" i="15" s="1"/>
  <c r="N562" i="15"/>
  <c r="P562" i="15"/>
  <c r="R562" i="15"/>
  <c r="I562" i="15"/>
  <c r="L562" i="15"/>
  <c r="O562" i="15"/>
  <c r="Q562" i="15"/>
  <c r="N561" i="15"/>
  <c r="K561" i="15"/>
  <c r="J561" i="15" a="1"/>
  <c r="J561" i="15" s="1"/>
  <c r="Q561" i="15"/>
  <c r="I561" i="15"/>
  <c r="L561" i="15"/>
  <c r="O561" i="15"/>
  <c r="R561" i="15"/>
  <c r="P561" i="15"/>
  <c r="V555" i="7" a="1"/>
  <c r="V555" i="7" s="1"/>
  <c r="S555" i="7"/>
  <c r="K560" i="15"/>
  <c r="J560" i="15" a="1"/>
  <c r="J560" i="15" s="1"/>
  <c r="I560" i="15"/>
  <c r="L560" i="15"/>
  <c r="O560" i="15"/>
  <c r="R560" i="15"/>
  <c r="N560" i="15"/>
  <c r="P560" i="15"/>
  <c r="Q560" i="15"/>
  <c r="V554" i="7" a="1"/>
  <c r="V554" i="7" s="1"/>
  <c r="S554" i="7"/>
  <c r="V553" i="7" a="1"/>
  <c r="V553" i="7" s="1"/>
  <c r="S553" i="7"/>
  <c r="N553" i="15"/>
  <c r="K553" i="15"/>
  <c r="P553" i="15"/>
  <c r="Q553" i="15"/>
  <c r="J553" i="15" a="1"/>
  <c r="J553" i="15" s="1"/>
  <c r="O553" i="15"/>
  <c r="I553" i="15"/>
  <c r="L553" i="15"/>
  <c r="R553" i="15"/>
  <c r="S550" i="7"/>
  <c r="V550" i="7" a="1"/>
  <c r="V550" i="7" s="1"/>
  <c r="P557" i="15"/>
  <c r="K557" i="15"/>
  <c r="O557" i="15"/>
  <c r="J557" i="15" a="1"/>
  <c r="J557" i="15" s="1"/>
  <c r="R557" i="15"/>
  <c r="Q557" i="15"/>
  <c r="L557" i="15"/>
  <c r="N557" i="15"/>
  <c r="I557" i="15"/>
  <c r="V549" i="7" a="1"/>
  <c r="V549" i="7" s="1"/>
  <c r="S549" i="7"/>
  <c r="R556" i="15"/>
  <c r="N556" i="15"/>
  <c r="K556" i="15"/>
  <c r="Q556" i="15"/>
  <c r="P556" i="15"/>
  <c r="O556" i="15"/>
  <c r="J556" i="15" a="1"/>
  <c r="J556" i="15" s="1"/>
  <c r="L556" i="15"/>
  <c r="I556" i="15"/>
  <c r="S548" i="7"/>
  <c r="V548" i="7" a="1"/>
  <c r="V548" i="7" s="1"/>
  <c r="S547" i="7"/>
  <c r="V547" i="7" a="1"/>
  <c r="V547" i="7" s="1"/>
  <c r="I555" i="15"/>
  <c r="L555" i="15"/>
  <c r="R555" i="15"/>
  <c r="N555" i="15"/>
  <c r="P555" i="15"/>
  <c r="K555" i="15"/>
  <c r="Q555" i="15"/>
  <c r="J555" i="15" a="1"/>
  <c r="J555" i="15" s="1"/>
  <c r="O555" i="15"/>
  <c r="S546" i="7"/>
  <c r="V546" i="7" a="1"/>
  <c r="V546" i="7" s="1"/>
  <c r="V545" i="7" a="1"/>
  <c r="V545" i="7" s="1"/>
  <c r="S545" i="7"/>
  <c r="L554" i="15"/>
  <c r="R554" i="15"/>
  <c r="N554" i="15"/>
  <c r="P554" i="15"/>
  <c r="K554" i="15"/>
  <c r="O554" i="15"/>
  <c r="J554" i="15" a="1"/>
  <c r="J554" i="15" s="1"/>
  <c r="Q554" i="15"/>
  <c r="I554" i="15"/>
  <c r="O558" i="15"/>
  <c r="I558" i="15"/>
  <c r="L558" i="15"/>
  <c r="R558" i="15"/>
  <c r="N558" i="15"/>
  <c r="P558" i="15"/>
  <c r="K558" i="15"/>
  <c r="J558" i="15" a="1"/>
  <c r="J558" i="15" s="1"/>
  <c r="Q558" i="15"/>
  <c r="V519" i="7" a="1"/>
  <c r="V519" i="7" s="1"/>
  <c r="K551" i="15"/>
  <c r="R551" i="15"/>
  <c r="O551" i="15"/>
  <c r="Q551" i="15"/>
  <c r="N551" i="15"/>
  <c r="P551" i="15"/>
  <c r="J551" i="15" a="1"/>
  <c r="J551" i="15" s="1"/>
  <c r="L551" i="15"/>
  <c r="I551" i="15"/>
  <c r="R550" i="15"/>
  <c r="O550" i="15"/>
  <c r="Q550" i="15"/>
  <c r="I550" i="15"/>
  <c r="N550" i="15"/>
  <c r="K550" i="15"/>
  <c r="P550" i="15"/>
  <c r="L550" i="15"/>
  <c r="J550" i="15" a="1"/>
  <c r="J550" i="15" s="1"/>
  <c r="S542" i="7"/>
  <c r="V542" i="7" a="1"/>
  <c r="V542" i="7" s="1"/>
  <c r="V523" i="7" a="1"/>
  <c r="V523" i="7" s="1"/>
  <c r="S543" i="7"/>
  <c r="V543" i="7" a="1"/>
  <c r="V543" i="7" s="1"/>
  <c r="P552" i="15"/>
  <c r="N552" i="15"/>
  <c r="R552" i="15"/>
  <c r="O552" i="15"/>
  <c r="Q552" i="15"/>
  <c r="K552" i="15"/>
  <c r="J552" i="15" a="1"/>
  <c r="J552" i="15" s="1"/>
  <c r="L552" i="15"/>
  <c r="I552" i="15"/>
  <c r="S544" i="7"/>
  <c r="V544" i="7" a="1"/>
  <c r="V544" i="7" s="1"/>
  <c r="V541" i="7" a="1"/>
  <c r="V541" i="7" s="1"/>
  <c r="S541" i="7"/>
  <c r="V540" i="7" a="1"/>
  <c r="V540" i="7" s="1"/>
  <c r="S540" i="7"/>
  <c r="S539" i="7"/>
  <c r="V539" i="7" a="1"/>
  <c r="V539" i="7" s="1"/>
  <c r="S538" i="7"/>
  <c r="V538" i="7" a="1"/>
  <c r="V538" i="7" s="1"/>
  <c r="K547" i="15"/>
  <c r="J547" i="15" a="1"/>
  <c r="J547" i="15" s="1"/>
  <c r="P547" i="15"/>
  <c r="O547" i="15"/>
  <c r="I547" i="15"/>
  <c r="L547" i="15"/>
  <c r="Q547" i="15"/>
  <c r="R547" i="15"/>
  <c r="N547" i="15"/>
  <c r="K546" i="15"/>
  <c r="J546" i="15" a="1"/>
  <c r="J546" i="15" s="1"/>
  <c r="Q546" i="15"/>
  <c r="O546" i="15"/>
  <c r="I546" i="15"/>
  <c r="L546" i="15"/>
  <c r="R546" i="15"/>
  <c r="N546" i="15"/>
  <c r="P546" i="15"/>
  <c r="K549" i="15"/>
  <c r="O549" i="15"/>
  <c r="Q549" i="15"/>
  <c r="N549" i="15"/>
  <c r="P549" i="15"/>
  <c r="J549" i="15" a="1"/>
  <c r="J549" i="15" s="1"/>
  <c r="I549" i="15"/>
  <c r="L549" i="15"/>
  <c r="R549" i="15"/>
  <c r="K548" i="15"/>
  <c r="J548" i="15" a="1"/>
  <c r="J548" i="15" s="1"/>
  <c r="O548" i="15"/>
  <c r="R548" i="15"/>
  <c r="P548" i="15"/>
  <c r="I548" i="15"/>
  <c r="L548" i="15"/>
  <c r="Q548" i="15"/>
  <c r="N548" i="15"/>
  <c r="L543" i="15"/>
  <c r="N543" i="15"/>
  <c r="K543" i="15"/>
  <c r="O543" i="15"/>
  <c r="R543" i="15"/>
  <c r="P543" i="15"/>
  <c r="Q543" i="15"/>
  <c r="J543" i="15" a="1"/>
  <c r="J543" i="15" s="1"/>
  <c r="I543" i="15"/>
  <c r="S536" i="7"/>
  <c r="V536" i="7" a="1"/>
  <c r="V536" i="7" s="1"/>
  <c r="L542" i="15"/>
  <c r="N542" i="15"/>
  <c r="K542" i="15"/>
  <c r="R542" i="15"/>
  <c r="P542" i="15"/>
  <c r="Q542" i="15"/>
  <c r="I542" i="15"/>
  <c r="O542" i="15"/>
  <c r="J542" i="15" a="1"/>
  <c r="J542" i="15" s="1"/>
  <c r="S535" i="7"/>
  <c r="V535" i="7" a="1"/>
  <c r="V535" i="7" s="1"/>
  <c r="K541" i="15"/>
  <c r="I541" i="15"/>
  <c r="R541" i="15"/>
  <c r="P541" i="15"/>
  <c r="Q541" i="15"/>
  <c r="N541" i="15"/>
  <c r="O541" i="15"/>
  <c r="L541" i="15"/>
  <c r="J541" i="15" a="1"/>
  <c r="J541" i="15" s="1"/>
  <c r="S534" i="7"/>
  <c r="V534" i="7" a="1"/>
  <c r="V534" i="7" s="1"/>
  <c r="J545" i="15" a="1"/>
  <c r="J545" i="15" s="1"/>
  <c r="O545" i="15"/>
  <c r="L545" i="15"/>
  <c r="N545" i="15"/>
  <c r="R545" i="15"/>
  <c r="P545" i="15"/>
  <c r="Q545" i="15"/>
  <c r="I545" i="15"/>
  <c r="K545" i="15"/>
  <c r="S533" i="7"/>
  <c r="V533" i="7" a="1"/>
  <c r="V533" i="7" s="1"/>
  <c r="K540" i="15"/>
  <c r="I540" i="15"/>
  <c r="R540" i="15"/>
  <c r="P540" i="15"/>
  <c r="Q540" i="15"/>
  <c r="O540" i="15"/>
  <c r="J540" i="15" a="1"/>
  <c r="J540" i="15" s="1"/>
  <c r="L540" i="15"/>
  <c r="N540" i="15"/>
  <c r="S532" i="7"/>
  <c r="V532" i="7" a="1"/>
  <c r="V532" i="7" s="1"/>
  <c r="J544" i="15" a="1"/>
  <c r="J544" i="15" s="1"/>
  <c r="O544" i="15"/>
  <c r="L544" i="15"/>
  <c r="N544" i="15"/>
  <c r="P544" i="15"/>
  <c r="K544" i="15"/>
  <c r="Q544" i="15"/>
  <c r="I544" i="15"/>
  <c r="R544" i="15"/>
  <c r="S537" i="7"/>
  <c r="V537" i="7" a="1"/>
  <c r="V537" i="7" s="1"/>
  <c r="V520" i="7" a="1"/>
  <c r="V520" i="7" s="1"/>
  <c r="V522" i="7" a="1"/>
  <c r="V522" i="7" s="1"/>
  <c r="K538" i="15"/>
  <c r="N538" i="15"/>
  <c r="P538" i="15"/>
  <c r="J538" i="15" a="1"/>
  <c r="J538" i="15" s="1"/>
  <c r="L538" i="15"/>
  <c r="Q538" i="15"/>
  <c r="O538" i="15"/>
  <c r="R538" i="15"/>
  <c r="I538" i="15"/>
  <c r="N537" i="15"/>
  <c r="P537" i="15"/>
  <c r="J537" i="15" a="1"/>
  <c r="J537" i="15" s="1"/>
  <c r="I537" i="15"/>
  <c r="L537" i="15"/>
  <c r="Q537" i="15"/>
  <c r="O537" i="15"/>
  <c r="K537" i="15"/>
  <c r="R537" i="15"/>
  <c r="S531" i="7"/>
  <c r="V531" i="7" a="1"/>
  <c r="V531" i="7" s="1"/>
  <c r="J536" i="15" a="1"/>
  <c r="J536" i="15" s="1"/>
  <c r="P536" i="15"/>
  <c r="I536" i="15"/>
  <c r="L536" i="15"/>
  <c r="Q536" i="15"/>
  <c r="O536" i="15"/>
  <c r="R536" i="15"/>
  <c r="K536" i="15"/>
  <c r="N536" i="15"/>
  <c r="S530" i="7"/>
  <c r="V530" i="7" a="1"/>
  <c r="V530" i="7" s="1"/>
  <c r="S529" i="7"/>
  <c r="V529" i="7" a="1"/>
  <c r="V529" i="7" s="1"/>
  <c r="I535" i="15"/>
  <c r="L535" i="15"/>
  <c r="Q535" i="15"/>
  <c r="R535" i="15"/>
  <c r="N535" i="15"/>
  <c r="P535" i="15"/>
  <c r="K535" i="15"/>
  <c r="J535" i="15" a="1"/>
  <c r="J535" i="15" s="1"/>
  <c r="O535" i="15"/>
  <c r="S528" i="7"/>
  <c r="V528" i="7" a="1"/>
  <c r="V528" i="7" s="1"/>
  <c r="S527" i="7"/>
  <c r="V527" i="7" a="1"/>
  <c r="V527" i="7" s="1"/>
  <c r="N539" i="15"/>
  <c r="P539" i="15"/>
  <c r="Q539" i="15"/>
  <c r="K539" i="15"/>
  <c r="R539" i="15"/>
  <c r="L539" i="15"/>
  <c r="J539" i="15" a="1"/>
  <c r="J539" i="15" s="1"/>
  <c r="O539" i="15"/>
  <c r="I539" i="15"/>
  <c r="L534" i="15"/>
  <c r="Q534" i="15"/>
  <c r="I534" i="15"/>
  <c r="O534" i="15"/>
  <c r="R534" i="15"/>
  <c r="K534" i="15"/>
  <c r="N534" i="15"/>
  <c r="P534" i="15"/>
  <c r="J534" i="15" a="1"/>
  <c r="J534" i="15" s="1"/>
  <c r="V526" i="7" a="1"/>
  <c r="V526" i="7" s="1"/>
  <c r="S526" i="7"/>
  <c r="V525" i="7" a="1"/>
  <c r="V525" i="7" s="1"/>
  <c r="V521" i="7" a="1"/>
  <c r="V521" i="7" s="1"/>
  <c r="V524" i="7" a="1"/>
  <c r="V524" i="7" s="1"/>
  <c r="I529" i="15"/>
  <c r="N529" i="15"/>
  <c r="Q529" i="15"/>
  <c r="P529" i="15"/>
  <c r="O529" i="15"/>
  <c r="L529" i="15"/>
  <c r="K529" i="15"/>
  <c r="R529" i="15"/>
  <c r="R527" i="15"/>
  <c r="Q527" i="15"/>
  <c r="O527" i="15"/>
  <c r="N527" i="15"/>
  <c r="P527" i="15"/>
  <c r="I527" i="15"/>
  <c r="K527" i="15"/>
  <c r="L527" i="15"/>
  <c r="O533" i="15"/>
  <c r="N533" i="15"/>
  <c r="L533" i="15"/>
  <c r="R533" i="15"/>
  <c r="Q533" i="15"/>
  <c r="I533" i="15"/>
  <c r="P533" i="15"/>
  <c r="K533" i="15"/>
  <c r="L531" i="15"/>
  <c r="I531" i="15"/>
  <c r="Q531" i="15"/>
  <c r="R531" i="15"/>
  <c r="K531" i="15"/>
  <c r="P531" i="15"/>
  <c r="N531" i="15"/>
  <c r="O531" i="15"/>
  <c r="K530" i="15"/>
  <c r="Q530" i="15"/>
  <c r="O530" i="15"/>
  <c r="N530" i="15"/>
  <c r="P530" i="15"/>
  <c r="I530" i="15"/>
  <c r="L530" i="15"/>
  <c r="R530" i="15"/>
  <c r="J527" i="15" a="1"/>
  <c r="J527" i="15" s="1"/>
  <c r="P528" i="15"/>
  <c r="Q528" i="15"/>
  <c r="O528" i="15"/>
  <c r="I528" i="15"/>
  <c r="K528" i="15"/>
  <c r="N528" i="15"/>
  <c r="R528" i="15"/>
  <c r="L528" i="15"/>
  <c r="P532" i="15"/>
  <c r="Q532" i="15"/>
  <c r="O532" i="15"/>
  <c r="R532" i="15"/>
  <c r="N532" i="15"/>
  <c r="K532" i="15"/>
  <c r="L532" i="15"/>
  <c r="I532" i="15"/>
  <c r="I521" i="15"/>
  <c r="N521" i="15"/>
  <c r="Q521" i="15"/>
  <c r="R521" i="15"/>
  <c r="J521" i="15" a="1"/>
  <c r="J521" i="15" s="1"/>
  <c r="K521" i="15"/>
  <c r="P521" i="15"/>
  <c r="O521" i="15"/>
  <c r="L521" i="15"/>
  <c r="V516" i="7" a="1"/>
  <c r="V516" i="7" s="1"/>
  <c r="S516" i="7"/>
  <c r="L525" i="15"/>
  <c r="O525" i="15"/>
  <c r="I525" i="15"/>
  <c r="J525" i="15" a="1"/>
  <c r="J525" i="15" s="1"/>
  <c r="N525" i="15"/>
  <c r="K525" i="15"/>
  <c r="Q525" i="15"/>
  <c r="P525" i="15"/>
  <c r="R525" i="15"/>
  <c r="S514" i="7"/>
  <c r="V514" i="7" a="1"/>
  <c r="V514" i="7" s="1"/>
  <c r="I520" i="15"/>
  <c r="N520" i="15"/>
  <c r="Q520" i="15"/>
  <c r="P520" i="15"/>
  <c r="R520" i="15"/>
  <c r="O520" i="15"/>
  <c r="J520" i="15" a="1"/>
  <c r="J520" i="15" s="1"/>
  <c r="K520" i="15"/>
  <c r="L520" i="15"/>
  <c r="S513" i="7"/>
  <c r="V513" i="7" a="1"/>
  <c r="V513" i="7" s="1"/>
  <c r="K524" i="15"/>
  <c r="R524" i="15"/>
  <c r="O524" i="15"/>
  <c r="J524" i="15" a="1"/>
  <c r="J524" i="15" s="1"/>
  <c r="P524" i="15"/>
  <c r="I524" i="15"/>
  <c r="L524" i="15"/>
  <c r="N524" i="15"/>
  <c r="Q524" i="15"/>
  <c r="V517" i="7" a="1"/>
  <c r="V517" i="7" s="1"/>
  <c r="S517" i="7"/>
  <c r="S512" i="7"/>
  <c r="V512" i="7" a="1"/>
  <c r="V512" i="7" s="1"/>
  <c r="O523" i="15"/>
  <c r="J523" i="15" a="1"/>
  <c r="J523" i="15" s="1"/>
  <c r="P523" i="15"/>
  <c r="I523" i="15"/>
  <c r="L523" i="15"/>
  <c r="N523" i="15"/>
  <c r="Q523" i="15"/>
  <c r="R523" i="15"/>
  <c r="K523" i="15"/>
  <c r="K526" i="15"/>
  <c r="R526" i="15"/>
  <c r="J526" i="15" a="1"/>
  <c r="J526" i="15" s="1"/>
  <c r="O526" i="15"/>
  <c r="P526" i="15"/>
  <c r="I526" i="15"/>
  <c r="L526" i="15"/>
  <c r="N526" i="15"/>
  <c r="Q526" i="15"/>
  <c r="J522" i="15" a="1"/>
  <c r="J522" i="15" s="1"/>
  <c r="P522" i="15"/>
  <c r="I522" i="15"/>
  <c r="L522" i="15"/>
  <c r="N522" i="15"/>
  <c r="O522" i="15"/>
  <c r="Q522" i="15"/>
  <c r="R522" i="15"/>
  <c r="K522" i="15"/>
  <c r="V518" i="7" a="1"/>
  <c r="V518" i="7" s="1"/>
  <c r="S518" i="7"/>
  <c r="S515" i="7"/>
  <c r="V515" i="7" a="1"/>
  <c r="V515" i="7" s="1"/>
  <c r="Q514" i="15"/>
  <c r="R514" i="15"/>
  <c r="L514" i="15"/>
  <c r="K514" i="15"/>
  <c r="O514" i="15"/>
  <c r="J514" i="15" a="1"/>
  <c r="J514" i="15" s="1"/>
  <c r="N514" i="15"/>
  <c r="P514" i="15"/>
  <c r="I514" i="15"/>
  <c r="K518" i="15"/>
  <c r="N518" i="15"/>
  <c r="J518" i="15" a="1"/>
  <c r="J518" i="15" s="1"/>
  <c r="P518" i="15"/>
  <c r="Q518" i="15"/>
  <c r="R518" i="15"/>
  <c r="O518" i="15"/>
  <c r="I518" i="15"/>
  <c r="L518" i="15"/>
  <c r="L318" i="15"/>
  <c r="J318" i="15" a="1"/>
  <c r="J318" i="15" s="1"/>
  <c r="P318" i="15"/>
  <c r="Q318" i="15"/>
  <c r="R318" i="15"/>
  <c r="K318" i="15"/>
  <c r="O318" i="15"/>
  <c r="I318" i="15"/>
  <c r="N318" i="15"/>
  <c r="S509" i="7"/>
  <c r="V509" i="7" a="1"/>
  <c r="V509" i="7" s="1"/>
  <c r="J317" i="15" a="1"/>
  <c r="J317" i="15" s="1"/>
  <c r="O317" i="15"/>
  <c r="K317" i="15"/>
  <c r="Q317" i="15"/>
  <c r="L317" i="15"/>
  <c r="I317" i="15"/>
  <c r="R317" i="15"/>
  <c r="P317" i="15"/>
  <c r="N317" i="15"/>
  <c r="S511" i="7"/>
  <c r="V511" i="7" a="1"/>
  <c r="V511" i="7" s="1"/>
  <c r="V510" i="7" a="1"/>
  <c r="V510" i="7" s="1"/>
  <c r="S510" i="7"/>
  <c r="S508" i="7"/>
  <c r="V508" i="7" a="1"/>
  <c r="V508" i="7" s="1"/>
  <c r="N48" i="15"/>
  <c r="J48" i="15" a="1"/>
  <c r="J48" i="15" s="1"/>
  <c r="I48" i="15"/>
  <c r="L48" i="15"/>
  <c r="O48" i="15"/>
  <c r="K48" i="15"/>
  <c r="R48" i="15"/>
  <c r="P48" i="15"/>
  <c r="Q48" i="15"/>
  <c r="O307" i="15"/>
  <c r="K307" i="15"/>
  <c r="J307" i="15" a="1"/>
  <c r="J307" i="15" s="1"/>
  <c r="I307" i="15"/>
  <c r="L307" i="15"/>
  <c r="R307" i="15"/>
  <c r="N307" i="15"/>
  <c r="P307" i="15"/>
  <c r="Q307" i="15"/>
  <c r="L512" i="15"/>
  <c r="R512" i="15"/>
  <c r="K512" i="15"/>
  <c r="N512" i="15"/>
  <c r="P512" i="15"/>
  <c r="Q512" i="15"/>
  <c r="I512" i="15"/>
  <c r="J512" i="15" a="1"/>
  <c r="J512" i="15" s="1"/>
  <c r="O512" i="15"/>
  <c r="K306" i="15"/>
  <c r="R306" i="15"/>
  <c r="J306" i="15" a="1"/>
  <c r="J306" i="15" s="1"/>
  <c r="I306" i="15"/>
  <c r="L306" i="15"/>
  <c r="O306" i="15"/>
  <c r="N306" i="15"/>
  <c r="P306" i="15"/>
  <c r="Q306" i="15"/>
  <c r="R511" i="15"/>
  <c r="K511" i="15"/>
  <c r="N511" i="15"/>
  <c r="P511" i="15"/>
  <c r="Q511" i="15"/>
  <c r="I511" i="15"/>
  <c r="J511" i="15" a="1"/>
  <c r="J511" i="15" s="1"/>
  <c r="L511" i="15"/>
  <c r="O511" i="15"/>
  <c r="S507" i="7"/>
  <c r="V507" i="7" a="1"/>
  <c r="V507" i="7" s="1"/>
  <c r="S506" i="7"/>
  <c r="V506" i="7" a="1"/>
  <c r="V506" i="7" s="1"/>
  <c r="S505" i="7"/>
  <c r="V505" i="7" a="1"/>
  <c r="V505" i="7" s="1"/>
  <c r="S504" i="7"/>
  <c r="V504" i="7" a="1"/>
  <c r="V504" i="7" s="1"/>
  <c r="V503" i="7" a="1"/>
  <c r="V503" i="7" s="1"/>
  <c r="S503" i="7"/>
  <c r="I508" i="15"/>
  <c r="R508" i="15"/>
  <c r="K508" i="15"/>
  <c r="O508" i="15"/>
  <c r="P508" i="15"/>
  <c r="L508" i="15"/>
  <c r="Q508" i="15"/>
  <c r="N508" i="15"/>
  <c r="J508" i="15" a="1"/>
  <c r="J508" i="15" s="1"/>
  <c r="S501" i="7"/>
  <c r="V501" i="7" a="1"/>
  <c r="V501" i="7" s="1"/>
  <c r="J510" i="15" a="1"/>
  <c r="J510" i="15" s="1"/>
  <c r="I510" i="15"/>
  <c r="N510" i="15"/>
  <c r="R510" i="15"/>
  <c r="O510" i="15"/>
  <c r="K510" i="15"/>
  <c r="P510" i="15"/>
  <c r="L510" i="15"/>
  <c r="Q510" i="15"/>
  <c r="S500" i="7"/>
  <c r="V500" i="7" a="1"/>
  <c r="V500" i="7" s="1"/>
  <c r="L509" i="15"/>
  <c r="Q509" i="15"/>
  <c r="R509" i="15"/>
  <c r="K509" i="15"/>
  <c r="P509" i="15"/>
  <c r="J509" i="15" a="1"/>
  <c r="J509" i="15" s="1"/>
  <c r="I509" i="15"/>
  <c r="N509" i="15"/>
  <c r="O509" i="15"/>
  <c r="S502" i="7"/>
  <c r="V502" i="7" a="1"/>
  <c r="V502" i="7" s="1"/>
  <c r="I506" i="15"/>
  <c r="J506" i="15" a="1"/>
  <c r="J506" i="15" s="1"/>
  <c r="O506" i="15"/>
  <c r="L506" i="15"/>
  <c r="N506" i="15"/>
  <c r="P506" i="15"/>
  <c r="R506" i="15"/>
  <c r="Q506" i="15"/>
  <c r="K506" i="15"/>
  <c r="L503" i="15"/>
  <c r="K503" i="15"/>
  <c r="P503" i="15"/>
  <c r="O503" i="15"/>
  <c r="N503" i="15"/>
  <c r="R503" i="15"/>
  <c r="Q503" i="15"/>
  <c r="I503" i="15"/>
  <c r="J503" i="15" a="1"/>
  <c r="J503" i="15" s="1"/>
  <c r="L502" i="15"/>
  <c r="P502" i="15"/>
  <c r="K502" i="15"/>
  <c r="R502" i="15"/>
  <c r="Q502" i="15"/>
  <c r="O502" i="15"/>
  <c r="N502" i="15"/>
  <c r="I502" i="15"/>
  <c r="J502" i="15" a="1"/>
  <c r="J502" i="15" s="1"/>
  <c r="I505" i="15"/>
  <c r="J505" i="15" a="1"/>
  <c r="J505" i="15" s="1"/>
  <c r="L505" i="15"/>
  <c r="P505" i="15"/>
  <c r="R505" i="15"/>
  <c r="Q505" i="15"/>
  <c r="N505" i="15"/>
  <c r="K505" i="15"/>
  <c r="O505" i="15"/>
  <c r="K507" i="15"/>
  <c r="R507" i="15"/>
  <c r="I507" i="15"/>
  <c r="O507" i="15"/>
  <c r="J507" i="15" a="1"/>
  <c r="J507" i="15" s="1"/>
  <c r="Q507" i="15"/>
  <c r="L507" i="15"/>
  <c r="N507" i="15"/>
  <c r="P507" i="15"/>
  <c r="S499" i="7"/>
  <c r="V499" i="7" a="1"/>
  <c r="V499" i="7" s="1"/>
  <c r="J504" i="15" a="1"/>
  <c r="J504" i="15" s="1"/>
  <c r="N504" i="15"/>
  <c r="R504" i="15"/>
  <c r="Q504" i="15"/>
  <c r="O504" i="15"/>
  <c r="K504" i="15"/>
  <c r="P504" i="15"/>
  <c r="L504" i="15"/>
  <c r="I504" i="15"/>
  <c r="S497" i="7"/>
  <c r="V497" i="7" a="1"/>
  <c r="V497" i="7" s="1"/>
  <c r="V495" i="7" a="1"/>
  <c r="V495" i="7" s="1"/>
  <c r="S495" i="7"/>
  <c r="S496" i="7"/>
  <c r="V496" i="7" a="1"/>
  <c r="V496" i="7" s="1"/>
  <c r="V494" i="7" a="1"/>
  <c r="V494" i="7" s="1"/>
  <c r="S494" i="7"/>
  <c r="S498" i="7"/>
  <c r="V498" i="7" a="1"/>
  <c r="V498" i="7" s="1"/>
  <c r="P501" i="15"/>
  <c r="N501" i="15"/>
  <c r="Q501" i="15"/>
  <c r="L501" i="15"/>
  <c r="R501" i="15"/>
  <c r="K501" i="15"/>
  <c r="J501" i="15" a="1"/>
  <c r="J501" i="15" s="1"/>
  <c r="O501" i="15"/>
  <c r="I501" i="15"/>
  <c r="R497" i="15"/>
  <c r="O497" i="15"/>
  <c r="K497" i="15"/>
  <c r="Q497" i="15"/>
  <c r="N497" i="15"/>
  <c r="J497" i="15" a="1"/>
  <c r="J497" i="15" s="1"/>
  <c r="P497" i="15"/>
  <c r="I497" i="15"/>
  <c r="L497" i="15"/>
  <c r="S488" i="7"/>
  <c r="V488" i="7" a="1"/>
  <c r="V488" i="7" s="1"/>
  <c r="L500" i="15"/>
  <c r="P500" i="15"/>
  <c r="R500" i="15"/>
  <c r="O500" i="15"/>
  <c r="Q500" i="15"/>
  <c r="N500" i="15"/>
  <c r="J500" i="15" a="1"/>
  <c r="J500" i="15" s="1"/>
  <c r="I500" i="15"/>
  <c r="K500" i="15"/>
  <c r="S493" i="7"/>
  <c r="V493" i="7" a="1"/>
  <c r="V493" i="7" s="1"/>
  <c r="I499" i="15"/>
  <c r="L499" i="15"/>
  <c r="P499" i="15"/>
  <c r="R499" i="15"/>
  <c r="O499" i="15"/>
  <c r="K499" i="15"/>
  <c r="Q499" i="15"/>
  <c r="N499" i="15"/>
  <c r="J499" i="15" a="1"/>
  <c r="J499" i="15" s="1"/>
  <c r="V492" i="7" a="1"/>
  <c r="V492" i="7" s="1"/>
  <c r="S492" i="7"/>
  <c r="R496" i="15"/>
  <c r="O496" i="15"/>
  <c r="K496" i="15"/>
  <c r="Q496" i="15"/>
  <c r="J496" i="15" a="1"/>
  <c r="J496" i="15" s="1"/>
  <c r="N496" i="15"/>
  <c r="I496" i="15"/>
  <c r="L496" i="15"/>
  <c r="P496" i="15"/>
  <c r="S491" i="7"/>
  <c r="V491" i="7" a="1"/>
  <c r="V491" i="7" s="1"/>
  <c r="P498" i="15"/>
  <c r="R498" i="15"/>
  <c r="O498" i="15"/>
  <c r="Q498" i="15"/>
  <c r="K498" i="15"/>
  <c r="J498" i="15" a="1"/>
  <c r="J498" i="15" s="1"/>
  <c r="N498" i="15"/>
  <c r="I498" i="15"/>
  <c r="L498" i="15"/>
  <c r="S490" i="7"/>
  <c r="V490" i="7" a="1"/>
  <c r="V490" i="7" s="1"/>
  <c r="V489" i="7" a="1"/>
  <c r="V489" i="7" s="1"/>
  <c r="S489" i="7"/>
  <c r="J492" i="15" a="1"/>
  <c r="J492" i="15" s="1"/>
  <c r="I492" i="15"/>
  <c r="L492" i="15"/>
  <c r="O492" i="15"/>
  <c r="R492" i="15"/>
  <c r="K492" i="15"/>
  <c r="P492" i="15"/>
  <c r="Q492" i="15"/>
  <c r="N492" i="15"/>
  <c r="I491" i="15"/>
  <c r="L491" i="15"/>
  <c r="O491" i="15"/>
  <c r="R491" i="15"/>
  <c r="K491" i="15"/>
  <c r="P491" i="15"/>
  <c r="Q491" i="15"/>
  <c r="N491" i="15"/>
  <c r="J491" i="15" a="1"/>
  <c r="J491" i="15" s="1"/>
  <c r="K495" i="15"/>
  <c r="P495" i="15"/>
  <c r="Q495" i="15"/>
  <c r="N495" i="15"/>
  <c r="J495" i="15" a="1"/>
  <c r="J495" i="15" s="1"/>
  <c r="I495" i="15"/>
  <c r="L495" i="15"/>
  <c r="R495" i="15"/>
  <c r="O495" i="15"/>
  <c r="S483" i="7"/>
  <c r="V483" i="7" a="1"/>
  <c r="V483" i="7" s="1"/>
  <c r="K494" i="15"/>
  <c r="N494" i="15"/>
  <c r="J494" i="15" a="1"/>
  <c r="J494" i="15" s="1"/>
  <c r="I494" i="15"/>
  <c r="Q494" i="15"/>
  <c r="L494" i="15"/>
  <c r="O494" i="15"/>
  <c r="R494" i="15"/>
  <c r="P494" i="15"/>
  <c r="S487" i="7"/>
  <c r="V487" i="7" a="1"/>
  <c r="V487" i="7" s="1"/>
  <c r="V486" i="7" a="1"/>
  <c r="V486" i="7" s="1"/>
  <c r="S486" i="7"/>
  <c r="J493" i="15" a="1"/>
  <c r="J493" i="15" s="1"/>
  <c r="I493" i="15"/>
  <c r="L493" i="15"/>
  <c r="O493" i="15"/>
  <c r="R493" i="15"/>
  <c r="K493" i="15"/>
  <c r="P493" i="15"/>
  <c r="Q493" i="15"/>
  <c r="N493" i="15"/>
  <c r="V485" i="7" a="1"/>
  <c r="V485" i="7" s="1"/>
  <c r="S485" i="7"/>
  <c r="V484" i="7" a="1"/>
  <c r="V484" i="7" s="1"/>
  <c r="S484" i="7"/>
  <c r="J488" i="15" a="1"/>
  <c r="J488" i="15" s="1"/>
  <c r="K488" i="15"/>
  <c r="P488" i="15"/>
  <c r="N488" i="15"/>
  <c r="R488" i="15"/>
  <c r="Q488" i="15"/>
  <c r="O488" i="15"/>
  <c r="L488" i="15"/>
  <c r="I488" i="15"/>
  <c r="J487" i="15" a="1"/>
  <c r="J487" i="15" s="1"/>
  <c r="K487" i="15"/>
  <c r="P487" i="15"/>
  <c r="N487" i="15"/>
  <c r="R487" i="15"/>
  <c r="Q487" i="15"/>
  <c r="O487" i="15"/>
  <c r="L487" i="15"/>
  <c r="I487" i="15"/>
  <c r="S482" i="7"/>
  <c r="V482" i="7" a="1"/>
  <c r="V482" i="7" s="1"/>
  <c r="V481" i="7" a="1"/>
  <c r="V481" i="7" s="1"/>
  <c r="S481" i="7"/>
  <c r="V480" i="7" a="1"/>
  <c r="V480" i="7" s="1"/>
  <c r="S480" i="7"/>
  <c r="Q490" i="15"/>
  <c r="I490" i="15"/>
  <c r="O490" i="15"/>
  <c r="J490" i="15" a="1"/>
  <c r="J490" i="15" s="1"/>
  <c r="K490" i="15"/>
  <c r="P490" i="15"/>
  <c r="N490" i="15"/>
  <c r="L490" i="15"/>
  <c r="R490" i="15"/>
  <c r="S479" i="7"/>
  <c r="V479" i="7" a="1"/>
  <c r="V479" i="7" s="1"/>
  <c r="I489" i="15"/>
  <c r="O489" i="15"/>
  <c r="J489" i="15" a="1"/>
  <c r="J489" i="15" s="1"/>
  <c r="K489" i="15"/>
  <c r="P489" i="15"/>
  <c r="N489" i="15"/>
  <c r="L489" i="15"/>
  <c r="R489" i="15"/>
  <c r="Q489" i="15"/>
  <c r="S478" i="7"/>
  <c r="V478" i="7" a="1"/>
  <c r="V478" i="7" s="1"/>
  <c r="V477" i="7" a="1"/>
  <c r="V477" i="7" s="1"/>
  <c r="S477" i="7"/>
  <c r="V476" i="7" a="1"/>
  <c r="V476" i="7" s="1"/>
  <c r="S476" i="7"/>
  <c r="S475" i="7"/>
  <c r="V475" i="7" a="1"/>
  <c r="V475" i="7" s="1"/>
  <c r="S474" i="7"/>
  <c r="V474" i="7" a="1"/>
  <c r="V474" i="7" s="1"/>
  <c r="I485" i="15"/>
  <c r="L485" i="15"/>
  <c r="R485" i="15"/>
  <c r="N485" i="15"/>
  <c r="Q485" i="15"/>
  <c r="K485" i="15"/>
  <c r="J485" i="15" a="1"/>
  <c r="J485" i="15" s="1"/>
  <c r="O485" i="15"/>
  <c r="P485" i="15"/>
  <c r="I486" i="15"/>
  <c r="Q486" i="15"/>
  <c r="P486" i="15"/>
  <c r="J486" i="15" a="1"/>
  <c r="J486" i="15" s="1"/>
  <c r="R486" i="15"/>
  <c r="K486" i="15"/>
  <c r="L486" i="15"/>
  <c r="N486" i="15"/>
  <c r="O486" i="15"/>
  <c r="K484" i="15"/>
  <c r="J484" i="15" a="1"/>
  <c r="J484" i="15" s="1"/>
  <c r="O484" i="15"/>
  <c r="P484" i="15"/>
  <c r="L484" i="15"/>
  <c r="I484" i="15"/>
  <c r="R484" i="15"/>
  <c r="N484" i="15"/>
  <c r="Q484" i="15"/>
  <c r="O482" i="15"/>
  <c r="P482" i="15"/>
  <c r="K482" i="15"/>
  <c r="J482" i="15" a="1"/>
  <c r="J482" i="15" s="1"/>
  <c r="I482" i="15"/>
  <c r="L482" i="15"/>
  <c r="R482" i="15"/>
  <c r="N482" i="15"/>
  <c r="Q482" i="15"/>
  <c r="O483" i="15"/>
  <c r="P483" i="15"/>
  <c r="K483" i="15"/>
  <c r="J483" i="15" a="1"/>
  <c r="J483" i="15" s="1"/>
  <c r="I483" i="15"/>
  <c r="L483" i="15"/>
  <c r="R483" i="15"/>
  <c r="N483" i="15"/>
  <c r="Q483" i="15"/>
  <c r="K481" i="15"/>
  <c r="P481" i="15"/>
  <c r="N481" i="15"/>
  <c r="R481" i="15"/>
  <c r="Q481" i="15"/>
  <c r="O481" i="15"/>
  <c r="J481" i="15" a="1"/>
  <c r="J481" i="15" s="1"/>
  <c r="L481" i="15"/>
  <c r="I481" i="15"/>
  <c r="S471" i="7"/>
  <c r="V471" i="7" a="1"/>
  <c r="V471" i="7" s="1"/>
  <c r="N480" i="15"/>
  <c r="R480" i="15"/>
  <c r="L480" i="15"/>
  <c r="Q480" i="15"/>
  <c r="I480" i="15"/>
  <c r="O480" i="15"/>
  <c r="J480" i="15" a="1"/>
  <c r="J480" i="15" s="1"/>
  <c r="K480" i="15"/>
  <c r="P480" i="15"/>
  <c r="S470" i="7"/>
  <c r="V470" i="7" a="1"/>
  <c r="V470" i="7" s="1"/>
  <c r="R479" i="15"/>
  <c r="L479" i="15"/>
  <c r="Q479" i="15"/>
  <c r="O479" i="15"/>
  <c r="I479" i="15"/>
  <c r="J479" i="15" a="1"/>
  <c r="J479" i="15" s="1"/>
  <c r="K479" i="15"/>
  <c r="P479" i="15"/>
  <c r="N479" i="15"/>
  <c r="Q478" i="15"/>
  <c r="O478" i="15"/>
  <c r="J478" i="15" a="1"/>
  <c r="J478" i="15" s="1"/>
  <c r="K478" i="15"/>
  <c r="P478" i="15"/>
  <c r="N478" i="15"/>
  <c r="R478" i="15"/>
  <c r="L478" i="15"/>
  <c r="I478" i="15"/>
  <c r="V473" i="7" a="1"/>
  <c r="V473" i="7" s="1"/>
  <c r="S473" i="7"/>
  <c r="V472" i="7" a="1"/>
  <c r="V472" i="7" s="1"/>
  <c r="S472" i="7"/>
  <c r="R477" i="15"/>
  <c r="Q477" i="15"/>
  <c r="N477" i="15"/>
  <c r="P477" i="15"/>
  <c r="L477" i="15"/>
  <c r="J477" i="15" a="1"/>
  <c r="J477" i="15" s="1"/>
  <c r="O477" i="15"/>
  <c r="K477" i="15"/>
  <c r="I477" i="15"/>
  <c r="V469" i="7" a="1"/>
  <c r="V469" i="7" s="1"/>
  <c r="S469" i="7"/>
  <c r="O474" i="15"/>
  <c r="K474" i="15"/>
  <c r="R474" i="15"/>
  <c r="Q474" i="15"/>
  <c r="P474" i="15"/>
  <c r="L474" i="15"/>
  <c r="J474" i="15" a="1"/>
  <c r="J474" i="15" s="1"/>
  <c r="N474" i="15"/>
  <c r="I474" i="15"/>
  <c r="S464" i="7"/>
  <c r="V464" i="7" a="1"/>
  <c r="V464" i="7" s="1"/>
  <c r="L476" i="15"/>
  <c r="O476" i="15"/>
  <c r="J476" i="15" a="1"/>
  <c r="J476" i="15" s="1"/>
  <c r="K476" i="15"/>
  <c r="R476" i="15"/>
  <c r="Q476" i="15"/>
  <c r="I476" i="15"/>
  <c r="P476" i="15"/>
  <c r="N476" i="15"/>
  <c r="O473" i="15"/>
  <c r="N473" i="15"/>
  <c r="K473" i="15"/>
  <c r="R473" i="15"/>
  <c r="Q473" i="15"/>
  <c r="P473" i="15"/>
  <c r="J473" i="15" a="1"/>
  <c r="J473" i="15" s="1"/>
  <c r="I473" i="15"/>
  <c r="L473" i="15"/>
  <c r="S468" i="7"/>
  <c r="V468" i="7" a="1"/>
  <c r="V468" i="7" s="1"/>
  <c r="S467" i="7"/>
  <c r="V467" i="7" a="1"/>
  <c r="V467" i="7" s="1"/>
  <c r="L475" i="15"/>
  <c r="O475" i="15"/>
  <c r="Q475" i="15"/>
  <c r="K475" i="15"/>
  <c r="R475" i="15"/>
  <c r="P475" i="15"/>
  <c r="N475" i="15"/>
  <c r="I475" i="15"/>
  <c r="J475" i="15" a="1"/>
  <c r="J475" i="15" s="1"/>
  <c r="S465" i="7"/>
  <c r="V465" i="7" a="1"/>
  <c r="V465" i="7" s="1"/>
  <c r="K472" i="15"/>
  <c r="R472" i="15"/>
  <c r="Q472" i="15"/>
  <c r="P472" i="15"/>
  <c r="O472" i="15"/>
  <c r="J472" i="15" a="1"/>
  <c r="J472" i="15" s="1"/>
  <c r="N472" i="15"/>
  <c r="I472" i="15"/>
  <c r="L472" i="15"/>
  <c r="S466" i="7"/>
  <c r="V466" i="7" a="1"/>
  <c r="V466" i="7" s="1"/>
  <c r="I57" i="15"/>
  <c r="V440" i="7" a="1"/>
  <c r="V440" i="7" s="1"/>
  <c r="I103" i="15"/>
  <c r="I94" i="15"/>
  <c r="I126" i="15"/>
  <c r="I65" i="15"/>
  <c r="I250" i="15"/>
  <c r="I89" i="15"/>
  <c r="I175" i="15"/>
  <c r="I245" i="15"/>
  <c r="I4" i="15"/>
  <c r="I67" i="15"/>
  <c r="I49" i="15"/>
  <c r="I55" i="15"/>
  <c r="I66" i="15"/>
  <c r="I37" i="15"/>
  <c r="I106" i="15"/>
  <c r="I18" i="15"/>
  <c r="I10" i="15"/>
  <c r="I56" i="15"/>
  <c r="I62" i="15"/>
  <c r="I25" i="15"/>
  <c r="I51" i="15"/>
  <c r="I41" i="15"/>
  <c r="I9" i="15"/>
  <c r="I96" i="15"/>
  <c r="I58" i="15"/>
  <c r="I108" i="15"/>
  <c r="I52" i="15"/>
  <c r="I78" i="15"/>
  <c r="I12" i="15"/>
  <c r="I64" i="15"/>
  <c r="I174" i="15"/>
  <c r="I143" i="15"/>
  <c r="I179" i="15"/>
  <c r="I150" i="15"/>
  <c r="I172" i="15"/>
  <c r="I189" i="15"/>
  <c r="I515" i="15"/>
  <c r="I206" i="15"/>
  <c r="I158" i="15"/>
  <c r="I20" i="15"/>
  <c r="I42" i="15"/>
  <c r="I232" i="15"/>
  <c r="I29" i="15"/>
  <c r="I75" i="15"/>
  <c r="I182" i="15"/>
  <c r="I144" i="15"/>
  <c r="I30" i="15"/>
  <c r="I114" i="15"/>
  <c r="I243" i="15"/>
  <c r="I82" i="15"/>
  <c r="I171" i="15"/>
  <c r="I254" i="15"/>
  <c r="I50" i="15"/>
  <c r="I44" i="15"/>
  <c r="I43" i="15"/>
  <c r="I105" i="15"/>
  <c r="I26" i="15"/>
  <c r="I249" i="15"/>
  <c r="I73" i="15"/>
  <c r="I14" i="15"/>
  <c r="I264" i="15"/>
  <c r="I274" i="15"/>
  <c r="I275" i="15"/>
  <c r="I279" i="15"/>
  <c r="I290" i="15"/>
  <c r="I292" i="15"/>
  <c r="I294" i="15"/>
  <c r="I300" i="15"/>
  <c r="I129" i="15"/>
  <c r="I327" i="15"/>
  <c r="I331" i="15"/>
  <c r="I345" i="15"/>
  <c r="I346" i="15"/>
  <c r="I357" i="15"/>
  <c r="I361" i="15"/>
  <c r="I371" i="15"/>
  <c r="I372" i="15"/>
  <c r="I375" i="15"/>
  <c r="I379" i="15"/>
  <c r="I382" i="15"/>
  <c r="I387" i="15"/>
  <c r="I400" i="15"/>
  <c r="I403" i="15"/>
  <c r="I413" i="15"/>
  <c r="I426" i="15"/>
  <c r="I436" i="15"/>
  <c r="I443" i="15"/>
  <c r="I455" i="15"/>
  <c r="I461" i="15"/>
  <c r="I227" i="15"/>
  <c r="I155" i="15"/>
  <c r="I186" i="15"/>
  <c r="I169" i="15"/>
  <c r="I193" i="15"/>
  <c r="I111" i="15"/>
  <c r="I125" i="15"/>
  <c r="I127" i="15"/>
  <c r="I136" i="15"/>
  <c r="I180" i="15"/>
  <c r="I34" i="15"/>
  <c r="I184" i="15"/>
  <c r="I122" i="15"/>
  <c r="I63" i="15"/>
  <c r="I74" i="15"/>
  <c r="I252" i="15"/>
  <c r="I104" i="15"/>
  <c r="I99" i="15"/>
  <c r="I157" i="15"/>
  <c r="I40" i="15"/>
  <c r="I165" i="15"/>
  <c r="I208" i="15"/>
  <c r="I244" i="15"/>
  <c r="I225" i="15"/>
  <c r="I248" i="15"/>
  <c r="I253" i="15"/>
  <c r="I517" i="15"/>
  <c r="I192" i="15"/>
  <c r="I133" i="15"/>
  <c r="I5" i="15"/>
  <c r="I70" i="15"/>
  <c r="I61" i="15"/>
  <c r="I258" i="15"/>
  <c r="I218" i="15"/>
  <c r="I273" i="15"/>
  <c r="I289" i="15"/>
  <c r="I291" i="15"/>
  <c r="I293" i="15"/>
  <c r="I299" i="15"/>
  <c r="I47" i="15"/>
  <c r="I310" i="15"/>
  <c r="I134" i="15"/>
  <c r="I320" i="15"/>
  <c r="I330" i="15"/>
  <c r="I332" i="15"/>
  <c r="I343" i="15"/>
  <c r="I344" i="15"/>
  <c r="I352" i="15"/>
  <c r="I366" i="15"/>
  <c r="I374" i="15"/>
  <c r="I384" i="15"/>
  <c r="I386" i="15"/>
  <c r="I391" i="15"/>
  <c r="I395" i="15"/>
  <c r="I398" i="15"/>
  <c r="I402" i="15"/>
  <c r="I419" i="15"/>
  <c r="I425" i="15"/>
  <c r="I437" i="15"/>
  <c r="I450" i="15"/>
  <c r="I457" i="15"/>
  <c r="I464" i="15"/>
  <c r="I468" i="15"/>
  <c r="I190" i="15"/>
  <c r="I156" i="15"/>
  <c r="I251" i="15"/>
  <c r="I151" i="15"/>
  <c r="I241" i="15"/>
  <c r="I118" i="15"/>
  <c r="I212" i="15"/>
  <c r="I159" i="15"/>
  <c r="I146" i="15"/>
  <c r="I115" i="15"/>
  <c r="I95" i="15"/>
  <c r="I79" i="15"/>
  <c r="I21" i="15"/>
  <c r="I107" i="15"/>
  <c r="I28" i="15"/>
  <c r="I204" i="15"/>
  <c r="I214" i="15"/>
  <c r="I257" i="15"/>
  <c r="I221" i="15"/>
  <c r="I319" i="15"/>
  <c r="I123" i="15"/>
  <c r="I185" i="15"/>
  <c r="I170" i="15"/>
  <c r="I147" i="15"/>
  <c r="I199" i="15"/>
  <c r="I288" i="15"/>
  <c r="I297" i="15"/>
  <c r="I326" i="15"/>
  <c r="I337" i="15"/>
  <c r="I342" i="15"/>
  <c r="I356" i="15"/>
  <c r="I360" i="15"/>
  <c r="I380" i="15"/>
  <c r="I393" i="15"/>
  <c r="I408" i="15"/>
  <c r="I418" i="15"/>
  <c r="I442" i="15"/>
  <c r="I453" i="15"/>
  <c r="I454" i="15"/>
  <c r="I458" i="15"/>
  <c r="I460" i="15"/>
  <c r="I466" i="15"/>
  <c r="I465" i="15"/>
  <c r="I153" i="15"/>
  <c r="I205" i="15"/>
  <c r="I191" i="15"/>
  <c r="I181" i="15"/>
  <c r="I154" i="15"/>
  <c r="I109" i="15"/>
  <c r="I173" i="15"/>
  <c r="I201" i="15"/>
  <c r="I120" i="15"/>
  <c r="I222" i="15"/>
  <c r="I53" i="15"/>
  <c r="I54" i="15"/>
  <c r="I117" i="15"/>
  <c r="I200" i="15"/>
  <c r="I226" i="15"/>
  <c r="I23" i="15"/>
  <c r="I17" i="15"/>
  <c r="I231" i="15"/>
  <c r="I256" i="15"/>
  <c r="I233" i="15"/>
  <c r="I88" i="15"/>
  <c r="I238" i="15"/>
  <c r="I162" i="15"/>
  <c r="I211" i="15"/>
  <c r="I261" i="15"/>
  <c r="I287" i="15"/>
  <c r="I303" i="15"/>
  <c r="I308" i="15"/>
  <c r="I312" i="15"/>
  <c r="I132" i="15"/>
  <c r="I314" i="15"/>
  <c r="I336" i="15"/>
  <c r="I340" i="15"/>
  <c r="I341" i="15"/>
  <c r="I351" i="15"/>
  <c r="I359" i="15"/>
  <c r="I364" i="15"/>
  <c r="I385" i="15"/>
  <c r="I390" i="15"/>
  <c r="I392" i="15"/>
  <c r="I396" i="15"/>
  <c r="I407" i="15"/>
  <c r="I417" i="15"/>
  <c r="I434" i="15"/>
  <c r="I441" i="15"/>
  <c r="J447" i="15" a="1"/>
  <c r="J447" i="15" s="1"/>
  <c r="I447" i="15"/>
  <c r="I449" i="15"/>
  <c r="I469" i="15"/>
  <c r="I471" i="15"/>
  <c r="I220" i="15"/>
  <c r="I80" i="15"/>
  <c r="I246" i="15"/>
  <c r="I86" i="15"/>
  <c r="I160" i="15"/>
  <c r="I59" i="15"/>
  <c r="I76" i="15"/>
  <c r="I91" i="15"/>
  <c r="I98" i="15"/>
  <c r="I11" i="15"/>
  <c r="I177" i="15"/>
  <c r="I235" i="15"/>
  <c r="I72" i="15"/>
  <c r="I124" i="15"/>
  <c r="I90" i="15"/>
  <c r="I138" i="15"/>
  <c r="I8" i="15"/>
  <c r="I38" i="15"/>
  <c r="I167" i="15"/>
  <c r="I33" i="15"/>
  <c r="I77" i="15"/>
  <c r="I239" i="15"/>
  <c r="I513" i="15"/>
  <c r="I142" i="15"/>
  <c r="I13" i="15"/>
  <c r="I259" i="15"/>
  <c r="I209" i="15"/>
  <c r="I263" i="15"/>
  <c r="I268" i="15"/>
  <c r="I270" i="15"/>
  <c r="I272" i="15"/>
  <c r="I278" i="15"/>
  <c r="I296" i="15"/>
  <c r="I298" i="15"/>
  <c r="I301" i="15"/>
  <c r="I304" i="15"/>
  <c r="I311" i="15"/>
  <c r="I313" i="15"/>
  <c r="I316" i="15"/>
  <c r="I325" i="15"/>
  <c r="I335" i="15"/>
  <c r="I383" i="15"/>
  <c r="I406" i="15"/>
  <c r="I412" i="15"/>
  <c r="I415" i="15"/>
  <c r="I424" i="15"/>
  <c r="I432" i="15"/>
  <c r="J446" i="15" a="1"/>
  <c r="J446" i="15" s="1"/>
  <c r="I446" i="15"/>
  <c r="I463" i="15"/>
  <c r="I459" i="15"/>
  <c r="I467" i="15"/>
  <c r="I470" i="15"/>
  <c r="I164" i="15"/>
  <c r="I224" i="15"/>
  <c r="I228" i="15"/>
  <c r="I36" i="15"/>
  <c r="I242" i="15"/>
  <c r="I137" i="15"/>
  <c r="I236" i="15"/>
  <c r="I97" i="15"/>
  <c r="I87" i="15"/>
  <c r="I230" i="15"/>
  <c r="I110" i="15"/>
  <c r="I121" i="15"/>
  <c r="I148" i="15"/>
  <c r="I178" i="15"/>
  <c r="I60" i="15"/>
  <c r="I195" i="15"/>
  <c r="I46" i="15"/>
  <c r="I71" i="15"/>
  <c r="I27" i="15"/>
  <c r="I69" i="15"/>
  <c r="I83" i="15"/>
  <c r="I15" i="15"/>
  <c r="I145" i="15"/>
  <c r="I161" i="15"/>
  <c r="I116" i="15"/>
  <c r="I255" i="15"/>
  <c r="I194" i="15"/>
  <c r="I93" i="15"/>
  <c r="I35" i="15"/>
  <c r="I188" i="15"/>
  <c r="I101" i="15"/>
  <c r="I68" i="15"/>
  <c r="I237" i="15"/>
  <c r="I149" i="15"/>
  <c r="I262" i="15"/>
  <c r="I266" i="15"/>
  <c r="I277" i="15"/>
  <c r="I280" i="15"/>
  <c r="I284" i="15"/>
  <c r="I516" i="15"/>
  <c r="I323" i="15"/>
  <c r="I324" i="15"/>
  <c r="I329" i="15"/>
  <c r="I338" i="15"/>
  <c r="I348" i="15"/>
  <c r="I349" i="15"/>
  <c r="I350" i="15"/>
  <c r="I354" i="15"/>
  <c r="I362" i="15"/>
  <c r="I365" i="15"/>
  <c r="I369" i="15"/>
  <c r="I370" i="15"/>
  <c r="I377" i="15"/>
  <c r="I378" i="15"/>
  <c r="I399" i="15"/>
  <c r="I405" i="15"/>
  <c r="I430" i="15"/>
  <c r="I431" i="15"/>
  <c r="I435" i="15"/>
  <c r="I445" i="15"/>
  <c r="I451" i="15"/>
  <c r="J448" i="15" a="1"/>
  <c r="J448" i="15" s="1"/>
  <c r="I448" i="15"/>
  <c r="S463" i="7"/>
  <c r="V463" i="7" a="1"/>
  <c r="V463" i="7" s="1"/>
  <c r="I187" i="15"/>
  <c r="I247" i="15"/>
  <c r="I217" i="15"/>
  <c r="I223" i="15"/>
  <c r="I198" i="15"/>
  <c r="I176" i="15"/>
  <c r="I131" i="15"/>
  <c r="I166" i="15"/>
  <c r="I139" i="15"/>
  <c r="I207" i="15"/>
  <c r="I183" i="15"/>
  <c r="I163" i="15"/>
  <c r="I128" i="15"/>
  <c r="I213" i="15"/>
  <c r="I519" i="15"/>
  <c r="I135" i="15"/>
  <c r="I119" i="15"/>
  <c r="I7" i="15"/>
  <c r="I216" i="15"/>
  <c r="I32" i="15"/>
  <c r="I84" i="15"/>
  <c r="I22" i="15"/>
  <c r="I112" i="15"/>
  <c r="I81" i="15"/>
  <c r="I19" i="15"/>
  <c r="I113" i="15"/>
  <c r="I240" i="15"/>
  <c r="I265" i="15"/>
  <c r="I267" i="15"/>
  <c r="I276" i="15"/>
  <c r="I283" i="15"/>
  <c r="I286" i="15"/>
  <c r="I295" i="15"/>
  <c r="I302" i="15"/>
  <c r="I309" i="15"/>
  <c r="I322" i="15"/>
  <c r="I328" i="15"/>
  <c r="I333" i="15"/>
  <c r="I353" i="15"/>
  <c r="I358" i="15"/>
  <c r="I368" i="15"/>
  <c r="I376" i="15"/>
  <c r="I389" i="15"/>
  <c r="I394" i="15"/>
  <c r="I397" i="15"/>
  <c r="I404" i="15"/>
  <c r="I411" i="15"/>
  <c r="I423" i="15"/>
  <c r="I427" i="15"/>
  <c r="I429" i="15"/>
  <c r="I433" i="15"/>
  <c r="I439" i="15"/>
  <c r="I444" i="15"/>
  <c r="I456" i="15"/>
  <c r="I462" i="15"/>
  <c r="S462" i="7"/>
  <c r="V462" i="7" a="1"/>
  <c r="V462" i="7" s="1"/>
  <c r="I203" i="15"/>
  <c r="I100" i="15"/>
  <c r="I229" i="15"/>
  <c r="I141" i="15"/>
  <c r="I234" i="15"/>
  <c r="I168" i="15"/>
  <c r="I152" i="15"/>
  <c r="I39" i="15"/>
  <c r="I31" i="15"/>
  <c r="I202" i="15"/>
  <c r="I24" i="15"/>
  <c r="I215" i="15"/>
  <c r="I92" i="15"/>
  <c r="I130" i="15"/>
  <c r="I210" i="15"/>
  <c r="I140" i="15"/>
  <c r="I16" i="15"/>
  <c r="I197" i="15"/>
  <c r="I219" i="15"/>
  <c r="I85" i="15"/>
  <c r="I6" i="15"/>
  <c r="I45" i="15"/>
  <c r="I102" i="15"/>
  <c r="I196" i="15"/>
  <c r="I260" i="15"/>
  <c r="I269" i="15"/>
  <c r="I271" i="15"/>
  <c r="I281" i="15"/>
  <c r="I282" i="15"/>
  <c r="I285" i="15"/>
  <c r="I305" i="15"/>
  <c r="I315" i="15"/>
  <c r="I321" i="15"/>
  <c r="I334" i="15"/>
  <c r="I339" i="15"/>
  <c r="I347" i="15"/>
  <c r="I355" i="15"/>
  <c r="I363" i="15"/>
  <c r="I367" i="15"/>
  <c r="I373" i="15"/>
  <c r="I381" i="15"/>
  <c r="I388" i="15"/>
  <c r="I401" i="15"/>
  <c r="I409" i="15"/>
  <c r="I410" i="15"/>
  <c r="I414" i="15"/>
  <c r="I416" i="15"/>
  <c r="I420" i="15"/>
  <c r="I421" i="15"/>
  <c r="I422" i="15"/>
  <c r="I428" i="15"/>
  <c r="I438" i="15"/>
  <c r="I440" i="15"/>
  <c r="I452" i="15"/>
  <c r="K471" i="15"/>
  <c r="O471" i="15"/>
  <c r="L471" i="15"/>
  <c r="N471" i="15"/>
  <c r="P471" i="15"/>
  <c r="Q471" i="15"/>
  <c r="J471" i="15" a="1"/>
  <c r="J471" i="15" s="1"/>
  <c r="R471" i="15"/>
  <c r="L470" i="15"/>
  <c r="N470" i="15"/>
  <c r="P470" i="15"/>
  <c r="Q470" i="15"/>
  <c r="O470" i="15"/>
  <c r="J470" i="15" a="1"/>
  <c r="J470" i="15" s="1"/>
  <c r="R470" i="15"/>
  <c r="K470" i="15"/>
  <c r="J466" i="15" a="1"/>
  <c r="J466" i="15" s="1"/>
  <c r="N466" i="15"/>
  <c r="L466" i="15"/>
  <c r="K466" i="15"/>
  <c r="O466" i="15"/>
  <c r="P466" i="15"/>
  <c r="Q466" i="15"/>
  <c r="R466" i="15"/>
  <c r="N465" i="15"/>
  <c r="O465" i="15"/>
  <c r="L465" i="15"/>
  <c r="P465" i="15"/>
  <c r="Q465" i="15"/>
  <c r="R465" i="15"/>
  <c r="J465" i="15" a="1"/>
  <c r="J465" i="15" s="1"/>
  <c r="K465" i="15"/>
  <c r="R469" i="15"/>
  <c r="K469" i="15"/>
  <c r="O469" i="15"/>
  <c r="P469" i="15"/>
  <c r="Q469" i="15"/>
  <c r="J469" i="15" a="1"/>
  <c r="J469" i="15" s="1"/>
  <c r="N469" i="15"/>
  <c r="L469" i="15"/>
  <c r="R467" i="15"/>
  <c r="J467" i="15" a="1"/>
  <c r="J467" i="15" s="1"/>
  <c r="L467" i="15"/>
  <c r="K467" i="15"/>
  <c r="O467" i="15"/>
  <c r="P467" i="15"/>
  <c r="Q467" i="15"/>
  <c r="N467" i="15"/>
  <c r="V459" i="7" a="1"/>
  <c r="V459" i="7" s="1"/>
  <c r="S459" i="7"/>
  <c r="V460" i="7" a="1"/>
  <c r="V460" i="7" s="1"/>
  <c r="S460" i="7"/>
  <c r="V461" i="7" a="1"/>
  <c r="V461" i="7" s="1"/>
  <c r="S461" i="7"/>
  <c r="S458" i="7"/>
  <c r="V458" i="7" a="1"/>
  <c r="V458" i="7" s="1"/>
  <c r="K468" i="15"/>
  <c r="O468" i="15"/>
  <c r="P468" i="15"/>
  <c r="Q468" i="15"/>
  <c r="R468" i="15"/>
  <c r="N468" i="15"/>
  <c r="J468" i="15" a="1"/>
  <c r="J468" i="15" s="1"/>
  <c r="L468" i="15"/>
  <c r="S457" i="7"/>
  <c r="V457" i="7" a="1"/>
  <c r="V457" i="7" s="1"/>
  <c r="K463" i="15"/>
  <c r="N463" i="15"/>
  <c r="J463" i="15" a="1"/>
  <c r="J463" i="15" s="1"/>
  <c r="P463" i="15"/>
  <c r="L463" i="15"/>
  <c r="Q463" i="15"/>
  <c r="O463" i="15"/>
  <c r="R463" i="15"/>
  <c r="S456" i="7"/>
  <c r="V456" i="7" a="1"/>
  <c r="V456" i="7" s="1"/>
  <c r="N462" i="15"/>
  <c r="J462" i="15" a="1"/>
  <c r="J462" i="15" s="1"/>
  <c r="P462" i="15"/>
  <c r="L462" i="15"/>
  <c r="Q462" i="15"/>
  <c r="K462" i="15"/>
  <c r="O462" i="15"/>
  <c r="R462" i="15"/>
  <c r="S454" i="7"/>
  <c r="V454" i="7" a="1"/>
  <c r="V454" i="7" s="1"/>
  <c r="S455" i="7"/>
  <c r="V455" i="7" a="1"/>
  <c r="V455" i="7" s="1"/>
  <c r="J461" i="15" a="1"/>
  <c r="J461" i="15" s="1"/>
  <c r="P461" i="15"/>
  <c r="Q461" i="15"/>
  <c r="L461" i="15"/>
  <c r="O461" i="15"/>
  <c r="N461" i="15"/>
  <c r="R461" i="15"/>
  <c r="K461" i="15"/>
  <c r="V453" i="7" a="1"/>
  <c r="V453" i="7" s="1"/>
  <c r="S453" i="7"/>
  <c r="R464" i="15"/>
  <c r="K464" i="15"/>
  <c r="N464" i="15"/>
  <c r="J464" i="15" a="1"/>
  <c r="J464" i="15" s="1"/>
  <c r="L464" i="15"/>
  <c r="O464" i="15"/>
  <c r="P464" i="15"/>
  <c r="Q464" i="15"/>
  <c r="P460" i="15"/>
  <c r="L460" i="15"/>
  <c r="Q460" i="15"/>
  <c r="O460" i="15"/>
  <c r="R460" i="15"/>
  <c r="K460" i="15"/>
  <c r="N460" i="15"/>
  <c r="J460" i="15" a="1"/>
  <c r="J460" i="15" s="1"/>
  <c r="V452" i="7" a="1"/>
  <c r="V452" i="7" s="1"/>
  <c r="S452" i="7"/>
  <c r="P458" i="15"/>
  <c r="Q458" i="15"/>
  <c r="N458" i="15"/>
  <c r="R458" i="15"/>
  <c r="L458" i="15"/>
  <c r="O458" i="15"/>
  <c r="K458" i="15"/>
  <c r="J458" i="15" a="1"/>
  <c r="J458" i="15" s="1"/>
  <c r="L459" i="15"/>
  <c r="O459" i="15"/>
  <c r="J459" i="15" a="1"/>
  <c r="J459" i="15" s="1"/>
  <c r="N459" i="15"/>
  <c r="R459" i="15"/>
  <c r="K459" i="15"/>
  <c r="Q459" i="15"/>
  <c r="P459" i="15"/>
  <c r="S450" i="7"/>
  <c r="V450" i="7" a="1"/>
  <c r="V450" i="7" s="1"/>
  <c r="J456" i="15" a="1"/>
  <c r="J456" i="15" s="1"/>
  <c r="Q456" i="15"/>
  <c r="N456" i="15"/>
  <c r="K456" i="15"/>
  <c r="R456" i="15"/>
  <c r="P456" i="15"/>
  <c r="L456" i="15"/>
  <c r="O456" i="15"/>
  <c r="S448" i="7"/>
  <c r="V448" i="7" a="1"/>
  <c r="V448" i="7" s="1"/>
  <c r="S451" i="7"/>
  <c r="V451" i="7" a="1"/>
  <c r="V451" i="7" s="1"/>
  <c r="P457" i="15"/>
  <c r="J457" i="15" a="1"/>
  <c r="J457" i="15" s="1"/>
  <c r="Q457" i="15"/>
  <c r="N457" i="15"/>
  <c r="L457" i="15"/>
  <c r="O457" i="15"/>
  <c r="K457" i="15"/>
  <c r="R457" i="15"/>
  <c r="S449" i="7"/>
  <c r="V449" i="7" a="1"/>
  <c r="V449" i="7" s="1"/>
  <c r="V443" i="7" a="1"/>
  <c r="V443" i="7" s="1"/>
  <c r="S443" i="7"/>
  <c r="R452" i="15"/>
  <c r="Q452" i="15"/>
  <c r="P452" i="15"/>
  <c r="L452" i="15"/>
  <c r="N452" i="15"/>
  <c r="J452" i="15" a="1"/>
  <c r="J452" i="15" s="1"/>
  <c r="O452" i="15"/>
  <c r="K452" i="15"/>
  <c r="V441" i="7" a="1"/>
  <c r="V441" i="7" s="1"/>
  <c r="S441" i="7"/>
  <c r="Q455" i="15"/>
  <c r="N455" i="15"/>
  <c r="O455" i="15"/>
  <c r="J455" i="15" a="1"/>
  <c r="J455" i="15" s="1"/>
  <c r="P455" i="15"/>
  <c r="K455" i="15"/>
  <c r="R455" i="15"/>
  <c r="L455" i="15"/>
  <c r="S442" i="7"/>
  <c r="V442" i="7" a="1"/>
  <c r="V442" i="7" s="1"/>
  <c r="V438" i="7" a="1"/>
  <c r="V438" i="7" s="1"/>
  <c r="R453" i="15"/>
  <c r="Q453" i="15"/>
  <c r="J453" i="15" a="1"/>
  <c r="J453" i="15" s="1"/>
  <c r="P453" i="15"/>
  <c r="O453" i="15"/>
  <c r="N453" i="15"/>
  <c r="L453" i="15"/>
  <c r="K453" i="15"/>
  <c r="J450" i="15" a="1"/>
  <c r="J450" i="15" s="1"/>
  <c r="P450" i="15"/>
  <c r="O450" i="15"/>
  <c r="L450" i="15"/>
  <c r="K450" i="15"/>
  <c r="N450" i="15"/>
  <c r="R450" i="15"/>
  <c r="Q450" i="15"/>
  <c r="S447" i="7"/>
  <c r="V447" i="7" a="1"/>
  <c r="V447" i="7" s="1"/>
  <c r="K454" i="15"/>
  <c r="J454" i="15" a="1"/>
  <c r="J454" i="15" s="1"/>
  <c r="R454" i="15"/>
  <c r="Q454" i="15"/>
  <c r="P454" i="15"/>
  <c r="L454" i="15"/>
  <c r="O454" i="15"/>
  <c r="N454" i="15"/>
  <c r="O449" i="15"/>
  <c r="L449" i="15"/>
  <c r="N449" i="15"/>
  <c r="K449" i="15"/>
  <c r="R449" i="15"/>
  <c r="Q449" i="15"/>
  <c r="J449" i="15" a="1"/>
  <c r="J449" i="15" s="1"/>
  <c r="P449" i="15"/>
  <c r="V446" i="7" a="1"/>
  <c r="V446" i="7" s="1"/>
  <c r="S446" i="7"/>
  <c r="S445" i="7"/>
  <c r="V445" i="7" a="1"/>
  <c r="V445" i="7" s="1"/>
  <c r="R451" i="15"/>
  <c r="Q451" i="15"/>
  <c r="J451" i="15" a="1"/>
  <c r="J451" i="15" s="1"/>
  <c r="P451" i="15"/>
  <c r="O451" i="15"/>
  <c r="K451" i="15"/>
  <c r="L451" i="15"/>
  <c r="N451" i="15"/>
  <c r="S444" i="7"/>
  <c r="V444" i="7" a="1"/>
  <c r="V444" i="7" s="1"/>
  <c r="O447" i="15"/>
  <c r="K447" i="15"/>
  <c r="L447" i="15"/>
  <c r="Q447" i="15"/>
  <c r="N447" i="15"/>
  <c r="P447" i="15"/>
  <c r="R447" i="15"/>
  <c r="K446" i="15"/>
  <c r="N446" i="15"/>
  <c r="Q446" i="15"/>
  <c r="P446" i="15"/>
  <c r="L446" i="15"/>
  <c r="R446" i="15"/>
  <c r="O446" i="15"/>
  <c r="R448" i="15"/>
  <c r="O448" i="15"/>
  <c r="L448" i="15"/>
  <c r="K448" i="15"/>
  <c r="N448" i="15"/>
  <c r="Q448" i="15"/>
  <c r="P448" i="15"/>
  <c r="K443" i="15"/>
  <c r="R443" i="15"/>
  <c r="L443" i="15"/>
  <c r="O443" i="15"/>
  <c r="Q443" i="15"/>
  <c r="N443" i="15"/>
  <c r="P443" i="15"/>
  <c r="J443" i="15" a="1"/>
  <c r="J443" i="15" s="1"/>
  <c r="K445" i="15"/>
  <c r="J445" i="15" a="1"/>
  <c r="J445" i="15" s="1"/>
  <c r="N445" i="15"/>
  <c r="P445" i="15"/>
  <c r="R445" i="15"/>
  <c r="L445" i="15"/>
  <c r="O445" i="15"/>
  <c r="Q445" i="15"/>
  <c r="S437" i="7"/>
  <c r="V437" i="7" a="1"/>
  <c r="V437" i="7" s="1"/>
  <c r="K444" i="15"/>
  <c r="P444" i="15"/>
  <c r="J444" i="15" a="1"/>
  <c r="J444" i="15" s="1"/>
  <c r="R444" i="15"/>
  <c r="L444" i="15"/>
  <c r="O444" i="15"/>
  <c r="N444" i="15"/>
  <c r="Q444" i="15"/>
  <c r="V436" i="7" a="1"/>
  <c r="V436" i="7" s="1"/>
  <c r="S436" i="7"/>
  <c r="S435" i="7"/>
  <c r="V435" i="7" a="1"/>
  <c r="V435" i="7" s="1"/>
  <c r="J442" i="15" a="1"/>
  <c r="J442" i="15" s="1"/>
  <c r="K442" i="15"/>
  <c r="O442" i="15"/>
  <c r="P442" i="15"/>
  <c r="R442" i="15"/>
  <c r="N442" i="15"/>
  <c r="L442" i="15"/>
  <c r="Q442" i="15"/>
  <c r="V434" i="7" a="1"/>
  <c r="V434" i="7" s="1"/>
  <c r="S434" i="7"/>
  <c r="N441" i="15"/>
  <c r="J441" i="15" a="1"/>
  <c r="J441" i="15" s="1"/>
  <c r="O441" i="15"/>
  <c r="K441" i="15"/>
  <c r="P441" i="15"/>
  <c r="L441" i="15"/>
  <c r="R441" i="15"/>
  <c r="Q441" i="15"/>
  <c r="S433" i="7"/>
  <c r="V433" i="7" a="1"/>
  <c r="V433" i="7" s="1"/>
  <c r="O440" i="15"/>
  <c r="L440" i="15"/>
  <c r="J440" i="15" a="1"/>
  <c r="J440" i="15" s="1"/>
  <c r="N440" i="15"/>
  <c r="Q440" i="15"/>
  <c r="K440" i="15"/>
  <c r="R440" i="15"/>
  <c r="P440" i="15"/>
  <c r="J439" i="15" a="1"/>
  <c r="J439" i="15" s="1"/>
  <c r="N439" i="15"/>
  <c r="Q439" i="15"/>
  <c r="K439" i="15"/>
  <c r="L439" i="15"/>
  <c r="R439" i="15"/>
  <c r="O439" i="15"/>
  <c r="P439" i="15"/>
  <c r="S431" i="7"/>
  <c r="V431" i="7" a="1"/>
  <c r="V431" i="7" s="1"/>
  <c r="J438" i="15" a="1"/>
  <c r="J438" i="15" s="1"/>
  <c r="N438" i="15"/>
  <c r="Q438" i="15"/>
  <c r="K438" i="15"/>
  <c r="R438" i="15"/>
  <c r="O438" i="15"/>
  <c r="P438" i="15"/>
  <c r="L438" i="15"/>
  <c r="S432" i="7"/>
  <c r="V432" i="7" a="1"/>
  <c r="V432" i="7" s="1"/>
  <c r="S430" i="7"/>
  <c r="V430" i="7" a="1"/>
  <c r="V430" i="7" s="1"/>
  <c r="J436" i="15" a="1"/>
  <c r="J436" i="15" s="1"/>
  <c r="N436" i="15"/>
  <c r="L436" i="15"/>
  <c r="Q436" i="15"/>
  <c r="P436" i="15"/>
  <c r="R436" i="15"/>
  <c r="K436" i="15"/>
  <c r="O436" i="15"/>
  <c r="J437" i="15" a="1"/>
  <c r="J437" i="15" s="1"/>
  <c r="N437" i="15"/>
  <c r="L437" i="15"/>
  <c r="Q437" i="15"/>
  <c r="P437" i="15"/>
  <c r="O437" i="15"/>
  <c r="K437" i="15"/>
  <c r="R437" i="15"/>
  <c r="V429" i="7" a="1"/>
  <c r="V429" i="7" s="1"/>
  <c r="S429" i="7"/>
  <c r="L434" i="15"/>
  <c r="Q434" i="15"/>
  <c r="P434" i="15"/>
  <c r="K434" i="15"/>
  <c r="O434" i="15"/>
  <c r="R434" i="15"/>
  <c r="N434" i="15"/>
  <c r="J434" i="15" a="1"/>
  <c r="J434" i="15" s="1"/>
  <c r="S427" i="7"/>
  <c r="V427" i="7" a="1"/>
  <c r="V427" i="7" s="1"/>
  <c r="V428" i="7" a="1"/>
  <c r="V428" i="7" s="1"/>
  <c r="S428" i="7"/>
  <c r="L435" i="15"/>
  <c r="Q435" i="15"/>
  <c r="P435" i="15"/>
  <c r="K435" i="15"/>
  <c r="O435" i="15"/>
  <c r="R435" i="15"/>
  <c r="J435" i="15" a="1"/>
  <c r="J435" i="15" s="1"/>
  <c r="N435" i="15"/>
  <c r="S426" i="7"/>
  <c r="V426" i="7" a="1"/>
  <c r="V426" i="7" s="1"/>
  <c r="P433" i="15"/>
  <c r="K433" i="15"/>
  <c r="O433" i="15"/>
  <c r="R433" i="15"/>
  <c r="J433" i="15" a="1"/>
  <c r="J433" i="15" s="1"/>
  <c r="N433" i="15"/>
  <c r="L433" i="15"/>
  <c r="Q433" i="15"/>
  <c r="S425" i="7"/>
  <c r="V425" i="7" a="1"/>
  <c r="V425" i="7" s="1"/>
  <c r="K432" i="15"/>
  <c r="L432" i="15"/>
  <c r="N432" i="15"/>
  <c r="P432" i="15"/>
  <c r="Q432" i="15"/>
  <c r="J432" i="15" a="1"/>
  <c r="J432" i="15" s="1"/>
  <c r="R432" i="15"/>
  <c r="O432" i="15"/>
  <c r="O431" i="15"/>
  <c r="L431" i="15"/>
  <c r="N431" i="15"/>
  <c r="P431" i="15"/>
  <c r="Q431" i="15"/>
  <c r="J431" i="15" a="1"/>
  <c r="J431" i="15" s="1"/>
  <c r="R431" i="15"/>
  <c r="K431" i="15"/>
  <c r="S423" i="7"/>
  <c r="V423" i="7" a="1"/>
  <c r="V423" i="7" s="1"/>
  <c r="V424" i="7" a="1"/>
  <c r="V424" i="7" s="1"/>
  <c r="S424" i="7"/>
  <c r="J430" i="15" a="1"/>
  <c r="J430" i="15" s="1"/>
  <c r="N430" i="15"/>
  <c r="O430" i="15"/>
  <c r="P430" i="15"/>
  <c r="Q430" i="15"/>
  <c r="R430" i="15"/>
  <c r="K430" i="15"/>
  <c r="L430" i="15"/>
  <c r="K429" i="15"/>
  <c r="N429" i="15"/>
  <c r="O429" i="15"/>
  <c r="J429" i="15" a="1"/>
  <c r="J429" i="15" s="1"/>
  <c r="P429" i="15"/>
  <c r="L429" i="15"/>
  <c r="Q429" i="15"/>
  <c r="R429" i="15"/>
  <c r="S422" i="7"/>
  <c r="V422" i="7" a="1"/>
  <c r="V422" i="7" s="1"/>
  <c r="S421" i="7"/>
  <c r="V421" i="7" a="1"/>
  <c r="V421" i="7" s="1"/>
  <c r="V420" i="7" a="1"/>
  <c r="V420" i="7" s="1"/>
  <c r="S420" i="7"/>
  <c r="S419" i="7"/>
  <c r="V419" i="7" a="1"/>
  <c r="V419" i="7" s="1"/>
  <c r="S418" i="7"/>
  <c r="V418" i="7" a="1"/>
  <c r="V418" i="7" s="1"/>
  <c r="O428" i="15"/>
  <c r="K428" i="15"/>
  <c r="L428" i="15"/>
  <c r="N428" i="15"/>
  <c r="J428" i="15" a="1"/>
  <c r="J428" i="15" s="1"/>
  <c r="R428" i="15"/>
  <c r="Q428" i="15"/>
  <c r="P428" i="15"/>
  <c r="L427" i="15"/>
  <c r="R427" i="15"/>
  <c r="Q427" i="15"/>
  <c r="J427" i="15" a="1"/>
  <c r="J427" i="15" s="1"/>
  <c r="K427" i="15"/>
  <c r="N427" i="15"/>
  <c r="P427" i="15"/>
  <c r="O427" i="15"/>
  <c r="N426" i="15"/>
  <c r="R426" i="15"/>
  <c r="Q426" i="15"/>
  <c r="P426" i="15"/>
  <c r="O426" i="15"/>
  <c r="J426" i="15" a="1"/>
  <c r="J426" i="15" s="1"/>
  <c r="K426" i="15"/>
  <c r="L426" i="15"/>
  <c r="J424" i="15" a="1"/>
  <c r="J424" i="15" s="1"/>
  <c r="K424" i="15"/>
  <c r="P424" i="15"/>
  <c r="R424" i="15"/>
  <c r="N424" i="15"/>
  <c r="O424" i="15"/>
  <c r="L424" i="15"/>
  <c r="Q424" i="15"/>
  <c r="N423" i="15"/>
  <c r="Q423" i="15"/>
  <c r="K423" i="15"/>
  <c r="R423" i="15"/>
  <c r="O423" i="15"/>
  <c r="L423" i="15"/>
  <c r="P423" i="15"/>
  <c r="J423" i="15" a="1"/>
  <c r="J423" i="15" s="1"/>
  <c r="J425" i="15" a="1"/>
  <c r="J425" i="15" s="1"/>
  <c r="N425" i="15"/>
  <c r="Q425" i="15"/>
  <c r="K425" i="15"/>
  <c r="P425" i="15"/>
  <c r="R425" i="15"/>
  <c r="O425" i="15"/>
  <c r="L425" i="15"/>
  <c r="S417" i="7"/>
  <c r="V417" i="7" a="1"/>
  <c r="V417" i="7" s="1"/>
  <c r="S416" i="7"/>
  <c r="V416" i="7" a="1"/>
  <c r="V416" i="7" s="1"/>
  <c r="S415" i="7"/>
  <c r="V415" i="7" a="1"/>
  <c r="V415" i="7" s="1"/>
  <c r="N422" i="15"/>
  <c r="Q422" i="15"/>
  <c r="O422" i="15"/>
  <c r="P422" i="15"/>
  <c r="J422" i="15" a="1"/>
  <c r="J422" i="15" s="1"/>
  <c r="R422" i="15"/>
  <c r="L422" i="15"/>
  <c r="K422" i="15"/>
  <c r="S414" i="7"/>
  <c r="V414" i="7" a="1"/>
  <c r="V414" i="7" s="1"/>
  <c r="L420" i="15"/>
  <c r="J420" i="15" a="1"/>
  <c r="J420" i="15" s="1"/>
  <c r="N420" i="15"/>
  <c r="K420" i="15"/>
  <c r="P420" i="15"/>
  <c r="R420" i="15"/>
  <c r="O420" i="15"/>
  <c r="Q420" i="15"/>
  <c r="Q419" i="15"/>
  <c r="P419" i="15"/>
  <c r="R419" i="15"/>
  <c r="O419" i="15"/>
  <c r="L419" i="15"/>
  <c r="J419" i="15" a="1"/>
  <c r="J419" i="15" s="1"/>
  <c r="N419" i="15"/>
  <c r="K419" i="15"/>
  <c r="S413" i="7"/>
  <c r="V413" i="7" a="1"/>
  <c r="V413" i="7" s="1"/>
  <c r="O421" i="15"/>
  <c r="L421" i="15"/>
  <c r="N421" i="15"/>
  <c r="K421" i="15"/>
  <c r="P421" i="15"/>
  <c r="R421" i="15"/>
  <c r="Q421" i="15"/>
  <c r="J421" i="15" a="1"/>
  <c r="J421" i="15" s="1"/>
  <c r="S412" i="7"/>
  <c r="V412" i="7" a="1"/>
  <c r="V412" i="7" s="1"/>
  <c r="S411" i="7"/>
  <c r="V411" i="7" a="1"/>
  <c r="V411" i="7" s="1"/>
  <c r="V403" i="7" a="1"/>
  <c r="V403" i="7" s="1"/>
  <c r="J418" i="15" a="1"/>
  <c r="J418" i="15" s="1"/>
  <c r="Q418" i="15"/>
  <c r="R418" i="15"/>
  <c r="K418" i="15"/>
  <c r="P418" i="15"/>
  <c r="O418" i="15"/>
  <c r="N418" i="15"/>
  <c r="L418" i="15"/>
  <c r="V410" i="7" a="1"/>
  <c r="V410" i="7" s="1"/>
  <c r="S410" i="7"/>
  <c r="L417" i="15"/>
  <c r="N417" i="15"/>
  <c r="P417" i="15"/>
  <c r="Q417" i="15"/>
  <c r="O417" i="15"/>
  <c r="K417" i="15"/>
  <c r="J417" i="15" a="1"/>
  <c r="J417" i="15" s="1"/>
  <c r="R417" i="15"/>
  <c r="K416" i="15"/>
  <c r="L416" i="15"/>
  <c r="N416" i="15"/>
  <c r="P416" i="15"/>
  <c r="Q416" i="15"/>
  <c r="O416" i="15"/>
  <c r="J416" i="15" a="1"/>
  <c r="J416" i="15" s="1"/>
  <c r="R416" i="15"/>
  <c r="S408" i="7"/>
  <c r="V408" i="7" a="1"/>
  <c r="V408" i="7" s="1"/>
  <c r="S409" i="7"/>
  <c r="V409" i="7" a="1"/>
  <c r="V409" i="7" s="1"/>
  <c r="K415" i="15"/>
  <c r="N415" i="15"/>
  <c r="L415" i="15"/>
  <c r="O415" i="15"/>
  <c r="J415" i="15" a="1"/>
  <c r="J415" i="15" s="1"/>
  <c r="R415" i="15"/>
  <c r="P415" i="15"/>
  <c r="Q415" i="15"/>
  <c r="K414" i="15"/>
  <c r="P414" i="15"/>
  <c r="N414" i="15"/>
  <c r="J414" i="15" a="1"/>
  <c r="J414" i="15" s="1"/>
  <c r="L414" i="15"/>
  <c r="O414" i="15"/>
  <c r="R414" i="15"/>
  <c r="Q414" i="15"/>
  <c r="S406" i="7"/>
  <c r="V406" i="7" a="1"/>
  <c r="V406" i="7" s="1"/>
  <c r="S407" i="7"/>
  <c r="V407" i="7" a="1"/>
  <c r="V407" i="7" s="1"/>
  <c r="R413" i="15"/>
  <c r="J413" i="15" a="1"/>
  <c r="J413" i="15" s="1"/>
  <c r="L413" i="15"/>
  <c r="Q413" i="15"/>
  <c r="K413" i="15"/>
  <c r="P413" i="15"/>
  <c r="N413" i="15"/>
  <c r="O413" i="15"/>
  <c r="V405" i="7" a="1"/>
  <c r="V405" i="7" s="1"/>
  <c r="S405" i="7"/>
  <c r="N412" i="15"/>
  <c r="O412" i="15"/>
  <c r="R412" i="15"/>
  <c r="Q412" i="15"/>
  <c r="P412" i="15"/>
  <c r="K412" i="15"/>
  <c r="L412" i="15"/>
  <c r="J412" i="15" a="1"/>
  <c r="J412" i="15" s="1"/>
  <c r="S404" i="7"/>
  <c r="V404" i="7" a="1"/>
  <c r="V404" i="7" s="1"/>
  <c r="N411" i="15"/>
  <c r="O411" i="15"/>
  <c r="Q411" i="15"/>
  <c r="K411" i="15"/>
  <c r="L411" i="15"/>
  <c r="P411" i="15"/>
  <c r="J411" i="15" a="1"/>
  <c r="J411" i="15" s="1"/>
  <c r="R411" i="15"/>
  <c r="L409" i="15"/>
  <c r="R409" i="15"/>
  <c r="N409" i="15"/>
  <c r="Q409" i="15"/>
  <c r="K409" i="15"/>
  <c r="J409" i="15" a="1"/>
  <c r="J409" i="15" s="1"/>
  <c r="O409" i="15"/>
  <c r="P409" i="15"/>
  <c r="L408" i="15"/>
  <c r="R408" i="15"/>
  <c r="N408" i="15"/>
  <c r="Q408" i="15"/>
  <c r="O408" i="15"/>
  <c r="P408" i="15"/>
  <c r="K408" i="15"/>
  <c r="J408" i="15" a="1"/>
  <c r="J408" i="15" s="1"/>
  <c r="S402" i="7"/>
  <c r="V402" i="7" a="1"/>
  <c r="V402" i="7" s="1"/>
  <c r="L407" i="15"/>
  <c r="R407" i="15"/>
  <c r="N407" i="15"/>
  <c r="Q407" i="15"/>
  <c r="K407" i="15"/>
  <c r="J407" i="15" a="1"/>
  <c r="J407" i="15" s="1"/>
  <c r="O407" i="15"/>
  <c r="P407" i="15"/>
  <c r="V401" i="7" a="1"/>
  <c r="V401" i="7" s="1"/>
  <c r="S401" i="7"/>
  <c r="S400" i="7"/>
  <c r="V400" i="7" a="1"/>
  <c r="V400" i="7" s="1"/>
  <c r="S399" i="7"/>
  <c r="V399" i="7" a="1"/>
  <c r="V399" i="7" s="1"/>
  <c r="L410" i="15"/>
  <c r="R410" i="15"/>
  <c r="N410" i="15"/>
  <c r="Q410" i="15"/>
  <c r="O410" i="15"/>
  <c r="P410" i="15"/>
  <c r="K410" i="15"/>
  <c r="J410" i="15" a="1"/>
  <c r="J410" i="15" s="1"/>
  <c r="P406" i="15"/>
  <c r="K406" i="15"/>
  <c r="N406" i="15"/>
  <c r="L406" i="15"/>
  <c r="Q406" i="15"/>
  <c r="O406" i="15"/>
  <c r="J406" i="15" a="1"/>
  <c r="J406" i="15" s="1"/>
  <c r="R406" i="15"/>
  <c r="Q405" i="15"/>
  <c r="K405" i="15"/>
  <c r="N405" i="15"/>
  <c r="O405" i="15"/>
  <c r="J405" i="15" a="1"/>
  <c r="J405" i="15" s="1"/>
  <c r="R405" i="15"/>
  <c r="P405" i="15"/>
  <c r="L405" i="15"/>
  <c r="S398" i="7"/>
  <c r="V398" i="7" a="1"/>
  <c r="V398" i="7" s="1"/>
  <c r="V397" i="7" a="1"/>
  <c r="V397" i="7" s="1"/>
  <c r="S397" i="7"/>
  <c r="L404" i="15"/>
  <c r="J404" i="15" a="1"/>
  <c r="J404" i="15" s="1"/>
  <c r="R404" i="15"/>
  <c r="Q404" i="15"/>
  <c r="K404" i="15"/>
  <c r="N404" i="15"/>
  <c r="O404" i="15"/>
  <c r="P404" i="15"/>
  <c r="S396" i="7"/>
  <c r="V396" i="7" a="1"/>
  <c r="V396" i="7" s="1"/>
  <c r="S395" i="7"/>
  <c r="V395" i="7" a="1"/>
  <c r="V395" i="7" s="1"/>
  <c r="Q403" i="15"/>
  <c r="P403" i="15"/>
  <c r="R403" i="15"/>
  <c r="N403" i="15"/>
  <c r="K403" i="15"/>
  <c r="L403" i="15"/>
  <c r="O403" i="15"/>
  <c r="J403" i="15" a="1"/>
  <c r="J403" i="15" s="1"/>
  <c r="J402" i="15" a="1"/>
  <c r="J402" i="15" s="1"/>
  <c r="Q402" i="15"/>
  <c r="O402" i="15"/>
  <c r="R402" i="15"/>
  <c r="K402" i="15"/>
  <c r="P402" i="15"/>
  <c r="L402" i="15"/>
  <c r="N402" i="15"/>
  <c r="K401" i="15"/>
  <c r="N401" i="15"/>
  <c r="P401" i="15"/>
  <c r="O401" i="15"/>
  <c r="J401" i="15" a="1"/>
  <c r="J401" i="15" s="1"/>
  <c r="R401" i="15"/>
  <c r="Q401" i="15"/>
  <c r="L401" i="15"/>
  <c r="V394" i="7" a="1"/>
  <c r="V394" i="7" s="1"/>
  <c r="S394" i="7"/>
  <c r="S393" i="7"/>
  <c r="V393" i="7" a="1"/>
  <c r="V393" i="7" s="1"/>
  <c r="F400" i="15"/>
  <c r="Q400" i="15"/>
  <c r="L400" i="15"/>
  <c r="J400" i="15" a="1"/>
  <c r="J400" i="15" s="1"/>
  <c r="R400" i="15"/>
  <c r="K400" i="15"/>
  <c r="O400" i="15"/>
  <c r="P400" i="15"/>
  <c r="N400" i="15"/>
  <c r="S392" i="7"/>
  <c r="V392" i="7" a="1"/>
  <c r="V392" i="7" s="1"/>
  <c r="N399" i="15"/>
  <c r="O399" i="15"/>
  <c r="P399" i="15"/>
  <c r="R399" i="15"/>
  <c r="Q399" i="15"/>
  <c r="L399" i="15"/>
  <c r="J399" i="15" a="1"/>
  <c r="J399" i="15" s="1"/>
  <c r="K399" i="15"/>
  <c r="S391" i="7"/>
  <c r="V391" i="7" a="1"/>
  <c r="V391" i="7" s="1"/>
  <c r="R398" i="15"/>
  <c r="Q398" i="15"/>
  <c r="N398" i="15"/>
  <c r="O398" i="15"/>
  <c r="P398" i="15"/>
  <c r="K398" i="15"/>
  <c r="L398" i="15"/>
  <c r="J398" i="15" a="1"/>
  <c r="J398" i="15" s="1"/>
  <c r="S390" i="7"/>
  <c r="V390" i="7" a="1"/>
  <c r="V390" i="7" s="1"/>
  <c r="J397" i="15" a="1"/>
  <c r="J397" i="15" s="1"/>
  <c r="R397" i="15"/>
  <c r="Q397" i="15"/>
  <c r="K397" i="15"/>
  <c r="P397" i="15"/>
  <c r="L397" i="15"/>
  <c r="N397" i="15"/>
  <c r="O397" i="15"/>
  <c r="S389" i="7"/>
  <c r="V389" i="7" a="1"/>
  <c r="V389" i="7" s="1"/>
  <c r="J396" i="15" a="1"/>
  <c r="J396" i="15" s="1"/>
  <c r="R396" i="15"/>
  <c r="N396" i="15"/>
  <c r="Q396" i="15"/>
  <c r="O396" i="15"/>
  <c r="K396" i="15"/>
  <c r="P396" i="15"/>
  <c r="L396" i="15"/>
  <c r="V388" i="7" a="1"/>
  <c r="V388" i="7" s="1"/>
  <c r="S388" i="7"/>
  <c r="R395" i="15"/>
  <c r="P395" i="15"/>
  <c r="L395" i="15"/>
  <c r="O395" i="15"/>
  <c r="J395" i="15" a="1"/>
  <c r="J395" i="15" s="1"/>
  <c r="Q395" i="15"/>
  <c r="K395" i="15"/>
  <c r="N395" i="15"/>
  <c r="L393" i="15"/>
  <c r="O393" i="15"/>
  <c r="F393" i="15"/>
  <c r="N393" i="15"/>
  <c r="Q393" i="15"/>
  <c r="J393" i="15" a="1"/>
  <c r="J393" i="15" s="1"/>
  <c r="R393" i="15"/>
  <c r="P393" i="15"/>
  <c r="K393" i="15"/>
  <c r="R394" i="15"/>
  <c r="P394" i="15"/>
  <c r="K394" i="15"/>
  <c r="N394" i="15"/>
  <c r="J394" i="15" a="1"/>
  <c r="J394" i="15" s="1"/>
  <c r="L394" i="15"/>
  <c r="O394" i="15"/>
  <c r="Q394" i="15"/>
  <c r="S387" i="7"/>
  <c r="V387" i="7" a="1"/>
  <c r="V387" i="7" s="1"/>
  <c r="V375" i="7" a="1"/>
  <c r="V375" i="7" s="1"/>
  <c r="V386" i="7" a="1"/>
  <c r="V386" i="7" s="1"/>
  <c r="S386" i="7"/>
  <c r="S385" i="7"/>
  <c r="V385" i="7" a="1"/>
  <c r="V385" i="7" s="1"/>
  <c r="O391" i="15"/>
  <c r="Q391" i="15"/>
  <c r="J391" i="15" a="1"/>
  <c r="J391" i="15" s="1"/>
  <c r="R391" i="15"/>
  <c r="L391" i="15"/>
  <c r="P391" i="15"/>
  <c r="K391" i="15"/>
  <c r="N391" i="15"/>
  <c r="L392" i="15"/>
  <c r="N392" i="15"/>
  <c r="P392" i="15"/>
  <c r="Q392" i="15"/>
  <c r="J392" i="15" a="1"/>
  <c r="J392" i="15" s="1"/>
  <c r="O392" i="15"/>
  <c r="R392" i="15"/>
  <c r="K392" i="15"/>
  <c r="S384" i="7"/>
  <c r="V384" i="7" a="1"/>
  <c r="V384" i="7" s="1"/>
  <c r="V383" i="7" a="1"/>
  <c r="V383" i="7" s="1"/>
  <c r="S383" i="7"/>
  <c r="J390" i="15" a="1"/>
  <c r="J390" i="15" s="1"/>
  <c r="R390" i="15"/>
  <c r="N390" i="15"/>
  <c r="O390" i="15"/>
  <c r="K390" i="15"/>
  <c r="Q390" i="15"/>
  <c r="P390" i="15"/>
  <c r="L390" i="15"/>
  <c r="S382" i="7"/>
  <c r="V382" i="7" a="1"/>
  <c r="V382" i="7" s="1"/>
  <c r="O388" i="15"/>
  <c r="L388" i="15"/>
  <c r="J388" i="15" a="1"/>
  <c r="J388" i="15" s="1"/>
  <c r="N388" i="15"/>
  <c r="Q388" i="15"/>
  <c r="K388" i="15"/>
  <c r="R388" i="15"/>
  <c r="P388" i="15"/>
  <c r="L387" i="15"/>
  <c r="N387" i="15"/>
  <c r="J387" i="15" a="1"/>
  <c r="J387" i="15" s="1"/>
  <c r="Q387" i="15"/>
  <c r="K387" i="15"/>
  <c r="R387" i="15"/>
  <c r="P387" i="15"/>
  <c r="O387" i="15"/>
  <c r="S379" i="7"/>
  <c r="V379" i="7" a="1"/>
  <c r="V379" i="7" s="1"/>
  <c r="S381" i="7"/>
  <c r="V381" i="7" a="1"/>
  <c r="V381" i="7" s="1"/>
  <c r="P389" i="15"/>
  <c r="O389" i="15"/>
  <c r="L389" i="15"/>
  <c r="J389" i="15" a="1"/>
  <c r="J389" i="15" s="1"/>
  <c r="N389" i="15"/>
  <c r="Q389" i="15"/>
  <c r="R389" i="15"/>
  <c r="K389" i="15"/>
  <c r="S380" i="7"/>
  <c r="V380" i="7" a="1"/>
  <c r="V380" i="7" s="1"/>
  <c r="K386" i="15"/>
  <c r="N386" i="15"/>
  <c r="O386" i="15"/>
  <c r="J386" i="15" a="1"/>
  <c r="J386" i="15" s="1"/>
  <c r="P386" i="15"/>
  <c r="R386" i="15"/>
  <c r="L386" i="15"/>
  <c r="F386" i="15"/>
  <c r="Q386" i="15"/>
  <c r="K385" i="15"/>
  <c r="O385" i="15"/>
  <c r="L385" i="15"/>
  <c r="J385" i="15" a="1"/>
  <c r="J385" i="15" s="1"/>
  <c r="R385" i="15"/>
  <c r="P385" i="15"/>
  <c r="Q385" i="15"/>
  <c r="N385" i="15"/>
  <c r="S378" i="7"/>
  <c r="V378" i="7" a="1"/>
  <c r="V378" i="7" s="1"/>
  <c r="S377" i="7"/>
  <c r="V377" i="7" a="1"/>
  <c r="V377" i="7" s="1"/>
  <c r="J382" i="15" a="1"/>
  <c r="J382" i="15" s="1"/>
  <c r="Q382" i="15"/>
  <c r="N382" i="15"/>
  <c r="K382" i="15"/>
  <c r="P382" i="15"/>
  <c r="R382" i="15"/>
  <c r="L382" i="15"/>
  <c r="O382" i="15"/>
  <c r="O384" i="15"/>
  <c r="L384" i="15"/>
  <c r="J384" i="15" a="1"/>
  <c r="J384" i="15" s="1"/>
  <c r="Q384" i="15"/>
  <c r="N384" i="15"/>
  <c r="K384" i="15"/>
  <c r="P384" i="15"/>
  <c r="R384" i="15"/>
  <c r="L383" i="15"/>
  <c r="J383" i="15" a="1"/>
  <c r="J383" i="15" s="1"/>
  <c r="Q383" i="15"/>
  <c r="N383" i="15"/>
  <c r="K383" i="15"/>
  <c r="P383" i="15"/>
  <c r="O383" i="15"/>
  <c r="R383" i="15"/>
  <c r="V376" i="7" a="1"/>
  <c r="V376" i="7" s="1"/>
  <c r="S376" i="7"/>
  <c r="S374" i="7"/>
  <c r="V374" i="7" a="1"/>
  <c r="V374" i="7" s="1"/>
  <c r="K381" i="15"/>
  <c r="P381" i="15"/>
  <c r="L381" i="15"/>
  <c r="J381" i="15" a="1"/>
  <c r="J381" i="15" s="1"/>
  <c r="R381" i="15"/>
  <c r="Q381" i="15"/>
  <c r="N381" i="15"/>
  <c r="O381" i="15"/>
  <c r="S373" i="7"/>
  <c r="V373" i="7" a="1"/>
  <c r="V373" i="7" s="1"/>
  <c r="O380" i="15"/>
  <c r="Q380" i="15"/>
  <c r="K380" i="15"/>
  <c r="L380" i="15"/>
  <c r="P380" i="15"/>
  <c r="R380" i="15"/>
  <c r="J380" i="15" a="1"/>
  <c r="J380" i="15" s="1"/>
  <c r="N380" i="15"/>
  <c r="V372" i="7" a="1"/>
  <c r="V372" i="7" s="1"/>
  <c r="S372" i="7"/>
  <c r="P379" i="15"/>
  <c r="K379" i="15"/>
  <c r="J379" i="15" a="1"/>
  <c r="J379" i="15" s="1"/>
  <c r="O379" i="15"/>
  <c r="L379" i="15"/>
  <c r="R379" i="15"/>
  <c r="N379" i="15"/>
  <c r="Q379" i="15"/>
  <c r="J377" i="15" a="1"/>
  <c r="J377" i="15" s="1"/>
  <c r="O377" i="15"/>
  <c r="L377" i="15"/>
  <c r="N377" i="15"/>
  <c r="Q377" i="15"/>
  <c r="P377" i="15"/>
  <c r="K377" i="15"/>
  <c r="R377" i="15"/>
  <c r="L376" i="15"/>
  <c r="R376" i="15"/>
  <c r="N376" i="15"/>
  <c r="Q376" i="15"/>
  <c r="P376" i="15"/>
  <c r="K376" i="15"/>
  <c r="J376" i="15" a="1"/>
  <c r="J376" i="15" s="1"/>
  <c r="O376" i="15"/>
  <c r="K378" i="15"/>
  <c r="J378" i="15" a="1"/>
  <c r="J378" i="15" s="1"/>
  <c r="O378" i="15"/>
  <c r="L378" i="15"/>
  <c r="R378" i="15"/>
  <c r="N378" i="15"/>
  <c r="Q378" i="15"/>
  <c r="P378" i="15"/>
  <c r="S371" i="7"/>
  <c r="V371" i="7" a="1"/>
  <c r="V371" i="7" s="1"/>
  <c r="V363" i="7" a="1"/>
  <c r="V363" i="7" s="1"/>
  <c r="J371" i="15" a="1"/>
  <c r="J371" i="15" s="1"/>
  <c r="S370" i="7"/>
  <c r="V370" i="7" a="1"/>
  <c r="V370" i="7" s="1"/>
  <c r="S369" i="7"/>
  <c r="V369" i="7" a="1"/>
  <c r="V369" i="7" s="1"/>
  <c r="S368" i="7"/>
  <c r="V368" i="7" a="1"/>
  <c r="V368" i="7" s="1"/>
  <c r="S367" i="7"/>
  <c r="V367" i="7" a="1"/>
  <c r="V367" i="7" s="1"/>
  <c r="K375" i="15"/>
  <c r="N375" i="15"/>
  <c r="P375" i="15"/>
  <c r="Q375" i="15"/>
  <c r="J375" i="15" a="1"/>
  <c r="J375" i="15" s="1"/>
  <c r="R375" i="15"/>
  <c r="L375" i="15"/>
  <c r="O375" i="15"/>
  <c r="P374" i="15"/>
  <c r="K374" i="15"/>
  <c r="N374" i="15"/>
  <c r="R374" i="15"/>
  <c r="L374" i="15"/>
  <c r="O374" i="15"/>
  <c r="Q374" i="15"/>
  <c r="J374" i="15" a="1"/>
  <c r="J374" i="15" s="1"/>
  <c r="R373" i="15"/>
  <c r="P373" i="15"/>
  <c r="L373" i="15"/>
  <c r="O373" i="15"/>
  <c r="N373" i="15"/>
  <c r="J373" i="15" a="1"/>
  <c r="J373" i="15" s="1"/>
  <c r="Q373" i="15"/>
  <c r="K373" i="15"/>
  <c r="S366" i="7"/>
  <c r="V366" i="7" a="1"/>
  <c r="V366" i="7" s="1"/>
  <c r="V365" i="7" a="1"/>
  <c r="V365" i="7" s="1"/>
  <c r="S365" i="7"/>
  <c r="J372" i="15" a="1"/>
  <c r="J372" i="15" s="1"/>
  <c r="R372" i="15"/>
  <c r="Q372" i="15"/>
  <c r="N372" i="15"/>
  <c r="O372" i="15"/>
  <c r="K372" i="15"/>
  <c r="P372" i="15"/>
  <c r="L372" i="15"/>
  <c r="S364" i="7"/>
  <c r="V364" i="7" a="1"/>
  <c r="V364" i="7" s="1"/>
  <c r="K371" i="15"/>
  <c r="L371" i="15"/>
  <c r="R371" i="15"/>
  <c r="O371" i="15"/>
  <c r="N371" i="15"/>
  <c r="Q371" i="15"/>
  <c r="P371" i="15"/>
  <c r="L370" i="15"/>
  <c r="O370" i="15"/>
  <c r="Q370" i="15"/>
  <c r="J370" i="15" a="1"/>
  <c r="J370" i="15" s="1"/>
  <c r="P370" i="15"/>
  <c r="K370" i="15"/>
  <c r="N370" i="15"/>
  <c r="R370" i="15"/>
  <c r="J368" i="15" a="1"/>
  <c r="J368" i="15" s="1"/>
  <c r="P368" i="15"/>
  <c r="N368" i="15"/>
  <c r="K368" i="15"/>
  <c r="L368" i="15"/>
  <c r="O368" i="15"/>
  <c r="Q368" i="15"/>
  <c r="R368" i="15"/>
  <c r="P369" i="15"/>
  <c r="O369" i="15"/>
  <c r="J369" i="15" a="1"/>
  <c r="J369" i="15" s="1"/>
  <c r="L369" i="15"/>
  <c r="K369" i="15"/>
  <c r="N369" i="15"/>
  <c r="R369" i="15"/>
  <c r="Q369" i="15"/>
  <c r="S362" i="7"/>
  <c r="V362" i="7" a="1"/>
  <c r="V362" i="7" s="1"/>
  <c r="S361" i="7"/>
  <c r="V361" i="7" a="1"/>
  <c r="V361" i="7" s="1"/>
  <c r="S360" i="7"/>
  <c r="V360" i="7" a="1"/>
  <c r="V360" i="7" s="1"/>
  <c r="S359" i="7"/>
  <c r="V359" i="7" a="1"/>
  <c r="V359" i="7" s="1"/>
  <c r="Q367" i="15"/>
  <c r="J367" i="15" a="1"/>
  <c r="J367" i="15" s="1"/>
  <c r="N367" i="15"/>
  <c r="L367" i="15"/>
  <c r="K367" i="15"/>
  <c r="R367" i="15"/>
  <c r="O367" i="15"/>
  <c r="P367" i="15"/>
  <c r="K366" i="15"/>
  <c r="P366" i="15"/>
  <c r="L366" i="15"/>
  <c r="J366" i="15" a="1"/>
  <c r="J366" i="15" s="1"/>
  <c r="R366" i="15"/>
  <c r="Q366" i="15"/>
  <c r="O366" i="15"/>
  <c r="N366" i="15"/>
  <c r="V358" i="7" a="1"/>
  <c r="V358" i="7" s="1"/>
  <c r="S358" i="7"/>
  <c r="R365" i="15"/>
  <c r="Q365" i="15"/>
  <c r="K365" i="15"/>
  <c r="N365" i="15"/>
  <c r="L365" i="15"/>
  <c r="J365" i="15" a="1"/>
  <c r="J365" i="15" s="1"/>
  <c r="O365" i="15"/>
  <c r="P365" i="15"/>
  <c r="V357" i="7" a="1"/>
  <c r="V357" i="7" s="1"/>
  <c r="S357" i="7"/>
  <c r="O364" i="15"/>
  <c r="P364" i="15"/>
  <c r="R364" i="15"/>
  <c r="K364" i="15"/>
  <c r="Q364" i="15"/>
  <c r="N364" i="15"/>
  <c r="L364" i="15"/>
  <c r="J364" i="15" a="1"/>
  <c r="J364" i="15" s="1"/>
  <c r="S356" i="7"/>
  <c r="V356" i="7" a="1"/>
  <c r="V356" i="7" s="1"/>
  <c r="L363" i="15"/>
  <c r="Q363" i="15"/>
  <c r="N363" i="15"/>
  <c r="R363" i="15"/>
  <c r="O363" i="15"/>
  <c r="P363" i="15"/>
  <c r="J363" i="15" a="1"/>
  <c r="J363" i="15" s="1"/>
  <c r="K363" i="15"/>
  <c r="S355" i="7"/>
  <c r="V355" i="7" a="1"/>
  <c r="V355" i="7" s="1"/>
  <c r="R362" i="15"/>
  <c r="K362" i="15"/>
  <c r="L362" i="15"/>
  <c r="Q362" i="15"/>
  <c r="O362" i="15"/>
  <c r="J362" i="15" a="1"/>
  <c r="J362" i="15" s="1"/>
  <c r="P362" i="15"/>
  <c r="N362" i="15"/>
  <c r="R361" i="15"/>
  <c r="K361" i="15"/>
  <c r="P361" i="15"/>
  <c r="L361" i="15"/>
  <c r="N361" i="15"/>
  <c r="Q361" i="15"/>
  <c r="O361" i="15"/>
  <c r="J361" i="15" a="1"/>
  <c r="J361" i="15" s="1"/>
  <c r="S354" i="7"/>
  <c r="V354" i="7" a="1"/>
  <c r="V354" i="7" s="1"/>
  <c r="S353" i="7"/>
  <c r="V353" i="7" a="1"/>
  <c r="V353" i="7" s="1"/>
  <c r="P360" i="15"/>
  <c r="O360" i="15"/>
  <c r="K360" i="15"/>
  <c r="J360" i="15" a="1"/>
  <c r="J360" i="15" s="1"/>
  <c r="L360" i="15"/>
  <c r="R360" i="15"/>
  <c r="Q360" i="15"/>
  <c r="N360" i="15"/>
  <c r="V352" i="7" a="1"/>
  <c r="V352" i="7" s="1"/>
  <c r="S352" i="7"/>
  <c r="K359" i="15"/>
  <c r="L359" i="15"/>
  <c r="J359" i="15" a="1"/>
  <c r="J359" i="15" s="1"/>
  <c r="R359" i="15"/>
  <c r="P359" i="15"/>
  <c r="Q359" i="15"/>
  <c r="O359" i="15"/>
  <c r="N359" i="15"/>
  <c r="J358" i="15" a="1"/>
  <c r="J358" i="15" s="1"/>
  <c r="L358" i="15"/>
  <c r="N358" i="15"/>
  <c r="O358" i="15"/>
  <c r="R358" i="15"/>
  <c r="P358" i="15"/>
  <c r="Q358" i="15"/>
  <c r="K358" i="15"/>
  <c r="V351" i="7" a="1"/>
  <c r="V351" i="7" s="1"/>
  <c r="S351" i="7"/>
  <c r="V350" i="7" a="1"/>
  <c r="V350" i="7" s="1"/>
  <c r="S350" i="7"/>
  <c r="O357" i="15"/>
  <c r="Q357" i="15"/>
  <c r="K357" i="15"/>
  <c r="R357" i="15"/>
  <c r="N357" i="15"/>
  <c r="L357" i="15"/>
  <c r="P357" i="15"/>
  <c r="J357" i="15" a="1"/>
  <c r="J357" i="15" s="1"/>
  <c r="S349" i="7"/>
  <c r="V349" i="7" a="1"/>
  <c r="V349" i="7" s="1"/>
  <c r="R356" i="15"/>
  <c r="Q356" i="15"/>
  <c r="N356" i="15"/>
  <c r="P356" i="15"/>
  <c r="K356" i="15"/>
  <c r="J356" i="15" a="1"/>
  <c r="J356" i="15" s="1"/>
  <c r="O356" i="15"/>
  <c r="L356" i="15"/>
  <c r="V348" i="7" a="1"/>
  <c r="V348" i="7" s="1"/>
  <c r="S348" i="7"/>
  <c r="K354" i="15"/>
  <c r="O354" i="15"/>
  <c r="P354" i="15"/>
  <c r="Q354" i="15"/>
  <c r="L354" i="15"/>
  <c r="N354" i="15"/>
  <c r="J354" i="15" a="1"/>
  <c r="J354" i="15" s="1"/>
  <c r="R354" i="15"/>
  <c r="J355" i="15" a="1"/>
  <c r="J355" i="15" s="1"/>
  <c r="K355" i="15"/>
  <c r="Q355" i="15"/>
  <c r="O355" i="15"/>
  <c r="R355" i="15"/>
  <c r="L355" i="15"/>
  <c r="P355" i="15"/>
  <c r="N355" i="15"/>
  <c r="V347" i="7" a="1"/>
  <c r="V347" i="7" s="1"/>
  <c r="S347" i="7"/>
  <c r="S346" i="7"/>
  <c r="V346" i="7" a="1"/>
  <c r="V346" i="7" s="1"/>
  <c r="K351" i="15"/>
  <c r="N351" i="15"/>
  <c r="P351" i="15"/>
  <c r="Q351" i="15"/>
  <c r="R351" i="15"/>
  <c r="J351" i="15" a="1"/>
  <c r="J351" i="15" s="1"/>
  <c r="L351" i="15"/>
  <c r="O351" i="15"/>
  <c r="J353" i="15" a="1"/>
  <c r="J353" i="15" s="1"/>
  <c r="R353" i="15"/>
  <c r="Q353" i="15"/>
  <c r="P353" i="15"/>
  <c r="L353" i="15"/>
  <c r="O353" i="15"/>
  <c r="N353" i="15"/>
  <c r="K353" i="15"/>
  <c r="V334" i="7" a="1"/>
  <c r="V334" i="7" s="1"/>
  <c r="S345" i="7"/>
  <c r="V345" i="7" a="1"/>
  <c r="V345" i="7" s="1"/>
  <c r="N352" i="15"/>
  <c r="L352" i="15"/>
  <c r="O352" i="15"/>
  <c r="Q352" i="15"/>
  <c r="J352" i="15" a="1"/>
  <c r="J352" i="15" s="1"/>
  <c r="K352" i="15"/>
  <c r="P352" i="15"/>
  <c r="R352" i="15"/>
  <c r="V344" i="7" a="1"/>
  <c r="V344" i="7" s="1"/>
  <c r="S344" i="7"/>
  <c r="S343" i="7"/>
  <c r="V343" i="7" a="1"/>
  <c r="V343" i="7" s="1"/>
  <c r="L350" i="15"/>
  <c r="J350" i="15" a="1"/>
  <c r="J350" i="15" s="1"/>
  <c r="N350" i="15"/>
  <c r="P350" i="15"/>
  <c r="K350" i="15"/>
  <c r="O350" i="15"/>
  <c r="R350" i="15"/>
  <c r="Q350" i="15"/>
  <c r="S342" i="7"/>
  <c r="V342" i="7" a="1"/>
  <c r="V342" i="7" s="1"/>
  <c r="K349" i="15"/>
  <c r="L349" i="15"/>
  <c r="P349" i="15"/>
  <c r="J349" i="15" a="1"/>
  <c r="J349" i="15" s="1"/>
  <c r="R349" i="15"/>
  <c r="N349" i="15"/>
  <c r="O349" i="15"/>
  <c r="Q349" i="15"/>
  <c r="V341" i="7" a="1"/>
  <c r="V341" i="7" s="1"/>
  <c r="S341" i="7"/>
  <c r="L348" i="15"/>
  <c r="N348" i="15"/>
  <c r="O348" i="15"/>
  <c r="J348" i="15" a="1"/>
  <c r="J348" i="15" s="1"/>
  <c r="R348" i="15"/>
  <c r="P348" i="15"/>
  <c r="K348" i="15"/>
  <c r="Q348" i="15"/>
  <c r="O347" i="15"/>
  <c r="J347" i="15" a="1"/>
  <c r="J347" i="15" s="1"/>
  <c r="R347" i="15"/>
  <c r="K347" i="15"/>
  <c r="Q347" i="15"/>
  <c r="L347" i="15"/>
  <c r="N347" i="15"/>
  <c r="P347" i="15"/>
  <c r="S340" i="7"/>
  <c r="V340" i="7" a="1"/>
  <c r="V340" i="7" s="1"/>
  <c r="S339" i="7"/>
  <c r="V339" i="7" a="1"/>
  <c r="V339" i="7" s="1"/>
  <c r="J346" i="15" a="1"/>
  <c r="J346" i="15" s="1"/>
  <c r="O346" i="15"/>
  <c r="P346" i="15"/>
  <c r="N346" i="15"/>
  <c r="L346" i="15"/>
  <c r="Q346" i="15"/>
  <c r="R346" i="15"/>
  <c r="K346" i="15"/>
  <c r="J345" i="15" a="1"/>
  <c r="J345" i="15" s="1"/>
  <c r="N345" i="15"/>
  <c r="O345" i="15"/>
  <c r="L345" i="15"/>
  <c r="P345" i="15"/>
  <c r="Q345" i="15"/>
  <c r="R345" i="15"/>
  <c r="K345" i="15"/>
  <c r="S338" i="7"/>
  <c r="V338" i="7" a="1"/>
  <c r="V338" i="7" s="1"/>
  <c r="V337" i="7" a="1"/>
  <c r="V337" i="7" s="1"/>
  <c r="S337" i="7"/>
  <c r="L343" i="15"/>
  <c r="N343" i="15"/>
  <c r="Q343" i="15"/>
  <c r="J343" i="15" a="1"/>
  <c r="J343" i="15" s="1"/>
  <c r="O343" i="15"/>
  <c r="R343" i="15"/>
  <c r="K343" i="15"/>
  <c r="P343" i="15"/>
  <c r="P344" i="15"/>
  <c r="R344" i="15"/>
  <c r="L344" i="15"/>
  <c r="N344" i="15"/>
  <c r="Q344" i="15"/>
  <c r="J344" i="15" a="1"/>
  <c r="J344" i="15" s="1"/>
  <c r="O344" i="15"/>
  <c r="K344" i="15"/>
  <c r="V335" i="7" a="1"/>
  <c r="V335" i="7" s="1"/>
  <c r="S335" i="7"/>
  <c r="V336" i="7" a="1"/>
  <c r="V336" i="7" s="1"/>
  <c r="S336" i="7"/>
  <c r="J342" i="15" a="1"/>
  <c r="J342" i="15" s="1"/>
  <c r="P342" i="15"/>
  <c r="N342" i="15"/>
  <c r="O342" i="15"/>
  <c r="K342" i="15"/>
  <c r="L342" i="15"/>
  <c r="R342" i="15"/>
  <c r="Q342" i="15"/>
  <c r="J341" i="15" a="1"/>
  <c r="J341" i="15" s="1"/>
  <c r="R341" i="15"/>
  <c r="N341" i="15"/>
  <c r="O341" i="15"/>
  <c r="Q341" i="15"/>
  <c r="K341" i="15"/>
  <c r="L341" i="15"/>
  <c r="P341" i="15"/>
  <c r="V333" i="7" a="1"/>
  <c r="V333" i="7" s="1"/>
  <c r="S333" i="7"/>
  <c r="Q340" i="15"/>
  <c r="L340" i="15"/>
  <c r="J340" i="15" a="1"/>
  <c r="J340" i="15" s="1"/>
  <c r="R340" i="15"/>
  <c r="O340" i="15"/>
  <c r="K340" i="15"/>
  <c r="P340" i="15"/>
  <c r="N340" i="15"/>
  <c r="S332" i="7"/>
  <c r="V332" i="7" a="1"/>
  <c r="V332" i="7" s="1"/>
  <c r="Q339" i="15"/>
  <c r="R339" i="15"/>
  <c r="K339" i="15"/>
  <c r="L339" i="15"/>
  <c r="N339" i="15"/>
  <c r="P339" i="15"/>
  <c r="O339" i="15"/>
  <c r="J339" i="15" a="1"/>
  <c r="J339" i="15" s="1"/>
  <c r="R338" i="15"/>
  <c r="O338" i="15"/>
  <c r="L338" i="15"/>
  <c r="N338" i="15"/>
  <c r="P338" i="15"/>
  <c r="Q338" i="15"/>
  <c r="J338" i="15" a="1"/>
  <c r="J338" i="15" s="1"/>
  <c r="K338" i="15"/>
  <c r="S330" i="7"/>
  <c r="V330" i="7" a="1"/>
  <c r="V330" i="7" s="1"/>
  <c r="V331" i="7" a="1"/>
  <c r="V331" i="7" s="1"/>
  <c r="S331" i="7"/>
  <c r="S326" i="7"/>
  <c r="V329" i="7" a="1"/>
  <c r="V329" i="7" s="1"/>
  <c r="S329" i="7"/>
  <c r="V328" i="7" a="1"/>
  <c r="V328" i="7" s="1"/>
  <c r="S328" i="7"/>
  <c r="J337" i="15" a="1"/>
  <c r="J337" i="15" s="1"/>
  <c r="R337" i="15"/>
  <c r="Q337" i="15"/>
  <c r="L337" i="15"/>
  <c r="O337" i="15"/>
  <c r="K337" i="15"/>
  <c r="P337" i="15"/>
  <c r="N337" i="15"/>
  <c r="R336" i="15"/>
  <c r="K336" i="15"/>
  <c r="P336" i="15"/>
  <c r="Q336" i="15"/>
  <c r="L336" i="15"/>
  <c r="N336" i="15"/>
  <c r="O336" i="15"/>
  <c r="J336" i="15" a="1"/>
  <c r="J336" i="15" s="1"/>
  <c r="P335" i="15"/>
  <c r="K335" i="15"/>
  <c r="R335" i="15"/>
  <c r="Q335" i="15"/>
  <c r="N335" i="15"/>
  <c r="L335" i="15"/>
  <c r="J335" i="15" a="1"/>
  <c r="J335" i="15" s="1"/>
  <c r="O335" i="15"/>
  <c r="S327" i="7"/>
  <c r="V327" i="7" a="1"/>
  <c r="V327" i="7" s="1"/>
  <c r="K334" i="15"/>
  <c r="P334" i="15"/>
  <c r="L334" i="15"/>
  <c r="R334" i="15"/>
  <c r="Q334" i="15"/>
  <c r="O334" i="15"/>
  <c r="J334" i="15" a="1"/>
  <c r="J334" i="15" s="1"/>
  <c r="N334" i="15"/>
  <c r="V324" i="7" a="1"/>
  <c r="V324" i="7" s="1"/>
  <c r="S325" i="7"/>
  <c r="V325" i="7" a="1"/>
  <c r="V325" i="7" s="1"/>
  <c r="K333" i="15"/>
  <c r="P333" i="15"/>
  <c r="J333" i="15" a="1"/>
  <c r="J333" i="15" s="1"/>
  <c r="L333" i="15"/>
  <c r="R333" i="15"/>
  <c r="Q333" i="15"/>
  <c r="N333" i="15"/>
  <c r="O333" i="15"/>
  <c r="L332" i="15"/>
  <c r="J332" i="15" a="1"/>
  <c r="J332" i="15" s="1"/>
  <c r="R332" i="15"/>
  <c r="Q332" i="15"/>
  <c r="N332" i="15"/>
  <c r="O332" i="15"/>
  <c r="P332" i="15"/>
  <c r="K332" i="15"/>
  <c r="K331" i="15"/>
  <c r="L331" i="15"/>
  <c r="N331" i="15"/>
  <c r="P331" i="15"/>
  <c r="O331" i="15"/>
  <c r="J331" i="15" a="1"/>
  <c r="J331" i="15" s="1"/>
  <c r="Q331" i="15"/>
  <c r="R331" i="15"/>
  <c r="L330" i="15"/>
  <c r="N330" i="15"/>
  <c r="P330" i="15"/>
  <c r="O330" i="15"/>
  <c r="Q330" i="15"/>
  <c r="R330" i="15"/>
  <c r="J330" i="15" a="1"/>
  <c r="J330" i="15" s="1"/>
  <c r="K330" i="15"/>
  <c r="S322" i="7"/>
  <c r="V322" i="7" a="1"/>
  <c r="V322" i="7" s="1"/>
  <c r="V323" i="7" a="1"/>
  <c r="V323" i="7" s="1"/>
  <c r="S323" i="7"/>
  <c r="S321" i="7"/>
  <c r="V321" i="7" a="1"/>
  <c r="V321" i="7" s="1"/>
  <c r="J329" i="15" a="1"/>
  <c r="J329" i="15" s="1"/>
  <c r="R329" i="15"/>
  <c r="Q329" i="15"/>
  <c r="P329" i="15"/>
  <c r="L329" i="15"/>
  <c r="N329" i="15"/>
  <c r="O329" i="15"/>
  <c r="K329" i="15"/>
  <c r="S320" i="7"/>
  <c r="V320" i="7" a="1"/>
  <c r="V320" i="7" s="1"/>
  <c r="S319" i="7"/>
  <c r="V319" i="7" a="1"/>
  <c r="V319" i="7" s="1"/>
  <c r="J328" i="15" a="1"/>
  <c r="J328" i="15" s="1"/>
  <c r="Q328" i="15"/>
  <c r="R328" i="15"/>
  <c r="K328" i="15"/>
  <c r="O328" i="15"/>
  <c r="L328" i="15"/>
  <c r="N328" i="15"/>
  <c r="P328" i="15"/>
  <c r="J327" i="15" a="1"/>
  <c r="J327" i="15" s="1"/>
  <c r="R327" i="15"/>
  <c r="Q327" i="15"/>
  <c r="K327" i="15"/>
  <c r="O327" i="15"/>
  <c r="L327" i="15"/>
  <c r="N327" i="15"/>
  <c r="P327" i="15"/>
  <c r="V318" i="7" a="1"/>
  <c r="V318" i="7" s="1"/>
  <c r="S318" i="7"/>
  <c r="V317" i="7" a="1"/>
  <c r="V317" i="7" s="1"/>
  <c r="S317" i="7"/>
  <c r="J326" i="15" a="1"/>
  <c r="J326" i="15" s="1"/>
  <c r="R326" i="15"/>
  <c r="P326" i="15"/>
  <c r="Q326" i="15"/>
  <c r="K326" i="15"/>
  <c r="O326" i="15"/>
  <c r="L326" i="15"/>
  <c r="N326" i="15"/>
  <c r="R325" i="15"/>
  <c r="P325" i="15"/>
  <c r="Q325" i="15"/>
  <c r="K325" i="15"/>
  <c r="O325" i="15"/>
  <c r="L325" i="15"/>
  <c r="N325" i="15"/>
  <c r="J325" i="15" a="1"/>
  <c r="J325" i="15" s="1"/>
  <c r="S315" i="7"/>
  <c r="V310" i="7" a="1"/>
  <c r="V310" i="7" s="1"/>
  <c r="J324" i="15" a="1"/>
  <c r="J324" i="15" s="1"/>
  <c r="O324" i="15"/>
  <c r="R324" i="15"/>
  <c r="K324" i="15"/>
  <c r="P324" i="15"/>
  <c r="L324" i="15"/>
  <c r="N324" i="15"/>
  <c r="Q324" i="15"/>
  <c r="R323" i="15"/>
  <c r="O323" i="15"/>
  <c r="K323" i="15"/>
  <c r="J323" i="15" a="1"/>
  <c r="J323" i="15" s="1"/>
  <c r="P323" i="15"/>
  <c r="L323" i="15"/>
  <c r="N323" i="15"/>
  <c r="Q323" i="15"/>
  <c r="S316" i="7"/>
  <c r="V316" i="7" a="1"/>
  <c r="V316" i="7" s="1"/>
  <c r="S312" i="7"/>
  <c r="V312" i="7" a="1"/>
  <c r="V312" i="7" s="1"/>
  <c r="R322" i="15"/>
  <c r="L322" i="15"/>
  <c r="Q322" i="15"/>
  <c r="N322" i="15"/>
  <c r="J322" i="15" a="1"/>
  <c r="J322" i="15" s="1"/>
  <c r="P322" i="15"/>
  <c r="K322" i="15"/>
  <c r="O322" i="15"/>
  <c r="K321" i="15"/>
  <c r="J321" i="15" a="1"/>
  <c r="J321" i="15" s="1"/>
  <c r="O321" i="15"/>
  <c r="R321" i="15"/>
  <c r="Q321" i="15"/>
  <c r="L321" i="15"/>
  <c r="P321" i="15"/>
  <c r="N321" i="15"/>
  <c r="V314" i="7" a="1"/>
  <c r="V314" i="7" s="1"/>
  <c r="S314" i="7"/>
  <c r="V313" i="7" a="1"/>
  <c r="V313" i="7" s="1"/>
  <c r="S313" i="7"/>
  <c r="L320" i="15"/>
  <c r="J320" i="15" a="1"/>
  <c r="J320" i="15" s="1"/>
  <c r="N320" i="15"/>
  <c r="O320" i="15"/>
  <c r="R320" i="15"/>
  <c r="P320" i="15"/>
  <c r="Q320" i="15"/>
  <c r="K320" i="15"/>
  <c r="S311" i="7"/>
  <c r="V311" i="7" a="1"/>
  <c r="V311" i="7" s="1"/>
  <c r="J315" i="15" a="1"/>
  <c r="J315" i="15" s="1"/>
  <c r="R315" i="15"/>
  <c r="Q315" i="15"/>
  <c r="O315" i="15"/>
  <c r="N315" i="15"/>
  <c r="P315" i="15"/>
  <c r="L315" i="15"/>
  <c r="K315" i="15"/>
  <c r="L108" i="15"/>
  <c r="K108" i="15"/>
  <c r="L136" i="15"/>
  <c r="K136" i="15"/>
  <c r="L180" i="15"/>
  <c r="K180" i="15"/>
  <c r="L78" i="15"/>
  <c r="K78" i="15"/>
  <c r="L34" i="15"/>
  <c r="K34" i="15"/>
  <c r="L184" i="15"/>
  <c r="K184" i="15"/>
  <c r="L224" i="15"/>
  <c r="K224" i="15"/>
  <c r="L160" i="15"/>
  <c r="K160" i="15"/>
  <c r="L75" i="15"/>
  <c r="K75" i="15"/>
  <c r="K182" i="15"/>
  <c r="L182" i="15"/>
  <c r="L98" i="15"/>
  <c r="K98" i="15"/>
  <c r="L11" i="15"/>
  <c r="K11" i="15"/>
  <c r="K177" i="15"/>
  <c r="L177" i="15"/>
  <c r="L144" i="15"/>
  <c r="K144" i="15"/>
  <c r="L235" i="15"/>
  <c r="K235" i="15"/>
  <c r="L30" i="15"/>
  <c r="K30" i="15"/>
  <c r="L72" i="15"/>
  <c r="K72" i="15"/>
  <c r="L114" i="15"/>
  <c r="K114" i="15"/>
  <c r="L243" i="15"/>
  <c r="K243" i="15"/>
  <c r="K130" i="15"/>
  <c r="L130" i="15"/>
  <c r="L210" i="15"/>
  <c r="K210" i="15"/>
  <c r="K23" i="15"/>
  <c r="L23" i="15"/>
  <c r="L140" i="15"/>
  <c r="K140" i="15"/>
  <c r="L16" i="15"/>
  <c r="K16" i="15"/>
  <c r="L17" i="15"/>
  <c r="K17" i="15"/>
  <c r="L197" i="15"/>
  <c r="K197" i="15"/>
  <c r="L231" i="15"/>
  <c r="K231" i="15"/>
  <c r="L256" i="15"/>
  <c r="K256" i="15"/>
  <c r="L513" i="15"/>
  <c r="K513" i="15"/>
  <c r="L43" i="15"/>
  <c r="K43" i="15"/>
  <c r="K105" i="15"/>
  <c r="L105" i="15"/>
  <c r="L142" i="15"/>
  <c r="K142" i="15"/>
  <c r="L26" i="15"/>
  <c r="K26" i="15"/>
  <c r="K249" i="15"/>
  <c r="L249" i="15"/>
  <c r="K73" i="15"/>
  <c r="L73" i="15"/>
  <c r="K14" i="15"/>
  <c r="L14" i="15"/>
  <c r="K13" i="15"/>
  <c r="L13" i="15"/>
  <c r="K259" i="15"/>
  <c r="L259" i="15"/>
  <c r="K209" i="15"/>
  <c r="L209" i="15"/>
  <c r="K269" i="15"/>
  <c r="L269" i="15"/>
  <c r="L271" i="15"/>
  <c r="K271" i="15"/>
  <c r="K281" i="15"/>
  <c r="L281" i="15"/>
  <c r="L282" i="15"/>
  <c r="K282" i="15"/>
  <c r="K285" i="15"/>
  <c r="L285" i="15"/>
  <c r="L287" i="15"/>
  <c r="K287" i="15"/>
  <c r="L303" i="15"/>
  <c r="K303" i="15"/>
  <c r="L309" i="15"/>
  <c r="K309" i="15"/>
  <c r="L312" i="15"/>
  <c r="K312" i="15"/>
  <c r="L80" i="15"/>
  <c r="K80" i="15"/>
  <c r="K515" i="15"/>
  <c r="L515" i="15"/>
  <c r="L206" i="15"/>
  <c r="K206" i="15"/>
  <c r="K25" i="15"/>
  <c r="L25" i="15"/>
  <c r="L158" i="15"/>
  <c r="K158" i="15"/>
  <c r="L20" i="15"/>
  <c r="K20" i="15"/>
  <c r="L51" i="15"/>
  <c r="K51" i="15"/>
  <c r="L42" i="15"/>
  <c r="K42" i="15"/>
  <c r="K246" i="15"/>
  <c r="L246" i="15"/>
  <c r="K41" i="15"/>
  <c r="L41" i="15"/>
  <c r="L232" i="15"/>
  <c r="K232" i="15"/>
  <c r="L86" i="15"/>
  <c r="K86" i="15"/>
  <c r="L59" i="15"/>
  <c r="K59" i="15"/>
  <c r="K29" i="15"/>
  <c r="L29" i="15"/>
  <c r="L76" i="15"/>
  <c r="K76" i="15"/>
  <c r="L91" i="15"/>
  <c r="K91" i="15"/>
  <c r="K174" i="15"/>
  <c r="L174" i="15"/>
  <c r="L103" i="15"/>
  <c r="K103" i="15"/>
  <c r="L187" i="15"/>
  <c r="K187" i="15"/>
  <c r="L250" i="15"/>
  <c r="K250" i="15"/>
  <c r="L175" i="15"/>
  <c r="K175" i="15"/>
  <c r="L143" i="15"/>
  <c r="K143" i="15"/>
  <c r="K57" i="15"/>
  <c r="L57" i="15"/>
  <c r="L245" i="15"/>
  <c r="K245" i="15"/>
  <c r="L94" i="15"/>
  <c r="K94" i="15"/>
  <c r="L179" i="15"/>
  <c r="K179" i="15"/>
  <c r="L228" i="15"/>
  <c r="K228" i="15"/>
  <c r="L36" i="15"/>
  <c r="K36" i="15"/>
  <c r="L122" i="15"/>
  <c r="K122" i="15"/>
  <c r="L242" i="15"/>
  <c r="K242" i="15"/>
  <c r="L63" i="15"/>
  <c r="K63" i="15"/>
  <c r="K137" i="15"/>
  <c r="L137" i="15"/>
  <c r="L74" i="15"/>
  <c r="K74" i="15"/>
  <c r="L252" i="15"/>
  <c r="K252" i="15"/>
  <c r="L236" i="15"/>
  <c r="K236" i="15"/>
  <c r="L104" i="15"/>
  <c r="K104" i="15"/>
  <c r="K97" i="15"/>
  <c r="L97" i="15"/>
  <c r="L99" i="15"/>
  <c r="K99" i="15"/>
  <c r="K157" i="15"/>
  <c r="L157" i="15"/>
  <c r="K87" i="15"/>
  <c r="L87" i="15"/>
  <c r="L40" i="15"/>
  <c r="K40" i="15"/>
  <c r="L230" i="15"/>
  <c r="K230" i="15"/>
  <c r="L165" i="15"/>
  <c r="K165" i="15"/>
  <c r="K110" i="15"/>
  <c r="L110" i="15"/>
  <c r="K121" i="15"/>
  <c r="L121" i="15"/>
  <c r="L148" i="15"/>
  <c r="K148" i="15"/>
  <c r="L178" i="15"/>
  <c r="K178" i="15"/>
  <c r="L60" i="15"/>
  <c r="K60" i="15"/>
  <c r="L208" i="15"/>
  <c r="K208" i="15"/>
  <c r="L244" i="15"/>
  <c r="K244" i="15"/>
  <c r="L195" i="15"/>
  <c r="K195" i="15"/>
  <c r="L46" i="15"/>
  <c r="K46" i="15"/>
  <c r="K225" i="15"/>
  <c r="L225" i="15"/>
  <c r="L71" i="15"/>
  <c r="K71" i="15"/>
  <c r="L124" i="15"/>
  <c r="K124" i="15"/>
  <c r="L90" i="15"/>
  <c r="K90" i="15"/>
  <c r="L82" i="15"/>
  <c r="K82" i="15"/>
  <c r="L138" i="15"/>
  <c r="K138" i="15"/>
  <c r="L8" i="15"/>
  <c r="K8" i="15"/>
  <c r="L171" i="15"/>
  <c r="K171" i="15"/>
  <c r="L38" i="15"/>
  <c r="K38" i="15"/>
  <c r="L167" i="15"/>
  <c r="K167" i="15"/>
  <c r="L254" i="15"/>
  <c r="K254" i="15"/>
  <c r="K33" i="15"/>
  <c r="L33" i="15"/>
  <c r="L50" i="15"/>
  <c r="K50" i="15"/>
  <c r="K77" i="15"/>
  <c r="L77" i="15"/>
  <c r="L44" i="15"/>
  <c r="K44" i="15"/>
  <c r="L239" i="15"/>
  <c r="K239" i="15"/>
  <c r="L192" i="15"/>
  <c r="K192" i="15"/>
  <c r="L194" i="15"/>
  <c r="K194" i="15"/>
  <c r="L133" i="15"/>
  <c r="K133" i="15"/>
  <c r="K93" i="15"/>
  <c r="L93" i="15"/>
  <c r="L5" i="15"/>
  <c r="K5" i="15"/>
  <c r="L35" i="15"/>
  <c r="K35" i="15"/>
  <c r="L188" i="15"/>
  <c r="K188" i="15"/>
  <c r="L70" i="15"/>
  <c r="K70" i="15"/>
  <c r="K61" i="15"/>
  <c r="L61" i="15"/>
  <c r="L101" i="15"/>
  <c r="K101" i="15"/>
  <c r="L68" i="15"/>
  <c r="K68" i="15"/>
  <c r="L258" i="15"/>
  <c r="K258" i="15"/>
  <c r="K237" i="15"/>
  <c r="L237" i="15"/>
  <c r="L218" i="15"/>
  <c r="K218" i="15"/>
  <c r="L149" i="15"/>
  <c r="K149" i="15"/>
  <c r="K262" i="15"/>
  <c r="L262" i="15"/>
  <c r="L263" i="15"/>
  <c r="K263" i="15"/>
  <c r="L264" i="15"/>
  <c r="K264" i="15"/>
  <c r="L268" i="15"/>
  <c r="K268" i="15"/>
  <c r="L270" i="15"/>
  <c r="K270" i="15"/>
  <c r="L272" i="15"/>
  <c r="K272" i="15"/>
  <c r="L274" i="15"/>
  <c r="K274" i="15"/>
  <c r="K275" i="15"/>
  <c r="L275" i="15"/>
  <c r="L278" i="15"/>
  <c r="K278" i="15"/>
  <c r="L279" i="15"/>
  <c r="K279" i="15"/>
  <c r="K290" i="15"/>
  <c r="L290" i="15"/>
  <c r="L292" i="15"/>
  <c r="K292" i="15"/>
  <c r="L294" i="15"/>
  <c r="K294" i="15"/>
  <c r="L296" i="15"/>
  <c r="K296" i="15"/>
  <c r="L298" i="15"/>
  <c r="K298" i="15"/>
  <c r="L300" i="15"/>
  <c r="K300" i="15"/>
  <c r="K301" i="15"/>
  <c r="L301" i="15"/>
  <c r="L304" i="15"/>
  <c r="K304" i="15"/>
  <c r="L305" i="15"/>
  <c r="K305" i="15"/>
  <c r="L308" i="15"/>
  <c r="K308" i="15"/>
  <c r="J311" i="15" a="1"/>
  <c r="J311" i="15" s="1"/>
  <c r="K311" i="15"/>
  <c r="L311" i="15"/>
  <c r="K313" i="15"/>
  <c r="L313" i="15"/>
  <c r="L129" i="15"/>
  <c r="K129" i="15"/>
  <c r="L132" i="15"/>
  <c r="K132" i="15"/>
  <c r="K314" i="15"/>
  <c r="L314" i="15"/>
  <c r="L55" i="15"/>
  <c r="K55" i="15"/>
  <c r="K66" i="15"/>
  <c r="L66" i="15"/>
  <c r="L62" i="15"/>
  <c r="K62" i="15"/>
  <c r="L155" i="15"/>
  <c r="K155" i="15"/>
  <c r="K153" i="15"/>
  <c r="L153" i="15"/>
  <c r="L186" i="15"/>
  <c r="K186" i="15"/>
  <c r="L37" i="15"/>
  <c r="K37" i="15"/>
  <c r="L126" i="15"/>
  <c r="K126" i="15"/>
  <c r="L190" i="15"/>
  <c r="K190" i="15"/>
  <c r="L156" i="15"/>
  <c r="K156" i="15"/>
  <c r="K203" i="15"/>
  <c r="L203" i="15"/>
  <c r="L251" i="15"/>
  <c r="K251" i="15"/>
  <c r="L106" i="15"/>
  <c r="K106" i="15"/>
  <c r="K247" i="15"/>
  <c r="L247" i="15"/>
  <c r="K151" i="15"/>
  <c r="L151" i="15"/>
  <c r="K217" i="15"/>
  <c r="L217" i="15"/>
  <c r="K65" i="15"/>
  <c r="L65" i="15"/>
  <c r="L223" i="15"/>
  <c r="K223" i="15"/>
  <c r="K241" i="15"/>
  <c r="L241" i="15"/>
  <c r="K198" i="15"/>
  <c r="L198" i="15"/>
  <c r="K89" i="15"/>
  <c r="L89" i="15"/>
  <c r="L176" i="15"/>
  <c r="K176" i="15"/>
  <c r="L118" i="15"/>
  <c r="K118" i="15"/>
  <c r="K131" i="15"/>
  <c r="L131" i="15"/>
  <c r="L212" i="15"/>
  <c r="K212" i="15"/>
  <c r="L159" i="15"/>
  <c r="K159" i="15"/>
  <c r="L166" i="15"/>
  <c r="K166" i="15"/>
  <c r="L139" i="15"/>
  <c r="K139" i="15"/>
  <c r="L146" i="15"/>
  <c r="K146" i="15"/>
  <c r="L207" i="15"/>
  <c r="K207" i="15"/>
  <c r="L115" i="15"/>
  <c r="K115" i="15"/>
  <c r="K183" i="15"/>
  <c r="L183" i="15"/>
  <c r="L95" i="15"/>
  <c r="K95" i="15"/>
  <c r="L163" i="15"/>
  <c r="K163" i="15"/>
  <c r="L27" i="15"/>
  <c r="K27" i="15"/>
  <c r="L248" i="15"/>
  <c r="K248" i="15"/>
  <c r="L69" i="15"/>
  <c r="K69" i="15"/>
  <c r="L83" i="15"/>
  <c r="K83" i="15"/>
  <c r="K253" i="15"/>
  <c r="L253" i="15"/>
  <c r="L15" i="15"/>
  <c r="K15" i="15"/>
  <c r="K145" i="15"/>
  <c r="L145" i="15"/>
  <c r="K161" i="15"/>
  <c r="L161" i="15"/>
  <c r="L116" i="15"/>
  <c r="K116" i="15"/>
  <c r="L517" i="15"/>
  <c r="K517" i="15"/>
  <c r="L255" i="15"/>
  <c r="K255" i="15"/>
  <c r="K221" i="15"/>
  <c r="L221" i="15"/>
  <c r="L32" i="15"/>
  <c r="K32" i="15"/>
  <c r="L84" i="15"/>
  <c r="K84" i="15"/>
  <c r="L319" i="15"/>
  <c r="K319" i="15"/>
  <c r="L123" i="15"/>
  <c r="K123" i="15"/>
  <c r="L22" i="15"/>
  <c r="K22" i="15"/>
  <c r="K185" i="15"/>
  <c r="L185" i="15"/>
  <c r="L112" i="15"/>
  <c r="K112" i="15"/>
  <c r="L170" i="15"/>
  <c r="K170" i="15"/>
  <c r="K81" i="15"/>
  <c r="L81" i="15"/>
  <c r="L147" i="15"/>
  <c r="K147" i="15"/>
  <c r="K19" i="15"/>
  <c r="L19" i="15"/>
  <c r="L199" i="15"/>
  <c r="K199" i="15"/>
  <c r="K113" i="15"/>
  <c r="L113" i="15"/>
  <c r="L240" i="15"/>
  <c r="K240" i="15"/>
  <c r="L266" i="15"/>
  <c r="K266" i="15"/>
  <c r="K273" i="15"/>
  <c r="L273" i="15"/>
  <c r="L277" i="15"/>
  <c r="K277" i="15"/>
  <c r="L280" i="15"/>
  <c r="K280" i="15"/>
  <c r="L284" i="15"/>
  <c r="K284" i="15"/>
  <c r="K289" i="15"/>
  <c r="L289" i="15"/>
  <c r="L291" i="15"/>
  <c r="K291" i="15"/>
  <c r="L293" i="15"/>
  <c r="K293" i="15"/>
  <c r="L299" i="15"/>
  <c r="K299" i="15"/>
  <c r="K47" i="15"/>
  <c r="L47" i="15"/>
  <c r="L316" i="15"/>
  <c r="K316" i="15"/>
  <c r="L52" i="15"/>
  <c r="K52" i="15"/>
  <c r="K189" i="15"/>
  <c r="L189" i="15"/>
  <c r="K67" i="15"/>
  <c r="L67" i="15"/>
  <c r="L227" i="15"/>
  <c r="K227" i="15"/>
  <c r="L49" i="15"/>
  <c r="K49" i="15"/>
  <c r="L18" i="15"/>
  <c r="K18" i="15"/>
  <c r="L220" i="15"/>
  <c r="K220" i="15"/>
  <c r="L111" i="15"/>
  <c r="K111" i="15"/>
  <c r="K9" i="15"/>
  <c r="L9" i="15"/>
  <c r="L10" i="15"/>
  <c r="K10" i="15"/>
  <c r="L96" i="15"/>
  <c r="K96" i="15"/>
  <c r="L4" i="15"/>
  <c r="K4" i="15"/>
  <c r="L172" i="15"/>
  <c r="K172" i="15"/>
  <c r="L56" i="15"/>
  <c r="K56" i="15"/>
  <c r="L58" i="15"/>
  <c r="K58" i="15"/>
  <c r="L164" i="15"/>
  <c r="K164" i="15"/>
  <c r="K125" i="15"/>
  <c r="L125" i="15"/>
  <c r="L127" i="15"/>
  <c r="K127" i="15"/>
  <c r="K205" i="15"/>
  <c r="L205" i="15"/>
  <c r="K169" i="15"/>
  <c r="L169" i="15"/>
  <c r="L191" i="15"/>
  <c r="K191" i="15"/>
  <c r="L181" i="15"/>
  <c r="K181" i="15"/>
  <c r="K193" i="15"/>
  <c r="L193" i="15"/>
  <c r="L154" i="15"/>
  <c r="K154" i="15"/>
  <c r="L12" i="15"/>
  <c r="K12" i="15"/>
  <c r="L64" i="15"/>
  <c r="K64" i="15"/>
  <c r="K109" i="15"/>
  <c r="L109" i="15"/>
  <c r="K173" i="15"/>
  <c r="L173" i="15"/>
  <c r="L150" i="15"/>
  <c r="K150" i="15"/>
  <c r="L100" i="15"/>
  <c r="K100" i="15"/>
  <c r="L229" i="15"/>
  <c r="K229" i="15"/>
  <c r="K201" i="15"/>
  <c r="L201" i="15"/>
  <c r="K141" i="15"/>
  <c r="L141" i="15"/>
  <c r="L120" i="15"/>
  <c r="K120" i="15"/>
  <c r="L234" i="15"/>
  <c r="K234" i="15"/>
  <c r="L168" i="15"/>
  <c r="K168" i="15"/>
  <c r="L222" i="15"/>
  <c r="K222" i="15"/>
  <c r="L152" i="15"/>
  <c r="K152" i="15"/>
  <c r="L39" i="15"/>
  <c r="K39" i="15"/>
  <c r="L53" i="15"/>
  <c r="K53" i="15"/>
  <c r="L31" i="15"/>
  <c r="K31" i="15"/>
  <c r="L54" i="15"/>
  <c r="K54" i="15"/>
  <c r="L202" i="15"/>
  <c r="K202" i="15"/>
  <c r="L117" i="15"/>
  <c r="K117" i="15"/>
  <c r="L24" i="15"/>
  <c r="K24" i="15"/>
  <c r="L200" i="15"/>
  <c r="K200" i="15"/>
  <c r="L215" i="15"/>
  <c r="K215" i="15"/>
  <c r="K226" i="15"/>
  <c r="L226" i="15"/>
  <c r="L92" i="15"/>
  <c r="K92" i="15"/>
  <c r="L128" i="15"/>
  <c r="K128" i="15"/>
  <c r="L79" i="15"/>
  <c r="K79" i="15"/>
  <c r="L21" i="15"/>
  <c r="K21" i="15"/>
  <c r="L213" i="15"/>
  <c r="K213" i="15"/>
  <c r="L107" i="15"/>
  <c r="K107" i="15"/>
  <c r="K519" i="15"/>
  <c r="L519" i="15"/>
  <c r="L135" i="15"/>
  <c r="K135" i="15"/>
  <c r="L119" i="15"/>
  <c r="K119" i="15"/>
  <c r="L28" i="15"/>
  <c r="K28" i="15"/>
  <c r="L204" i="15"/>
  <c r="K204" i="15"/>
  <c r="L7" i="15"/>
  <c r="K7" i="15"/>
  <c r="L216" i="15"/>
  <c r="K216" i="15"/>
  <c r="L214" i="15"/>
  <c r="K214" i="15"/>
  <c r="K257" i="15"/>
  <c r="L257" i="15"/>
  <c r="K233" i="15"/>
  <c r="L233" i="15"/>
  <c r="K219" i="15"/>
  <c r="L219" i="15"/>
  <c r="L85" i="15"/>
  <c r="K85" i="15"/>
  <c r="L6" i="15"/>
  <c r="K6" i="15"/>
  <c r="K45" i="15"/>
  <c r="L45" i="15"/>
  <c r="L88" i="15"/>
  <c r="K88" i="15"/>
  <c r="L102" i="15"/>
  <c r="K102" i="15"/>
  <c r="L238" i="15"/>
  <c r="K238" i="15"/>
  <c r="L196" i="15"/>
  <c r="K196" i="15"/>
  <c r="L162" i="15"/>
  <c r="K162" i="15"/>
  <c r="L211" i="15"/>
  <c r="K211" i="15"/>
  <c r="L260" i="15"/>
  <c r="K260" i="15"/>
  <c r="L261" i="15"/>
  <c r="K261" i="15"/>
  <c r="K265" i="15"/>
  <c r="L265" i="15"/>
  <c r="K267" i="15"/>
  <c r="L267" i="15"/>
  <c r="L276" i="15"/>
  <c r="K276" i="15"/>
  <c r="K283" i="15"/>
  <c r="L283" i="15"/>
  <c r="L286" i="15"/>
  <c r="K286" i="15"/>
  <c r="L288" i="15"/>
  <c r="K288" i="15"/>
  <c r="L295" i="15"/>
  <c r="K295" i="15"/>
  <c r="K297" i="15"/>
  <c r="L297" i="15"/>
  <c r="L302" i="15"/>
  <c r="K302" i="15"/>
  <c r="L516" i="15"/>
  <c r="K516" i="15"/>
  <c r="L310" i="15"/>
  <c r="K310" i="15"/>
  <c r="V308" i="7" a="1"/>
  <c r="V308" i="7" s="1"/>
  <c r="K134" i="15"/>
  <c r="L134" i="15"/>
  <c r="N314" i="15"/>
  <c r="O314" i="15"/>
  <c r="J314" i="15" a="1"/>
  <c r="J314" i="15" s="1"/>
  <c r="R314" i="15"/>
  <c r="P314" i="15"/>
  <c r="Q314" i="15"/>
  <c r="S309" i="7"/>
  <c r="V309" i="7" a="1"/>
  <c r="V309" i="7" s="1"/>
  <c r="Q134" i="15"/>
  <c r="N134" i="15"/>
  <c r="O134" i="15"/>
  <c r="R134" i="15"/>
  <c r="P134" i="15"/>
  <c r="J134" i="15" a="1"/>
  <c r="J134" i="15" s="1"/>
  <c r="V306" i="7" a="1"/>
  <c r="V306" i="7" s="1"/>
  <c r="R132" i="15"/>
  <c r="Q132" i="15"/>
  <c r="J132" i="15" a="1"/>
  <c r="J132" i="15" s="1"/>
  <c r="P132" i="15"/>
  <c r="N132" i="15"/>
  <c r="O132" i="15"/>
  <c r="S307" i="7"/>
  <c r="V307" i="7" a="1"/>
  <c r="V307" i="7" s="1"/>
  <c r="N316" i="15"/>
  <c r="O316" i="15"/>
  <c r="P316" i="15"/>
  <c r="J316" i="15" a="1"/>
  <c r="J316" i="15" s="1"/>
  <c r="R316" i="15"/>
  <c r="Q316" i="15"/>
  <c r="V304" i="7" a="1"/>
  <c r="V304" i="7" s="1"/>
  <c r="J129" i="15" a="1"/>
  <c r="J129" i="15" s="1"/>
  <c r="P129" i="15"/>
  <c r="R129" i="15"/>
  <c r="N129" i="15"/>
  <c r="O129" i="15"/>
  <c r="Q129" i="15"/>
  <c r="S305" i="7"/>
  <c r="V305" i="7" a="1"/>
  <c r="V305" i="7" s="1"/>
  <c r="J313" i="15" a="1"/>
  <c r="J313" i="15" s="1"/>
  <c r="P313" i="15"/>
  <c r="R313" i="15"/>
  <c r="O313" i="15"/>
  <c r="Q313" i="15"/>
  <c r="N313" i="15"/>
  <c r="V302" i="7" a="1"/>
  <c r="V302" i="7" s="1"/>
  <c r="V303" i="7" a="1"/>
  <c r="V303" i="7" s="1"/>
  <c r="N312" i="15"/>
  <c r="P312" i="15"/>
  <c r="J312" i="15" a="1"/>
  <c r="J312" i="15" s="1"/>
  <c r="R312" i="15"/>
  <c r="O312" i="15"/>
  <c r="Q312" i="15"/>
  <c r="V300" i="7" a="1"/>
  <c r="V300" i="7" s="1"/>
  <c r="R311" i="15"/>
  <c r="O311" i="15"/>
  <c r="P311" i="15"/>
  <c r="Q311" i="15"/>
  <c r="N311" i="15"/>
  <c r="J310" i="15" a="1"/>
  <c r="J310" i="15" s="1"/>
  <c r="R310" i="15"/>
  <c r="N310" i="15"/>
  <c r="P310" i="15"/>
  <c r="Q310" i="15"/>
  <c r="O310" i="15"/>
  <c r="S301" i="7"/>
  <c r="V301" i="7" a="1"/>
  <c r="V301" i="7" s="1"/>
  <c r="N309" i="15"/>
  <c r="P309" i="15"/>
  <c r="Q309" i="15"/>
  <c r="J309" i="15" a="1"/>
  <c r="J309" i="15" s="1"/>
  <c r="O309" i="15"/>
  <c r="R309" i="15"/>
  <c r="S298" i="7"/>
  <c r="R308" i="15"/>
  <c r="O308" i="15"/>
  <c r="P308" i="15"/>
  <c r="Q308" i="15"/>
  <c r="J308" i="15" a="1"/>
  <c r="J308" i="15" s="1"/>
  <c r="N308" i="15"/>
  <c r="R305" i="15"/>
  <c r="Q305" i="15"/>
  <c r="J305" i="15" a="1"/>
  <c r="J305" i="15" s="1"/>
  <c r="O305" i="15"/>
  <c r="N305" i="15"/>
  <c r="P305" i="15"/>
  <c r="V299" i="7" a="1"/>
  <c r="V299" i="7" s="1"/>
  <c r="S299" i="7"/>
  <c r="R516" i="15"/>
  <c r="N516" i="15"/>
  <c r="Q516" i="15"/>
  <c r="O516" i="15"/>
  <c r="P516" i="15"/>
  <c r="J516" i="15" a="1"/>
  <c r="J516" i="15" s="1"/>
  <c r="V296" i="7" a="1"/>
  <c r="V296" i="7" s="1"/>
  <c r="J47" i="15" a="1"/>
  <c r="J47" i="15" s="1"/>
  <c r="R47" i="15"/>
  <c r="P47" i="15"/>
  <c r="N47" i="15"/>
  <c r="O47" i="15"/>
  <c r="Q47" i="15"/>
  <c r="S297" i="7"/>
  <c r="V297" i="7" a="1"/>
  <c r="V297" i="7" s="1"/>
  <c r="V294" i="7" a="1"/>
  <c r="V294" i="7" s="1"/>
  <c r="J136" i="15" a="1"/>
  <c r="J136" i="15" s="1"/>
  <c r="J250" i="15" a="1"/>
  <c r="J250" i="15" s="1"/>
  <c r="J175" i="15" a="1"/>
  <c r="J175" i="15" s="1"/>
  <c r="J57" i="15" a="1"/>
  <c r="J57" i="15" s="1"/>
  <c r="J245" i="15" a="1"/>
  <c r="J245" i="15" s="1"/>
  <c r="J190" i="15" a="1"/>
  <c r="J190" i="15" s="1"/>
  <c r="J251" i="15" a="1"/>
  <c r="J251" i="15" s="1"/>
  <c r="J220" i="15" a="1"/>
  <c r="J220" i="15" s="1"/>
  <c r="J9" i="15" a="1"/>
  <c r="J9" i="15" s="1"/>
  <c r="J96" i="15" a="1"/>
  <c r="J96" i="15" s="1"/>
  <c r="J18" i="15" a="1"/>
  <c r="J18" i="15" s="1"/>
  <c r="J111" i="15" a="1"/>
  <c r="J111" i="15" s="1"/>
  <c r="J10" i="15" a="1"/>
  <c r="J10" i="15" s="1"/>
  <c r="J4" i="15" a="1"/>
  <c r="J4" i="15" s="1"/>
  <c r="J172" i="15" a="1"/>
  <c r="J172" i="15" s="1"/>
  <c r="J56" i="15" a="1"/>
  <c r="J56" i="15" s="1"/>
  <c r="J125" i="15" a="1"/>
  <c r="J125" i="15" s="1"/>
  <c r="J127" i="15" a="1"/>
  <c r="J127" i="15" s="1"/>
  <c r="J169" i="15" a="1"/>
  <c r="J169" i="15" s="1"/>
  <c r="J193" i="15" a="1"/>
  <c r="J193" i="15" s="1"/>
  <c r="J12" i="15" a="1"/>
  <c r="J12" i="15" s="1"/>
  <c r="J64" i="15" a="1"/>
  <c r="J64" i="15" s="1"/>
  <c r="J150" i="15" a="1"/>
  <c r="J150" i="15" s="1"/>
  <c r="J100" i="15" a="1"/>
  <c r="J100" i="15" s="1"/>
  <c r="J229" i="15" a="1"/>
  <c r="J229" i="15" s="1"/>
  <c r="J141" i="15" a="1"/>
  <c r="J141" i="15" s="1"/>
  <c r="J234" i="15" a="1"/>
  <c r="J234" i="15" s="1"/>
  <c r="J168" i="15" a="1"/>
  <c r="J168" i="15" s="1"/>
  <c r="J152" i="15" a="1"/>
  <c r="J152" i="15" s="1"/>
  <c r="J39" i="15" a="1"/>
  <c r="J39" i="15" s="1"/>
  <c r="J31" i="15" a="1"/>
  <c r="J31" i="15" s="1"/>
  <c r="J202" i="15" a="1"/>
  <c r="J202" i="15" s="1"/>
  <c r="J24" i="15" a="1"/>
  <c r="J24" i="15" s="1"/>
  <c r="J215" i="15" a="1"/>
  <c r="J215" i="15" s="1"/>
  <c r="J92" i="15" a="1"/>
  <c r="J92" i="15" s="1"/>
  <c r="J128" i="15" a="1"/>
  <c r="J128" i="15" s="1"/>
  <c r="J213" i="15" a="1"/>
  <c r="J213" i="15" s="1"/>
  <c r="J519" i="15" a="1"/>
  <c r="J519" i="15" s="1"/>
  <c r="J135" i="15" a="1"/>
  <c r="J135" i="15" s="1"/>
  <c r="J119" i="15" a="1"/>
  <c r="J119" i="15" s="1"/>
  <c r="J7" i="15" a="1"/>
  <c r="J7" i="15" s="1"/>
  <c r="J216" i="15" a="1"/>
  <c r="J216" i="15" s="1"/>
  <c r="J233" i="15" a="1"/>
  <c r="J233" i="15" s="1"/>
  <c r="J88" i="15" a="1"/>
  <c r="J88" i="15" s="1"/>
  <c r="J238" i="15" a="1"/>
  <c r="J238" i="15" s="1"/>
  <c r="J162" i="15" a="1"/>
  <c r="J162" i="15" s="1"/>
  <c r="J211" i="15" a="1"/>
  <c r="J211" i="15" s="1"/>
  <c r="J261" i="15" a="1"/>
  <c r="J261" i="15" s="1"/>
  <c r="J273" i="15" a="1"/>
  <c r="J273" i="15" s="1"/>
  <c r="J289" i="15" a="1"/>
  <c r="J289" i="15" s="1"/>
  <c r="J291" i="15" a="1"/>
  <c r="J291" i="15" s="1"/>
  <c r="J293" i="15" a="1"/>
  <c r="J293" i="15" s="1"/>
  <c r="J515" i="15" a="1"/>
  <c r="J515" i="15" s="1"/>
  <c r="J206" i="15" a="1"/>
  <c r="J206" i="15" s="1"/>
  <c r="J158" i="15" a="1"/>
  <c r="J158" i="15" s="1"/>
  <c r="J20" i="15" a="1"/>
  <c r="J20" i="15" s="1"/>
  <c r="J42" i="15" a="1"/>
  <c r="J42" i="15" s="1"/>
  <c r="J232" i="15" a="1"/>
  <c r="J232" i="15" s="1"/>
  <c r="J29" i="15" a="1"/>
  <c r="J29" i="15" s="1"/>
  <c r="J75" i="15" a="1"/>
  <c r="J75" i="15" s="1"/>
  <c r="J182" i="15" a="1"/>
  <c r="J182" i="15" s="1"/>
  <c r="J144" i="15" a="1"/>
  <c r="J144" i="15" s="1"/>
  <c r="J30" i="15" a="1"/>
  <c r="J30" i="15" s="1"/>
  <c r="J114" i="15" a="1"/>
  <c r="J114" i="15" s="1"/>
  <c r="J243" i="15" a="1"/>
  <c r="J243" i="15" s="1"/>
  <c r="J130" i="15" a="1"/>
  <c r="J130" i="15" s="1"/>
  <c r="J210" i="15" a="1"/>
  <c r="J210" i="15" s="1"/>
  <c r="J140" i="15" a="1"/>
  <c r="J140" i="15" s="1"/>
  <c r="J16" i="15" a="1"/>
  <c r="J16" i="15" s="1"/>
  <c r="J197" i="15" a="1"/>
  <c r="J197" i="15" s="1"/>
  <c r="J513" i="15" a="1"/>
  <c r="J513" i="15" s="1"/>
  <c r="J142" i="15" a="1"/>
  <c r="J142" i="15" s="1"/>
  <c r="J13" i="15" a="1"/>
  <c r="J13" i="15" s="1"/>
  <c r="J259" i="15" a="1"/>
  <c r="J259" i="15" s="1"/>
  <c r="J209" i="15" a="1"/>
  <c r="J209" i="15" s="1"/>
  <c r="J288" i="15" a="1"/>
  <c r="J288" i="15" s="1"/>
  <c r="J34" i="15" a="1"/>
  <c r="J34" i="15" s="1"/>
  <c r="J94" i="15" a="1"/>
  <c r="J94" i="15" s="1"/>
  <c r="J99" i="15" a="1"/>
  <c r="J99" i="15" s="1"/>
  <c r="J157" i="15" a="1"/>
  <c r="J157" i="15" s="1"/>
  <c r="J40" i="15" a="1"/>
  <c r="J40" i="15" s="1"/>
  <c r="J165" i="15" a="1"/>
  <c r="J165" i="15" s="1"/>
  <c r="J208" i="15" a="1"/>
  <c r="J208" i="15" s="1"/>
  <c r="J244" i="15" a="1"/>
  <c r="J244" i="15" s="1"/>
  <c r="J225" i="15" a="1"/>
  <c r="J225" i="15" s="1"/>
  <c r="J82" i="15" a="1"/>
  <c r="J82" i="15" s="1"/>
  <c r="J171" i="15" a="1"/>
  <c r="J171" i="15" s="1"/>
  <c r="J254" i="15" a="1"/>
  <c r="J254" i="15" s="1"/>
  <c r="J50" i="15" a="1"/>
  <c r="J50" i="15" s="1"/>
  <c r="J44" i="15" a="1"/>
  <c r="J44" i="15" s="1"/>
  <c r="J194" i="15" a="1"/>
  <c r="J194" i="15" s="1"/>
  <c r="J93" i="15" a="1"/>
  <c r="J93" i="15" s="1"/>
  <c r="J35" i="15" a="1"/>
  <c r="J35" i="15" s="1"/>
  <c r="J188" i="15" a="1"/>
  <c r="J188" i="15" s="1"/>
  <c r="J101" i="15" a="1"/>
  <c r="J101" i="15" s="1"/>
  <c r="J68" i="15" a="1"/>
  <c r="J68" i="15" s="1"/>
  <c r="J237" i="15" a="1"/>
  <c r="J237" i="15" s="1"/>
  <c r="J149" i="15" a="1"/>
  <c r="J149" i="15" s="1"/>
  <c r="J262" i="15" a="1"/>
  <c r="J262" i="15" s="1"/>
  <c r="J287" i="15" a="1"/>
  <c r="J287" i="15" s="1"/>
  <c r="J49" i="15" a="1"/>
  <c r="J49" i="15" s="1"/>
  <c r="J153" i="15" a="1"/>
  <c r="J153" i="15" s="1"/>
  <c r="J151" i="15" a="1"/>
  <c r="J151" i="15" s="1"/>
  <c r="J65" i="15" a="1"/>
  <c r="J65" i="15" s="1"/>
  <c r="J241" i="15" a="1"/>
  <c r="J241" i="15" s="1"/>
  <c r="J89" i="15" a="1"/>
  <c r="J89" i="15" s="1"/>
  <c r="J118" i="15" a="1"/>
  <c r="J118" i="15" s="1"/>
  <c r="J212" i="15" a="1"/>
  <c r="J212" i="15" s="1"/>
  <c r="J159" i="15" a="1"/>
  <c r="J159" i="15" s="1"/>
  <c r="J146" i="15" a="1"/>
  <c r="J146" i="15" s="1"/>
  <c r="J115" i="15" a="1"/>
  <c r="J115" i="15" s="1"/>
  <c r="J95" i="15" a="1"/>
  <c r="J95" i="15" s="1"/>
  <c r="J248" i="15" a="1"/>
  <c r="J248" i="15" s="1"/>
  <c r="J253" i="15" a="1"/>
  <c r="J253" i="15" s="1"/>
  <c r="J517" i="15" a="1"/>
  <c r="J517" i="15" s="1"/>
  <c r="J32" i="15" a="1"/>
  <c r="J32" i="15" s="1"/>
  <c r="J84" i="15" a="1"/>
  <c r="J84" i="15" s="1"/>
  <c r="J22" i="15" a="1"/>
  <c r="J22" i="15" s="1"/>
  <c r="J112" i="15" a="1"/>
  <c r="J112" i="15" s="1"/>
  <c r="J81" i="15" a="1"/>
  <c r="J81" i="15" s="1"/>
  <c r="J19" i="15" a="1"/>
  <c r="J19" i="15" s="1"/>
  <c r="J113" i="15" a="1"/>
  <c r="J113" i="15" s="1"/>
  <c r="J240" i="15" a="1"/>
  <c r="J240" i="15" s="1"/>
  <c r="J263" i="15" a="1"/>
  <c r="J263" i="15" s="1"/>
  <c r="J268" i="15" a="1"/>
  <c r="J268" i="15" s="1"/>
  <c r="J270" i="15" a="1"/>
  <c r="J270" i="15" s="1"/>
  <c r="J272" i="15" a="1"/>
  <c r="J272" i="15" s="1"/>
  <c r="J278" i="15" a="1"/>
  <c r="J278" i="15" s="1"/>
  <c r="J180" i="15" a="1"/>
  <c r="J180" i="15" s="1"/>
  <c r="J184" i="15" a="1"/>
  <c r="J184" i="15" s="1"/>
  <c r="J189" i="15" a="1"/>
  <c r="J189" i="15" s="1"/>
  <c r="J103" i="15" a="1"/>
  <c r="J103" i="15" s="1"/>
  <c r="J126" i="15" a="1"/>
  <c r="J126" i="15" s="1"/>
  <c r="J156" i="15" a="1"/>
  <c r="J156" i="15" s="1"/>
  <c r="J58" i="15" a="1"/>
  <c r="J58" i="15" s="1"/>
  <c r="J164" i="15" a="1"/>
  <c r="J164" i="15" s="1"/>
  <c r="J201" i="15" a="1"/>
  <c r="J201" i="15" s="1"/>
  <c r="J120" i="15" a="1"/>
  <c r="J120" i="15" s="1"/>
  <c r="J222" i="15" a="1"/>
  <c r="J222" i="15" s="1"/>
  <c r="J53" i="15" a="1"/>
  <c r="J53" i="15" s="1"/>
  <c r="J54" i="15" a="1"/>
  <c r="J54" i="15" s="1"/>
  <c r="J117" i="15" a="1"/>
  <c r="J117" i="15" s="1"/>
  <c r="J200" i="15" a="1"/>
  <c r="J200" i="15" s="1"/>
  <c r="J226" i="15" a="1"/>
  <c r="J226" i="15" s="1"/>
  <c r="J79" i="15" a="1"/>
  <c r="J79" i="15" s="1"/>
  <c r="J21" i="15" a="1"/>
  <c r="J21" i="15" s="1"/>
  <c r="J107" i="15" a="1"/>
  <c r="J107" i="15" s="1"/>
  <c r="J28" i="15" a="1"/>
  <c r="J28" i="15" s="1"/>
  <c r="J204" i="15" a="1"/>
  <c r="J204" i="15" s="1"/>
  <c r="J214" i="15" a="1"/>
  <c r="J214" i="15" s="1"/>
  <c r="J257" i="15" a="1"/>
  <c r="J257" i="15" s="1"/>
  <c r="J219" i="15" a="1"/>
  <c r="J219" i="15" s="1"/>
  <c r="J85" i="15" a="1"/>
  <c r="J85" i="15" s="1"/>
  <c r="J6" i="15" a="1"/>
  <c r="J6" i="15" s="1"/>
  <c r="J45" i="15" a="1"/>
  <c r="J45" i="15" s="1"/>
  <c r="J102" i="15" a="1"/>
  <c r="J102" i="15" s="1"/>
  <c r="J196" i="15" a="1"/>
  <c r="J196" i="15" s="1"/>
  <c r="J260" i="15" a="1"/>
  <c r="J260" i="15" s="1"/>
  <c r="J266" i="15" a="1"/>
  <c r="J266" i="15" s="1"/>
  <c r="J277" i="15" a="1"/>
  <c r="J277" i="15" s="1"/>
  <c r="J280" i="15" a="1"/>
  <c r="J280" i="15" s="1"/>
  <c r="J284" i="15" a="1"/>
  <c r="J284" i="15" s="1"/>
  <c r="J62" i="15" a="1"/>
  <c r="J62" i="15" s="1"/>
  <c r="J52" i="15" a="1"/>
  <c r="J52" i="15" s="1"/>
  <c r="J80" i="15" a="1"/>
  <c r="J80" i="15" s="1"/>
  <c r="J25" i="15" a="1"/>
  <c r="J25" i="15" s="1"/>
  <c r="J51" i="15" a="1"/>
  <c r="J51" i="15" s="1"/>
  <c r="J246" i="15" a="1"/>
  <c r="J246" i="15" s="1"/>
  <c r="J41" i="15" a="1"/>
  <c r="J41" i="15" s="1"/>
  <c r="J86" i="15" a="1"/>
  <c r="J86" i="15" s="1"/>
  <c r="J160" i="15" a="1"/>
  <c r="J160" i="15" s="1"/>
  <c r="J59" i="15" a="1"/>
  <c r="J59" i="15" s="1"/>
  <c r="J76" i="15" a="1"/>
  <c r="J76" i="15" s="1"/>
  <c r="J91" i="15" a="1"/>
  <c r="J91" i="15" s="1"/>
  <c r="J98" i="15" a="1"/>
  <c r="J98" i="15" s="1"/>
  <c r="J11" i="15" a="1"/>
  <c r="J11" i="15" s="1"/>
  <c r="J177" i="15" a="1"/>
  <c r="J177" i="15" s="1"/>
  <c r="J235" i="15" a="1"/>
  <c r="J235" i="15" s="1"/>
  <c r="J72" i="15" a="1"/>
  <c r="J72" i="15" s="1"/>
  <c r="J23" i="15" a="1"/>
  <c r="J23" i="15" s="1"/>
  <c r="J17" i="15" a="1"/>
  <c r="J17" i="15" s="1"/>
  <c r="J231" i="15" a="1"/>
  <c r="J231" i="15" s="1"/>
  <c r="J256" i="15" a="1"/>
  <c r="J256" i="15" s="1"/>
  <c r="J43" i="15" a="1"/>
  <c r="J43" i="15" s="1"/>
  <c r="J105" i="15" a="1"/>
  <c r="J105" i="15" s="1"/>
  <c r="J26" i="15" a="1"/>
  <c r="J26" i="15" s="1"/>
  <c r="J249" i="15" a="1"/>
  <c r="J249" i="15" s="1"/>
  <c r="J73" i="15" a="1"/>
  <c r="J73" i="15" s="1"/>
  <c r="J14" i="15" a="1"/>
  <c r="J14" i="15" s="1"/>
  <c r="J265" i="15" a="1"/>
  <c r="J265" i="15" s="1"/>
  <c r="J267" i="15" a="1"/>
  <c r="J267" i="15" s="1"/>
  <c r="J276" i="15" a="1"/>
  <c r="J276" i="15" s="1"/>
  <c r="J283" i="15" a="1"/>
  <c r="J283" i="15" s="1"/>
  <c r="J286" i="15" a="1"/>
  <c r="J286" i="15" s="1"/>
  <c r="J295" i="15" a="1"/>
  <c r="J295" i="15" s="1"/>
  <c r="J67" i="15" a="1"/>
  <c r="J67" i="15" s="1"/>
  <c r="J108" i="15" a="1"/>
  <c r="J108" i="15" s="1"/>
  <c r="J78" i="15" a="1"/>
  <c r="J78" i="15" s="1"/>
  <c r="J224" i="15" a="1"/>
  <c r="J224" i="15" s="1"/>
  <c r="J174" i="15" a="1"/>
  <c r="J174" i="15" s="1"/>
  <c r="J187" i="15" a="1"/>
  <c r="J187" i="15" s="1"/>
  <c r="J143" i="15" a="1"/>
  <c r="J143" i="15" s="1"/>
  <c r="J179" i="15" a="1"/>
  <c r="J179" i="15" s="1"/>
  <c r="J228" i="15" a="1"/>
  <c r="J228" i="15" s="1"/>
  <c r="J36" i="15" a="1"/>
  <c r="J36" i="15" s="1"/>
  <c r="J242" i="15" a="1"/>
  <c r="J242" i="15" s="1"/>
  <c r="J137" i="15" a="1"/>
  <c r="J137" i="15" s="1"/>
  <c r="J236" i="15" a="1"/>
  <c r="J236" i="15" s="1"/>
  <c r="J97" i="15" a="1"/>
  <c r="J97" i="15" s="1"/>
  <c r="J87" i="15" a="1"/>
  <c r="J87" i="15" s="1"/>
  <c r="J230" i="15" a="1"/>
  <c r="J230" i="15" s="1"/>
  <c r="J110" i="15" a="1"/>
  <c r="J110" i="15" s="1"/>
  <c r="J121" i="15" a="1"/>
  <c r="J121" i="15" s="1"/>
  <c r="J148" i="15" a="1"/>
  <c r="J148" i="15" s="1"/>
  <c r="J178" i="15" a="1"/>
  <c r="J178" i="15" s="1"/>
  <c r="J60" i="15" a="1"/>
  <c r="J60" i="15" s="1"/>
  <c r="J195" i="15" a="1"/>
  <c r="J195" i="15" s="1"/>
  <c r="J46" i="15" a="1"/>
  <c r="J46" i="15" s="1"/>
  <c r="J71" i="15" a="1"/>
  <c r="J71" i="15" s="1"/>
  <c r="J124" i="15" a="1"/>
  <c r="J124" i="15" s="1"/>
  <c r="J90" i="15" a="1"/>
  <c r="J90" i="15" s="1"/>
  <c r="J138" i="15" a="1"/>
  <c r="J138" i="15" s="1"/>
  <c r="J8" i="15" a="1"/>
  <c r="J8" i="15" s="1"/>
  <c r="J38" i="15" a="1"/>
  <c r="J38" i="15" s="1"/>
  <c r="J167" i="15" a="1"/>
  <c r="J167" i="15" s="1"/>
  <c r="J33" i="15" a="1"/>
  <c r="J33" i="15" s="1"/>
  <c r="J77" i="15" a="1"/>
  <c r="J77" i="15" s="1"/>
  <c r="J239" i="15" a="1"/>
  <c r="J239" i="15" s="1"/>
  <c r="J192" i="15" a="1"/>
  <c r="J192" i="15" s="1"/>
  <c r="J133" i="15" a="1"/>
  <c r="J133" i="15" s="1"/>
  <c r="J5" i="15" a="1"/>
  <c r="J5" i="15" s="1"/>
  <c r="J70" i="15" a="1"/>
  <c r="J70" i="15" s="1"/>
  <c r="J61" i="15" a="1"/>
  <c r="J61" i="15" s="1"/>
  <c r="J258" i="15" a="1"/>
  <c r="J258" i="15" s="1"/>
  <c r="J218" i="15" a="1"/>
  <c r="J218" i="15" s="1"/>
  <c r="J269" i="15" a="1"/>
  <c r="J269" i="15" s="1"/>
  <c r="J271" i="15" a="1"/>
  <c r="J271" i="15" s="1"/>
  <c r="J281" i="15" a="1"/>
  <c r="J281" i="15" s="1"/>
  <c r="J282" i="15" a="1"/>
  <c r="J282" i="15" s="1"/>
  <c r="J285" i="15" a="1"/>
  <c r="J285" i="15" s="1"/>
  <c r="J122" i="15" a="1"/>
  <c r="J122" i="15" s="1"/>
  <c r="J63" i="15" a="1"/>
  <c r="J63" i="15" s="1"/>
  <c r="J74" i="15" a="1"/>
  <c r="J74" i="15" s="1"/>
  <c r="J252" i="15" a="1"/>
  <c r="J252" i="15" s="1"/>
  <c r="J104" i="15" a="1"/>
  <c r="J104" i="15" s="1"/>
  <c r="J205" i="15" a="1"/>
  <c r="J205" i="15" s="1"/>
  <c r="J191" i="15" a="1"/>
  <c r="J191" i="15" s="1"/>
  <c r="J181" i="15" a="1"/>
  <c r="J181" i="15" s="1"/>
  <c r="J154" i="15" a="1"/>
  <c r="J154" i="15" s="1"/>
  <c r="J109" i="15" a="1"/>
  <c r="J109" i="15" s="1"/>
  <c r="J173" i="15" a="1"/>
  <c r="J173" i="15" s="1"/>
  <c r="J227" i="15" a="1"/>
  <c r="J227" i="15" s="1"/>
  <c r="J55" i="15" a="1"/>
  <c r="J55" i="15" s="1"/>
  <c r="J66" i="15" a="1"/>
  <c r="J66" i="15" s="1"/>
  <c r="J155" i="15" a="1"/>
  <c r="J155" i="15" s="1"/>
  <c r="J186" i="15" a="1"/>
  <c r="J186" i="15" s="1"/>
  <c r="J37" i="15" a="1"/>
  <c r="J37" i="15" s="1"/>
  <c r="J203" i="15" a="1"/>
  <c r="J203" i="15" s="1"/>
  <c r="J106" i="15" a="1"/>
  <c r="J106" i="15" s="1"/>
  <c r="J247" i="15" a="1"/>
  <c r="J247" i="15" s="1"/>
  <c r="J217" i="15" a="1"/>
  <c r="J217" i="15" s="1"/>
  <c r="J223" i="15" a="1"/>
  <c r="J223" i="15" s="1"/>
  <c r="J198" i="15" a="1"/>
  <c r="J198" i="15" s="1"/>
  <c r="J176" i="15" a="1"/>
  <c r="J176" i="15" s="1"/>
  <c r="J131" i="15" a="1"/>
  <c r="J131" i="15" s="1"/>
  <c r="J166" i="15" a="1"/>
  <c r="J166" i="15" s="1"/>
  <c r="J139" i="15" a="1"/>
  <c r="J139" i="15" s="1"/>
  <c r="J207" i="15" a="1"/>
  <c r="J207" i="15" s="1"/>
  <c r="J183" i="15" a="1"/>
  <c r="J183" i="15" s="1"/>
  <c r="J163" i="15" a="1"/>
  <c r="J163" i="15" s="1"/>
  <c r="J27" i="15" a="1"/>
  <c r="J27" i="15" s="1"/>
  <c r="J69" i="15" a="1"/>
  <c r="J69" i="15" s="1"/>
  <c r="J83" i="15" a="1"/>
  <c r="J83" i="15" s="1"/>
  <c r="J15" i="15" a="1"/>
  <c r="J15" i="15" s="1"/>
  <c r="J145" i="15" a="1"/>
  <c r="J145" i="15" s="1"/>
  <c r="J161" i="15" a="1"/>
  <c r="J161" i="15" s="1"/>
  <c r="J116" i="15" a="1"/>
  <c r="J116" i="15" s="1"/>
  <c r="J255" i="15" a="1"/>
  <c r="J255" i="15" s="1"/>
  <c r="J221" i="15" a="1"/>
  <c r="J221" i="15" s="1"/>
  <c r="J319" i="15" a="1"/>
  <c r="J319" i="15" s="1"/>
  <c r="J123" i="15" a="1"/>
  <c r="J123" i="15" s="1"/>
  <c r="J185" i="15" a="1"/>
  <c r="J185" i="15" s="1"/>
  <c r="J170" i="15" a="1"/>
  <c r="J170" i="15" s="1"/>
  <c r="J147" i="15" a="1"/>
  <c r="J147" i="15" s="1"/>
  <c r="J199" i="15" a="1"/>
  <c r="J199" i="15" s="1"/>
  <c r="J264" i="15" a="1"/>
  <c r="J264" i="15" s="1"/>
  <c r="J274" i="15" a="1"/>
  <c r="J274" i="15" s="1"/>
  <c r="J275" i="15" a="1"/>
  <c r="J275" i="15" s="1"/>
  <c r="J279" i="15" a="1"/>
  <c r="J279" i="15" s="1"/>
  <c r="J290" i="15" a="1"/>
  <c r="J290" i="15" s="1"/>
  <c r="J292" i="15" a="1"/>
  <c r="J292" i="15" s="1"/>
  <c r="J294" i="15" a="1"/>
  <c r="J294" i="15" s="1"/>
  <c r="N304" i="15"/>
  <c r="O304" i="15"/>
  <c r="J304" i="15" a="1"/>
  <c r="J304" i="15" s="1"/>
  <c r="R304" i="15"/>
  <c r="P304" i="15"/>
  <c r="Q304" i="15"/>
  <c r="P303" i="15"/>
  <c r="J303" i="15" a="1"/>
  <c r="J303" i="15" s="1"/>
  <c r="R303" i="15"/>
  <c r="Q303" i="15"/>
  <c r="O303" i="15"/>
  <c r="N303" i="15"/>
  <c r="V295" i="7" a="1"/>
  <c r="V295" i="7" s="1"/>
  <c r="S295" i="7"/>
  <c r="V292" i="7" a="1"/>
  <c r="V292" i="7" s="1"/>
  <c r="Q302" i="15"/>
  <c r="J302" i="15" a="1"/>
  <c r="J302" i="15" s="1"/>
  <c r="R302" i="15"/>
  <c r="N302" i="15"/>
  <c r="O302" i="15"/>
  <c r="P302" i="15"/>
  <c r="V287" i="7" a="1"/>
  <c r="V287" i="7" s="1"/>
  <c r="V293" i="7" a="1"/>
  <c r="V293" i="7" s="1"/>
  <c r="S293" i="7"/>
  <c r="P301" i="15"/>
  <c r="J301" i="15" a="1"/>
  <c r="J301" i="15" s="1"/>
  <c r="N301" i="15"/>
  <c r="Q301" i="15"/>
  <c r="O301" i="15"/>
  <c r="R301" i="15"/>
  <c r="N300" i="15"/>
  <c r="O300" i="15"/>
  <c r="Q300" i="15"/>
  <c r="P300" i="15"/>
  <c r="J300" i="15" a="1"/>
  <c r="J300" i="15" s="1"/>
  <c r="R300" i="15"/>
  <c r="S291" i="7"/>
  <c r="V291" i="7" a="1"/>
  <c r="V291" i="7" s="1"/>
  <c r="R299" i="15"/>
  <c r="P299" i="15"/>
  <c r="O299" i="15"/>
  <c r="Q299" i="15"/>
  <c r="J299" i="15" a="1"/>
  <c r="J299" i="15" s="1"/>
  <c r="N299" i="15"/>
  <c r="P297" i="15"/>
  <c r="N297" i="15"/>
  <c r="J297" i="15" a="1"/>
  <c r="J297" i="15" s="1"/>
  <c r="R297" i="15"/>
  <c r="O297" i="15"/>
  <c r="Q297" i="15"/>
  <c r="O298" i="15"/>
  <c r="Q298" i="15"/>
  <c r="N298" i="15"/>
  <c r="J298" i="15" a="1"/>
  <c r="J298" i="15" s="1"/>
  <c r="R298" i="15"/>
  <c r="P298" i="15"/>
  <c r="S289" i="7"/>
  <c r="V289" i="7" a="1"/>
  <c r="V289" i="7" s="1"/>
  <c r="V290" i="7" a="1"/>
  <c r="V290" i="7" s="1"/>
  <c r="S290" i="7"/>
  <c r="S283" i="7"/>
  <c r="V285" i="7" a="1"/>
  <c r="V285" i="7" s="1"/>
  <c r="V288" i="7" a="1"/>
  <c r="V288" i="7" s="1"/>
  <c r="S288" i="7"/>
  <c r="O296" i="15"/>
  <c r="P296" i="15"/>
  <c r="R296" i="15"/>
  <c r="Q296" i="15"/>
  <c r="N296" i="15"/>
  <c r="J296" i="15" a="1"/>
  <c r="J296" i="15" s="1"/>
  <c r="R295" i="15"/>
  <c r="Q295" i="15"/>
  <c r="N295" i="15"/>
  <c r="P295" i="15"/>
  <c r="O295" i="15"/>
  <c r="V286" i="7" a="1"/>
  <c r="V286" i="7" s="1"/>
  <c r="R294" i="15"/>
  <c r="P294" i="15"/>
  <c r="Q294" i="15"/>
  <c r="N294" i="15"/>
  <c r="O294" i="15"/>
  <c r="R293" i="15"/>
  <c r="Q293" i="15"/>
  <c r="N293" i="15"/>
  <c r="P293" i="15"/>
  <c r="O293" i="15"/>
  <c r="V284" i="7" a="1"/>
  <c r="V284" i="7" s="1"/>
  <c r="S284" i="7"/>
  <c r="R292" i="15"/>
  <c r="N292" i="15"/>
  <c r="O292" i="15"/>
  <c r="Q292" i="15"/>
  <c r="P292" i="15"/>
  <c r="P291" i="15"/>
  <c r="R291" i="15"/>
  <c r="Q291" i="15"/>
  <c r="N291" i="15"/>
  <c r="O291" i="15"/>
  <c r="V281" i="7" a="1"/>
  <c r="V281" i="7" s="1"/>
  <c r="S282" i="7"/>
  <c r="V282" i="7" a="1"/>
  <c r="V282" i="7" s="1"/>
  <c r="R290" i="15"/>
  <c r="N290" i="15"/>
  <c r="Q290" i="15"/>
  <c r="O290" i="15"/>
  <c r="P290" i="15"/>
  <c r="V279" i="7" a="1"/>
  <c r="V279" i="7" s="1"/>
  <c r="R289" i="15"/>
  <c r="N289" i="15"/>
  <c r="Q289" i="15"/>
  <c r="P289" i="15"/>
  <c r="O289" i="15"/>
  <c r="S280" i="7"/>
  <c r="V280" i="7" a="1"/>
  <c r="V280" i="7" s="1"/>
  <c r="N288" i="15"/>
  <c r="O288" i="15"/>
  <c r="P288" i="15"/>
  <c r="R288" i="15"/>
  <c r="Q288" i="15"/>
  <c r="O287" i="15"/>
  <c r="N287" i="15"/>
  <c r="Q287" i="15"/>
  <c r="R287" i="15"/>
  <c r="P287" i="15"/>
  <c r="S278" i="7"/>
  <c r="V278" i="7" a="1"/>
  <c r="V278" i="7" s="1"/>
  <c r="V276" i="7" a="1"/>
  <c r="V276" i="7" s="1"/>
  <c r="N286" i="15"/>
  <c r="O286" i="15"/>
  <c r="P286" i="15"/>
  <c r="Q286" i="15"/>
  <c r="R286" i="15"/>
  <c r="S277" i="7"/>
  <c r="V277" i="7" a="1"/>
  <c r="V277" i="7" s="1"/>
  <c r="R285" i="15"/>
  <c r="N285" i="15"/>
  <c r="Q285" i="15"/>
  <c r="P285" i="15"/>
  <c r="O285" i="15"/>
  <c r="R209" i="15"/>
  <c r="S271" i="7"/>
  <c r="R284" i="15"/>
  <c r="N284" i="15"/>
  <c r="O284" i="15"/>
  <c r="Q284" i="15"/>
  <c r="P284" i="15"/>
  <c r="P209" i="15"/>
  <c r="S275" i="7"/>
  <c r="V275" i="7" a="1"/>
  <c r="V275" i="7" s="1"/>
  <c r="N283" i="15"/>
  <c r="Q283" i="15"/>
  <c r="O283" i="15"/>
  <c r="P283" i="15"/>
  <c r="R283" i="15"/>
  <c r="S44" i="7"/>
  <c r="V44" i="7" a="1"/>
  <c r="V44" i="7" s="1"/>
  <c r="S74" i="7"/>
  <c r="V74" i="7" a="1"/>
  <c r="V74" i="7" s="1"/>
  <c r="S158" i="7"/>
  <c r="V158" i="7" a="1"/>
  <c r="V158" i="7" s="1"/>
  <c r="S198" i="7"/>
  <c r="V198" i="7" a="1"/>
  <c r="V198" i="7" s="1"/>
  <c r="S221" i="7"/>
  <c r="V221" i="7" a="1"/>
  <c r="V221" i="7" s="1"/>
  <c r="S90" i="7"/>
  <c r="V90" i="7" a="1"/>
  <c r="V90" i="7" s="1"/>
  <c r="S170" i="7"/>
  <c r="V170" i="7" a="1"/>
  <c r="V170" i="7" s="1"/>
  <c r="S141" i="7"/>
  <c r="V141" i="7" a="1"/>
  <c r="V141" i="7" s="1"/>
  <c r="S262" i="7"/>
  <c r="V262" i="7" a="1"/>
  <c r="V262" i="7" s="1"/>
  <c r="S175" i="7"/>
  <c r="V175" i="7" a="1"/>
  <c r="V175" i="7" s="1"/>
  <c r="S82" i="7"/>
  <c r="V82" i="7" a="1"/>
  <c r="V82" i="7" s="1"/>
  <c r="S134" i="7"/>
  <c r="V134" i="7" a="1"/>
  <c r="V134" i="7" s="1"/>
  <c r="S57" i="7"/>
  <c r="V57" i="7" a="1"/>
  <c r="V57" i="7" s="1"/>
  <c r="S13" i="7"/>
  <c r="V13" i="7" a="1"/>
  <c r="V13" i="7" s="1"/>
  <c r="S60" i="7"/>
  <c r="V60" i="7" a="1"/>
  <c r="V60" i="7" s="1"/>
  <c r="S157" i="7"/>
  <c r="V157" i="7" a="1"/>
  <c r="V157" i="7" s="1"/>
  <c r="O209" i="15"/>
  <c r="S252" i="7"/>
  <c r="V252" i="7" a="1"/>
  <c r="V252" i="7" s="1"/>
  <c r="S241" i="7"/>
  <c r="V241" i="7" a="1"/>
  <c r="V241" i="7" s="1"/>
  <c r="S69" i="7"/>
  <c r="V69" i="7" a="1"/>
  <c r="V69" i="7" s="1"/>
  <c r="S130" i="7"/>
  <c r="V130" i="7" a="1"/>
  <c r="V130" i="7" s="1"/>
  <c r="S80" i="7"/>
  <c r="V80" i="7" a="1"/>
  <c r="V80" i="7" s="1"/>
  <c r="S4" i="7"/>
  <c r="V4" i="7" a="1"/>
  <c r="V4" i="7" s="1"/>
  <c r="S58" i="7"/>
  <c r="V58" i="7" a="1"/>
  <c r="V58" i="7" s="1"/>
  <c r="S242" i="7"/>
  <c r="V242" i="7" a="1"/>
  <c r="V242" i="7" s="1"/>
  <c r="S205" i="7"/>
  <c r="V205" i="7" a="1"/>
  <c r="V205" i="7" s="1"/>
  <c r="S96" i="7"/>
  <c r="V96" i="7" a="1"/>
  <c r="V96" i="7" s="1"/>
  <c r="S213" i="7"/>
  <c r="V213" i="7" a="1"/>
  <c r="V213" i="7" s="1"/>
  <c r="S211" i="7"/>
  <c r="V211" i="7" a="1"/>
  <c r="V211" i="7" s="1"/>
  <c r="S145" i="7"/>
  <c r="V145" i="7" a="1"/>
  <c r="V145" i="7" s="1"/>
  <c r="S160" i="7"/>
  <c r="V160" i="7" a="1"/>
  <c r="V160" i="7" s="1"/>
  <c r="S179" i="7"/>
  <c r="V179" i="7" a="1"/>
  <c r="V179" i="7" s="1"/>
  <c r="V274" i="7" a="1"/>
  <c r="V274" i="7" s="1"/>
  <c r="S274" i="7"/>
  <c r="S148" i="7"/>
  <c r="V148" i="7" a="1"/>
  <c r="V148" i="7" s="1"/>
  <c r="S8" i="7"/>
  <c r="V8" i="7" a="1"/>
  <c r="V8" i="7" s="1"/>
  <c r="S257" i="7"/>
  <c r="V257" i="7" a="1"/>
  <c r="V257" i="7" s="1"/>
  <c r="S260" i="7"/>
  <c r="V260" i="7" a="1"/>
  <c r="V260" i="7" s="1"/>
  <c r="S264" i="7"/>
  <c r="V264" i="7" a="1"/>
  <c r="V264" i="7" s="1"/>
  <c r="S273" i="7"/>
  <c r="V273" i="7" a="1"/>
  <c r="V273" i="7" s="1"/>
  <c r="S217" i="7"/>
  <c r="V217" i="7" a="1"/>
  <c r="V217" i="7" s="1"/>
  <c r="S194" i="7"/>
  <c r="V194" i="7" a="1"/>
  <c r="V194" i="7" s="1"/>
  <c r="S10" i="7"/>
  <c r="V10" i="7" a="1"/>
  <c r="V10" i="7" s="1"/>
  <c r="S248" i="7"/>
  <c r="V248" i="7" a="1"/>
  <c r="V248" i="7" s="1"/>
  <c r="S256" i="7"/>
  <c r="V256" i="7" a="1"/>
  <c r="V256" i="7" s="1"/>
  <c r="S270" i="7"/>
  <c r="V270" i="7" a="1"/>
  <c r="V270" i="7" s="1"/>
  <c r="S206" i="7"/>
  <c r="V206" i="7" a="1"/>
  <c r="V206" i="7" s="1"/>
  <c r="S86" i="7"/>
  <c r="V86" i="7" a="1"/>
  <c r="V86" i="7" s="1"/>
  <c r="S67" i="7"/>
  <c r="V67" i="7" a="1"/>
  <c r="V67" i="7" s="1"/>
  <c r="S199" i="7"/>
  <c r="V199" i="7" a="1"/>
  <c r="V199" i="7" s="1"/>
  <c r="S114" i="7"/>
  <c r="V114" i="7" a="1"/>
  <c r="V114" i="7" s="1"/>
  <c r="S45" i="7"/>
  <c r="V45" i="7" a="1"/>
  <c r="V45" i="7" s="1"/>
  <c r="S250" i="7"/>
  <c r="V250" i="7" a="1"/>
  <c r="V250" i="7" s="1"/>
  <c r="S269" i="7"/>
  <c r="V269" i="7" a="1"/>
  <c r="V269" i="7" s="1"/>
  <c r="Q282" i="15"/>
  <c r="R282" i="15"/>
  <c r="P282" i="15"/>
  <c r="O282" i="15"/>
  <c r="N282" i="15"/>
  <c r="S161" i="7"/>
  <c r="V161" i="7" a="1"/>
  <c r="V161" i="7" s="1"/>
  <c r="S26" i="7"/>
  <c r="V26" i="7" a="1"/>
  <c r="V26" i="7" s="1"/>
  <c r="S42" i="7"/>
  <c r="V42" i="7" a="1"/>
  <c r="V42" i="7" s="1"/>
  <c r="S267" i="7"/>
  <c r="V267" i="7" a="1"/>
  <c r="V267" i="7" s="1"/>
  <c r="O228" i="15"/>
  <c r="O161" i="15"/>
  <c r="R84" i="15"/>
  <c r="P112" i="15"/>
  <c r="P81" i="15"/>
  <c r="O240" i="15"/>
  <c r="R242" i="15"/>
  <c r="R87" i="15"/>
  <c r="P45" i="15"/>
  <c r="Q102" i="15"/>
  <c r="Q43" i="15"/>
  <c r="R26" i="15"/>
  <c r="P73" i="15"/>
  <c r="R515" i="15"/>
  <c r="R130" i="15"/>
  <c r="R50" i="15"/>
  <c r="R44" i="15"/>
  <c r="O70" i="15"/>
  <c r="Q170" i="15"/>
  <c r="Q147" i="15"/>
  <c r="O253" i="15"/>
  <c r="P204" i="15"/>
  <c r="O88" i="15"/>
  <c r="Q238" i="15"/>
  <c r="R162" i="15"/>
  <c r="P211" i="15"/>
  <c r="O513" i="15"/>
  <c r="O142" i="15"/>
  <c r="Q209" i="15"/>
  <c r="R154" i="15"/>
  <c r="Q77" i="15"/>
  <c r="R194" i="15"/>
  <c r="O93" i="15"/>
  <c r="Q68" i="15"/>
  <c r="P237" i="15"/>
  <c r="R281" i="15"/>
  <c r="Q281" i="15"/>
  <c r="N281" i="15"/>
  <c r="O281" i="15"/>
  <c r="P281" i="15"/>
  <c r="R211" i="15"/>
  <c r="P14" i="15"/>
  <c r="S272" i="7"/>
  <c r="N280" i="15"/>
  <c r="O280" i="15"/>
  <c r="Q280" i="15"/>
  <c r="P280" i="15"/>
  <c r="R280" i="15"/>
  <c r="N279" i="15"/>
  <c r="O279" i="15"/>
  <c r="Q279" i="15"/>
  <c r="R279" i="15"/>
  <c r="P279" i="15"/>
  <c r="N278" i="15"/>
  <c r="Q278" i="15"/>
  <c r="P278" i="15"/>
  <c r="R278" i="15"/>
  <c r="O278" i="15"/>
  <c r="R14" i="15"/>
  <c r="Q14" i="15"/>
  <c r="O277" i="15"/>
  <c r="P277" i="15"/>
  <c r="R277" i="15"/>
  <c r="N277" i="15"/>
  <c r="Q277" i="15"/>
  <c r="S268" i="7"/>
  <c r="N276" i="15"/>
  <c r="O276" i="15"/>
  <c r="Q276" i="15"/>
  <c r="P276" i="15"/>
  <c r="R276" i="15"/>
  <c r="N275" i="15"/>
  <c r="P275" i="15"/>
  <c r="O275" i="15"/>
  <c r="R275" i="15"/>
  <c r="Q275" i="15"/>
  <c r="S266" i="7"/>
  <c r="N274" i="15"/>
  <c r="O274" i="15"/>
  <c r="P274" i="15"/>
  <c r="R274" i="15"/>
  <c r="Q274" i="15"/>
  <c r="S265" i="7"/>
  <c r="N273" i="15"/>
  <c r="P273" i="15"/>
  <c r="R273" i="15"/>
  <c r="Q273" i="15"/>
  <c r="O273" i="15"/>
  <c r="S258" i="7"/>
  <c r="N272" i="15"/>
  <c r="P272" i="15"/>
  <c r="R272" i="15"/>
  <c r="Q272" i="15"/>
  <c r="O272" i="15"/>
  <c r="S263" i="7"/>
  <c r="R271" i="15"/>
  <c r="P271" i="15"/>
  <c r="N271" i="15"/>
  <c r="Q271" i="15"/>
  <c r="O271" i="15"/>
  <c r="O270" i="15"/>
  <c r="R270" i="15"/>
  <c r="Q270" i="15"/>
  <c r="P270" i="15"/>
  <c r="N270" i="15"/>
  <c r="O14" i="15"/>
  <c r="O192" i="15"/>
  <c r="R13" i="15"/>
  <c r="R269" i="15"/>
  <c r="Q269" i="15"/>
  <c r="N269" i="15"/>
  <c r="O269" i="15"/>
  <c r="P269" i="15"/>
  <c r="S261" i="7"/>
  <c r="O13" i="15"/>
  <c r="Q319" i="15"/>
  <c r="O123" i="15"/>
  <c r="R123" i="15"/>
  <c r="O199" i="15"/>
  <c r="O319" i="15"/>
  <c r="N268" i="15"/>
  <c r="P268" i="15"/>
  <c r="O268" i="15"/>
  <c r="R268" i="15"/>
  <c r="Q268" i="15"/>
  <c r="Q26" i="15"/>
  <c r="P249" i="15"/>
  <c r="S226" i="7"/>
  <c r="O249" i="15"/>
  <c r="O26" i="15"/>
  <c r="R249" i="15"/>
  <c r="O267" i="15"/>
  <c r="R267" i="15"/>
  <c r="P267" i="15"/>
  <c r="Q267" i="15"/>
  <c r="N267" i="15"/>
  <c r="P43" i="15"/>
  <c r="S259" i="7"/>
  <c r="Q249" i="15"/>
  <c r="P26" i="15"/>
  <c r="Q133" i="15"/>
  <c r="Q70" i="15"/>
  <c r="R266" i="15"/>
  <c r="N266" i="15"/>
  <c r="Q266" i="15"/>
  <c r="P266" i="15"/>
  <c r="O266" i="15"/>
  <c r="N265" i="15"/>
  <c r="P265" i="15"/>
  <c r="R265" i="15"/>
  <c r="Q265" i="15"/>
  <c r="O265" i="15"/>
  <c r="Q218" i="15"/>
  <c r="O61" i="15"/>
  <c r="P192" i="15"/>
  <c r="O133" i="15"/>
  <c r="R5" i="15"/>
  <c r="P70" i="15"/>
  <c r="Q192" i="15"/>
  <c r="R133" i="15"/>
  <c r="O5" i="15"/>
  <c r="R61" i="15"/>
  <c r="P61" i="15"/>
  <c r="P133" i="15"/>
  <c r="S254" i="7"/>
  <c r="Q5" i="15"/>
  <c r="P5" i="15"/>
  <c r="P218" i="15"/>
  <c r="R192" i="15"/>
  <c r="Q61" i="15"/>
  <c r="R218" i="15"/>
  <c r="R70" i="15"/>
  <c r="O218" i="15"/>
  <c r="Q264" i="15"/>
  <c r="N264" i="15"/>
  <c r="P264" i="15"/>
  <c r="O264" i="15"/>
  <c r="R264" i="15"/>
  <c r="O19" i="15"/>
  <c r="R19" i="15"/>
  <c r="R112" i="15"/>
  <c r="R113" i="15"/>
  <c r="R240" i="15"/>
  <c r="P113" i="15"/>
  <c r="O43" i="15"/>
  <c r="R93" i="15"/>
  <c r="Q237" i="15"/>
  <c r="N263" i="15"/>
  <c r="P263" i="15"/>
  <c r="R263" i="15"/>
  <c r="Q263" i="15"/>
  <c r="O263" i="15"/>
  <c r="S255" i="7"/>
  <c r="Q211" i="15"/>
  <c r="R238" i="15"/>
  <c r="O238" i="15"/>
  <c r="R233" i="15"/>
  <c r="Q73" i="15"/>
  <c r="O105" i="15"/>
  <c r="Q162" i="15"/>
  <c r="P162" i="15"/>
  <c r="O211" i="15"/>
  <c r="O73" i="15"/>
  <c r="P238" i="15"/>
  <c r="Q105" i="15"/>
  <c r="O162" i="15"/>
  <c r="Q233" i="15"/>
  <c r="R73" i="15"/>
  <c r="O262" i="15"/>
  <c r="N262" i="15"/>
  <c r="R262" i="15"/>
  <c r="P262" i="15"/>
  <c r="Q262" i="15"/>
  <c r="R45" i="15"/>
  <c r="R196" i="15"/>
  <c r="O149" i="15"/>
  <c r="R149" i="15"/>
  <c r="Q149" i="15"/>
  <c r="P149" i="15"/>
  <c r="O233" i="15"/>
  <c r="Q194" i="15"/>
  <c r="O196" i="15"/>
  <c r="R85" i="15"/>
  <c r="Q219" i="15"/>
  <c r="O102" i="15"/>
  <c r="Q6" i="15"/>
  <c r="Q196" i="15"/>
  <c r="R88" i="15"/>
  <c r="R43" i="15"/>
  <c r="P85" i="15"/>
  <c r="S253" i="7"/>
  <c r="R6" i="15"/>
  <c r="O185" i="15"/>
  <c r="R102" i="15"/>
  <c r="Q88" i="15"/>
  <c r="N261" i="15"/>
  <c r="O261" i="15"/>
  <c r="Q261" i="15"/>
  <c r="P261" i="15"/>
  <c r="R261" i="15"/>
  <c r="O81" i="15"/>
  <c r="Q32" i="15"/>
  <c r="Q22" i="15"/>
  <c r="R22" i="15"/>
  <c r="R81" i="15"/>
  <c r="O32" i="15"/>
  <c r="Q84" i="15"/>
  <c r="Q240" i="15"/>
  <c r="P32" i="15"/>
  <c r="P240" i="15"/>
  <c r="P19" i="15"/>
  <c r="Q112" i="15"/>
  <c r="Q113" i="15"/>
  <c r="O22" i="15"/>
  <c r="Q19" i="15"/>
  <c r="Q81" i="15"/>
  <c r="O84" i="15"/>
  <c r="P22" i="15"/>
  <c r="R15" i="15"/>
  <c r="R32" i="15"/>
  <c r="O113" i="15"/>
  <c r="P84" i="15"/>
  <c r="O112" i="15"/>
  <c r="O260" i="15"/>
  <c r="R260" i="15"/>
  <c r="N260" i="15"/>
  <c r="P260" i="15"/>
  <c r="Q260" i="15"/>
  <c r="R237" i="15"/>
  <c r="P93" i="15"/>
  <c r="O194" i="15"/>
  <c r="Q93" i="15"/>
  <c r="Q35" i="15"/>
  <c r="P35" i="15"/>
  <c r="O35" i="15"/>
  <c r="R35" i="15"/>
  <c r="O237" i="15"/>
  <c r="O188" i="15"/>
  <c r="P123" i="15"/>
  <c r="P221" i="15"/>
  <c r="P68" i="15"/>
  <c r="P101" i="15"/>
  <c r="O68" i="15"/>
  <c r="Q221" i="15"/>
  <c r="O221" i="15"/>
  <c r="R68" i="15"/>
  <c r="Q188" i="15"/>
  <c r="P194" i="15"/>
  <c r="R101" i="15"/>
  <c r="P188" i="15"/>
  <c r="O101" i="15"/>
  <c r="Q101" i="15"/>
  <c r="R188" i="15"/>
  <c r="Q259" i="15"/>
  <c r="R259" i="15"/>
  <c r="N259" i="15"/>
  <c r="O259" i="15"/>
  <c r="P259" i="15"/>
  <c r="S251" i="7"/>
  <c r="Q13" i="15"/>
  <c r="R513" i="15"/>
  <c r="P13" i="15"/>
  <c r="R142" i="15"/>
  <c r="Q142" i="15"/>
  <c r="P142" i="15"/>
  <c r="Q513" i="15"/>
  <c r="P513" i="15"/>
  <c r="P170" i="15"/>
  <c r="P319" i="15"/>
  <c r="Q199" i="15"/>
  <c r="R170" i="15"/>
  <c r="R147" i="15"/>
  <c r="P185" i="15"/>
  <c r="R221" i="15"/>
  <c r="R319" i="15"/>
  <c r="O170" i="15"/>
  <c r="P147" i="15"/>
  <c r="P233" i="15"/>
  <c r="P88" i="15"/>
  <c r="Q123" i="15"/>
  <c r="P199" i="15"/>
  <c r="R199" i="15"/>
  <c r="O147" i="15"/>
  <c r="R185" i="15"/>
  <c r="P219" i="15"/>
  <c r="O219" i="15"/>
  <c r="Q45" i="15"/>
  <c r="O45" i="15"/>
  <c r="P196" i="15"/>
  <c r="P102" i="15"/>
  <c r="Q85" i="15"/>
  <c r="Q185" i="15"/>
  <c r="O85" i="15"/>
  <c r="R219" i="15"/>
  <c r="P6" i="15"/>
  <c r="S136" i="7"/>
  <c r="O6" i="15"/>
  <c r="R105" i="15"/>
  <c r="P105" i="15"/>
  <c r="Q258" i="15"/>
  <c r="N258" i="15"/>
  <c r="R258" i="15"/>
  <c r="P258" i="15"/>
  <c r="O258" i="15"/>
  <c r="S249" i="7"/>
  <c r="N257" i="15"/>
  <c r="O257" i="15"/>
  <c r="P257" i="15"/>
  <c r="Q257" i="15"/>
  <c r="R257" i="15"/>
  <c r="Q256" i="15"/>
  <c r="N256" i="15"/>
  <c r="O256" i="15"/>
  <c r="P256" i="15"/>
  <c r="R256" i="15"/>
  <c r="S235" i="7"/>
  <c r="S17" i="7"/>
  <c r="P253" i="15"/>
  <c r="R253" i="15"/>
  <c r="S181" i="7"/>
  <c r="S178" i="7"/>
  <c r="N67" i="15"/>
  <c r="N227" i="15"/>
  <c r="N49" i="15"/>
  <c r="N55" i="15"/>
  <c r="N66" i="15"/>
  <c r="N62" i="15"/>
  <c r="N155" i="15"/>
  <c r="N153" i="15"/>
  <c r="N186" i="15"/>
  <c r="S65" i="7"/>
  <c r="S124" i="7"/>
  <c r="Q116" i="15"/>
  <c r="P12" i="15"/>
  <c r="P75" i="15"/>
  <c r="O116" i="15"/>
  <c r="Q130" i="15"/>
  <c r="P517" i="15"/>
  <c r="R116" i="15"/>
  <c r="N107" i="15"/>
  <c r="R135" i="15"/>
  <c r="O135" i="15"/>
  <c r="S216" i="7"/>
  <c r="S190" i="7"/>
  <c r="S209" i="7"/>
  <c r="S232" i="7"/>
  <c r="N122" i="15"/>
  <c r="N64" i="15"/>
  <c r="N150" i="15"/>
  <c r="S104" i="7"/>
  <c r="N136" i="15"/>
  <c r="N180" i="15"/>
  <c r="N34" i="15"/>
  <c r="N224" i="15"/>
  <c r="N40" i="15"/>
  <c r="N178" i="15"/>
  <c r="N46" i="15"/>
  <c r="S238" i="7"/>
  <c r="S40" i="7"/>
  <c r="S207" i="7"/>
  <c r="S234" i="7"/>
  <c r="N108" i="15"/>
  <c r="N52" i="15"/>
  <c r="N78" i="15"/>
  <c r="N184" i="15"/>
  <c r="N170" i="15"/>
  <c r="N14" i="15"/>
  <c r="N147" i="15"/>
  <c r="N238" i="15"/>
  <c r="N13" i="15"/>
  <c r="N101" i="15"/>
  <c r="N19" i="15"/>
  <c r="N88" i="15"/>
  <c r="N199" i="15"/>
  <c r="N185" i="15"/>
  <c r="N68" i="15"/>
  <c r="N93" i="15"/>
  <c r="N113" i="15"/>
  <c r="N196" i="15"/>
  <c r="N43" i="15"/>
  <c r="N84" i="15"/>
  <c r="N102" i="15"/>
  <c r="N61" i="15"/>
  <c r="N85" i="15"/>
  <c r="N221" i="15"/>
  <c r="N26" i="15"/>
  <c r="N70" i="15"/>
  <c r="N142" i="15"/>
  <c r="N112" i="15"/>
  <c r="N105" i="15"/>
  <c r="N319" i="15"/>
  <c r="N188" i="15"/>
  <c r="N249" i="15"/>
  <c r="N133" i="15"/>
  <c r="N219" i="15"/>
  <c r="N32" i="15"/>
  <c r="N194" i="15"/>
  <c r="N513" i="15"/>
  <c r="N233" i="15"/>
  <c r="N149" i="15"/>
  <c r="N209" i="15"/>
  <c r="N240" i="15"/>
  <c r="N162" i="15"/>
  <c r="N218" i="15"/>
  <c r="N211" i="15"/>
  <c r="N237" i="15"/>
  <c r="N6" i="15"/>
  <c r="N81" i="15"/>
  <c r="N73" i="15"/>
  <c r="N5" i="15"/>
  <c r="N45" i="15"/>
  <c r="N192" i="15"/>
  <c r="N22" i="15"/>
  <c r="N35" i="15"/>
  <c r="N123" i="15"/>
  <c r="N174" i="15"/>
  <c r="N103" i="15"/>
  <c r="N187" i="15"/>
  <c r="N250" i="15"/>
  <c r="N175" i="15"/>
  <c r="N143" i="15"/>
  <c r="N57" i="15"/>
  <c r="N245" i="15"/>
  <c r="N94" i="15"/>
  <c r="N179" i="15"/>
  <c r="N119" i="15"/>
  <c r="N28" i="15"/>
  <c r="N7" i="15"/>
  <c r="N214" i="15"/>
  <c r="N18" i="15"/>
  <c r="N220" i="15"/>
  <c r="N111" i="15"/>
  <c r="N9" i="15"/>
  <c r="N10" i="15"/>
  <c r="N96" i="15"/>
  <c r="N4" i="15"/>
  <c r="N172" i="15"/>
  <c r="N56" i="15"/>
  <c r="N58" i="15"/>
  <c r="N164" i="15"/>
  <c r="N125" i="15"/>
  <c r="N127" i="15"/>
  <c r="N42" i="15"/>
  <c r="N41" i="15"/>
  <c r="N232" i="15"/>
  <c r="N86" i="15"/>
  <c r="N151" i="15"/>
  <c r="N65" i="15"/>
  <c r="N176" i="15"/>
  <c r="N118" i="15"/>
  <c r="N131" i="15"/>
  <c r="N159" i="15"/>
  <c r="N166" i="15"/>
  <c r="N115" i="15"/>
  <c r="N183" i="15"/>
  <c r="N163" i="15"/>
  <c r="N130" i="15"/>
  <c r="N210" i="15"/>
  <c r="N23" i="15"/>
  <c r="N140" i="15"/>
  <c r="N17" i="15"/>
  <c r="S95" i="7"/>
  <c r="N197" i="15"/>
  <c r="N231" i="15"/>
  <c r="S247" i="7"/>
  <c r="N205" i="15"/>
  <c r="N169" i="15"/>
  <c r="N97" i="15"/>
  <c r="N99" i="15"/>
  <c r="N100" i="15"/>
  <c r="N201" i="15"/>
  <c r="N141" i="15"/>
  <c r="N234" i="15"/>
  <c r="N168" i="15"/>
  <c r="N222" i="15"/>
  <c r="N152" i="15"/>
  <c r="N39" i="15"/>
  <c r="N53" i="15"/>
  <c r="N54" i="15"/>
  <c r="N226" i="15"/>
  <c r="N92" i="15"/>
  <c r="N124" i="15"/>
  <c r="N38" i="15"/>
  <c r="N44" i="15"/>
  <c r="N239" i="15"/>
  <c r="N189" i="15"/>
  <c r="N126" i="15"/>
  <c r="N190" i="15"/>
  <c r="N156" i="15"/>
  <c r="N251" i="15"/>
  <c r="N182" i="15"/>
  <c r="N91" i="15"/>
  <c r="N98" i="15"/>
  <c r="N144" i="15"/>
  <c r="N72" i="15"/>
  <c r="N114" i="15"/>
  <c r="N243" i="15"/>
  <c r="N69" i="15"/>
  <c r="N253" i="15"/>
  <c r="N15" i="15"/>
  <c r="N145" i="15"/>
  <c r="N255" i="15"/>
  <c r="O77" i="15"/>
  <c r="N90" i="15"/>
  <c r="Q138" i="15"/>
  <c r="N138" i="15"/>
  <c r="N167" i="15"/>
  <c r="N254" i="15"/>
  <c r="P37" i="15"/>
  <c r="N37" i="15"/>
  <c r="N106" i="15"/>
  <c r="N229" i="15"/>
  <c r="O117" i="15"/>
  <c r="N117" i="15"/>
  <c r="N200" i="15"/>
  <c r="Q82" i="15"/>
  <c r="N82" i="15"/>
  <c r="N8" i="15"/>
  <c r="N171" i="15"/>
  <c r="N228" i="15"/>
  <c r="N59" i="15"/>
  <c r="R29" i="15"/>
  <c r="N29" i="15"/>
  <c r="N11" i="15"/>
  <c r="N177" i="15"/>
  <c r="N27" i="15"/>
  <c r="N248" i="15"/>
  <c r="N83" i="15"/>
  <c r="N161" i="15"/>
  <c r="P116" i="15"/>
  <c r="N116" i="15"/>
  <c r="R517" i="15"/>
  <c r="N517" i="15"/>
  <c r="Q29" i="15"/>
  <c r="N206" i="15"/>
  <c r="Q25" i="15"/>
  <c r="N25" i="15"/>
  <c r="R158" i="15"/>
  <c r="N158" i="15"/>
  <c r="N20" i="15"/>
  <c r="N51" i="15"/>
  <c r="N246" i="15"/>
  <c r="Q44" i="15"/>
  <c r="P44" i="15"/>
  <c r="N157" i="15"/>
  <c r="P87" i="15"/>
  <c r="N87" i="15"/>
  <c r="N230" i="15"/>
  <c r="N165" i="15"/>
  <c r="O110" i="15"/>
  <c r="N110" i="15"/>
  <c r="O121" i="15"/>
  <c r="N121" i="15"/>
  <c r="O148" i="15"/>
  <c r="N148" i="15"/>
  <c r="N60" i="15"/>
  <c r="N208" i="15"/>
  <c r="N244" i="15"/>
  <c r="N195" i="15"/>
  <c r="P225" i="15"/>
  <c r="N225" i="15"/>
  <c r="O71" i="15"/>
  <c r="N71" i="15"/>
  <c r="Q161" i="15"/>
  <c r="Q517" i="15"/>
  <c r="O239" i="15"/>
  <c r="P239" i="15"/>
  <c r="N128" i="15"/>
  <c r="N79" i="15"/>
  <c r="N21" i="15"/>
  <c r="N213" i="15"/>
  <c r="N519" i="15"/>
  <c r="Q135" i="15"/>
  <c r="N135" i="15"/>
  <c r="N204" i="15"/>
  <c r="O216" i="15"/>
  <c r="N216" i="15"/>
  <c r="N80" i="15"/>
  <c r="N515" i="15"/>
  <c r="N203" i="15"/>
  <c r="N120" i="15"/>
  <c r="R31" i="15"/>
  <c r="N31" i="15"/>
  <c r="N202" i="15"/>
  <c r="N24" i="15"/>
  <c r="P215" i="15"/>
  <c r="N215" i="15"/>
  <c r="R33" i="15"/>
  <c r="N33" i="15"/>
  <c r="N50" i="15"/>
  <c r="R77" i="15"/>
  <c r="N77" i="15"/>
  <c r="O36" i="15"/>
  <c r="N36" i="15"/>
  <c r="R92" i="15"/>
  <c r="N193" i="15"/>
  <c r="O154" i="15"/>
  <c r="N154" i="15"/>
  <c r="N12" i="15"/>
  <c r="N109" i="15"/>
  <c r="P173" i="15"/>
  <c r="N173" i="15"/>
  <c r="N160" i="15"/>
  <c r="O76" i="15"/>
  <c r="N76" i="15"/>
  <c r="Q75" i="15"/>
  <c r="N75" i="15"/>
  <c r="O235" i="15"/>
  <c r="N235" i="15"/>
  <c r="N30" i="15"/>
  <c r="O515" i="15"/>
  <c r="O75" i="15"/>
  <c r="P77" i="15"/>
  <c r="N191" i="15"/>
  <c r="N181" i="15"/>
  <c r="O144" i="15"/>
  <c r="O167" i="15"/>
  <c r="Q242" i="15"/>
  <c r="N242" i="15"/>
  <c r="N63" i="15"/>
  <c r="N137" i="15"/>
  <c r="N74" i="15"/>
  <c r="R252" i="15"/>
  <c r="N252" i="15"/>
  <c r="N236" i="15"/>
  <c r="N104" i="15"/>
  <c r="O44" i="15"/>
  <c r="R83" i="15"/>
  <c r="N247" i="15"/>
  <c r="P217" i="15"/>
  <c r="N217" i="15"/>
  <c r="N223" i="15"/>
  <c r="N241" i="15"/>
  <c r="Q198" i="15"/>
  <c r="N198" i="15"/>
  <c r="N89" i="15"/>
  <c r="Q212" i="15"/>
  <c r="N212" i="15"/>
  <c r="N139" i="15"/>
  <c r="N146" i="15"/>
  <c r="N207" i="15"/>
  <c r="N95" i="15"/>
  <c r="Q253" i="15"/>
  <c r="O517" i="15"/>
  <c r="Q50" i="15"/>
  <c r="N16" i="15"/>
  <c r="P104" i="15"/>
  <c r="Q139" i="15"/>
  <c r="Q74" i="15"/>
  <c r="P24" i="15"/>
  <c r="R75" i="15"/>
  <c r="P161" i="15"/>
  <c r="R207" i="15"/>
  <c r="P139" i="15"/>
  <c r="O139" i="15"/>
  <c r="P247" i="15"/>
  <c r="R109" i="15"/>
  <c r="P154" i="15"/>
  <c r="P229" i="15"/>
  <c r="P109" i="15"/>
  <c r="R212" i="15"/>
  <c r="R139" i="15"/>
  <c r="P135" i="15"/>
  <c r="P213" i="15"/>
  <c r="Q213" i="15"/>
  <c r="O33" i="15"/>
  <c r="P207" i="15"/>
  <c r="R95" i="15"/>
  <c r="O95" i="15"/>
  <c r="O213" i="15"/>
  <c r="R213" i="15"/>
  <c r="Q119" i="15"/>
  <c r="Q28" i="15"/>
  <c r="R28" i="15"/>
  <c r="P28" i="15"/>
  <c r="O28" i="15"/>
  <c r="O204" i="15"/>
  <c r="R7" i="15"/>
  <c r="Q7" i="15"/>
  <c r="P7" i="15"/>
  <c r="R214" i="15"/>
  <c r="P214" i="15"/>
  <c r="O214" i="15"/>
  <c r="Q214" i="15"/>
  <c r="O138" i="15"/>
  <c r="P138" i="15"/>
  <c r="R204" i="15"/>
  <c r="R119" i="15"/>
  <c r="Q204" i="15"/>
  <c r="O7" i="15"/>
  <c r="Q197" i="15"/>
  <c r="O197" i="15"/>
  <c r="P197" i="15"/>
  <c r="R197" i="15"/>
  <c r="O231" i="15"/>
  <c r="P231" i="15"/>
  <c r="Q231" i="15"/>
  <c r="R231" i="15"/>
  <c r="Q104" i="15"/>
  <c r="Q95" i="15"/>
  <c r="O223" i="15"/>
  <c r="R167" i="15"/>
  <c r="P146" i="15"/>
  <c r="P119" i="15"/>
  <c r="Q33" i="15"/>
  <c r="P33" i="15"/>
  <c r="P50" i="15"/>
  <c r="O50" i="15"/>
  <c r="Q239" i="15"/>
  <c r="R239" i="15"/>
  <c r="Q167" i="15"/>
  <c r="P223" i="15"/>
  <c r="P167" i="15"/>
  <c r="P216" i="15"/>
  <c r="Q216" i="15"/>
  <c r="O119" i="15"/>
  <c r="R216" i="15"/>
  <c r="O15" i="15"/>
  <c r="P15" i="15"/>
  <c r="Q15" i="15"/>
  <c r="Q145" i="15"/>
  <c r="O145" i="15"/>
  <c r="R145" i="15"/>
  <c r="P145" i="15"/>
  <c r="R161" i="15"/>
  <c r="P255" i="15"/>
  <c r="Q255" i="15"/>
  <c r="O255" i="15"/>
  <c r="R255" i="15"/>
  <c r="S228" i="7"/>
  <c r="P202" i="15"/>
  <c r="S227" i="7"/>
  <c r="O59" i="15"/>
  <c r="R247" i="15"/>
  <c r="S188" i="7"/>
  <c r="S89" i="7"/>
  <c r="Q154" i="15"/>
  <c r="P198" i="15"/>
  <c r="R223" i="15"/>
  <c r="S34" i="7"/>
  <c r="S197" i="7"/>
  <c r="R173" i="15"/>
  <c r="Q208" i="15"/>
  <c r="S225" i="7"/>
  <c r="R217" i="15"/>
  <c r="O247" i="15"/>
  <c r="S61" i="7"/>
  <c r="S103" i="7"/>
  <c r="S189" i="7"/>
  <c r="R25" i="15"/>
  <c r="P25" i="15"/>
  <c r="S169" i="7"/>
  <c r="S9" i="7"/>
  <c r="S171" i="7"/>
  <c r="S187" i="7"/>
  <c r="S31" i="7"/>
  <c r="S112" i="7"/>
  <c r="S149" i="7"/>
  <c r="S27" i="7"/>
  <c r="S55" i="7"/>
  <c r="S140" i="7"/>
  <c r="S220" i="7"/>
  <c r="S230" i="7"/>
  <c r="S16" i="7"/>
  <c r="S127" i="7"/>
  <c r="S122" i="7"/>
  <c r="S85" i="7"/>
  <c r="Q87" i="15"/>
  <c r="S201" i="7"/>
  <c r="S166" i="7"/>
  <c r="S79" i="7"/>
  <c r="S193" i="7"/>
  <c r="S107" i="7"/>
  <c r="S19" i="7"/>
  <c r="S115" i="7"/>
  <c r="S52" i="7"/>
  <c r="S163" i="7"/>
  <c r="S41" i="7"/>
  <c r="S185" i="7"/>
  <c r="S102" i="7"/>
  <c r="S98" i="7"/>
  <c r="S100" i="7"/>
  <c r="S71" i="7"/>
  <c r="S75" i="7"/>
  <c r="S120" i="7"/>
  <c r="S39" i="7"/>
  <c r="S21" i="7"/>
  <c r="S174" i="7"/>
  <c r="S147" i="7"/>
  <c r="S76" i="7"/>
  <c r="S240" i="7"/>
  <c r="S43" i="7"/>
  <c r="S119" i="7"/>
  <c r="S223" i="7"/>
  <c r="S144" i="7"/>
  <c r="S156" i="7"/>
  <c r="S113" i="7"/>
  <c r="S49" i="7"/>
  <c r="S236" i="7"/>
  <c r="S237" i="7"/>
  <c r="S186" i="7"/>
  <c r="S118" i="7"/>
  <c r="S6" i="7"/>
  <c r="S164" i="7"/>
  <c r="S159" i="7"/>
  <c r="S233" i="7"/>
  <c r="Q120" i="15"/>
  <c r="R82" i="15"/>
  <c r="S182" i="7"/>
  <c r="S73" i="7"/>
  <c r="S151" i="7"/>
  <c r="O137" i="15"/>
  <c r="R254" i="15"/>
  <c r="S33" i="7"/>
  <c r="S126" i="7"/>
  <c r="S22" i="7"/>
  <c r="S59" i="7"/>
  <c r="S214" i="7"/>
  <c r="S29" i="7"/>
  <c r="R137" i="15"/>
  <c r="O87" i="15"/>
  <c r="S153" i="7"/>
  <c r="S180" i="7"/>
  <c r="S28" i="7"/>
  <c r="S36" i="7"/>
  <c r="S183" i="7"/>
  <c r="S53" i="7"/>
  <c r="Q217" i="15"/>
  <c r="Q247" i="15"/>
  <c r="S191" i="7"/>
  <c r="S212" i="7"/>
  <c r="S176" i="7"/>
  <c r="S78" i="7"/>
  <c r="S92" i="7"/>
  <c r="S208" i="7"/>
  <c r="S77" i="7"/>
  <c r="S192" i="7"/>
  <c r="S195" i="7"/>
  <c r="S111" i="7"/>
  <c r="S12" i="7"/>
  <c r="S121" i="7"/>
  <c r="S70" i="7"/>
  <c r="P117" i="15"/>
  <c r="P121" i="15"/>
  <c r="S137" i="7"/>
  <c r="S210" i="7"/>
  <c r="S48" i="7"/>
  <c r="S14" i="7"/>
  <c r="S131" i="7"/>
  <c r="S106" i="7"/>
  <c r="S66" i="7"/>
  <c r="P79" i="15"/>
  <c r="Q79" i="15"/>
  <c r="O79" i="15"/>
  <c r="R79" i="15"/>
  <c r="P21" i="15"/>
  <c r="O21" i="15"/>
  <c r="Q21" i="15"/>
  <c r="R21" i="15"/>
  <c r="R107" i="15"/>
  <c r="Q107" i="15"/>
  <c r="O107" i="15"/>
  <c r="P107" i="15"/>
  <c r="S224" i="7"/>
  <c r="S132" i="7"/>
  <c r="S81" i="7"/>
  <c r="O23" i="15"/>
  <c r="R23" i="15"/>
  <c r="Q23" i="15"/>
  <c r="P23" i="15"/>
  <c r="O17" i="15"/>
  <c r="Q17" i="15"/>
  <c r="R17" i="15"/>
  <c r="P17" i="15"/>
  <c r="S23" i="7"/>
  <c r="S155" i="7"/>
  <c r="P124" i="15"/>
  <c r="Q124" i="15"/>
  <c r="O124" i="15"/>
  <c r="R124" i="15"/>
  <c r="R90" i="15"/>
  <c r="O90" i="15"/>
  <c r="Q90" i="15"/>
  <c r="P90" i="15"/>
  <c r="R138" i="15"/>
  <c r="O8" i="15"/>
  <c r="Q8" i="15"/>
  <c r="R8" i="15"/>
  <c r="P8" i="15"/>
  <c r="Q38" i="15"/>
  <c r="P38" i="15"/>
  <c r="R38" i="15"/>
  <c r="O38" i="15"/>
  <c r="S200" i="7"/>
  <c r="S110" i="7"/>
  <c r="S128" i="7"/>
  <c r="S138" i="7"/>
  <c r="O27" i="15"/>
  <c r="Q27" i="15"/>
  <c r="R27" i="15"/>
  <c r="P27" i="15"/>
  <c r="R69" i="15"/>
  <c r="P69" i="15"/>
  <c r="O69" i="15"/>
  <c r="Q69" i="15"/>
  <c r="O83" i="15"/>
  <c r="P83" i="15"/>
  <c r="Q83" i="15"/>
  <c r="S62" i="7"/>
  <c r="S18" i="7"/>
  <c r="R117" i="15"/>
  <c r="S246" i="7"/>
  <c r="O128" i="15"/>
  <c r="Q128" i="15"/>
  <c r="R128" i="15"/>
  <c r="P128" i="15"/>
  <c r="O519" i="15"/>
  <c r="Q519" i="15"/>
  <c r="P519" i="15"/>
  <c r="R519" i="15"/>
  <c r="S231" i="7"/>
  <c r="S172" i="7"/>
  <c r="Q30" i="15"/>
  <c r="P130" i="15"/>
  <c r="O130" i="15"/>
  <c r="Q210" i="15"/>
  <c r="R210" i="15"/>
  <c r="P210" i="15"/>
  <c r="O210" i="15"/>
  <c r="P140" i="15"/>
  <c r="R140" i="15"/>
  <c r="Q140" i="15"/>
  <c r="O140" i="15"/>
  <c r="Q16" i="15"/>
  <c r="P16" i="15"/>
  <c r="O16" i="15"/>
  <c r="R16" i="15"/>
  <c r="S229" i="7"/>
  <c r="S51" i="7"/>
  <c r="S184" i="7"/>
  <c r="P82" i="15"/>
  <c r="O82" i="15"/>
  <c r="R171" i="15"/>
  <c r="Q171" i="15"/>
  <c r="P171" i="15"/>
  <c r="O171" i="15"/>
  <c r="P254" i="15"/>
  <c r="O254" i="15"/>
  <c r="Q254" i="15"/>
  <c r="S108" i="7"/>
  <c r="S146" i="7"/>
  <c r="S125" i="7"/>
  <c r="S56" i="7"/>
  <c r="P248" i="15"/>
  <c r="O248" i="15"/>
  <c r="Q248" i="15"/>
  <c r="R248" i="15"/>
  <c r="S38" i="7"/>
  <c r="O29" i="15"/>
  <c r="R215" i="15"/>
  <c r="R229" i="15"/>
  <c r="O252" i="15"/>
  <c r="Q229" i="15"/>
  <c r="P30" i="15"/>
  <c r="R30" i="15"/>
  <c r="O225" i="15"/>
  <c r="R225" i="15"/>
  <c r="O229" i="15"/>
  <c r="R208" i="15"/>
  <c r="P29" i="15"/>
  <c r="O30" i="15"/>
  <c r="Q215" i="15"/>
  <c r="O215" i="15"/>
  <c r="S167" i="7"/>
  <c r="S173" i="7"/>
  <c r="S218" i="7"/>
  <c r="S143" i="7"/>
  <c r="S84" i="7"/>
  <c r="S162" i="7"/>
  <c r="S101" i="7"/>
  <c r="S50" i="7"/>
  <c r="S219" i="7"/>
  <c r="S15" i="7"/>
  <c r="S63" i="7"/>
  <c r="S245" i="7"/>
  <c r="S35" i="7"/>
  <c r="S11" i="7"/>
  <c r="S30" i="7"/>
  <c r="S93" i="7"/>
  <c r="S123" i="7"/>
  <c r="S88" i="7"/>
  <c r="S37" i="7"/>
  <c r="S5" i="7"/>
  <c r="S46" i="7"/>
  <c r="S222" i="7"/>
  <c r="S116" i="7"/>
  <c r="S165" i="7"/>
  <c r="S47" i="7"/>
  <c r="O217" i="15"/>
  <c r="Q223" i="15"/>
  <c r="R198" i="15"/>
  <c r="O198" i="15"/>
  <c r="Q176" i="15"/>
  <c r="O176" i="15"/>
  <c r="P176" i="15"/>
  <c r="R176" i="15"/>
  <c r="P131" i="15"/>
  <c r="O131" i="15"/>
  <c r="R131" i="15"/>
  <c r="Q131" i="15"/>
  <c r="O166" i="15"/>
  <c r="R166" i="15"/>
  <c r="P166" i="15"/>
  <c r="Q166" i="15"/>
  <c r="O207" i="15"/>
  <c r="Q207" i="15"/>
  <c r="P183" i="15"/>
  <c r="O183" i="15"/>
  <c r="Q183" i="15"/>
  <c r="R183" i="15"/>
  <c r="Q163" i="15"/>
  <c r="O163" i="15"/>
  <c r="P163" i="15"/>
  <c r="R163" i="15"/>
  <c r="S97" i="7"/>
  <c r="S83" i="7"/>
  <c r="S203" i="7"/>
  <c r="R100" i="15"/>
  <c r="O100" i="15"/>
  <c r="Q100" i="15"/>
  <c r="P100" i="15"/>
  <c r="P141" i="15"/>
  <c r="Q141" i="15"/>
  <c r="O141" i="15"/>
  <c r="R141" i="15"/>
  <c r="Q234" i="15"/>
  <c r="R234" i="15"/>
  <c r="P234" i="15"/>
  <c r="O234" i="15"/>
  <c r="O168" i="15"/>
  <c r="R168" i="15"/>
  <c r="Q168" i="15"/>
  <c r="P168" i="15"/>
  <c r="O152" i="15"/>
  <c r="R152" i="15"/>
  <c r="Q152" i="15"/>
  <c r="P152" i="15"/>
  <c r="P39" i="15"/>
  <c r="O39" i="15"/>
  <c r="R39" i="15"/>
  <c r="Q39" i="15"/>
  <c r="Q31" i="15"/>
  <c r="O31" i="15"/>
  <c r="P31" i="15"/>
  <c r="O202" i="15"/>
  <c r="Q202" i="15"/>
  <c r="R202" i="15"/>
  <c r="Q24" i="15"/>
  <c r="O24" i="15"/>
  <c r="R24" i="15"/>
  <c r="P92" i="15"/>
  <c r="Q92" i="15"/>
  <c r="O92" i="15"/>
  <c r="S142" i="7"/>
  <c r="S196" i="7"/>
  <c r="S215" i="7"/>
  <c r="R182" i="15"/>
  <c r="O182" i="15"/>
  <c r="Q182" i="15"/>
  <c r="P182" i="15"/>
  <c r="R144" i="15"/>
  <c r="P144" i="15"/>
  <c r="Q144" i="15"/>
  <c r="O114" i="15"/>
  <c r="Q114" i="15"/>
  <c r="P114" i="15"/>
  <c r="R114" i="15"/>
  <c r="R243" i="15"/>
  <c r="Q243" i="15"/>
  <c r="P243" i="15"/>
  <c r="O243" i="15"/>
  <c r="S20" i="7"/>
  <c r="S94" i="7"/>
  <c r="S99" i="7"/>
  <c r="O157" i="15"/>
  <c r="Q157" i="15"/>
  <c r="P157" i="15"/>
  <c r="R157" i="15"/>
  <c r="R40" i="15"/>
  <c r="Q40" i="15"/>
  <c r="P40" i="15"/>
  <c r="O40" i="15"/>
  <c r="O165" i="15"/>
  <c r="Q165" i="15"/>
  <c r="R165" i="15"/>
  <c r="P165" i="15"/>
  <c r="P208" i="15"/>
  <c r="O208" i="15"/>
  <c r="P244" i="15"/>
  <c r="O244" i="15"/>
  <c r="Q244" i="15"/>
  <c r="R244" i="15"/>
  <c r="Q225" i="15"/>
  <c r="S129" i="7"/>
  <c r="S204" i="7"/>
  <c r="S91" i="7"/>
  <c r="Q151" i="15"/>
  <c r="O151" i="15"/>
  <c r="R151" i="15"/>
  <c r="P151" i="15"/>
  <c r="P65" i="15"/>
  <c r="O65" i="15"/>
  <c r="R65" i="15"/>
  <c r="Q65" i="15"/>
  <c r="O241" i="15"/>
  <c r="R241" i="15"/>
  <c r="P241" i="15"/>
  <c r="Q241" i="15"/>
  <c r="O89" i="15"/>
  <c r="R89" i="15"/>
  <c r="P89" i="15"/>
  <c r="Q89" i="15"/>
  <c r="O118" i="15"/>
  <c r="Q118" i="15"/>
  <c r="P118" i="15"/>
  <c r="R118" i="15"/>
  <c r="O212" i="15"/>
  <c r="P212" i="15"/>
  <c r="Q159" i="15"/>
  <c r="O159" i="15"/>
  <c r="R159" i="15"/>
  <c r="P159" i="15"/>
  <c r="O146" i="15"/>
  <c r="Q146" i="15"/>
  <c r="R146" i="15"/>
  <c r="R115" i="15"/>
  <c r="P115" i="15"/>
  <c r="Q115" i="15"/>
  <c r="O115" i="15"/>
  <c r="P95" i="15"/>
  <c r="S150" i="7"/>
  <c r="S117" i="7"/>
  <c r="S202" i="7"/>
  <c r="S105" i="7"/>
  <c r="O201" i="15"/>
  <c r="R201" i="15"/>
  <c r="P201" i="15"/>
  <c r="Q201" i="15"/>
  <c r="R120" i="15"/>
  <c r="P120" i="15"/>
  <c r="O120" i="15"/>
  <c r="Q222" i="15"/>
  <c r="O222" i="15"/>
  <c r="P222" i="15"/>
  <c r="R222" i="15"/>
  <c r="R53" i="15"/>
  <c r="O53" i="15"/>
  <c r="Q53" i="15"/>
  <c r="P53" i="15"/>
  <c r="P54" i="15"/>
  <c r="O54" i="15"/>
  <c r="Q54" i="15"/>
  <c r="R54" i="15"/>
  <c r="Q117" i="15"/>
  <c r="P200" i="15"/>
  <c r="Q200" i="15"/>
  <c r="R200" i="15"/>
  <c r="O200" i="15"/>
  <c r="P226" i="15"/>
  <c r="Q226" i="15"/>
  <c r="O226" i="15"/>
  <c r="R226" i="15"/>
  <c r="S239" i="7"/>
  <c r="S135" i="7"/>
  <c r="S54" i="7"/>
  <c r="S68" i="7"/>
  <c r="Q160" i="15"/>
  <c r="P160" i="15"/>
  <c r="O160" i="15"/>
  <c r="R160" i="15"/>
  <c r="Q59" i="15"/>
  <c r="R59" i="15"/>
  <c r="P59" i="15"/>
  <c r="R76" i="15"/>
  <c r="Q76" i="15"/>
  <c r="P76" i="15"/>
  <c r="P91" i="15"/>
  <c r="R91" i="15"/>
  <c r="Q91" i="15"/>
  <c r="O91" i="15"/>
  <c r="O98" i="15"/>
  <c r="P98" i="15"/>
  <c r="R98" i="15"/>
  <c r="Q98" i="15"/>
  <c r="Q11" i="15"/>
  <c r="R11" i="15"/>
  <c r="O11" i="15"/>
  <c r="P11" i="15"/>
  <c r="O177" i="15"/>
  <c r="R177" i="15"/>
  <c r="Q177" i="15"/>
  <c r="P177" i="15"/>
  <c r="Q235" i="15"/>
  <c r="R235" i="15"/>
  <c r="P235" i="15"/>
  <c r="R72" i="15"/>
  <c r="O72" i="15"/>
  <c r="Q72" i="15"/>
  <c r="P72" i="15"/>
  <c r="S64" i="7"/>
  <c r="S139" i="7"/>
  <c r="S25" i="7"/>
  <c r="S109" i="7"/>
  <c r="O230" i="15"/>
  <c r="P230" i="15"/>
  <c r="Q230" i="15"/>
  <c r="R230" i="15"/>
  <c r="R110" i="15"/>
  <c r="P110" i="15"/>
  <c r="Q110" i="15"/>
  <c r="Q121" i="15"/>
  <c r="R121" i="15"/>
  <c r="P148" i="15"/>
  <c r="Q148" i="15"/>
  <c r="R148" i="15"/>
  <c r="P178" i="15"/>
  <c r="R178" i="15"/>
  <c r="O178" i="15"/>
  <c r="Q178" i="15"/>
  <c r="Q60" i="15"/>
  <c r="R60" i="15"/>
  <c r="O60" i="15"/>
  <c r="P60" i="15"/>
  <c r="O195" i="15"/>
  <c r="P195" i="15"/>
  <c r="Q195" i="15"/>
  <c r="R195" i="15"/>
  <c r="Q46" i="15"/>
  <c r="R46" i="15"/>
  <c r="P46" i="15"/>
  <c r="O46" i="15"/>
  <c r="P71" i="15"/>
  <c r="R71" i="15"/>
  <c r="Q71" i="15"/>
  <c r="G14" i="8"/>
  <c r="S72" i="7"/>
  <c r="Q80" i="15"/>
  <c r="R80" i="15"/>
  <c r="O80" i="15"/>
  <c r="P80" i="15"/>
  <c r="O109" i="15"/>
  <c r="Q109" i="15"/>
  <c r="O173" i="15"/>
  <c r="Q173" i="15"/>
  <c r="S24" i="7"/>
  <c r="P228" i="15"/>
  <c r="Q228" i="15"/>
  <c r="R228" i="15"/>
  <c r="R36" i="15"/>
  <c r="Q36" i="15"/>
  <c r="P36" i="15"/>
  <c r="O25" i="15"/>
  <c r="Q51" i="15"/>
  <c r="P51" i="15"/>
  <c r="O51" i="15"/>
  <c r="R51" i="15"/>
  <c r="O246" i="15"/>
  <c r="Q246" i="15"/>
  <c r="P246" i="15"/>
  <c r="R246" i="15"/>
  <c r="R41" i="15"/>
  <c r="Q41" i="15"/>
  <c r="P41" i="15"/>
  <c r="O41" i="15"/>
  <c r="P86" i="15"/>
  <c r="O86" i="15"/>
  <c r="R86" i="15"/>
  <c r="Q86" i="15"/>
  <c r="S152" i="7"/>
  <c r="O242" i="15"/>
  <c r="P242" i="15"/>
  <c r="Q137" i="15"/>
  <c r="P137" i="15"/>
  <c r="R236" i="15"/>
  <c r="Q236" i="15"/>
  <c r="P236" i="15"/>
  <c r="O236" i="15"/>
  <c r="O97" i="15"/>
  <c r="P97" i="15"/>
  <c r="Q97" i="15"/>
  <c r="R97" i="15"/>
  <c r="S177" i="7"/>
  <c r="Q169" i="15"/>
  <c r="P169" i="15"/>
  <c r="R169" i="15"/>
  <c r="O169" i="15"/>
  <c r="Q37" i="15"/>
  <c r="R37" i="15"/>
  <c r="O37" i="15"/>
  <c r="R203" i="15"/>
  <c r="Q203" i="15"/>
  <c r="O203" i="15"/>
  <c r="P203" i="15"/>
  <c r="P106" i="15"/>
  <c r="O106" i="15"/>
  <c r="R106" i="15"/>
  <c r="Q106" i="15"/>
  <c r="S168" i="7"/>
  <c r="R189" i="15"/>
  <c r="Q189" i="15"/>
  <c r="O189" i="15"/>
  <c r="P189" i="15"/>
  <c r="P515" i="15"/>
  <c r="Q515" i="15"/>
  <c r="R193" i="15"/>
  <c r="P193" i="15"/>
  <c r="O193" i="15"/>
  <c r="Q193" i="15"/>
  <c r="R12" i="15"/>
  <c r="Q12" i="15"/>
  <c r="O12" i="15"/>
  <c r="Q64" i="15"/>
  <c r="P64" i="15"/>
  <c r="R64" i="15"/>
  <c r="O64" i="15"/>
  <c r="O150" i="15"/>
  <c r="R150" i="15"/>
  <c r="Q150" i="15"/>
  <c r="P150" i="15"/>
  <c r="S154" i="7"/>
  <c r="O122" i="15"/>
  <c r="R122" i="15"/>
  <c r="P122" i="15"/>
  <c r="Q122" i="15"/>
  <c r="R206" i="15"/>
  <c r="O206" i="15"/>
  <c r="P206" i="15"/>
  <c r="Q206" i="15"/>
  <c r="P158" i="15"/>
  <c r="O158" i="15"/>
  <c r="Q158" i="15"/>
  <c r="R20" i="15"/>
  <c r="P20" i="15"/>
  <c r="Q20" i="15"/>
  <c r="O20" i="15"/>
  <c r="O42" i="15"/>
  <c r="R42" i="15"/>
  <c r="P42" i="15"/>
  <c r="Q42" i="15"/>
  <c r="Q232" i="15"/>
  <c r="P232" i="15"/>
  <c r="O232" i="15"/>
  <c r="R232" i="15"/>
  <c r="S244" i="7"/>
  <c r="S133" i="7"/>
  <c r="P63" i="15"/>
  <c r="Q63" i="15"/>
  <c r="O63" i="15"/>
  <c r="R63" i="15"/>
  <c r="R74" i="15"/>
  <c r="O74" i="15"/>
  <c r="P74" i="15"/>
  <c r="P252" i="15"/>
  <c r="Q252" i="15"/>
  <c r="O104" i="15"/>
  <c r="R104" i="15"/>
  <c r="P99" i="15"/>
  <c r="Q99" i="15"/>
  <c r="R99" i="15"/>
  <c r="O99" i="15"/>
  <c r="S7" i="7"/>
  <c r="O205" i="15"/>
  <c r="P205" i="15"/>
  <c r="R205" i="15"/>
  <c r="Q205" i="15"/>
  <c r="P191" i="15"/>
  <c r="R191" i="15"/>
  <c r="O191" i="15"/>
  <c r="Q191" i="15"/>
  <c r="P181" i="15"/>
  <c r="Q181" i="15"/>
  <c r="O181" i="15"/>
  <c r="R181" i="15"/>
  <c r="O126" i="15"/>
  <c r="R126" i="15"/>
  <c r="P126" i="15"/>
  <c r="Q126" i="15"/>
  <c r="R190" i="15"/>
  <c r="Q190" i="15"/>
  <c r="P190" i="15"/>
  <c r="O190" i="15"/>
  <c r="Q156" i="15"/>
  <c r="O156" i="15"/>
  <c r="P156" i="15"/>
  <c r="R156" i="15"/>
  <c r="H3" i="15"/>
  <c r="I9" i="8"/>
  <c r="I2" i="8" s="1"/>
  <c r="S3" i="7"/>
  <c r="J9" i="8"/>
  <c r="J2" i="8" s="1"/>
  <c r="H15" i="8"/>
  <c r="P174" i="15"/>
  <c r="R174" i="15"/>
  <c r="O174" i="15"/>
  <c r="Q174" i="15"/>
  <c r="Q187" i="15"/>
  <c r="O187" i="15"/>
  <c r="R187" i="15"/>
  <c r="P187" i="15"/>
  <c r="P10" i="15"/>
  <c r="Q10" i="15"/>
  <c r="O10" i="15"/>
  <c r="R10" i="15"/>
  <c r="P103" i="15"/>
  <c r="R103" i="15"/>
  <c r="O103" i="15"/>
  <c r="Q103" i="15"/>
  <c r="O250" i="15"/>
  <c r="Q250" i="15"/>
  <c r="P250" i="15"/>
  <c r="R250" i="15"/>
  <c r="P180" i="15"/>
  <c r="Q180" i="15"/>
  <c r="R180" i="15"/>
  <c r="O180" i="15"/>
  <c r="O34" i="15"/>
  <c r="R34" i="15"/>
  <c r="P34" i="15"/>
  <c r="Q34" i="15"/>
  <c r="Q184" i="15"/>
  <c r="R184" i="15"/>
  <c r="P184" i="15"/>
  <c r="O184" i="15"/>
  <c r="P220" i="15"/>
  <c r="R220" i="15"/>
  <c r="Q220" i="15"/>
  <c r="O220" i="15"/>
  <c r="Q136" i="15"/>
  <c r="R136" i="15"/>
  <c r="O136" i="15"/>
  <c r="P136" i="15"/>
  <c r="O4" i="15"/>
  <c r="P4" i="15"/>
  <c r="R4" i="15"/>
  <c r="Q4" i="15"/>
  <c r="Q172" i="15"/>
  <c r="P172" i="15"/>
  <c r="R172" i="15"/>
  <c r="O172" i="15"/>
  <c r="Q56" i="15"/>
  <c r="P56" i="15"/>
  <c r="O56" i="15"/>
  <c r="R56" i="15"/>
  <c r="O125" i="15"/>
  <c r="R125" i="15"/>
  <c r="P125" i="15"/>
  <c r="Q125" i="15"/>
  <c r="O127" i="15"/>
  <c r="Q127" i="15"/>
  <c r="R127" i="15"/>
  <c r="P127" i="15"/>
  <c r="Q67" i="15"/>
  <c r="O67" i="15"/>
  <c r="P67" i="15"/>
  <c r="R67" i="15"/>
  <c r="O49" i="15"/>
  <c r="P49" i="15"/>
  <c r="R49" i="15"/>
  <c r="Q49" i="15"/>
  <c r="R251" i="15"/>
  <c r="Q251" i="15"/>
  <c r="O251" i="15"/>
  <c r="P251" i="15"/>
  <c r="O175" i="15"/>
  <c r="R175" i="15"/>
  <c r="Q175" i="15"/>
  <c r="P175" i="15"/>
  <c r="Q57" i="15"/>
  <c r="R57" i="15"/>
  <c r="O57" i="15"/>
  <c r="P57" i="15"/>
  <c r="O245" i="15"/>
  <c r="R245" i="15"/>
  <c r="Q245" i="15"/>
  <c r="P245" i="15"/>
  <c r="O94" i="15"/>
  <c r="R94" i="15"/>
  <c r="Q94" i="15"/>
  <c r="P94" i="15"/>
  <c r="Q62" i="15"/>
  <c r="R62" i="15"/>
  <c r="O62" i="15"/>
  <c r="P62" i="15"/>
  <c r="O153" i="15"/>
  <c r="R153" i="15"/>
  <c r="Q153" i="15"/>
  <c r="P153" i="15"/>
  <c r="O108" i="15"/>
  <c r="P108" i="15"/>
  <c r="Q108" i="15"/>
  <c r="R108" i="15"/>
  <c r="O52" i="15"/>
  <c r="P52" i="15"/>
  <c r="Q52" i="15"/>
  <c r="R52" i="15"/>
  <c r="P9" i="15"/>
  <c r="O9" i="15"/>
  <c r="R9" i="15"/>
  <c r="Q9" i="15"/>
  <c r="Q96" i="15"/>
  <c r="O96" i="15"/>
  <c r="R96" i="15"/>
  <c r="P96" i="15"/>
  <c r="O58" i="15"/>
  <c r="P58" i="15"/>
  <c r="Q58" i="15"/>
  <c r="R58" i="15"/>
  <c r="O164" i="15"/>
  <c r="Q164" i="15"/>
  <c r="P164" i="15"/>
  <c r="R164" i="15"/>
  <c r="S243" i="7"/>
  <c r="P78" i="15"/>
  <c r="O78" i="15"/>
  <c r="R78" i="15"/>
  <c r="Q78" i="15"/>
  <c r="O224" i="15"/>
  <c r="Q224" i="15"/>
  <c r="P224" i="15"/>
  <c r="R224" i="15"/>
  <c r="Q227" i="15"/>
  <c r="P227" i="15"/>
  <c r="O227" i="15"/>
  <c r="R227" i="15"/>
  <c r="P143" i="15"/>
  <c r="R143" i="15"/>
  <c r="Q143" i="15"/>
  <c r="O143" i="15"/>
  <c r="P179" i="15"/>
  <c r="O179" i="15"/>
  <c r="R179" i="15"/>
  <c r="Q179" i="15"/>
  <c r="O18" i="15"/>
  <c r="Q18" i="15"/>
  <c r="P18" i="15"/>
  <c r="R18" i="15"/>
  <c r="O111" i="15"/>
  <c r="Q111" i="15"/>
  <c r="R111" i="15"/>
  <c r="P111" i="15"/>
  <c r="Q55" i="15"/>
  <c r="R55" i="15"/>
  <c r="O55" i="15"/>
  <c r="P55" i="15"/>
  <c r="O66" i="15"/>
  <c r="Q66" i="15"/>
  <c r="R66" i="15"/>
  <c r="P66" i="15"/>
  <c r="Q155" i="15"/>
  <c r="P155" i="15"/>
  <c r="O155" i="15"/>
  <c r="R155" i="15"/>
  <c r="R186" i="15"/>
  <c r="P186" i="15"/>
  <c r="Q186" i="15"/>
  <c r="O186" i="15"/>
  <c r="Y875" i="15" l="1"/>
  <c r="Y881" i="15"/>
  <c r="Z883" i="15"/>
  <c r="Y883" i="15"/>
  <c r="Z875" i="15"/>
  <c r="Y879" i="15"/>
  <c r="Z881" i="15"/>
  <c r="Z876" i="15"/>
  <c r="Y882" i="15"/>
  <c r="V884" i="15"/>
  <c r="T884" i="15"/>
  <c r="W884" i="15"/>
  <c r="F884" i="15"/>
  <c r="D884" i="15"/>
  <c r="E884" i="15"/>
  <c r="X884" i="15"/>
  <c r="AD884" i="15"/>
  <c r="F366" i="15"/>
  <c r="F60" i="15"/>
  <c r="F38" i="15"/>
  <c r="F207" i="15"/>
  <c r="F255" i="15"/>
  <c r="F352" i="15"/>
  <c r="F286" i="15"/>
  <c r="F182" i="15"/>
  <c r="F82" i="15"/>
  <c r="F126" i="15"/>
  <c r="F315" i="15"/>
  <c r="F355" i="15"/>
  <c r="F23" i="15"/>
  <c r="F231" i="15"/>
  <c r="W882" i="15"/>
  <c r="V882" i="15"/>
  <c r="T882" i="15"/>
  <c r="F882" i="15"/>
  <c r="D882" i="15"/>
  <c r="E882" i="15"/>
  <c r="V883" i="15"/>
  <c r="W883" i="15"/>
  <c r="T883" i="15"/>
  <c r="F883" i="15"/>
  <c r="E883" i="15"/>
  <c r="D883" i="15"/>
  <c r="X882" i="15"/>
  <c r="X883" i="15"/>
  <c r="AD882" i="15"/>
  <c r="AD883" i="15"/>
  <c r="X880" i="15"/>
  <c r="T881" i="15"/>
  <c r="W881" i="15"/>
  <c r="V881" i="15"/>
  <c r="D881" i="15"/>
  <c r="F881" i="15"/>
  <c r="E881" i="15"/>
  <c r="X881" i="15"/>
  <c r="AD881" i="15"/>
  <c r="W879" i="15"/>
  <c r="V879" i="15"/>
  <c r="T879" i="15"/>
  <c r="F879" i="15"/>
  <c r="E879" i="15"/>
  <c r="D879" i="15"/>
  <c r="F880" i="15"/>
  <c r="E880" i="15"/>
  <c r="D880" i="15"/>
  <c r="V880" i="15"/>
  <c r="W880" i="15"/>
  <c r="T880" i="15"/>
  <c r="X879" i="15"/>
  <c r="Y880" i="15"/>
  <c r="Z880" i="15"/>
  <c r="AD879" i="15"/>
  <c r="AD880" i="15"/>
  <c r="W877" i="15"/>
  <c r="V877" i="15"/>
  <c r="T877" i="15"/>
  <c r="E877" i="15"/>
  <c r="F877" i="15"/>
  <c r="D877" i="15"/>
  <c r="W878" i="15"/>
  <c r="V878" i="15"/>
  <c r="T878" i="15"/>
  <c r="D878" i="15"/>
  <c r="F878" i="15"/>
  <c r="E878" i="15"/>
  <c r="X877" i="15"/>
  <c r="X878" i="15"/>
  <c r="AD878" i="15"/>
  <c r="AD877" i="15"/>
  <c r="V876" i="15"/>
  <c r="T876" i="15"/>
  <c r="W876" i="15"/>
  <c r="F876" i="15"/>
  <c r="E876" i="15"/>
  <c r="D876" i="15"/>
  <c r="X876" i="15"/>
  <c r="AD876" i="15"/>
  <c r="W875" i="15"/>
  <c r="V875" i="15"/>
  <c r="T875" i="15"/>
  <c r="F875" i="15"/>
  <c r="E875" i="15"/>
  <c r="D875" i="15"/>
  <c r="X875" i="15"/>
  <c r="AD875" i="15"/>
  <c r="E441" i="15"/>
  <c r="F441" i="15"/>
  <c r="X874" i="15"/>
  <c r="E464" i="15"/>
  <c r="F464" i="15"/>
  <c r="F874" i="15"/>
  <c r="E874" i="15"/>
  <c r="D874" i="15"/>
  <c r="V874" i="15"/>
  <c r="T874" i="15"/>
  <c r="W874" i="15"/>
  <c r="Y874" i="15"/>
  <c r="Z874" i="15"/>
  <c r="AD874" i="15"/>
  <c r="Y873" i="15"/>
  <c r="Z873" i="15"/>
  <c r="D873" i="15"/>
  <c r="F873" i="15"/>
  <c r="E873" i="15"/>
  <c r="X873" i="15"/>
  <c r="V873" i="15"/>
  <c r="T873" i="15"/>
  <c r="W873" i="15"/>
  <c r="AD873" i="15"/>
  <c r="X871" i="15"/>
  <c r="Y872" i="15"/>
  <c r="Z872" i="15"/>
  <c r="D871" i="15"/>
  <c r="E871" i="15"/>
  <c r="F871" i="15"/>
  <c r="X872" i="15"/>
  <c r="V872" i="15"/>
  <c r="W872" i="15"/>
  <c r="T872" i="15"/>
  <c r="V871" i="15"/>
  <c r="W871" i="15"/>
  <c r="T871" i="15"/>
  <c r="Z871" i="15"/>
  <c r="F872" i="15"/>
  <c r="E872" i="15"/>
  <c r="D872" i="15"/>
  <c r="Y871" i="15"/>
  <c r="AD871" i="15"/>
  <c r="AD872" i="15"/>
  <c r="Y870" i="15"/>
  <c r="Z870" i="15"/>
  <c r="X870" i="15"/>
  <c r="D870" i="15"/>
  <c r="F870" i="15"/>
  <c r="E870" i="15"/>
  <c r="T870" i="15"/>
  <c r="V870" i="15"/>
  <c r="W870" i="15"/>
  <c r="AD870" i="15"/>
  <c r="Z869" i="15"/>
  <c r="Y869" i="15"/>
  <c r="T869" i="15"/>
  <c r="W869" i="15"/>
  <c r="V869" i="15"/>
  <c r="X869" i="15"/>
  <c r="D869" i="15"/>
  <c r="F869" i="15"/>
  <c r="E869" i="15"/>
  <c r="AD869" i="15"/>
  <c r="Z868" i="15"/>
  <c r="Y868" i="15"/>
  <c r="X868" i="15"/>
  <c r="W868" i="15"/>
  <c r="T868" i="15"/>
  <c r="V868" i="15"/>
  <c r="D868" i="15"/>
  <c r="F868" i="15"/>
  <c r="E868" i="15"/>
  <c r="AD868" i="15"/>
  <c r="Y867" i="15"/>
  <c r="D867" i="15"/>
  <c r="F867" i="15"/>
  <c r="E867" i="15"/>
  <c r="T867" i="15"/>
  <c r="W867" i="15"/>
  <c r="V867" i="15"/>
  <c r="Z867" i="15"/>
  <c r="X867" i="15"/>
  <c r="AD867" i="15"/>
  <c r="X866" i="15"/>
  <c r="X865" i="15"/>
  <c r="Z865" i="15"/>
  <c r="W866" i="15"/>
  <c r="T866" i="15"/>
  <c r="V866" i="15"/>
  <c r="Y866" i="15"/>
  <c r="D865" i="15"/>
  <c r="F865" i="15"/>
  <c r="E865" i="15"/>
  <c r="Z866" i="15"/>
  <c r="V865" i="15"/>
  <c r="T865" i="15"/>
  <c r="W865" i="15"/>
  <c r="Y865" i="15"/>
  <c r="D866" i="15"/>
  <c r="E866" i="15"/>
  <c r="F866" i="15"/>
  <c r="AD865" i="15"/>
  <c r="AD866" i="15"/>
  <c r="Y864" i="15"/>
  <c r="Z864" i="15"/>
  <c r="T864" i="15"/>
  <c r="W864" i="15"/>
  <c r="V864" i="15"/>
  <c r="X864" i="15"/>
  <c r="AD864" i="15"/>
  <c r="D864" i="15"/>
  <c r="F864" i="15"/>
  <c r="E864" i="15"/>
  <c r="Y863" i="15"/>
  <c r="Z863" i="15"/>
  <c r="X863" i="15"/>
  <c r="E863" i="15"/>
  <c r="F863" i="15"/>
  <c r="D863" i="15"/>
  <c r="V863" i="15"/>
  <c r="T863" i="15"/>
  <c r="W863" i="15"/>
  <c r="AD863" i="15"/>
  <c r="Z862" i="15"/>
  <c r="D862" i="15"/>
  <c r="E862" i="15"/>
  <c r="F862" i="15"/>
  <c r="T862" i="15"/>
  <c r="W862" i="15"/>
  <c r="V862" i="15"/>
  <c r="Y862" i="15"/>
  <c r="X862" i="15"/>
  <c r="AD862" i="15"/>
  <c r="Y861" i="15"/>
  <c r="Z861" i="15"/>
  <c r="T861" i="15"/>
  <c r="W861" i="15"/>
  <c r="V861" i="15"/>
  <c r="D861" i="15"/>
  <c r="E861" i="15"/>
  <c r="F861" i="15"/>
  <c r="X861" i="15"/>
  <c r="AD861" i="15"/>
  <c r="Z860" i="15"/>
  <c r="Y860" i="15"/>
  <c r="T860" i="15"/>
  <c r="V860" i="15"/>
  <c r="W860" i="15"/>
  <c r="E860" i="15"/>
  <c r="D860" i="15"/>
  <c r="F860" i="15"/>
  <c r="X860" i="15"/>
  <c r="Y859" i="15"/>
  <c r="F31" i="15"/>
  <c r="AD860" i="15"/>
  <c r="Z859" i="15"/>
  <c r="D859" i="15"/>
  <c r="F859" i="15"/>
  <c r="E859" i="15"/>
  <c r="W859" i="15"/>
  <c r="V859" i="15"/>
  <c r="T859" i="15"/>
  <c r="X859" i="15"/>
  <c r="AD859" i="15"/>
  <c r="Y858" i="15"/>
  <c r="Z858" i="15"/>
  <c r="W858" i="15"/>
  <c r="T858" i="15"/>
  <c r="V858" i="15"/>
  <c r="D858" i="15"/>
  <c r="E858" i="15"/>
  <c r="F858" i="15"/>
  <c r="X858" i="15"/>
  <c r="AD858" i="15"/>
  <c r="F156" i="15"/>
  <c r="F180" i="15"/>
  <c r="F282" i="15"/>
  <c r="F71" i="15"/>
  <c r="Z857" i="15"/>
  <c r="Y857" i="15"/>
  <c r="X857" i="15"/>
  <c r="D857" i="15"/>
  <c r="E857" i="15"/>
  <c r="F857" i="15"/>
  <c r="T857" i="15"/>
  <c r="V857" i="15"/>
  <c r="W857" i="15"/>
  <c r="AD857" i="15"/>
  <c r="X856" i="15"/>
  <c r="V856" i="15"/>
  <c r="E856" i="15"/>
  <c r="D856" i="15"/>
  <c r="F856" i="15"/>
  <c r="W856" i="15"/>
  <c r="Y856" i="15"/>
  <c r="T856" i="15"/>
  <c r="Z856" i="15"/>
  <c r="F448" i="15"/>
  <c r="AD856" i="15"/>
  <c r="Y855" i="15"/>
  <c r="Z855" i="15"/>
  <c r="W855" i="15"/>
  <c r="V855" i="15"/>
  <c r="T855" i="15"/>
  <c r="D855" i="15"/>
  <c r="E855" i="15"/>
  <c r="F855" i="15"/>
  <c r="X855" i="15"/>
  <c r="AD855" i="15"/>
  <c r="X854" i="15"/>
  <c r="Z853" i="15"/>
  <c r="F853" i="15"/>
  <c r="D853" i="15"/>
  <c r="E853" i="15"/>
  <c r="Y854" i="15"/>
  <c r="Y853" i="15"/>
  <c r="X853" i="15"/>
  <c r="T854" i="15"/>
  <c r="W854" i="15"/>
  <c r="V854" i="15"/>
  <c r="F854" i="15"/>
  <c r="E854" i="15"/>
  <c r="D854" i="15"/>
  <c r="V853" i="15"/>
  <c r="W853" i="15"/>
  <c r="T853" i="15"/>
  <c r="Z854" i="15"/>
  <c r="AD853" i="15"/>
  <c r="F434" i="15"/>
  <c r="F238" i="15"/>
  <c r="F360" i="15"/>
  <c r="AD854" i="15"/>
  <c r="Z852" i="15"/>
  <c r="Y852" i="15"/>
  <c r="X852" i="15"/>
  <c r="D852" i="15"/>
  <c r="F852" i="15"/>
  <c r="E852" i="15"/>
  <c r="V852" i="15"/>
  <c r="W852" i="15"/>
  <c r="T852" i="15"/>
  <c r="AD852" i="15"/>
  <c r="Y851" i="15"/>
  <c r="T851" i="15"/>
  <c r="W851" i="15"/>
  <c r="V851" i="15"/>
  <c r="D851" i="15"/>
  <c r="E851" i="15"/>
  <c r="F851" i="15"/>
  <c r="X851" i="15"/>
  <c r="AD851" i="15"/>
  <c r="F314" i="15"/>
  <c r="D850" i="15"/>
  <c r="F850" i="15"/>
  <c r="E850" i="15"/>
  <c r="V850" i="15"/>
  <c r="T850" i="15"/>
  <c r="W850" i="15"/>
  <c r="Z850" i="15"/>
  <c r="Y850" i="15"/>
  <c r="X850" i="15"/>
  <c r="F549" i="15"/>
  <c r="F501" i="15"/>
  <c r="F525" i="15"/>
  <c r="F140" i="15"/>
  <c r="F303" i="15"/>
  <c r="F505" i="15"/>
  <c r="AD850" i="15"/>
  <c r="X849" i="15"/>
  <c r="AD849" i="15"/>
  <c r="T849" i="15"/>
  <c r="W849" i="15"/>
  <c r="V849" i="15"/>
  <c r="Y849" i="15"/>
  <c r="Z849" i="15"/>
  <c r="D849" i="15"/>
  <c r="F849" i="15"/>
  <c r="E849" i="15"/>
  <c r="F436" i="15"/>
  <c r="Z848" i="15"/>
  <c r="Y848" i="15"/>
  <c r="V848" i="15"/>
  <c r="X848" i="15"/>
  <c r="D848" i="15"/>
  <c r="F848" i="15"/>
  <c r="E848" i="15"/>
  <c r="W848" i="15"/>
  <c r="T848" i="15"/>
  <c r="F166" i="15"/>
  <c r="AD848" i="15"/>
  <c r="X847" i="15"/>
  <c r="D847" i="15"/>
  <c r="F847" i="15"/>
  <c r="E847" i="15"/>
  <c r="Y847" i="15"/>
  <c r="Z847" i="15"/>
  <c r="T847" i="15"/>
  <c r="V847" i="15"/>
  <c r="W847" i="15"/>
  <c r="AD847" i="15"/>
  <c r="Y846" i="15"/>
  <c r="Z846" i="15"/>
  <c r="W846" i="15"/>
  <c r="V846" i="15"/>
  <c r="T846" i="15"/>
  <c r="X846" i="15"/>
  <c r="D846" i="15"/>
  <c r="F846" i="15"/>
  <c r="E846" i="15"/>
  <c r="AD846" i="15"/>
  <c r="Y845" i="15"/>
  <c r="Z845" i="15"/>
  <c r="V845" i="15"/>
  <c r="W845" i="15"/>
  <c r="T845" i="15"/>
  <c r="X845" i="15"/>
  <c r="D845" i="15"/>
  <c r="E845" i="15"/>
  <c r="F845" i="15"/>
  <c r="AD845" i="15"/>
  <c r="Y844" i="15"/>
  <c r="D844" i="15"/>
  <c r="F844" i="15"/>
  <c r="E844" i="15"/>
  <c r="T844" i="15"/>
  <c r="W844" i="15"/>
  <c r="V844" i="15"/>
  <c r="AD844" i="15"/>
  <c r="Z844" i="15"/>
  <c r="X844" i="15"/>
  <c r="F143" i="15"/>
  <c r="F52" i="15"/>
  <c r="F294" i="15"/>
  <c r="F128" i="15"/>
  <c r="F542" i="15"/>
  <c r="F561" i="15"/>
  <c r="F177" i="15"/>
  <c r="F136" i="15"/>
  <c r="F64" i="15"/>
  <c r="F468" i="15"/>
  <c r="X843" i="15"/>
  <c r="D843" i="15"/>
  <c r="F843" i="15"/>
  <c r="E843" i="15"/>
  <c r="Y843" i="15"/>
  <c r="V843" i="15"/>
  <c r="W843" i="15"/>
  <c r="T843" i="15"/>
  <c r="Z843" i="15"/>
  <c r="AD843" i="15"/>
  <c r="Y842" i="15"/>
  <c r="Z842" i="15"/>
  <c r="D842" i="15"/>
  <c r="E842" i="15"/>
  <c r="F842" i="15"/>
  <c r="W842" i="15"/>
  <c r="V842" i="15"/>
  <c r="T842" i="15"/>
  <c r="X842" i="15"/>
  <c r="F517" i="15"/>
  <c r="F261" i="15"/>
  <c r="F80" i="15"/>
  <c r="F159" i="15"/>
  <c r="F349" i="15"/>
  <c r="F227" i="15"/>
  <c r="F211" i="15"/>
  <c r="F224" i="15"/>
  <c r="F433" i="15"/>
  <c r="AD842" i="15"/>
  <c r="Z841" i="15"/>
  <c r="Y841" i="15"/>
  <c r="E841" i="15"/>
  <c r="F841" i="15"/>
  <c r="D841" i="15"/>
  <c r="X841" i="15"/>
  <c r="W841" i="15"/>
  <c r="V841" i="15"/>
  <c r="T841" i="15"/>
  <c r="AD841" i="15"/>
  <c r="X840" i="15"/>
  <c r="D840" i="15"/>
  <c r="E840" i="15"/>
  <c r="F840" i="15"/>
  <c r="Y840" i="15"/>
  <c r="Z840" i="15"/>
  <c r="T840" i="15"/>
  <c r="V840" i="15"/>
  <c r="W840" i="15"/>
  <c r="AD840" i="15"/>
  <c r="F389" i="15"/>
  <c r="Y839" i="15"/>
  <c r="Z839" i="15"/>
  <c r="D839" i="15"/>
  <c r="F839" i="15"/>
  <c r="E839" i="15"/>
  <c r="X839" i="15"/>
  <c r="T839" i="15"/>
  <c r="W839" i="15"/>
  <c r="V839" i="15"/>
  <c r="F485" i="15"/>
  <c r="F40" i="15"/>
  <c r="F119" i="15"/>
  <c r="F183" i="15"/>
  <c r="F138" i="15"/>
  <c r="F470" i="15"/>
  <c r="AD839" i="15"/>
  <c r="Y838" i="15"/>
  <c r="Z838" i="15"/>
  <c r="T838" i="15"/>
  <c r="W838" i="15"/>
  <c r="V838" i="15"/>
  <c r="D838" i="15"/>
  <c r="E838" i="15"/>
  <c r="F838" i="15"/>
  <c r="X838" i="15"/>
  <c r="F267" i="15"/>
  <c r="AD838" i="15"/>
  <c r="Z837" i="15"/>
  <c r="Y837" i="15"/>
  <c r="T837" i="15"/>
  <c r="W837" i="15"/>
  <c r="V837" i="15"/>
  <c r="X837" i="15"/>
  <c r="D837" i="15"/>
  <c r="F837" i="15"/>
  <c r="E837" i="15"/>
  <c r="AD837" i="15"/>
  <c r="Y836" i="15"/>
  <c r="Z836" i="15"/>
  <c r="T836" i="15"/>
  <c r="W836" i="15"/>
  <c r="V836" i="15"/>
  <c r="X836" i="15"/>
  <c r="D836" i="15"/>
  <c r="F836" i="15"/>
  <c r="E836" i="15"/>
  <c r="AD836" i="15"/>
  <c r="Y835" i="15"/>
  <c r="Z835" i="15"/>
  <c r="X835" i="15"/>
  <c r="D835" i="15"/>
  <c r="E835" i="15"/>
  <c r="F835" i="15"/>
  <c r="V835" i="15"/>
  <c r="T835" i="15"/>
  <c r="W835" i="15"/>
  <c r="F338" i="15"/>
  <c r="AD835" i="15"/>
  <c r="Z834" i="15"/>
  <c r="Y834" i="15"/>
  <c r="X834" i="15"/>
  <c r="E834" i="15"/>
  <c r="F834" i="15"/>
  <c r="D834" i="15"/>
  <c r="T834" i="15"/>
  <c r="W834" i="15"/>
  <c r="V834" i="15"/>
  <c r="AD834" i="15"/>
  <c r="X833" i="15"/>
  <c r="F236" i="15"/>
  <c r="F340" i="15"/>
  <c r="F399" i="15"/>
  <c r="F320" i="15"/>
  <c r="F293" i="15"/>
  <c r="F168" i="15"/>
  <c r="F388" i="15"/>
  <c r="F160" i="15"/>
  <c r="F463" i="15"/>
  <c r="F241" i="15"/>
  <c r="F244" i="15"/>
  <c r="F55" i="15"/>
  <c r="F435" i="15"/>
  <c r="F291" i="15"/>
  <c r="F133" i="15"/>
  <c r="F10" i="15"/>
  <c r="W833" i="15"/>
  <c r="T833" i="15"/>
  <c r="V833" i="15"/>
  <c r="F253" i="15"/>
  <c r="F269" i="15"/>
  <c r="D833" i="15"/>
  <c r="E833" i="15"/>
  <c r="F833" i="15"/>
  <c r="F219" i="15"/>
  <c r="F86" i="15"/>
  <c r="F513" i="15"/>
  <c r="Z833" i="15"/>
  <c r="F336" i="15"/>
  <c r="F540" i="15"/>
  <c r="F377" i="15"/>
  <c r="F175" i="15"/>
  <c r="F42" i="15"/>
  <c r="Y833" i="15"/>
  <c r="F302" i="15"/>
  <c r="F194" i="15"/>
  <c r="F328" i="15"/>
  <c r="F439" i="15"/>
  <c r="F69" i="15"/>
  <c r="AD833" i="15"/>
  <c r="Z832" i="15"/>
  <c r="Y832" i="15"/>
  <c r="T832" i="15"/>
  <c r="W832" i="15"/>
  <c r="V832" i="15"/>
  <c r="X832" i="15"/>
  <c r="D832" i="15"/>
  <c r="E832" i="15"/>
  <c r="F832" i="15"/>
  <c r="AD832" i="15"/>
  <c r="Y831" i="15"/>
  <c r="Z831" i="15"/>
  <c r="D831" i="15"/>
  <c r="F831" i="15"/>
  <c r="E831" i="15"/>
  <c r="T831" i="15"/>
  <c r="W831" i="15"/>
  <c r="V831" i="15"/>
  <c r="X831" i="15"/>
  <c r="AD831" i="15"/>
  <c r="X829" i="15"/>
  <c r="Y830" i="15"/>
  <c r="Z830" i="15"/>
  <c r="Y829" i="15"/>
  <c r="Z829" i="15"/>
  <c r="T829" i="15"/>
  <c r="V829" i="15"/>
  <c r="W829" i="15"/>
  <c r="T830" i="15"/>
  <c r="V830" i="15"/>
  <c r="W830" i="15"/>
  <c r="D830" i="15"/>
  <c r="E830" i="15"/>
  <c r="F830" i="15"/>
  <c r="X830" i="15"/>
  <c r="E829" i="15"/>
  <c r="D829" i="15"/>
  <c r="F829" i="15"/>
  <c r="AD829" i="15"/>
  <c r="AD830" i="15"/>
  <c r="X826" i="15"/>
  <c r="Y826" i="15"/>
  <c r="Z825" i="15"/>
  <c r="Y825" i="15"/>
  <c r="Z828" i="15"/>
  <c r="X827" i="15"/>
  <c r="E826" i="15"/>
  <c r="F826" i="15"/>
  <c r="D826" i="15"/>
  <c r="T825" i="15"/>
  <c r="V825" i="15"/>
  <c r="W825" i="15"/>
  <c r="Y828" i="15"/>
  <c r="X828" i="15"/>
  <c r="X825" i="15"/>
  <c r="Z826" i="15"/>
  <c r="F828" i="15"/>
  <c r="E828" i="15"/>
  <c r="D828" i="15"/>
  <c r="E825" i="15"/>
  <c r="F825" i="15"/>
  <c r="D825" i="15"/>
  <c r="V826" i="15"/>
  <c r="T826" i="15"/>
  <c r="W826" i="15"/>
  <c r="T827" i="15"/>
  <c r="W827" i="15"/>
  <c r="V827" i="15"/>
  <c r="F827" i="15"/>
  <c r="D827" i="15"/>
  <c r="E827" i="15"/>
  <c r="Y827" i="15"/>
  <c r="V828" i="15"/>
  <c r="W828" i="15"/>
  <c r="T828" i="15"/>
  <c r="Z827" i="15"/>
  <c r="AD826" i="15"/>
  <c r="AD827" i="15"/>
  <c r="AD828" i="15"/>
  <c r="AD825" i="15"/>
  <c r="Z824" i="15"/>
  <c r="Y824" i="15"/>
  <c r="F824" i="15"/>
  <c r="D824" i="15"/>
  <c r="E824" i="15"/>
  <c r="W824" i="15"/>
  <c r="T824" i="15"/>
  <c r="V824" i="15"/>
  <c r="X824" i="15"/>
  <c r="AD824" i="15"/>
  <c r="F262" i="15"/>
  <c r="Z823" i="15"/>
  <c r="Y823" i="15"/>
  <c r="X823" i="15"/>
  <c r="D823" i="15"/>
  <c r="E823" i="15"/>
  <c r="F823" i="15"/>
  <c r="T823" i="15"/>
  <c r="W823" i="15"/>
  <c r="V823" i="15"/>
  <c r="AD823" i="15"/>
  <c r="Y822" i="15"/>
  <c r="T822" i="15"/>
  <c r="W822" i="15"/>
  <c r="V822" i="15"/>
  <c r="D822" i="15"/>
  <c r="E822" i="15"/>
  <c r="F822" i="15"/>
  <c r="Z822" i="15"/>
  <c r="X822" i="15"/>
  <c r="AD822" i="15"/>
  <c r="Z821" i="15"/>
  <c r="Y821" i="15"/>
  <c r="AD821" i="15"/>
  <c r="T821" i="15"/>
  <c r="V821" i="15"/>
  <c r="W821" i="15"/>
  <c r="D821" i="15"/>
  <c r="E821" i="15"/>
  <c r="F821" i="15"/>
  <c r="X821" i="15"/>
  <c r="F384" i="15"/>
  <c r="Y820" i="15"/>
  <c r="Z820" i="15"/>
  <c r="T820" i="15"/>
  <c r="W820" i="15"/>
  <c r="V820" i="15"/>
  <c r="D820" i="15"/>
  <c r="E820" i="15"/>
  <c r="F820" i="15"/>
  <c r="AD820" i="15"/>
  <c r="X820" i="15"/>
  <c r="Y819" i="15"/>
  <c r="Z819" i="15"/>
  <c r="T819" i="15"/>
  <c r="W819" i="15"/>
  <c r="V819" i="15"/>
  <c r="D819" i="15"/>
  <c r="E819" i="15"/>
  <c r="F819" i="15"/>
  <c r="X819" i="15"/>
  <c r="AD819" i="15"/>
  <c r="F11" i="15"/>
  <c r="Z817" i="15"/>
  <c r="Y818" i="15"/>
  <c r="X818" i="15"/>
  <c r="D818" i="15"/>
  <c r="E818" i="15"/>
  <c r="F818" i="15"/>
  <c r="Z818" i="15"/>
  <c r="AD818" i="15"/>
  <c r="T818" i="15"/>
  <c r="W818" i="15"/>
  <c r="V818" i="15"/>
  <c r="Y817" i="15"/>
  <c r="X817" i="15"/>
  <c r="D817" i="15"/>
  <c r="F817" i="15"/>
  <c r="E817" i="15"/>
  <c r="T817" i="15"/>
  <c r="V817" i="15"/>
  <c r="W817" i="15"/>
  <c r="F508" i="15"/>
  <c r="AD817" i="15"/>
  <c r="Z815" i="15"/>
  <c r="Z816" i="15"/>
  <c r="Y815" i="15"/>
  <c r="X815" i="15"/>
  <c r="D815" i="15"/>
  <c r="E815" i="15"/>
  <c r="F815" i="15"/>
  <c r="V816" i="15"/>
  <c r="T816" i="15"/>
  <c r="W816" i="15"/>
  <c r="Y816" i="15"/>
  <c r="X816" i="15"/>
  <c r="W815" i="15"/>
  <c r="V815" i="15"/>
  <c r="T815" i="15"/>
  <c r="D816" i="15"/>
  <c r="E816" i="15"/>
  <c r="F816" i="15"/>
  <c r="AD815" i="15"/>
  <c r="AD816" i="15"/>
  <c r="Z814" i="15"/>
  <c r="Y814" i="15"/>
  <c r="T814" i="15"/>
  <c r="V814" i="15"/>
  <c r="W814" i="15"/>
  <c r="D814" i="15"/>
  <c r="E814" i="15"/>
  <c r="F814" i="15"/>
  <c r="X814" i="15"/>
  <c r="AD814" i="15"/>
  <c r="Y813" i="15"/>
  <c r="Z813" i="15"/>
  <c r="X813" i="15"/>
  <c r="T813" i="15"/>
  <c r="W813" i="15"/>
  <c r="V813" i="15"/>
  <c r="D813" i="15"/>
  <c r="E813" i="15"/>
  <c r="F813" i="15"/>
  <c r="F329" i="15"/>
  <c r="F190" i="15"/>
  <c r="AD813" i="15"/>
  <c r="F88" i="15"/>
  <c r="F83" i="15"/>
  <c r="F246" i="15"/>
  <c r="F152" i="15"/>
  <c r="X812" i="15"/>
  <c r="Y812" i="15"/>
  <c r="T812" i="15"/>
  <c r="V812" i="15"/>
  <c r="W812" i="15"/>
  <c r="D812" i="15"/>
  <c r="E812" i="15"/>
  <c r="F812" i="15"/>
  <c r="Z812" i="15"/>
  <c r="AD812" i="15"/>
  <c r="X811" i="15"/>
  <c r="Y811" i="15"/>
  <c r="Z811" i="15"/>
  <c r="T811" i="15"/>
  <c r="V811" i="15"/>
  <c r="W811" i="15"/>
  <c r="D811" i="15"/>
  <c r="F811" i="15"/>
  <c r="E811" i="15"/>
  <c r="AD811" i="15"/>
  <c r="Y810" i="15"/>
  <c r="Z810" i="15"/>
  <c r="X810" i="15"/>
  <c r="F810" i="15"/>
  <c r="E810" i="15"/>
  <c r="D810" i="15"/>
  <c r="T810" i="15"/>
  <c r="V810" i="15"/>
  <c r="W810" i="15"/>
  <c r="AD810" i="15"/>
  <c r="Z809" i="15"/>
  <c r="Y809" i="15"/>
  <c r="T809" i="15"/>
  <c r="V809" i="15"/>
  <c r="W809" i="15"/>
  <c r="X809" i="15"/>
  <c r="F809" i="15"/>
  <c r="E809" i="15"/>
  <c r="D809" i="15"/>
  <c r="AD809" i="15"/>
  <c r="Y808" i="15"/>
  <c r="Z808" i="15"/>
  <c r="X808" i="15"/>
  <c r="D808" i="15"/>
  <c r="E808" i="15"/>
  <c r="F808" i="15"/>
  <c r="T808" i="15"/>
  <c r="W808" i="15"/>
  <c r="V808" i="15"/>
  <c r="F187" i="15"/>
  <c r="AD808" i="15"/>
  <c r="F449" i="15"/>
  <c r="F7" i="15"/>
  <c r="Y807" i="15"/>
  <c r="Z807" i="15"/>
  <c r="F807" i="15"/>
  <c r="D807" i="15"/>
  <c r="E807" i="15"/>
  <c r="X807" i="15"/>
  <c r="T807" i="15"/>
  <c r="V807" i="15"/>
  <c r="W807" i="15"/>
  <c r="AD807" i="15"/>
  <c r="Y806" i="15"/>
  <c r="Z806" i="15"/>
  <c r="V806" i="15"/>
  <c r="W806" i="15"/>
  <c r="T806" i="15"/>
  <c r="D806" i="15"/>
  <c r="F806" i="15"/>
  <c r="E806" i="15"/>
  <c r="X806" i="15"/>
  <c r="AD806" i="15"/>
  <c r="F124" i="15"/>
  <c r="Y805" i="15"/>
  <c r="Z805" i="15"/>
  <c r="D805" i="15"/>
  <c r="E805" i="15"/>
  <c r="F805" i="15"/>
  <c r="X805" i="15"/>
  <c r="T805" i="15"/>
  <c r="W805" i="15"/>
  <c r="V805" i="15"/>
  <c r="AD805" i="15"/>
  <c r="F271" i="15"/>
  <c r="Y804" i="15"/>
  <c r="Z804" i="15"/>
  <c r="T804" i="15"/>
  <c r="V804" i="15"/>
  <c r="W804" i="15"/>
  <c r="X804" i="15"/>
  <c r="D804" i="15"/>
  <c r="E804" i="15"/>
  <c r="F804" i="15"/>
  <c r="F158" i="15"/>
  <c r="F99" i="15"/>
  <c r="AD804" i="15"/>
  <c r="F247" i="15"/>
  <c r="Y803" i="15"/>
  <c r="Z803" i="15"/>
  <c r="T803" i="15"/>
  <c r="V803" i="15"/>
  <c r="W803" i="15"/>
  <c r="D803" i="15"/>
  <c r="E803" i="15"/>
  <c r="F803" i="15"/>
  <c r="X803" i="15"/>
  <c r="AD803" i="15"/>
  <c r="Z802" i="15"/>
  <c r="Y802" i="15"/>
  <c r="X802" i="15"/>
  <c r="T802" i="15"/>
  <c r="V802" i="15"/>
  <c r="W802" i="15"/>
  <c r="D802" i="15"/>
  <c r="E802" i="15"/>
  <c r="F802" i="15"/>
  <c r="AD802" i="15"/>
  <c r="F359" i="15"/>
  <c r="Z801" i="15"/>
  <c r="Z800" i="15"/>
  <c r="Y800" i="15"/>
  <c r="X800" i="15"/>
  <c r="V800" i="15"/>
  <c r="T800" i="15"/>
  <c r="W800" i="15"/>
  <c r="Y801" i="15"/>
  <c r="X801" i="15"/>
  <c r="D801" i="15"/>
  <c r="E801" i="15"/>
  <c r="F801" i="15"/>
  <c r="D800" i="15"/>
  <c r="E800" i="15"/>
  <c r="F800" i="15"/>
  <c r="T801" i="15"/>
  <c r="W801" i="15"/>
  <c r="V801" i="15"/>
  <c r="F118" i="15"/>
  <c r="F89" i="15"/>
  <c r="F63" i="15"/>
  <c r="F197" i="15"/>
  <c r="F473" i="15"/>
  <c r="AD800" i="15"/>
  <c r="F67" i="15"/>
  <c r="F362" i="15"/>
  <c r="F184" i="15"/>
  <c r="F163" i="15"/>
  <c r="F339" i="15"/>
  <c r="F354" i="15"/>
  <c r="F325" i="15"/>
  <c r="F8" i="15"/>
  <c r="F321" i="15"/>
  <c r="F311" i="15"/>
  <c r="F344" i="15"/>
  <c r="F450" i="15"/>
  <c r="F108" i="15"/>
  <c r="F139" i="15"/>
  <c r="F414" i="15"/>
  <c r="F323" i="15"/>
  <c r="F402" i="15"/>
  <c r="F285" i="15"/>
  <c r="F113" i="15"/>
  <c r="F364" i="15"/>
  <c r="F148" i="15"/>
  <c r="F411" i="15"/>
  <c r="F22" i="15"/>
  <c r="F110" i="15"/>
  <c r="AD801" i="15"/>
  <c r="F134" i="15"/>
  <c r="X799" i="15"/>
  <c r="Y799" i="15"/>
  <c r="Z799" i="15"/>
  <c r="T799" i="15"/>
  <c r="W799" i="15"/>
  <c r="V799" i="15"/>
  <c r="E799" i="15"/>
  <c r="D799" i="15"/>
  <c r="F799" i="15"/>
  <c r="F486" i="15"/>
  <c r="AD799" i="15"/>
  <c r="F403" i="15"/>
  <c r="F412" i="15"/>
  <c r="F444" i="15"/>
  <c r="F459" i="15"/>
  <c r="F480" i="15"/>
  <c r="F334" i="15"/>
  <c r="F130" i="15"/>
  <c r="F178" i="15"/>
  <c r="F243" i="15"/>
  <c r="F47" i="15"/>
  <c r="F41" i="15"/>
  <c r="F287" i="15"/>
  <c r="F161" i="15"/>
  <c r="F479" i="15"/>
  <c r="F275" i="15"/>
  <c r="F27" i="15"/>
  <c r="F555" i="15"/>
  <c r="F270" i="15"/>
  <c r="F212" i="15"/>
  <c r="F91" i="15"/>
  <c r="F405" i="15"/>
  <c r="F208" i="15"/>
  <c r="F306" i="15"/>
  <c r="Z798" i="15"/>
  <c r="Y798" i="15"/>
  <c r="T798" i="15"/>
  <c r="W798" i="15"/>
  <c r="V798" i="15"/>
  <c r="X798" i="15"/>
  <c r="D798" i="15"/>
  <c r="E798" i="15"/>
  <c r="F798" i="15"/>
  <c r="F76" i="15"/>
  <c r="F51" i="15"/>
  <c r="F259" i="15"/>
  <c r="F392" i="15"/>
  <c r="F381" i="15"/>
  <c r="F289" i="15"/>
  <c r="F114" i="15"/>
  <c r="F131" i="15"/>
  <c r="F95" i="15"/>
  <c r="F394" i="15"/>
  <c r="F395" i="15"/>
  <c r="F50" i="15"/>
  <c r="F515" i="15"/>
  <c r="F504" i="15"/>
  <c r="AD798" i="15"/>
  <c r="F406" i="15"/>
  <c r="F474" i="15"/>
  <c r="F15" i="15"/>
  <c r="F121" i="15"/>
  <c r="F471" i="15"/>
  <c r="F165" i="15"/>
  <c r="F343" i="15"/>
  <c r="F455" i="15"/>
  <c r="F475" i="15"/>
  <c r="Y797" i="15"/>
  <c r="Z797" i="15"/>
  <c r="T797" i="15"/>
  <c r="W797" i="15"/>
  <c r="V797" i="15"/>
  <c r="E797" i="15"/>
  <c r="F797" i="15"/>
  <c r="D797" i="15"/>
  <c r="X797" i="15"/>
  <c r="AD797" i="15"/>
  <c r="E361" i="15"/>
  <c r="E170" i="15"/>
  <c r="E257" i="15"/>
  <c r="Z796" i="15"/>
  <c r="Y795" i="15"/>
  <c r="T796" i="15"/>
  <c r="W796" i="15"/>
  <c r="V796" i="15"/>
  <c r="Z795" i="15"/>
  <c r="X795" i="15"/>
  <c r="D795" i="15"/>
  <c r="E795" i="15"/>
  <c r="F795" i="15"/>
  <c r="D796" i="15"/>
  <c r="F796" i="15"/>
  <c r="E796" i="15"/>
  <c r="Y796" i="15"/>
  <c r="X796" i="15"/>
  <c r="V795" i="15"/>
  <c r="W795" i="15"/>
  <c r="T795" i="15"/>
  <c r="F104" i="15"/>
  <c r="F125" i="15"/>
  <c r="F256" i="15"/>
  <c r="F237" i="15"/>
  <c r="AD796" i="15"/>
  <c r="F192" i="15"/>
  <c r="F265" i="15"/>
  <c r="AD795" i="15"/>
  <c r="E373" i="15"/>
  <c r="F81" i="15"/>
  <c r="F546" i="15"/>
  <c r="F48" i="15"/>
  <c r="F369" i="15"/>
  <c r="F437" i="15"/>
  <c r="F249" i="15"/>
  <c r="F326" i="15"/>
  <c r="F97" i="15"/>
  <c r="F24" i="15"/>
  <c r="F206" i="15"/>
  <c r="F36" i="15"/>
  <c r="F209" i="15"/>
  <c r="F591" i="15"/>
  <c r="F150" i="15"/>
  <c r="F527" i="15"/>
  <c r="Z794" i="15"/>
  <c r="Y794" i="15"/>
  <c r="X794" i="15"/>
  <c r="T794" i="15"/>
  <c r="V794" i="15"/>
  <c r="W794" i="15"/>
  <c r="D794" i="15"/>
  <c r="E794" i="15"/>
  <c r="F794" i="15"/>
  <c r="AD794" i="15"/>
  <c r="Y793" i="15"/>
  <c r="Z793" i="15"/>
  <c r="X793" i="15"/>
  <c r="T793" i="15"/>
  <c r="V793" i="15"/>
  <c r="W793" i="15"/>
  <c r="D793" i="15"/>
  <c r="F793" i="15"/>
  <c r="E793" i="15"/>
  <c r="AD793" i="15"/>
  <c r="Z791" i="15"/>
  <c r="Y791" i="15"/>
  <c r="Y792" i="15"/>
  <c r="F791" i="15"/>
  <c r="D791" i="15"/>
  <c r="E791" i="15"/>
  <c r="T791" i="15"/>
  <c r="V791" i="15"/>
  <c r="W791" i="15"/>
  <c r="Z792" i="15"/>
  <c r="X792" i="15"/>
  <c r="D792" i="15"/>
  <c r="E792" i="15"/>
  <c r="F792" i="15"/>
  <c r="T792" i="15"/>
  <c r="W792" i="15"/>
  <c r="V792" i="15"/>
  <c r="X791" i="15"/>
  <c r="AD791" i="15"/>
  <c r="AD792" i="15"/>
  <c r="Y790" i="15"/>
  <c r="Z790" i="15"/>
  <c r="X790" i="15"/>
  <c r="T790" i="15"/>
  <c r="V790" i="15"/>
  <c r="W790" i="15"/>
  <c r="D790" i="15"/>
  <c r="E790" i="15"/>
  <c r="F790" i="15"/>
  <c r="AD790" i="15"/>
  <c r="E120" i="15"/>
  <c r="E58" i="15"/>
  <c r="Y789" i="15"/>
  <c r="Z789" i="15"/>
  <c r="F552" i="15"/>
  <c r="T789" i="15"/>
  <c r="V789" i="15"/>
  <c r="W789" i="15"/>
  <c r="X789" i="15"/>
  <c r="F789" i="15"/>
  <c r="E789" i="15"/>
  <c r="D789" i="15"/>
  <c r="AD789" i="15"/>
  <c r="E423" i="15"/>
  <c r="E421" i="15"/>
  <c r="E123" i="15"/>
  <c r="E422" i="15"/>
  <c r="E426" i="15"/>
  <c r="Z788" i="15"/>
  <c r="Y788" i="15"/>
  <c r="X788" i="15"/>
  <c r="D788" i="15"/>
  <c r="E788" i="15"/>
  <c r="F788" i="15"/>
  <c r="T788" i="15"/>
  <c r="W788" i="15"/>
  <c r="V788" i="15"/>
  <c r="AD788" i="15"/>
  <c r="Y787" i="15"/>
  <c r="Z787" i="15"/>
  <c r="X787" i="15"/>
  <c r="T787" i="15"/>
  <c r="V787" i="15"/>
  <c r="W787" i="15"/>
  <c r="D787" i="15"/>
  <c r="E787" i="15"/>
  <c r="F787" i="15"/>
  <c r="F380" i="15"/>
  <c r="F273" i="15"/>
  <c r="F103" i="15"/>
  <c r="F70" i="15"/>
  <c r="F524" i="15"/>
  <c r="AD787" i="15"/>
  <c r="F100" i="15"/>
  <c r="F534" i="15"/>
  <c r="F341" i="15"/>
  <c r="F477" i="15"/>
  <c r="F290" i="15"/>
  <c r="F283" i="15"/>
  <c r="F278" i="15"/>
  <c r="F560" i="15"/>
  <c r="F26" i="15"/>
  <c r="F240" i="15"/>
  <c r="F18" i="15"/>
  <c r="F217" i="15"/>
  <c r="F556" i="15"/>
  <c r="F149" i="15"/>
  <c r="F533" i="15"/>
  <c r="F390" i="15"/>
  <c r="F171" i="15"/>
  <c r="F106" i="15"/>
  <c r="F350" i="15"/>
  <c r="F29" i="15"/>
  <c r="Z786" i="15"/>
  <c r="Y786" i="15"/>
  <c r="X786" i="15"/>
  <c r="F786" i="15"/>
  <c r="D786" i="15"/>
  <c r="E786" i="15"/>
  <c r="T786" i="15"/>
  <c r="V786" i="15"/>
  <c r="W786" i="15"/>
  <c r="F523" i="15"/>
  <c r="F347" i="15"/>
  <c r="F281" i="15"/>
  <c r="F376" i="15"/>
  <c r="F330" i="15"/>
  <c r="F203" i="15"/>
  <c r="F559" i="15"/>
  <c r="F335" i="15"/>
  <c r="F264" i="15"/>
  <c r="F98" i="15"/>
  <c r="F382" i="15"/>
  <c r="F14" i="15"/>
  <c r="F447" i="15"/>
  <c r="F522" i="15"/>
  <c r="F461" i="15"/>
  <c r="F489" i="15"/>
  <c r="F299" i="15"/>
  <c r="F210" i="15"/>
  <c r="F318" i="15"/>
  <c r="AD786" i="15"/>
  <c r="F127" i="15"/>
  <c r="F409" i="15"/>
  <c r="F356" i="15"/>
  <c r="F19" i="15"/>
  <c r="F20" i="15"/>
  <c r="F547" i="15"/>
  <c r="Z785" i="15"/>
  <c r="Y785" i="15"/>
  <c r="X785" i="15"/>
  <c r="T785" i="15"/>
  <c r="W785" i="15"/>
  <c r="V785" i="15"/>
  <c r="D785" i="15"/>
  <c r="E785" i="15"/>
  <c r="F785" i="15"/>
  <c r="E345" i="15"/>
  <c r="F351" i="15"/>
  <c r="F457" i="15"/>
  <c r="AD785" i="15"/>
  <c r="Y784" i="15"/>
  <c r="Z784" i="15"/>
  <c r="D784" i="15"/>
  <c r="F784" i="15"/>
  <c r="E784" i="15"/>
  <c r="X784" i="15"/>
  <c r="T784" i="15"/>
  <c r="W784" i="15"/>
  <c r="V784" i="15"/>
  <c r="AD784" i="15"/>
  <c r="Z782" i="15"/>
  <c r="Z783" i="15"/>
  <c r="Y782" i="15"/>
  <c r="V782" i="15"/>
  <c r="X782" i="15"/>
  <c r="D782" i="15"/>
  <c r="E782" i="15"/>
  <c r="F782" i="15"/>
  <c r="Y783" i="15"/>
  <c r="X783" i="15"/>
  <c r="T782" i="15"/>
  <c r="W782" i="15"/>
  <c r="D783" i="15"/>
  <c r="E783" i="15"/>
  <c r="F783" i="15"/>
  <c r="T783" i="15"/>
  <c r="V783" i="15"/>
  <c r="W783" i="15"/>
  <c r="AD782" i="15"/>
  <c r="AD783" i="15"/>
  <c r="Y781" i="15"/>
  <c r="Z781" i="15"/>
  <c r="T781" i="15"/>
  <c r="W781" i="15"/>
  <c r="V781" i="15"/>
  <c r="D781" i="15"/>
  <c r="F781" i="15"/>
  <c r="E781" i="15"/>
  <c r="X781" i="15"/>
  <c r="AD781" i="15"/>
  <c r="F198" i="15"/>
  <c r="F301" i="15"/>
  <c r="Y780" i="15"/>
  <c r="Z780" i="15"/>
  <c r="X780" i="15"/>
  <c r="T780" i="15"/>
  <c r="V780" i="15"/>
  <c r="W780" i="15"/>
  <c r="D780" i="15"/>
  <c r="F780" i="15"/>
  <c r="E780" i="15"/>
  <c r="F396" i="15"/>
  <c r="AD780" i="15"/>
  <c r="X777" i="15"/>
  <c r="E432" i="15"/>
  <c r="E53" i="15"/>
  <c r="E429" i="15"/>
  <c r="E431" i="15"/>
  <c r="Y779" i="15"/>
  <c r="Z776" i="15"/>
  <c r="Z779" i="15"/>
  <c r="Y776" i="15"/>
  <c r="Z778" i="15"/>
  <c r="F779" i="15"/>
  <c r="E779" i="15"/>
  <c r="D779" i="15"/>
  <c r="F778" i="15"/>
  <c r="D778" i="15"/>
  <c r="E778" i="15"/>
  <c r="Z777" i="15"/>
  <c r="Y778" i="15"/>
  <c r="AD779" i="15"/>
  <c r="V777" i="15"/>
  <c r="T777" i="15"/>
  <c r="W777" i="15"/>
  <c r="X778" i="15"/>
  <c r="V776" i="15"/>
  <c r="W776" i="15"/>
  <c r="T776" i="15"/>
  <c r="E777" i="15"/>
  <c r="F777" i="15"/>
  <c r="D777" i="15"/>
  <c r="T779" i="15"/>
  <c r="V779" i="15"/>
  <c r="W779" i="15"/>
  <c r="X776" i="15"/>
  <c r="X779" i="15"/>
  <c r="F776" i="15"/>
  <c r="D776" i="15"/>
  <c r="E776" i="15"/>
  <c r="Y777" i="15"/>
  <c r="T778" i="15"/>
  <c r="V778" i="15"/>
  <c r="W778" i="15"/>
  <c r="AD778" i="15"/>
  <c r="AD777" i="15"/>
  <c r="AD776" i="15"/>
  <c r="E56" i="15"/>
  <c r="E112" i="15"/>
  <c r="E519" i="15"/>
  <c r="Y775" i="15"/>
  <c r="Z775" i="15"/>
  <c r="X775" i="15"/>
  <c r="D775" i="15"/>
  <c r="E775" i="15"/>
  <c r="F775" i="15"/>
  <c r="T775" i="15"/>
  <c r="W775" i="15"/>
  <c r="V775" i="15"/>
  <c r="F407" i="15"/>
  <c r="F292" i="15"/>
  <c r="F232" i="15"/>
  <c r="F454" i="15"/>
  <c r="F520" i="15"/>
  <c r="F151" i="15"/>
  <c r="F379" i="15"/>
  <c r="F397" i="15"/>
  <c r="F111" i="15"/>
  <c r="F387" i="15"/>
  <c r="F73" i="15"/>
  <c r="F72" i="15"/>
  <c r="F61" i="15"/>
  <c r="F153" i="15"/>
  <c r="F277" i="15"/>
  <c r="AD775" i="15"/>
  <c r="F367" i="15"/>
  <c r="F254" i="15"/>
  <c r="F87" i="15"/>
  <c r="F544" i="15"/>
  <c r="F516" i="15"/>
  <c r="F229" i="15"/>
  <c r="F368" i="15"/>
  <c r="F348" i="15"/>
  <c r="F75" i="15"/>
  <c r="F553" i="15"/>
  <c r="Z774" i="15"/>
  <c r="Y774" i="15"/>
  <c r="D774" i="15"/>
  <c r="E774" i="15"/>
  <c r="F774" i="15"/>
  <c r="W774" i="15"/>
  <c r="T774" i="15"/>
  <c r="V774" i="15"/>
  <c r="X774" i="15"/>
  <c r="AD774" i="15"/>
  <c r="E495" i="15"/>
  <c r="E188" i="15"/>
  <c r="E220" i="15"/>
  <c r="Y773" i="15"/>
  <c r="Z773" i="15"/>
  <c r="E570" i="15"/>
  <c r="E164" i="15"/>
  <c r="E173" i="15"/>
  <c r="X773" i="15"/>
  <c r="T773" i="15"/>
  <c r="W773" i="15"/>
  <c r="V773" i="15"/>
  <c r="D773" i="15"/>
  <c r="E773" i="15"/>
  <c r="F773" i="15"/>
  <c r="F49" i="15"/>
  <c r="F245" i="15"/>
  <c r="F248" i="15"/>
  <c r="F162" i="15"/>
  <c r="F115" i="15"/>
  <c r="F25" i="15"/>
  <c r="F451" i="15"/>
  <c r="F85" i="15"/>
  <c r="F410" i="15"/>
  <c r="F59" i="15"/>
  <c r="F443" i="15"/>
  <c r="F385" i="15"/>
  <c r="F365" i="15"/>
  <c r="F213" i="15"/>
  <c r="F374" i="15"/>
  <c r="F550" i="15"/>
  <c r="Z771" i="15"/>
  <c r="F195" i="15"/>
  <c r="F445" i="15"/>
  <c r="F509" i="15"/>
  <c r="F157" i="15"/>
  <c r="F438" i="15"/>
  <c r="AD773" i="15"/>
  <c r="F274" i="15"/>
  <c r="F144" i="15"/>
  <c r="F235" i="15"/>
  <c r="F223" i="15"/>
  <c r="F440" i="15"/>
  <c r="F472" i="15"/>
  <c r="E327" i="15"/>
  <c r="Y772" i="15"/>
  <c r="Z772" i="15"/>
  <c r="AD772" i="15"/>
  <c r="V772" i="15"/>
  <c r="W772" i="15"/>
  <c r="T772" i="15"/>
  <c r="X772" i="15"/>
  <c r="Y771" i="15"/>
  <c r="F772" i="15"/>
  <c r="E772" i="15"/>
  <c r="D772" i="15"/>
  <c r="E9" i="15"/>
  <c r="F9" i="15"/>
  <c r="E96" i="15"/>
  <c r="F96" i="15"/>
  <c r="E564" i="15"/>
  <c r="F564" i="15"/>
  <c r="E416" i="15"/>
  <c r="F416" i="15"/>
  <c r="E417" i="15"/>
  <c r="F417" i="15"/>
  <c r="E205" i="15"/>
  <c r="F205" i="15"/>
  <c r="E181" i="15"/>
  <c r="F181" i="15"/>
  <c r="E191" i="15"/>
  <c r="F191" i="15"/>
  <c r="E154" i="15"/>
  <c r="F154" i="15"/>
  <c r="E222" i="15"/>
  <c r="F222" i="15"/>
  <c r="E500" i="15"/>
  <c r="F500" i="15"/>
  <c r="E109" i="15"/>
  <c r="F109" i="15"/>
  <c r="E201" i="15"/>
  <c r="F201" i="15"/>
  <c r="E226" i="15"/>
  <c r="F226" i="15"/>
  <c r="E221" i="15"/>
  <c r="F221" i="15"/>
  <c r="E21" i="15"/>
  <c r="F21" i="15"/>
  <c r="E117" i="15"/>
  <c r="F117" i="15"/>
  <c r="E204" i="15"/>
  <c r="F204" i="15"/>
  <c r="E214" i="15"/>
  <c r="F214" i="15"/>
  <c r="E200" i="15"/>
  <c r="F200" i="15"/>
  <c r="E147" i="15"/>
  <c r="F147" i="15"/>
  <c r="E419" i="15"/>
  <c r="F419" i="15"/>
  <c r="E79" i="15"/>
  <c r="F79" i="15"/>
  <c r="X771" i="15"/>
  <c r="E569" i="15"/>
  <c r="F569" i="15"/>
  <c r="E199" i="15"/>
  <c r="F199" i="15"/>
  <c r="E496" i="15"/>
  <c r="F496" i="15"/>
  <c r="E297" i="15"/>
  <c r="F297" i="15"/>
  <c r="E425" i="15"/>
  <c r="F425" i="15"/>
  <c r="E288" i="15"/>
  <c r="F288" i="15"/>
  <c r="E129" i="15"/>
  <c r="F129" i="15"/>
  <c r="E427" i="15"/>
  <c r="F427" i="15"/>
  <c r="E567" i="15"/>
  <c r="F567" i="15"/>
  <c r="E420" i="15"/>
  <c r="F420" i="15"/>
  <c r="E331" i="15"/>
  <c r="F331" i="15"/>
  <c r="E371" i="15"/>
  <c r="F371" i="15"/>
  <c r="E346" i="15"/>
  <c r="F346" i="15"/>
  <c r="E494" i="15"/>
  <c r="F494" i="15"/>
  <c r="E498" i="15"/>
  <c r="F498" i="15"/>
  <c r="E430" i="15"/>
  <c r="F430" i="15"/>
  <c r="E310" i="15"/>
  <c r="F310" i="15"/>
  <c r="E372" i="15"/>
  <c r="F372" i="15"/>
  <c r="R3" i="15"/>
  <c r="AD24" i="15" s="1"/>
  <c r="O3" i="15"/>
  <c r="C11" i="49" s="1"/>
  <c r="M3" i="15"/>
  <c r="Q3" i="15"/>
  <c r="P3" i="15"/>
  <c r="V771" i="15"/>
  <c r="T771" i="15"/>
  <c r="W771" i="15"/>
  <c r="D771" i="15"/>
  <c r="F771" i="15"/>
  <c r="E771" i="15"/>
  <c r="F234" i="15"/>
  <c r="F176" i="15"/>
  <c r="F469" i="15"/>
  <c r="F65" i="15"/>
  <c r="F353" i="15"/>
  <c r="F404" i="15"/>
  <c r="F305" i="15"/>
  <c r="AD771" i="15"/>
  <c r="F84" i="15"/>
  <c r="F263" i="15"/>
  <c r="F230" i="15"/>
  <c r="F375" i="15"/>
  <c r="F279" i="15"/>
  <c r="F34" i="15"/>
  <c r="F216" i="15"/>
  <c r="F383" i="15"/>
  <c r="F565" i="15"/>
  <c r="F250" i="15"/>
  <c r="F242" i="15"/>
  <c r="F497" i="15"/>
  <c r="F582" i="15"/>
  <c r="F30" i="15"/>
  <c r="F415" i="15"/>
  <c r="F122" i="15"/>
  <c r="F309" i="15"/>
  <c r="F90" i="15"/>
  <c r="F528" i="15"/>
  <c r="F312" i="15"/>
  <c r="Y770" i="15"/>
  <c r="Z770" i="15"/>
  <c r="D770" i="15"/>
  <c r="E770" i="15"/>
  <c r="F770" i="15"/>
  <c r="X770" i="15"/>
  <c r="W770" i="15"/>
  <c r="V770" i="15"/>
  <c r="T770" i="15"/>
  <c r="F74" i="15"/>
  <c r="F78" i="15"/>
  <c r="F482" i="15"/>
  <c r="F493" i="15"/>
  <c r="F503" i="15"/>
  <c r="E322" i="15"/>
  <c r="F193" i="15"/>
  <c r="E116" i="15"/>
  <c r="F101" i="15"/>
  <c r="E146" i="15"/>
  <c r="E155" i="15"/>
  <c r="AD770" i="15"/>
  <c r="F43" i="15"/>
  <c r="E202" i="15"/>
  <c r="F218" i="15"/>
  <c r="F304" i="15"/>
  <c r="F545" i="15"/>
  <c r="E185" i="15"/>
  <c r="F588" i="15"/>
  <c r="E196" i="15"/>
  <c r="E137" i="15"/>
  <c r="E77" i="15"/>
  <c r="F424" i="15"/>
  <c r="E332" i="15"/>
  <c r="E189" i="15"/>
  <c r="F428" i="15"/>
  <c r="E566" i="15"/>
  <c r="E93" i="15"/>
  <c r="E179" i="15"/>
  <c r="Y769" i="15"/>
  <c r="Z769" i="15"/>
  <c r="T769" i="15"/>
  <c r="V769" i="15"/>
  <c r="W769" i="15"/>
  <c r="D769" i="15"/>
  <c r="E769" i="15"/>
  <c r="F769" i="15"/>
  <c r="X769" i="15"/>
  <c r="F300" i="15"/>
  <c r="E490" i="15"/>
  <c r="E167" i="15"/>
  <c r="AD769" i="15"/>
  <c r="F225" i="15"/>
  <c r="F135" i="15"/>
  <c r="F535" i="15"/>
  <c r="E35" i="15"/>
  <c r="E233" i="15"/>
  <c r="F391" i="15"/>
  <c r="F57" i="15"/>
  <c r="F172" i="15"/>
  <c r="F142" i="15"/>
  <c r="E465" i="15"/>
  <c r="E514" i="15"/>
  <c r="F6" i="15"/>
  <c r="E308" i="15"/>
  <c r="E324" i="15"/>
  <c r="E452" i="15"/>
  <c r="E258" i="15"/>
  <c r="F66" i="15"/>
  <c r="F342" i="15"/>
  <c r="F453" i="15"/>
  <c r="E568" i="15"/>
  <c r="F398" i="15"/>
  <c r="F16" i="15"/>
  <c r="F337" i="15"/>
  <c r="F141" i="15"/>
  <c r="F37" i="15"/>
  <c r="F186" i="15"/>
  <c r="F532" i="15"/>
  <c r="Y768" i="15"/>
  <c r="Z768" i="15"/>
  <c r="D768" i="15"/>
  <c r="E768" i="15"/>
  <c r="F768" i="15"/>
  <c r="X768" i="15"/>
  <c r="T768" i="15"/>
  <c r="W768" i="15"/>
  <c r="V768" i="15"/>
  <c r="AD768" i="15"/>
  <c r="Y767" i="15"/>
  <c r="Z767" i="15"/>
  <c r="D767" i="15"/>
  <c r="E767" i="15"/>
  <c r="F767" i="15"/>
  <c r="T767" i="15"/>
  <c r="V767" i="15"/>
  <c r="W767" i="15"/>
  <c r="X767" i="15"/>
  <c r="AD767" i="15"/>
  <c r="Y766" i="15"/>
  <c r="Z766" i="15"/>
  <c r="D766" i="15"/>
  <c r="E766" i="15"/>
  <c r="F766" i="15"/>
  <c r="T766" i="15"/>
  <c r="W766" i="15"/>
  <c r="V766" i="15"/>
  <c r="X766" i="15"/>
  <c r="AD766" i="15"/>
  <c r="Y765" i="15"/>
  <c r="Z765" i="15"/>
  <c r="D765" i="15"/>
  <c r="E765" i="15"/>
  <c r="F765" i="15"/>
  <c r="T765" i="15"/>
  <c r="W765" i="15"/>
  <c r="V765" i="15"/>
  <c r="X765" i="15"/>
  <c r="AD765" i="15"/>
  <c r="Y764" i="15"/>
  <c r="Z764" i="15"/>
  <c r="E9" i="49"/>
  <c r="D9" i="49"/>
  <c r="F9" i="49"/>
  <c r="D764" i="15"/>
  <c r="E764" i="15"/>
  <c r="F764" i="15"/>
  <c r="T764" i="15"/>
  <c r="W764" i="15"/>
  <c r="V764" i="15"/>
  <c r="X764" i="15"/>
  <c r="AD764" i="15"/>
  <c r="Y763" i="15"/>
  <c r="Z763" i="15"/>
  <c r="T763" i="15"/>
  <c r="W763" i="15"/>
  <c r="V763" i="15"/>
  <c r="D763" i="15"/>
  <c r="E763" i="15"/>
  <c r="F763" i="15"/>
  <c r="X763" i="15"/>
  <c r="F408" i="15"/>
  <c r="F333" i="15"/>
  <c r="E132" i="15"/>
  <c r="E266" i="15"/>
  <c r="E554" i="15"/>
  <c r="E487" i="15"/>
  <c r="F413" i="15"/>
  <c r="F28" i="15"/>
  <c r="F94" i="15"/>
  <c r="F268" i="15"/>
  <c r="E68" i="15"/>
  <c r="E594" i="15"/>
  <c r="E589" i="15"/>
  <c r="E316" i="15"/>
  <c r="E54" i="15"/>
  <c r="AD763" i="15"/>
  <c r="E45" i="15"/>
  <c r="F462" i="15"/>
  <c r="F62" i="15"/>
  <c r="F239" i="15"/>
  <c r="E33" i="15"/>
  <c r="E228" i="15"/>
  <c r="F145" i="15"/>
  <c r="F169" i="15"/>
  <c r="E4" i="15"/>
  <c r="E319" i="15"/>
  <c r="E476" i="15"/>
  <c r="E39" i="15"/>
  <c r="F296" i="15"/>
  <c r="AD42" i="15"/>
  <c r="AD762" i="15"/>
  <c r="AD720" i="15"/>
  <c r="AD714" i="15"/>
  <c r="AD592" i="15"/>
  <c r="AD449" i="15"/>
  <c r="AD134" i="15"/>
  <c r="AD167" i="15"/>
  <c r="AD639" i="15"/>
  <c r="AD525" i="15"/>
  <c r="AD387" i="15"/>
  <c r="AD261" i="15"/>
  <c r="AD713" i="15"/>
  <c r="AD636" i="15"/>
  <c r="AD500" i="15"/>
  <c r="AD363" i="15"/>
  <c r="AD147" i="15"/>
  <c r="AD215" i="15"/>
  <c r="AD206" i="15"/>
  <c r="AD195" i="15"/>
  <c r="AD97" i="15"/>
  <c r="AD707" i="15"/>
  <c r="AD582" i="15"/>
  <c r="AD481" i="15"/>
  <c r="AD353" i="15"/>
  <c r="AD133" i="15"/>
  <c r="AD176" i="15"/>
  <c r="AD200" i="15"/>
  <c r="AD712" i="15"/>
  <c r="AD585" i="15"/>
  <c r="AD488" i="15"/>
  <c r="AD345" i="15"/>
  <c r="AD113" i="15"/>
  <c r="AD753" i="15"/>
  <c r="AD737" i="15"/>
  <c r="AD689" i="15"/>
  <c r="AD704" i="15"/>
  <c r="AD563" i="15"/>
  <c r="AD377" i="15"/>
  <c r="AD279" i="15"/>
  <c r="AD183" i="15"/>
  <c r="AD34" i="15"/>
  <c r="AD174" i="15"/>
  <c r="AD751" i="15"/>
  <c r="AD564" i="15"/>
  <c r="AD461" i="15"/>
  <c r="AD314" i="15"/>
  <c r="AD105" i="15"/>
  <c r="AD121" i="15"/>
  <c r="AD709" i="15"/>
  <c r="AD505" i="15"/>
  <c r="AD397" i="15"/>
  <c r="AD286" i="15"/>
  <c r="AD72" i="15"/>
  <c r="AD698" i="15"/>
  <c r="AD616" i="15"/>
  <c r="AD482" i="15"/>
  <c r="AD386" i="15"/>
  <c r="AD101" i="15"/>
  <c r="AD159" i="15"/>
  <c r="AD78" i="15"/>
  <c r="AD53" i="15"/>
  <c r="AD708" i="15"/>
  <c r="AD317" i="15"/>
  <c r="AD402" i="15"/>
  <c r="AD300" i="15"/>
  <c r="AD197" i="15"/>
  <c r="AD37" i="15"/>
  <c r="AD691" i="15"/>
  <c r="AD680" i="15"/>
  <c r="AD578" i="15"/>
  <c r="AD434" i="15"/>
  <c r="AD43" i="15"/>
  <c r="AD560" i="15"/>
  <c r="AD417" i="15"/>
  <c r="AD273" i="15"/>
  <c r="AD138" i="15"/>
  <c r="AD103" i="15"/>
  <c r="AD732" i="15"/>
  <c r="AD574" i="15"/>
  <c r="AD484" i="15"/>
  <c r="AD374" i="15"/>
  <c r="AD265" i="15"/>
  <c r="AD733" i="15"/>
  <c r="AD587" i="15"/>
  <c r="AD470" i="15"/>
  <c r="AD367" i="15"/>
  <c r="AD44" i="15"/>
  <c r="AD678" i="15"/>
  <c r="AD558" i="15"/>
  <c r="AD423" i="15"/>
  <c r="AD296" i="15"/>
  <c r="AD252" i="15"/>
  <c r="AD640" i="15"/>
  <c r="AD504" i="15"/>
  <c r="AD376" i="15"/>
  <c r="AD259" i="15"/>
  <c r="AD210" i="15"/>
  <c r="AD683" i="15"/>
  <c r="AD736" i="15"/>
  <c r="AD693" i="15"/>
  <c r="AD666" i="15"/>
  <c r="AD565" i="15"/>
  <c r="AD439" i="15"/>
  <c r="AD295" i="15"/>
  <c r="AD244" i="15"/>
  <c r="AD633" i="15"/>
  <c r="AD512" i="15"/>
  <c r="AD380" i="15"/>
  <c r="AD696" i="15"/>
  <c r="AD617" i="15"/>
  <c r="AD491" i="15"/>
  <c r="AD355" i="15"/>
  <c r="AD185" i="15"/>
  <c r="AD31" i="15"/>
  <c r="AD189" i="15"/>
  <c r="AD60" i="15"/>
  <c r="AD137" i="15"/>
  <c r="AD686" i="15"/>
  <c r="AD572" i="15"/>
  <c r="AD464" i="15"/>
  <c r="AD348" i="15"/>
  <c r="AD255" i="15"/>
  <c r="AD198" i="15"/>
  <c r="AD222" i="15"/>
  <c r="AD669" i="15"/>
  <c r="AD584" i="15"/>
  <c r="AD473" i="15"/>
  <c r="AD337" i="15"/>
  <c r="AD727" i="15"/>
  <c r="AD700" i="15"/>
  <c r="AD673" i="15"/>
  <c r="AD667" i="15"/>
  <c r="AD541" i="15"/>
  <c r="AD366" i="15"/>
  <c r="AD61" i="15"/>
  <c r="AD207" i="15"/>
  <c r="AD111" i="15"/>
  <c r="AD226" i="15"/>
  <c r="AD725" i="15"/>
  <c r="AD550" i="15"/>
  <c r="AD448" i="15"/>
  <c r="AD310" i="15"/>
  <c r="AD256" i="15"/>
  <c r="AD201" i="15"/>
  <c r="AD641" i="15"/>
  <c r="AD479" i="15"/>
  <c r="AD389" i="15"/>
  <c r="AD270" i="15"/>
  <c r="AD609" i="15"/>
  <c r="AD476" i="15"/>
  <c r="AD364" i="15"/>
  <c r="AD188" i="15"/>
  <c r="AD118" i="15"/>
  <c r="AD220" i="15"/>
  <c r="AD120" i="15"/>
  <c r="AD665" i="15"/>
  <c r="AD508" i="15"/>
  <c r="AD388" i="15"/>
  <c r="AD291" i="15"/>
  <c r="AD30" i="15"/>
  <c r="AD86" i="15"/>
  <c r="AD675" i="15"/>
  <c r="AD664" i="15"/>
  <c r="AD554" i="15"/>
  <c r="AD411" i="15"/>
  <c r="AD239" i="15"/>
  <c r="AD246" i="15"/>
  <c r="AD547" i="15"/>
  <c r="AD392" i="15"/>
  <c r="AD264" i="15"/>
  <c r="AD124" i="15"/>
  <c r="AD158" i="15"/>
  <c r="AD711" i="15"/>
  <c r="AD561" i="15"/>
  <c r="AD466" i="15"/>
  <c r="AD361" i="15"/>
  <c r="AD218" i="15"/>
  <c r="AD684" i="15"/>
  <c r="AD556" i="15"/>
  <c r="AD459" i="15"/>
  <c r="AD350" i="15"/>
  <c r="AD208" i="15"/>
  <c r="AD662" i="15"/>
  <c r="AD557" i="15"/>
  <c r="AD399" i="15"/>
  <c r="AD233" i="15"/>
  <c r="AD63" i="15"/>
  <c r="AD621" i="15"/>
  <c r="AD472" i="15"/>
  <c r="AD369" i="15"/>
  <c r="AD199" i="15"/>
  <c r="AD719" i="15"/>
  <c r="AD655" i="15"/>
  <c r="AD551" i="15"/>
  <c r="AD430" i="15"/>
  <c r="AD277" i="15"/>
  <c r="AD40" i="15"/>
  <c r="AD626" i="15"/>
  <c r="AD507" i="15"/>
  <c r="AD356" i="15"/>
  <c r="AD50" i="15"/>
  <c r="AD590" i="15"/>
  <c r="AD458" i="15"/>
  <c r="AD339" i="15"/>
  <c r="AD319" i="15"/>
  <c r="AD152" i="15"/>
  <c r="AD94" i="15"/>
  <c r="AD148" i="15"/>
  <c r="AD228" i="15"/>
  <c r="AD647" i="15"/>
  <c r="AD567" i="15"/>
  <c r="AD444" i="15"/>
  <c r="AD338" i="15"/>
  <c r="AD161" i="15"/>
  <c r="AD217" i="15"/>
  <c r="AD173" i="15"/>
  <c r="AD579" i="15"/>
  <c r="AD469" i="15"/>
  <c r="AD328" i="15"/>
  <c r="AD84" i="15"/>
  <c r="AD695" i="15"/>
  <c r="AD672" i="15"/>
  <c r="AD646" i="15"/>
  <c r="AD533" i="15"/>
  <c r="AD357" i="15"/>
  <c r="AD70" i="15"/>
  <c r="AD166" i="15"/>
  <c r="AD41" i="15"/>
  <c r="AD715" i="15"/>
  <c r="AD542" i="15"/>
  <c r="AD428" i="15"/>
  <c r="AD294" i="15"/>
  <c r="AD77" i="15"/>
  <c r="AD143" i="15"/>
  <c r="AD607" i="15"/>
  <c r="AD478" i="15"/>
  <c r="AD382" i="15"/>
  <c r="AD102" i="15"/>
  <c r="AD98" i="15"/>
  <c r="AD596" i="15"/>
  <c r="AD465" i="15"/>
  <c r="AD340" i="15"/>
  <c r="AD93" i="15"/>
  <c r="AD89" i="15"/>
  <c r="AD225" i="15"/>
  <c r="AD205" i="15"/>
  <c r="AD661" i="15"/>
  <c r="AD499" i="15"/>
  <c r="AD379" i="15"/>
  <c r="AD282" i="15"/>
  <c r="AD75" i="15"/>
  <c r="AD80" i="15"/>
  <c r="AD659" i="15"/>
  <c r="AD535" i="15"/>
  <c r="AD354" i="15"/>
  <c r="AD172" i="15"/>
  <c r="AD749" i="15"/>
  <c r="AD527" i="15"/>
  <c r="AD385" i="15"/>
  <c r="AD209" i="15"/>
  <c r="AD235" i="15"/>
  <c r="AD750" i="15"/>
  <c r="AD642" i="15"/>
  <c r="AD539" i="15"/>
  <c r="AD457" i="15"/>
  <c r="AD329" i="15"/>
  <c r="AD68" i="15"/>
  <c r="AD668" i="15"/>
  <c r="AD538" i="15"/>
  <c r="AD455" i="15"/>
  <c r="AD299" i="15"/>
  <c r="AD165" i="15"/>
  <c r="AD657" i="15"/>
  <c r="AD540" i="15"/>
  <c r="AD383" i="15"/>
  <c r="AD253" i="15"/>
  <c r="AD122" i="15"/>
  <c r="AD613" i="15"/>
  <c r="AD460" i="15"/>
  <c r="AD359" i="15"/>
  <c r="AD170" i="15"/>
  <c r="AD202" i="15"/>
  <c r="AD705" i="15"/>
  <c r="AD645" i="15"/>
  <c r="AD543" i="15"/>
  <c r="AD405" i="15"/>
  <c r="AD240" i="15"/>
  <c r="AD756" i="15"/>
  <c r="AD601" i="15"/>
  <c r="AD494" i="15"/>
  <c r="AD346" i="15"/>
  <c r="AD248" i="15"/>
  <c r="AD581" i="15"/>
  <c r="AD452" i="15"/>
  <c r="AD323" i="15"/>
  <c r="AD168" i="15"/>
  <c r="AD57" i="15"/>
  <c r="AD110" i="15"/>
  <c r="AD66" i="15"/>
  <c r="AD644" i="15"/>
  <c r="AD559" i="15"/>
  <c r="AD427" i="15"/>
  <c r="AD330" i="15"/>
  <c r="AD247" i="15"/>
  <c r="AD515" i="15"/>
  <c r="AD744" i="15"/>
  <c r="AD738" i="15"/>
  <c r="AD573" i="15"/>
  <c r="AD454" i="15"/>
  <c r="AD313" i="15"/>
  <c r="AD32" i="15"/>
  <c r="AD631" i="15"/>
  <c r="AD447" i="15"/>
  <c r="AD343" i="15"/>
  <c r="AD131" i="15"/>
  <c r="AD203" i="15"/>
  <c r="AD51" i="15"/>
  <c r="X762" i="15"/>
  <c r="AD688" i="15"/>
  <c r="AD529" i="15"/>
  <c r="AD413" i="15"/>
  <c r="AD285" i="15"/>
  <c r="AD33" i="15"/>
  <c r="AD241" i="15"/>
  <c r="AD595" i="15"/>
  <c r="AD438" i="15"/>
  <c r="AD373" i="15"/>
  <c r="AD85" i="15"/>
  <c r="AD36" i="15"/>
  <c r="AD735" i="15"/>
  <c r="AD576" i="15"/>
  <c r="AD442" i="15"/>
  <c r="AD309" i="15"/>
  <c r="AD65" i="15"/>
  <c r="AD156" i="15"/>
  <c r="AD760" i="15"/>
  <c r="AD634" i="15"/>
  <c r="AD480" i="15"/>
  <c r="AD371" i="15"/>
  <c r="AD275" i="15"/>
  <c r="AD212" i="15"/>
  <c r="AD653" i="15"/>
  <c r="AD531" i="15"/>
  <c r="AD129" i="15"/>
  <c r="AD729" i="15"/>
  <c r="AD519" i="15"/>
  <c r="AD360" i="15"/>
  <c r="AD196" i="15"/>
  <c r="AD177" i="15"/>
  <c r="AD722" i="15"/>
  <c r="AD629" i="15"/>
  <c r="AD537" i="15"/>
  <c r="AD453" i="15"/>
  <c r="AD321" i="15"/>
  <c r="AD35" i="15"/>
  <c r="AD663" i="15"/>
  <c r="AD48" i="15"/>
  <c r="AD440" i="15"/>
  <c r="AD280" i="15"/>
  <c r="AD157" i="15"/>
  <c r="AD651" i="15"/>
  <c r="AD521" i="15"/>
  <c r="AD368" i="15"/>
  <c r="AD82" i="15"/>
  <c r="AD757" i="15"/>
  <c r="AD589" i="15"/>
  <c r="AD456" i="15"/>
  <c r="AD351" i="15"/>
  <c r="AD123" i="15"/>
  <c r="AD39" i="15"/>
  <c r="AD677" i="15"/>
  <c r="AD632" i="15"/>
  <c r="AD522" i="15"/>
  <c r="AD381" i="15"/>
  <c r="AD703" i="15"/>
  <c r="AD745" i="15"/>
  <c r="AD597" i="15"/>
  <c r="AD468" i="15"/>
  <c r="AD332" i="15"/>
  <c r="AD224" i="15"/>
  <c r="AD577" i="15"/>
  <c r="AD435" i="15"/>
  <c r="AD305" i="15"/>
  <c r="AD119" i="15"/>
  <c r="AD234" i="15"/>
  <c r="AD175" i="15"/>
  <c r="AD230" i="15"/>
  <c r="AD55" i="15"/>
  <c r="AD638" i="15"/>
  <c r="AD546" i="15"/>
  <c r="AD410" i="15"/>
  <c r="AD284" i="15"/>
  <c r="AD213" i="15"/>
  <c r="AD150" i="15"/>
  <c r="AD245" i="15"/>
  <c r="AD718" i="15"/>
  <c r="AD706" i="15"/>
  <c r="AD555" i="15"/>
  <c r="AD425" i="15"/>
  <c r="AD47" i="15"/>
  <c r="AD214" i="15"/>
  <c r="AD742" i="15"/>
  <c r="AD623" i="15"/>
  <c r="AD437" i="15"/>
  <c r="AD327" i="15"/>
  <c r="AD192" i="15"/>
  <c r="AD223" i="15"/>
  <c r="AD125" i="15"/>
  <c r="AD624" i="15"/>
  <c r="AD307" i="15"/>
  <c r="AD391" i="15"/>
  <c r="AD271" i="15"/>
  <c r="AD135" i="15"/>
  <c r="AD67" i="15"/>
  <c r="AD575" i="15"/>
  <c r="AD429" i="15"/>
  <c r="AD358" i="15"/>
  <c r="AD257" i="15"/>
  <c r="AD155" i="15"/>
  <c r="AD687" i="15"/>
  <c r="AD544" i="15"/>
  <c r="AD418" i="15"/>
  <c r="AD301" i="15"/>
  <c r="AD107" i="15"/>
  <c r="AD151" i="15"/>
  <c r="AD126" i="15"/>
  <c r="AD740" i="15"/>
  <c r="AD598" i="15"/>
  <c r="AD474" i="15"/>
  <c r="AD347" i="15"/>
  <c r="AD267" i="15"/>
  <c r="AD99" i="15"/>
  <c r="AD754" i="15"/>
  <c r="AD648" i="15"/>
  <c r="AD501" i="15"/>
  <c r="AD516" i="15"/>
  <c r="AD227" i="15"/>
  <c r="AD685" i="15"/>
  <c r="AD487" i="15"/>
  <c r="AD344" i="15"/>
  <c r="AD45" i="15"/>
  <c r="AD160" i="15"/>
  <c r="AD701" i="15"/>
  <c r="AD618" i="15"/>
  <c r="AD528" i="15"/>
  <c r="AD436" i="15"/>
  <c r="AD312" i="15"/>
  <c r="AD194" i="15"/>
  <c r="AD619" i="15"/>
  <c r="AD503" i="15"/>
  <c r="AD431" i="15"/>
  <c r="AD272" i="15"/>
  <c r="AD251" i="15"/>
  <c r="AD630" i="15"/>
  <c r="AD496" i="15"/>
  <c r="AD341" i="15"/>
  <c r="AD243" i="15"/>
  <c r="AD710" i="15"/>
  <c r="AD568" i="15"/>
  <c r="AD446" i="15"/>
  <c r="AD342" i="15"/>
  <c r="AD221" i="15"/>
  <c r="AD141" i="15"/>
  <c r="AD625" i="15"/>
  <c r="AD506" i="15"/>
  <c r="AD365" i="15"/>
  <c r="AD81" i="15"/>
  <c r="AD671" i="15"/>
  <c r="AD724" i="15"/>
  <c r="AD594" i="15"/>
  <c r="AD463" i="15"/>
  <c r="AD316" i="15"/>
  <c r="AD58" i="15"/>
  <c r="AD734" i="15"/>
  <c r="AD553" i="15"/>
  <c r="AD420" i="15"/>
  <c r="AD292" i="15"/>
  <c r="AD140" i="15"/>
  <c r="AD229" i="15"/>
  <c r="AD180" i="15"/>
  <c r="AD87" i="15"/>
  <c r="AD38" i="15"/>
  <c r="AD635" i="15"/>
  <c r="AD530" i="15"/>
  <c r="AD378" i="15"/>
  <c r="AD276" i="15"/>
  <c r="AD128" i="15"/>
  <c r="AD193" i="15"/>
  <c r="AD136" i="15"/>
  <c r="AD670" i="15"/>
  <c r="AD690" i="15"/>
  <c r="AD536" i="15"/>
  <c r="AD409" i="15"/>
  <c r="AD289" i="15"/>
  <c r="AD204" i="15"/>
  <c r="AD699" i="15"/>
  <c r="AD606" i="15"/>
  <c r="AD424" i="15"/>
  <c r="AD315" i="15"/>
  <c r="AD116" i="15"/>
  <c r="AD64" i="15"/>
  <c r="AD56" i="15"/>
  <c r="AD52" i="15"/>
  <c r="AD622" i="15"/>
  <c r="AD497" i="15"/>
  <c r="AD372" i="15"/>
  <c r="AD263" i="15"/>
  <c r="AD69" i="15"/>
  <c r="AD250" i="15"/>
  <c r="AD548" i="15"/>
  <c r="AD421" i="15"/>
  <c r="AD333" i="15"/>
  <c r="AD83" i="15"/>
  <c r="AD54" i="15"/>
  <c r="AD656" i="15"/>
  <c r="AD524" i="15"/>
  <c r="AD412" i="15"/>
  <c r="AD278" i="15"/>
  <c r="AD79" i="15"/>
  <c r="AD109" i="15"/>
  <c r="AD164" i="15"/>
  <c r="AD692" i="15"/>
  <c r="AD571" i="15"/>
  <c r="AD443" i="15"/>
  <c r="AD331" i="15"/>
  <c r="AD162" i="15"/>
  <c r="AD104" i="15"/>
  <c r="AD702" i="15"/>
  <c r="AD610" i="15"/>
  <c r="AD486" i="15"/>
  <c r="AD149" i="15"/>
  <c r="AD91" i="15"/>
  <c r="AD654" i="15"/>
  <c r="AD483" i="15"/>
  <c r="AD320" i="15"/>
  <c r="AD236" i="15"/>
  <c r="AD674" i="15"/>
  <c r="AD599" i="15"/>
  <c r="AD520" i="15"/>
  <c r="AD416" i="15"/>
  <c r="AD297" i="15"/>
  <c r="AD517" i="15"/>
  <c r="AD612" i="15"/>
  <c r="AD495" i="15"/>
  <c r="AD422" i="15"/>
  <c r="AD266" i="15"/>
  <c r="AD190" i="15"/>
  <c r="AD620" i="15"/>
  <c r="AD471" i="15"/>
  <c r="AD335" i="15"/>
  <c r="AD114" i="15"/>
  <c r="AD694" i="15"/>
  <c r="AD562" i="15"/>
  <c r="AD415" i="15"/>
  <c r="AD336" i="15"/>
  <c r="AD216" i="15"/>
  <c r="N3" i="15"/>
  <c r="C10" i="49" s="1"/>
  <c r="AD615" i="15"/>
  <c r="AD493" i="15"/>
  <c r="AD349" i="15"/>
  <c r="AD112" i="15"/>
  <c r="AD681" i="15"/>
  <c r="AD566" i="15"/>
  <c r="AD450" i="15"/>
  <c r="AD308" i="15"/>
  <c r="AD697" i="15"/>
  <c r="AD534" i="15"/>
  <c r="AD403" i="15"/>
  <c r="AD283" i="15"/>
  <c r="AD130" i="15"/>
  <c r="AD100" i="15"/>
  <c r="AD106" i="15"/>
  <c r="AD755" i="15"/>
  <c r="AD627" i="15"/>
  <c r="AD518" i="15"/>
  <c r="AD370" i="15"/>
  <c r="AD268" i="15"/>
  <c r="AD163" i="15"/>
  <c r="AD169" i="15"/>
  <c r="AD759" i="15"/>
  <c r="AD611" i="15"/>
  <c r="AD509" i="15"/>
  <c r="AD393" i="15"/>
  <c r="AD274" i="15"/>
  <c r="AD117" i="15"/>
  <c r="AD679" i="15"/>
  <c r="AD593" i="15"/>
  <c r="AD408" i="15"/>
  <c r="AD311" i="15"/>
  <c r="AD145" i="15"/>
  <c r="AD108" i="15"/>
  <c r="AD614" i="15"/>
  <c r="AD492" i="15"/>
  <c r="AD352" i="15"/>
  <c r="AD73" i="15"/>
  <c r="AD71" i="15"/>
  <c r="AD232" i="15"/>
  <c r="AD532" i="15"/>
  <c r="AD414" i="15"/>
  <c r="AD324" i="15"/>
  <c r="AD179" i="15"/>
  <c r="AD650" i="15"/>
  <c r="AD523" i="15"/>
  <c r="AD406" i="15"/>
  <c r="AD262" i="15"/>
  <c r="AD95" i="15"/>
  <c r="AD154" i="15"/>
  <c r="AD96" i="15"/>
  <c r="AD676" i="15"/>
  <c r="AD545" i="15"/>
  <c r="AD433" i="15"/>
  <c r="AD322" i="15"/>
  <c r="AD238" i="15"/>
  <c r="AD74" i="15"/>
  <c r="AD682" i="15"/>
  <c r="AD739" i="15"/>
  <c r="AD748" i="15"/>
  <c r="AD603" i="15"/>
  <c r="AD475" i="15"/>
  <c r="AD76" i="15"/>
  <c r="AD649" i="15"/>
  <c r="AD467" i="15"/>
  <c r="AD298" i="15"/>
  <c r="AD219" i="15"/>
  <c r="AD242" i="15"/>
  <c r="AD586" i="15"/>
  <c r="AD510" i="15"/>
  <c r="AD400" i="15"/>
  <c r="AD290" i="15"/>
  <c r="AD605" i="15"/>
  <c r="AD490" i="15"/>
  <c r="AD401" i="15"/>
  <c r="AD142" i="15"/>
  <c r="AD752" i="15"/>
  <c r="AD591" i="15"/>
  <c r="AD445" i="15"/>
  <c r="AD326" i="15"/>
  <c r="AD144" i="15"/>
  <c r="AD658" i="15"/>
  <c r="AD549" i="15"/>
  <c r="AD407" i="15"/>
  <c r="AD303" i="15"/>
  <c r="AD254" i="15"/>
  <c r="AD747" i="15"/>
  <c r="AD608" i="15"/>
  <c r="AD462" i="15"/>
  <c r="AD325" i="15"/>
  <c r="AD660" i="15"/>
  <c r="AD552" i="15"/>
  <c r="AD419" i="15"/>
  <c r="AD269" i="15"/>
  <c r="AD761" i="15"/>
  <c r="AD643" i="15"/>
  <c r="AD318" i="15"/>
  <c r="AD394" i="15"/>
  <c r="AD260" i="15"/>
  <c r="AD92" i="15"/>
  <c r="AD46" i="15"/>
  <c r="AD127" i="15"/>
  <c r="AD728" i="15"/>
  <c r="AD602" i="15"/>
  <c r="AD514" i="15"/>
  <c r="AD362" i="15"/>
  <c r="AD258" i="15"/>
  <c r="AD139" i="15"/>
  <c r="AD186" i="15"/>
  <c r="AD743" i="15"/>
  <c r="AD604" i="15"/>
  <c r="AD502" i="15"/>
  <c r="AD384" i="15"/>
  <c r="AD211" i="15"/>
  <c r="AD146" i="15"/>
  <c r="AD721" i="15"/>
  <c r="AD731" i="15"/>
  <c r="AD569" i="15"/>
  <c r="AD398" i="15"/>
  <c r="AD293" i="15"/>
  <c r="AD184" i="15"/>
  <c r="AD187" i="15"/>
  <c r="AD181" i="15"/>
  <c r="AD570" i="15"/>
  <c r="AD477" i="15"/>
  <c r="AD334" i="15"/>
  <c r="AD178" i="15"/>
  <c r="AD741" i="15"/>
  <c r="AD511" i="15"/>
  <c r="AD404" i="15"/>
  <c r="AD302" i="15"/>
  <c r="AD90" i="15"/>
  <c r="AD730" i="15"/>
  <c r="AD637" i="15"/>
  <c r="AD498" i="15"/>
  <c r="AD396" i="15"/>
  <c r="AD237" i="15"/>
  <c r="AD115" i="15"/>
  <c r="AD191" i="15"/>
  <c r="AD49" i="15"/>
  <c r="AD746" i="15"/>
  <c r="AD526" i="15"/>
  <c r="AD426" i="15"/>
  <c r="AD132" i="15"/>
  <c r="AD88" i="15"/>
  <c r="AD62" i="15"/>
  <c r="AD723" i="15"/>
  <c r="AD717" i="15"/>
  <c r="AD583" i="15"/>
  <c r="AD451" i="15"/>
  <c r="AD249" i="15"/>
  <c r="AD59" i="15"/>
  <c r="AD628" i="15"/>
  <c r="AD441" i="15"/>
  <c r="AD288" i="15"/>
  <c r="AD231" i="15"/>
  <c r="AD153" i="15"/>
  <c r="AD580" i="15"/>
  <c r="AD489" i="15"/>
  <c r="AD395" i="15"/>
  <c r="AD281" i="15"/>
  <c r="AD758" i="15"/>
  <c r="AD600" i="15"/>
  <c r="AD485" i="15"/>
  <c r="AD375" i="15"/>
  <c r="AD513" i="15"/>
  <c r="AD716" i="15"/>
  <c r="AD588" i="15"/>
  <c r="AD432" i="15"/>
  <c r="AD304" i="15"/>
  <c r="AD182" i="15"/>
  <c r="AD652" i="15"/>
  <c r="AD306" i="15"/>
  <c r="AD390" i="15"/>
  <c r="AD287" i="15"/>
  <c r="AD171" i="15"/>
  <c r="AD726" i="15"/>
  <c r="Y762" i="15"/>
  <c r="Z762" i="15"/>
  <c r="V762" i="15"/>
  <c r="W762" i="15"/>
  <c r="T762" i="15"/>
  <c r="F762" i="15"/>
  <c r="E762" i="15"/>
  <c r="D762" i="15"/>
  <c r="Z761" i="15"/>
  <c r="Y761" i="15"/>
  <c r="F761" i="15"/>
  <c r="E761" i="15"/>
  <c r="D761" i="15"/>
  <c r="T761" i="15"/>
  <c r="W761" i="15"/>
  <c r="V761" i="15"/>
  <c r="X761" i="15"/>
  <c r="Y760" i="15"/>
  <c r="Z760" i="15"/>
  <c r="X760" i="15"/>
  <c r="T760" i="15"/>
  <c r="V760" i="15"/>
  <c r="W760" i="15"/>
  <c r="F760" i="15"/>
  <c r="D760" i="15"/>
  <c r="E760" i="15"/>
  <c r="X759" i="15"/>
  <c r="W759" i="15"/>
  <c r="V759" i="15"/>
  <c r="T759" i="15"/>
  <c r="F759" i="15"/>
  <c r="E759" i="15"/>
  <c r="D759" i="15"/>
  <c r="Y759" i="15"/>
  <c r="Z759" i="15"/>
  <c r="Z758" i="15"/>
  <c r="Y758" i="15"/>
  <c r="D758" i="15"/>
  <c r="E758" i="15"/>
  <c r="F758" i="15"/>
  <c r="T758" i="15"/>
  <c r="W758" i="15"/>
  <c r="V758" i="15"/>
  <c r="X758" i="15"/>
  <c r="X757" i="15"/>
  <c r="Y757" i="15"/>
  <c r="V757" i="15"/>
  <c r="T757" i="15"/>
  <c r="W757" i="15"/>
  <c r="Z757" i="15"/>
  <c r="D757" i="15"/>
  <c r="F757" i="15"/>
  <c r="E757" i="15"/>
  <c r="Z756" i="15"/>
  <c r="Y756" i="15"/>
  <c r="X756" i="15"/>
  <c r="W756" i="15"/>
  <c r="T756" i="15"/>
  <c r="V756" i="15"/>
  <c r="F756" i="15"/>
  <c r="E756" i="15"/>
  <c r="D756" i="15"/>
  <c r="Y755" i="15"/>
  <c r="Z755" i="15"/>
  <c r="T755" i="15"/>
  <c r="V755" i="15"/>
  <c r="W755" i="15"/>
  <c r="X755" i="15"/>
  <c r="D755" i="15"/>
  <c r="E755" i="15"/>
  <c r="F755" i="15"/>
  <c r="Y754" i="15"/>
  <c r="Z754" i="15"/>
  <c r="F754" i="15"/>
  <c r="E754" i="15"/>
  <c r="D754" i="15"/>
  <c r="X754" i="15"/>
  <c r="T754" i="15"/>
  <c r="W754" i="15"/>
  <c r="V754" i="15"/>
  <c r="Y753" i="15"/>
  <c r="Z753" i="15"/>
  <c r="T753" i="15"/>
  <c r="W753" i="15"/>
  <c r="V753" i="15"/>
  <c r="X753" i="15"/>
  <c r="F753" i="15"/>
  <c r="E753" i="15"/>
  <c r="D753" i="15"/>
  <c r="Z752" i="15"/>
  <c r="Y752" i="15"/>
  <c r="F752" i="15"/>
  <c r="E752" i="15"/>
  <c r="D752" i="15"/>
  <c r="X752" i="15"/>
  <c r="T752" i="15"/>
  <c r="V752" i="15"/>
  <c r="W752" i="15"/>
  <c r="Z750" i="15"/>
  <c r="Z751" i="15"/>
  <c r="Z749" i="15"/>
  <c r="Y751" i="15"/>
  <c r="D749" i="15"/>
  <c r="E749" i="15"/>
  <c r="F749" i="15"/>
  <c r="X751" i="15"/>
  <c r="Y749" i="15"/>
  <c r="X749" i="15"/>
  <c r="V751" i="15"/>
  <c r="T751" i="15"/>
  <c r="W751" i="15"/>
  <c r="D750" i="15"/>
  <c r="F750" i="15"/>
  <c r="E750" i="15"/>
  <c r="V749" i="15"/>
  <c r="T749" i="15"/>
  <c r="W749" i="15"/>
  <c r="V750" i="15"/>
  <c r="T750" i="15"/>
  <c r="W750" i="15"/>
  <c r="Y750" i="15"/>
  <c r="X750" i="15"/>
  <c r="D751" i="15"/>
  <c r="F751" i="15"/>
  <c r="E751" i="15"/>
  <c r="Y748" i="15"/>
  <c r="Z748" i="15"/>
  <c r="X748" i="15"/>
  <c r="T748" i="15"/>
  <c r="V748" i="15"/>
  <c r="W748" i="15"/>
  <c r="D748" i="15"/>
  <c r="E748" i="15"/>
  <c r="F748" i="15"/>
  <c r="X747" i="15"/>
  <c r="Z746" i="15"/>
  <c r="Y746" i="15"/>
  <c r="D747" i="15"/>
  <c r="E747" i="15"/>
  <c r="F747" i="15"/>
  <c r="Y747" i="15"/>
  <c r="V746" i="15"/>
  <c r="T746" i="15"/>
  <c r="W746" i="15"/>
  <c r="D746" i="15"/>
  <c r="E746" i="15"/>
  <c r="F746" i="15"/>
  <c r="Z747" i="15"/>
  <c r="X746" i="15"/>
  <c r="T747" i="15"/>
  <c r="W747" i="15"/>
  <c r="V747" i="15"/>
  <c r="Z744" i="15"/>
  <c r="Z745" i="15"/>
  <c r="Y744" i="15"/>
  <c r="X744" i="15"/>
  <c r="T744" i="15"/>
  <c r="V744" i="15"/>
  <c r="W744" i="15"/>
  <c r="Y745" i="15"/>
  <c r="X745" i="15"/>
  <c r="D745" i="15"/>
  <c r="F745" i="15"/>
  <c r="E745" i="15"/>
  <c r="D744" i="15"/>
  <c r="E744" i="15"/>
  <c r="F744" i="15"/>
  <c r="T745" i="15"/>
  <c r="V745" i="15"/>
  <c r="W745" i="15"/>
  <c r="Y743" i="15"/>
  <c r="Z743" i="15"/>
  <c r="X743" i="15"/>
  <c r="T743" i="15"/>
  <c r="W743" i="15"/>
  <c r="V743" i="15"/>
  <c r="D743" i="15"/>
  <c r="E743" i="15"/>
  <c r="F743" i="15"/>
  <c r="Y742" i="15"/>
  <c r="Z742" i="15"/>
  <c r="X742" i="15"/>
  <c r="T742" i="15"/>
  <c r="V742" i="15"/>
  <c r="W742" i="15"/>
  <c r="D742" i="15"/>
  <c r="E742" i="15"/>
  <c r="F742" i="15"/>
  <c r="Z741" i="15"/>
  <c r="Y741" i="15"/>
  <c r="T741" i="15"/>
  <c r="V741" i="15"/>
  <c r="W741" i="15"/>
  <c r="X741" i="15"/>
  <c r="F741" i="15"/>
  <c r="D741" i="15"/>
  <c r="E741" i="15"/>
  <c r="Y740" i="15"/>
  <c r="Z740" i="15"/>
  <c r="T740" i="15"/>
  <c r="V740" i="15"/>
  <c r="W740" i="15"/>
  <c r="D740" i="15"/>
  <c r="E740" i="15"/>
  <c r="F740" i="15"/>
  <c r="X740" i="15"/>
  <c r="Y739" i="15"/>
  <c r="Z739" i="15"/>
  <c r="T739" i="15"/>
  <c r="W739" i="15"/>
  <c r="V739" i="15"/>
  <c r="E739" i="15"/>
  <c r="F739" i="15"/>
  <c r="D739" i="15"/>
  <c r="X739" i="15"/>
  <c r="Z738" i="15"/>
  <c r="Y738" i="15"/>
  <c r="T738" i="15"/>
  <c r="W738" i="15"/>
  <c r="V738" i="15"/>
  <c r="D738" i="15"/>
  <c r="E738" i="15"/>
  <c r="F738" i="15"/>
  <c r="X738" i="15"/>
  <c r="Z737" i="15"/>
  <c r="Y737" i="15"/>
  <c r="X737" i="15"/>
  <c r="T737" i="15"/>
  <c r="W737" i="15"/>
  <c r="V737" i="15"/>
  <c r="F737" i="15"/>
  <c r="E737" i="15"/>
  <c r="D737" i="15"/>
  <c r="Y736" i="15"/>
  <c r="Z736" i="15"/>
  <c r="T736" i="15"/>
  <c r="W736" i="15"/>
  <c r="V736" i="15"/>
  <c r="X736" i="15"/>
  <c r="D736" i="15"/>
  <c r="E736" i="15"/>
  <c r="F736" i="15"/>
  <c r="Y735" i="15"/>
  <c r="Z735" i="15"/>
  <c r="X735" i="15"/>
  <c r="T735" i="15"/>
  <c r="V735" i="15"/>
  <c r="W735" i="15"/>
  <c r="D735" i="15"/>
  <c r="E735" i="15"/>
  <c r="F735" i="15"/>
  <c r="Z734" i="15"/>
  <c r="Y734" i="15"/>
  <c r="D734" i="15"/>
  <c r="F734" i="15"/>
  <c r="E734" i="15"/>
  <c r="V734" i="15"/>
  <c r="T734" i="15"/>
  <c r="W734" i="15"/>
  <c r="X734" i="15"/>
  <c r="Y733" i="15"/>
  <c r="Z733" i="15"/>
  <c r="D733" i="15"/>
  <c r="E733" i="15"/>
  <c r="F733" i="15"/>
  <c r="X733" i="15"/>
  <c r="T733" i="15"/>
  <c r="W733" i="15"/>
  <c r="V733" i="15"/>
  <c r="Y732" i="15"/>
  <c r="Z732" i="15"/>
  <c r="T732" i="15"/>
  <c r="W732" i="15"/>
  <c r="V732" i="15"/>
  <c r="D732" i="15"/>
  <c r="E732" i="15"/>
  <c r="F732" i="15"/>
  <c r="X732" i="15"/>
  <c r="Z731" i="15"/>
  <c r="Y731" i="15"/>
  <c r="X731" i="15"/>
  <c r="T731" i="15"/>
  <c r="W731" i="15"/>
  <c r="V731" i="15"/>
  <c r="D731" i="15"/>
  <c r="E731" i="15"/>
  <c r="F731" i="15"/>
  <c r="Z730" i="15"/>
  <c r="Y730" i="15"/>
  <c r="W730" i="15"/>
  <c r="T730" i="15"/>
  <c r="V730" i="15"/>
  <c r="X730" i="15"/>
  <c r="E730" i="15"/>
  <c r="F730" i="15"/>
  <c r="D730" i="15"/>
  <c r="Y729" i="15"/>
  <c r="Z729" i="15"/>
  <c r="F729" i="15"/>
  <c r="D729" i="15"/>
  <c r="E729" i="15"/>
  <c r="X729" i="15"/>
  <c r="T729" i="15"/>
  <c r="W729" i="15"/>
  <c r="V729" i="15"/>
  <c r="Y728" i="15"/>
  <c r="Z728" i="15"/>
  <c r="X728" i="15"/>
  <c r="T728" i="15"/>
  <c r="W728" i="15"/>
  <c r="V728" i="15"/>
  <c r="D728" i="15"/>
  <c r="E728" i="15"/>
  <c r="F728" i="15"/>
  <c r="Y727" i="15"/>
  <c r="Z727" i="15"/>
  <c r="D727" i="15"/>
  <c r="E727" i="15"/>
  <c r="F727" i="15"/>
  <c r="X727" i="15"/>
  <c r="T727" i="15"/>
  <c r="W727" i="15"/>
  <c r="V727" i="15"/>
  <c r="Y726" i="15"/>
  <c r="Z726" i="15"/>
  <c r="D726" i="15"/>
  <c r="E726" i="15"/>
  <c r="F726" i="15"/>
  <c r="X726" i="15"/>
  <c r="T726" i="15"/>
  <c r="V726" i="15"/>
  <c r="W726" i="15"/>
  <c r="Y725" i="15"/>
  <c r="Z725" i="15"/>
  <c r="X725" i="15"/>
  <c r="T725" i="15"/>
  <c r="W725" i="15"/>
  <c r="V725" i="15"/>
  <c r="D725" i="15"/>
  <c r="E725" i="15"/>
  <c r="F725" i="15"/>
  <c r="Y724" i="15"/>
  <c r="Z724" i="15"/>
  <c r="X724" i="15"/>
  <c r="D724" i="15"/>
  <c r="F724" i="15"/>
  <c r="E724" i="15"/>
  <c r="T724" i="15"/>
  <c r="V724" i="15"/>
  <c r="W724" i="15"/>
  <c r="Y723" i="15"/>
  <c r="Z723" i="15"/>
  <c r="X723" i="15"/>
  <c r="T723" i="15"/>
  <c r="W723" i="15"/>
  <c r="V723" i="15"/>
  <c r="D723" i="15"/>
  <c r="E723" i="15"/>
  <c r="F723" i="15"/>
  <c r="Y722" i="15"/>
  <c r="Z722" i="15"/>
  <c r="T722" i="15"/>
  <c r="W722" i="15"/>
  <c r="V722" i="15"/>
  <c r="D722" i="15"/>
  <c r="F722" i="15"/>
  <c r="E722" i="15"/>
  <c r="X722" i="15"/>
  <c r="Y721" i="15"/>
  <c r="Z721" i="15"/>
  <c r="D721" i="15"/>
  <c r="E721" i="15"/>
  <c r="F721" i="15"/>
  <c r="X721" i="15"/>
  <c r="T721" i="15"/>
  <c r="W721" i="15"/>
  <c r="V721" i="15"/>
  <c r="Y720" i="15"/>
  <c r="Z720" i="15"/>
  <c r="X720" i="15"/>
  <c r="T720" i="15"/>
  <c r="V720" i="15"/>
  <c r="W720" i="15"/>
  <c r="F720" i="15"/>
  <c r="D720" i="15"/>
  <c r="E720" i="15"/>
  <c r="Y719" i="15"/>
  <c r="Z719" i="15"/>
  <c r="V719" i="15"/>
  <c r="T719" i="15"/>
  <c r="W719" i="15"/>
  <c r="D719" i="15"/>
  <c r="F719" i="15"/>
  <c r="E719" i="15"/>
  <c r="X719" i="15"/>
  <c r="Y718" i="15"/>
  <c r="Z718" i="15"/>
  <c r="T718" i="15"/>
  <c r="V718" i="15"/>
  <c r="W718" i="15"/>
  <c r="X718" i="15"/>
  <c r="D718" i="15"/>
  <c r="E718" i="15"/>
  <c r="F718" i="15"/>
  <c r="Y717" i="15"/>
  <c r="Z717" i="15"/>
  <c r="X717" i="15"/>
  <c r="T717" i="15"/>
  <c r="V717" i="15"/>
  <c r="W717" i="15"/>
  <c r="D717" i="15"/>
  <c r="E717" i="15"/>
  <c r="F717" i="15"/>
  <c r="Y716" i="15"/>
  <c r="Z716" i="15"/>
  <c r="D716" i="15"/>
  <c r="E716" i="15"/>
  <c r="F716" i="15"/>
  <c r="X716" i="15"/>
  <c r="T716" i="15"/>
  <c r="W716" i="15"/>
  <c r="V716" i="15"/>
  <c r="Z715" i="15"/>
  <c r="Y715" i="15"/>
  <c r="T715" i="15"/>
  <c r="W715" i="15"/>
  <c r="V715" i="15"/>
  <c r="D715" i="15"/>
  <c r="E715" i="15"/>
  <c r="F715" i="15"/>
  <c r="X715" i="15"/>
  <c r="Z714" i="15"/>
  <c r="Y714" i="15"/>
  <c r="D714" i="15"/>
  <c r="E714" i="15"/>
  <c r="F714" i="15"/>
  <c r="X714" i="15"/>
  <c r="T714" i="15"/>
  <c r="W714" i="15"/>
  <c r="V714" i="15"/>
  <c r="Y713" i="15"/>
  <c r="Z713" i="15"/>
  <c r="X713" i="15"/>
  <c r="T713" i="15"/>
  <c r="V713" i="15"/>
  <c r="W713" i="15"/>
  <c r="E713" i="15"/>
  <c r="F713" i="15"/>
  <c r="D713" i="15"/>
  <c r="Y712" i="15"/>
  <c r="Z712" i="15"/>
  <c r="T712" i="15"/>
  <c r="W712" i="15"/>
  <c r="V712" i="15"/>
  <c r="D712" i="15"/>
  <c r="E712" i="15"/>
  <c r="F712" i="15"/>
  <c r="X712" i="15"/>
  <c r="X711" i="15"/>
  <c r="Z711" i="15"/>
  <c r="Y711" i="15"/>
  <c r="T711" i="15"/>
  <c r="W711" i="15"/>
  <c r="V711" i="15"/>
  <c r="D711" i="15"/>
  <c r="F711" i="15"/>
  <c r="E711" i="15"/>
  <c r="Y710" i="15"/>
  <c r="Z710" i="15"/>
  <c r="X710" i="15"/>
  <c r="T710" i="15"/>
  <c r="V710" i="15"/>
  <c r="W710" i="15"/>
  <c r="F710" i="15"/>
  <c r="E710" i="15"/>
  <c r="D710" i="15"/>
  <c r="Y709" i="15"/>
  <c r="Z709" i="15"/>
  <c r="X709" i="15"/>
  <c r="D709" i="15"/>
  <c r="E709" i="15"/>
  <c r="F709" i="15"/>
  <c r="T709" i="15"/>
  <c r="W709" i="15"/>
  <c r="V709" i="15"/>
  <c r="Y708" i="15"/>
  <c r="Z708" i="15"/>
  <c r="X708" i="15"/>
  <c r="T708" i="15"/>
  <c r="W708" i="15"/>
  <c r="V708" i="15"/>
  <c r="D708" i="15"/>
  <c r="E708" i="15"/>
  <c r="F708" i="15"/>
  <c r="Z707" i="15"/>
  <c r="X707" i="15"/>
  <c r="D707" i="15"/>
  <c r="E707" i="15"/>
  <c r="F707" i="15"/>
  <c r="Y707" i="15"/>
  <c r="T707" i="15"/>
  <c r="W707" i="15"/>
  <c r="V707" i="15"/>
  <c r="Z706" i="15"/>
  <c r="Z705" i="15"/>
  <c r="Y706" i="15"/>
  <c r="Y705" i="15"/>
  <c r="F706" i="15"/>
  <c r="E706" i="15"/>
  <c r="D706" i="15"/>
  <c r="E705" i="15"/>
  <c r="F705" i="15"/>
  <c r="D705" i="15"/>
  <c r="T706" i="15"/>
  <c r="W706" i="15"/>
  <c r="V706" i="15"/>
  <c r="V705" i="15"/>
  <c r="W705" i="15"/>
  <c r="T705" i="15"/>
  <c r="X706" i="15"/>
  <c r="X705" i="15"/>
  <c r="Y704" i="15"/>
  <c r="Z704" i="15"/>
  <c r="X704" i="15"/>
  <c r="D704" i="15"/>
  <c r="E704" i="15"/>
  <c r="F704" i="15"/>
  <c r="T704" i="15"/>
  <c r="W704" i="15"/>
  <c r="V704" i="15"/>
  <c r="Y703" i="15"/>
  <c r="Z703" i="15"/>
  <c r="X703" i="15"/>
  <c r="T703" i="15"/>
  <c r="W703" i="15"/>
  <c r="V703" i="15"/>
  <c r="E703" i="15"/>
  <c r="F703" i="15"/>
  <c r="D703" i="15"/>
  <c r="Y702" i="15"/>
  <c r="Z702" i="15"/>
  <c r="F702" i="15"/>
  <c r="D702" i="15"/>
  <c r="E702" i="15"/>
  <c r="X702" i="15"/>
  <c r="T702" i="15"/>
  <c r="W702" i="15"/>
  <c r="V702" i="15"/>
  <c r="Y701" i="15"/>
  <c r="Z701" i="15"/>
  <c r="X701" i="15"/>
  <c r="T701" i="15"/>
  <c r="V701" i="15"/>
  <c r="W701" i="15"/>
  <c r="D701" i="15"/>
  <c r="E701" i="15"/>
  <c r="F701" i="15"/>
  <c r="Z700" i="15"/>
  <c r="Y700" i="15"/>
  <c r="W700" i="15"/>
  <c r="V700" i="15"/>
  <c r="T700" i="15"/>
  <c r="E700" i="15"/>
  <c r="D700" i="15"/>
  <c r="F700" i="15"/>
  <c r="X700" i="15"/>
  <c r="Z699" i="15"/>
  <c r="Y699" i="15"/>
  <c r="T699" i="15"/>
  <c r="V699" i="15"/>
  <c r="W699" i="15"/>
  <c r="X699" i="15"/>
  <c r="D699" i="15"/>
  <c r="E699" i="15"/>
  <c r="F699" i="15"/>
  <c r="Y698" i="15"/>
  <c r="Z698" i="15"/>
  <c r="X698" i="15"/>
  <c r="T698" i="15"/>
  <c r="W698" i="15"/>
  <c r="V698" i="15"/>
  <c r="F698" i="15"/>
  <c r="D698" i="15"/>
  <c r="E698" i="15"/>
  <c r="Y697" i="15"/>
  <c r="Z697" i="15"/>
  <c r="X697" i="15"/>
  <c r="T697" i="15"/>
  <c r="W697" i="15"/>
  <c r="V697" i="15"/>
  <c r="D697" i="15"/>
  <c r="F697" i="15"/>
  <c r="E697" i="15"/>
  <c r="Y696" i="15"/>
  <c r="Z696" i="15"/>
  <c r="T696" i="15"/>
  <c r="W696" i="15"/>
  <c r="V696" i="15"/>
  <c r="D696" i="15"/>
  <c r="E696" i="15"/>
  <c r="F696" i="15"/>
  <c r="X696" i="15"/>
  <c r="Y695" i="15"/>
  <c r="Z695" i="15"/>
  <c r="T695" i="15"/>
  <c r="V695" i="15"/>
  <c r="W695" i="15"/>
  <c r="D695" i="15"/>
  <c r="E695" i="15"/>
  <c r="F695" i="15"/>
  <c r="X695" i="15"/>
  <c r="Y694" i="15"/>
  <c r="Z694" i="15"/>
  <c r="T694" i="15"/>
  <c r="V694" i="15"/>
  <c r="W694" i="15"/>
  <c r="F694" i="15"/>
  <c r="E694" i="15"/>
  <c r="D694" i="15"/>
  <c r="X694" i="15"/>
  <c r="Y693" i="15"/>
  <c r="Z693" i="15"/>
  <c r="D693" i="15"/>
  <c r="E693" i="15"/>
  <c r="F693" i="15"/>
  <c r="X693" i="15"/>
  <c r="T693" i="15"/>
  <c r="W693" i="15"/>
  <c r="V693" i="15"/>
  <c r="Z692" i="15"/>
  <c r="Y692" i="15"/>
  <c r="D692" i="15"/>
  <c r="E692" i="15"/>
  <c r="F692" i="15"/>
  <c r="X692" i="15"/>
  <c r="T692" i="15"/>
  <c r="V692" i="15"/>
  <c r="W692" i="15"/>
  <c r="Y691" i="15"/>
  <c r="Z691" i="15"/>
  <c r="F691" i="15"/>
  <c r="E691" i="15"/>
  <c r="D691" i="15"/>
  <c r="X691" i="15"/>
  <c r="T691" i="15"/>
  <c r="W691" i="15"/>
  <c r="V691" i="15"/>
  <c r="Y690" i="15"/>
  <c r="Z690" i="15"/>
  <c r="X690" i="15"/>
  <c r="D690" i="15"/>
  <c r="E690" i="15"/>
  <c r="F690" i="15"/>
  <c r="T690" i="15"/>
  <c r="W690" i="15"/>
  <c r="V690" i="15"/>
  <c r="Z689" i="15"/>
  <c r="Y689" i="15"/>
  <c r="T689" i="15"/>
  <c r="W689" i="15"/>
  <c r="V689" i="15"/>
  <c r="X689" i="15"/>
  <c r="E689" i="15"/>
  <c r="D689" i="15"/>
  <c r="F689" i="15"/>
  <c r="Z688" i="15"/>
  <c r="Y688" i="15"/>
  <c r="T688" i="15"/>
  <c r="V688" i="15"/>
  <c r="W688" i="15"/>
  <c r="D688" i="15"/>
  <c r="E688" i="15"/>
  <c r="F688" i="15"/>
  <c r="X688" i="15"/>
  <c r="Y687" i="15"/>
  <c r="Z687" i="15"/>
  <c r="T687" i="15"/>
  <c r="W687" i="15"/>
  <c r="V687" i="15"/>
  <c r="X687" i="15"/>
  <c r="E687" i="15"/>
  <c r="D687" i="15"/>
  <c r="F687" i="15"/>
  <c r="Y686" i="15"/>
  <c r="Z686" i="15"/>
  <c r="X686" i="15"/>
  <c r="T686" i="15"/>
  <c r="W686" i="15"/>
  <c r="V686" i="15"/>
  <c r="D686" i="15"/>
  <c r="E686" i="15"/>
  <c r="F686" i="15"/>
  <c r="Z685" i="15"/>
  <c r="Y685" i="15"/>
  <c r="X685" i="15"/>
  <c r="E685" i="15"/>
  <c r="F685" i="15"/>
  <c r="D685" i="15"/>
  <c r="T685" i="15"/>
  <c r="V685" i="15"/>
  <c r="W685" i="15"/>
  <c r="Y684" i="15"/>
  <c r="Z684" i="15"/>
  <c r="T684" i="15"/>
  <c r="V684" i="15"/>
  <c r="W684" i="15"/>
  <c r="D684" i="15"/>
  <c r="E684" i="15"/>
  <c r="F684" i="15"/>
  <c r="X684" i="15"/>
  <c r="Y683" i="15"/>
  <c r="Z683" i="15"/>
  <c r="V683" i="15"/>
  <c r="T683" i="15"/>
  <c r="W683" i="15"/>
  <c r="X683" i="15"/>
  <c r="D683" i="15"/>
  <c r="E683" i="15"/>
  <c r="F683" i="15"/>
  <c r="Y682" i="15"/>
  <c r="Z682" i="15"/>
  <c r="T682" i="15"/>
  <c r="W682" i="15"/>
  <c r="V682" i="15"/>
  <c r="D682" i="15"/>
  <c r="E682" i="15"/>
  <c r="F682" i="15"/>
  <c r="X682" i="15"/>
  <c r="Y681" i="15"/>
  <c r="Z681" i="15"/>
  <c r="W681" i="15"/>
  <c r="V681" i="15"/>
  <c r="T681" i="15"/>
  <c r="E681" i="15"/>
  <c r="D681" i="15"/>
  <c r="F681" i="15"/>
  <c r="X681" i="15"/>
  <c r="Y680" i="15"/>
  <c r="Z680" i="15"/>
  <c r="X680" i="15"/>
  <c r="V680" i="15"/>
  <c r="W680" i="15"/>
  <c r="T680" i="15"/>
  <c r="D680" i="15"/>
  <c r="F680" i="15"/>
  <c r="E680" i="15"/>
  <c r="Y679" i="15"/>
  <c r="Z679" i="15"/>
  <c r="T679" i="15"/>
  <c r="V679" i="15"/>
  <c r="W679" i="15"/>
  <c r="X679" i="15"/>
  <c r="D679" i="15"/>
  <c r="E679" i="15"/>
  <c r="F679" i="15"/>
  <c r="Y678" i="15"/>
  <c r="Z678" i="15"/>
  <c r="E678" i="15"/>
  <c r="F678" i="15"/>
  <c r="D678" i="15"/>
  <c r="X678" i="15"/>
  <c r="T678" i="15"/>
  <c r="W678" i="15"/>
  <c r="V678" i="15"/>
  <c r="G3" i="15"/>
  <c r="D15" i="49"/>
  <c r="E15" i="49"/>
  <c r="F15" i="49"/>
  <c r="Z677" i="15"/>
  <c r="Y677" i="15"/>
  <c r="T677" i="15"/>
  <c r="W677" i="15"/>
  <c r="V677" i="15"/>
  <c r="X677" i="15"/>
  <c r="F677" i="15"/>
  <c r="E677" i="15"/>
  <c r="D677" i="15"/>
  <c r="X676" i="15"/>
  <c r="Y676" i="15"/>
  <c r="Z676" i="15"/>
  <c r="D676" i="15"/>
  <c r="E676" i="15"/>
  <c r="F676" i="15"/>
  <c r="T676" i="15"/>
  <c r="V676" i="15"/>
  <c r="W676" i="15"/>
  <c r="Y675" i="15"/>
  <c r="Z675" i="15"/>
  <c r="X675" i="15"/>
  <c r="D675" i="15"/>
  <c r="E675" i="15"/>
  <c r="F675" i="15"/>
  <c r="T675" i="15"/>
  <c r="V675" i="15"/>
  <c r="W675" i="15"/>
  <c r="Y674" i="15"/>
  <c r="Z674" i="15"/>
  <c r="V673" i="15"/>
  <c r="X673" i="15"/>
  <c r="F673" i="15"/>
  <c r="D673" i="15"/>
  <c r="E673" i="15"/>
  <c r="Y673" i="15"/>
  <c r="Z673" i="15"/>
  <c r="D674" i="15"/>
  <c r="F674" i="15"/>
  <c r="E674" i="15"/>
  <c r="X674" i="15"/>
  <c r="W673" i="15"/>
  <c r="T673" i="15"/>
  <c r="T674" i="15"/>
  <c r="W674" i="15"/>
  <c r="V674" i="15"/>
  <c r="Z672" i="15"/>
  <c r="Y672" i="15"/>
  <c r="T672" i="15"/>
  <c r="W672" i="15"/>
  <c r="V672" i="15"/>
  <c r="D672" i="15"/>
  <c r="E672" i="15"/>
  <c r="F672" i="15"/>
  <c r="X672" i="15"/>
  <c r="Y671" i="15"/>
  <c r="Z671" i="15"/>
  <c r="X671" i="15"/>
  <c r="D671" i="15"/>
  <c r="E671" i="15"/>
  <c r="F671" i="15"/>
  <c r="V671" i="15"/>
  <c r="T671" i="15"/>
  <c r="W671" i="15"/>
  <c r="X670" i="15"/>
  <c r="Y670" i="15"/>
  <c r="T670" i="15"/>
  <c r="V670" i="15"/>
  <c r="W670" i="15"/>
  <c r="Z670" i="15"/>
  <c r="D670" i="15"/>
  <c r="E670" i="15"/>
  <c r="F670" i="15"/>
  <c r="Y669" i="15"/>
  <c r="Z669" i="15"/>
  <c r="X669" i="15"/>
  <c r="T669" i="15"/>
  <c r="W669" i="15"/>
  <c r="V669" i="15"/>
  <c r="D669" i="15"/>
  <c r="E669" i="15"/>
  <c r="F669" i="15"/>
  <c r="E272" i="15"/>
  <c r="F491" i="15"/>
  <c r="F17" i="15"/>
  <c r="F370" i="15"/>
  <c r="F456" i="15"/>
  <c r="F313" i="15"/>
  <c r="F585" i="15"/>
  <c r="F260" i="15"/>
  <c r="F13" i="15"/>
  <c r="F442" i="15"/>
  <c r="F251" i="15"/>
  <c r="F284" i="15"/>
  <c r="F512" i="15"/>
  <c r="F105" i="15"/>
  <c r="F92" i="15"/>
  <c r="F466" i="15"/>
  <c r="F526" i="15"/>
  <c r="F563" i="15"/>
  <c r="F530" i="15"/>
  <c r="F529" i="15"/>
  <c r="F558" i="15"/>
  <c r="F483" i="15"/>
  <c r="F551" i="15"/>
  <c r="F595" i="15"/>
  <c r="Z668" i="15"/>
  <c r="Y668" i="15"/>
  <c r="X668" i="15"/>
  <c r="T668" i="15"/>
  <c r="W668" i="15"/>
  <c r="V668" i="15"/>
  <c r="D668" i="15"/>
  <c r="E668" i="15"/>
  <c r="F668" i="15"/>
  <c r="E378" i="15"/>
  <c r="F536" i="15"/>
  <c r="Y667" i="15"/>
  <c r="Z667" i="15"/>
  <c r="T667" i="15"/>
  <c r="V667" i="15"/>
  <c r="W667" i="15"/>
  <c r="D667" i="15"/>
  <c r="E667" i="15"/>
  <c r="F667" i="15"/>
  <c r="X667" i="15"/>
  <c r="E252" i="15"/>
  <c r="F492" i="15"/>
  <c r="F511" i="15"/>
  <c r="F539" i="15"/>
  <c r="F587" i="15"/>
  <c r="F32" i="15"/>
  <c r="F46" i="15"/>
  <c r="F499" i="15"/>
  <c r="F506" i="15"/>
  <c r="F481" i="15"/>
  <c r="F521" i="15"/>
  <c r="Y666" i="15"/>
  <c r="Z666" i="15"/>
  <c r="E418" i="15"/>
  <c r="T666" i="15"/>
  <c r="W666" i="15"/>
  <c r="V666" i="15"/>
  <c r="F666" i="15"/>
  <c r="E666" i="15"/>
  <c r="D666" i="15"/>
  <c r="X666" i="15"/>
  <c r="E357" i="15"/>
  <c r="F478" i="15"/>
  <c r="F488" i="15"/>
  <c r="F502" i="15"/>
  <c r="F586" i="15"/>
  <c r="E537" i="15"/>
  <c r="E510" i="15"/>
  <c r="F538" i="15"/>
  <c r="F484" i="15"/>
  <c r="Z665" i="15"/>
  <c r="Y665" i="15"/>
  <c r="F518" i="15"/>
  <c r="F543" i="15"/>
  <c r="E174" i="15"/>
  <c r="F467" i="15"/>
  <c r="F557" i="15"/>
  <c r="E507" i="15"/>
  <c r="E44" i="15"/>
  <c r="F298" i="15"/>
  <c r="E12" i="15"/>
  <c r="F401" i="15"/>
  <c r="E317" i="15"/>
  <c r="F107" i="15"/>
  <c r="F295" i="15"/>
  <c r="F276" i="15"/>
  <c r="F584" i="15"/>
  <c r="F541" i="15"/>
  <c r="F215" i="15"/>
  <c r="F307" i="15"/>
  <c r="E280" i="15"/>
  <c r="F446" i="15"/>
  <c r="F458" i="15"/>
  <c r="T665" i="15"/>
  <c r="W665" i="15"/>
  <c r="V665" i="15"/>
  <c r="X665" i="15"/>
  <c r="D665" i="15"/>
  <c r="E665" i="15"/>
  <c r="F665" i="15"/>
  <c r="E363" i="15"/>
  <c r="F531" i="15"/>
  <c r="F596" i="15"/>
  <c r="Y664" i="15"/>
  <c r="Z664" i="15"/>
  <c r="F664" i="15"/>
  <c r="D664" i="15"/>
  <c r="E664" i="15"/>
  <c r="X664" i="15"/>
  <c r="T664" i="15"/>
  <c r="W664" i="15"/>
  <c r="V664" i="15"/>
  <c r="F562" i="15"/>
  <c r="X663" i="15"/>
  <c r="F460" i="15"/>
  <c r="E592" i="15"/>
  <c r="F548" i="15"/>
  <c r="E102" i="15"/>
  <c r="E358" i="15"/>
  <c r="L3" i="15"/>
  <c r="F5" i="15"/>
  <c r="I3" i="15"/>
  <c r="Z663" i="15"/>
  <c r="D663" i="15"/>
  <c r="E663" i="15"/>
  <c r="F663" i="15"/>
  <c r="J3" i="15" a="1"/>
  <c r="J3" i="15" s="1"/>
  <c r="K3" i="15"/>
  <c r="Y663" i="15"/>
  <c r="T663" i="15"/>
  <c r="W663" i="15"/>
  <c r="V663" i="15"/>
  <c r="Y662" i="15"/>
  <c r="Z662" i="15"/>
  <c r="X662" i="15"/>
  <c r="D662" i="15"/>
  <c r="E662" i="15"/>
  <c r="F662" i="15"/>
  <c r="D26" i="49"/>
  <c r="D25" i="49" s="1"/>
  <c r="F26" i="49"/>
  <c r="F25" i="49" s="1"/>
  <c r="F10" i="49"/>
  <c r="F14" i="49"/>
  <c r="D17" i="49"/>
  <c r="E10" i="49"/>
  <c r="D14" i="49"/>
  <c r="D11" i="49"/>
  <c r="D10" i="49"/>
  <c r="V662" i="15"/>
  <c r="T662" i="15"/>
  <c r="W662" i="15"/>
  <c r="X661" i="15"/>
  <c r="C24" i="49"/>
  <c r="C4" i="49"/>
  <c r="E580" i="15"/>
  <c r="E578" i="15"/>
  <c r="E573" i="15"/>
  <c r="E572" i="15"/>
  <c r="E574" i="15"/>
  <c r="E575" i="15"/>
  <c r="E581" i="15"/>
  <c r="E577" i="15"/>
  <c r="E571" i="15"/>
  <c r="E579" i="15"/>
  <c r="E576" i="15"/>
  <c r="E583" i="15"/>
  <c r="Y661" i="15"/>
  <c r="Z661" i="15"/>
  <c r="T661" i="15"/>
  <c r="W661" i="15"/>
  <c r="V661" i="15"/>
  <c r="D661" i="15"/>
  <c r="E661" i="15"/>
  <c r="F661" i="15"/>
  <c r="E3" i="49"/>
  <c r="F3" i="49"/>
  <c r="E11" i="49"/>
  <c r="F17" i="49"/>
  <c r="E26" i="49"/>
  <c r="E14" i="49"/>
  <c r="E17" i="49"/>
  <c r="F11" i="49"/>
  <c r="X660" i="15"/>
  <c r="T660" i="15"/>
  <c r="W660" i="15"/>
  <c r="V660" i="15"/>
  <c r="D660" i="15"/>
  <c r="E660" i="15"/>
  <c r="F660" i="15"/>
  <c r="Z660" i="15"/>
  <c r="Y660" i="15"/>
  <c r="X659" i="15"/>
  <c r="Z659" i="15"/>
  <c r="D659" i="15"/>
  <c r="F659" i="15"/>
  <c r="E659" i="15"/>
  <c r="W659" i="15"/>
  <c r="V659" i="15"/>
  <c r="T659" i="15"/>
  <c r="Y659" i="15"/>
  <c r="Y658" i="15"/>
  <c r="Z658" i="15"/>
  <c r="D658" i="15"/>
  <c r="F658" i="15"/>
  <c r="E658" i="15"/>
  <c r="X658" i="15"/>
  <c r="T658" i="15"/>
  <c r="W658" i="15"/>
  <c r="V658" i="15"/>
  <c r="Y655" i="15"/>
  <c r="Z657" i="15"/>
  <c r="Z656" i="15"/>
  <c r="Y657" i="15"/>
  <c r="V657" i="15"/>
  <c r="T657" i="15"/>
  <c r="W657" i="15"/>
  <c r="X657" i="15"/>
  <c r="X654" i="15"/>
  <c r="W656" i="15"/>
  <c r="Y656" i="15"/>
  <c r="E656" i="15"/>
  <c r="F656" i="15"/>
  <c r="D656" i="15"/>
  <c r="V656" i="15"/>
  <c r="T656" i="15"/>
  <c r="F657" i="15"/>
  <c r="D657" i="15"/>
  <c r="E657" i="15"/>
  <c r="Y559" i="15"/>
  <c r="X656" i="15"/>
  <c r="Y654" i="15"/>
  <c r="E654" i="15"/>
  <c r="D654" i="15"/>
  <c r="F654" i="15"/>
  <c r="X655" i="15"/>
  <c r="Z654" i="15"/>
  <c r="V655" i="15"/>
  <c r="W655" i="15"/>
  <c r="W654" i="15"/>
  <c r="T654" i="15"/>
  <c r="V654" i="15"/>
  <c r="T655" i="15"/>
  <c r="Z655" i="15"/>
  <c r="F655" i="15"/>
  <c r="D655" i="15"/>
  <c r="E655" i="15"/>
  <c r="X652" i="15"/>
  <c r="Z653" i="15"/>
  <c r="Y652" i="15"/>
  <c r="Z652" i="15"/>
  <c r="E652" i="15"/>
  <c r="F652" i="15"/>
  <c r="D652" i="15"/>
  <c r="W652" i="15"/>
  <c r="T652" i="15"/>
  <c r="V652" i="15"/>
  <c r="Y653" i="15"/>
  <c r="X653" i="15"/>
  <c r="V653" i="15"/>
  <c r="T653" i="15"/>
  <c r="W653" i="15"/>
  <c r="F653" i="15"/>
  <c r="D653" i="15"/>
  <c r="E653" i="15"/>
  <c r="Y651" i="15"/>
  <c r="T651" i="15"/>
  <c r="W651" i="15"/>
  <c r="V651" i="15"/>
  <c r="Z651" i="15"/>
  <c r="X651" i="15"/>
  <c r="D651" i="15"/>
  <c r="F651" i="15"/>
  <c r="E651" i="15"/>
  <c r="Y650" i="15"/>
  <c r="Y649" i="15"/>
  <c r="X650" i="15"/>
  <c r="Z649" i="15"/>
  <c r="F650" i="15"/>
  <c r="D650" i="15"/>
  <c r="E650" i="15"/>
  <c r="T650" i="15"/>
  <c r="Z650" i="15"/>
  <c r="W649" i="15"/>
  <c r="T649" i="15"/>
  <c r="V649" i="15"/>
  <c r="X649" i="15"/>
  <c r="V650" i="15"/>
  <c r="W650" i="15"/>
  <c r="E649" i="15"/>
  <c r="D649" i="15"/>
  <c r="F649" i="15"/>
  <c r="Z648" i="15"/>
  <c r="W648" i="15"/>
  <c r="T648" i="15"/>
  <c r="D648" i="15"/>
  <c r="E648" i="15"/>
  <c r="F648" i="15"/>
  <c r="V648" i="15"/>
  <c r="X648" i="15"/>
  <c r="Y648" i="15"/>
  <c r="Z647" i="15"/>
  <c r="Y647" i="15"/>
  <c r="X647" i="15"/>
  <c r="D647" i="15"/>
  <c r="E647" i="15"/>
  <c r="F647" i="15"/>
  <c r="T647" i="15"/>
  <c r="V647" i="15"/>
  <c r="W647" i="15"/>
  <c r="X646" i="15"/>
  <c r="Y645" i="15"/>
  <c r="Z645" i="15"/>
  <c r="D646" i="15"/>
  <c r="F646" i="15"/>
  <c r="E646" i="15"/>
  <c r="Z646" i="15"/>
  <c r="D645" i="15"/>
  <c r="E645" i="15"/>
  <c r="F645" i="15"/>
  <c r="W646" i="15"/>
  <c r="T646" i="15"/>
  <c r="V646" i="15"/>
  <c r="X645" i="15"/>
  <c r="Y646" i="15"/>
  <c r="V645" i="15"/>
  <c r="W645" i="15"/>
  <c r="T645" i="15"/>
  <c r="Y644" i="15"/>
  <c r="X644" i="15"/>
  <c r="Z644" i="15"/>
  <c r="D644" i="15"/>
  <c r="E644" i="15"/>
  <c r="F644" i="15"/>
  <c r="T644" i="15"/>
  <c r="V644" i="15"/>
  <c r="W644" i="15"/>
  <c r="Y643" i="15"/>
  <c r="Z643" i="15"/>
  <c r="D643" i="15"/>
  <c r="F643" i="15"/>
  <c r="E643" i="15"/>
  <c r="V643" i="15"/>
  <c r="X643" i="15"/>
  <c r="T643" i="15"/>
  <c r="W643" i="15"/>
  <c r="Y611" i="15"/>
  <c r="Z639" i="15"/>
  <c r="X642" i="15"/>
  <c r="X640" i="15"/>
  <c r="W641" i="15"/>
  <c r="V641" i="15"/>
  <c r="D639" i="15"/>
  <c r="F639" i="15"/>
  <c r="E639" i="15"/>
  <c r="E642" i="15"/>
  <c r="F642" i="15"/>
  <c r="D642" i="15"/>
  <c r="Y640" i="15"/>
  <c r="T642" i="15"/>
  <c r="V642" i="15"/>
  <c r="E641" i="15"/>
  <c r="F641" i="15"/>
  <c r="D641" i="15"/>
  <c r="D640" i="15"/>
  <c r="F640" i="15"/>
  <c r="E640" i="15"/>
  <c r="Z640" i="15"/>
  <c r="Y638" i="15"/>
  <c r="W638" i="15"/>
  <c r="V638" i="15"/>
  <c r="T638" i="15"/>
  <c r="T641" i="15"/>
  <c r="Z641" i="15"/>
  <c r="Y639" i="15"/>
  <c r="X641" i="15"/>
  <c r="T639" i="15"/>
  <c r="W639" i="15"/>
  <c r="W642" i="15"/>
  <c r="Y642" i="15"/>
  <c r="D638" i="15"/>
  <c r="F638" i="15"/>
  <c r="E638" i="15"/>
  <c r="Z638" i="15"/>
  <c r="X638" i="15"/>
  <c r="V639" i="15"/>
  <c r="X639" i="15"/>
  <c r="T640" i="15"/>
  <c r="V640" i="15"/>
  <c r="W640" i="15"/>
  <c r="Z642" i="15"/>
  <c r="Y641" i="15"/>
  <c r="X635" i="15"/>
  <c r="Z635" i="15"/>
  <c r="V636" i="15"/>
  <c r="W636" i="15"/>
  <c r="T636" i="15"/>
  <c r="D632" i="15"/>
  <c r="E632" i="15"/>
  <c r="F632" i="15"/>
  <c r="V633" i="15"/>
  <c r="X633" i="15"/>
  <c r="Y633" i="15"/>
  <c r="D634" i="15"/>
  <c r="F634" i="15"/>
  <c r="E634" i="15"/>
  <c r="Z636" i="15"/>
  <c r="T632" i="15"/>
  <c r="Z632" i="15"/>
  <c r="W633" i="15"/>
  <c r="T633" i="15"/>
  <c r="D633" i="15"/>
  <c r="F633" i="15"/>
  <c r="E633" i="15"/>
  <c r="V634" i="15"/>
  <c r="D635" i="15"/>
  <c r="E635" i="15"/>
  <c r="F635" i="15"/>
  <c r="D637" i="15"/>
  <c r="F637" i="15"/>
  <c r="E637" i="15"/>
  <c r="Y636" i="15"/>
  <c r="X636" i="15"/>
  <c r="W632" i="15"/>
  <c r="V632" i="15"/>
  <c r="W634" i="15"/>
  <c r="Y634" i="15"/>
  <c r="T637" i="15"/>
  <c r="Z637" i="15"/>
  <c r="Y637" i="15"/>
  <c r="X637" i="15"/>
  <c r="D636" i="15"/>
  <c r="F636" i="15"/>
  <c r="E636" i="15"/>
  <c r="T634" i="15"/>
  <c r="Z634" i="15"/>
  <c r="Y635" i="15"/>
  <c r="Y632" i="15"/>
  <c r="Z633" i="15"/>
  <c r="W635" i="15"/>
  <c r="T635" i="15"/>
  <c r="V635" i="15"/>
  <c r="W637" i="15"/>
  <c r="V637" i="15"/>
  <c r="X632" i="15"/>
  <c r="X634" i="15"/>
  <c r="Y628" i="15"/>
  <c r="X631" i="15"/>
  <c r="Z629" i="15"/>
  <c r="Y623" i="15"/>
  <c r="T626" i="15"/>
  <c r="Z623" i="15"/>
  <c r="Y627" i="15"/>
  <c r="X625" i="15"/>
  <c r="Z627" i="15"/>
  <c r="Y631" i="15"/>
  <c r="D627" i="15"/>
  <c r="E627" i="15"/>
  <c r="F627" i="15"/>
  <c r="X623" i="15"/>
  <c r="T624" i="15"/>
  <c r="Z624" i="15"/>
  <c r="V631" i="15"/>
  <c r="T631" i="15"/>
  <c r="W631" i="15"/>
  <c r="Z625" i="15"/>
  <c r="F629" i="15"/>
  <c r="D629" i="15"/>
  <c r="E629" i="15"/>
  <c r="W624" i="15"/>
  <c r="D631" i="15"/>
  <c r="E631" i="15"/>
  <c r="F631" i="15"/>
  <c r="W625" i="15"/>
  <c r="T625" i="15"/>
  <c r="V625" i="15"/>
  <c r="X629" i="15"/>
  <c r="Y626" i="15"/>
  <c r="D624" i="15"/>
  <c r="F624" i="15"/>
  <c r="E624" i="15"/>
  <c r="F625" i="15"/>
  <c r="D625" i="15"/>
  <c r="E625" i="15"/>
  <c r="W630" i="15"/>
  <c r="V630" i="15"/>
  <c r="T630" i="15"/>
  <c r="X627" i="15"/>
  <c r="Y629" i="15"/>
  <c r="W626" i="15"/>
  <c r="V626" i="15"/>
  <c r="E630" i="15"/>
  <c r="F630" i="15"/>
  <c r="D630" i="15"/>
  <c r="V623" i="15"/>
  <c r="T623" i="15"/>
  <c r="W623" i="15"/>
  <c r="T628" i="15"/>
  <c r="Z628" i="15"/>
  <c r="D626" i="15"/>
  <c r="E626" i="15"/>
  <c r="F626" i="15"/>
  <c r="Y630" i="15"/>
  <c r="X630" i="15"/>
  <c r="D623" i="15"/>
  <c r="F623" i="15"/>
  <c r="E623" i="15"/>
  <c r="V624" i="15"/>
  <c r="X624" i="15"/>
  <c r="W628" i="15"/>
  <c r="V628" i="15"/>
  <c r="E628" i="15"/>
  <c r="F628" i="15"/>
  <c r="D628" i="15"/>
  <c r="W627" i="15"/>
  <c r="T627" i="15"/>
  <c r="V627" i="15"/>
  <c r="Y624" i="15"/>
  <c r="Z631" i="15"/>
  <c r="X628" i="15"/>
  <c r="Y625" i="15"/>
  <c r="T629" i="15"/>
  <c r="V629" i="15"/>
  <c r="W629" i="15"/>
  <c r="Z626" i="15"/>
  <c r="X626" i="15"/>
  <c r="Z630" i="15"/>
  <c r="F575" i="15"/>
  <c r="Y621" i="15"/>
  <c r="Z621" i="15"/>
  <c r="Y620" i="15"/>
  <c r="X620" i="15"/>
  <c r="V620" i="15"/>
  <c r="T620" i="15"/>
  <c r="W620" i="15"/>
  <c r="E620" i="15"/>
  <c r="F620" i="15"/>
  <c r="D620" i="15"/>
  <c r="V622" i="15"/>
  <c r="X622" i="15"/>
  <c r="Y619" i="15"/>
  <c r="Z620" i="15"/>
  <c r="X621" i="15"/>
  <c r="Z622" i="15"/>
  <c r="T619" i="15"/>
  <c r="W619" i="15"/>
  <c r="V619" i="15"/>
  <c r="X619" i="15"/>
  <c r="D619" i="15"/>
  <c r="E619" i="15"/>
  <c r="F619" i="15"/>
  <c r="T621" i="15"/>
  <c r="V621" i="15"/>
  <c r="W621" i="15"/>
  <c r="Y622" i="15"/>
  <c r="Z619" i="15"/>
  <c r="E621" i="15"/>
  <c r="F621" i="15"/>
  <c r="D621" i="15"/>
  <c r="T622" i="15"/>
  <c r="W622" i="15"/>
  <c r="E622" i="15"/>
  <c r="F622" i="15"/>
  <c r="D622" i="15"/>
  <c r="Z616" i="15"/>
  <c r="Y617" i="15"/>
  <c r="Y618" i="15"/>
  <c r="Z618" i="15"/>
  <c r="Z617" i="15"/>
  <c r="Y614" i="15"/>
  <c r="Z615" i="15"/>
  <c r="Z614" i="15"/>
  <c r="T617" i="15"/>
  <c r="W617" i="15"/>
  <c r="V617" i="15"/>
  <c r="F617" i="15"/>
  <c r="D617" i="15"/>
  <c r="E617" i="15"/>
  <c r="Y615" i="15"/>
  <c r="D616" i="15"/>
  <c r="F616" i="15"/>
  <c r="E616" i="15"/>
  <c r="D613" i="15"/>
  <c r="E613" i="15"/>
  <c r="F613" i="15"/>
  <c r="V614" i="15"/>
  <c r="X614" i="15"/>
  <c r="D614" i="15"/>
  <c r="F614" i="15"/>
  <c r="E614" i="15"/>
  <c r="X617" i="15"/>
  <c r="Y613" i="15"/>
  <c r="W618" i="15"/>
  <c r="T618" i="15"/>
  <c r="T614" i="15"/>
  <c r="W614" i="15"/>
  <c r="D615" i="15"/>
  <c r="F615" i="15"/>
  <c r="E615" i="15"/>
  <c r="Y616" i="15"/>
  <c r="T613" i="15"/>
  <c r="Z613" i="15"/>
  <c r="E618" i="15"/>
  <c r="F618" i="15"/>
  <c r="D618" i="15"/>
  <c r="T616" i="15"/>
  <c r="W616" i="15"/>
  <c r="X613" i="15"/>
  <c r="X615" i="15"/>
  <c r="V613" i="15"/>
  <c r="W613" i="15"/>
  <c r="V618" i="15"/>
  <c r="X618" i="15"/>
  <c r="W615" i="15"/>
  <c r="T615" i="15"/>
  <c r="V615" i="15"/>
  <c r="V616" i="15"/>
  <c r="X616" i="15"/>
  <c r="Y609" i="15"/>
  <c r="Z612" i="15"/>
  <c r="Y612" i="15"/>
  <c r="X612" i="15"/>
  <c r="T612" i="15"/>
  <c r="V612" i="15"/>
  <c r="W612" i="15"/>
  <c r="D612" i="15"/>
  <c r="F612" i="15"/>
  <c r="E612" i="15"/>
  <c r="Z609" i="15"/>
  <c r="Y610" i="15"/>
  <c r="Z611" i="15"/>
  <c r="W609" i="15"/>
  <c r="T609" i="15"/>
  <c r="V609" i="15"/>
  <c r="T610" i="15"/>
  <c r="W610" i="15"/>
  <c r="V610" i="15"/>
  <c r="X609" i="15"/>
  <c r="F609" i="15"/>
  <c r="E609" i="15"/>
  <c r="D609" i="15"/>
  <c r="E610" i="15"/>
  <c r="D610" i="15"/>
  <c r="F610" i="15"/>
  <c r="X611" i="15"/>
  <c r="Z610" i="15"/>
  <c r="X610" i="15"/>
  <c r="D611" i="15"/>
  <c r="F611" i="15"/>
  <c r="E611" i="15"/>
  <c r="T611" i="15"/>
  <c r="V611" i="15"/>
  <c r="W611" i="15"/>
  <c r="X608" i="15"/>
  <c r="X607" i="15"/>
  <c r="Y606" i="15"/>
  <c r="Y607" i="15"/>
  <c r="X606" i="15"/>
  <c r="F607" i="15"/>
  <c r="D607" i="15"/>
  <c r="E607" i="15"/>
  <c r="Z608" i="15"/>
  <c r="Z606" i="15"/>
  <c r="D608" i="15"/>
  <c r="F608" i="15"/>
  <c r="E608" i="15"/>
  <c r="D606" i="15"/>
  <c r="F606" i="15"/>
  <c r="E606" i="15"/>
  <c r="Z607" i="15"/>
  <c r="Y608" i="15"/>
  <c r="T606" i="15"/>
  <c r="W606" i="15"/>
  <c r="V606" i="15"/>
  <c r="T607" i="15"/>
  <c r="W607" i="15"/>
  <c r="V607" i="15"/>
  <c r="V608" i="15"/>
  <c r="T608" i="15"/>
  <c r="W608" i="15"/>
  <c r="Z605" i="15"/>
  <c r="Z604" i="15"/>
  <c r="Y604" i="15"/>
  <c r="X604" i="15"/>
  <c r="T605" i="15"/>
  <c r="V605" i="15"/>
  <c r="W605" i="15"/>
  <c r="Y605" i="15"/>
  <c r="F605" i="15"/>
  <c r="D605" i="15"/>
  <c r="E605" i="15"/>
  <c r="V604" i="15"/>
  <c r="W604" i="15"/>
  <c r="T604" i="15"/>
  <c r="F604" i="15"/>
  <c r="E604" i="15"/>
  <c r="D604" i="15"/>
  <c r="X605" i="15"/>
  <c r="F579" i="15"/>
  <c r="F574" i="15"/>
  <c r="X602" i="15"/>
  <c r="Z603" i="15"/>
  <c r="Y603" i="15"/>
  <c r="Y601" i="15"/>
  <c r="Y602" i="15"/>
  <c r="F603" i="15"/>
  <c r="E603" i="15"/>
  <c r="D603" i="15"/>
  <c r="V602" i="15"/>
  <c r="T602" i="15"/>
  <c r="W602" i="15"/>
  <c r="V601" i="15"/>
  <c r="X601" i="15"/>
  <c r="D602" i="15"/>
  <c r="F602" i="15"/>
  <c r="E602" i="15"/>
  <c r="X603" i="15"/>
  <c r="D601" i="15"/>
  <c r="E601" i="15"/>
  <c r="F601" i="15"/>
  <c r="Z602" i="15"/>
  <c r="V603" i="15"/>
  <c r="W603" i="15"/>
  <c r="T603" i="15"/>
  <c r="W601" i="15"/>
  <c r="T601" i="15"/>
  <c r="Z601" i="15"/>
  <c r="X600" i="15"/>
  <c r="W600" i="15"/>
  <c r="Y600" i="15"/>
  <c r="Z600" i="15"/>
  <c r="D600" i="15"/>
  <c r="E600" i="15"/>
  <c r="F600" i="15"/>
  <c r="T600" i="15"/>
  <c r="V600" i="15"/>
  <c r="X599" i="15"/>
  <c r="Y597" i="15"/>
  <c r="Z597" i="15"/>
  <c r="Z598" i="15"/>
  <c r="Y599" i="15"/>
  <c r="W598" i="15"/>
  <c r="T598" i="15"/>
  <c r="V598" i="15"/>
  <c r="F598" i="15"/>
  <c r="E598" i="15"/>
  <c r="D598" i="15"/>
  <c r="X597" i="15"/>
  <c r="Z599" i="15"/>
  <c r="Y598" i="15"/>
  <c r="X598" i="15"/>
  <c r="T599" i="15"/>
  <c r="W599" i="15"/>
  <c r="V599" i="15"/>
  <c r="V597" i="15"/>
  <c r="W597" i="15"/>
  <c r="T597" i="15"/>
  <c r="F599" i="15"/>
  <c r="E599" i="15"/>
  <c r="D599" i="15"/>
  <c r="F597" i="15"/>
  <c r="D597" i="15"/>
  <c r="E597" i="15"/>
  <c r="F577" i="15"/>
  <c r="F580" i="15"/>
  <c r="F578" i="15"/>
  <c r="F572" i="15"/>
  <c r="F573" i="15"/>
  <c r="F571" i="15"/>
  <c r="Y484" i="15"/>
  <c r="F576" i="15"/>
  <c r="F581" i="15"/>
  <c r="F583" i="15"/>
  <c r="Y475" i="15"/>
  <c r="Z593" i="15"/>
  <c r="Y593" i="15"/>
  <c r="Y596" i="15"/>
  <c r="X575" i="15"/>
  <c r="Z566" i="15"/>
  <c r="D528" i="15"/>
  <c r="D539" i="15"/>
  <c r="D558" i="15"/>
  <c r="D554" i="15"/>
  <c r="D553" i="15"/>
  <c r="D567" i="15"/>
  <c r="D569" i="15"/>
  <c r="D575" i="15"/>
  <c r="D578" i="15"/>
  <c r="D582" i="15"/>
  <c r="D403" i="15"/>
  <c r="D483" i="15"/>
  <c r="D408" i="15"/>
  <c r="D416" i="15"/>
  <c r="D372" i="15"/>
  <c r="D129" i="15"/>
  <c r="D123" i="15"/>
  <c r="D21" i="15"/>
  <c r="D120" i="15"/>
  <c r="D164" i="15"/>
  <c r="D231" i="15"/>
  <c r="D355" i="15"/>
  <c r="D293" i="15"/>
  <c r="D5" i="15"/>
  <c r="D146" i="15"/>
  <c r="D251" i="15"/>
  <c r="D175" i="15"/>
  <c r="D358" i="15"/>
  <c r="D292" i="15"/>
  <c r="D249" i="15"/>
  <c r="D82" i="15"/>
  <c r="D104" i="15"/>
  <c r="D136" i="15"/>
  <c r="D362" i="15"/>
  <c r="D323" i="15"/>
  <c r="D196" i="15"/>
  <c r="D140" i="15"/>
  <c r="D75" i="15"/>
  <c r="D189" i="15"/>
  <c r="D311" i="15"/>
  <c r="D265" i="15"/>
  <c r="D32" i="15"/>
  <c r="D92" i="15"/>
  <c r="D234" i="15"/>
  <c r="D169" i="15"/>
  <c r="D18" i="15"/>
  <c r="D332" i="15"/>
  <c r="D51" i="15"/>
  <c r="D132" i="15"/>
  <c r="D237" i="15"/>
  <c r="D116" i="15"/>
  <c r="D183" i="15"/>
  <c r="D217" i="15"/>
  <c r="D187" i="15"/>
  <c r="D356" i="15"/>
  <c r="D296" i="15"/>
  <c r="D13" i="15"/>
  <c r="D8" i="15"/>
  <c r="D178" i="15"/>
  <c r="D137" i="15"/>
  <c r="D76" i="15"/>
  <c r="D434" i="15"/>
  <c r="D447" i="15"/>
  <c r="D464" i="15"/>
  <c r="D462" i="15"/>
  <c r="D474" i="15"/>
  <c r="D480" i="15"/>
  <c r="D495" i="15"/>
  <c r="D505" i="15"/>
  <c r="D506" i="15"/>
  <c r="D509" i="15"/>
  <c r="D48" i="15"/>
  <c r="D318" i="15"/>
  <c r="D531" i="15"/>
  <c r="D534" i="15"/>
  <c r="D538" i="15"/>
  <c r="D546" i="15"/>
  <c r="D556" i="15"/>
  <c r="D571" i="15"/>
  <c r="D574" i="15"/>
  <c r="D580" i="15"/>
  <c r="D587" i="15"/>
  <c r="D592" i="15"/>
  <c r="D378" i="15"/>
  <c r="D383" i="15"/>
  <c r="D427" i="15"/>
  <c r="D327" i="15"/>
  <c r="D222" i="15"/>
  <c r="D363" i="15"/>
  <c r="D115" i="15"/>
  <c r="D368" i="15"/>
  <c r="D171" i="15"/>
  <c r="D365" i="15"/>
  <c r="D16" i="15"/>
  <c r="D267" i="15"/>
  <c r="D168" i="15"/>
  <c r="D86" i="15"/>
  <c r="D60" i="15"/>
  <c r="D385" i="15"/>
  <c r="D386" i="15"/>
  <c r="D388" i="15"/>
  <c r="D392" i="15"/>
  <c r="D402" i="15"/>
  <c r="D406" i="15"/>
  <c r="D407" i="15"/>
  <c r="D412" i="15"/>
  <c r="D419" i="15"/>
  <c r="D429" i="15"/>
  <c r="D371" i="15"/>
  <c r="D310" i="15"/>
  <c r="D319" i="15"/>
  <c r="D79" i="15"/>
  <c r="D201" i="15"/>
  <c r="D58" i="15"/>
  <c r="D17" i="15"/>
  <c r="D347" i="15"/>
  <c r="D291" i="15"/>
  <c r="D133" i="15"/>
  <c r="D159" i="15"/>
  <c r="D156" i="15"/>
  <c r="D250" i="15"/>
  <c r="D353" i="15"/>
  <c r="D290" i="15"/>
  <c r="D26" i="15"/>
  <c r="D225" i="15"/>
  <c r="D252" i="15"/>
  <c r="D162" i="15"/>
  <c r="D354" i="15"/>
  <c r="D309" i="15"/>
  <c r="D102" i="15"/>
  <c r="D210" i="15"/>
  <c r="D29" i="15"/>
  <c r="D184" i="15"/>
  <c r="D516" i="15"/>
  <c r="D240" i="15"/>
  <c r="D216" i="15"/>
  <c r="D215" i="15"/>
  <c r="D141" i="15"/>
  <c r="D127" i="15"/>
  <c r="D66" i="15"/>
  <c r="D330" i="15"/>
  <c r="D364" i="15"/>
  <c r="D312" i="15"/>
  <c r="D68" i="15"/>
  <c r="D161" i="15"/>
  <c r="D207" i="15"/>
  <c r="D247" i="15"/>
  <c r="D320" i="15"/>
  <c r="D342" i="15"/>
  <c r="D278" i="15"/>
  <c r="D142" i="15"/>
  <c r="D138" i="15"/>
  <c r="D148" i="15"/>
  <c r="D242" i="15"/>
  <c r="D59" i="15"/>
  <c r="D435" i="15"/>
  <c r="D442" i="15"/>
  <c r="D465" i="15"/>
  <c r="D475" i="15"/>
  <c r="D482" i="15"/>
  <c r="D507" i="15"/>
  <c r="D502" i="15"/>
  <c r="D510" i="15"/>
  <c r="D527" i="15"/>
  <c r="D535" i="15"/>
  <c r="D560" i="15"/>
  <c r="D561" i="15"/>
  <c r="D581" i="15"/>
  <c r="D590" i="15"/>
  <c r="D591" i="15"/>
  <c r="D595" i="15"/>
  <c r="D425" i="15"/>
  <c r="D463" i="15"/>
  <c r="D380" i="15"/>
  <c r="D381" i="15"/>
  <c r="D384" i="15"/>
  <c r="D390" i="15"/>
  <c r="D397" i="15"/>
  <c r="D411" i="15"/>
  <c r="D424" i="15"/>
  <c r="D428" i="15"/>
  <c r="D361" i="15"/>
  <c r="D297" i="15"/>
  <c r="D221" i="15"/>
  <c r="D226" i="15"/>
  <c r="D173" i="15"/>
  <c r="D96" i="15"/>
  <c r="D23" i="15"/>
  <c r="D339" i="15"/>
  <c r="D289" i="15"/>
  <c r="D192" i="15"/>
  <c r="D212" i="15"/>
  <c r="D190" i="15"/>
  <c r="D256" i="15"/>
  <c r="D333" i="15"/>
  <c r="D279" i="15"/>
  <c r="D105" i="15"/>
  <c r="D244" i="15"/>
  <c r="D74" i="15"/>
  <c r="D238" i="15"/>
  <c r="D350" i="15"/>
  <c r="D285" i="15"/>
  <c r="D45" i="15"/>
  <c r="D130" i="15"/>
  <c r="D232" i="15"/>
  <c r="D34" i="15"/>
  <c r="D302" i="15"/>
  <c r="D113" i="15"/>
  <c r="D7" i="15"/>
  <c r="D24" i="15"/>
  <c r="D229" i="15"/>
  <c r="D125" i="15"/>
  <c r="D227" i="15"/>
  <c r="D235" i="15"/>
  <c r="D359" i="15"/>
  <c r="D284" i="15"/>
  <c r="D101" i="15"/>
  <c r="D145" i="15"/>
  <c r="D139" i="15"/>
  <c r="D106" i="15"/>
  <c r="D134" i="15"/>
  <c r="D337" i="15"/>
  <c r="D272" i="15"/>
  <c r="D513" i="15"/>
  <c r="D90" i="15"/>
  <c r="D121" i="15"/>
  <c r="D36" i="15"/>
  <c r="D80" i="15"/>
  <c r="D436" i="15"/>
  <c r="D441" i="15"/>
  <c r="D444" i="15"/>
  <c r="D449" i="15"/>
  <c r="D457" i="15"/>
  <c r="D461" i="15"/>
  <c r="D466" i="15"/>
  <c r="D472" i="15"/>
  <c r="D486" i="15"/>
  <c r="D490" i="15"/>
  <c r="D494" i="15"/>
  <c r="D492" i="15"/>
  <c r="D496" i="15"/>
  <c r="D497" i="15"/>
  <c r="D504" i="15"/>
  <c r="D514" i="15"/>
  <c r="D520" i="15"/>
  <c r="D525" i="15"/>
  <c r="D532" i="15"/>
  <c r="D545" i="15"/>
  <c r="D542" i="15"/>
  <c r="D543" i="15"/>
  <c r="D549" i="15"/>
  <c r="D566" i="15"/>
  <c r="D576" i="15"/>
  <c r="D573" i="15"/>
  <c r="D579" i="15"/>
  <c r="D584" i="15"/>
  <c r="D400" i="15"/>
  <c r="D467" i="15"/>
  <c r="D469" i="15"/>
  <c r="D500" i="15"/>
  <c r="D376" i="15"/>
  <c r="D377" i="15"/>
  <c r="D382" i="15"/>
  <c r="D389" i="15"/>
  <c r="D404" i="15"/>
  <c r="D409" i="15"/>
  <c r="D415" i="15"/>
  <c r="D417" i="15"/>
  <c r="D418" i="15"/>
  <c r="D420" i="15"/>
  <c r="D422" i="15"/>
  <c r="D432" i="15"/>
  <c r="D357" i="15"/>
  <c r="D288" i="15"/>
  <c r="D257" i="15"/>
  <c r="D200" i="15"/>
  <c r="D109" i="15"/>
  <c r="D9" i="15"/>
  <c r="D72" i="15"/>
  <c r="D334" i="15"/>
  <c r="D273" i="15"/>
  <c r="D517" i="15"/>
  <c r="D118" i="15"/>
  <c r="D126" i="15"/>
  <c r="D41" i="15"/>
  <c r="D328" i="15"/>
  <c r="D275" i="15"/>
  <c r="D43" i="15"/>
  <c r="D208" i="15"/>
  <c r="D63" i="15"/>
  <c r="D88" i="15"/>
  <c r="D349" i="15"/>
  <c r="D282" i="15"/>
  <c r="D6" i="15"/>
  <c r="D243" i="15"/>
  <c r="D42" i="15"/>
  <c r="D78" i="15"/>
  <c r="D295" i="15"/>
  <c r="D19" i="15"/>
  <c r="D119" i="15"/>
  <c r="D202" i="15"/>
  <c r="D100" i="15"/>
  <c r="D56" i="15"/>
  <c r="D174" i="15"/>
  <c r="D11" i="15"/>
  <c r="D351" i="15"/>
  <c r="D280" i="15"/>
  <c r="D188" i="15"/>
  <c r="D15" i="15"/>
  <c r="D166" i="15"/>
  <c r="D203" i="15"/>
  <c r="D303" i="15"/>
  <c r="D326" i="15"/>
  <c r="D270" i="15"/>
  <c r="D239" i="15"/>
  <c r="D124" i="15"/>
  <c r="D110" i="15"/>
  <c r="D228" i="15"/>
  <c r="D224" i="15"/>
  <c r="D451" i="15"/>
  <c r="D450" i="15"/>
  <c r="D452" i="15"/>
  <c r="D470" i="15"/>
  <c r="D473" i="15"/>
  <c r="D479" i="15"/>
  <c r="D489" i="15"/>
  <c r="D493" i="15"/>
  <c r="D523" i="15"/>
  <c r="D521" i="15"/>
  <c r="D551" i="15"/>
  <c r="D563" i="15"/>
  <c r="D586" i="15"/>
  <c r="D585" i="15"/>
  <c r="D588" i="15"/>
  <c r="D589" i="15"/>
  <c r="D375" i="15"/>
  <c r="D107" i="15"/>
  <c r="D180" i="15"/>
  <c r="D70" i="15"/>
  <c r="D57" i="15"/>
  <c r="D73" i="15"/>
  <c r="D245" i="15"/>
  <c r="D260" i="15"/>
  <c r="D515" i="15"/>
  <c r="D84" i="15"/>
  <c r="D193" i="15"/>
  <c r="D343" i="15"/>
  <c r="D149" i="15"/>
  <c r="D163" i="15"/>
  <c r="D55" i="15"/>
  <c r="D298" i="15"/>
  <c r="D38" i="15"/>
  <c r="D233" i="15"/>
  <c r="D518" i="15"/>
  <c r="D395" i="15"/>
  <c r="D405" i="15"/>
  <c r="D410" i="15"/>
  <c r="D430" i="15"/>
  <c r="D346" i="15"/>
  <c r="D199" i="15"/>
  <c r="D214" i="15"/>
  <c r="D117" i="15"/>
  <c r="D154" i="15"/>
  <c r="D220" i="15"/>
  <c r="D177" i="15"/>
  <c r="D321" i="15"/>
  <c r="D218" i="15"/>
  <c r="D253" i="15"/>
  <c r="D89" i="15"/>
  <c r="D153" i="15"/>
  <c r="D25" i="15"/>
  <c r="D322" i="15"/>
  <c r="D274" i="15"/>
  <c r="D44" i="15"/>
  <c r="D165" i="15"/>
  <c r="D122" i="15"/>
  <c r="D246" i="15"/>
  <c r="D348" i="15"/>
  <c r="D281" i="15"/>
  <c r="D85" i="15"/>
  <c r="D114" i="15"/>
  <c r="D20" i="15"/>
  <c r="D335" i="15"/>
  <c r="D286" i="15"/>
  <c r="D81" i="15"/>
  <c r="D135" i="15"/>
  <c r="D31" i="15"/>
  <c r="D150" i="15"/>
  <c r="D172" i="15"/>
  <c r="D374" i="15"/>
  <c r="D98" i="15"/>
  <c r="D341" i="15"/>
  <c r="D277" i="15"/>
  <c r="D35" i="15"/>
  <c r="D83" i="15"/>
  <c r="D131" i="15"/>
  <c r="D37" i="15"/>
  <c r="D287" i="15"/>
  <c r="D308" i="15"/>
  <c r="D268" i="15"/>
  <c r="D77" i="15"/>
  <c r="D71" i="15"/>
  <c r="D230" i="15"/>
  <c r="D179" i="15"/>
  <c r="D433" i="15"/>
  <c r="D438" i="15"/>
  <c r="D439" i="15"/>
  <c r="D456" i="15"/>
  <c r="D484" i="15"/>
  <c r="D508" i="15"/>
  <c r="D511" i="15"/>
  <c r="D306" i="15"/>
  <c r="D317" i="15"/>
  <c r="D533" i="15"/>
  <c r="D548" i="15"/>
  <c r="D568" i="15"/>
  <c r="D572" i="15"/>
  <c r="D583" i="15"/>
  <c r="D596" i="15"/>
  <c r="D593" i="15"/>
  <c r="D391" i="15"/>
  <c r="D431" i="15"/>
  <c r="D185" i="15"/>
  <c r="D205" i="15"/>
  <c r="D299" i="15"/>
  <c r="D151" i="15"/>
  <c r="D294" i="15"/>
  <c r="D99" i="15"/>
  <c r="D324" i="15"/>
  <c r="D182" i="15"/>
  <c r="D313" i="15"/>
  <c r="D128" i="15"/>
  <c r="D111" i="15"/>
  <c r="D314" i="15"/>
  <c r="D255" i="15"/>
  <c r="D223" i="15"/>
  <c r="D360" i="15"/>
  <c r="D259" i="15"/>
  <c r="D236" i="15"/>
  <c r="D460" i="15"/>
  <c r="D498" i="15"/>
  <c r="D503" i="15"/>
  <c r="D307" i="15"/>
  <c r="D393" i="15"/>
  <c r="D396" i="15"/>
  <c r="D399" i="15"/>
  <c r="D413" i="15"/>
  <c r="D414" i="15"/>
  <c r="D421" i="15"/>
  <c r="D345" i="15"/>
  <c r="D147" i="15"/>
  <c r="D204" i="15"/>
  <c r="D54" i="15"/>
  <c r="D181" i="15"/>
  <c r="D62" i="15"/>
  <c r="D373" i="15"/>
  <c r="D315" i="15"/>
  <c r="D258" i="15"/>
  <c r="D248" i="15"/>
  <c r="D241" i="15"/>
  <c r="D49" i="15"/>
  <c r="D52" i="15"/>
  <c r="D305" i="15"/>
  <c r="D264" i="15"/>
  <c r="D50" i="15"/>
  <c r="D40" i="15"/>
  <c r="D370" i="15"/>
  <c r="D338" i="15"/>
  <c r="D271" i="15"/>
  <c r="D219" i="15"/>
  <c r="D30" i="15"/>
  <c r="D158" i="15"/>
  <c r="D325" i="15"/>
  <c r="D283" i="15"/>
  <c r="D112" i="15"/>
  <c r="D519" i="15"/>
  <c r="D39" i="15"/>
  <c r="D64" i="15"/>
  <c r="D4" i="15"/>
  <c r="D352" i="15"/>
  <c r="D91" i="15"/>
  <c r="D340" i="15"/>
  <c r="D266" i="15"/>
  <c r="D93" i="15"/>
  <c r="D69" i="15"/>
  <c r="D176" i="15"/>
  <c r="D186" i="15"/>
  <c r="D261" i="15"/>
  <c r="D304" i="15"/>
  <c r="D263" i="15"/>
  <c r="D33" i="15"/>
  <c r="D46" i="15"/>
  <c r="D87" i="15"/>
  <c r="D143" i="15"/>
  <c r="D445" i="15"/>
  <c r="D443" i="15"/>
  <c r="D454" i="15"/>
  <c r="D453" i="15"/>
  <c r="D471" i="15"/>
  <c r="D476" i="15"/>
  <c r="D477" i="15"/>
  <c r="D499" i="15"/>
  <c r="D522" i="15"/>
  <c r="D526" i="15"/>
  <c r="D524" i="15"/>
  <c r="D557" i="15"/>
  <c r="D570" i="15"/>
  <c r="D379" i="15"/>
  <c r="D387" i="15"/>
  <c r="D394" i="15"/>
  <c r="D398" i="15"/>
  <c r="D401" i="15"/>
  <c r="D423" i="15"/>
  <c r="D426" i="15"/>
  <c r="D331" i="15"/>
  <c r="D170" i="15"/>
  <c r="D28" i="15"/>
  <c r="D53" i="15"/>
  <c r="D191" i="15"/>
  <c r="D103" i="15"/>
  <c r="D367" i="15"/>
  <c r="D47" i="15"/>
  <c r="D61" i="15"/>
  <c r="D95" i="15"/>
  <c r="D65" i="15"/>
  <c r="D67" i="15"/>
  <c r="D108" i="15"/>
  <c r="D300" i="15"/>
  <c r="D14" i="15"/>
  <c r="D254" i="15"/>
  <c r="D157" i="15"/>
  <c r="D94" i="15"/>
  <c r="D369" i="15"/>
  <c r="D329" i="15"/>
  <c r="D269" i="15"/>
  <c r="D197" i="15"/>
  <c r="D144" i="15"/>
  <c r="D206" i="15"/>
  <c r="D316" i="15"/>
  <c r="D276" i="15"/>
  <c r="D22" i="15"/>
  <c r="D213" i="15"/>
  <c r="D152" i="15"/>
  <c r="D12" i="15"/>
  <c r="D10" i="15"/>
  <c r="D344" i="15"/>
  <c r="D160" i="15"/>
  <c r="D336" i="15"/>
  <c r="D262" i="15"/>
  <c r="D194" i="15"/>
  <c r="D27" i="15"/>
  <c r="D198" i="15"/>
  <c r="D155" i="15"/>
  <c r="D211" i="15"/>
  <c r="D301" i="15"/>
  <c r="D209" i="15"/>
  <c r="D167" i="15"/>
  <c r="D195" i="15"/>
  <c r="D97" i="15"/>
  <c r="D366" i="15"/>
  <c r="D437" i="15"/>
  <c r="D440" i="15"/>
  <c r="D448" i="15"/>
  <c r="D446" i="15"/>
  <c r="D455" i="15"/>
  <c r="D459" i="15"/>
  <c r="D458" i="15"/>
  <c r="D468" i="15"/>
  <c r="D478" i="15"/>
  <c r="D481" i="15"/>
  <c r="D485" i="15"/>
  <c r="D487" i="15"/>
  <c r="D488" i="15"/>
  <c r="D491" i="15"/>
  <c r="D501" i="15"/>
  <c r="D512" i="15"/>
  <c r="D530" i="15"/>
  <c r="D529" i="15"/>
  <c r="D536" i="15"/>
  <c r="D537" i="15"/>
  <c r="D544" i="15"/>
  <c r="D540" i="15"/>
  <c r="D541" i="15"/>
  <c r="D547" i="15"/>
  <c r="D552" i="15"/>
  <c r="D550" i="15"/>
  <c r="D555" i="15"/>
  <c r="D562" i="15"/>
  <c r="D559" i="15"/>
  <c r="D564" i="15"/>
  <c r="D565" i="15"/>
  <c r="D577" i="15"/>
  <c r="D594" i="15"/>
  <c r="V594" i="15"/>
  <c r="X594" i="15"/>
  <c r="T596" i="15"/>
  <c r="W596" i="15"/>
  <c r="T593" i="15"/>
  <c r="W593" i="15"/>
  <c r="V595" i="15"/>
  <c r="X595" i="15"/>
  <c r="W594" i="15"/>
  <c r="Y594" i="15"/>
  <c r="Z595" i="15"/>
  <c r="V596" i="15"/>
  <c r="X596" i="15"/>
  <c r="V593" i="15"/>
  <c r="X593" i="15"/>
  <c r="Y595" i="15"/>
  <c r="Z596" i="15"/>
  <c r="T594" i="15"/>
  <c r="Z594" i="15"/>
  <c r="T595" i="15"/>
  <c r="W595" i="15"/>
  <c r="X592" i="15"/>
  <c r="Y591" i="15"/>
  <c r="T591" i="15"/>
  <c r="W591" i="15"/>
  <c r="Z592" i="15"/>
  <c r="Y592" i="15"/>
  <c r="Z591" i="15"/>
  <c r="V591" i="15"/>
  <c r="X591" i="15"/>
  <c r="T592" i="15"/>
  <c r="W592" i="15"/>
  <c r="V592" i="15"/>
  <c r="X588" i="15"/>
  <c r="Z589" i="15"/>
  <c r="Y590" i="15"/>
  <c r="X590" i="15"/>
  <c r="Y588" i="15"/>
  <c r="Z588" i="15"/>
  <c r="Y589" i="15"/>
  <c r="X589" i="15"/>
  <c r="V589" i="15"/>
  <c r="W589" i="15"/>
  <c r="T589" i="15"/>
  <c r="V588" i="15"/>
  <c r="T588" i="15"/>
  <c r="W588" i="15"/>
  <c r="T590" i="15"/>
  <c r="W590" i="15"/>
  <c r="V590" i="15"/>
  <c r="Z590" i="15"/>
  <c r="Y587" i="15"/>
  <c r="X587" i="15"/>
  <c r="Z587" i="15"/>
  <c r="W587" i="15"/>
  <c r="T587" i="15"/>
  <c r="V587" i="15"/>
  <c r="Z428" i="15"/>
  <c r="X584" i="15"/>
  <c r="X586" i="15"/>
  <c r="Z586" i="15"/>
  <c r="Z584" i="15"/>
  <c r="Y585" i="15"/>
  <c r="X585" i="15"/>
  <c r="Y586" i="15"/>
  <c r="Y584" i="15"/>
  <c r="T585" i="15"/>
  <c r="W585" i="15"/>
  <c r="V585" i="15"/>
  <c r="W584" i="15"/>
  <c r="T584" i="15"/>
  <c r="V584" i="15"/>
  <c r="W586" i="15"/>
  <c r="T586" i="15"/>
  <c r="V586" i="15"/>
  <c r="Z585" i="15"/>
  <c r="X583" i="15"/>
  <c r="X581" i="15"/>
  <c r="Y580" i="15"/>
  <c r="X578" i="15"/>
  <c r="Y578" i="15"/>
  <c r="Z580" i="15"/>
  <c r="X582" i="15"/>
  <c r="X579" i="15"/>
  <c r="V583" i="15"/>
  <c r="T583" i="15"/>
  <c r="W583" i="15"/>
  <c r="Y577" i="15"/>
  <c r="Y581" i="15"/>
  <c r="Y582" i="15"/>
  <c r="W578" i="15"/>
  <c r="T578" i="15"/>
  <c r="V578" i="15"/>
  <c r="W579" i="15"/>
  <c r="T579" i="15"/>
  <c r="V579" i="15"/>
  <c r="T580" i="15"/>
  <c r="W580" i="15"/>
  <c r="V580" i="15"/>
  <c r="Z582" i="15"/>
  <c r="Z583" i="15"/>
  <c r="Y579" i="15"/>
  <c r="V577" i="15"/>
  <c r="W577" i="15"/>
  <c r="Z579" i="15"/>
  <c r="Z581" i="15"/>
  <c r="Y583" i="15"/>
  <c r="X580" i="15"/>
  <c r="Z578" i="15"/>
  <c r="X577" i="15"/>
  <c r="W581" i="15"/>
  <c r="T581" i="15"/>
  <c r="V581" i="15"/>
  <c r="T582" i="15"/>
  <c r="W582" i="15"/>
  <c r="V582" i="15"/>
  <c r="T577" i="15"/>
  <c r="Z577" i="15"/>
  <c r="X574" i="15"/>
  <c r="X571" i="15"/>
  <c r="Y571" i="15"/>
  <c r="Y572" i="15"/>
  <c r="X572" i="15"/>
  <c r="T576" i="15"/>
  <c r="W576" i="15"/>
  <c r="Z571" i="15"/>
  <c r="T572" i="15"/>
  <c r="W572" i="15"/>
  <c r="V572" i="15"/>
  <c r="X573" i="15"/>
  <c r="V575" i="15"/>
  <c r="W575" i="15"/>
  <c r="T575" i="15"/>
  <c r="V573" i="15"/>
  <c r="W573" i="15"/>
  <c r="Z575" i="15"/>
  <c r="Z574" i="15"/>
  <c r="Y575" i="15"/>
  <c r="Z572" i="15"/>
  <c r="Z576" i="15"/>
  <c r="Y573" i="15"/>
  <c r="T574" i="15"/>
  <c r="W574" i="15"/>
  <c r="V574" i="15"/>
  <c r="T573" i="15"/>
  <c r="Z573" i="15"/>
  <c r="Y574" i="15"/>
  <c r="V571" i="15"/>
  <c r="T571" i="15"/>
  <c r="W571" i="15"/>
  <c r="V576" i="15"/>
  <c r="X576" i="15"/>
  <c r="Y576" i="15"/>
  <c r="Z497" i="15"/>
  <c r="X568" i="15"/>
  <c r="X570" i="15"/>
  <c r="Y570" i="15"/>
  <c r="X567" i="15"/>
  <c r="Y568" i="15"/>
  <c r="Y565" i="15"/>
  <c r="Z569" i="15"/>
  <c r="E24" i="36" a="1"/>
  <c r="E24" i="36" s="1"/>
  <c r="Z565" i="15"/>
  <c r="T567" i="15"/>
  <c r="V567" i="15"/>
  <c r="W567" i="15"/>
  <c r="Y566" i="15"/>
  <c r="X566" i="15"/>
  <c r="W566" i="15"/>
  <c r="T566" i="15"/>
  <c r="V566" i="15"/>
  <c r="T570" i="15"/>
  <c r="V570" i="15"/>
  <c r="W570" i="15"/>
  <c r="Z567" i="15"/>
  <c r="Z568" i="15"/>
  <c r="W569" i="15"/>
  <c r="T569" i="15"/>
  <c r="V569" i="15"/>
  <c r="Y569" i="15"/>
  <c r="Z570" i="15"/>
  <c r="Y567" i="15"/>
  <c r="X565" i="15"/>
  <c r="W565" i="15"/>
  <c r="T565" i="15"/>
  <c r="V565" i="15"/>
  <c r="W568" i="15"/>
  <c r="T568" i="15"/>
  <c r="V568" i="15"/>
  <c r="X569" i="15"/>
  <c r="Z441" i="15"/>
  <c r="Z498" i="15"/>
  <c r="Y402" i="15"/>
  <c r="Z526" i="15"/>
  <c r="Z550" i="15"/>
  <c r="Z524" i="15"/>
  <c r="Z546" i="15"/>
  <c r="Y395" i="15"/>
  <c r="Z430" i="15"/>
  <c r="Z560" i="15"/>
  <c r="Y564" i="15"/>
  <c r="W564" i="15"/>
  <c r="T564" i="15"/>
  <c r="V564" i="15"/>
  <c r="X564" i="15"/>
  <c r="Z564" i="15"/>
  <c r="X563" i="15"/>
  <c r="X561" i="15"/>
  <c r="Y560" i="15"/>
  <c r="Z559" i="15"/>
  <c r="Z561" i="15"/>
  <c r="X562" i="15"/>
  <c r="Y563" i="15"/>
  <c r="W561" i="15"/>
  <c r="V561" i="15"/>
  <c r="T561" i="15"/>
  <c r="Y562" i="15"/>
  <c r="W559" i="15"/>
  <c r="V559" i="15"/>
  <c r="T559" i="15"/>
  <c r="X559" i="15"/>
  <c r="Y561" i="15"/>
  <c r="W562" i="15"/>
  <c r="V562" i="15"/>
  <c r="W563" i="15"/>
  <c r="T563" i="15"/>
  <c r="V563" i="15"/>
  <c r="T560" i="15"/>
  <c r="W560" i="15"/>
  <c r="V560" i="15"/>
  <c r="Z554" i="15"/>
  <c r="X560" i="15"/>
  <c r="Z563" i="15"/>
  <c r="T562" i="15"/>
  <c r="Z562" i="15"/>
  <c r="X557" i="15"/>
  <c r="Y558" i="15"/>
  <c r="Z558" i="15"/>
  <c r="Y556" i="15"/>
  <c r="Z553" i="15"/>
  <c r="X558" i="15"/>
  <c r="T556" i="15"/>
  <c r="Z556" i="15"/>
  <c r="Y557" i="15"/>
  <c r="W554" i="15"/>
  <c r="Y554" i="15"/>
  <c r="W553" i="15"/>
  <c r="T553" i="15"/>
  <c r="V553" i="15"/>
  <c r="T558" i="15"/>
  <c r="W558" i="15"/>
  <c r="V558" i="15"/>
  <c r="V555" i="15"/>
  <c r="X555" i="15"/>
  <c r="Y555" i="15"/>
  <c r="W556" i="15"/>
  <c r="V556" i="15"/>
  <c r="T555" i="15"/>
  <c r="Z555" i="15"/>
  <c r="X556" i="15"/>
  <c r="Z557" i="15"/>
  <c r="X554" i="15"/>
  <c r="T554" i="15"/>
  <c r="V554" i="15"/>
  <c r="W555" i="15"/>
  <c r="V557" i="15"/>
  <c r="W557" i="15"/>
  <c r="T557" i="15"/>
  <c r="Y553" i="15"/>
  <c r="X553" i="15"/>
  <c r="Z551" i="15"/>
  <c r="Z549" i="15"/>
  <c r="Y551" i="15"/>
  <c r="X552" i="15"/>
  <c r="Y552" i="15"/>
  <c r="Y550" i="15"/>
  <c r="Z552" i="15"/>
  <c r="X551" i="15"/>
  <c r="W551" i="15"/>
  <c r="T551" i="15"/>
  <c r="V551" i="15"/>
  <c r="X550" i="15"/>
  <c r="T552" i="15"/>
  <c r="V552" i="15"/>
  <c r="W552" i="15"/>
  <c r="T550" i="15"/>
  <c r="W550" i="15"/>
  <c r="V550" i="15"/>
  <c r="Y548" i="15"/>
  <c r="Y546" i="15"/>
  <c r="Y547" i="15"/>
  <c r="Y549" i="15"/>
  <c r="T547" i="15"/>
  <c r="Z547" i="15"/>
  <c r="X546" i="15"/>
  <c r="V547" i="15"/>
  <c r="X547" i="15"/>
  <c r="W549" i="15"/>
  <c r="T549" i="15"/>
  <c r="V549" i="15"/>
  <c r="X549" i="15"/>
  <c r="W547" i="15"/>
  <c r="T548" i="15"/>
  <c r="W548" i="15"/>
  <c r="V548" i="15"/>
  <c r="X548" i="15"/>
  <c r="T546" i="15"/>
  <c r="W546" i="15"/>
  <c r="V546" i="15"/>
  <c r="Z548" i="15"/>
  <c r="X542" i="15"/>
  <c r="Z545" i="15"/>
  <c r="Z544" i="15"/>
  <c r="Y544" i="15"/>
  <c r="Y545" i="15"/>
  <c r="Z543" i="15"/>
  <c r="Y540" i="15"/>
  <c r="Y543" i="15"/>
  <c r="W541" i="15"/>
  <c r="T541" i="15"/>
  <c r="Z542" i="15"/>
  <c r="X544" i="15"/>
  <c r="T540" i="15"/>
  <c r="Z540" i="15"/>
  <c r="V540" i="15"/>
  <c r="X540" i="15"/>
  <c r="V545" i="15"/>
  <c r="X545" i="15"/>
  <c r="V541" i="15"/>
  <c r="X541" i="15"/>
  <c r="Z541" i="15"/>
  <c r="W544" i="15"/>
  <c r="T544" i="15"/>
  <c r="V544" i="15"/>
  <c r="Y542" i="15"/>
  <c r="W545" i="15"/>
  <c r="T545" i="15"/>
  <c r="Y541" i="15"/>
  <c r="W543" i="15"/>
  <c r="T543" i="15"/>
  <c r="W540" i="15"/>
  <c r="V542" i="15"/>
  <c r="W542" i="15"/>
  <c r="T542" i="15"/>
  <c r="V543" i="15"/>
  <c r="X543" i="15"/>
  <c r="X453" i="15"/>
  <c r="X537" i="15"/>
  <c r="Z539" i="15"/>
  <c r="X534" i="15"/>
  <c r="X536" i="15"/>
  <c r="Z538" i="15"/>
  <c r="Y534" i="15"/>
  <c r="Y539" i="15"/>
  <c r="Z534" i="15"/>
  <c r="Y536" i="15"/>
  <c r="T539" i="15"/>
  <c r="V539" i="15"/>
  <c r="W539" i="15"/>
  <c r="Z535" i="15"/>
  <c r="Z536" i="15"/>
  <c r="T537" i="15"/>
  <c r="W537" i="15"/>
  <c r="V537" i="15"/>
  <c r="Z537" i="15"/>
  <c r="W534" i="15"/>
  <c r="T534" i="15"/>
  <c r="V534" i="15"/>
  <c r="W538" i="15"/>
  <c r="T538" i="15"/>
  <c r="Y535" i="15"/>
  <c r="V536" i="15"/>
  <c r="W536" i="15"/>
  <c r="T536" i="15"/>
  <c r="V538" i="15"/>
  <c r="X538" i="15"/>
  <c r="Y538" i="15"/>
  <c r="X539" i="15"/>
  <c r="V535" i="15"/>
  <c r="X535" i="15"/>
  <c r="W535" i="15"/>
  <c r="T535" i="15"/>
  <c r="Y537" i="15"/>
  <c r="X527" i="15"/>
  <c r="X530" i="15"/>
  <c r="Y532" i="15"/>
  <c r="Z533" i="15"/>
  <c r="Y531" i="15"/>
  <c r="Z529" i="15"/>
  <c r="Y528" i="15"/>
  <c r="Y529" i="15"/>
  <c r="X528" i="15"/>
  <c r="Z528" i="15"/>
  <c r="X531" i="15"/>
  <c r="W527" i="15"/>
  <c r="T527" i="15"/>
  <c r="V527" i="15"/>
  <c r="X529" i="15"/>
  <c r="Y530" i="15"/>
  <c r="Y533" i="15"/>
  <c r="Z530" i="15"/>
  <c r="X533" i="15"/>
  <c r="W529" i="15"/>
  <c r="T529" i="15"/>
  <c r="V529" i="15"/>
  <c r="V530" i="15"/>
  <c r="T530" i="15"/>
  <c r="W530" i="15"/>
  <c r="V532" i="15"/>
  <c r="W532" i="15"/>
  <c r="T532" i="15"/>
  <c r="W528" i="15"/>
  <c r="V528" i="15"/>
  <c r="T528" i="15"/>
  <c r="T531" i="15"/>
  <c r="Z531" i="15"/>
  <c r="Y527" i="15"/>
  <c r="X532" i="15"/>
  <c r="Z532" i="15"/>
  <c r="W533" i="15"/>
  <c r="T533" i="15"/>
  <c r="V533" i="15"/>
  <c r="Z527" i="15"/>
  <c r="W531" i="15"/>
  <c r="V531" i="15"/>
  <c r="X521" i="15"/>
  <c r="X522" i="15"/>
  <c r="Y526" i="15"/>
  <c r="X525" i="15"/>
  <c r="Y522" i="15"/>
  <c r="Y524" i="15"/>
  <c r="Y520" i="15"/>
  <c r="V520" i="15"/>
  <c r="V523" i="15"/>
  <c r="X523" i="15"/>
  <c r="X524" i="15"/>
  <c r="T525" i="15"/>
  <c r="V525" i="15"/>
  <c r="W525" i="15"/>
  <c r="T521" i="15"/>
  <c r="W521" i="15"/>
  <c r="V521" i="15"/>
  <c r="Y523" i="15"/>
  <c r="T522" i="15"/>
  <c r="W522" i="15"/>
  <c r="V522" i="15"/>
  <c r="T524" i="15"/>
  <c r="W524" i="15"/>
  <c r="V524" i="15"/>
  <c r="X520" i="15"/>
  <c r="Z520" i="15"/>
  <c r="Z525" i="15"/>
  <c r="Z521" i="15"/>
  <c r="Z522" i="15"/>
  <c r="X526" i="15"/>
  <c r="Y521" i="15"/>
  <c r="T523" i="15"/>
  <c r="W523" i="15"/>
  <c r="V526" i="15"/>
  <c r="T526" i="15"/>
  <c r="W526" i="15"/>
  <c r="Z523" i="15"/>
  <c r="W520" i="15"/>
  <c r="T520" i="15"/>
  <c r="Y525" i="15"/>
  <c r="Y317" i="15"/>
  <c r="Z317" i="15"/>
  <c r="Z318" i="15"/>
  <c r="Z514" i="15"/>
  <c r="Y514" i="15"/>
  <c r="W518" i="15"/>
  <c r="X514" i="15"/>
  <c r="Y318" i="15"/>
  <c r="T317" i="15"/>
  <c r="V317" i="15"/>
  <c r="W317" i="15"/>
  <c r="V318" i="15"/>
  <c r="W318" i="15"/>
  <c r="T318" i="15"/>
  <c r="X317" i="15"/>
  <c r="Y518" i="15"/>
  <c r="V514" i="15"/>
  <c r="T514" i="15"/>
  <c r="W514" i="15"/>
  <c r="V518" i="15"/>
  <c r="X518" i="15"/>
  <c r="X318" i="15"/>
  <c r="T518" i="15"/>
  <c r="Z518" i="15"/>
  <c r="Y307" i="15"/>
  <c r="Z511" i="15"/>
  <c r="Y511" i="15"/>
  <c r="Z512" i="15"/>
  <c r="Z48" i="15"/>
  <c r="Z307" i="15"/>
  <c r="X307" i="15"/>
  <c r="T306" i="15"/>
  <c r="V306" i="15"/>
  <c r="Z306" i="15"/>
  <c r="W511" i="15"/>
  <c r="T511" i="15"/>
  <c r="V511" i="15"/>
  <c r="Y512" i="15"/>
  <c r="X512" i="15"/>
  <c r="T48" i="15"/>
  <c r="V48" i="15"/>
  <c r="W48" i="15"/>
  <c r="W307" i="15"/>
  <c r="V307" i="15"/>
  <c r="T307" i="15"/>
  <c r="X511" i="15"/>
  <c r="W306" i="15"/>
  <c r="Y306" i="15"/>
  <c r="W512" i="15"/>
  <c r="T512" i="15"/>
  <c r="V512" i="15"/>
  <c r="X48" i="15"/>
  <c r="Y48" i="15"/>
  <c r="X306" i="15"/>
  <c r="Z421" i="15"/>
  <c r="Y448" i="15"/>
  <c r="X508" i="15"/>
  <c r="X509" i="15"/>
  <c r="Y508" i="15"/>
  <c r="Y509" i="15"/>
  <c r="W509" i="15"/>
  <c r="T509" i="15"/>
  <c r="V509" i="15"/>
  <c r="V510" i="15"/>
  <c r="T510" i="15"/>
  <c r="W510" i="15"/>
  <c r="Z509" i="15"/>
  <c r="Z510" i="15"/>
  <c r="T508" i="15"/>
  <c r="V508" i="15"/>
  <c r="W508" i="15"/>
  <c r="Y510" i="15"/>
  <c r="X510" i="15"/>
  <c r="Z508" i="15"/>
  <c r="X502" i="15"/>
  <c r="X506" i="15"/>
  <c r="Z507" i="15"/>
  <c r="Y505" i="15"/>
  <c r="X503" i="15"/>
  <c r="Y504" i="15"/>
  <c r="X507" i="15"/>
  <c r="Y503" i="15"/>
  <c r="W507" i="15"/>
  <c r="Y507" i="15"/>
  <c r="Z505" i="15"/>
  <c r="Y506" i="15"/>
  <c r="X504" i="15"/>
  <c r="V507" i="15"/>
  <c r="T507" i="15"/>
  <c r="W502" i="15"/>
  <c r="T502" i="15"/>
  <c r="V502" i="15"/>
  <c r="W504" i="15"/>
  <c r="V504" i="15"/>
  <c r="V505" i="15"/>
  <c r="X505" i="15"/>
  <c r="T505" i="15"/>
  <c r="W505" i="15"/>
  <c r="W506" i="15"/>
  <c r="T506" i="15"/>
  <c r="V506" i="15"/>
  <c r="W503" i="15"/>
  <c r="T503" i="15"/>
  <c r="V503" i="15"/>
  <c r="T504" i="15"/>
  <c r="Z504" i="15"/>
  <c r="Y502" i="15"/>
  <c r="Z502" i="15"/>
  <c r="Z503" i="15"/>
  <c r="Z506" i="15"/>
  <c r="Y493" i="15"/>
  <c r="Y497" i="15"/>
  <c r="Y498" i="15"/>
  <c r="Z496" i="15"/>
  <c r="Y499" i="15"/>
  <c r="X498" i="15"/>
  <c r="W499" i="15"/>
  <c r="V499" i="15"/>
  <c r="X500" i="15"/>
  <c r="W497" i="15"/>
  <c r="T497" i="15"/>
  <c r="V497" i="15"/>
  <c r="T501" i="15"/>
  <c r="V501" i="15"/>
  <c r="W501" i="15"/>
  <c r="W498" i="15"/>
  <c r="T498" i="15"/>
  <c r="V498" i="15"/>
  <c r="W500" i="15"/>
  <c r="V500" i="15"/>
  <c r="Z501" i="15"/>
  <c r="Y501" i="15"/>
  <c r="X501" i="15"/>
  <c r="V496" i="15"/>
  <c r="X496" i="15"/>
  <c r="T499" i="15"/>
  <c r="Z499" i="15"/>
  <c r="T500" i="15"/>
  <c r="Z500" i="15"/>
  <c r="T496" i="15"/>
  <c r="W496" i="15"/>
  <c r="Y500" i="15"/>
  <c r="Y496" i="15"/>
  <c r="X499" i="15"/>
  <c r="X497" i="15"/>
  <c r="X491" i="15"/>
  <c r="Z493" i="15"/>
  <c r="Z495" i="15"/>
  <c r="Y491" i="15"/>
  <c r="T494" i="15"/>
  <c r="Z494" i="15"/>
  <c r="X492" i="15"/>
  <c r="W491" i="15"/>
  <c r="V491" i="15"/>
  <c r="T491" i="15"/>
  <c r="Y492" i="15"/>
  <c r="W494" i="15"/>
  <c r="V494" i="15"/>
  <c r="W493" i="15"/>
  <c r="V493" i="15"/>
  <c r="T493" i="15"/>
  <c r="X495" i="15"/>
  <c r="Z492" i="15"/>
  <c r="Y494" i="15"/>
  <c r="X494" i="15"/>
  <c r="W495" i="15"/>
  <c r="T495" i="15"/>
  <c r="V495" i="15"/>
  <c r="X493" i="15"/>
  <c r="Y495" i="15"/>
  <c r="Z491" i="15"/>
  <c r="T492" i="15"/>
  <c r="W492" i="15"/>
  <c r="V492" i="15"/>
  <c r="X477" i="15"/>
  <c r="X488" i="15"/>
  <c r="Z487" i="15"/>
  <c r="Y489" i="15"/>
  <c r="Y490" i="15"/>
  <c r="V489" i="15"/>
  <c r="X489" i="15"/>
  <c r="V490" i="15"/>
  <c r="X490" i="15"/>
  <c r="T487" i="15"/>
  <c r="V487" i="15"/>
  <c r="W487" i="15"/>
  <c r="Y487" i="15"/>
  <c r="W488" i="15"/>
  <c r="T488" i="15"/>
  <c r="V488" i="15"/>
  <c r="Z488" i="15"/>
  <c r="Y488" i="15"/>
  <c r="X487" i="15"/>
  <c r="T489" i="15"/>
  <c r="W489" i="15"/>
  <c r="T490" i="15"/>
  <c r="W490" i="15"/>
  <c r="Z489" i="15"/>
  <c r="Z490" i="15"/>
  <c r="X486" i="15"/>
  <c r="Z470" i="15"/>
  <c r="Z484" i="15"/>
  <c r="X482" i="15"/>
  <c r="Y482" i="15"/>
  <c r="Z482" i="15"/>
  <c r="X483" i="15"/>
  <c r="Z483" i="15"/>
  <c r="Y486" i="15"/>
  <c r="Z486" i="15"/>
  <c r="X484" i="15"/>
  <c r="Y485" i="15"/>
  <c r="X485" i="15"/>
  <c r="T485" i="15"/>
  <c r="Z485" i="15"/>
  <c r="W485" i="15"/>
  <c r="V485" i="15"/>
  <c r="Y483" i="15"/>
  <c r="W482" i="15"/>
  <c r="T482" i="15"/>
  <c r="V482" i="15"/>
  <c r="T483" i="15"/>
  <c r="W483" i="15"/>
  <c r="V483" i="15"/>
  <c r="W484" i="15"/>
  <c r="T484" i="15"/>
  <c r="V484" i="15"/>
  <c r="V486" i="15"/>
  <c r="W486" i="15"/>
  <c r="T486" i="15"/>
  <c r="X446" i="15"/>
  <c r="X481" i="15"/>
  <c r="Y479" i="15"/>
  <c r="Z479" i="15"/>
  <c r="V479" i="15"/>
  <c r="X479" i="15"/>
  <c r="Z478" i="15"/>
  <c r="W481" i="15"/>
  <c r="V481" i="15"/>
  <c r="T481" i="15"/>
  <c r="T478" i="15"/>
  <c r="W478" i="15"/>
  <c r="V478" i="15"/>
  <c r="Y478" i="15"/>
  <c r="X478" i="15"/>
  <c r="Y481" i="15"/>
  <c r="Z481" i="15"/>
  <c r="W479" i="15"/>
  <c r="T479" i="15"/>
  <c r="T480" i="15"/>
  <c r="Z480" i="15"/>
  <c r="W480" i="15"/>
  <c r="Y480" i="15"/>
  <c r="V480" i="15"/>
  <c r="X480" i="15"/>
  <c r="Y477" i="15"/>
  <c r="Z477" i="15"/>
  <c r="W477" i="15"/>
  <c r="V477" i="15"/>
  <c r="T477" i="15"/>
  <c r="X474" i="15"/>
  <c r="Z475" i="15"/>
  <c r="Y472" i="15"/>
  <c r="Z472" i="15"/>
  <c r="X473" i="15"/>
  <c r="X475" i="15"/>
  <c r="Y476" i="15"/>
  <c r="X476" i="15"/>
  <c r="T472" i="15"/>
  <c r="V472" i="15"/>
  <c r="W472" i="15"/>
  <c r="Z473" i="15"/>
  <c r="W474" i="15"/>
  <c r="V474" i="15"/>
  <c r="T474" i="15"/>
  <c r="X472" i="15"/>
  <c r="T473" i="15"/>
  <c r="V473" i="15"/>
  <c r="Z476" i="15"/>
  <c r="Y474" i="15"/>
  <c r="W475" i="15"/>
  <c r="T475" i="15"/>
  <c r="V475" i="15"/>
  <c r="Z474" i="15"/>
  <c r="W473" i="15"/>
  <c r="Y473" i="15"/>
  <c r="W476" i="15"/>
  <c r="T476" i="15"/>
  <c r="V476" i="15"/>
  <c r="Y468" i="15"/>
  <c r="Z468" i="15"/>
  <c r="T470" i="15"/>
  <c r="W470" i="15"/>
  <c r="V470" i="15"/>
  <c r="V471" i="15"/>
  <c r="T471" i="15"/>
  <c r="W471" i="15"/>
  <c r="X470" i="15"/>
  <c r="Z471" i="15"/>
  <c r="Y471" i="15"/>
  <c r="X471" i="15"/>
  <c r="Y470" i="15"/>
  <c r="Z469" i="15"/>
  <c r="X467" i="15"/>
  <c r="Y469" i="15"/>
  <c r="Z465" i="15"/>
  <c r="W465" i="15"/>
  <c r="V465" i="15"/>
  <c r="T465" i="15"/>
  <c r="X469" i="15"/>
  <c r="Y465" i="15"/>
  <c r="W468" i="15"/>
  <c r="T468" i="15"/>
  <c r="Y467" i="15"/>
  <c r="T466" i="15"/>
  <c r="Z466" i="15"/>
  <c r="T469" i="15"/>
  <c r="V469" i="15"/>
  <c r="W469" i="15"/>
  <c r="W467" i="15"/>
  <c r="V467" i="15"/>
  <c r="T467" i="15"/>
  <c r="W466" i="15"/>
  <c r="V466" i="15"/>
  <c r="V468" i="15"/>
  <c r="X468" i="15"/>
  <c r="Z467" i="15"/>
  <c r="X465" i="15"/>
  <c r="Y466" i="15"/>
  <c r="X466" i="15"/>
  <c r="Z460" i="15"/>
  <c r="X464" i="15"/>
  <c r="Y460" i="15"/>
  <c r="X462" i="15"/>
  <c r="X460" i="15"/>
  <c r="Z463" i="15"/>
  <c r="Y464" i="15"/>
  <c r="T461" i="15"/>
  <c r="W461" i="15"/>
  <c r="V461" i="15"/>
  <c r="Z461" i="15"/>
  <c r="W463" i="15"/>
  <c r="T463" i="15"/>
  <c r="Z464" i="15"/>
  <c r="V463" i="15"/>
  <c r="X463" i="15"/>
  <c r="W462" i="15"/>
  <c r="T462" i="15"/>
  <c r="V462" i="15"/>
  <c r="Z462" i="15"/>
  <c r="W464" i="15"/>
  <c r="T464" i="15"/>
  <c r="V464" i="15"/>
  <c r="Y463" i="15"/>
  <c r="W460" i="15"/>
  <c r="T460" i="15"/>
  <c r="V460" i="15"/>
  <c r="Y461" i="15"/>
  <c r="X461" i="15"/>
  <c r="Y462" i="15"/>
  <c r="X457" i="15"/>
  <c r="Z456" i="15"/>
  <c r="Y456" i="15"/>
  <c r="X459" i="15"/>
  <c r="Z458" i="15"/>
  <c r="V459" i="15"/>
  <c r="W459" i="15"/>
  <c r="T459" i="15"/>
  <c r="Z459" i="15"/>
  <c r="Y459" i="15"/>
  <c r="W458" i="15"/>
  <c r="T458" i="15"/>
  <c r="V458" i="15"/>
  <c r="Z457" i="15"/>
  <c r="W457" i="15"/>
  <c r="Y457" i="15"/>
  <c r="W456" i="15"/>
  <c r="V456" i="15"/>
  <c r="T456" i="15"/>
  <c r="Y458" i="15"/>
  <c r="T457" i="15"/>
  <c r="V457" i="15"/>
  <c r="X456" i="15"/>
  <c r="X458" i="15"/>
  <c r="X451" i="15"/>
  <c r="X449" i="15"/>
  <c r="X455" i="15"/>
  <c r="Y451" i="15"/>
  <c r="Y455" i="15"/>
  <c r="Y453" i="15"/>
  <c r="V454" i="15"/>
  <c r="W454" i="15"/>
  <c r="Z452" i="15"/>
  <c r="Z451" i="15"/>
  <c r="T449" i="15"/>
  <c r="Z449" i="15"/>
  <c r="Y454" i="15"/>
  <c r="X454" i="15"/>
  <c r="W450" i="15"/>
  <c r="V450" i="15"/>
  <c r="X450" i="15"/>
  <c r="T453" i="15"/>
  <c r="W453" i="15"/>
  <c r="V453" i="15"/>
  <c r="W455" i="15"/>
  <c r="V455" i="15"/>
  <c r="T455" i="15"/>
  <c r="T454" i="15"/>
  <c r="Z454" i="15"/>
  <c r="Y449" i="15"/>
  <c r="T450" i="15"/>
  <c r="Z450" i="15"/>
  <c r="Z453" i="15"/>
  <c r="Z455" i="15"/>
  <c r="Y452" i="15"/>
  <c r="X452" i="15"/>
  <c r="W452" i="15"/>
  <c r="T452" i="15"/>
  <c r="V452" i="15"/>
  <c r="W451" i="15"/>
  <c r="T451" i="15"/>
  <c r="V451" i="15"/>
  <c r="Y450" i="15"/>
  <c r="W449" i="15"/>
  <c r="V449" i="15"/>
  <c r="Z448" i="15"/>
  <c r="W446" i="15"/>
  <c r="T446" i="15"/>
  <c r="V446" i="15"/>
  <c r="Y446" i="15"/>
  <c r="X448" i="15"/>
  <c r="T447" i="15"/>
  <c r="V447" i="15"/>
  <c r="V448" i="15"/>
  <c r="T448" i="15"/>
  <c r="W448" i="15"/>
  <c r="Z446" i="15"/>
  <c r="W447" i="15"/>
  <c r="Y447" i="15"/>
  <c r="Z447" i="15"/>
  <c r="X447" i="15"/>
  <c r="X443" i="15"/>
  <c r="X445" i="15"/>
  <c r="X444" i="15"/>
  <c r="Y444" i="15"/>
  <c r="V445" i="15"/>
  <c r="T445" i="15"/>
  <c r="W445" i="15"/>
  <c r="T444" i="15"/>
  <c r="W444" i="15"/>
  <c r="V444" i="15"/>
  <c r="W443" i="15"/>
  <c r="V443" i="15"/>
  <c r="Z445" i="15"/>
  <c r="T443" i="15"/>
  <c r="Z443" i="15"/>
  <c r="Z444" i="15"/>
  <c r="Y445" i="15"/>
  <c r="Y443" i="15"/>
  <c r="Z442" i="15"/>
  <c r="Y442" i="15"/>
  <c r="T442" i="15"/>
  <c r="V442" i="15"/>
  <c r="W442" i="15"/>
  <c r="X442" i="15"/>
  <c r="Y441" i="15"/>
  <c r="X441" i="15"/>
  <c r="W441" i="15"/>
  <c r="V441" i="15"/>
  <c r="T441" i="15"/>
  <c r="Z440" i="15"/>
  <c r="T439" i="15"/>
  <c r="V439" i="15"/>
  <c r="W439" i="15"/>
  <c r="Y440" i="15"/>
  <c r="V438" i="15"/>
  <c r="W438" i="15"/>
  <c r="T438" i="15"/>
  <c r="Y438" i="15"/>
  <c r="Z439" i="15"/>
  <c r="Y439" i="15"/>
  <c r="X439" i="15"/>
  <c r="T440" i="15"/>
  <c r="V440" i="15"/>
  <c r="W440" i="15"/>
  <c r="X440" i="15"/>
  <c r="Z438" i="15"/>
  <c r="X438" i="15"/>
  <c r="X435" i="15"/>
  <c r="Y435" i="15"/>
  <c r="Y437" i="15"/>
  <c r="Z437" i="15"/>
  <c r="Y433" i="15"/>
  <c r="Z433" i="15"/>
  <c r="Z434" i="15"/>
  <c r="T434" i="15"/>
  <c r="W434" i="15"/>
  <c r="V434" i="15"/>
  <c r="X437" i="15"/>
  <c r="T436" i="15"/>
  <c r="Z436" i="15"/>
  <c r="X433" i="15"/>
  <c r="Y434" i="15"/>
  <c r="X434" i="15"/>
  <c r="Z435" i="15"/>
  <c r="V437" i="15"/>
  <c r="W437" i="15"/>
  <c r="T437" i="15"/>
  <c r="V436" i="15"/>
  <c r="X436" i="15"/>
  <c r="V435" i="15"/>
  <c r="W435" i="15"/>
  <c r="T435" i="15"/>
  <c r="W436" i="15"/>
  <c r="Y436" i="15"/>
  <c r="W433" i="15"/>
  <c r="T433" i="15"/>
  <c r="V433" i="15"/>
  <c r="Z431" i="15"/>
  <c r="Y432" i="15"/>
  <c r="X432" i="15"/>
  <c r="Y431" i="15"/>
  <c r="V432" i="15"/>
  <c r="W432" i="15"/>
  <c r="T432" i="15"/>
  <c r="W431" i="15"/>
  <c r="T431" i="15"/>
  <c r="V431" i="15"/>
  <c r="Z432" i="15"/>
  <c r="X431" i="15"/>
  <c r="X429" i="15"/>
  <c r="Y429" i="15"/>
  <c r="X430" i="15"/>
  <c r="W429" i="15"/>
  <c r="T429" i="15"/>
  <c r="V429" i="15"/>
  <c r="Z429" i="15"/>
  <c r="Y430" i="15"/>
  <c r="W430" i="15"/>
  <c r="V430" i="15"/>
  <c r="T430" i="15"/>
  <c r="X426" i="15"/>
  <c r="X427" i="15"/>
  <c r="W426" i="15"/>
  <c r="V426" i="15"/>
  <c r="T426" i="15"/>
  <c r="Y428" i="15"/>
  <c r="Y426" i="15"/>
  <c r="Z427" i="15"/>
  <c r="Z426" i="15"/>
  <c r="Y427" i="15"/>
  <c r="V427" i="15"/>
  <c r="W427" i="15"/>
  <c r="T427" i="15"/>
  <c r="T428" i="15"/>
  <c r="V428" i="15"/>
  <c r="W428" i="15"/>
  <c r="X428" i="15"/>
  <c r="X425" i="15"/>
  <c r="Y384" i="15"/>
  <c r="Z380" i="15"/>
  <c r="Z423" i="15"/>
  <c r="T424" i="15"/>
  <c r="W424" i="15"/>
  <c r="V424" i="15"/>
  <c r="Y425" i="15"/>
  <c r="Y423" i="15"/>
  <c r="X423" i="15"/>
  <c r="Z424" i="15"/>
  <c r="T425" i="15"/>
  <c r="V425" i="15"/>
  <c r="W425" i="15"/>
  <c r="W423" i="15"/>
  <c r="T423" i="15"/>
  <c r="V423" i="15"/>
  <c r="Y424" i="15"/>
  <c r="X424" i="15"/>
  <c r="Z425" i="15"/>
  <c r="Z422" i="15"/>
  <c r="X422" i="15"/>
  <c r="Y422" i="15"/>
  <c r="W422" i="15"/>
  <c r="V422" i="15"/>
  <c r="T422" i="15"/>
  <c r="Y419" i="15"/>
  <c r="T421" i="15"/>
  <c r="W421" i="15"/>
  <c r="V421" i="15"/>
  <c r="Y420" i="15"/>
  <c r="Y421" i="15"/>
  <c r="Z419" i="15"/>
  <c r="X419" i="15"/>
  <c r="Z420" i="15"/>
  <c r="X420" i="15"/>
  <c r="W419" i="15"/>
  <c r="T419" i="15"/>
  <c r="V419" i="15"/>
  <c r="T420" i="15"/>
  <c r="V420" i="15"/>
  <c r="W420" i="15"/>
  <c r="X421" i="15"/>
  <c r="Y418" i="15"/>
  <c r="V418" i="15"/>
  <c r="W418" i="15"/>
  <c r="T418" i="15"/>
  <c r="Z418" i="15"/>
  <c r="X418" i="15"/>
  <c r="X417" i="15"/>
  <c r="Z416" i="15"/>
  <c r="V417" i="15"/>
  <c r="T417" i="15"/>
  <c r="W417" i="15"/>
  <c r="X416" i="15"/>
  <c r="Y417" i="15"/>
  <c r="W416" i="15"/>
  <c r="T416" i="15"/>
  <c r="V416" i="15"/>
  <c r="Y416" i="15"/>
  <c r="Z417" i="15"/>
  <c r="Z414" i="15"/>
  <c r="X414" i="15"/>
  <c r="V415" i="15"/>
  <c r="T415" i="15"/>
  <c r="W415" i="15"/>
  <c r="W414" i="15"/>
  <c r="T414" i="15"/>
  <c r="V414" i="15"/>
  <c r="Y414" i="15"/>
  <c r="Y415" i="15"/>
  <c r="X415" i="15"/>
  <c r="Z415" i="15"/>
  <c r="Y413" i="15"/>
  <c r="Z413" i="15"/>
  <c r="X413" i="15"/>
  <c r="W413" i="15"/>
  <c r="T413" i="15"/>
  <c r="V413" i="15"/>
  <c r="W412" i="15"/>
  <c r="T412" i="15"/>
  <c r="V412" i="15"/>
  <c r="Y412" i="15"/>
  <c r="X412" i="15"/>
  <c r="Z412" i="15"/>
  <c r="Y407" i="15"/>
  <c r="Z408" i="15"/>
  <c r="X411" i="15"/>
  <c r="Z411" i="15"/>
  <c r="W411" i="15"/>
  <c r="V411" i="15"/>
  <c r="T411" i="15"/>
  <c r="Y411" i="15"/>
  <c r="X409" i="15"/>
  <c r="Y410" i="15"/>
  <c r="Z407" i="15"/>
  <c r="T410" i="15"/>
  <c r="W410" i="15"/>
  <c r="X408" i="15"/>
  <c r="Y409" i="15"/>
  <c r="T409" i="15"/>
  <c r="W409" i="15"/>
  <c r="V409" i="15"/>
  <c r="V410" i="15"/>
  <c r="X410" i="15"/>
  <c r="Z409" i="15"/>
  <c r="Z410" i="15"/>
  <c r="Y408" i="15"/>
  <c r="X407" i="15"/>
  <c r="T407" i="15"/>
  <c r="W407" i="15"/>
  <c r="V407" i="15"/>
  <c r="W408" i="15"/>
  <c r="T408" i="15"/>
  <c r="V408" i="15"/>
  <c r="X406" i="15"/>
  <c r="Y405" i="15"/>
  <c r="W405" i="15"/>
  <c r="V405" i="15"/>
  <c r="T405" i="15"/>
  <c r="V406" i="15"/>
  <c r="T406" i="15"/>
  <c r="W406" i="15"/>
  <c r="Z406" i="15"/>
  <c r="Y406" i="15"/>
  <c r="X405" i="15"/>
  <c r="Z405" i="15"/>
  <c r="X404" i="15"/>
  <c r="Z404" i="15"/>
  <c r="Y404" i="15"/>
  <c r="W404" i="15"/>
  <c r="V404" i="15"/>
  <c r="T404" i="15"/>
  <c r="X403" i="15"/>
  <c r="Y403" i="15"/>
  <c r="W403" i="15"/>
  <c r="V403" i="15"/>
  <c r="T403" i="15"/>
  <c r="Z403" i="15"/>
  <c r="Z402" i="15"/>
  <c r="Y401" i="15"/>
  <c r="X401" i="15"/>
  <c r="W401" i="15"/>
  <c r="T401" i="15"/>
  <c r="V401" i="15"/>
  <c r="V402" i="15"/>
  <c r="W402" i="15"/>
  <c r="T402" i="15"/>
  <c r="X402" i="15"/>
  <c r="Z401" i="15"/>
  <c r="V400" i="15"/>
  <c r="W400" i="15"/>
  <c r="T400" i="15"/>
  <c r="Z400" i="15"/>
  <c r="Y400" i="15"/>
  <c r="X400" i="15"/>
  <c r="Z399" i="15"/>
  <c r="W399" i="15"/>
  <c r="T399" i="15"/>
  <c r="V399" i="15"/>
  <c r="Y399" i="15"/>
  <c r="X399" i="15"/>
  <c r="Y398" i="15"/>
  <c r="X398" i="15"/>
  <c r="Z398" i="15"/>
  <c r="W398" i="15"/>
  <c r="V398" i="15"/>
  <c r="T398" i="15"/>
  <c r="Z397" i="15"/>
  <c r="Y397" i="15"/>
  <c r="X397" i="15"/>
  <c r="W397" i="15"/>
  <c r="V397" i="15"/>
  <c r="T397" i="15"/>
  <c r="X396" i="15"/>
  <c r="Z396" i="15"/>
  <c r="Y396" i="15"/>
  <c r="W396" i="15"/>
  <c r="V396" i="15"/>
  <c r="T396" i="15"/>
  <c r="Z392" i="15"/>
  <c r="X394" i="15"/>
  <c r="Y393" i="15"/>
  <c r="X393" i="15"/>
  <c r="T394" i="15"/>
  <c r="V394" i="15"/>
  <c r="W394" i="15"/>
  <c r="Z395" i="15"/>
  <c r="X395" i="15"/>
  <c r="Y394" i="15"/>
  <c r="T393" i="15"/>
  <c r="Z393" i="15"/>
  <c r="V395" i="15"/>
  <c r="W395" i="15"/>
  <c r="T395" i="15"/>
  <c r="Z394" i="15"/>
  <c r="W393" i="15"/>
  <c r="V393" i="15"/>
  <c r="Y391" i="15"/>
  <c r="Y392" i="15"/>
  <c r="X392" i="15"/>
  <c r="T391" i="15"/>
  <c r="W391" i="15"/>
  <c r="V391" i="15"/>
  <c r="V392" i="15"/>
  <c r="T392" i="15"/>
  <c r="W392" i="15"/>
  <c r="Z391" i="15"/>
  <c r="X391" i="15"/>
  <c r="Z390" i="15"/>
  <c r="W390" i="15"/>
  <c r="T390" i="15"/>
  <c r="V390" i="15"/>
  <c r="Y390" i="15"/>
  <c r="X390" i="15"/>
  <c r="X389" i="15"/>
  <c r="Z387" i="15"/>
  <c r="Y388" i="15"/>
  <c r="T387" i="15"/>
  <c r="V387" i="15"/>
  <c r="W387" i="15"/>
  <c r="Z389" i="15"/>
  <c r="V389" i="15"/>
  <c r="T389" i="15"/>
  <c r="W389" i="15"/>
  <c r="X387" i="15"/>
  <c r="V388" i="15"/>
  <c r="W388" i="15"/>
  <c r="T388" i="15"/>
  <c r="Y389" i="15"/>
  <c r="Y387" i="15"/>
  <c r="Z388" i="15"/>
  <c r="X388" i="15"/>
  <c r="X386" i="15"/>
  <c r="Y377" i="15"/>
  <c r="Z385" i="15"/>
  <c r="X385" i="15"/>
  <c r="T385" i="15"/>
  <c r="W385" i="15"/>
  <c r="V385" i="15"/>
  <c r="Y385" i="15"/>
  <c r="Z386" i="15"/>
  <c r="Y386" i="15"/>
  <c r="V386" i="15"/>
  <c r="T386" i="15"/>
  <c r="W386" i="15"/>
  <c r="Z384" i="15"/>
  <c r="X383" i="15"/>
  <c r="Y383" i="15"/>
  <c r="X384" i="15"/>
  <c r="Z383" i="15"/>
  <c r="X382" i="15"/>
  <c r="Y382" i="15"/>
  <c r="V384" i="15"/>
  <c r="W384" i="15"/>
  <c r="T384" i="15"/>
  <c r="W382" i="15"/>
  <c r="T382" i="15"/>
  <c r="V382" i="15"/>
  <c r="T383" i="15"/>
  <c r="V383" i="15"/>
  <c r="W383" i="15"/>
  <c r="Z382" i="15"/>
  <c r="W381" i="15"/>
  <c r="V381" i="15"/>
  <c r="T381" i="15"/>
  <c r="Y381" i="15"/>
  <c r="X381" i="15"/>
  <c r="Y379" i="15"/>
  <c r="Z381" i="15"/>
  <c r="X379" i="15"/>
  <c r="W380" i="15"/>
  <c r="T380" i="15"/>
  <c r="V380" i="15"/>
  <c r="Y380" i="15"/>
  <c r="X380" i="15"/>
  <c r="Z378" i="15"/>
  <c r="X376" i="15"/>
  <c r="Z377" i="15"/>
  <c r="Y376" i="15"/>
  <c r="X378" i="15"/>
  <c r="Z376" i="15"/>
  <c r="W376" i="15"/>
  <c r="V376" i="15"/>
  <c r="T376" i="15"/>
  <c r="Y378" i="15"/>
  <c r="Z379" i="15"/>
  <c r="V378" i="15"/>
  <c r="T378" i="15"/>
  <c r="W378" i="15"/>
  <c r="V377" i="15"/>
  <c r="W377" i="15"/>
  <c r="T377" i="15"/>
  <c r="T379" i="15"/>
  <c r="W379" i="15"/>
  <c r="V379" i="15"/>
  <c r="Y311" i="15"/>
  <c r="X377" i="15"/>
  <c r="X373" i="15"/>
  <c r="Z375" i="15"/>
  <c r="Z314" i="15"/>
  <c r="Z374" i="15"/>
  <c r="Y374" i="15"/>
  <c r="X374" i="15"/>
  <c r="Y373" i="15"/>
  <c r="T374" i="15"/>
  <c r="W374" i="15"/>
  <c r="V374" i="15"/>
  <c r="X375" i="15"/>
  <c r="Y375" i="15"/>
  <c r="T373" i="15"/>
  <c r="Z373" i="15"/>
  <c r="W373" i="15"/>
  <c r="V373" i="15"/>
  <c r="V375" i="15"/>
  <c r="T375" i="15"/>
  <c r="W375" i="15"/>
  <c r="Z372" i="15"/>
  <c r="W372" i="15"/>
  <c r="V372" i="15"/>
  <c r="T372" i="15"/>
  <c r="Y372" i="15"/>
  <c r="X372" i="15"/>
  <c r="Y371" i="15"/>
  <c r="X371" i="15"/>
  <c r="Z371" i="15"/>
  <c r="W371" i="15"/>
  <c r="V371" i="15"/>
  <c r="T371" i="15"/>
  <c r="X370" i="15"/>
  <c r="Y369" i="15"/>
  <c r="Z369" i="15"/>
  <c r="Y368" i="15"/>
  <c r="X368" i="15"/>
  <c r="T368" i="15"/>
  <c r="Z368" i="15"/>
  <c r="V370" i="15"/>
  <c r="W370" i="15"/>
  <c r="T370" i="15"/>
  <c r="Z370" i="15"/>
  <c r="W368" i="15"/>
  <c r="V368" i="15"/>
  <c r="Y370" i="15"/>
  <c r="T369" i="15"/>
  <c r="V369" i="15"/>
  <c r="W369" i="15"/>
  <c r="X369" i="15"/>
  <c r="X367" i="15"/>
  <c r="Z367" i="15"/>
  <c r="Y367" i="15"/>
  <c r="T367" i="15"/>
  <c r="V367" i="15"/>
  <c r="W367" i="15"/>
  <c r="X366" i="15"/>
  <c r="Y366" i="15"/>
  <c r="W366" i="15"/>
  <c r="V366" i="15"/>
  <c r="T366" i="15"/>
  <c r="Z366" i="15"/>
  <c r="Y365" i="15"/>
  <c r="X365" i="15"/>
  <c r="Z365" i="15"/>
  <c r="W365" i="15"/>
  <c r="T365" i="15"/>
  <c r="V365" i="15"/>
  <c r="Z364" i="15"/>
  <c r="W364" i="15"/>
  <c r="V364" i="15"/>
  <c r="T364" i="15"/>
  <c r="Y364" i="15"/>
  <c r="X364" i="15"/>
  <c r="X363" i="15"/>
  <c r="W363" i="15"/>
  <c r="T363" i="15"/>
  <c r="V363" i="15"/>
  <c r="Y363" i="15"/>
  <c r="Z363" i="15"/>
  <c r="X362" i="15"/>
  <c r="X359" i="15"/>
  <c r="X361" i="15"/>
  <c r="Y361" i="15"/>
  <c r="W361" i="15"/>
  <c r="V361" i="15"/>
  <c r="T361" i="15"/>
  <c r="Z360" i="15"/>
  <c r="Y362" i="15"/>
  <c r="Z362" i="15"/>
  <c r="Z361" i="15"/>
  <c r="V362" i="15"/>
  <c r="T362" i="15"/>
  <c r="W362" i="15"/>
  <c r="W360" i="15"/>
  <c r="V360" i="15"/>
  <c r="T360" i="15"/>
  <c r="Y360" i="15"/>
  <c r="X360" i="15"/>
  <c r="Y359" i="15"/>
  <c r="Z358" i="15"/>
  <c r="X358" i="15"/>
  <c r="W358" i="15"/>
  <c r="Y358" i="15"/>
  <c r="V359" i="15"/>
  <c r="T359" i="15"/>
  <c r="W359" i="15"/>
  <c r="Z359" i="15"/>
  <c r="T358" i="15"/>
  <c r="V358" i="15"/>
  <c r="X355" i="15"/>
  <c r="X357" i="15"/>
  <c r="Z357" i="15"/>
  <c r="W357" i="15"/>
  <c r="T357" i="15"/>
  <c r="V357" i="15"/>
  <c r="Y357" i="15"/>
  <c r="Y356" i="15"/>
  <c r="X356" i="15"/>
  <c r="Z356" i="15"/>
  <c r="V356" i="15"/>
  <c r="T356" i="15"/>
  <c r="W356" i="15"/>
  <c r="X354" i="15"/>
  <c r="Y355" i="15"/>
  <c r="V355" i="15"/>
  <c r="T355" i="15"/>
  <c r="W355" i="15"/>
  <c r="W354" i="15"/>
  <c r="V354" i="15"/>
  <c r="T354" i="15"/>
  <c r="Z355" i="15"/>
  <c r="Y354" i="15"/>
  <c r="Z354" i="15"/>
  <c r="X352" i="15"/>
  <c r="X351" i="15"/>
  <c r="Y353" i="15"/>
  <c r="T352" i="15"/>
  <c r="V352" i="15"/>
  <c r="W352" i="15"/>
  <c r="Z353" i="15"/>
  <c r="X353" i="15"/>
  <c r="T351" i="15"/>
  <c r="Z351" i="15"/>
  <c r="Y352" i="15"/>
  <c r="Z352" i="15"/>
  <c r="V353" i="15"/>
  <c r="T353" i="15"/>
  <c r="W353" i="15"/>
  <c r="Y351" i="15"/>
  <c r="W351" i="15"/>
  <c r="V351" i="15"/>
  <c r="Y350" i="15"/>
  <c r="W350" i="15"/>
  <c r="V350" i="15"/>
  <c r="T350" i="15"/>
  <c r="Z350" i="15"/>
  <c r="X350" i="15"/>
  <c r="X349" i="15"/>
  <c r="Z349" i="15"/>
  <c r="W349" i="15"/>
  <c r="V349" i="15"/>
  <c r="T349" i="15"/>
  <c r="Y349" i="15"/>
  <c r="Z348" i="15"/>
  <c r="X347" i="15"/>
  <c r="Z347" i="15"/>
  <c r="X348" i="15"/>
  <c r="V347" i="15"/>
  <c r="T347" i="15"/>
  <c r="W347" i="15"/>
  <c r="Y347" i="15"/>
  <c r="Y348" i="15"/>
  <c r="V348" i="15"/>
  <c r="T348" i="15"/>
  <c r="W348" i="15"/>
  <c r="X346" i="15"/>
  <c r="Y345" i="15"/>
  <c r="Z345" i="15"/>
  <c r="Y346" i="15"/>
  <c r="W345" i="15"/>
  <c r="V345" i="15"/>
  <c r="T345" i="15"/>
  <c r="V346" i="15"/>
  <c r="W346" i="15"/>
  <c r="T346" i="15"/>
  <c r="X345" i="15"/>
  <c r="Z346" i="15"/>
  <c r="X344" i="15"/>
  <c r="Z343" i="15"/>
  <c r="X343" i="15"/>
  <c r="Z344" i="15"/>
  <c r="Y344" i="15"/>
  <c r="Y343" i="15"/>
  <c r="T344" i="15"/>
  <c r="V344" i="15"/>
  <c r="W344" i="15"/>
  <c r="W343" i="15"/>
  <c r="T343" i="15"/>
  <c r="V343" i="15"/>
  <c r="Z340" i="15"/>
  <c r="X342" i="15"/>
  <c r="Z342" i="15"/>
  <c r="Y342" i="15"/>
  <c r="V342" i="15"/>
  <c r="T342" i="15"/>
  <c r="W342" i="15"/>
  <c r="X341" i="15"/>
  <c r="Y341" i="15"/>
  <c r="Z341" i="15"/>
  <c r="W341" i="15"/>
  <c r="T341" i="15"/>
  <c r="V341" i="15"/>
  <c r="Y340" i="15"/>
  <c r="V340" i="15"/>
  <c r="T340" i="15"/>
  <c r="W340" i="15"/>
  <c r="X340" i="15"/>
  <c r="Y339" i="15"/>
  <c r="X339" i="15"/>
  <c r="T338" i="15"/>
  <c r="V338" i="15"/>
  <c r="W338" i="15"/>
  <c r="Y338" i="15"/>
  <c r="Z339" i="15"/>
  <c r="V339" i="15"/>
  <c r="T339" i="15"/>
  <c r="W339" i="15"/>
  <c r="Z338" i="15"/>
  <c r="X338" i="15"/>
  <c r="X337" i="15"/>
  <c r="Y336" i="15"/>
  <c r="Y337" i="15"/>
  <c r="X336" i="15"/>
  <c r="Z337" i="15"/>
  <c r="Z336" i="15"/>
  <c r="V337" i="15"/>
  <c r="T337" i="15"/>
  <c r="W337" i="15"/>
  <c r="W336" i="15"/>
  <c r="T336" i="15"/>
  <c r="V336" i="15"/>
  <c r="Z335" i="15"/>
  <c r="V335" i="15"/>
  <c r="X335" i="15"/>
  <c r="W335" i="15"/>
  <c r="T335" i="15"/>
  <c r="Y335" i="15"/>
  <c r="Y334" i="15"/>
  <c r="W334" i="15"/>
  <c r="T334" i="15"/>
  <c r="V334" i="15"/>
  <c r="Z334" i="15"/>
  <c r="X334" i="15"/>
  <c r="X333" i="15"/>
  <c r="Y333" i="15"/>
  <c r="W333" i="15"/>
  <c r="T333" i="15"/>
  <c r="V333" i="15"/>
  <c r="Z333" i="15"/>
  <c r="Z332" i="15"/>
  <c r="V332" i="15"/>
  <c r="X332" i="15"/>
  <c r="W332" i="15"/>
  <c r="T332" i="15"/>
  <c r="Y332" i="15"/>
  <c r="X331" i="15"/>
  <c r="V330" i="15"/>
  <c r="X330" i="15"/>
  <c r="Y331" i="15"/>
  <c r="Z330" i="15"/>
  <c r="W331" i="15"/>
  <c r="T331" i="15"/>
  <c r="V331" i="15"/>
  <c r="Y330" i="15"/>
  <c r="Z331" i="15"/>
  <c r="W330" i="15"/>
  <c r="T330" i="15"/>
  <c r="Y322" i="15"/>
  <c r="Z329" i="15"/>
  <c r="X329" i="15"/>
  <c r="Y329" i="15"/>
  <c r="W329" i="15"/>
  <c r="V329" i="15"/>
  <c r="T329" i="15"/>
  <c r="X328" i="15"/>
  <c r="Y328" i="15"/>
  <c r="Y327" i="15"/>
  <c r="V328" i="15"/>
  <c r="T328" i="15"/>
  <c r="W328" i="15"/>
  <c r="T327" i="15"/>
  <c r="W327" i="15"/>
  <c r="V327" i="15"/>
  <c r="Z327" i="15"/>
  <c r="X327" i="15"/>
  <c r="Z328" i="15"/>
  <c r="X326" i="15"/>
  <c r="Y325" i="15"/>
  <c r="X325" i="15"/>
  <c r="V326" i="15"/>
  <c r="W326" i="15"/>
  <c r="T326" i="15"/>
  <c r="Z326" i="15"/>
  <c r="W325" i="15"/>
  <c r="V325" i="15"/>
  <c r="Y326" i="15"/>
  <c r="T325" i="15"/>
  <c r="Z325" i="15"/>
  <c r="X324" i="15"/>
  <c r="V323" i="15"/>
  <c r="T323" i="15"/>
  <c r="Z323" i="15"/>
  <c r="Y324" i="15"/>
  <c r="V324" i="15"/>
  <c r="T324" i="15"/>
  <c r="W324" i="15"/>
  <c r="W323" i="15"/>
  <c r="Y323" i="15"/>
  <c r="X323" i="15"/>
  <c r="Z324" i="15"/>
  <c r="X321" i="15"/>
  <c r="Z320" i="15"/>
  <c r="Z322" i="15"/>
  <c r="Y320" i="15"/>
  <c r="Y321" i="15"/>
  <c r="T321" i="15"/>
  <c r="V321" i="15"/>
  <c r="W321" i="15"/>
  <c r="W320" i="15"/>
  <c r="T320" i="15"/>
  <c r="V320" i="15"/>
  <c r="W322" i="15"/>
  <c r="T322" i="15"/>
  <c r="V322" i="15"/>
  <c r="X320" i="15"/>
  <c r="Z321" i="15"/>
  <c r="X322" i="15"/>
  <c r="Z315" i="15"/>
  <c r="V315" i="15"/>
  <c r="T315" i="15"/>
  <c r="W315" i="15"/>
  <c r="Y315" i="15"/>
  <c r="X315" i="15"/>
  <c r="W314" i="15"/>
  <c r="T314" i="15"/>
  <c r="V314" i="15"/>
  <c r="Y314" i="15"/>
  <c r="X314" i="15"/>
  <c r="Z134" i="15"/>
  <c r="X134" i="15"/>
  <c r="Y134" i="15"/>
  <c r="V134" i="15"/>
  <c r="W134" i="15"/>
  <c r="T134" i="15"/>
  <c r="X132" i="15"/>
  <c r="Y132" i="15"/>
  <c r="Z132" i="15"/>
  <c r="T132" i="15"/>
  <c r="W132" i="15"/>
  <c r="V132" i="15"/>
  <c r="X316" i="15"/>
  <c r="Z316" i="15"/>
  <c r="W316" i="15"/>
  <c r="V316" i="15"/>
  <c r="T316" i="15"/>
  <c r="Y316" i="15"/>
  <c r="Y129" i="15"/>
  <c r="W129" i="15"/>
  <c r="T129" i="15"/>
  <c r="V129" i="15"/>
  <c r="Z129" i="15"/>
  <c r="X129" i="15"/>
  <c r="W313" i="15"/>
  <c r="T313" i="15"/>
  <c r="V313" i="15"/>
  <c r="Y313" i="15"/>
  <c r="Z313" i="15"/>
  <c r="X313" i="15"/>
  <c r="Z312" i="15"/>
  <c r="X312" i="15"/>
  <c r="Y312" i="15"/>
  <c r="W312" i="15"/>
  <c r="V312" i="15"/>
  <c r="T312" i="15"/>
  <c r="X311" i="15"/>
  <c r="Z311" i="15"/>
  <c r="V311" i="15"/>
  <c r="T311" i="15"/>
  <c r="W311" i="15"/>
  <c r="X310" i="15"/>
  <c r="Z310" i="15"/>
  <c r="Y310" i="15"/>
  <c r="W310" i="15"/>
  <c r="T310" i="15"/>
  <c r="V310" i="15"/>
  <c r="Y309" i="15"/>
  <c r="V309" i="15"/>
  <c r="T309" i="15"/>
  <c r="W309" i="15"/>
  <c r="Z309" i="15"/>
  <c r="X309" i="15"/>
  <c r="X308" i="15"/>
  <c r="Y308" i="15"/>
  <c r="Z308" i="15"/>
  <c r="V308" i="15"/>
  <c r="T308" i="15"/>
  <c r="W308" i="15"/>
  <c r="Z305" i="15"/>
  <c r="Y305" i="15"/>
  <c r="X305" i="15"/>
  <c r="V305" i="15"/>
  <c r="W305" i="15"/>
  <c r="T305" i="15"/>
  <c r="Y516" i="15"/>
  <c r="Z516" i="15"/>
  <c r="X516" i="15"/>
  <c r="W516" i="15"/>
  <c r="T516" i="15"/>
  <c r="V516" i="15"/>
  <c r="Y47" i="15"/>
  <c r="W47" i="15"/>
  <c r="V47" i="15"/>
  <c r="T47" i="15"/>
  <c r="Z47" i="15"/>
  <c r="X47" i="15"/>
  <c r="V304" i="15"/>
  <c r="T304" i="15"/>
  <c r="W304" i="15"/>
  <c r="Z304" i="15"/>
  <c r="X304" i="15"/>
  <c r="Y304" i="15"/>
  <c r="X302" i="15"/>
  <c r="Z303" i="15"/>
  <c r="W303" i="15"/>
  <c r="V303" i="15"/>
  <c r="T303" i="15"/>
  <c r="AD3" i="24"/>
  <c r="AC4" i="24"/>
  <c r="AB5" i="24"/>
  <c r="AA6" i="24"/>
  <c r="AC5" i="24"/>
  <c r="AB6" i="24"/>
  <c r="AA7" i="24"/>
  <c r="AD4" i="24"/>
  <c r="AD5" i="24"/>
  <c r="AC6" i="24"/>
  <c r="AB7" i="24"/>
  <c r="AD6" i="24"/>
  <c r="AC7" i="24"/>
  <c r="AA9" i="24"/>
  <c r="AD7" i="24"/>
  <c r="AB9" i="24"/>
  <c r="AA3" i="24"/>
  <c r="AA5" i="24"/>
  <c r="AC9" i="24"/>
  <c r="AB3" i="24"/>
  <c r="AD9" i="24"/>
  <c r="AC3" i="24"/>
  <c r="AA4" i="24"/>
  <c r="AB4" i="24"/>
  <c r="Y303" i="15"/>
  <c r="X303" i="15"/>
  <c r="Y302" i="15"/>
  <c r="W302" i="15"/>
  <c r="V302" i="15"/>
  <c r="T302" i="15"/>
  <c r="Z302" i="15"/>
  <c r="X301" i="15"/>
  <c r="Y301" i="15"/>
  <c r="T301" i="15"/>
  <c r="W301" i="15"/>
  <c r="V301" i="15"/>
  <c r="Z301" i="15"/>
  <c r="X300" i="15"/>
  <c r="V300" i="15"/>
  <c r="T300" i="15"/>
  <c r="W300" i="15"/>
  <c r="Z300" i="15"/>
  <c r="Y300" i="15"/>
  <c r="X299" i="15"/>
  <c r="Z297" i="15"/>
  <c r="Y299" i="15"/>
  <c r="Y298" i="15"/>
  <c r="W298" i="15"/>
  <c r="T298" i="15"/>
  <c r="W297" i="15"/>
  <c r="V297" i="15"/>
  <c r="T297" i="15"/>
  <c r="Y297" i="15"/>
  <c r="V298" i="15"/>
  <c r="X298" i="15"/>
  <c r="T299" i="15"/>
  <c r="V299" i="15"/>
  <c r="W299" i="15"/>
  <c r="Z298" i="15"/>
  <c r="X297" i="15"/>
  <c r="Z299" i="15"/>
  <c r="Z284" i="15"/>
  <c r="Z296" i="15"/>
  <c r="Y296" i="15"/>
  <c r="X296" i="15"/>
  <c r="V296" i="15"/>
  <c r="T296" i="15"/>
  <c r="W296" i="15"/>
  <c r="X295" i="15"/>
  <c r="Y295" i="15"/>
  <c r="V295" i="15"/>
  <c r="W295" i="15"/>
  <c r="T295" i="15"/>
  <c r="Z295" i="15"/>
  <c r="X291" i="15"/>
  <c r="X293" i="15"/>
  <c r="X294" i="15"/>
  <c r="Y293" i="15"/>
  <c r="Z293" i="15"/>
  <c r="Z294" i="15"/>
  <c r="T293" i="15"/>
  <c r="W293" i="15"/>
  <c r="V293" i="15"/>
  <c r="Y294" i="15"/>
  <c r="V294" i="15"/>
  <c r="W294" i="15"/>
  <c r="T294" i="15"/>
  <c r="X292" i="15"/>
  <c r="W292" i="15"/>
  <c r="V292" i="15"/>
  <c r="T292" i="15"/>
  <c r="Z292" i="15"/>
  <c r="Y292" i="15"/>
  <c r="V291" i="15"/>
  <c r="T291" i="15"/>
  <c r="W291" i="15"/>
  <c r="Z291" i="15"/>
  <c r="Y291" i="15"/>
  <c r="X290" i="15"/>
  <c r="V209" i="15"/>
  <c r="Y290" i="15"/>
  <c r="W290" i="15"/>
  <c r="T290" i="15"/>
  <c r="V290" i="15"/>
  <c r="Z290" i="15"/>
  <c r="X289" i="15"/>
  <c r="V228" i="15"/>
  <c r="V130" i="15"/>
  <c r="V70" i="15"/>
  <c r="Z289" i="15"/>
  <c r="Y289" i="15"/>
  <c r="W289" i="15"/>
  <c r="T289" i="15"/>
  <c r="V289" i="15"/>
  <c r="V133" i="15"/>
  <c r="Y288" i="15"/>
  <c r="Z288" i="15"/>
  <c r="Y287" i="15"/>
  <c r="W288" i="15"/>
  <c r="V288" i="15"/>
  <c r="T288" i="15"/>
  <c r="X288" i="15"/>
  <c r="Z287" i="15"/>
  <c r="X286" i="15"/>
  <c r="W287" i="15"/>
  <c r="V287" i="15"/>
  <c r="T287" i="15"/>
  <c r="X287" i="15"/>
  <c r="Z93" i="15"/>
  <c r="X240" i="15"/>
  <c r="Y286" i="15"/>
  <c r="T286" i="15"/>
  <c r="V286" i="15"/>
  <c r="W286" i="15"/>
  <c r="Z286" i="15"/>
  <c r="V211" i="15"/>
  <c r="X228" i="15"/>
  <c r="V50" i="15"/>
  <c r="Y209" i="15"/>
  <c r="Z209" i="15"/>
  <c r="X513" i="15"/>
  <c r="T242" i="15"/>
  <c r="Y161" i="15"/>
  <c r="Z285" i="15"/>
  <c r="X285" i="15"/>
  <c r="Y285" i="15"/>
  <c r="V285" i="15"/>
  <c r="W285" i="15"/>
  <c r="T285" i="15"/>
  <c r="Y284" i="15"/>
  <c r="X284" i="15"/>
  <c r="V284" i="15"/>
  <c r="W284" i="15"/>
  <c r="T284" i="15"/>
  <c r="Z270" i="15"/>
  <c r="Y283" i="15"/>
  <c r="V515" i="15"/>
  <c r="Y133" i="15"/>
  <c r="V240" i="15"/>
  <c r="X282" i="15"/>
  <c r="Z283" i="15"/>
  <c r="X283" i="15"/>
  <c r="Y93" i="15"/>
  <c r="V142" i="15"/>
  <c r="V283" i="15"/>
  <c r="T283" i="15"/>
  <c r="W283" i="15"/>
  <c r="Y142" i="15"/>
  <c r="V44" i="15"/>
  <c r="W44" i="15"/>
  <c r="V84" i="15"/>
  <c r="Y88" i="15"/>
  <c r="Y228" i="15"/>
  <c r="X253" i="15"/>
  <c r="V253" i="15"/>
  <c r="Y282" i="15"/>
  <c r="Z282" i="15"/>
  <c r="W282" i="15"/>
  <c r="V282" i="15"/>
  <c r="T282" i="15"/>
  <c r="V161" i="15"/>
  <c r="V513" i="15"/>
  <c r="X161" i="15"/>
  <c r="V242" i="15"/>
  <c r="V154" i="15"/>
  <c r="Y513" i="15"/>
  <c r="V194" i="15"/>
  <c r="X112" i="15"/>
  <c r="X278" i="15"/>
  <c r="X281" i="15"/>
  <c r="V162" i="15"/>
  <c r="Y281" i="15"/>
  <c r="X199" i="15"/>
  <c r="Z192" i="15"/>
  <c r="T281" i="15"/>
  <c r="V281" i="15"/>
  <c r="W281" i="15"/>
  <c r="Z281" i="15"/>
  <c r="V14" i="15"/>
  <c r="X280" i="15"/>
  <c r="Y280" i="15"/>
  <c r="W280" i="15"/>
  <c r="T280" i="15"/>
  <c r="V280" i="15"/>
  <c r="Z280" i="15"/>
  <c r="X14" i="15"/>
  <c r="Z279" i="15"/>
  <c r="Y279" i="15"/>
  <c r="X279" i="15"/>
  <c r="T279" i="15"/>
  <c r="V279" i="15"/>
  <c r="W279" i="15"/>
  <c r="V278" i="15"/>
  <c r="T278" i="15"/>
  <c r="W278" i="15"/>
  <c r="Y278" i="15"/>
  <c r="Z278" i="15"/>
  <c r="Z277" i="15"/>
  <c r="Y277" i="15"/>
  <c r="V277" i="15"/>
  <c r="T277" i="15"/>
  <c r="W277" i="15"/>
  <c r="Z276" i="15"/>
  <c r="Y276" i="15"/>
  <c r="X277" i="15"/>
  <c r="V276" i="15"/>
  <c r="W276" i="15"/>
  <c r="T276" i="15"/>
  <c r="X276" i="15"/>
  <c r="X218" i="15"/>
  <c r="Z249" i="15"/>
  <c r="Z275" i="15"/>
  <c r="Y275" i="15"/>
  <c r="X275" i="15"/>
  <c r="W275" i="15"/>
  <c r="V275" i="15"/>
  <c r="T275" i="15"/>
  <c r="X162" i="15"/>
  <c r="X35" i="15"/>
  <c r="X43" i="15"/>
  <c r="Z185" i="15"/>
  <c r="X133" i="15"/>
  <c r="Y274" i="15"/>
  <c r="Z274" i="15"/>
  <c r="X274" i="15"/>
  <c r="W274" i="15"/>
  <c r="V274" i="15"/>
  <c r="T274" i="15"/>
  <c r="X319" i="15"/>
  <c r="Y273" i="15"/>
  <c r="V319" i="15"/>
  <c r="Z273" i="15"/>
  <c r="X273" i="15"/>
  <c r="W273" i="15"/>
  <c r="T273" i="15"/>
  <c r="V273" i="15"/>
  <c r="Z272" i="15"/>
  <c r="X123" i="15"/>
  <c r="Y272" i="15"/>
  <c r="X196" i="15"/>
  <c r="V32" i="15"/>
  <c r="X26" i="15"/>
  <c r="Y43" i="15"/>
  <c r="Z147" i="15"/>
  <c r="V272" i="15"/>
  <c r="W272" i="15"/>
  <c r="T272" i="15"/>
  <c r="X272" i="15"/>
  <c r="T22" i="15"/>
  <c r="X68" i="15"/>
  <c r="X19" i="15"/>
  <c r="X13" i="15"/>
  <c r="X271" i="15"/>
  <c r="V13" i="15"/>
  <c r="Y271" i="15"/>
  <c r="V271" i="15"/>
  <c r="W271" i="15"/>
  <c r="T271" i="15"/>
  <c r="Z271" i="15"/>
  <c r="V249" i="15"/>
  <c r="V199" i="15"/>
  <c r="Y270" i="15"/>
  <c r="Y192" i="15"/>
  <c r="V192" i="15"/>
  <c r="W270" i="15"/>
  <c r="T270" i="15"/>
  <c r="V270" i="15"/>
  <c r="X270" i="15"/>
  <c r="Y211" i="15"/>
  <c r="X238" i="15"/>
  <c r="X188" i="15"/>
  <c r="X211" i="15"/>
  <c r="V123" i="15"/>
  <c r="X5" i="15"/>
  <c r="X61" i="15"/>
  <c r="Y269" i="15"/>
  <c r="X269" i="15"/>
  <c r="Z269" i="15"/>
  <c r="W269" i="15"/>
  <c r="V269" i="15"/>
  <c r="T269" i="15"/>
  <c r="Y218" i="15"/>
  <c r="Y268" i="15"/>
  <c r="V238" i="15"/>
  <c r="W268" i="15"/>
  <c r="T268" i="15"/>
  <c r="V268" i="15"/>
  <c r="Z268" i="15"/>
  <c r="X268" i="15"/>
  <c r="Y267" i="15"/>
  <c r="V26" i="15"/>
  <c r="V267" i="15"/>
  <c r="T267" i="15"/>
  <c r="W267" i="15"/>
  <c r="Z267" i="15"/>
  <c r="X267" i="15"/>
  <c r="V19" i="15"/>
  <c r="Y266" i="15"/>
  <c r="V61" i="15"/>
  <c r="Z266" i="15"/>
  <c r="W266" i="15"/>
  <c r="V266" i="15"/>
  <c r="T266" i="15"/>
  <c r="X266" i="15"/>
  <c r="X101" i="15"/>
  <c r="Y265" i="15"/>
  <c r="W265" i="15"/>
  <c r="V265" i="15"/>
  <c r="T265" i="15"/>
  <c r="Z265" i="15"/>
  <c r="X265" i="15"/>
  <c r="V218" i="15"/>
  <c r="V5" i="15"/>
  <c r="Y264" i="15"/>
  <c r="Z264" i="15"/>
  <c r="T70" i="15"/>
  <c r="X105" i="15"/>
  <c r="Y147" i="15"/>
  <c r="V113" i="15"/>
  <c r="T264" i="15"/>
  <c r="V264" i="15"/>
  <c r="W264" i="15"/>
  <c r="X233" i="15"/>
  <c r="X32" i="15"/>
  <c r="X264" i="15"/>
  <c r="X170" i="15"/>
  <c r="X263" i="15"/>
  <c r="T197" i="15"/>
  <c r="X6" i="15"/>
  <c r="X85" i="15"/>
  <c r="X84" i="15"/>
  <c r="T102" i="15"/>
  <c r="T7" i="15"/>
  <c r="V112" i="15"/>
  <c r="V233" i="15"/>
  <c r="V85" i="15"/>
  <c r="X221" i="15"/>
  <c r="X194" i="15"/>
  <c r="Y32" i="15"/>
  <c r="V93" i="15"/>
  <c r="Y233" i="15"/>
  <c r="V221" i="15"/>
  <c r="V88" i="15"/>
  <c r="Y112" i="15"/>
  <c r="V185" i="15"/>
  <c r="V196" i="15"/>
  <c r="V263" i="15"/>
  <c r="W263" i="15"/>
  <c r="T263" i="15"/>
  <c r="Y263" i="15"/>
  <c r="Z263" i="15"/>
  <c r="Y73" i="15"/>
  <c r="X149" i="15"/>
  <c r="X73" i="15"/>
  <c r="X81" i="15"/>
  <c r="V73" i="15"/>
  <c r="Z262" i="15"/>
  <c r="Y262" i="15"/>
  <c r="X262" i="15"/>
  <c r="T262" i="15"/>
  <c r="W262" i="15"/>
  <c r="V262" i="15"/>
  <c r="Y68" i="15"/>
  <c r="Y81" i="15"/>
  <c r="Y149" i="15"/>
  <c r="V81" i="15"/>
  <c r="V117" i="15"/>
  <c r="V149" i="15"/>
  <c r="T142" i="15"/>
  <c r="V101" i="15"/>
  <c r="V22" i="15"/>
  <c r="V15" i="15"/>
  <c r="V35" i="15"/>
  <c r="V6" i="15"/>
  <c r="V43" i="15"/>
  <c r="V102" i="15"/>
  <c r="Y221" i="15"/>
  <c r="Y194" i="15"/>
  <c r="Y84" i="15"/>
  <c r="Y261" i="15"/>
  <c r="V261" i="15"/>
  <c r="W261" i="15"/>
  <c r="T261" i="15"/>
  <c r="Z261" i="15"/>
  <c r="X261" i="15"/>
  <c r="V36" i="15"/>
  <c r="V188" i="15"/>
  <c r="Z515" i="15"/>
  <c r="Z113" i="15"/>
  <c r="Y85" i="15"/>
  <c r="Y260" i="15"/>
  <c r="Z260" i="15"/>
  <c r="V260" i="15"/>
  <c r="W260" i="15"/>
  <c r="T260" i="15"/>
  <c r="X260" i="15"/>
  <c r="V237" i="15"/>
  <c r="W149" i="15"/>
  <c r="X45" i="15"/>
  <c r="X237" i="15"/>
  <c r="V68" i="15"/>
  <c r="W85" i="15"/>
  <c r="Y259" i="15"/>
  <c r="Z259" i="15"/>
  <c r="W147" i="15"/>
  <c r="Z13" i="15"/>
  <c r="X259" i="15"/>
  <c r="T259" i="15"/>
  <c r="W259" i="15"/>
  <c r="V259" i="15"/>
  <c r="T247" i="15"/>
  <c r="V147" i="15"/>
  <c r="Z130" i="15"/>
  <c r="V219" i="15"/>
  <c r="Z219" i="15"/>
  <c r="V170" i="15"/>
  <c r="T13" i="15"/>
  <c r="V45" i="15"/>
  <c r="X135" i="15"/>
  <c r="Y135" i="15"/>
  <c r="X258" i="15"/>
  <c r="V105" i="15"/>
  <c r="Y258" i="15"/>
  <c r="Z258" i="15"/>
  <c r="T258" i="15"/>
  <c r="V258" i="15"/>
  <c r="W258" i="15"/>
  <c r="V235" i="15"/>
  <c r="Z154" i="15"/>
  <c r="W68" i="15"/>
  <c r="W81" i="15"/>
  <c r="Y77" i="15"/>
  <c r="Y257" i="15"/>
  <c r="V77" i="15"/>
  <c r="Z76" i="15"/>
  <c r="V110" i="15"/>
  <c r="V257" i="15"/>
  <c r="T257" i="15"/>
  <c r="W257" i="15"/>
  <c r="V138" i="15"/>
  <c r="Z257" i="15"/>
  <c r="X257" i="15"/>
  <c r="V71" i="15"/>
  <c r="Z71" i="15"/>
  <c r="Z116" i="15"/>
  <c r="Z133" i="15"/>
  <c r="V76" i="15"/>
  <c r="T92" i="15"/>
  <c r="T133" i="15"/>
  <c r="V59" i="15"/>
  <c r="W142" i="15"/>
  <c r="W43" i="15"/>
  <c r="W32" i="15"/>
  <c r="X256" i="15"/>
  <c r="V250" i="15"/>
  <c r="V174" i="15"/>
  <c r="V64" i="15"/>
  <c r="V189" i="15"/>
  <c r="V94" i="15"/>
  <c r="V41" i="15"/>
  <c r="Z70" i="15"/>
  <c r="V239" i="15"/>
  <c r="V216" i="15"/>
  <c r="Y256" i="15"/>
  <c r="Z107" i="15"/>
  <c r="Z256" i="15"/>
  <c r="T256" i="15"/>
  <c r="V256" i="15"/>
  <c r="W256" i="15"/>
  <c r="V181" i="15"/>
  <c r="V223" i="15"/>
  <c r="V177" i="15"/>
  <c r="V75" i="15"/>
  <c r="T27" i="15"/>
  <c r="V46" i="15"/>
  <c r="W233" i="15"/>
  <c r="Y235" i="15"/>
  <c r="V116" i="15"/>
  <c r="V12" i="15"/>
  <c r="V67" i="15"/>
  <c r="T75" i="15"/>
  <c r="V213" i="15"/>
  <c r="V195" i="15"/>
  <c r="V222" i="15"/>
  <c r="V144" i="15"/>
  <c r="V20" i="15"/>
  <c r="V86" i="15"/>
  <c r="Z148" i="15"/>
  <c r="V148" i="15"/>
  <c r="V9" i="15"/>
  <c r="V201" i="15"/>
  <c r="V146" i="15"/>
  <c r="V159" i="15"/>
  <c r="V255" i="15"/>
  <c r="V104" i="15"/>
  <c r="V80" i="15"/>
  <c r="V53" i="15"/>
  <c r="V166" i="15"/>
  <c r="V229" i="15"/>
  <c r="V16" i="15"/>
  <c r="V27" i="15"/>
  <c r="V38" i="15"/>
  <c r="V17" i="15"/>
  <c r="V206" i="15"/>
  <c r="V165" i="15"/>
  <c r="V100" i="15"/>
  <c r="V128" i="15"/>
  <c r="V21" i="15"/>
  <c r="V254" i="15"/>
  <c r="V139" i="15"/>
  <c r="V39" i="15"/>
  <c r="V231" i="15"/>
  <c r="V180" i="15"/>
  <c r="V52" i="15"/>
  <c r="V136" i="15"/>
  <c r="V74" i="15"/>
  <c r="V125" i="15"/>
  <c r="V34" i="15"/>
  <c r="V10" i="15"/>
  <c r="V187" i="15"/>
  <c r="V37" i="15"/>
  <c r="W218" i="15"/>
  <c r="W194" i="15"/>
  <c r="V87" i="15"/>
  <c r="V25" i="15"/>
  <c r="V164" i="15"/>
  <c r="V58" i="15"/>
  <c r="V245" i="15"/>
  <c r="V220" i="15"/>
  <c r="V122" i="15"/>
  <c r="V91" i="15"/>
  <c r="V54" i="15"/>
  <c r="V241" i="15"/>
  <c r="V30" i="15"/>
  <c r="V167" i="15"/>
  <c r="V214" i="15"/>
  <c r="V108" i="15"/>
  <c r="V63" i="15"/>
  <c r="V160" i="15"/>
  <c r="V23" i="15"/>
  <c r="Y76" i="15"/>
  <c r="W111" i="15"/>
  <c r="V111" i="15"/>
  <c r="W127" i="15"/>
  <c r="V127" i="15"/>
  <c r="V191" i="15"/>
  <c r="W168" i="15"/>
  <c r="V168" i="15"/>
  <c r="W234" i="15"/>
  <c r="V234" i="15"/>
  <c r="W140" i="15"/>
  <c r="V140" i="15"/>
  <c r="W210" i="15"/>
  <c r="V210" i="15"/>
  <c r="W124" i="15"/>
  <c r="V124" i="15"/>
  <c r="V82" i="15"/>
  <c r="W145" i="15"/>
  <c r="V145" i="15"/>
  <c r="W95" i="15"/>
  <c r="V95" i="15"/>
  <c r="V33" i="15"/>
  <c r="V31" i="15"/>
  <c r="V158" i="15"/>
  <c r="W55" i="15"/>
  <c r="V55" i="15"/>
  <c r="W153" i="15"/>
  <c r="V153" i="15"/>
  <c r="T25" i="15"/>
  <c r="V126" i="15"/>
  <c r="V205" i="15"/>
  <c r="V169" i="15"/>
  <c r="T77" i="15"/>
  <c r="V230" i="15"/>
  <c r="V72" i="15"/>
  <c r="V11" i="15"/>
  <c r="V40" i="15"/>
  <c r="W24" i="15"/>
  <c r="V24" i="15"/>
  <c r="W202" i="15"/>
  <c r="V202" i="15"/>
  <c r="W152" i="15"/>
  <c r="V152" i="15"/>
  <c r="W163" i="15"/>
  <c r="V163" i="15"/>
  <c r="W225" i="15"/>
  <c r="V225" i="15"/>
  <c r="W248" i="15"/>
  <c r="V248" i="15"/>
  <c r="V519" i="15"/>
  <c r="W173" i="15"/>
  <c r="V173" i="15"/>
  <c r="V197" i="15"/>
  <c r="V204" i="15"/>
  <c r="W28" i="15"/>
  <c r="V28" i="15"/>
  <c r="V212" i="15"/>
  <c r="V109" i="15"/>
  <c r="W155" i="15"/>
  <c r="V155" i="15"/>
  <c r="W227" i="15"/>
  <c r="V227" i="15"/>
  <c r="V103" i="15"/>
  <c r="V193" i="15"/>
  <c r="W97" i="15"/>
  <c r="V97" i="15"/>
  <c r="W120" i="15"/>
  <c r="V120" i="15"/>
  <c r="W115" i="15"/>
  <c r="V115" i="15"/>
  <c r="W118" i="15"/>
  <c r="V118" i="15"/>
  <c r="V18" i="15"/>
  <c r="W96" i="15"/>
  <c r="V96" i="15"/>
  <c r="V251" i="15"/>
  <c r="W56" i="15"/>
  <c r="V56" i="15"/>
  <c r="W66" i="15"/>
  <c r="V66" i="15"/>
  <c r="V150" i="15"/>
  <c r="V203" i="15"/>
  <c r="V236" i="15"/>
  <c r="V51" i="15"/>
  <c r="V121" i="15"/>
  <c r="V98" i="15"/>
  <c r="V226" i="15"/>
  <c r="V200" i="15"/>
  <c r="V89" i="15"/>
  <c r="V151" i="15"/>
  <c r="V243" i="15"/>
  <c r="V114" i="15"/>
  <c r="V182" i="15"/>
  <c r="V141" i="15"/>
  <c r="V183" i="15"/>
  <c r="V131" i="15"/>
  <c r="W198" i="15"/>
  <c r="V198" i="15"/>
  <c r="W208" i="15"/>
  <c r="V208" i="15"/>
  <c r="W215" i="15"/>
  <c r="V215" i="15"/>
  <c r="W171" i="15"/>
  <c r="V171" i="15"/>
  <c r="V69" i="15"/>
  <c r="V8" i="15"/>
  <c r="V247" i="15"/>
  <c r="V7" i="15"/>
  <c r="V83" i="15"/>
  <c r="V29" i="15"/>
  <c r="V135" i="15"/>
  <c r="V224" i="15"/>
  <c r="Z75" i="15"/>
  <c r="V78" i="15"/>
  <c r="V175" i="15"/>
  <c r="W172" i="15"/>
  <c r="V172" i="15"/>
  <c r="V4" i="15"/>
  <c r="W156" i="15"/>
  <c r="V156" i="15"/>
  <c r="W186" i="15"/>
  <c r="V186" i="15"/>
  <c r="W179" i="15"/>
  <c r="V179" i="15"/>
  <c r="W143" i="15"/>
  <c r="V143" i="15"/>
  <c r="V62" i="15"/>
  <c r="W57" i="15"/>
  <c r="V57" i="15"/>
  <c r="W49" i="15"/>
  <c r="V49" i="15"/>
  <c r="V184" i="15"/>
  <c r="V190" i="15"/>
  <c r="V99" i="15"/>
  <c r="W232" i="15"/>
  <c r="V232" i="15"/>
  <c r="V42" i="15"/>
  <c r="V106" i="15"/>
  <c r="V246" i="15"/>
  <c r="W60" i="15"/>
  <c r="V60" i="15"/>
  <c r="W178" i="15"/>
  <c r="V178" i="15"/>
  <c r="W65" i="15"/>
  <c r="V65" i="15"/>
  <c r="W244" i="15"/>
  <c r="V244" i="15"/>
  <c r="V157" i="15"/>
  <c r="W176" i="15"/>
  <c r="V176" i="15"/>
  <c r="W90" i="15"/>
  <c r="V90" i="15"/>
  <c r="W107" i="15"/>
  <c r="V107" i="15"/>
  <c r="V79" i="15"/>
  <c r="V137" i="15"/>
  <c r="V217" i="15"/>
  <c r="V119" i="15"/>
  <c r="V207" i="15"/>
  <c r="V252" i="15"/>
  <c r="V92" i="15"/>
  <c r="Y216" i="15"/>
  <c r="V517" i="15"/>
  <c r="T225" i="15"/>
  <c r="T198" i="15"/>
  <c r="W128" i="15"/>
  <c r="W69" i="15"/>
  <c r="W21" i="15"/>
  <c r="W254" i="15"/>
  <c r="W217" i="15"/>
  <c r="W139" i="15"/>
  <c r="Y75" i="15"/>
  <c r="Y213" i="15"/>
  <c r="Y116" i="15"/>
  <c r="W221" i="15"/>
  <c r="Y144" i="15"/>
  <c r="W209" i="15"/>
  <c r="Y204" i="15"/>
  <c r="Y71" i="15"/>
  <c r="Y148" i="15"/>
  <c r="Y110" i="15"/>
  <c r="Y117" i="15"/>
  <c r="W73" i="15"/>
  <c r="W84" i="15"/>
  <c r="W207" i="15"/>
  <c r="Y44" i="15"/>
  <c r="Y7" i="15"/>
  <c r="Y191" i="15"/>
  <c r="W50" i="15"/>
  <c r="Y50" i="15"/>
  <c r="Y215" i="15"/>
  <c r="Y202" i="15"/>
  <c r="Y120" i="15"/>
  <c r="W515" i="15"/>
  <c r="Y515" i="15"/>
  <c r="Y79" i="15"/>
  <c r="Y248" i="15"/>
  <c r="Y11" i="15"/>
  <c r="Y59" i="15"/>
  <c r="Y167" i="15"/>
  <c r="Y90" i="15"/>
  <c r="Y145" i="15"/>
  <c r="Y126" i="15"/>
  <c r="Y226" i="15"/>
  <c r="Y152" i="15"/>
  <c r="Y141" i="15"/>
  <c r="Y97" i="15"/>
  <c r="Y197" i="15"/>
  <c r="Y210" i="15"/>
  <c r="Y183" i="15"/>
  <c r="Y131" i="15"/>
  <c r="Y151" i="15"/>
  <c r="Y42" i="15"/>
  <c r="Y164" i="15"/>
  <c r="Y4" i="15"/>
  <c r="Y111" i="15"/>
  <c r="Y119" i="15"/>
  <c r="Y57" i="15"/>
  <c r="Y187" i="15"/>
  <c r="W35" i="15"/>
  <c r="Y35" i="15"/>
  <c r="W5" i="15"/>
  <c r="Y5" i="15"/>
  <c r="W237" i="15"/>
  <c r="Y237" i="15"/>
  <c r="W240" i="15"/>
  <c r="Y240" i="15"/>
  <c r="W105" i="15"/>
  <c r="Y105" i="15"/>
  <c r="W26" i="15"/>
  <c r="Y26" i="15"/>
  <c r="W102" i="15"/>
  <c r="Y102" i="15"/>
  <c r="W113" i="15"/>
  <c r="Y113" i="15"/>
  <c r="W199" i="15"/>
  <c r="Y199" i="15"/>
  <c r="W13" i="15"/>
  <c r="Y13" i="15"/>
  <c r="W170" i="15"/>
  <c r="Y170" i="15"/>
  <c r="Y108" i="15"/>
  <c r="Y178" i="15"/>
  <c r="Y34" i="15"/>
  <c r="Y107" i="15"/>
  <c r="Y186" i="15"/>
  <c r="Y66" i="15"/>
  <c r="Y67" i="15"/>
  <c r="W133" i="15"/>
  <c r="Y16" i="15"/>
  <c r="Y207" i="15"/>
  <c r="Y139" i="15"/>
  <c r="Y89" i="15"/>
  <c r="Y241" i="15"/>
  <c r="Y217" i="15"/>
  <c r="Y104" i="15"/>
  <c r="Y252" i="15"/>
  <c r="Y137" i="15"/>
  <c r="W242" i="15"/>
  <c r="Y242" i="15"/>
  <c r="Y109" i="15"/>
  <c r="W154" i="15"/>
  <c r="Y154" i="15"/>
  <c r="Y195" i="15"/>
  <c r="Y208" i="15"/>
  <c r="Y230" i="15"/>
  <c r="Y157" i="15"/>
  <c r="Y246" i="15"/>
  <c r="Y20" i="15"/>
  <c r="Y25" i="15"/>
  <c r="Y171" i="15"/>
  <c r="Y82" i="15"/>
  <c r="Y106" i="15"/>
  <c r="W15" i="15"/>
  <c r="Y15" i="15"/>
  <c r="W253" i="15"/>
  <c r="Y253" i="15"/>
  <c r="Y243" i="15"/>
  <c r="Y98" i="15"/>
  <c r="Y251" i="15"/>
  <c r="Y189" i="15"/>
  <c r="Y38" i="15"/>
  <c r="Y54" i="15"/>
  <c r="Y222" i="15"/>
  <c r="Y201" i="15"/>
  <c r="Y169" i="15"/>
  <c r="Y17" i="15"/>
  <c r="W130" i="15"/>
  <c r="Y130" i="15"/>
  <c r="Y115" i="15"/>
  <c r="Y118" i="15"/>
  <c r="Y86" i="15"/>
  <c r="Y58" i="15"/>
  <c r="Y96" i="15"/>
  <c r="Y220" i="15"/>
  <c r="Y179" i="15"/>
  <c r="Y143" i="15"/>
  <c r="Y103" i="15"/>
  <c r="W22" i="15"/>
  <c r="Y22" i="15"/>
  <c r="W249" i="15"/>
  <c r="Y249" i="15"/>
  <c r="W238" i="15"/>
  <c r="Y238" i="15"/>
  <c r="Y184" i="15"/>
  <c r="Y40" i="15"/>
  <c r="Y180" i="15"/>
  <c r="Y150" i="15"/>
  <c r="Y153" i="15"/>
  <c r="Y55" i="15"/>
  <c r="T113" i="15"/>
  <c r="X206" i="15"/>
  <c r="W213" i="15"/>
  <c r="Y181" i="15"/>
  <c r="Y33" i="15"/>
  <c r="Y24" i="15"/>
  <c r="Y31" i="15"/>
  <c r="Y203" i="15"/>
  <c r="Y80" i="15"/>
  <c r="W513" i="15"/>
  <c r="Y519" i="15"/>
  <c r="Y21" i="15"/>
  <c r="Y128" i="15"/>
  <c r="Y517" i="15"/>
  <c r="Y83" i="15"/>
  <c r="Y27" i="15"/>
  <c r="Y177" i="15"/>
  <c r="Y29" i="15"/>
  <c r="Y254" i="15"/>
  <c r="Y138" i="15"/>
  <c r="Y69" i="15"/>
  <c r="Y114" i="15"/>
  <c r="Y91" i="15"/>
  <c r="Y156" i="15"/>
  <c r="W88" i="15"/>
  <c r="Y124" i="15"/>
  <c r="Y53" i="15"/>
  <c r="Y168" i="15"/>
  <c r="Y100" i="15"/>
  <c r="Y205" i="15"/>
  <c r="Y140" i="15"/>
  <c r="W93" i="15"/>
  <c r="Y166" i="15"/>
  <c r="Y176" i="15"/>
  <c r="Y232" i="15"/>
  <c r="Y127" i="15"/>
  <c r="Y56" i="15"/>
  <c r="Y10" i="15"/>
  <c r="Y18" i="15"/>
  <c r="Y28" i="15"/>
  <c r="Y94" i="15"/>
  <c r="Y175" i="15"/>
  <c r="Y174" i="15"/>
  <c r="W188" i="15"/>
  <c r="Y188" i="15"/>
  <c r="W19" i="15"/>
  <c r="Y19" i="15"/>
  <c r="Y78" i="15"/>
  <c r="Y136" i="15"/>
  <c r="Y64" i="15"/>
  <c r="Y122" i="15"/>
  <c r="Y155" i="15"/>
  <c r="Y49" i="15"/>
  <c r="T36" i="15"/>
  <c r="W167" i="15"/>
  <c r="W197" i="15"/>
  <c r="Y95" i="15"/>
  <c r="Y146" i="15"/>
  <c r="Y212" i="15"/>
  <c r="Y198" i="15"/>
  <c r="Y223" i="15"/>
  <c r="Y247" i="15"/>
  <c r="Y236" i="15"/>
  <c r="Y74" i="15"/>
  <c r="Y63" i="15"/>
  <c r="Y30" i="15"/>
  <c r="Y160" i="15"/>
  <c r="Y173" i="15"/>
  <c r="Y12" i="15"/>
  <c r="Y193" i="15"/>
  <c r="Y36" i="15"/>
  <c r="Y225" i="15"/>
  <c r="Y244" i="15"/>
  <c r="Y60" i="15"/>
  <c r="Y121" i="15"/>
  <c r="Y165" i="15"/>
  <c r="W87" i="15"/>
  <c r="Y87" i="15"/>
  <c r="Y51" i="15"/>
  <c r="Y158" i="15"/>
  <c r="Y206" i="15"/>
  <c r="Y8" i="15"/>
  <c r="Y200" i="15"/>
  <c r="Y229" i="15"/>
  <c r="Y37" i="15"/>
  <c r="Y255" i="15"/>
  <c r="Y72" i="15"/>
  <c r="Y182" i="15"/>
  <c r="Y190" i="15"/>
  <c r="Y239" i="15"/>
  <c r="W112" i="15"/>
  <c r="Y92" i="15"/>
  <c r="Y39" i="15"/>
  <c r="Y234" i="15"/>
  <c r="Y99" i="15"/>
  <c r="Y231" i="15"/>
  <c r="Y23" i="15"/>
  <c r="Y163" i="15"/>
  <c r="Y159" i="15"/>
  <c r="Y65" i="15"/>
  <c r="Y41" i="15"/>
  <c r="Y125" i="15"/>
  <c r="Y172" i="15"/>
  <c r="Y9" i="15"/>
  <c r="Y214" i="15"/>
  <c r="Y245" i="15"/>
  <c r="Y250" i="15"/>
  <c r="W123" i="15"/>
  <c r="Y123" i="15"/>
  <c r="W45" i="15"/>
  <c r="Y45" i="15"/>
  <c r="W6" i="15"/>
  <c r="Y6" i="15"/>
  <c r="W162" i="15"/>
  <c r="Y162" i="15"/>
  <c r="W219" i="15"/>
  <c r="Y219" i="15"/>
  <c r="W319" i="15"/>
  <c r="Y319" i="15"/>
  <c r="W70" i="15"/>
  <c r="Y70" i="15"/>
  <c r="W61" i="15"/>
  <c r="Y61" i="15"/>
  <c r="W196" i="15"/>
  <c r="Y196" i="15"/>
  <c r="W185" i="15"/>
  <c r="Y185" i="15"/>
  <c r="W101" i="15"/>
  <c r="Y101" i="15"/>
  <c r="W14" i="15"/>
  <c r="Y14" i="15"/>
  <c r="Y52" i="15"/>
  <c r="Y46" i="15"/>
  <c r="Y224" i="15"/>
  <c r="W192" i="15"/>
  <c r="W211" i="15"/>
  <c r="Y62" i="15"/>
  <c r="Y227" i="15"/>
  <c r="W54" i="15"/>
  <c r="W243" i="15"/>
  <c r="W183" i="15"/>
  <c r="W131" i="15"/>
  <c r="W519" i="15"/>
  <c r="W38" i="15"/>
  <c r="W25" i="15"/>
  <c r="W223" i="15"/>
  <c r="W214" i="15"/>
  <c r="W212" i="15"/>
  <c r="W75" i="15"/>
  <c r="W83" i="15"/>
  <c r="Z247" i="15"/>
  <c r="T16" i="15"/>
  <c r="T33" i="15"/>
  <c r="W160" i="15"/>
  <c r="W135" i="15"/>
  <c r="W116" i="15"/>
  <c r="T100" i="15"/>
  <c r="Z44" i="15"/>
  <c r="Z121" i="15"/>
  <c r="W39" i="15"/>
  <c r="W231" i="15"/>
  <c r="W204" i="15"/>
  <c r="W92" i="15"/>
  <c r="W58" i="15"/>
  <c r="W184" i="15"/>
  <c r="W250" i="15"/>
  <c r="X97" i="15"/>
  <c r="T213" i="15"/>
  <c r="W7" i="15"/>
  <c r="T139" i="15"/>
  <c r="W8" i="15"/>
  <c r="W23" i="15"/>
  <c r="W79" i="15"/>
  <c r="X227" i="15"/>
  <c r="X164" i="15"/>
  <c r="X9" i="15"/>
  <c r="X245" i="15"/>
  <c r="X175" i="15"/>
  <c r="X4" i="15"/>
  <c r="X99" i="15"/>
  <c r="X158" i="15"/>
  <c r="X64" i="15"/>
  <c r="X189" i="15"/>
  <c r="X106" i="15"/>
  <c r="X246" i="15"/>
  <c r="X80" i="15"/>
  <c r="Z142" i="15"/>
  <c r="X142" i="15"/>
  <c r="X60" i="15"/>
  <c r="X98" i="15"/>
  <c r="X53" i="15"/>
  <c r="X120" i="15"/>
  <c r="X151" i="15"/>
  <c r="X208" i="15"/>
  <c r="X40" i="15"/>
  <c r="X157" i="15"/>
  <c r="X31" i="15"/>
  <c r="X166" i="15"/>
  <c r="X176" i="15"/>
  <c r="X217" i="15"/>
  <c r="X229" i="15"/>
  <c r="X225" i="15"/>
  <c r="X171" i="15"/>
  <c r="X83" i="15"/>
  <c r="X137" i="15"/>
  <c r="X223" i="15"/>
  <c r="X167" i="15"/>
  <c r="X71" i="15"/>
  <c r="X148" i="15"/>
  <c r="X110" i="15"/>
  <c r="X93" i="15"/>
  <c r="X219" i="15"/>
  <c r="X66" i="15"/>
  <c r="X224" i="15"/>
  <c r="X56" i="15"/>
  <c r="Z88" i="15"/>
  <c r="X88" i="15"/>
  <c r="X190" i="15"/>
  <c r="X126" i="15"/>
  <c r="X205" i="15"/>
  <c r="X63" i="15"/>
  <c r="X232" i="15"/>
  <c r="X122" i="15"/>
  <c r="X193" i="15"/>
  <c r="X203" i="15"/>
  <c r="X37" i="15"/>
  <c r="X86" i="15"/>
  <c r="X25" i="15"/>
  <c r="X195" i="15"/>
  <c r="X91" i="15"/>
  <c r="X54" i="15"/>
  <c r="X222" i="15"/>
  <c r="X201" i="15"/>
  <c r="X115" i="15"/>
  <c r="X65" i="15"/>
  <c r="X244" i="15"/>
  <c r="X202" i="15"/>
  <c r="X141" i="15"/>
  <c r="X100" i="15"/>
  <c r="X207" i="15"/>
  <c r="X131" i="15"/>
  <c r="X215" i="15"/>
  <c r="X30" i="15"/>
  <c r="X252" i="15"/>
  <c r="X248" i="15"/>
  <c r="X128" i="15"/>
  <c r="X38" i="15"/>
  <c r="X107" i="15"/>
  <c r="X247" i="15"/>
  <c r="X255" i="15"/>
  <c r="X231" i="15"/>
  <c r="X7" i="15"/>
  <c r="X138" i="15"/>
  <c r="X214" i="15"/>
  <c r="X28" i="15"/>
  <c r="X95" i="15"/>
  <c r="X139" i="15"/>
  <c r="X144" i="15"/>
  <c r="X515" i="15"/>
  <c r="X36" i="15"/>
  <c r="X216" i="15"/>
  <c r="X239" i="15"/>
  <c r="X117" i="15"/>
  <c r="X22" i="15"/>
  <c r="X55" i="15"/>
  <c r="X111" i="15"/>
  <c r="X57" i="15"/>
  <c r="X18" i="15"/>
  <c r="X58" i="15"/>
  <c r="X96" i="15"/>
  <c r="X108" i="15"/>
  <c r="X67" i="15"/>
  <c r="X125" i="15"/>
  <c r="X136" i="15"/>
  <c r="X220" i="15"/>
  <c r="X184" i="15"/>
  <c r="X34" i="15"/>
  <c r="X180" i="15"/>
  <c r="X250" i="15"/>
  <c r="X187" i="15"/>
  <c r="X174" i="15"/>
  <c r="X156" i="15"/>
  <c r="X181" i="15"/>
  <c r="X150" i="15"/>
  <c r="X12" i="15"/>
  <c r="X242" i="15"/>
  <c r="X41" i="15"/>
  <c r="X46" i="15"/>
  <c r="Z177" i="15"/>
  <c r="X177" i="15"/>
  <c r="X160" i="15"/>
  <c r="X159" i="15"/>
  <c r="X212" i="15"/>
  <c r="X243" i="15"/>
  <c r="X114" i="15"/>
  <c r="X92" i="15"/>
  <c r="X24" i="15"/>
  <c r="X152" i="15"/>
  <c r="X234" i="15"/>
  <c r="X183" i="15"/>
  <c r="X29" i="15"/>
  <c r="X254" i="15"/>
  <c r="X16" i="15"/>
  <c r="X140" i="15"/>
  <c r="X210" i="15"/>
  <c r="X519" i="15"/>
  <c r="X69" i="15"/>
  <c r="X90" i="15"/>
  <c r="X124" i="15"/>
  <c r="X17" i="15"/>
  <c r="X23" i="15"/>
  <c r="X79" i="15"/>
  <c r="X59" i="15"/>
  <c r="X15" i="15"/>
  <c r="X197" i="15"/>
  <c r="X204" i="15"/>
  <c r="X33" i="15"/>
  <c r="X517" i="15"/>
  <c r="X44" i="15"/>
  <c r="W252" i="15"/>
  <c r="X75" i="15"/>
  <c r="X121" i="15"/>
  <c r="X185" i="15"/>
  <c r="X77" i="15"/>
  <c r="X249" i="15"/>
  <c r="X147" i="15"/>
  <c r="X179" i="15"/>
  <c r="X143" i="15"/>
  <c r="X52" i="15"/>
  <c r="X94" i="15"/>
  <c r="X127" i="15"/>
  <c r="X186" i="15"/>
  <c r="X78" i="15"/>
  <c r="X153" i="15"/>
  <c r="X49" i="15"/>
  <c r="X155" i="15"/>
  <c r="X62" i="15"/>
  <c r="X251" i="15"/>
  <c r="X172" i="15"/>
  <c r="X103" i="15"/>
  <c r="X10" i="15"/>
  <c r="X191" i="15"/>
  <c r="X104" i="15"/>
  <c r="X74" i="15"/>
  <c r="X42" i="15"/>
  <c r="X20" i="15"/>
  <c r="X169" i="15"/>
  <c r="X236" i="15"/>
  <c r="X51" i="15"/>
  <c r="X173" i="15"/>
  <c r="X109" i="15"/>
  <c r="X178" i="15"/>
  <c r="X230" i="15"/>
  <c r="X72" i="15"/>
  <c r="X11" i="15"/>
  <c r="X226" i="15"/>
  <c r="X200" i="15"/>
  <c r="X146" i="15"/>
  <c r="X118" i="15"/>
  <c r="X89" i="15"/>
  <c r="X241" i="15"/>
  <c r="X165" i="15"/>
  <c r="X182" i="15"/>
  <c r="X39" i="15"/>
  <c r="X168" i="15"/>
  <c r="X163" i="15"/>
  <c r="X198" i="15"/>
  <c r="X82" i="15"/>
  <c r="X130" i="15"/>
  <c r="X27" i="15"/>
  <c r="X8" i="15"/>
  <c r="X21" i="15"/>
  <c r="X87" i="15"/>
  <c r="X145" i="15"/>
  <c r="X119" i="15"/>
  <c r="X50" i="15"/>
  <c r="X213" i="15"/>
  <c r="X235" i="15"/>
  <c r="X76" i="15"/>
  <c r="X154" i="15"/>
  <c r="X102" i="15"/>
  <c r="X192" i="15"/>
  <c r="X70" i="15"/>
  <c r="X113" i="15"/>
  <c r="X116" i="15"/>
  <c r="X209" i="15"/>
  <c r="W52" i="15"/>
  <c r="W108" i="15"/>
  <c r="W62" i="15"/>
  <c r="W34" i="15"/>
  <c r="W10" i="15"/>
  <c r="W190" i="15"/>
  <c r="W104" i="15"/>
  <c r="W64" i="15"/>
  <c r="W148" i="15"/>
  <c r="W89" i="15"/>
  <c r="W151" i="15"/>
  <c r="W141" i="15"/>
  <c r="W166" i="15"/>
  <c r="W220" i="15"/>
  <c r="T173" i="15"/>
  <c r="W191" i="15"/>
  <c r="W122" i="15"/>
  <c r="W150" i="15"/>
  <c r="W236" i="15"/>
  <c r="Z234" i="15"/>
  <c r="Z90" i="15"/>
  <c r="W46" i="15"/>
  <c r="W110" i="15"/>
  <c r="W53" i="15"/>
  <c r="W165" i="15"/>
  <c r="W157" i="15"/>
  <c r="W30" i="15"/>
  <c r="W17" i="15"/>
  <c r="W255" i="15"/>
  <c r="W161" i="15"/>
  <c r="W216" i="15"/>
  <c r="W239" i="15"/>
  <c r="W94" i="15"/>
  <c r="W245" i="15"/>
  <c r="W67" i="15"/>
  <c r="W136" i="15"/>
  <c r="W180" i="15"/>
  <c r="W103" i="15"/>
  <c r="T21" i="15"/>
  <c r="W174" i="15"/>
  <c r="W126" i="15"/>
  <c r="W205" i="15"/>
  <c r="W74" i="15"/>
  <c r="W63" i="15"/>
  <c r="W169" i="15"/>
  <c r="W86" i="15"/>
  <c r="T41" i="15"/>
  <c r="W41" i="15"/>
  <c r="W36" i="15"/>
  <c r="W230" i="15"/>
  <c r="W72" i="15"/>
  <c r="W235" i="15"/>
  <c r="W11" i="15"/>
  <c r="W91" i="15"/>
  <c r="W76" i="15"/>
  <c r="W59" i="15"/>
  <c r="W201" i="15"/>
  <c r="W114" i="15"/>
  <c r="W144" i="15"/>
  <c r="W182" i="15"/>
  <c r="W100" i="15"/>
  <c r="W117" i="15"/>
  <c r="W27" i="15"/>
  <c r="W82" i="15"/>
  <c r="W109" i="15"/>
  <c r="W18" i="15"/>
  <c r="W224" i="15"/>
  <c r="W78" i="15"/>
  <c r="W164" i="15"/>
  <c r="W9" i="15"/>
  <c r="W251" i="15"/>
  <c r="W125" i="15"/>
  <c r="W4" i="15"/>
  <c r="Z95" i="15"/>
  <c r="W181" i="15"/>
  <c r="W99" i="15"/>
  <c r="W42" i="15"/>
  <c r="W206" i="15"/>
  <c r="W12" i="15"/>
  <c r="W193" i="15"/>
  <c r="W203" i="15"/>
  <c r="W51" i="15"/>
  <c r="W80" i="15"/>
  <c r="W195" i="15"/>
  <c r="W121" i="15"/>
  <c r="W177" i="15"/>
  <c r="W98" i="15"/>
  <c r="W226" i="15"/>
  <c r="W200" i="15"/>
  <c r="W222" i="15"/>
  <c r="W146" i="15"/>
  <c r="W159" i="15"/>
  <c r="W241" i="15"/>
  <c r="W40" i="15"/>
  <c r="W16" i="15"/>
  <c r="W137" i="15"/>
  <c r="W247" i="15"/>
  <c r="W77" i="15"/>
  <c r="W33" i="15"/>
  <c r="W31" i="15"/>
  <c r="W158" i="15"/>
  <c r="W517" i="15"/>
  <c r="W29" i="15"/>
  <c r="W175" i="15"/>
  <c r="W187" i="15"/>
  <c r="W20" i="15"/>
  <c r="W189" i="15"/>
  <c r="W106" i="15"/>
  <c r="W37" i="15"/>
  <c r="W246" i="15"/>
  <c r="W228" i="15"/>
  <c r="W71" i="15"/>
  <c r="W229" i="15"/>
  <c r="W138" i="15"/>
  <c r="W119" i="15"/>
  <c r="Z24" i="15"/>
  <c r="T254" i="15"/>
  <c r="Z30" i="15"/>
  <c r="Z255" i="15"/>
  <c r="T255" i="15"/>
  <c r="Z21" i="15"/>
  <c r="T116" i="15"/>
  <c r="Z77" i="15"/>
  <c r="Z244" i="15"/>
  <c r="Z207" i="15"/>
  <c r="T165" i="15"/>
  <c r="T229" i="15"/>
  <c r="T223" i="15"/>
  <c r="T234" i="15"/>
  <c r="Z198" i="15"/>
  <c r="T59" i="15"/>
  <c r="T110" i="15"/>
  <c r="T205" i="15"/>
  <c r="T140" i="15"/>
  <c r="Z254" i="15"/>
  <c r="Z7" i="15"/>
  <c r="Z137" i="15"/>
  <c r="Z80" i="15"/>
  <c r="Z120" i="15"/>
  <c r="T118" i="15"/>
  <c r="Z229" i="15"/>
  <c r="T200" i="15"/>
  <c r="T80" i="15"/>
  <c r="T157" i="15"/>
  <c r="Z16" i="15"/>
  <c r="T121" i="15"/>
  <c r="T209" i="15"/>
  <c r="T249" i="15"/>
  <c r="Z252" i="15"/>
  <c r="T206" i="15"/>
  <c r="Z4" i="15"/>
  <c r="T46" i="15"/>
  <c r="T93" i="15"/>
  <c r="T30" i="15"/>
  <c r="T163" i="15"/>
  <c r="T192" i="15"/>
  <c r="Z206" i="15"/>
  <c r="Z223" i="15"/>
  <c r="Z200" i="15"/>
  <c r="T190" i="15"/>
  <c r="Z163" i="15"/>
  <c r="Z118" i="15"/>
  <c r="T148" i="15"/>
  <c r="Z187" i="15"/>
  <c r="Z151" i="15"/>
  <c r="Z253" i="15"/>
  <c r="T253" i="15"/>
  <c r="T189" i="15"/>
  <c r="Z115" i="15"/>
  <c r="T115" i="15"/>
  <c r="Z157" i="15"/>
  <c r="Z173" i="15"/>
  <c r="T114" i="15"/>
  <c r="T60" i="15"/>
  <c r="Z189" i="15"/>
  <c r="T219" i="15"/>
  <c r="T42" i="15"/>
  <c r="Z41" i="15"/>
  <c r="T44" i="15"/>
  <c r="T228" i="15"/>
  <c r="Z242" i="15"/>
  <c r="T76" i="15"/>
  <c r="Z92" i="15"/>
  <c r="T185" i="15"/>
  <c r="Z139" i="15"/>
  <c r="T88" i="15"/>
  <c r="Z102" i="15"/>
  <c r="T95" i="15"/>
  <c r="T154" i="15"/>
  <c r="T90" i="15"/>
  <c r="Z27" i="15"/>
  <c r="Z42" i="15"/>
  <c r="Z97" i="15"/>
  <c r="T97" i="15"/>
  <c r="Z190" i="15"/>
  <c r="Z205" i="15"/>
  <c r="Z245" i="15"/>
  <c r="T151" i="15"/>
  <c r="Z243" i="15"/>
  <c r="T120" i="15"/>
  <c r="Z25" i="15"/>
  <c r="Z60" i="15"/>
  <c r="Z46" i="15"/>
  <c r="T243" i="15"/>
  <c r="Z114" i="15"/>
  <c r="Z158" i="15"/>
  <c r="Z165" i="15"/>
  <c r="Z213" i="15"/>
  <c r="Z140" i="15"/>
  <c r="T71" i="15"/>
  <c r="Z100" i="15"/>
  <c r="T107" i="15"/>
  <c r="T177" i="15"/>
  <c r="T147" i="15"/>
  <c r="T24" i="15"/>
  <c r="Z109" i="15"/>
  <c r="Z197" i="15"/>
  <c r="Z228" i="15"/>
  <c r="T515" i="15"/>
  <c r="Z33" i="15"/>
  <c r="Z125" i="15"/>
  <c r="T252" i="15"/>
  <c r="Z18" i="15"/>
  <c r="Z22" i="15"/>
  <c r="T137" i="15"/>
  <c r="T207" i="15"/>
  <c r="T130" i="15"/>
  <c r="T244" i="15"/>
  <c r="T109" i="15"/>
  <c r="Z59" i="15"/>
  <c r="Z225" i="15"/>
  <c r="Z143" i="15"/>
  <c r="Z174" i="15"/>
  <c r="Z62" i="15"/>
  <c r="Z94" i="15"/>
  <c r="Z175" i="15"/>
  <c r="T37" i="15"/>
  <c r="Z37" i="15"/>
  <c r="T112" i="15"/>
  <c r="Z112" i="15"/>
  <c r="Z138" i="15"/>
  <c r="T138" i="15"/>
  <c r="Z84" i="15"/>
  <c r="T84" i="15"/>
  <c r="T519" i="15"/>
  <c r="Z519" i="15"/>
  <c r="Z36" i="15"/>
  <c r="T158" i="15"/>
  <c r="Z65" i="15"/>
  <c r="T65" i="15"/>
  <c r="Z152" i="15"/>
  <c r="T152" i="15"/>
  <c r="Z188" i="15"/>
  <c r="T188" i="15"/>
  <c r="T238" i="15"/>
  <c r="Z238" i="15"/>
  <c r="T214" i="15"/>
  <c r="Z214" i="15"/>
  <c r="Z29" i="15"/>
  <c r="T29" i="15"/>
  <c r="Z83" i="15"/>
  <c r="T83" i="15"/>
  <c r="T99" i="15"/>
  <c r="Z99" i="15"/>
  <c r="T199" i="15"/>
  <c r="Z199" i="15"/>
  <c r="T79" i="15"/>
  <c r="Z79" i="15"/>
  <c r="Z169" i="15"/>
  <c r="T169" i="15"/>
  <c r="Z101" i="15"/>
  <c r="T101" i="15"/>
  <c r="Z181" i="15"/>
  <c r="T181" i="15"/>
  <c r="Z31" i="15"/>
  <c r="T31" i="15"/>
  <c r="Z218" i="15"/>
  <c r="T218" i="15"/>
  <c r="Z14" i="15"/>
  <c r="T14" i="15"/>
  <c r="Z54" i="15"/>
  <c r="T54" i="15"/>
  <c r="T233" i="15"/>
  <c r="Z233" i="15"/>
  <c r="T32" i="15"/>
  <c r="Z32" i="15"/>
  <c r="Z73" i="15"/>
  <c r="T73" i="15"/>
  <c r="Z11" i="15"/>
  <c r="T11" i="15"/>
  <c r="T135" i="15"/>
  <c r="Z135" i="15"/>
  <c r="Z23" i="15"/>
  <c r="T23" i="15"/>
  <c r="T74" i="15"/>
  <c r="Z74" i="15"/>
  <c r="Z246" i="15"/>
  <c r="T246" i="15"/>
  <c r="Z222" i="15"/>
  <c r="T222" i="15"/>
  <c r="T86" i="15"/>
  <c r="Z86" i="15"/>
  <c r="Z119" i="15"/>
  <c r="T119" i="15"/>
  <c r="T26" i="15"/>
  <c r="Z26" i="15"/>
  <c r="T176" i="15"/>
  <c r="Z176" i="15"/>
  <c r="T178" i="15"/>
  <c r="Z178" i="15"/>
  <c r="Z81" i="15"/>
  <c r="T81" i="15"/>
  <c r="T170" i="15"/>
  <c r="Z170" i="15"/>
  <c r="T208" i="15"/>
  <c r="Z208" i="15"/>
  <c r="T82" i="15"/>
  <c r="Z82" i="15"/>
  <c r="T239" i="15"/>
  <c r="Z239" i="15"/>
  <c r="T513" i="15"/>
  <c r="Z513" i="15"/>
  <c r="Z43" i="15"/>
  <c r="T43" i="15"/>
  <c r="Z237" i="15"/>
  <c r="T237" i="15"/>
  <c r="Z98" i="15"/>
  <c r="T98" i="15"/>
  <c r="T69" i="15"/>
  <c r="Z69" i="15"/>
  <c r="T8" i="15"/>
  <c r="Z8" i="15"/>
  <c r="T40" i="15"/>
  <c r="Z40" i="15"/>
  <c r="Z231" i="15"/>
  <c r="T231" i="15"/>
  <c r="Z212" i="15"/>
  <c r="T212" i="15"/>
  <c r="Z106" i="15"/>
  <c r="T106" i="15"/>
  <c r="T240" i="15"/>
  <c r="Z240" i="15"/>
  <c r="T87" i="15"/>
  <c r="Z87" i="15"/>
  <c r="Z211" i="15"/>
  <c r="T211" i="15"/>
  <c r="T221" i="15"/>
  <c r="Z221" i="15"/>
  <c r="T146" i="15"/>
  <c r="Z146" i="15"/>
  <c r="Z91" i="15"/>
  <c r="T91" i="15"/>
  <c r="T171" i="15"/>
  <c r="Z171" i="15"/>
  <c r="Z51" i="15"/>
  <c r="T51" i="15"/>
  <c r="Z89" i="15"/>
  <c r="T89" i="15"/>
  <c r="Z193" i="15"/>
  <c r="T193" i="15"/>
  <c r="Z195" i="15"/>
  <c r="T195" i="15"/>
  <c r="Z202" i="15"/>
  <c r="T202" i="15"/>
  <c r="Z20" i="15"/>
  <c r="T20" i="15"/>
  <c r="T53" i="15"/>
  <c r="Z53" i="15"/>
  <c r="Z204" i="15"/>
  <c r="T204" i="15"/>
  <c r="T126" i="15"/>
  <c r="Z126" i="15"/>
  <c r="T117" i="15"/>
  <c r="Z117" i="15"/>
  <c r="Z210" i="15"/>
  <c r="T210" i="15"/>
  <c r="T168" i="15"/>
  <c r="Z168" i="15"/>
  <c r="Z28" i="15"/>
  <c r="T28" i="15"/>
  <c r="Z166" i="15"/>
  <c r="T166" i="15"/>
  <c r="Z182" i="15"/>
  <c r="T182" i="15"/>
  <c r="Z194" i="15"/>
  <c r="T194" i="15"/>
  <c r="T17" i="15"/>
  <c r="Z17" i="15"/>
  <c r="T236" i="15"/>
  <c r="Z236" i="15"/>
  <c r="Z78" i="15"/>
  <c r="T63" i="15"/>
  <c r="Z63" i="15"/>
  <c r="Z149" i="15"/>
  <c r="T149" i="15"/>
  <c r="T226" i="15"/>
  <c r="Z226" i="15"/>
  <c r="Z85" i="15"/>
  <c r="T85" i="15"/>
  <c r="T156" i="15"/>
  <c r="Z156" i="15"/>
  <c r="T248" i="15"/>
  <c r="Z248" i="15"/>
  <c r="T160" i="15"/>
  <c r="Z160" i="15"/>
  <c r="T15" i="15"/>
  <c r="Z15" i="15"/>
  <c r="Z203" i="15"/>
  <c r="T203" i="15"/>
  <c r="Z131" i="15"/>
  <c r="T131" i="15"/>
  <c r="Z64" i="15"/>
  <c r="T64" i="15"/>
  <c r="T68" i="15"/>
  <c r="Z68" i="15"/>
  <c r="Z123" i="15"/>
  <c r="T123" i="15"/>
  <c r="T201" i="15"/>
  <c r="Z201" i="15"/>
  <c r="T19" i="15"/>
  <c r="Z19" i="15"/>
  <c r="T230" i="15"/>
  <c r="Z230" i="15"/>
  <c r="Z110" i="15"/>
  <c r="Z104" i="15"/>
  <c r="T104" i="15"/>
  <c r="T319" i="15"/>
  <c r="Z319" i="15"/>
  <c r="T167" i="15"/>
  <c r="Z167" i="15"/>
  <c r="T217" i="15"/>
  <c r="Z217" i="15"/>
  <c r="T128" i="15"/>
  <c r="Z128" i="15"/>
  <c r="T45" i="15"/>
  <c r="Z45" i="15"/>
  <c r="T38" i="15"/>
  <c r="Z38" i="15"/>
  <c r="Z235" i="15"/>
  <c r="T235" i="15"/>
  <c r="Z124" i="15"/>
  <c r="T124" i="15"/>
  <c r="T5" i="15"/>
  <c r="Z5" i="15"/>
  <c r="T61" i="15"/>
  <c r="Z61" i="15"/>
  <c r="Z122" i="15"/>
  <c r="T122" i="15"/>
  <c r="T6" i="15"/>
  <c r="Z6" i="15"/>
  <c r="T144" i="15"/>
  <c r="Z144" i="15"/>
  <c r="Z145" i="15"/>
  <c r="T145" i="15"/>
  <c r="Z232" i="15"/>
  <c r="T232" i="15"/>
  <c r="T241" i="15"/>
  <c r="Z241" i="15"/>
  <c r="Z186" i="15"/>
  <c r="Z153" i="15"/>
  <c r="T150" i="15"/>
  <c r="Z150" i="15"/>
  <c r="T216" i="15"/>
  <c r="Z216" i="15"/>
  <c r="T72" i="15"/>
  <c r="Z72" i="15"/>
  <c r="T196" i="15"/>
  <c r="Z196" i="15"/>
  <c r="Z35" i="15"/>
  <c r="T35" i="15"/>
  <c r="T183" i="15"/>
  <c r="Z183" i="15"/>
  <c r="T50" i="15"/>
  <c r="Z50" i="15"/>
  <c r="Z191" i="15"/>
  <c r="T191" i="15"/>
  <c r="T162" i="15"/>
  <c r="Z162" i="15"/>
  <c r="T105" i="15"/>
  <c r="Z105" i="15"/>
  <c r="Z12" i="15"/>
  <c r="T12" i="15"/>
  <c r="Z517" i="15"/>
  <c r="T517" i="15"/>
  <c r="T39" i="15"/>
  <c r="Z39" i="15"/>
  <c r="T141" i="15"/>
  <c r="Z141" i="15"/>
  <c r="Z161" i="15"/>
  <c r="T161" i="15"/>
  <c r="Z159" i="15"/>
  <c r="T159" i="15"/>
  <c r="Z215" i="15"/>
  <c r="T215" i="15"/>
  <c r="T184" i="15"/>
  <c r="T250" i="15"/>
  <c r="T155" i="15"/>
  <c r="T55" i="15"/>
  <c r="T111" i="15"/>
  <c r="T227" i="15"/>
  <c r="Z224" i="15"/>
  <c r="Z58" i="15"/>
  <c r="Z108" i="15"/>
  <c r="T245" i="15"/>
  <c r="Z49" i="15"/>
  <c r="Z127" i="15"/>
  <c r="T125" i="15"/>
  <c r="T56" i="15"/>
  <c r="T136" i="15"/>
  <c r="Z184" i="15"/>
  <c r="T180" i="15"/>
  <c r="Z103" i="15"/>
  <c r="T103" i="15"/>
  <c r="Z10" i="15"/>
  <c r="T174" i="15"/>
  <c r="T179" i="15"/>
  <c r="T96" i="15"/>
  <c r="T52" i="15"/>
  <c r="T57" i="15"/>
  <c r="Z55" i="15"/>
  <c r="T78" i="15"/>
  <c r="T153" i="15"/>
  <c r="T172" i="15"/>
  <c r="Z250" i="15"/>
  <c r="T143" i="15"/>
  <c r="T127" i="15"/>
  <c r="T66" i="15"/>
  <c r="Z111" i="15"/>
  <c r="Z179" i="15"/>
  <c r="T164" i="15"/>
  <c r="T58" i="15"/>
  <c r="Z96" i="15"/>
  <c r="Z57" i="15"/>
  <c r="T175" i="15"/>
  <c r="Z251" i="15"/>
  <c r="Z67" i="15"/>
  <c r="Z136" i="15"/>
  <c r="Z34" i="15"/>
  <c r="T34" i="15"/>
  <c r="T108" i="15"/>
  <c r="T49" i="15"/>
  <c r="T186" i="15"/>
  <c r="Z155" i="15"/>
  <c r="Z9" i="15"/>
  <c r="T62" i="15"/>
  <c r="T94" i="15"/>
  <c r="T67" i="15"/>
  <c r="Z56" i="15"/>
  <c r="T220" i="15"/>
  <c r="Z180" i="15"/>
  <c r="T18" i="15"/>
  <c r="T251" i="15"/>
  <c r="T4" i="15"/>
  <c r="Z220" i="15"/>
  <c r="Z66" i="15"/>
  <c r="Z227" i="15"/>
  <c r="T224" i="15"/>
  <c r="Z164" i="15"/>
  <c r="T9" i="15"/>
  <c r="Z52" i="15"/>
  <c r="Z172" i="15"/>
  <c r="T10" i="15"/>
  <c r="T187" i="15"/>
  <c r="AB884" i="15" l="1"/>
  <c r="AC884" i="15" s="1"/>
  <c r="AA882" i="15"/>
  <c r="AA883" i="15"/>
  <c r="AB882" i="15"/>
  <c r="AC882" i="15" s="1"/>
  <c r="AB883" i="15"/>
  <c r="AC883" i="15" s="1"/>
  <c r="AA881" i="15"/>
  <c r="AB881" i="15"/>
  <c r="AC881" i="15" s="1"/>
  <c r="AA880" i="15"/>
  <c r="AB879" i="15"/>
  <c r="AC879" i="15" s="1"/>
  <c r="AB880" i="15"/>
  <c r="AC880" i="15" s="1"/>
  <c r="AA877" i="15"/>
  <c r="AA878" i="15"/>
  <c r="AB877" i="15"/>
  <c r="AC877" i="15" s="1"/>
  <c r="AB878" i="15"/>
  <c r="AC878" i="15" s="1"/>
  <c r="AB876" i="15"/>
  <c r="AC876" i="15" s="1"/>
  <c r="AB875" i="15"/>
  <c r="AC875" i="15" s="1"/>
  <c r="AA874" i="15"/>
  <c r="AB874" i="15"/>
  <c r="AC874" i="15" s="1"/>
  <c r="AA873" i="15"/>
  <c r="AB873" i="15"/>
  <c r="AC873" i="15" s="1"/>
  <c r="AA872" i="15"/>
  <c r="AB871" i="15"/>
  <c r="AC871" i="15" s="1"/>
  <c r="AB872" i="15"/>
  <c r="AC872" i="15" s="1"/>
  <c r="AB870" i="15"/>
  <c r="AC870" i="15" s="1"/>
  <c r="AB869" i="15"/>
  <c r="AC869" i="15" s="1"/>
  <c r="AB868" i="15"/>
  <c r="AC868" i="15" s="1"/>
  <c r="AA867" i="15"/>
  <c r="AB867" i="15"/>
  <c r="AC867" i="15" s="1"/>
  <c r="AA866" i="15"/>
  <c r="C3" i="23"/>
  <c r="G4" i="49"/>
  <c r="AB866" i="15"/>
  <c r="AC866" i="15" s="1"/>
  <c r="AB865" i="15"/>
  <c r="AC865" i="15" s="1"/>
  <c r="AA865" i="15"/>
  <c r="AB864" i="15"/>
  <c r="AC864" i="15" s="1"/>
  <c r="AB863" i="15"/>
  <c r="AC863" i="15" s="1"/>
  <c r="AA863" i="15"/>
  <c r="AB862" i="15"/>
  <c r="AC862" i="15" s="1"/>
  <c r="AA861" i="15"/>
  <c r="AB861" i="15"/>
  <c r="AC861" i="15" s="1"/>
  <c r="AA860" i="15"/>
  <c r="AB860" i="15"/>
  <c r="AC860" i="15" s="1"/>
  <c r="AB859" i="15"/>
  <c r="AC859" i="15" s="1"/>
  <c r="AA859" i="15"/>
  <c r="AA858" i="15"/>
  <c r="AB858" i="15"/>
  <c r="AC858" i="15" s="1"/>
  <c r="AB857" i="15"/>
  <c r="AC857" i="15" s="1"/>
  <c r="AF4" i="23"/>
  <c r="AF9" i="23"/>
  <c r="AF5" i="23"/>
  <c r="AF6" i="23"/>
  <c r="AF3" i="23"/>
  <c r="AF7" i="23"/>
  <c r="AF8" i="23"/>
  <c r="AA857" i="15"/>
  <c r="AB856" i="15"/>
  <c r="AC856" i="15" s="1"/>
  <c r="AA856" i="15"/>
  <c r="AB855" i="15"/>
  <c r="AC855" i="15" s="1"/>
  <c r="AA854" i="15"/>
  <c r="AB853" i="15"/>
  <c r="AC853" i="15" s="1"/>
  <c r="AB854" i="15"/>
  <c r="AC854" i="15" s="1"/>
  <c r="AA853" i="15"/>
  <c r="AB852" i="15"/>
  <c r="AC852" i="15" s="1"/>
  <c r="AA852" i="15"/>
  <c r="AB851" i="15"/>
  <c r="AC851" i="15" s="1"/>
  <c r="AA851" i="15"/>
  <c r="AA850" i="15"/>
  <c r="AB850" i="15"/>
  <c r="AC850" i="15" s="1"/>
  <c r="AA849" i="15"/>
  <c r="AB849" i="15"/>
  <c r="AC849" i="15" s="1"/>
  <c r="AA848" i="15"/>
  <c r="AB848" i="15"/>
  <c r="AC848" i="15" s="1"/>
  <c r="AB847" i="15"/>
  <c r="AC847" i="15" s="1"/>
  <c r="AA846" i="15"/>
  <c r="AB846" i="15"/>
  <c r="AC846" i="15" s="1"/>
  <c r="AA845" i="15"/>
  <c r="AB845" i="15"/>
  <c r="AC845" i="15" s="1"/>
  <c r="AB844" i="15"/>
  <c r="AC844" i="15" s="1"/>
  <c r="AA844" i="15"/>
  <c r="AB843" i="15"/>
  <c r="AC843" i="15" s="1"/>
  <c r="AA843" i="15"/>
  <c r="AB842" i="15"/>
  <c r="AC842" i="15" s="1"/>
  <c r="AB841" i="15"/>
  <c r="AC841" i="15" s="1"/>
  <c r="AA841" i="15"/>
  <c r="AA840" i="15"/>
  <c r="AB840" i="15"/>
  <c r="AC840" i="15" s="1"/>
  <c r="AA839" i="15"/>
  <c r="AB838" i="15"/>
  <c r="AC838" i="15" s="1"/>
  <c r="AB839" i="15"/>
  <c r="AC839" i="15" s="1"/>
  <c r="AA838" i="15"/>
  <c r="AB837" i="15"/>
  <c r="AC837" i="15" s="1"/>
  <c r="AA837" i="15"/>
  <c r="AA836" i="15"/>
  <c r="AB836" i="15"/>
  <c r="AC836" i="15" s="1"/>
  <c r="AA835" i="15"/>
  <c r="AB835" i="15"/>
  <c r="AC835" i="15" s="1"/>
  <c r="AB834" i="15"/>
  <c r="AC834" i="15" s="1"/>
  <c r="AA834" i="15"/>
  <c r="F50" i="5"/>
  <c r="J52" i="5"/>
  <c r="J49" i="5"/>
  <c r="F49" i="5"/>
  <c r="E50" i="5"/>
  <c r="F52" i="5"/>
  <c r="I51" i="5"/>
  <c r="E51" i="5"/>
  <c r="I52" i="5"/>
  <c r="E52" i="5"/>
  <c r="I49" i="5"/>
  <c r="E49" i="5"/>
  <c r="D49" i="5"/>
  <c r="H50" i="5"/>
  <c r="D50" i="5"/>
  <c r="H51" i="5"/>
  <c r="D51" i="5"/>
  <c r="H52" i="5"/>
  <c r="D52" i="5"/>
  <c r="H49" i="5"/>
  <c r="G50" i="5"/>
  <c r="G51" i="5"/>
  <c r="G52" i="5"/>
  <c r="F51" i="5"/>
  <c r="G49" i="5"/>
  <c r="J50" i="5"/>
  <c r="J51" i="5"/>
  <c r="AB833" i="15"/>
  <c r="AC833" i="15" s="1"/>
  <c r="AA833" i="15"/>
  <c r="AB832" i="15"/>
  <c r="AC832" i="15" s="1"/>
  <c r="AA831" i="15"/>
  <c r="AB831" i="15"/>
  <c r="AC831" i="15" s="1"/>
  <c r="AA830" i="15"/>
  <c r="AB830" i="15"/>
  <c r="AC830" i="15" s="1"/>
  <c r="AB829" i="15"/>
  <c r="AC829" i="15" s="1"/>
  <c r="AA827" i="15"/>
  <c r="AA826" i="15"/>
  <c r="AA828" i="15"/>
  <c r="AB825" i="15"/>
  <c r="AC825" i="15" s="1"/>
  <c r="AB826" i="15"/>
  <c r="AC826" i="15" s="1"/>
  <c r="AB827" i="15"/>
  <c r="AC827" i="15" s="1"/>
  <c r="AB828" i="15"/>
  <c r="AC828" i="15" s="1"/>
  <c r="AA825" i="15"/>
  <c r="AA824" i="15"/>
  <c r="AB824" i="15"/>
  <c r="AC824" i="15" s="1"/>
  <c r="AA823" i="15"/>
  <c r="AB822" i="15"/>
  <c r="AC822" i="15" s="1"/>
  <c r="AB823" i="15"/>
  <c r="AC823" i="15" s="1"/>
  <c r="AA822" i="15"/>
  <c r="AB821" i="15"/>
  <c r="AC821" i="15" s="1"/>
  <c r="AA820" i="15"/>
  <c r="AB820" i="15"/>
  <c r="AC820" i="15" s="1"/>
  <c r="AA819" i="15"/>
  <c r="AB819" i="15"/>
  <c r="AC819" i="15" s="1"/>
  <c r="AA818" i="15"/>
  <c r="AB817" i="15"/>
  <c r="AC817" i="15" s="1"/>
  <c r="AB818" i="15"/>
  <c r="AC818" i="15" s="1"/>
  <c r="AA817" i="15"/>
  <c r="AA816" i="15"/>
  <c r="AA815" i="15"/>
  <c r="AB815" i="15"/>
  <c r="AC815" i="15" s="1"/>
  <c r="AB816" i="15"/>
  <c r="AC816" i="15" s="1"/>
  <c r="AA814" i="15"/>
  <c r="AB813" i="15"/>
  <c r="AC813" i="15" s="1"/>
  <c r="AB814" i="15"/>
  <c r="AC814" i="15" s="1"/>
  <c r="AA813" i="15"/>
  <c r="AA812" i="15"/>
  <c r="AB812" i="15"/>
  <c r="AC812" i="15" s="1"/>
  <c r="AB811" i="15"/>
  <c r="AC811" i="15" s="1"/>
  <c r="AA811" i="15"/>
  <c r="AB810" i="15"/>
  <c r="AC810" i="15" s="1"/>
  <c r="AA809" i="15"/>
  <c r="AB809" i="15"/>
  <c r="AC809" i="15" s="1"/>
  <c r="AA808" i="15"/>
  <c r="AB808" i="15"/>
  <c r="AC808" i="15" s="1"/>
  <c r="G11" i="49"/>
  <c r="AB806" i="15"/>
  <c r="AC806" i="15" s="1"/>
  <c r="AB807" i="15"/>
  <c r="AC807" i="15" s="1"/>
  <c r="AA806" i="15"/>
  <c r="AA805" i="15"/>
  <c r="AB805" i="15"/>
  <c r="AC805" i="15" s="1"/>
  <c r="AB804" i="15"/>
  <c r="AC804" i="15" s="1"/>
  <c r="AA803" i="15"/>
  <c r="AB803" i="15"/>
  <c r="AC803" i="15" s="1"/>
  <c r="AB802" i="15"/>
  <c r="AC802" i="15" s="1"/>
  <c r="AA800" i="15"/>
  <c r="AA801" i="15"/>
  <c r="AB800" i="15"/>
  <c r="AC800" i="15" s="1"/>
  <c r="AB801" i="15"/>
  <c r="AC801" i="15" s="1"/>
  <c r="AB799" i="15"/>
  <c r="AC799" i="15" s="1"/>
  <c r="AA799" i="15"/>
  <c r="AB798" i="15"/>
  <c r="AC798" i="15" s="1"/>
  <c r="AA797" i="15"/>
  <c r="AB797" i="15"/>
  <c r="AC797" i="15" s="1"/>
  <c r="AA796" i="15"/>
  <c r="AA795" i="15"/>
  <c r="AB795" i="15"/>
  <c r="AC795" i="15" s="1"/>
  <c r="AB796" i="15"/>
  <c r="AC796" i="15" s="1"/>
  <c r="AA794" i="15"/>
  <c r="AB794" i="15"/>
  <c r="AC794" i="15" s="1"/>
  <c r="AB793" i="15"/>
  <c r="AC793" i="15" s="1"/>
  <c r="AA791" i="15"/>
  <c r="AA792" i="15"/>
  <c r="AB792" i="15"/>
  <c r="AC792" i="15" s="1"/>
  <c r="AB791" i="15"/>
  <c r="AC791" i="15" s="1"/>
  <c r="AA790" i="15"/>
  <c r="AB790" i="15"/>
  <c r="AC790" i="15" s="1"/>
  <c r="AA789" i="15"/>
  <c r="AB789" i="15"/>
  <c r="AC789" i="15" s="1"/>
  <c r="AB788" i="15"/>
  <c r="AC788" i="15" s="1"/>
  <c r="AA787" i="15"/>
  <c r="AB787" i="15"/>
  <c r="AC787" i="15" s="1"/>
  <c r="AA786" i="15"/>
  <c r="AB786" i="15"/>
  <c r="AC786" i="15" s="1"/>
  <c r="AB784" i="15"/>
  <c r="AC784" i="15" s="1"/>
  <c r="AB785" i="15"/>
  <c r="AC785" i="15" s="1"/>
  <c r="AA784" i="15"/>
  <c r="AA782" i="15"/>
  <c r="AB782" i="15"/>
  <c r="AC782" i="15" s="1"/>
  <c r="AB783" i="15"/>
  <c r="AC783" i="15" s="1"/>
  <c r="AA783" i="15"/>
  <c r="AD4" i="15"/>
  <c r="AD12" i="15"/>
  <c r="AD14" i="15"/>
  <c r="AD28" i="15"/>
  <c r="AD16" i="15"/>
  <c r="C26" i="49"/>
  <c r="C25" i="49" s="1"/>
  <c r="AD29" i="15"/>
  <c r="AA781" i="15"/>
  <c r="AB781" i="15"/>
  <c r="AC781" i="15" s="1"/>
  <c r="AB780" i="15"/>
  <c r="AC780" i="15" s="1"/>
  <c r="AA779" i="15"/>
  <c r="AA776" i="15"/>
  <c r="AA777" i="15"/>
  <c r="AB779" i="15"/>
  <c r="AC779" i="15" s="1"/>
  <c r="AB777" i="15"/>
  <c r="AC777" i="15" s="1"/>
  <c r="AB778" i="15"/>
  <c r="AC778" i="15" s="1"/>
  <c r="AB776" i="15"/>
  <c r="AC776" i="15" s="1"/>
  <c r="AA775" i="15"/>
  <c r="AB775" i="15"/>
  <c r="AC775" i="15" s="1"/>
  <c r="AB774" i="15"/>
  <c r="AC774" i="15" s="1"/>
  <c r="AD19" i="15"/>
  <c r="AD5" i="15"/>
  <c r="AD22" i="15"/>
  <c r="AD7" i="15"/>
  <c r="AD13" i="15"/>
  <c r="C17" i="49"/>
  <c r="G17" i="49" s="1"/>
  <c r="AD3" i="15"/>
  <c r="AD8" i="15"/>
  <c r="AD27" i="15"/>
  <c r="AD21" i="15"/>
  <c r="AD20" i="15"/>
  <c r="AD18" i="15"/>
  <c r="AD23" i="15"/>
  <c r="AD11" i="15"/>
  <c r="AD17" i="15"/>
  <c r="AD15" i="15"/>
  <c r="AD6" i="15"/>
  <c r="AD25" i="15"/>
  <c r="AD26" i="15"/>
  <c r="AD10" i="15"/>
  <c r="AA773" i="15"/>
  <c r="AB773" i="15"/>
  <c r="AC773" i="15" s="1"/>
  <c r="V3" i="15"/>
  <c r="C18" i="49" s="1"/>
  <c r="AB772" i="15"/>
  <c r="AC772" i="15" s="1"/>
  <c r="AA772" i="15"/>
  <c r="G14" i="49"/>
  <c r="Z3" i="15"/>
  <c r="AD9" i="15"/>
  <c r="T3" i="15"/>
  <c r="F9" i="48" s="1"/>
  <c r="W3" i="15"/>
  <c r="C20" i="49" s="1"/>
  <c r="X3" i="15"/>
  <c r="C12" i="49" s="1"/>
  <c r="AA771" i="15"/>
  <c r="AB771" i="15"/>
  <c r="AC771" i="15" s="1"/>
  <c r="AA22" i="15"/>
  <c r="AA770" i="15"/>
  <c r="AB770" i="15"/>
  <c r="AC770" i="15" s="1"/>
  <c r="AA769" i="15"/>
  <c r="AB769" i="15"/>
  <c r="AC769" i="15" s="1"/>
  <c r="AB768" i="15"/>
  <c r="AC768" i="15" s="1"/>
  <c r="AB767" i="15"/>
  <c r="AC767" i="15" s="1"/>
  <c r="AA767" i="15"/>
  <c r="AA766" i="15"/>
  <c r="AB766" i="15"/>
  <c r="AC766" i="15" s="1"/>
  <c r="AA765" i="15"/>
  <c r="AB765" i="15"/>
  <c r="AC765" i="15" s="1"/>
  <c r="Y3" i="15"/>
  <c r="G9" i="49"/>
  <c r="AA764" i="15"/>
  <c r="AB764" i="15"/>
  <c r="AC764" i="15" s="1"/>
  <c r="AA763" i="15"/>
  <c r="AB763" i="15"/>
  <c r="AC763" i="15" s="1"/>
  <c r="AA762" i="15"/>
  <c r="AB762" i="15"/>
  <c r="AC762" i="15" s="1"/>
  <c r="AB761" i="15"/>
  <c r="AC761" i="15" s="1"/>
  <c r="AA760" i="15"/>
  <c r="AB760" i="15"/>
  <c r="AC760" i="15" s="1"/>
  <c r="AA235" i="15"/>
  <c r="AA122" i="15"/>
  <c r="AA232" i="15"/>
  <c r="AA72" i="15"/>
  <c r="AA196" i="15"/>
  <c r="AA39" i="15"/>
  <c r="AA136" i="15"/>
  <c r="AA52" i="15"/>
  <c r="AA143" i="15"/>
  <c r="AA66" i="15"/>
  <c r="AA18" i="15"/>
  <c r="AA4" i="15"/>
  <c r="AA156" i="15"/>
  <c r="AA38" i="15"/>
  <c r="AA145" i="15"/>
  <c r="AA62" i="15"/>
  <c r="AA10" i="15"/>
  <c r="AA89" i="15"/>
  <c r="AA53" i="15"/>
  <c r="AA149" i="15"/>
  <c r="AA74" i="15"/>
  <c r="AA237" i="15"/>
  <c r="AA17" i="15"/>
  <c r="AA85" i="15"/>
  <c r="AA11" i="15"/>
  <c r="AA90" i="15"/>
  <c r="AA14" i="15"/>
  <c r="AA95" i="15"/>
  <c r="AA151" i="15"/>
  <c r="AA37" i="15"/>
  <c r="AA84" i="15"/>
  <c r="AA83" i="15"/>
  <c r="AA21" i="15"/>
  <c r="AA93" i="15"/>
  <c r="AA148" i="15"/>
  <c r="AA154" i="15"/>
  <c r="AA759" i="15"/>
  <c r="AA332" i="15"/>
  <c r="AA77" i="15"/>
  <c r="AA16" i="15"/>
  <c r="AB758" i="15"/>
  <c r="AC758" i="15" s="1"/>
  <c r="AB759" i="15"/>
  <c r="AC759" i="15" s="1"/>
  <c r="AA757" i="15"/>
  <c r="AB757" i="15"/>
  <c r="AC757" i="15" s="1"/>
  <c r="AB756" i="15"/>
  <c r="AC756" i="15" s="1"/>
  <c r="AA756" i="15"/>
  <c r="AA755" i="15"/>
  <c r="AB755" i="15"/>
  <c r="AC755" i="15" s="1"/>
  <c r="AA754" i="15"/>
  <c r="AB754" i="15"/>
  <c r="AC754" i="15" s="1"/>
  <c r="AA753" i="15"/>
  <c r="AB753" i="15"/>
  <c r="AC753" i="15" s="1"/>
  <c r="AA752" i="15"/>
  <c r="AB752" i="15"/>
  <c r="AC752" i="15" s="1"/>
  <c r="AA749" i="15"/>
  <c r="AB749" i="15"/>
  <c r="AC749" i="15" s="1"/>
  <c r="AB750" i="15"/>
  <c r="AC750" i="15" s="1"/>
  <c r="AB751" i="15"/>
  <c r="AC751" i="15" s="1"/>
  <c r="AA750" i="15"/>
  <c r="AA748" i="15"/>
  <c r="AB748" i="15"/>
  <c r="AC748" i="15" s="1"/>
  <c r="AA747" i="15"/>
  <c r="AA746" i="15"/>
  <c r="AD8" i="24"/>
  <c r="AB746" i="15"/>
  <c r="AC746" i="15" s="1"/>
  <c r="AB747" i="15"/>
  <c r="AC747" i="15" s="1"/>
  <c r="AB219" i="15"/>
  <c r="AC219" i="15" s="1"/>
  <c r="AA744" i="15"/>
  <c r="AA745" i="15"/>
  <c r="AB744" i="15"/>
  <c r="AC744" i="15" s="1"/>
  <c r="AB745" i="15"/>
  <c r="AC745" i="15" s="1"/>
  <c r="AB743" i="15"/>
  <c r="AC743" i="15" s="1"/>
  <c r="AA742" i="15"/>
  <c r="AB742" i="15"/>
  <c r="AC742" i="15" s="1"/>
  <c r="AB740" i="15"/>
  <c r="AC740" i="15" s="1"/>
  <c r="AA741" i="15"/>
  <c r="AB741" i="15"/>
  <c r="AC741" i="15" s="1"/>
  <c r="AA740" i="15"/>
  <c r="AA739" i="15"/>
  <c r="AB739" i="15"/>
  <c r="AC739" i="15" s="1"/>
  <c r="AA738" i="15"/>
  <c r="AB738" i="15"/>
  <c r="AC738" i="15" s="1"/>
  <c r="AA737" i="15"/>
  <c r="AB737" i="15"/>
  <c r="AC737" i="15" s="1"/>
  <c r="AA736" i="15"/>
  <c r="AB736" i="15"/>
  <c r="AC736" i="15" s="1"/>
  <c r="AB735" i="15"/>
  <c r="AC735" i="15" s="1"/>
  <c r="AA734" i="15"/>
  <c r="AB734" i="15"/>
  <c r="AC734" i="15" s="1"/>
  <c r="AA733" i="15"/>
  <c r="AB733" i="15"/>
  <c r="AC733" i="15" s="1"/>
  <c r="AB732" i="15"/>
  <c r="AC732" i="15" s="1"/>
  <c r="AA732" i="15"/>
  <c r="AA731" i="15"/>
  <c r="AB731" i="15"/>
  <c r="AC731" i="15" s="1"/>
  <c r="AB730" i="15"/>
  <c r="AC730" i="15" s="1"/>
  <c r="AA729" i="15"/>
  <c r="AB729" i="15"/>
  <c r="AC729" i="15" s="1"/>
  <c r="AA728" i="15"/>
  <c r="AB728" i="15"/>
  <c r="AC728" i="15" s="1"/>
  <c r="AA727" i="15"/>
  <c r="AB727" i="15"/>
  <c r="AC727" i="15" s="1"/>
  <c r="AA726" i="15"/>
  <c r="AB726" i="15"/>
  <c r="AC726" i="15" s="1"/>
  <c r="AB725" i="15"/>
  <c r="AC725" i="15" s="1"/>
  <c r="AA724" i="15"/>
  <c r="AB724" i="15"/>
  <c r="AC724" i="15" s="1"/>
  <c r="AA723" i="15"/>
  <c r="AB723" i="15"/>
  <c r="AC723" i="15" s="1"/>
  <c r="AA722" i="15"/>
  <c r="AB722" i="15"/>
  <c r="AC722" i="15" s="1"/>
  <c r="AA721" i="15"/>
  <c r="AB721" i="15"/>
  <c r="AC721" i="15" s="1"/>
  <c r="AA513" i="15"/>
  <c r="AA720" i="15"/>
  <c r="AB720" i="15"/>
  <c r="AC720" i="15" s="1"/>
  <c r="AA719" i="15"/>
  <c r="AB719" i="15"/>
  <c r="AC719" i="15" s="1"/>
  <c r="AB717" i="15"/>
  <c r="AC717" i="15" s="1"/>
  <c r="AA718" i="15"/>
  <c r="AB718" i="15"/>
  <c r="AC718" i="15" s="1"/>
  <c r="AA717" i="15"/>
  <c r="AB123" i="15"/>
  <c r="AC123" i="15" s="1"/>
  <c r="AB716" i="15"/>
  <c r="AC716" i="15" s="1"/>
  <c r="AA715" i="15"/>
  <c r="AB715" i="15"/>
  <c r="AC715" i="15" s="1"/>
  <c r="AB714" i="15"/>
  <c r="AC714" i="15" s="1"/>
  <c r="AA714" i="15"/>
  <c r="AA713" i="15"/>
  <c r="AB713" i="15"/>
  <c r="AC713" i="15" s="1"/>
  <c r="AA712" i="15"/>
  <c r="AB712" i="15"/>
  <c r="AC712" i="15" s="1"/>
  <c r="AB711" i="15"/>
  <c r="AC711" i="15" s="1"/>
  <c r="AA711" i="15"/>
  <c r="AB710" i="15"/>
  <c r="AC710" i="15" s="1"/>
  <c r="AA710" i="15"/>
  <c r="AB709" i="15"/>
  <c r="AC709" i="15" s="1"/>
  <c r="AA709" i="15"/>
  <c r="AA708" i="15"/>
  <c r="AB708" i="15"/>
  <c r="AC708" i="15" s="1"/>
  <c r="AB707" i="15"/>
  <c r="AC707" i="15" s="1"/>
  <c r="AA707" i="15"/>
  <c r="AA706" i="15"/>
  <c r="AA705" i="15"/>
  <c r="AB705" i="15"/>
  <c r="AC705" i="15" s="1"/>
  <c r="AB706" i="15"/>
  <c r="AC706" i="15" s="1"/>
  <c r="AA704" i="15"/>
  <c r="AB704" i="15"/>
  <c r="AC704" i="15" s="1"/>
  <c r="AA224" i="15"/>
  <c r="AB703" i="15"/>
  <c r="AC703" i="15" s="1"/>
  <c r="AA703" i="15"/>
  <c r="AB701" i="15"/>
  <c r="AC701" i="15" s="1"/>
  <c r="AA702" i="15"/>
  <c r="AB702" i="15"/>
  <c r="AC702" i="15" s="1"/>
  <c r="AA701" i="15"/>
  <c r="AB9" i="15"/>
  <c r="AC9" i="15" s="1"/>
  <c r="AA700" i="15"/>
  <c r="AA34" i="15"/>
  <c r="AB700" i="15"/>
  <c r="AC700" i="15" s="1"/>
  <c r="AA699" i="15"/>
  <c r="AB699" i="15"/>
  <c r="AC699" i="15" s="1"/>
  <c r="AB698" i="15"/>
  <c r="AC698" i="15" s="1"/>
  <c r="AA697" i="15"/>
  <c r="AB697" i="15"/>
  <c r="AC697" i="15" s="1"/>
  <c r="AA696" i="15"/>
  <c r="AB696" i="15"/>
  <c r="AC696" i="15" s="1"/>
  <c r="AA695" i="15"/>
  <c r="AB695" i="15"/>
  <c r="AC695" i="15" s="1"/>
  <c r="AA694" i="15"/>
  <c r="AB694" i="15"/>
  <c r="AC694" i="15" s="1"/>
  <c r="AA693" i="15"/>
  <c r="AB692" i="15"/>
  <c r="AC692" i="15" s="1"/>
  <c r="AB693" i="15"/>
  <c r="AC693" i="15" s="1"/>
  <c r="AA692" i="15"/>
  <c r="AA691" i="15"/>
  <c r="AB691" i="15"/>
  <c r="AC691" i="15" s="1"/>
  <c r="AB690" i="15"/>
  <c r="AC690" i="15" s="1"/>
  <c r="AA194" i="15"/>
  <c r="AA689" i="15"/>
  <c r="AB689" i="15"/>
  <c r="AC689" i="15" s="1"/>
  <c r="AA688" i="15"/>
  <c r="AB688" i="15"/>
  <c r="AC688" i="15" s="1"/>
  <c r="AA687" i="15"/>
  <c r="AB687" i="15"/>
  <c r="AC687" i="15" s="1"/>
  <c r="AB686" i="15"/>
  <c r="AC686" i="15" s="1"/>
  <c r="AA685" i="15"/>
  <c r="AB685" i="15"/>
  <c r="AC685" i="15" s="1"/>
  <c r="AB684" i="15"/>
  <c r="AC684" i="15" s="1"/>
  <c r="AA684" i="15"/>
  <c r="AA683" i="15"/>
  <c r="AB683" i="15"/>
  <c r="AC683" i="15" s="1"/>
  <c r="AA682" i="15"/>
  <c r="AB682" i="15"/>
  <c r="AC682" i="15" s="1"/>
  <c r="AB137" i="15"/>
  <c r="AC137" i="15" s="1"/>
  <c r="AB519" i="15"/>
  <c r="AC519" i="15" s="1"/>
  <c r="AB209" i="15"/>
  <c r="AC209" i="15" s="1"/>
  <c r="AB681" i="15"/>
  <c r="AC681" i="15" s="1"/>
  <c r="AB680" i="15"/>
  <c r="AC680" i="15" s="1"/>
  <c r="AA680" i="15"/>
  <c r="AA679" i="15"/>
  <c r="AB679" i="15"/>
  <c r="AC679" i="15" s="1"/>
  <c r="AB677" i="15"/>
  <c r="AC677" i="15" s="1"/>
  <c r="G15" i="49"/>
  <c r="AA678" i="15"/>
  <c r="AB678" i="15"/>
  <c r="AC678" i="15" s="1"/>
  <c r="AB673" i="15"/>
  <c r="AC673" i="15" s="1"/>
  <c r="AB676" i="15"/>
  <c r="AC676" i="15" s="1"/>
  <c r="AA677" i="15"/>
  <c r="AA676" i="15"/>
  <c r="AA675" i="15"/>
  <c r="AB675" i="15"/>
  <c r="AC675" i="15" s="1"/>
  <c r="AA238" i="15"/>
  <c r="AA166" i="15"/>
  <c r="AA146" i="15"/>
  <c r="AB674" i="15"/>
  <c r="AC674" i="15" s="1"/>
  <c r="AA674" i="15"/>
  <c r="AA673" i="15"/>
  <c r="AB672" i="15"/>
  <c r="AC672" i="15" s="1"/>
  <c r="AA672" i="15"/>
  <c r="AB671" i="15"/>
  <c r="AC671" i="15" s="1"/>
  <c r="AA671" i="15"/>
  <c r="AB214" i="15"/>
  <c r="AC214" i="15" s="1"/>
  <c r="AA73" i="15"/>
  <c r="AB71" i="15"/>
  <c r="AC71" i="15" s="1"/>
  <c r="AA670" i="15"/>
  <c r="AB670" i="15"/>
  <c r="AC670" i="15" s="1"/>
  <c r="AB105" i="15"/>
  <c r="AC105" i="15" s="1"/>
  <c r="AB117" i="15"/>
  <c r="AC117" i="15" s="1"/>
  <c r="AB669" i="15"/>
  <c r="AC669" i="15" s="1"/>
  <c r="AA669" i="15"/>
  <c r="AA60" i="15"/>
  <c r="AA200" i="15"/>
  <c r="AA36" i="15"/>
  <c r="AA30" i="15"/>
  <c r="AA234" i="15"/>
  <c r="AA668" i="15"/>
  <c r="AB668" i="15"/>
  <c r="AC668" i="15" s="1"/>
  <c r="AB667" i="15"/>
  <c r="AC667" i="15" s="1"/>
  <c r="AB463" i="15"/>
  <c r="AC463" i="15" s="1"/>
  <c r="AB236" i="15"/>
  <c r="AC236" i="15" s="1"/>
  <c r="AA242" i="15"/>
  <c r="AA208" i="15"/>
  <c r="AA667" i="15"/>
  <c r="AA81" i="15"/>
  <c r="AA101" i="15"/>
  <c r="AA187" i="15"/>
  <c r="AA221" i="15"/>
  <c r="AA233" i="15"/>
  <c r="AA70" i="15"/>
  <c r="AA50" i="15"/>
  <c r="AA44" i="15"/>
  <c r="AA141" i="15"/>
  <c r="AA396" i="15"/>
  <c r="AA292" i="15"/>
  <c r="AA322" i="15"/>
  <c r="AA144" i="15"/>
  <c r="AA121" i="15"/>
  <c r="AA217" i="15"/>
  <c r="AA140" i="15"/>
  <c r="AA33" i="15"/>
  <c r="AA79" i="15"/>
  <c r="AA65" i="15"/>
  <c r="AA357" i="15"/>
  <c r="AA290" i="15"/>
  <c r="H11" i="48"/>
  <c r="AB666" i="15"/>
  <c r="AC666" i="15" s="1"/>
  <c r="AA666" i="15"/>
  <c r="AB575" i="15"/>
  <c r="AC575" i="15" s="1"/>
  <c r="AB665" i="15"/>
  <c r="AC665" i="15" s="1"/>
  <c r="AB450" i="15"/>
  <c r="AC450" i="15" s="1"/>
  <c r="AB106" i="15"/>
  <c r="AC106" i="15" s="1"/>
  <c r="AD4" i="5"/>
  <c r="AB176" i="15"/>
  <c r="AC176" i="15" s="1"/>
  <c r="AB206" i="15"/>
  <c r="AC206" i="15" s="1"/>
  <c r="AB100" i="15"/>
  <c r="AC100" i="15" s="1"/>
  <c r="AB319" i="15"/>
  <c r="AC319" i="15" s="1"/>
  <c r="AA664" i="15"/>
  <c r="F3" i="15"/>
  <c r="AB664" i="15"/>
  <c r="AC664" i="15" s="1"/>
  <c r="AB408" i="15"/>
  <c r="AC408" i="15" s="1"/>
  <c r="AB134" i="15"/>
  <c r="AC134" i="15" s="1"/>
  <c r="AB578" i="15"/>
  <c r="AC578" i="15" s="1"/>
  <c r="AB306" i="15"/>
  <c r="AC306" i="15" s="1"/>
  <c r="AB58" i="15"/>
  <c r="AC58" i="15" s="1"/>
  <c r="AB191" i="15"/>
  <c r="AC191" i="15" s="1"/>
  <c r="AB226" i="15"/>
  <c r="AC226" i="15" s="1"/>
  <c r="AB336" i="15"/>
  <c r="AC336" i="15" s="1"/>
  <c r="AB527" i="15"/>
  <c r="AC527" i="15" s="1"/>
  <c r="AB660" i="15"/>
  <c r="AC660" i="15" s="1"/>
  <c r="AB617" i="15"/>
  <c r="AC617" i="15" s="1"/>
  <c r="AB304" i="15"/>
  <c r="AC304" i="15" s="1"/>
  <c r="AB383" i="15"/>
  <c r="AC383" i="15" s="1"/>
  <c r="AB556" i="15"/>
  <c r="AC556" i="15" s="1"/>
  <c r="AB254" i="15"/>
  <c r="AC254" i="15" s="1"/>
  <c r="AB26" i="15"/>
  <c r="AC26" i="15" s="1"/>
  <c r="AB280" i="15"/>
  <c r="AC280" i="15" s="1"/>
  <c r="AA32" i="15"/>
  <c r="AA155" i="15"/>
  <c r="AB7" i="5"/>
  <c r="AB548" i="15"/>
  <c r="AC548" i="15" s="1"/>
  <c r="AC8" i="24"/>
  <c r="AB324" i="15"/>
  <c r="AC324" i="15" s="1"/>
  <c r="AB352" i="15"/>
  <c r="AC352" i="15" s="1"/>
  <c r="AB643" i="15"/>
  <c r="AC643" i="15" s="1"/>
  <c r="AB439" i="15"/>
  <c r="AC439" i="15" s="1"/>
  <c r="AB452" i="15"/>
  <c r="AC452" i="15" s="1"/>
  <c r="AB537" i="15"/>
  <c r="AC537" i="15" s="1"/>
  <c r="AB547" i="15"/>
  <c r="AC547" i="15" s="1"/>
  <c r="AB633" i="15"/>
  <c r="AC633" i="15" s="1"/>
  <c r="AB202" i="15"/>
  <c r="AC202" i="15" s="1"/>
  <c r="AB267" i="15"/>
  <c r="AC267" i="15" s="1"/>
  <c r="AB404" i="15"/>
  <c r="AC404" i="15" s="1"/>
  <c r="AB487" i="15"/>
  <c r="AC487" i="15" s="1"/>
  <c r="AB291" i="15"/>
  <c r="AC291" i="15" s="1"/>
  <c r="AB8" i="24"/>
  <c r="AB365" i="15"/>
  <c r="AC365" i="15" s="1"/>
  <c r="AB432" i="15"/>
  <c r="AC432" i="15" s="1"/>
  <c r="AB440" i="15"/>
  <c r="AC440" i="15" s="1"/>
  <c r="AB453" i="15"/>
  <c r="AC453" i="15" s="1"/>
  <c r="AB470" i="15"/>
  <c r="AC470" i="15" s="1"/>
  <c r="AB558" i="15"/>
  <c r="AC558" i="15" s="1"/>
  <c r="AB621" i="15"/>
  <c r="AC621" i="15" s="1"/>
  <c r="AB646" i="15"/>
  <c r="AC646" i="15" s="1"/>
  <c r="AB627" i="15"/>
  <c r="AC627" i="15" s="1"/>
  <c r="AB189" i="15"/>
  <c r="AC189" i="15" s="1"/>
  <c r="AB192" i="15"/>
  <c r="AC192" i="15" s="1"/>
  <c r="AB329" i="15"/>
  <c r="AC329" i="15" s="1"/>
  <c r="AB333" i="15"/>
  <c r="AC333" i="15" s="1"/>
  <c r="AB390" i="15"/>
  <c r="AC390" i="15" s="1"/>
  <c r="AB480" i="15"/>
  <c r="AC480" i="15" s="1"/>
  <c r="E3" i="15"/>
  <c r="AB297" i="15"/>
  <c r="AC297" i="15" s="1"/>
  <c r="AB539" i="15"/>
  <c r="AC539" i="15" s="1"/>
  <c r="AB619" i="15"/>
  <c r="AC619" i="15" s="1"/>
  <c r="AB473" i="15"/>
  <c r="AC473" i="15" s="1"/>
  <c r="AB479" i="15"/>
  <c r="AC479" i="15" s="1"/>
  <c r="AB553" i="15"/>
  <c r="AC553" i="15" s="1"/>
  <c r="AB576" i="15"/>
  <c r="AC576" i="15" s="1"/>
  <c r="D3" i="15"/>
  <c r="AB608" i="15"/>
  <c r="AC608" i="15" s="1"/>
  <c r="AB611" i="15"/>
  <c r="AC611" i="15" s="1"/>
  <c r="AB618" i="15"/>
  <c r="AC618" i="15" s="1"/>
  <c r="AB87" i="15"/>
  <c r="AC87" i="15" s="1"/>
  <c r="AB25" i="15"/>
  <c r="AC25" i="15" s="1"/>
  <c r="AB260" i="15"/>
  <c r="AC260" i="15" s="1"/>
  <c r="AA8" i="24"/>
  <c r="AA15" i="15"/>
  <c r="AB508" i="15"/>
  <c r="AC508" i="15" s="1"/>
  <c r="AB482" i="15"/>
  <c r="AC482" i="15" s="1"/>
  <c r="AB520" i="15"/>
  <c r="AC520" i="15" s="1"/>
  <c r="AB476" i="15"/>
  <c r="AC476" i="15" s="1"/>
  <c r="AB625" i="15"/>
  <c r="AC625" i="15" s="1"/>
  <c r="AB325" i="15"/>
  <c r="AC325" i="15" s="1"/>
  <c r="AB497" i="15"/>
  <c r="AC497" i="15" s="1"/>
  <c r="AB564" i="15"/>
  <c r="AC564" i="15" s="1"/>
  <c r="AB458" i="15"/>
  <c r="AC458" i="15" s="1"/>
  <c r="AB313" i="15"/>
  <c r="AC313" i="15" s="1"/>
  <c r="AB568" i="15"/>
  <c r="AC568" i="15" s="1"/>
  <c r="AB351" i="15"/>
  <c r="AC351" i="15" s="1"/>
  <c r="AB369" i="15"/>
  <c r="AC369" i="15" s="1"/>
  <c r="AB392" i="15"/>
  <c r="AC392" i="15" s="1"/>
  <c r="AB403" i="15"/>
  <c r="AC403" i="15" s="1"/>
  <c r="AB468" i="15"/>
  <c r="AC468" i="15" s="1"/>
  <c r="AB607" i="15"/>
  <c r="AC607" i="15" s="1"/>
  <c r="AB138" i="15"/>
  <c r="AC138" i="15" s="1"/>
  <c r="AB375" i="15"/>
  <c r="AC375" i="15" s="1"/>
  <c r="AB410" i="15"/>
  <c r="AC410" i="15" s="1"/>
  <c r="AB488" i="15"/>
  <c r="AC488" i="15" s="1"/>
  <c r="AB524" i="15"/>
  <c r="AC524" i="15" s="1"/>
  <c r="AB503" i="15"/>
  <c r="AC503" i="15" s="1"/>
  <c r="AB502" i="15"/>
  <c r="AC502" i="15" s="1"/>
  <c r="AB526" i="15"/>
  <c r="AC526" i="15" s="1"/>
  <c r="AB540" i="15"/>
  <c r="AC540" i="15" s="1"/>
  <c r="AB563" i="15"/>
  <c r="AC563" i="15" s="1"/>
  <c r="AB652" i="15"/>
  <c r="AC652" i="15" s="1"/>
  <c r="AB112" i="15"/>
  <c r="AC112" i="15" s="1"/>
  <c r="AB157" i="15"/>
  <c r="AC157" i="15" s="1"/>
  <c r="AB225" i="15"/>
  <c r="AC225" i="15" s="1"/>
  <c r="AB287" i="15"/>
  <c r="AC287" i="15" s="1"/>
  <c r="AB309" i="15"/>
  <c r="AC309" i="15" s="1"/>
  <c r="AB475" i="15"/>
  <c r="AC475" i="15" s="1"/>
  <c r="AB616" i="15"/>
  <c r="AC616" i="15" s="1"/>
  <c r="AB551" i="15"/>
  <c r="AC551" i="15" s="1"/>
  <c r="AB605" i="15"/>
  <c r="AC605" i="15" s="1"/>
  <c r="D27" i="47"/>
  <c r="T27" i="47" s="1"/>
  <c r="G45" i="47"/>
  <c r="AC45" i="47" s="1"/>
  <c r="J45" i="47"/>
  <c r="AL45" i="47" s="1"/>
  <c r="G63" i="47"/>
  <c r="AC63" i="47" s="1"/>
  <c r="J63" i="47"/>
  <c r="AL63" i="47" s="1"/>
  <c r="AB162" i="15"/>
  <c r="AC162" i="15" s="1"/>
  <c r="D63" i="47"/>
  <c r="T63" i="47" s="1"/>
  <c r="T4" i="5"/>
  <c r="G36" i="47"/>
  <c r="AC36" i="47" s="1"/>
  <c r="D45" i="47"/>
  <c r="T45" i="47" s="1"/>
  <c r="AA248" i="15"/>
  <c r="G27" i="47"/>
  <c r="AC27" i="47" s="1"/>
  <c r="H54" i="47"/>
  <c r="AF54" i="47" s="1"/>
  <c r="AA190" i="15"/>
  <c r="J54" i="47"/>
  <c r="AL54" i="47" s="1"/>
  <c r="AC4" i="5"/>
  <c r="D36" i="47"/>
  <c r="T36" i="47" s="1"/>
  <c r="D54" i="47"/>
  <c r="T54" i="47" s="1"/>
  <c r="AA663" i="15"/>
  <c r="J36" i="47"/>
  <c r="AL36" i="47" s="1"/>
  <c r="Q4" i="5"/>
  <c r="N4" i="5"/>
  <c r="AA7" i="5"/>
  <c r="AA6" i="5"/>
  <c r="X4" i="5"/>
  <c r="H36" i="47"/>
  <c r="AF36" i="47" s="1"/>
  <c r="R7" i="5"/>
  <c r="AB609" i="15"/>
  <c r="AC609" i="15" s="1"/>
  <c r="H27" i="47"/>
  <c r="AF27" i="47" s="1"/>
  <c r="N6" i="5"/>
  <c r="G54" i="47"/>
  <c r="AC54" i="47" s="1"/>
  <c r="H45" i="47"/>
  <c r="AF45" i="47" s="1"/>
  <c r="O6" i="5"/>
  <c r="T6" i="5"/>
  <c r="S7" i="5"/>
  <c r="H18" i="47"/>
  <c r="AF18" i="47" s="1"/>
  <c r="R4" i="5"/>
  <c r="H63" i="47"/>
  <c r="AF63" i="47" s="1"/>
  <c r="P6" i="5"/>
  <c r="Z6" i="5"/>
  <c r="AA4" i="5"/>
  <c r="Y6" i="5"/>
  <c r="AB4" i="5"/>
  <c r="AB663" i="15"/>
  <c r="AC663" i="15" s="1"/>
  <c r="AB337" i="15"/>
  <c r="AC337" i="15" s="1"/>
  <c r="AB654" i="15"/>
  <c r="AC654" i="15" s="1"/>
  <c r="AB606" i="15"/>
  <c r="AC606" i="15" s="1"/>
  <c r="AB662" i="15"/>
  <c r="AC662" i="15" s="1"/>
  <c r="AB433" i="15"/>
  <c r="AC433" i="15" s="1"/>
  <c r="AB135" i="15"/>
  <c r="AC135" i="15" s="1"/>
  <c r="AB555" i="15"/>
  <c r="AC555" i="15" s="1"/>
  <c r="J27" i="47"/>
  <c r="AL27" i="47" s="1"/>
  <c r="AB593" i="15"/>
  <c r="AC593" i="15" s="1"/>
  <c r="AA161" i="15"/>
  <c r="AB168" i="15"/>
  <c r="AC168" i="15" s="1"/>
  <c r="D19" i="49"/>
  <c r="D3" i="48"/>
  <c r="F12" i="49"/>
  <c r="D18" i="49"/>
  <c r="D20" i="49"/>
  <c r="D12" i="49"/>
  <c r="E12" i="49"/>
  <c r="D10" i="48"/>
  <c r="B9" i="48"/>
  <c r="AA175" i="15"/>
  <c r="E25" i="49"/>
  <c r="AA296" i="15"/>
  <c r="AB6" i="15"/>
  <c r="AC6" i="15" s="1"/>
  <c r="AA662" i="15"/>
  <c r="AB359" i="15"/>
  <c r="AC359" i="15" s="1"/>
  <c r="AB76" i="15"/>
  <c r="AC76" i="15" s="1"/>
  <c r="AB27" i="15"/>
  <c r="AC27" i="15" s="1"/>
  <c r="AB434" i="15"/>
  <c r="AC434" i="15" s="1"/>
  <c r="AB286" i="15"/>
  <c r="AC286" i="15" s="1"/>
  <c r="AB579" i="15"/>
  <c r="AC579" i="15" s="1"/>
  <c r="AB250" i="15"/>
  <c r="AC250" i="15" s="1"/>
  <c r="AB552" i="15"/>
  <c r="AC552" i="15" s="1"/>
  <c r="AB518" i="15"/>
  <c r="AC518" i="15" s="1"/>
  <c r="AB170" i="15"/>
  <c r="AC170" i="15" s="1"/>
  <c r="AA227" i="15"/>
  <c r="AA362" i="15"/>
  <c r="AA67" i="15"/>
  <c r="AB496" i="15"/>
  <c r="AC496" i="15" s="1"/>
  <c r="AA69" i="15"/>
  <c r="AB610" i="15"/>
  <c r="AC610" i="15" s="1"/>
  <c r="AA394" i="15"/>
  <c r="AB298" i="15"/>
  <c r="AC298" i="15" s="1"/>
  <c r="AB354" i="15"/>
  <c r="AC354" i="15" s="1"/>
  <c r="AB344" i="15"/>
  <c r="AC344" i="15" s="1"/>
  <c r="AB412" i="15"/>
  <c r="AC412" i="15" s="1"/>
  <c r="AB529" i="15"/>
  <c r="AC529" i="15" s="1"/>
  <c r="AB211" i="15"/>
  <c r="AC211" i="15" s="1"/>
  <c r="AB512" i="15"/>
  <c r="AC512" i="15" s="1"/>
  <c r="AB98" i="15"/>
  <c r="AC98" i="15" s="1"/>
  <c r="AB445" i="15"/>
  <c r="AC445" i="15" s="1"/>
  <c r="AB277" i="15"/>
  <c r="AC277" i="15" s="1"/>
  <c r="AB411" i="15"/>
  <c r="AC411" i="15" s="1"/>
  <c r="AA56" i="15"/>
  <c r="AB650" i="15"/>
  <c r="AC650" i="15" s="1"/>
  <c r="AB96" i="15"/>
  <c r="AC96" i="15" s="1"/>
  <c r="AB223" i="15"/>
  <c r="AC223" i="15" s="1"/>
  <c r="AB456" i="15"/>
  <c r="AC456" i="15" s="1"/>
  <c r="AB574" i="15"/>
  <c r="AC574" i="15" s="1"/>
  <c r="AB257" i="15"/>
  <c r="AC257" i="15" s="1"/>
  <c r="AA20" i="15"/>
  <c r="F18" i="49"/>
  <c r="AB167" i="15"/>
  <c r="AC167" i="15" s="1"/>
  <c r="AB436" i="15"/>
  <c r="AC436" i="15" s="1"/>
  <c r="AB531" i="15"/>
  <c r="AC531" i="15" s="1"/>
  <c r="E18" i="49"/>
  <c r="AB35" i="15"/>
  <c r="AC35" i="15" s="1"/>
  <c r="AA230" i="15"/>
  <c r="AA55" i="15"/>
  <c r="Z4" i="5"/>
  <c r="AA82" i="15"/>
  <c r="AB405" i="15"/>
  <c r="AC405" i="15" s="1"/>
  <c r="AA186" i="15"/>
  <c r="AA28" i="15"/>
  <c r="AA47" i="15"/>
  <c r="AB554" i="15"/>
  <c r="AC554" i="15" s="1"/>
  <c r="AA57" i="15"/>
  <c r="AB562" i="15"/>
  <c r="AC562" i="15" s="1"/>
  <c r="AA240" i="15"/>
  <c r="AD5" i="5"/>
  <c r="Z7" i="5"/>
  <c r="AB115" i="15"/>
  <c r="AC115" i="15" s="1"/>
  <c r="AA179" i="15"/>
  <c r="AB181" i="15"/>
  <c r="AC181" i="15" s="1"/>
  <c r="AB5" i="5"/>
  <c r="AB110" i="15"/>
  <c r="AC110" i="15" s="1"/>
  <c r="AA88" i="15"/>
  <c r="AB448" i="15"/>
  <c r="AC448" i="15" s="1"/>
  <c r="AC7" i="5"/>
  <c r="AA119" i="15"/>
  <c r="AA125" i="15"/>
  <c r="AB132" i="15"/>
  <c r="AC132" i="15" s="1"/>
  <c r="AB386" i="15"/>
  <c r="AC386" i="15" s="1"/>
  <c r="AA215" i="15"/>
  <c r="AA169" i="15"/>
  <c r="AA80" i="15"/>
  <c r="AA75" i="15"/>
  <c r="AA174" i="15"/>
  <c r="AA247" i="15"/>
  <c r="AA312" i="15"/>
  <c r="AB596" i="15"/>
  <c r="AC596" i="15" s="1"/>
  <c r="AA402" i="15"/>
  <c r="AB449" i="15"/>
  <c r="AC449" i="15" s="1"/>
  <c r="AB573" i="15"/>
  <c r="AC573" i="15" s="1"/>
  <c r="AB444" i="15"/>
  <c r="AC444" i="15" s="1"/>
  <c r="AB451" i="15"/>
  <c r="AC451" i="15" s="1"/>
  <c r="AB228" i="15"/>
  <c r="AC228" i="15" s="1"/>
  <c r="AB334" i="15"/>
  <c r="AC334" i="15" s="1"/>
  <c r="AB59" i="15"/>
  <c r="AC59" i="15" s="1"/>
  <c r="AB364" i="15"/>
  <c r="AC364" i="15" s="1"/>
  <c r="AB570" i="15"/>
  <c r="AC570" i="15" s="1"/>
  <c r="AB339" i="15"/>
  <c r="AC339" i="15" s="1"/>
  <c r="AB124" i="15"/>
  <c r="AC124" i="15" s="1"/>
  <c r="AB259" i="15"/>
  <c r="AC259" i="15" s="1"/>
  <c r="AB64" i="15"/>
  <c r="AC64" i="15" s="1"/>
  <c r="AA195" i="15"/>
  <c r="AB213" i="15"/>
  <c r="AC213" i="15" s="1"/>
  <c r="AA199" i="15"/>
  <c r="AB283" i="15"/>
  <c r="AC283" i="15" s="1"/>
  <c r="AB332" i="15"/>
  <c r="AC332" i="15" s="1"/>
  <c r="AA241" i="15"/>
  <c r="AB376" i="15"/>
  <c r="AC376" i="15" s="1"/>
  <c r="AB158" i="15"/>
  <c r="AC158" i="15" s="1"/>
  <c r="AA348" i="15"/>
  <c r="AB186" i="15"/>
  <c r="AC186" i="15" s="1"/>
  <c r="AB183" i="15"/>
  <c r="AC183" i="15" s="1"/>
  <c r="AB647" i="15"/>
  <c r="AC647" i="15" s="1"/>
  <c r="AB263" i="15"/>
  <c r="AC263" i="15" s="1"/>
  <c r="AB230" i="15"/>
  <c r="AC230" i="15" s="1"/>
  <c r="AB152" i="15"/>
  <c r="AC152" i="15" s="1"/>
  <c r="AB483" i="15"/>
  <c r="AC483" i="15" s="1"/>
  <c r="AB109" i="15"/>
  <c r="AC109" i="15" s="1"/>
  <c r="AB490" i="15"/>
  <c r="AC490" i="15" s="1"/>
  <c r="AA46" i="15"/>
  <c r="AB353" i="15"/>
  <c r="AC353" i="15" s="1"/>
  <c r="AB350" i="15"/>
  <c r="AC350" i="15" s="1"/>
  <c r="AA127" i="15"/>
  <c r="AA517" i="15"/>
  <c r="AB43" i="15"/>
  <c r="AC43" i="15" s="1"/>
  <c r="AB29" i="15"/>
  <c r="AC29" i="15" s="1"/>
  <c r="AB126" i="15"/>
  <c r="AC126" i="15" s="1"/>
  <c r="AB99" i="15"/>
  <c r="AC99" i="15" s="1"/>
  <c r="AB21" i="15"/>
  <c r="AC21" i="15" s="1"/>
  <c r="AB516" i="15"/>
  <c r="AC516" i="15" s="1"/>
  <c r="AB276" i="15"/>
  <c r="AC276" i="15" s="1"/>
  <c r="AB216" i="15"/>
  <c r="AC216" i="15" s="1"/>
  <c r="AA201" i="15"/>
  <c r="AB252" i="15"/>
  <c r="AC252" i="15" s="1"/>
  <c r="AB248" i="15"/>
  <c r="AC248" i="15" s="1"/>
  <c r="AB171" i="15"/>
  <c r="AC171" i="15" s="1"/>
  <c r="AB272" i="15"/>
  <c r="AC272" i="15" s="1"/>
  <c r="AB314" i="15"/>
  <c r="AC314" i="15" s="1"/>
  <c r="AB545" i="15"/>
  <c r="AC545" i="15" s="1"/>
  <c r="AB615" i="15"/>
  <c r="AC615" i="15" s="1"/>
  <c r="AB385" i="15"/>
  <c r="AC385" i="15" s="1"/>
  <c r="AB111" i="15"/>
  <c r="AC111" i="15" s="1"/>
  <c r="AA184" i="15"/>
  <c r="AA7" i="15"/>
  <c r="AA275" i="15"/>
  <c r="AB491" i="15"/>
  <c r="AC491" i="15" s="1"/>
  <c r="AA295" i="15"/>
  <c r="AA598" i="15"/>
  <c r="AB417" i="15"/>
  <c r="AC417" i="15" s="1"/>
  <c r="AB600" i="15"/>
  <c r="AC600" i="15" s="1"/>
  <c r="AB597" i="15"/>
  <c r="AC597" i="15" s="1"/>
  <c r="AB447" i="15"/>
  <c r="AC447" i="15" s="1"/>
  <c r="AB102" i="15"/>
  <c r="AC102" i="15" s="1"/>
  <c r="AB571" i="15"/>
  <c r="AC571" i="15" s="1"/>
  <c r="AB659" i="15"/>
  <c r="AC659" i="15" s="1"/>
  <c r="AB93" i="15"/>
  <c r="AC93" i="15" s="1"/>
  <c r="AA284" i="15"/>
  <c r="AA338" i="15"/>
  <c r="AA360" i="15"/>
  <c r="AA415" i="15"/>
  <c r="AA428" i="15"/>
  <c r="AA447" i="15"/>
  <c r="AA465" i="15"/>
  <c r="AA471" i="15"/>
  <c r="AA478" i="15"/>
  <c r="AA507" i="15"/>
  <c r="AA566" i="15"/>
  <c r="AA153" i="15"/>
  <c r="AB517" i="15"/>
  <c r="AC517" i="15" s="1"/>
  <c r="AB83" i="15"/>
  <c r="AC83" i="15" s="1"/>
  <c r="AB387" i="15"/>
  <c r="AC387" i="15" s="1"/>
  <c r="AB653" i="15"/>
  <c r="AC653" i="15" s="1"/>
  <c r="AA182" i="15"/>
  <c r="AB264" i="15"/>
  <c r="AC264" i="15" s="1"/>
  <c r="AB423" i="15"/>
  <c r="AC423" i="15" s="1"/>
  <c r="AB101" i="15"/>
  <c r="AC101" i="15" s="1"/>
  <c r="AB430" i="15"/>
  <c r="AC430" i="15" s="1"/>
  <c r="AB244" i="15"/>
  <c r="AC244" i="15" s="1"/>
  <c r="AB143" i="15"/>
  <c r="AC143" i="15" s="1"/>
  <c r="AB142" i="15"/>
  <c r="AC142" i="15" s="1"/>
  <c r="AB45" i="15"/>
  <c r="AC45" i="15" s="1"/>
  <c r="AB166" i="15"/>
  <c r="AC166" i="15" s="1"/>
  <c r="AB246" i="15"/>
  <c r="AC246" i="15" s="1"/>
  <c r="AB145" i="15"/>
  <c r="AC145" i="15" s="1"/>
  <c r="AB541" i="15"/>
  <c r="AC541" i="15" s="1"/>
  <c r="AB631" i="15"/>
  <c r="AC631" i="15" s="1"/>
  <c r="AB429" i="15"/>
  <c r="AC429" i="15" s="1"/>
  <c r="AB586" i="15"/>
  <c r="AC586" i="15" s="1"/>
  <c r="AB566" i="15"/>
  <c r="AC566" i="15" s="1"/>
  <c r="AB49" i="15"/>
  <c r="AC49" i="15" s="1"/>
  <c r="AB481" i="15"/>
  <c r="AC481" i="15" s="1"/>
  <c r="AB581" i="15"/>
  <c r="AC581" i="15" s="1"/>
  <c r="AB33" i="15"/>
  <c r="AC33" i="15" s="1"/>
  <c r="AB42" i="15"/>
  <c r="AC42" i="15" s="1"/>
  <c r="AB300" i="15"/>
  <c r="AC300" i="15" s="1"/>
  <c r="AB178" i="15"/>
  <c r="AC178" i="15" s="1"/>
  <c r="AB197" i="15"/>
  <c r="AC197" i="15" s="1"/>
  <c r="AB295" i="15"/>
  <c r="AC295" i="15" s="1"/>
  <c r="AB256" i="15"/>
  <c r="AC256" i="15" s="1"/>
  <c r="AB472" i="15"/>
  <c r="AC472" i="15" s="1"/>
  <c r="AB268" i="15"/>
  <c r="AC268" i="15" s="1"/>
  <c r="AB457" i="15"/>
  <c r="AC457" i="15" s="1"/>
  <c r="AB396" i="15"/>
  <c r="AC396" i="15" s="1"/>
  <c r="AB311" i="15"/>
  <c r="AC311" i="15" s="1"/>
  <c r="AA172" i="15"/>
  <c r="AA382" i="15"/>
  <c r="Y4" i="5"/>
  <c r="AB542" i="15"/>
  <c r="AC542" i="15" s="1"/>
  <c r="AB56" i="15"/>
  <c r="AC56" i="15" s="1"/>
  <c r="AB343" i="15"/>
  <c r="AC343" i="15" s="1"/>
  <c r="AB409" i="15"/>
  <c r="AC409" i="15" s="1"/>
  <c r="AB289" i="15"/>
  <c r="AC289" i="15" s="1"/>
  <c r="AB437" i="15"/>
  <c r="AC437" i="15" s="1"/>
  <c r="AB41" i="15"/>
  <c r="AC41" i="15" s="1"/>
  <c r="AB626" i="15"/>
  <c r="AC626" i="15" s="1"/>
  <c r="AB485" i="15"/>
  <c r="AC485" i="15" s="1"/>
  <c r="AB346" i="15"/>
  <c r="AC346" i="15" s="1"/>
  <c r="AB377" i="15"/>
  <c r="AC377" i="15" s="1"/>
  <c r="AB469" i="15"/>
  <c r="AC469" i="15" s="1"/>
  <c r="AB327" i="15"/>
  <c r="AC327" i="15" s="1"/>
  <c r="AB60" i="15"/>
  <c r="AC60" i="15" s="1"/>
  <c r="AB378" i="15"/>
  <c r="AC378" i="15" s="1"/>
  <c r="AB278" i="15"/>
  <c r="AC278" i="15" s="1"/>
  <c r="AB23" i="15"/>
  <c r="AC23" i="15" s="1"/>
  <c r="AB222" i="15"/>
  <c r="AC222" i="15" s="1"/>
  <c r="AB258" i="15"/>
  <c r="AC258" i="15" s="1"/>
  <c r="AB114" i="15"/>
  <c r="AC114" i="15" s="1"/>
  <c r="AB113" i="15"/>
  <c r="AC113" i="15" s="1"/>
  <c r="AB203" i="15"/>
  <c r="AC203" i="15" s="1"/>
  <c r="AB221" i="15"/>
  <c r="AC221" i="15" s="1"/>
  <c r="AB400" i="15"/>
  <c r="AC400" i="15" s="1"/>
  <c r="AB299" i="15"/>
  <c r="AC299" i="15" s="1"/>
  <c r="AB591" i="15"/>
  <c r="AC591" i="15" s="1"/>
  <c r="AB371" i="15"/>
  <c r="AC371" i="15" s="1"/>
  <c r="AB492" i="15"/>
  <c r="AC492" i="15" s="1"/>
  <c r="AB584" i="15"/>
  <c r="AC584" i="15" s="1"/>
  <c r="AB418" i="15"/>
  <c r="AC418" i="15" s="1"/>
  <c r="AB150" i="15"/>
  <c r="AC150" i="15" s="1"/>
  <c r="AB546" i="15"/>
  <c r="AC546" i="15" s="1"/>
  <c r="AB532" i="15"/>
  <c r="AC532" i="15" s="1"/>
  <c r="AB155" i="15"/>
  <c r="AC155" i="15" s="1"/>
  <c r="AB227" i="15"/>
  <c r="AC227" i="15" s="1"/>
  <c r="AB217" i="15"/>
  <c r="AC217" i="15" s="1"/>
  <c r="AB567" i="15"/>
  <c r="AC567" i="15" s="1"/>
  <c r="AB523" i="15"/>
  <c r="AC523" i="15" s="1"/>
  <c r="AB172" i="15"/>
  <c r="AC172" i="15" s="1"/>
  <c r="AB368" i="15"/>
  <c r="AC368" i="15" s="1"/>
  <c r="AB173" i="15"/>
  <c r="AC173" i="15" s="1"/>
  <c r="AB285" i="15"/>
  <c r="AC285" i="15" s="1"/>
  <c r="AA481" i="15"/>
  <c r="AA514" i="15"/>
  <c r="AB184" i="15"/>
  <c r="AC184" i="15" s="1"/>
  <c r="AB655" i="15"/>
  <c r="AC655" i="15" s="1"/>
  <c r="AB455" i="15"/>
  <c r="AC455" i="15" s="1"/>
  <c r="AB296" i="15"/>
  <c r="AC296" i="15" s="1"/>
  <c r="AB513" i="15"/>
  <c r="AC513" i="15" s="1"/>
  <c r="AB467" i="15"/>
  <c r="AC467" i="15" s="1"/>
  <c r="AB305" i="15"/>
  <c r="AC305" i="15" s="1"/>
  <c r="AB565" i="15"/>
  <c r="AC565" i="15" s="1"/>
  <c r="AB316" i="15"/>
  <c r="AC316" i="15" s="1"/>
  <c r="AB85" i="15"/>
  <c r="AC85" i="15" s="1"/>
  <c r="AB641" i="15"/>
  <c r="AC641" i="15" s="1"/>
  <c r="AB462" i="15"/>
  <c r="AC462" i="15" s="1"/>
  <c r="AB427" i="15"/>
  <c r="AC427" i="15" s="1"/>
  <c r="AB598" i="15"/>
  <c r="AC598" i="15" s="1"/>
  <c r="AB30" i="15"/>
  <c r="AC30" i="15" s="1"/>
  <c r="AB224" i="15"/>
  <c r="AC224" i="15" s="1"/>
  <c r="AB94" i="15"/>
  <c r="AC94" i="15" s="1"/>
  <c r="AB656" i="15"/>
  <c r="AC656" i="15" s="1"/>
  <c r="AB234" i="15"/>
  <c r="AC234" i="15" s="1"/>
  <c r="AB61" i="15"/>
  <c r="AC61" i="15" s="1"/>
  <c r="AB271" i="15"/>
  <c r="AC271" i="15" s="1"/>
  <c r="AB374" i="15"/>
  <c r="AC374" i="15" s="1"/>
  <c r="AB506" i="15"/>
  <c r="AC506" i="15" s="1"/>
  <c r="AB645" i="15"/>
  <c r="AC645" i="15" s="1"/>
  <c r="AB70" i="15"/>
  <c r="AC70" i="15" s="1"/>
  <c r="AB388" i="15"/>
  <c r="AC388" i="15" s="1"/>
  <c r="AB307" i="15"/>
  <c r="AC307" i="15" s="1"/>
  <c r="AB255" i="15"/>
  <c r="AC255" i="15" s="1"/>
  <c r="AB465" i="15"/>
  <c r="AC465" i="15" s="1"/>
  <c r="AB57" i="15"/>
  <c r="AC57" i="15" s="1"/>
  <c r="AB37" i="15"/>
  <c r="AC37" i="15" s="1"/>
  <c r="AB622" i="15"/>
  <c r="AC622" i="15" s="1"/>
  <c r="AB179" i="15"/>
  <c r="AC179" i="15" s="1"/>
  <c r="AB424" i="15"/>
  <c r="AC424" i="15" s="1"/>
  <c r="AB51" i="15"/>
  <c r="AC51" i="15" s="1"/>
  <c r="AB589" i="15"/>
  <c r="AC589" i="15" s="1"/>
  <c r="AB363" i="15"/>
  <c r="AC363" i="15" s="1"/>
  <c r="AB212" i="15"/>
  <c r="AC212" i="15" s="1"/>
  <c r="AB528" i="15"/>
  <c r="AC528" i="15" s="1"/>
  <c r="AB507" i="15"/>
  <c r="AC507" i="15" s="1"/>
  <c r="AB533" i="15"/>
  <c r="AC533" i="15" s="1"/>
  <c r="AB54" i="15"/>
  <c r="AC54" i="15" s="1"/>
  <c r="AB624" i="15"/>
  <c r="AC624" i="15" s="1"/>
  <c r="AB32" i="15"/>
  <c r="AC32" i="15" s="1"/>
  <c r="AB103" i="15"/>
  <c r="AC103" i="15" s="1"/>
  <c r="AB140" i="15"/>
  <c r="AC140" i="15" s="1"/>
  <c r="AB345" i="15"/>
  <c r="AC345" i="15" s="1"/>
  <c r="AB274" i="15"/>
  <c r="AC274" i="15" s="1"/>
  <c r="AB321" i="15"/>
  <c r="AC321" i="15" s="1"/>
  <c r="AB560" i="15"/>
  <c r="AC560" i="15" s="1"/>
  <c r="AB204" i="15"/>
  <c r="AC204" i="15" s="1"/>
  <c r="AB461" i="15"/>
  <c r="AC461" i="15" s="1"/>
  <c r="AB536" i="15"/>
  <c r="AC536" i="15" s="1"/>
  <c r="AB406" i="15"/>
  <c r="AC406" i="15" s="1"/>
  <c r="AB587" i="15"/>
  <c r="AC587" i="15" s="1"/>
  <c r="AB443" i="15"/>
  <c r="AC443" i="15" s="1"/>
  <c r="AB149" i="15"/>
  <c r="AC149" i="15" s="1"/>
  <c r="AB640" i="15"/>
  <c r="AC640" i="15" s="1"/>
  <c r="AB215" i="15"/>
  <c r="AC215" i="15" s="1"/>
  <c r="AB18" i="15"/>
  <c r="AC18" i="15" s="1"/>
  <c r="AB177" i="15"/>
  <c r="AC177" i="15" s="1"/>
  <c r="AB322" i="15"/>
  <c r="AC322" i="15" s="1"/>
  <c r="AB642" i="15"/>
  <c r="AC642" i="15" s="1"/>
  <c r="AB90" i="15"/>
  <c r="AC90" i="15" s="1"/>
  <c r="AB661" i="15"/>
  <c r="AC661" i="15" s="1"/>
  <c r="AA251" i="15"/>
  <c r="AB275" i="15"/>
  <c r="AC275" i="15" s="1"/>
  <c r="AB251" i="15"/>
  <c r="AC251" i="15" s="1"/>
  <c r="AB161" i="15"/>
  <c r="AC161" i="15" s="1"/>
  <c r="AB348" i="15"/>
  <c r="AC348" i="15" s="1"/>
  <c r="AB638" i="15"/>
  <c r="AC638" i="15" s="1"/>
  <c r="AB163" i="15"/>
  <c r="AC163" i="15" s="1"/>
  <c r="AB10" i="15"/>
  <c r="AC10" i="15" s="1"/>
  <c r="AB391" i="15"/>
  <c r="AC391" i="15" s="1"/>
  <c r="AB16" i="15"/>
  <c r="AC16" i="15" s="1"/>
  <c r="AB63" i="15"/>
  <c r="AC63" i="15" s="1"/>
  <c r="AB148" i="15"/>
  <c r="AC148" i="15" s="1"/>
  <c r="AB370" i="15"/>
  <c r="AC370" i="15" s="1"/>
  <c r="AB614" i="15"/>
  <c r="AC614" i="15" s="1"/>
  <c r="AB521" i="15"/>
  <c r="AC521" i="15" s="1"/>
  <c r="AB303" i="15"/>
  <c r="AC303" i="15" s="1"/>
  <c r="AB421" i="15"/>
  <c r="AC421" i="15" s="1"/>
  <c r="AB561" i="15"/>
  <c r="AC561" i="15" s="1"/>
  <c r="AB569" i="15"/>
  <c r="AC569" i="15" s="1"/>
  <c r="AB253" i="15"/>
  <c r="AC253" i="15" s="1"/>
  <c r="AB649" i="15"/>
  <c r="AC649" i="15" s="1"/>
  <c r="AB538" i="15"/>
  <c r="AC538" i="15" s="1"/>
  <c r="AB426" i="15"/>
  <c r="AC426" i="15" s="1"/>
  <c r="AB147" i="15"/>
  <c r="AC147" i="15" s="1"/>
  <c r="AB612" i="15"/>
  <c r="AC612" i="15" s="1"/>
  <c r="AB77" i="15"/>
  <c r="AC77" i="15" s="1"/>
  <c r="AB232" i="15"/>
  <c r="AC232" i="15" s="1"/>
  <c r="AB194" i="15"/>
  <c r="AC194" i="15" s="1"/>
  <c r="AB501" i="15"/>
  <c r="AC501" i="15" s="1"/>
  <c r="AB635" i="15"/>
  <c r="AC635" i="15" s="1"/>
  <c r="AB401" i="15"/>
  <c r="AC401" i="15" s="1"/>
  <c r="AB19" i="15"/>
  <c r="AC19" i="15" s="1"/>
  <c r="AB154" i="15"/>
  <c r="AC154" i="15" s="1"/>
  <c r="AB431" i="15"/>
  <c r="AC431" i="15" s="1"/>
  <c r="AB265" i="15"/>
  <c r="AC265" i="15" s="1"/>
  <c r="AB604" i="15"/>
  <c r="AC604" i="15" s="1"/>
  <c r="AB478" i="15"/>
  <c r="AC478" i="15" s="1"/>
  <c r="AB4" i="15"/>
  <c r="AC4" i="15" s="1"/>
  <c r="AB549" i="15"/>
  <c r="AC549" i="15" s="1"/>
  <c r="AB331" i="15"/>
  <c r="AC331" i="15" s="1"/>
  <c r="AB326" i="15"/>
  <c r="AC326" i="15" s="1"/>
  <c r="AB489" i="15"/>
  <c r="AC489" i="15" s="1"/>
  <c r="AB292" i="15"/>
  <c r="AC292" i="15" s="1"/>
  <c r="AB288" i="15"/>
  <c r="AC288" i="15" s="1"/>
  <c r="AB636" i="15"/>
  <c r="AC636" i="15" s="1"/>
  <c r="AB80" i="15"/>
  <c r="AC80" i="15" s="1"/>
  <c r="AB454" i="15"/>
  <c r="AC454" i="15" s="1"/>
  <c r="AB315" i="15"/>
  <c r="AC315" i="15" s="1"/>
  <c r="AB341" i="15"/>
  <c r="AC341" i="15" s="1"/>
  <c r="AB65" i="15"/>
  <c r="AC65" i="15" s="1"/>
  <c r="AB613" i="15"/>
  <c r="AC613" i="15" s="1"/>
  <c r="AB20" i="15"/>
  <c r="AC20" i="15" s="1"/>
  <c r="AB534" i="15"/>
  <c r="AC534" i="15" s="1"/>
  <c r="AB120" i="15"/>
  <c r="AC120" i="15" s="1"/>
  <c r="AB133" i="15"/>
  <c r="AC133" i="15" s="1"/>
  <c r="AB144" i="15"/>
  <c r="AC144" i="15" s="1"/>
  <c r="AB46" i="15"/>
  <c r="AC46" i="15" s="1"/>
  <c r="AB603" i="15"/>
  <c r="AC603" i="15" s="1"/>
  <c r="AB335" i="15"/>
  <c r="AC335" i="15" s="1"/>
  <c r="AB128" i="15"/>
  <c r="AC128" i="15" s="1"/>
  <c r="AB340" i="15"/>
  <c r="AC340" i="15" s="1"/>
  <c r="AB460" i="15"/>
  <c r="AC460" i="15" s="1"/>
  <c r="AB13" i="15"/>
  <c r="AC13" i="15" s="1"/>
  <c r="AB630" i="15"/>
  <c r="AC630" i="15" s="1"/>
  <c r="AB15" i="15"/>
  <c r="AC15" i="15" s="1"/>
  <c r="AB294" i="15"/>
  <c r="AC294" i="15" s="1"/>
  <c r="AB180" i="15"/>
  <c r="AC180" i="15" s="1"/>
  <c r="AB198" i="15"/>
  <c r="AC198" i="15" s="1"/>
  <c r="AB582" i="15"/>
  <c r="AC582" i="15" s="1"/>
  <c r="AB208" i="15"/>
  <c r="AC208" i="15" s="1"/>
  <c r="AB40" i="15"/>
  <c r="AC40" i="15" s="1"/>
  <c r="AB245" i="15"/>
  <c r="AC245" i="15" s="1"/>
  <c r="AB355" i="15"/>
  <c r="AC355" i="15" s="1"/>
  <c r="AB623" i="15"/>
  <c r="AC623" i="15" s="1"/>
  <c r="AB78" i="15"/>
  <c r="AC78" i="15" s="1"/>
  <c r="AB366" i="15"/>
  <c r="AC366" i="15" s="1"/>
  <c r="AB210" i="15"/>
  <c r="AC210" i="15" s="1"/>
  <c r="AB544" i="15"/>
  <c r="AC544" i="15" s="1"/>
  <c r="AB312" i="15"/>
  <c r="AC312" i="15" s="1"/>
  <c r="AB218" i="15"/>
  <c r="AC218" i="15" s="1"/>
  <c r="AB413" i="15"/>
  <c r="AC413" i="15" s="1"/>
  <c r="AB349" i="15"/>
  <c r="AC349" i="15" s="1"/>
  <c r="AB407" i="15"/>
  <c r="AC407" i="15" s="1"/>
  <c r="AB7" i="15"/>
  <c r="AC7" i="15" s="1"/>
  <c r="AB393" i="15"/>
  <c r="AC393" i="15" s="1"/>
  <c r="AB290" i="15"/>
  <c r="AC290" i="15" s="1"/>
  <c r="AB47" i="15"/>
  <c r="AC47" i="15" s="1"/>
  <c r="AB238" i="15"/>
  <c r="AC238" i="15" s="1"/>
  <c r="AB52" i="15"/>
  <c r="AC52" i="15" s="1"/>
  <c r="AB262" i="15"/>
  <c r="AC262" i="15" s="1"/>
  <c r="AB193" i="15"/>
  <c r="AC193" i="15" s="1"/>
  <c r="AB530" i="15"/>
  <c r="AC530" i="15" s="1"/>
  <c r="AB249" i="15"/>
  <c r="AC249" i="15" s="1"/>
  <c r="AB39" i="15"/>
  <c r="AC39" i="15" s="1"/>
  <c r="AB68" i="15"/>
  <c r="AC68" i="15" s="1"/>
  <c r="AB535" i="15"/>
  <c r="AC535" i="15" s="1"/>
  <c r="AB24" i="15"/>
  <c r="AC24" i="15" s="1"/>
  <c r="AA98" i="15"/>
  <c r="AA158" i="15"/>
  <c r="AA163" i="15"/>
  <c r="AA59" i="15"/>
  <c r="AA483" i="15"/>
  <c r="AA500" i="15"/>
  <c r="AA318" i="15"/>
  <c r="AB399" i="15"/>
  <c r="AC399" i="15" s="1"/>
  <c r="AB188" i="15"/>
  <c r="AC188" i="15" s="1"/>
  <c r="AB273" i="15"/>
  <c r="AC273" i="15" s="1"/>
  <c r="AB139" i="15"/>
  <c r="AC139" i="15" s="1"/>
  <c r="AB389" i="15"/>
  <c r="AC389" i="15" s="1"/>
  <c r="AB131" i="15"/>
  <c r="AC131" i="15" s="1"/>
  <c r="AB28" i="15"/>
  <c r="AC28" i="15" s="1"/>
  <c r="AB136" i="15"/>
  <c r="AC136" i="15" s="1"/>
  <c r="AB602" i="15"/>
  <c r="AC602" i="15" s="1"/>
  <c r="AB495" i="15"/>
  <c r="AC495" i="15" s="1"/>
  <c r="AB380" i="15"/>
  <c r="AC380" i="15" s="1"/>
  <c r="AB543" i="15"/>
  <c r="AC543" i="15" s="1"/>
  <c r="AB205" i="15"/>
  <c r="AC205" i="15" s="1"/>
  <c r="AB464" i="15"/>
  <c r="AC464" i="15" s="1"/>
  <c r="AB438" i="15"/>
  <c r="AC438" i="15" s="1"/>
  <c r="AB594" i="15"/>
  <c r="AC594" i="15" s="1"/>
  <c r="AB107" i="15"/>
  <c r="AC107" i="15" s="1"/>
  <c r="AB200" i="15"/>
  <c r="AC200" i="15" s="1"/>
  <c r="AB239" i="15"/>
  <c r="AC239" i="15" s="1"/>
  <c r="AB320" i="15"/>
  <c r="AC320" i="15" s="1"/>
  <c r="AB199" i="15"/>
  <c r="AC199" i="15" s="1"/>
  <c r="AB504" i="15"/>
  <c r="AC504" i="15" s="1"/>
  <c r="AB293" i="15"/>
  <c r="AC293" i="15" s="1"/>
  <c r="AB466" i="15"/>
  <c r="AC466" i="15" s="1"/>
  <c r="AB419" i="15"/>
  <c r="AC419" i="15" s="1"/>
  <c r="AA210" i="15"/>
  <c r="AA220" i="15"/>
  <c r="AA99" i="15"/>
  <c r="AB242" i="15"/>
  <c r="AC242" i="15" s="1"/>
  <c r="AB435" i="15"/>
  <c r="AC435" i="15" s="1"/>
  <c r="AB550" i="15"/>
  <c r="AC550" i="15" s="1"/>
  <c r="AB159" i="15"/>
  <c r="AC159" i="15" s="1"/>
  <c r="AB498" i="15"/>
  <c r="AC498" i="15" s="1"/>
  <c r="AB237" i="15"/>
  <c r="AC237" i="15" s="1"/>
  <c r="AB201" i="15"/>
  <c r="AC201" i="15" s="1"/>
  <c r="AB644" i="15"/>
  <c r="AC644" i="15" s="1"/>
  <c r="AB75" i="15"/>
  <c r="AC75" i="15" s="1"/>
  <c r="AB129" i="15"/>
  <c r="AC129" i="15" s="1"/>
  <c r="AB634" i="15"/>
  <c r="AC634" i="15" s="1"/>
  <c r="AB22" i="15"/>
  <c r="AC22" i="15" s="1"/>
  <c r="AB153" i="15"/>
  <c r="AC153" i="15" s="1"/>
  <c r="AB53" i="15"/>
  <c r="AC53" i="15" s="1"/>
  <c r="AB243" i="15"/>
  <c r="AC243" i="15" s="1"/>
  <c r="AB446" i="15"/>
  <c r="AC446" i="15" s="1"/>
  <c r="AB72" i="15"/>
  <c r="AC72" i="15" s="1"/>
  <c r="AB477" i="15"/>
  <c r="AC477" i="15" s="1"/>
  <c r="AB379" i="15"/>
  <c r="AC379" i="15" s="1"/>
  <c r="AB511" i="15"/>
  <c r="AC511" i="15" s="1"/>
  <c r="AB187" i="15"/>
  <c r="AC187" i="15" s="1"/>
  <c r="AB247" i="15"/>
  <c r="AC247" i="15" s="1"/>
  <c r="AB559" i="15"/>
  <c r="AC559" i="15" s="1"/>
  <c r="AB125" i="15"/>
  <c r="AC125" i="15" s="1"/>
  <c r="AA108" i="15"/>
  <c r="AA398" i="15"/>
  <c r="AB8" i="15"/>
  <c r="AC8" i="15" s="1"/>
  <c r="AB12" i="15"/>
  <c r="AC12" i="15" s="1"/>
  <c r="AB50" i="15"/>
  <c r="AC50" i="15" s="1"/>
  <c r="AB441" i="15"/>
  <c r="AC441" i="15" s="1"/>
  <c r="AB628" i="15"/>
  <c r="AC628" i="15" s="1"/>
  <c r="AB220" i="15"/>
  <c r="AC220" i="15" s="1"/>
  <c r="AB104" i="15"/>
  <c r="AC104" i="15" s="1"/>
  <c r="AB397" i="15"/>
  <c r="AC397" i="15" s="1"/>
  <c r="AB362" i="15"/>
  <c r="AC362" i="15" s="1"/>
  <c r="AB637" i="15"/>
  <c r="AC637" i="15" s="1"/>
  <c r="AB318" i="15"/>
  <c r="AC318" i="15" s="1"/>
  <c r="AB130" i="15"/>
  <c r="AC130" i="15" s="1"/>
  <c r="AB261" i="15"/>
  <c r="AC261" i="15" s="1"/>
  <c r="AB82" i="15"/>
  <c r="AC82" i="15" s="1"/>
  <c r="AB632" i="15"/>
  <c r="AC632" i="15" s="1"/>
  <c r="AB557" i="15"/>
  <c r="AC557" i="15" s="1"/>
  <c r="AB509" i="15"/>
  <c r="AC509" i="15" s="1"/>
  <c r="AB381" i="15"/>
  <c r="AC381" i="15" s="1"/>
  <c r="AB164" i="15"/>
  <c r="AC164" i="15" s="1"/>
  <c r="AB514" i="15"/>
  <c r="AC514" i="15" s="1"/>
  <c r="AB160" i="15"/>
  <c r="AC160" i="15" s="1"/>
  <c r="AB31" i="15"/>
  <c r="AC31" i="15" s="1"/>
  <c r="AB151" i="15"/>
  <c r="AC151" i="15" s="1"/>
  <c r="AB233" i="15"/>
  <c r="AC233" i="15" s="1"/>
  <c r="AB323" i="15"/>
  <c r="AC323" i="15" s="1"/>
  <c r="AB367" i="15"/>
  <c r="AC367" i="15" s="1"/>
  <c r="AB284" i="15"/>
  <c r="AC284" i="15" s="1"/>
  <c r="AB360" i="15"/>
  <c r="AC360" i="15" s="1"/>
  <c r="AB73" i="15"/>
  <c r="AC73" i="15" s="1"/>
  <c r="AA236" i="15"/>
  <c r="AA336" i="15"/>
  <c r="AB599" i="15"/>
  <c r="AC599" i="15" s="1"/>
  <c r="AB241" i="15"/>
  <c r="AC241" i="15" s="1"/>
  <c r="AB328" i="15"/>
  <c r="AC328" i="15" s="1"/>
  <c r="AB196" i="15"/>
  <c r="AC196" i="15" s="1"/>
  <c r="AB207" i="15"/>
  <c r="AC207" i="15" s="1"/>
  <c r="AB414" i="15"/>
  <c r="AC414" i="15" s="1"/>
  <c r="AB525" i="15"/>
  <c r="AC525" i="15" s="1"/>
  <c r="AB195" i="15"/>
  <c r="AC195" i="15" s="1"/>
  <c r="AB629" i="15"/>
  <c r="AC629" i="15" s="1"/>
  <c r="AB590" i="15"/>
  <c r="AC590" i="15" s="1"/>
  <c r="AB185" i="15"/>
  <c r="AC185" i="15" s="1"/>
  <c r="AB658" i="15"/>
  <c r="AC658" i="15" s="1"/>
  <c r="AB121" i="15"/>
  <c r="AC121" i="15" s="1"/>
  <c r="AB342" i="15"/>
  <c r="AC342" i="15" s="1"/>
  <c r="AB358" i="15"/>
  <c r="AC358" i="15" s="1"/>
  <c r="AB648" i="15"/>
  <c r="AC648" i="15" s="1"/>
  <c r="AB395" i="15"/>
  <c r="AC395" i="15" s="1"/>
  <c r="AB81" i="15"/>
  <c r="AC81" i="15" s="1"/>
  <c r="AB585" i="15"/>
  <c r="AC585" i="15" s="1"/>
  <c r="AB442" i="15"/>
  <c r="AC442" i="15" s="1"/>
  <c r="AB428" i="15"/>
  <c r="AC428" i="15" s="1"/>
  <c r="AA96" i="15"/>
  <c r="AB108" i="15"/>
  <c r="AC108" i="15" s="1"/>
  <c r="AB317" i="15"/>
  <c r="AC317" i="15" s="1"/>
  <c r="AB338" i="15"/>
  <c r="AC338" i="15" s="1"/>
  <c r="AB583" i="15"/>
  <c r="AC583" i="15" s="1"/>
  <c r="AB459" i="15"/>
  <c r="AC459" i="15" s="1"/>
  <c r="AB372" i="15"/>
  <c r="AC372" i="15" s="1"/>
  <c r="AB494" i="15"/>
  <c r="AC494" i="15" s="1"/>
  <c r="AB55" i="15"/>
  <c r="AC55" i="15" s="1"/>
  <c r="AB394" i="15"/>
  <c r="AC394" i="15" s="1"/>
  <c r="AB356" i="15"/>
  <c r="AC356" i="15" s="1"/>
  <c r="AB86" i="15"/>
  <c r="AC86" i="15" s="1"/>
  <c r="AB116" i="15"/>
  <c r="AC116" i="15" s="1"/>
  <c r="AB182" i="15"/>
  <c r="AC182" i="15" s="1"/>
  <c r="AB36" i="15"/>
  <c r="AC36" i="15" s="1"/>
  <c r="AB308" i="15"/>
  <c r="AC308" i="15" s="1"/>
  <c r="AB38" i="15"/>
  <c r="AC38" i="15" s="1"/>
  <c r="AB66" i="15"/>
  <c r="AC66" i="15" s="1"/>
  <c r="AB651" i="15"/>
  <c r="AC651" i="15" s="1"/>
  <c r="AB588" i="15"/>
  <c r="AC588" i="15" s="1"/>
  <c r="AB347" i="15"/>
  <c r="AC347" i="15" s="1"/>
  <c r="AB175" i="15"/>
  <c r="AC175" i="15" s="1"/>
  <c r="AB165" i="15"/>
  <c r="AC165" i="15" s="1"/>
  <c r="AB474" i="15"/>
  <c r="AC474" i="15" s="1"/>
  <c r="AB91" i="15"/>
  <c r="AC91" i="15" s="1"/>
  <c r="AB302" i="15"/>
  <c r="AC302" i="15" s="1"/>
  <c r="AB92" i="15"/>
  <c r="AC92" i="15" s="1"/>
  <c r="AB67" i="15"/>
  <c r="AC67" i="15" s="1"/>
  <c r="AB235" i="15"/>
  <c r="AC235" i="15" s="1"/>
  <c r="AD7" i="5"/>
  <c r="AB190" i="15"/>
  <c r="AC190" i="15" s="1"/>
  <c r="AB270" i="15"/>
  <c r="AC270" i="15" s="1"/>
  <c r="AB282" i="15"/>
  <c r="AC282" i="15" s="1"/>
  <c r="AB74" i="15"/>
  <c r="AC74" i="15" s="1"/>
  <c r="AB122" i="15"/>
  <c r="AC122" i="15" s="1"/>
  <c r="AB118" i="15"/>
  <c r="AC118" i="15" s="1"/>
  <c r="AB601" i="15"/>
  <c r="AC601" i="15" s="1"/>
  <c r="AB398" i="15"/>
  <c r="AC398" i="15" s="1"/>
  <c r="AB592" i="15"/>
  <c r="AC592" i="15" s="1"/>
  <c r="AB620" i="15"/>
  <c r="AC620" i="15" s="1"/>
  <c r="AB48" i="15"/>
  <c r="AC48" i="15" s="1"/>
  <c r="AB402" i="15"/>
  <c r="AC402" i="15" s="1"/>
  <c r="AB88" i="15"/>
  <c r="AC88" i="15" s="1"/>
  <c r="AB373" i="15"/>
  <c r="AC373" i="15" s="1"/>
  <c r="AB17" i="15"/>
  <c r="AC17" i="15" s="1"/>
  <c r="AB486" i="15"/>
  <c r="AC486" i="15" s="1"/>
  <c r="AB141" i="15"/>
  <c r="AC141" i="15" s="1"/>
  <c r="AB127" i="15"/>
  <c r="AC127" i="15" s="1"/>
  <c r="AB422" i="15"/>
  <c r="AC422" i="15" s="1"/>
  <c r="AB240" i="15"/>
  <c r="AC240" i="15" s="1"/>
  <c r="AB89" i="15"/>
  <c r="AC89" i="15" s="1"/>
  <c r="AB484" i="15"/>
  <c r="AC484" i="15" s="1"/>
  <c r="AB493" i="15"/>
  <c r="AC493" i="15" s="1"/>
  <c r="AB301" i="15"/>
  <c r="AC301" i="15" s="1"/>
  <c r="AB231" i="15"/>
  <c r="AC231" i="15" s="1"/>
  <c r="AB357" i="15"/>
  <c r="AC357" i="15" s="1"/>
  <c r="AB425" i="15"/>
  <c r="AC425" i="15" s="1"/>
  <c r="AB471" i="15"/>
  <c r="AC471" i="15" s="1"/>
  <c r="AB266" i="15"/>
  <c r="AC266" i="15" s="1"/>
  <c r="AB146" i="15"/>
  <c r="AC146" i="15" s="1"/>
  <c r="AB330" i="15"/>
  <c r="AC330" i="15" s="1"/>
  <c r="AB382" i="15"/>
  <c r="AC382" i="15" s="1"/>
  <c r="AB657" i="15"/>
  <c r="AC657" i="15" s="1"/>
  <c r="AB84" i="15"/>
  <c r="AC84" i="15" s="1"/>
  <c r="AB577" i="15"/>
  <c r="AC577" i="15" s="1"/>
  <c r="AB69" i="15"/>
  <c r="AC69" i="15" s="1"/>
  <c r="AB515" i="15"/>
  <c r="AC515" i="15" s="1"/>
  <c r="AB79" i="15"/>
  <c r="AC79" i="15" s="1"/>
  <c r="AB361" i="15"/>
  <c r="AC361" i="15" s="1"/>
  <c r="AB44" i="15"/>
  <c r="AC44" i="15" s="1"/>
  <c r="AB279" i="15"/>
  <c r="AC279" i="15" s="1"/>
  <c r="AB572" i="15"/>
  <c r="AC572" i="15" s="1"/>
  <c r="AB522" i="15"/>
  <c r="AC522" i="15" s="1"/>
  <c r="AB499" i="15"/>
  <c r="AC499" i="15" s="1"/>
  <c r="AB62" i="15"/>
  <c r="AC62" i="15" s="1"/>
  <c r="AB310" i="15"/>
  <c r="AC310" i="15" s="1"/>
  <c r="AA12" i="15"/>
  <c r="AA250" i="15"/>
  <c r="Z5" i="5"/>
  <c r="N7" i="5"/>
  <c r="AB595" i="15"/>
  <c r="AC595" i="15" s="1"/>
  <c r="AB156" i="15"/>
  <c r="AC156" i="15" s="1"/>
  <c r="AB34" i="15"/>
  <c r="AC34" i="15" s="1"/>
  <c r="AB5" i="15"/>
  <c r="AC5" i="15" s="1"/>
  <c r="AB510" i="15"/>
  <c r="AC510" i="15" s="1"/>
  <c r="AB95" i="15"/>
  <c r="AC95" i="15" s="1"/>
  <c r="AB500" i="15"/>
  <c r="AC500" i="15" s="1"/>
  <c r="AB119" i="15"/>
  <c r="AC119" i="15" s="1"/>
  <c r="AB384" i="15"/>
  <c r="AC384" i="15" s="1"/>
  <c r="AB281" i="15"/>
  <c r="AC281" i="15" s="1"/>
  <c r="AB415" i="15"/>
  <c r="AC415" i="15" s="1"/>
  <c r="AB11" i="15"/>
  <c r="AC11" i="15" s="1"/>
  <c r="AB169" i="15"/>
  <c r="AC169" i="15" s="1"/>
  <c r="AB505" i="15"/>
  <c r="AC505" i="15" s="1"/>
  <c r="AB174" i="15"/>
  <c r="AC174" i="15" s="1"/>
  <c r="AB14" i="15"/>
  <c r="AC14" i="15" s="1"/>
  <c r="AB269" i="15"/>
  <c r="AC269" i="15" s="1"/>
  <c r="AB580" i="15"/>
  <c r="AC580" i="15" s="1"/>
  <c r="AA585" i="15"/>
  <c r="AA648" i="15"/>
  <c r="AA660" i="15"/>
  <c r="AA64" i="15"/>
  <c r="AA277" i="15"/>
  <c r="AA289" i="15"/>
  <c r="AA299" i="15"/>
  <c r="AA129" i="15"/>
  <c r="AA324" i="15"/>
  <c r="AA384" i="15"/>
  <c r="AA405" i="15"/>
  <c r="AA411" i="15"/>
  <c r="AA413" i="15"/>
  <c r="AA419" i="15"/>
  <c r="AA427" i="15"/>
  <c r="AA430" i="15"/>
  <c r="AA431" i="15"/>
  <c r="AA436" i="15"/>
  <c r="E5" i="48"/>
  <c r="AA439" i="15"/>
  <c r="C8" i="48"/>
  <c r="AA452" i="15"/>
  <c r="AA537" i="15"/>
  <c r="AA547" i="15"/>
  <c r="AA601" i="15"/>
  <c r="AA326" i="15"/>
  <c r="AA467" i="15"/>
  <c r="AA509" i="15"/>
  <c r="AA103" i="15"/>
  <c r="AA58" i="15"/>
  <c r="AA159" i="15"/>
  <c r="AA191" i="15"/>
  <c r="AA226" i="15"/>
  <c r="AA152" i="15"/>
  <c r="E10" i="48"/>
  <c r="AA267" i="15"/>
  <c r="AA274" i="15"/>
  <c r="AA282" i="15"/>
  <c r="AA283" i="15"/>
  <c r="AA335" i="15"/>
  <c r="AA399" i="15"/>
  <c r="AA404" i="15"/>
  <c r="AA487" i="15"/>
  <c r="AA491" i="15"/>
  <c r="AA523" i="15"/>
  <c r="AA536" i="15"/>
  <c r="AA541" i="15"/>
  <c r="AA621" i="15"/>
  <c r="AA626" i="15"/>
  <c r="AA632" i="15"/>
  <c r="F3" i="48"/>
  <c r="AA647" i="15"/>
  <c r="AA485" i="15"/>
  <c r="AA162" i="15"/>
  <c r="AA319" i="15"/>
  <c r="AA8" i="15"/>
  <c r="AA76" i="15"/>
  <c r="AA115" i="15"/>
  <c r="AA118" i="15"/>
  <c r="AA205" i="15"/>
  <c r="AA41" i="15"/>
  <c r="AA133" i="15"/>
  <c r="AA259" i="15"/>
  <c r="AA303" i="15"/>
  <c r="AA134" i="15"/>
  <c r="AA331" i="15"/>
  <c r="AA349" i="15"/>
  <c r="AA358" i="15"/>
  <c r="AA367" i="15"/>
  <c r="AA441" i="15"/>
  <c r="AA462" i="15"/>
  <c r="AA498" i="15"/>
  <c r="AA306" i="15"/>
  <c r="AA531" i="15"/>
  <c r="AA572" i="15"/>
  <c r="AA578" i="15"/>
  <c r="AA603" i="15"/>
  <c r="AA602" i="15"/>
  <c r="AA612" i="15"/>
  <c r="AA614" i="15"/>
  <c r="AA629" i="15"/>
  <c r="AA328" i="15"/>
  <c r="AA551" i="15"/>
  <c r="AA49" i="15"/>
  <c r="AA164" i="15"/>
  <c r="AA180" i="15"/>
  <c r="AA124" i="15"/>
  <c r="AA104" i="15"/>
  <c r="AA211" i="15"/>
  <c r="AA246" i="15"/>
  <c r="AA54" i="15"/>
  <c r="AA110" i="15"/>
  <c r="AA254" i="15"/>
  <c r="AA92" i="15"/>
  <c r="AA266" i="15"/>
  <c r="AA269" i="15"/>
  <c r="AA270" i="15"/>
  <c r="AA291" i="15"/>
  <c r="AA300" i="15"/>
  <c r="AA365" i="15"/>
  <c r="B4" i="48"/>
  <c r="AA432" i="15"/>
  <c r="F5" i="48"/>
  <c r="AA443" i="15"/>
  <c r="D8" i="48"/>
  <c r="AA453" i="15"/>
  <c r="AA470" i="15"/>
  <c r="AA495" i="15"/>
  <c r="AA528" i="15"/>
  <c r="AA544" i="15"/>
  <c r="AA558" i="15"/>
  <c r="AA577" i="15"/>
  <c r="AA599" i="15"/>
  <c r="AA604" i="15"/>
  <c r="AA608" i="15"/>
  <c r="AA618" i="15"/>
  <c r="AA644" i="15"/>
  <c r="AA203" i="15"/>
  <c r="AA168" i="15"/>
  <c r="AA170" i="15"/>
  <c r="AA228" i="15"/>
  <c r="AA189" i="15"/>
  <c r="AA192" i="15"/>
  <c r="AA249" i="15"/>
  <c r="AA116" i="15"/>
  <c r="AA321" i="15"/>
  <c r="AA329" i="15"/>
  <c r="AA340" i="15"/>
  <c r="AA368" i="15"/>
  <c r="AA372" i="15"/>
  <c r="AA379" i="15"/>
  <c r="AA381" i="15"/>
  <c r="AA390" i="15"/>
  <c r="AA418" i="15"/>
  <c r="AA446" i="15"/>
  <c r="AA489" i="15"/>
  <c r="AA542" i="15"/>
  <c r="AA554" i="15"/>
  <c r="AA562" i="15"/>
  <c r="AA559" i="15"/>
  <c r="AA590" i="15"/>
  <c r="AA610" i="15"/>
  <c r="AA620" i="15"/>
  <c r="AA634" i="15"/>
  <c r="AA639" i="15"/>
  <c r="AA285" i="15"/>
  <c r="AA297" i="15"/>
  <c r="AA308" i="15"/>
  <c r="AA316" i="15"/>
  <c r="AA353" i="15"/>
  <c r="AA359" i="15"/>
  <c r="AA377" i="15"/>
  <c r="AA385" i="15"/>
  <c r="AA389" i="15"/>
  <c r="AA434" i="15"/>
  <c r="AA469" i="15"/>
  <c r="AA473" i="15"/>
  <c r="AA479" i="15"/>
  <c r="AA521" i="15"/>
  <c r="AA553" i="15"/>
  <c r="AA569" i="15"/>
  <c r="AA576" i="15"/>
  <c r="AA595" i="15"/>
  <c r="AA653" i="15"/>
  <c r="B7" i="48"/>
  <c r="AA661" i="15"/>
  <c r="AA177" i="15"/>
  <c r="AA87" i="15"/>
  <c r="AA107" i="15"/>
  <c r="AA255" i="15"/>
  <c r="AA25" i="15"/>
  <c r="AA27" i="15"/>
  <c r="F8" i="48"/>
  <c r="AA263" i="15"/>
  <c r="AA280" i="15"/>
  <c r="AA363" i="15"/>
  <c r="AA409" i="15"/>
  <c r="AA424" i="15"/>
  <c r="AA505" i="15"/>
  <c r="AA508" i="15"/>
  <c r="AA538" i="15"/>
  <c r="AA539" i="15"/>
  <c r="AA567" i="15"/>
  <c r="AA586" i="15"/>
  <c r="AA593" i="15"/>
  <c r="Y7" i="5"/>
  <c r="AA600" i="15"/>
  <c r="AA625" i="15"/>
  <c r="AA253" i="15"/>
  <c r="H6" i="48"/>
  <c r="AA9" i="15"/>
  <c r="AA35" i="15"/>
  <c r="AA218" i="15"/>
  <c r="AA516" i="15"/>
  <c r="AA354" i="15"/>
  <c r="AA374" i="15"/>
  <c r="AA408" i="15"/>
  <c r="AA429" i="15"/>
  <c r="AA463" i="15"/>
  <c r="AA482" i="15"/>
  <c r="AA499" i="15"/>
  <c r="AA501" i="15"/>
  <c r="AA520" i="15"/>
  <c r="AA532" i="15"/>
  <c r="AA550" i="15"/>
  <c r="AA571" i="15"/>
  <c r="AA594" i="15"/>
  <c r="AA609" i="15"/>
  <c r="AA657" i="15"/>
  <c r="AA117" i="15"/>
  <c r="AA519" i="15"/>
  <c r="AA109" i="15"/>
  <c r="AA71" i="15"/>
  <c r="D4" i="48"/>
  <c r="AA243" i="15"/>
  <c r="AA209" i="15"/>
  <c r="H8" i="48"/>
  <c r="AA13" i="15"/>
  <c r="AA278" i="15"/>
  <c r="AA346" i="15"/>
  <c r="AA395" i="15"/>
  <c r="AA400" i="15"/>
  <c r="AA437" i="15"/>
  <c r="D18" i="47"/>
  <c r="T18" i="47" s="1"/>
  <c r="AA450" i="15"/>
  <c r="AA460" i="15"/>
  <c r="AA474" i="15"/>
  <c r="AA477" i="15"/>
  <c r="AA494" i="15"/>
  <c r="AA527" i="15"/>
  <c r="AA549" i="15"/>
  <c r="AA568" i="15"/>
  <c r="AA592" i="15"/>
  <c r="X5" i="5"/>
  <c r="Y5" i="5"/>
  <c r="AA607" i="15"/>
  <c r="AA622" i="15"/>
  <c r="AA627" i="15"/>
  <c r="AA640" i="15"/>
  <c r="AA642" i="15"/>
  <c r="AA643" i="15"/>
  <c r="AA655" i="15"/>
  <c r="AA659" i="15"/>
  <c r="AA63" i="15"/>
  <c r="AA160" i="15"/>
  <c r="AA106" i="15"/>
  <c r="AA43" i="15"/>
  <c r="AA29" i="15"/>
  <c r="AA244" i="15"/>
  <c r="AA137" i="15"/>
  <c r="AA223" i="15"/>
  <c r="AA261" i="15"/>
  <c r="AA262" i="15"/>
  <c r="AA273" i="15"/>
  <c r="AA286" i="15"/>
  <c r="AA325" i="15"/>
  <c r="AA343" i="15"/>
  <c r="AA366" i="15"/>
  <c r="AA423" i="15"/>
  <c r="G18" i="47"/>
  <c r="AC18" i="47" s="1"/>
  <c r="AA438" i="15"/>
  <c r="AA493" i="15"/>
  <c r="AA497" i="15"/>
  <c r="AA48" i="15"/>
  <c r="AA525" i="15"/>
  <c r="AA534" i="15"/>
  <c r="AA555" i="15"/>
  <c r="AA564" i="15"/>
  <c r="AA583" i="15"/>
  <c r="AA596" i="15"/>
  <c r="AA619" i="15"/>
  <c r="AA630" i="15"/>
  <c r="AA641" i="15"/>
  <c r="AA176" i="15"/>
  <c r="AA135" i="15"/>
  <c r="AA130" i="15"/>
  <c r="AA206" i="15"/>
  <c r="AA139" i="15"/>
  <c r="B5" i="48"/>
  <c r="AA100" i="15"/>
  <c r="AA113" i="15"/>
  <c r="AA265" i="15"/>
  <c r="AA298" i="15"/>
  <c r="AA301" i="15"/>
  <c r="AA313" i="15"/>
  <c r="AA341" i="15"/>
  <c r="AA350" i="15"/>
  <c r="AA351" i="15"/>
  <c r="AA369" i="15"/>
  <c r="AA378" i="15"/>
  <c r="AA392" i="15"/>
  <c r="AA403" i="15"/>
  <c r="AA426" i="15"/>
  <c r="AA459" i="15"/>
  <c r="AA468" i="15"/>
  <c r="AA561" i="15"/>
  <c r="AA575" i="15"/>
  <c r="AA581" i="15"/>
  <c r="AA584" i="15"/>
  <c r="AA589" i="15"/>
  <c r="AA617" i="15"/>
  <c r="AA212" i="15"/>
  <c r="AA181" i="15"/>
  <c r="AA337" i="15"/>
  <c r="AA345" i="15"/>
  <c r="AA361" i="15"/>
  <c r="AA371" i="15"/>
  <c r="AA375" i="15"/>
  <c r="AA410" i="15"/>
  <c r="AA421" i="15"/>
  <c r="C4" i="48"/>
  <c r="AA433" i="15"/>
  <c r="AA442" i="15"/>
  <c r="AA444" i="15"/>
  <c r="AA454" i="15"/>
  <c r="AA457" i="15"/>
  <c r="AA488" i="15"/>
  <c r="AA504" i="15"/>
  <c r="AA518" i="15"/>
  <c r="AA524" i="15"/>
  <c r="AA533" i="15"/>
  <c r="AA530" i="15"/>
  <c r="AA552" i="15"/>
  <c r="AA560" i="15"/>
  <c r="AA580" i="15"/>
  <c r="AA587" i="15"/>
  <c r="AA615" i="15"/>
  <c r="AA613" i="15"/>
  <c r="AA637" i="15"/>
  <c r="AA638" i="15"/>
  <c r="AA645" i="15"/>
  <c r="AA649" i="15"/>
  <c r="AA652" i="15"/>
  <c r="AA654" i="15"/>
  <c r="AA111" i="15"/>
  <c r="H3" i="48"/>
  <c r="AA6" i="15"/>
  <c r="AA123" i="15"/>
  <c r="AA171" i="15"/>
  <c r="AA214" i="15"/>
  <c r="AA24" i="15"/>
  <c r="AA219" i="15"/>
  <c r="AA165" i="15"/>
  <c r="E11" i="48"/>
  <c r="AA272" i="15"/>
  <c r="AA304" i="15"/>
  <c r="AA314" i="15"/>
  <c r="AA327" i="15"/>
  <c r="AA334" i="15"/>
  <c r="AA355" i="15"/>
  <c r="AA383" i="15"/>
  <c r="AA387" i="15"/>
  <c r="AA414" i="15"/>
  <c r="AA451" i="15"/>
  <c r="AA455" i="15"/>
  <c r="AA449" i="15"/>
  <c r="AA486" i="15"/>
  <c r="AA556" i="15"/>
  <c r="AA570" i="15"/>
  <c r="AA573" i="15"/>
  <c r="AA597" i="15"/>
  <c r="AA656" i="15"/>
  <c r="AA231" i="15"/>
  <c r="E7" i="48"/>
  <c r="AA257" i="15"/>
  <c r="AA271" i="15"/>
  <c r="AA294" i="15"/>
  <c r="AA330" i="15"/>
  <c r="AA380" i="15"/>
  <c r="AA393" i="15"/>
  <c r="AA406" i="15"/>
  <c r="AA417" i="15"/>
  <c r="AA422" i="15"/>
  <c r="AA445" i="15"/>
  <c r="AA456" i="15"/>
  <c r="AA464" i="15"/>
  <c r="AA492" i="15"/>
  <c r="AA503" i="15"/>
  <c r="AA502" i="15"/>
  <c r="AA526" i="15"/>
  <c r="AA545" i="15"/>
  <c r="AA540" i="15"/>
  <c r="AA557" i="15"/>
  <c r="AA563" i="15"/>
  <c r="AA565" i="15"/>
  <c r="AA605" i="15"/>
  <c r="AA636" i="15"/>
  <c r="AA213" i="15"/>
  <c r="E9" i="48"/>
  <c r="AA105" i="15"/>
  <c r="AA112" i="15"/>
  <c r="AA185" i="15"/>
  <c r="AA157" i="15"/>
  <c r="AA225" i="15"/>
  <c r="AA256" i="15"/>
  <c r="AA102" i="15"/>
  <c r="AA279" i="15"/>
  <c r="AA287" i="15"/>
  <c r="AA309" i="15"/>
  <c r="AA132" i="15"/>
  <c r="AA320" i="15"/>
  <c r="AA344" i="15"/>
  <c r="AA386" i="15"/>
  <c r="AA425" i="15"/>
  <c r="AA461" i="15"/>
  <c r="AA475" i="15"/>
  <c r="AA511" i="15"/>
  <c r="AA546" i="15"/>
  <c r="AA579" i="15"/>
  <c r="AA623" i="15"/>
  <c r="AA633" i="15"/>
  <c r="AA650" i="15"/>
  <c r="AA5" i="5"/>
  <c r="AB6" i="5"/>
  <c r="AC6" i="5"/>
  <c r="X6" i="5"/>
  <c r="X7" i="5"/>
  <c r="AD6" i="5"/>
  <c r="H10" i="48"/>
  <c r="C11" i="48"/>
  <c r="F18" i="47"/>
  <c r="Z18" i="47" s="1"/>
  <c r="B3" i="48"/>
  <c r="E19" i="49"/>
  <c r="E20" i="49"/>
  <c r="F19" i="49"/>
  <c r="F20" i="49"/>
  <c r="G11" i="48"/>
  <c r="G10" i="48"/>
  <c r="C3" i="48"/>
  <c r="H9" i="48"/>
  <c r="F11" i="48"/>
  <c r="B11" i="48"/>
  <c r="D5" i="48"/>
  <c r="C6" i="48"/>
  <c r="C5" i="48"/>
  <c r="E4" i="48"/>
  <c r="B10" i="48"/>
  <c r="G7" i="48"/>
  <c r="G4" i="48"/>
  <c r="E3" i="48"/>
  <c r="B6" i="48"/>
  <c r="D11" i="48"/>
  <c r="C10" i="48"/>
  <c r="G6" i="48"/>
  <c r="G5" i="48"/>
  <c r="H5" i="48"/>
  <c r="C9" i="48"/>
  <c r="E6" i="48"/>
  <c r="D7" i="48"/>
  <c r="C7" i="48"/>
  <c r="G9" i="48"/>
  <c r="F6" i="48"/>
  <c r="E8" i="48"/>
  <c r="B8" i="48"/>
  <c r="G8" i="48"/>
  <c r="G3" i="48"/>
  <c r="D9" i="48"/>
  <c r="F10" i="48"/>
  <c r="H4" i="48"/>
  <c r="H7" i="48"/>
  <c r="D6" i="48"/>
  <c r="Q7" i="5"/>
  <c r="O4" i="5"/>
  <c r="E38" i="47"/>
  <c r="W38" i="47" s="1"/>
  <c r="E56" i="47"/>
  <c r="F66" i="47"/>
  <c r="Z66" i="47" s="1"/>
  <c r="S6" i="5"/>
  <c r="O7" i="5"/>
  <c r="H37" i="47"/>
  <c r="AF37" i="47" s="1"/>
  <c r="R6" i="5"/>
  <c r="H64" i="47"/>
  <c r="AF64" i="47" s="1"/>
  <c r="Q54" i="47"/>
  <c r="AJ54" i="47" s="1"/>
  <c r="H46" i="47"/>
  <c r="AF46" i="47" s="1"/>
  <c r="H55" i="47"/>
  <c r="AF55" i="47" s="1"/>
  <c r="H28" i="47"/>
  <c r="AF28" i="47" s="1"/>
  <c r="E47" i="47"/>
  <c r="W47" i="47" s="1"/>
  <c r="F29" i="47"/>
  <c r="Z29" i="47" s="1"/>
  <c r="D34" i="5"/>
  <c r="H4" i="5"/>
  <c r="E29" i="47"/>
  <c r="W29" i="47" s="1"/>
  <c r="H29" i="47"/>
  <c r="AF29" i="47" s="1"/>
  <c r="D31" i="5"/>
  <c r="H40" i="5"/>
  <c r="D40" i="5"/>
  <c r="N16" i="5"/>
  <c r="G66" i="47"/>
  <c r="AC66" i="47" s="1"/>
  <c r="G48" i="47"/>
  <c r="AC48" i="47" s="1"/>
  <c r="D25" i="5"/>
  <c r="N13" i="5"/>
  <c r="D4" i="5"/>
  <c r="D16" i="5"/>
  <c r="D43" i="5"/>
  <c r="D22" i="5"/>
  <c r="H13" i="5"/>
  <c r="G39" i="47"/>
  <c r="AC39" i="47" s="1"/>
  <c r="Q45" i="47"/>
  <c r="AJ45" i="47" s="1"/>
  <c r="G22" i="5"/>
  <c r="Q13" i="5"/>
  <c r="G40" i="5"/>
  <c r="D7" i="5"/>
  <c r="R13" i="5"/>
  <c r="G4" i="5"/>
  <c r="H31" i="5"/>
  <c r="J31" i="5"/>
  <c r="D13" i="5"/>
  <c r="H22" i="5"/>
  <c r="E65" i="47"/>
  <c r="W65" i="47" s="1"/>
  <c r="G13" i="5"/>
  <c r="G31" i="5"/>
  <c r="G57" i="47"/>
  <c r="AC57" i="47" s="1"/>
  <c r="G30" i="47"/>
  <c r="AC30" i="47" s="1"/>
  <c r="I13" i="5"/>
  <c r="R5" i="5"/>
  <c r="I31" i="5"/>
  <c r="P5" i="5"/>
  <c r="Q63" i="47"/>
  <c r="AJ63" i="47" s="1"/>
  <c r="I22" i="5"/>
  <c r="Q18" i="47"/>
  <c r="AJ18" i="47" s="1"/>
  <c r="Q27" i="47"/>
  <c r="AJ27" i="47" s="1"/>
  <c r="I4" i="5"/>
  <c r="I40" i="5"/>
  <c r="Q36" i="47"/>
  <c r="AJ36" i="47" s="1"/>
  <c r="S4" i="5"/>
  <c r="S13" i="5"/>
  <c r="E46" i="47"/>
  <c r="W46" i="47" s="1"/>
  <c r="F39" i="47"/>
  <c r="Z39" i="47" s="1"/>
  <c r="F30" i="47"/>
  <c r="Z30" i="47" s="1"/>
  <c r="M27" i="47"/>
  <c r="X27" i="47" s="1"/>
  <c r="M45" i="47"/>
  <c r="X45" i="47" s="1"/>
  <c r="Q5" i="5"/>
  <c r="H6" i="5"/>
  <c r="D47" i="47"/>
  <c r="T47" i="47" s="1"/>
  <c r="H42" i="5"/>
  <c r="N5" i="5"/>
  <c r="M54" i="47"/>
  <c r="X54" i="47" s="1"/>
  <c r="D65" i="47"/>
  <c r="T65" i="47" s="1"/>
  <c r="D29" i="47"/>
  <c r="T29" i="47" s="1"/>
  <c r="M63" i="47"/>
  <c r="X63" i="47" s="1"/>
  <c r="F21" i="47"/>
  <c r="Z21" i="47" s="1"/>
  <c r="P7" i="5"/>
  <c r="F48" i="47"/>
  <c r="Z48" i="47" s="1"/>
  <c r="F57" i="47"/>
  <c r="W57" i="47" s="1"/>
  <c r="O5" i="5"/>
  <c r="E28" i="47"/>
  <c r="W28" i="47" s="1"/>
  <c r="E37" i="47"/>
  <c r="W37" i="47" s="1"/>
  <c r="E55" i="47"/>
  <c r="E64" i="47"/>
  <c r="W64" i="47" s="1"/>
  <c r="M36" i="47"/>
  <c r="X36" i="47" s="1"/>
  <c r="T5" i="5"/>
  <c r="G38" i="47"/>
  <c r="AC38" i="47" s="1"/>
  <c r="D38" i="47"/>
  <c r="T38" i="47" s="1"/>
  <c r="D56" i="47"/>
  <c r="T56" i="47" s="1"/>
  <c r="Q15" i="5"/>
  <c r="J30" i="47"/>
  <c r="AL30" i="47" s="1"/>
  <c r="G15" i="5"/>
  <c r="F36" i="47"/>
  <c r="Z36" i="47" s="1"/>
  <c r="J66" i="47"/>
  <c r="AL66" i="47" s="1"/>
  <c r="H33" i="5"/>
  <c r="H24" i="5"/>
  <c r="H15" i="5"/>
  <c r="G20" i="47"/>
  <c r="AC20" i="47" s="1"/>
  <c r="J21" i="47"/>
  <c r="AL21" i="47" s="1"/>
  <c r="Q6" i="5"/>
  <c r="G29" i="47"/>
  <c r="AC29" i="47" s="1"/>
  <c r="G42" i="5"/>
  <c r="G47" i="47"/>
  <c r="AC47" i="47" s="1"/>
  <c r="G56" i="47"/>
  <c r="AC56" i="47" s="1"/>
  <c r="G65" i="47"/>
  <c r="AC65" i="47" s="1"/>
  <c r="G6" i="5"/>
  <c r="G24" i="5"/>
  <c r="G33" i="5"/>
  <c r="F27" i="47"/>
  <c r="Z27" i="47" s="1"/>
  <c r="P4" i="5"/>
  <c r="P13" i="5"/>
  <c r="F31" i="5"/>
  <c r="F40" i="5"/>
  <c r="F45" i="47"/>
  <c r="Z45" i="47" s="1"/>
  <c r="F22" i="5"/>
  <c r="F4" i="5"/>
  <c r="F54" i="47"/>
  <c r="W54" i="47" s="1"/>
  <c r="F13" i="5"/>
  <c r="F63" i="47"/>
  <c r="Z63" i="47" s="1"/>
  <c r="J39" i="47"/>
  <c r="AL39" i="47" s="1"/>
  <c r="J48" i="47"/>
  <c r="AL48" i="47" s="1"/>
  <c r="T7" i="5"/>
  <c r="J57" i="47"/>
  <c r="AL57" i="47" s="1"/>
  <c r="E57" i="47"/>
  <c r="E30" i="47"/>
  <c r="W30" i="47" s="1"/>
  <c r="E39" i="47"/>
  <c r="W39" i="47" s="1"/>
  <c r="E66" i="47"/>
  <c r="W66" i="47" s="1"/>
  <c r="E48" i="47"/>
  <c r="W48" i="47" s="1"/>
  <c r="E21" i="47"/>
  <c r="W21" i="47" s="1"/>
  <c r="D37" i="47"/>
  <c r="T37" i="47" s="1"/>
  <c r="S15" i="5"/>
  <c r="H43" i="5"/>
  <c r="J43" i="5"/>
  <c r="J40" i="5"/>
  <c r="J32" i="5"/>
  <c r="J22" i="5"/>
  <c r="J14" i="5"/>
  <c r="J13" i="5"/>
  <c r="I42" i="5"/>
  <c r="I24" i="5"/>
  <c r="J25" i="5"/>
  <c r="T13" i="5"/>
  <c r="J41" i="5"/>
  <c r="T14" i="5"/>
  <c r="Q14" i="5"/>
  <c r="T16" i="5"/>
  <c r="I33" i="5"/>
  <c r="J34" i="5"/>
  <c r="J16" i="5"/>
  <c r="D33" i="5"/>
  <c r="H32" i="5"/>
  <c r="D32" i="5"/>
  <c r="O16" i="5"/>
  <c r="P15" i="5"/>
  <c r="F14" i="5"/>
  <c r="I15" i="5"/>
  <c r="N15" i="5"/>
  <c r="E42" i="5"/>
  <c r="J33" i="5"/>
  <c r="I43" i="5"/>
  <c r="E23" i="5"/>
  <c r="F32" i="5"/>
  <c r="J23" i="5"/>
  <c r="I25" i="5"/>
  <c r="S16" i="5"/>
  <c r="I34" i="5"/>
  <c r="D42" i="5"/>
  <c r="E43" i="5"/>
  <c r="G25" i="5"/>
  <c r="G34" i="5"/>
  <c r="E14" i="5"/>
  <c r="F41" i="5"/>
  <c r="F42" i="5"/>
  <c r="D24" i="5"/>
  <c r="F25" i="5"/>
  <c r="F24" i="5"/>
  <c r="E34" i="5"/>
  <c r="E33" i="5"/>
  <c r="D15" i="5"/>
  <c r="H25" i="5"/>
  <c r="G14" i="5"/>
  <c r="R16" i="5"/>
  <c r="J24" i="5"/>
  <c r="R14" i="5"/>
  <c r="N14" i="5"/>
  <c r="F43" i="5"/>
  <c r="H34" i="5"/>
  <c r="G41" i="5"/>
  <c r="H41" i="5"/>
  <c r="G43" i="5"/>
  <c r="F34" i="5"/>
  <c r="E24" i="5"/>
  <c r="D41" i="5"/>
  <c r="Q16" i="5"/>
  <c r="T15" i="5"/>
  <c r="H16" i="5"/>
  <c r="G32" i="5"/>
  <c r="I16" i="5"/>
  <c r="E41" i="5"/>
  <c r="G23" i="5"/>
  <c r="F16" i="5"/>
  <c r="O15" i="5"/>
  <c r="P14" i="5"/>
  <c r="G16" i="5"/>
  <c r="H23" i="5"/>
  <c r="F15" i="5"/>
  <c r="D14" i="5"/>
  <c r="E15" i="5"/>
  <c r="O14" i="5"/>
  <c r="D23" i="5"/>
  <c r="J42" i="5"/>
  <c r="E32" i="5"/>
  <c r="E16" i="5"/>
  <c r="E25" i="5"/>
  <c r="J15" i="5"/>
  <c r="F23" i="5"/>
  <c r="P16" i="5"/>
  <c r="F33" i="5"/>
  <c r="H14" i="5"/>
  <c r="H5" i="5"/>
  <c r="E13" i="5"/>
  <c r="O13" i="5"/>
  <c r="E31" i="5"/>
  <c r="R15" i="5"/>
  <c r="I45" i="47"/>
  <c r="AI45" i="47" s="1"/>
  <c r="E40" i="5"/>
  <c r="E22" i="5"/>
  <c r="E4" i="5"/>
  <c r="J6" i="5"/>
  <c r="F55" i="47"/>
  <c r="Z55" i="47" s="1"/>
  <c r="J5" i="5"/>
  <c r="J66" i="24"/>
  <c r="H7" i="5"/>
  <c r="F46" i="47"/>
  <c r="Z46" i="47" s="1"/>
  <c r="I7" i="5"/>
  <c r="I6" i="5"/>
  <c r="D5" i="5"/>
  <c r="G7" i="5"/>
  <c r="E7" i="5"/>
  <c r="G5" i="5"/>
  <c r="F5" i="5"/>
  <c r="F64" i="47"/>
  <c r="Z64" i="47" s="1"/>
  <c r="E5" i="5"/>
  <c r="F6" i="5"/>
  <c r="J7" i="5"/>
  <c r="F7" i="5"/>
  <c r="E6" i="5"/>
  <c r="J4" i="5"/>
  <c r="D6" i="5"/>
  <c r="I63" i="24"/>
  <c r="J38" i="47"/>
  <c r="AL38" i="47" s="1"/>
  <c r="I56" i="47"/>
  <c r="AI56" i="47" s="1"/>
  <c r="O45" i="47"/>
  <c r="AD45" i="47" s="1"/>
  <c r="I65" i="47"/>
  <c r="AI65" i="47" s="1"/>
  <c r="F47" i="47"/>
  <c r="Z47" i="47" s="1"/>
  <c r="J78" i="24"/>
  <c r="I68" i="24"/>
  <c r="J29" i="47"/>
  <c r="AL29" i="47" s="1"/>
  <c r="I69" i="24"/>
  <c r="M18" i="47"/>
  <c r="X18" i="47" s="1"/>
  <c r="I67" i="24"/>
  <c r="D20" i="47"/>
  <c r="T20" i="47" s="1"/>
  <c r="I20" i="47"/>
  <c r="AI20" i="47" s="1"/>
  <c r="J18" i="47"/>
  <c r="AL18" i="47" s="1"/>
  <c r="F19" i="47"/>
  <c r="Z19" i="47" s="1"/>
  <c r="G21" i="47"/>
  <c r="AC21" i="47" s="1"/>
  <c r="E19" i="47"/>
  <c r="W19" i="47" s="1"/>
  <c r="H21" i="47"/>
  <c r="AF21" i="47" s="1"/>
  <c r="F20" i="47"/>
  <c r="Z20" i="47" s="1"/>
  <c r="E20" i="47"/>
  <c r="W20" i="47" s="1"/>
  <c r="H66" i="47"/>
  <c r="AF66" i="47" s="1"/>
  <c r="D64" i="47"/>
  <c r="T64" i="47" s="1"/>
  <c r="J47" i="47"/>
  <c r="AL47" i="47" s="1"/>
  <c r="I29" i="47"/>
  <c r="AI29" i="47" s="1"/>
  <c r="Q65" i="47"/>
  <c r="AJ65" i="47" s="1"/>
  <c r="F37" i="47"/>
  <c r="Z37" i="47" s="1"/>
  <c r="F65" i="47"/>
  <c r="Z65" i="47" s="1"/>
  <c r="D19" i="47"/>
  <c r="T19" i="47" s="1"/>
  <c r="Q56" i="47"/>
  <c r="AJ56" i="47" s="1"/>
  <c r="D55" i="47"/>
  <c r="T55" i="47" s="1"/>
  <c r="H39" i="47"/>
  <c r="AF39" i="47" s="1"/>
  <c r="F28" i="47"/>
  <c r="Z28" i="47" s="1"/>
  <c r="F38" i="47"/>
  <c r="Z38" i="47" s="1"/>
  <c r="H19" i="47"/>
  <c r="AF19" i="47" s="1"/>
  <c r="Q47" i="47"/>
  <c r="AJ47" i="47" s="1"/>
  <c r="H57" i="47"/>
  <c r="AF57" i="47" s="1"/>
  <c r="I38" i="47"/>
  <c r="AI38" i="47" s="1"/>
  <c r="H56" i="47"/>
  <c r="AF56" i="47" s="1"/>
  <c r="I47" i="47"/>
  <c r="AI47" i="47" s="1"/>
  <c r="H30" i="47"/>
  <c r="AF30" i="47" s="1"/>
  <c r="N45" i="47"/>
  <c r="AA45" i="47" s="1"/>
  <c r="D39" i="47"/>
  <c r="T39" i="47" s="1"/>
  <c r="H65" i="47"/>
  <c r="AF65" i="47" s="1"/>
  <c r="D21" i="47"/>
  <c r="T21" i="47" s="1"/>
  <c r="H47" i="47"/>
  <c r="AF47" i="47" s="1"/>
  <c r="D30" i="47"/>
  <c r="T30" i="47" s="1"/>
  <c r="Q20" i="47"/>
  <c r="AJ20" i="47" s="1"/>
  <c r="F56" i="47"/>
  <c r="W56" i="47" s="1"/>
  <c r="L54" i="47"/>
  <c r="U54" i="47" s="1"/>
  <c r="Q29" i="47"/>
  <c r="AJ29" i="47" s="1"/>
  <c r="H48" i="47"/>
  <c r="AF48" i="47" s="1"/>
  <c r="D48" i="47"/>
  <c r="T48" i="47" s="1"/>
  <c r="D28" i="47"/>
  <c r="T28" i="47" s="1"/>
  <c r="D46" i="47"/>
  <c r="T46" i="47" s="1"/>
  <c r="D66" i="47"/>
  <c r="T66" i="47" s="1"/>
  <c r="H20" i="47"/>
  <c r="AF20" i="47" s="1"/>
  <c r="D57" i="47"/>
  <c r="T57" i="47" s="1"/>
  <c r="H38" i="47"/>
  <c r="AF38" i="47" s="1"/>
  <c r="I30" i="47"/>
  <c r="AI30" i="47" s="1"/>
  <c r="I66" i="47"/>
  <c r="AI66" i="47" s="1"/>
  <c r="I39" i="47"/>
  <c r="AI39" i="47" s="1"/>
  <c r="I57" i="47"/>
  <c r="AI57" i="47" s="1"/>
  <c r="I48" i="47"/>
  <c r="AI48" i="47" s="1"/>
  <c r="M20" i="47"/>
  <c r="X20" i="47" s="1"/>
  <c r="Q38" i="47"/>
  <c r="AJ38" i="47" s="1"/>
  <c r="J20" i="47"/>
  <c r="AL20" i="47" s="1"/>
  <c r="N29" i="47"/>
  <c r="AA29" i="47" s="1"/>
  <c r="M29" i="47"/>
  <c r="X29" i="47" s="1"/>
  <c r="J56" i="47"/>
  <c r="AL56" i="47" s="1"/>
  <c r="M38" i="47"/>
  <c r="X38" i="47" s="1"/>
  <c r="J65" i="47"/>
  <c r="AL65" i="47" s="1"/>
  <c r="O20" i="47"/>
  <c r="AD20" i="47" s="1"/>
  <c r="R30" i="47"/>
  <c r="AM30" i="47" s="1"/>
  <c r="N55" i="47"/>
  <c r="AA55" i="47" s="1"/>
  <c r="O55" i="47"/>
  <c r="AD55" i="47" s="1"/>
  <c r="M56" i="47"/>
  <c r="X56" i="47" s="1"/>
  <c r="P56" i="47"/>
  <c r="AG56" i="47" s="1"/>
  <c r="R48" i="47"/>
  <c r="AM48" i="47" s="1"/>
  <c r="M47" i="47"/>
  <c r="X47" i="47" s="1"/>
  <c r="L48" i="47"/>
  <c r="U48" i="47" s="1"/>
  <c r="J28" i="47"/>
  <c r="AL28" i="47" s="1"/>
  <c r="O37" i="47"/>
  <c r="AD37" i="47" s="1"/>
  <c r="L21" i="47"/>
  <c r="U21" i="47" s="1"/>
  <c r="I21" i="47"/>
  <c r="AI21" i="47" s="1"/>
  <c r="L30" i="47"/>
  <c r="U30" i="47" s="1"/>
  <c r="P47" i="47"/>
  <c r="AG47" i="47" s="1"/>
  <c r="G64" i="47"/>
  <c r="AC64" i="47" s="1"/>
  <c r="G37" i="47"/>
  <c r="AC37" i="47" s="1"/>
  <c r="O46" i="47"/>
  <c r="AD46" i="47" s="1"/>
  <c r="R57" i="47"/>
  <c r="AM57" i="47" s="1"/>
  <c r="O64" i="47"/>
  <c r="AD64" i="47" s="1"/>
  <c r="M65" i="47"/>
  <c r="X65" i="47" s="1"/>
  <c r="M55" i="47"/>
  <c r="X55" i="47" s="1"/>
  <c r="G55" i="47"/>
  <c r="AC55" i="47" s="1"/>
  <c r="P38" i="47"/>
  <c r="AG38" i="47" s="1"/>
  <c r="J19" i="47"/>
  <c r="AL19" i="47" s="1"/>
  <c r="L65" i="47"/>
  <c r="U65" i="47" s="1"/>
  <c r="J64" i="47"/>
  <c r="AL64" i="47" s="1"/>
  <c r="R54" i="47"/>
  <c r="AM54" i="47" s="1"/>
  <c r="G46" i="47"/>
  <c r="AC46" i="47" s="1"/>
  <c r="J37" i="47"/>
  <c r="AL37" i="47" s="1"/>
  <c r="N56" i="47"/>
  <c r="AA56" i="47" s="1"/>
  <c r="P64" i="47"/>
  <c r="AG64" i="47" s="1"/>
  <c r="R64" i="47"/>
  <c r="AM64" i="47" s="1"/>
  <c r="L47" i="47"/>
  <c r="U47" i="47" s="1"/>
  <c r="O57" i="47"/>
  <c r="AD57" i="47" s="1"/>
  <c r="N66" i="47"/>
  <c r="AA66" i="47" s="1"/>
  <c r="P46" i="47"/>
  <c r="AG46" i="47" s="1"/>
  <c r="N48" i="47"/>
  <c r="AA48" i="47" s="1"/>
  <c r="L29" i="47"/>
  <c r="U29" i="47" s="1"/>
  <c r="R27" i="47"/>
  <c r="AM27" i="47" s="1"/>
  <c r="R39" i="47"/>
  <c r="AM39" i="47" s="1"/>
  <c r="G19" i="47"/>
  <c r="AC19" i="47" s="1"/>
  <c r="O28" i="47"/>
  <c r="AD28" i="47" s="1"/>
  <c r="L20" i="47"/>
  <c r="U20" i="47" s="1"/>
  <c r="L38" i="47"/>
  <c r="U38" i="47" s="1"/>
  <c r="P37" i="47"/>
  <c r="AG37" i="47" s="1"/>
  <c r="L39" i="47"/>
  <c r="U39" i="47" s="1"/>
  <c r="N28" i="47"/>
  <c r="AA28" i="47" s="1"/>
  <c r="L28" i="47"/>
  <c r="U28" i="47" s="1"/>
  <c r="N38" i="47"/>
  <c r="AA38" i="47" s="1"/>
  <c r="R18" i="47"/>
  <c r="AM18" i="47" s="1"/>
  <c r="R20" i="47"/>
  <c r="AM20" i="47" s="1"/>
  <c r="P29" i="47"/>
  <c r="AG29" i="47" s="1"/>
  <c r="R36" i="47"/>
  <c r="AM36" i="47" s="1"/>
  <c r="L46" i="47"/>
  <c r="U46" i="47" s="1"/>
  <c r="N30" i="47"/>
  <c r="AA30" i="47" s="1"/>
  <c r="O29" i="47"/>
  <c r="AD29" i="47" s="1"/>
  <c r="O56" i="47"/>
  <c r="AD56" i="47" s="1"/>
  <c r="M46" i="47"/>
  <c r="X46" i="47" s="1"/>
  <c r="R28" i="47"/>
  <c r="AM28" i="47" s="1"/>
  <c r="M28" i="47"/>
  <c r="X28" i="47" s="1"/>
  <c r="G28" i="47"/>
  <c r="AC28" i="47" s="1"/>
  <c r="J55" i="47"/>
  <c r="AL55" i="47" s="1"/>
  <c r="R45" i="47"/>
  <c r="AM45" i="47" s="1"/>
  <c r="N57" i="47"/>
  <c r="AA57" i="47" s="1"/>
  <c r="Q57" i="47"/>
  <c r="AJ57" i="47" s="1"/>
  <c r="P57" i="47"/>
  <c r="AG57" i="47" s="1"/>
  <c r="N37" i="47"/>
  <c r="AA37" i="47" s="1"/>
  <c r="O65" i="47"/>
  <c r="AD65" i="47" s="1"/>
  <c r="N65" i="47"/>
  <c r="AA65" i="47" s="1"/>
  <c r="L64" i="47"/>
  <c r="U64" i="47" s="1"/>
  <c r="M48" i="47"/>
  <c r="X48" i="47" s="1"/>
  <c r="M30" i="47"/>
  <c r="X30" i="47" s="1"/>
  <c r="M57" i="47"/>
  <c r="X57" i="47" s="1"/>
  <c r="L56" i="47"/>
  <c r="U56" i="47" s="1"/>
  <c r="P39" i="47"/>
  <c r="AG39" i="47" s="1"/>
  <c r="N64" i="47"/>
  <c r="AA64" i="47" s="1"/>
  <c r="M66" i="47"/>
  <c r="X66" i="47" s="1"/>
  <c r="Q48" i="47"/>
  <c r="AJ48" i="47" s="1"/>
  <c r="R47" i="47"/>
  <c r="AM47" i="47" s="1"/>
  <c r="N39" i="47"/>
  <c r="AA39" i="47" s="1"/>
  <c r="O39" i="47"/>
  <c r="AD39" i="47" s="1"/>
  <c r="J46" i="47"/>
  <c r="AL46" i="47" s="1"/>
  <c r="O21" i="47"/>
  <c r="AD21" i="47" s="1"/>
  <c r="Q39" i="47"/>
  <c r="AJ39" i="47" s="1"/>
  <c r="P48" i="47"/>
  <c r="AG48" i="47" s="1"/>
  <c r="O48" i="47"/>
  <c r="AD48" i="47" s="1"/>
  <c r="P19" i="47"/>
  <c r="AG19" i="47" s="1"/>
  <c r="Q30" i="47"/>
  <c r="AJ30" i="47" s="1"/>
  <c r="Q66" i="47"/>
  <c r="AJ66" i="47" s="1"/>
  <c r="R55" i="47"/>
  <c r="AM55" i="47" s="1"/>
  <c r="R65" i="47"/>
  <c r="AM65" i="47" s="1"/>
  <c r="R46" i="47"/>
  <c r="AM46" i="47" s="1"/>
  <c r="N46" i="47"/>
  <c r="AA46" i="47" s="1"/>
  <c r="N47" i="47"/>
  <c r="AA47" i="47" s="1"/>
  <c r="L37" i="47"/>
  <c r="U37" i="47" s="1"/>
  <c r="O66" i="47"/>
  <c r="AD66" i="47" s="1"/>
  <c r="L55" i="47"/>
  <c r="U55" i="47" s="1"/>
  <c r="R37" i="47"/>
  <c r="AM37" i="47" s="1"/>
  <c r="P66" i="47"/>
  <c r="AG66" i="47" s="1"/>
  <c r="O47" i="47"/>
  <c r="AD47" i="47" s="1"/>
  <c r="O38" i="47"/>
  <c r="AD38" i="47" s="1"/>
  <c r="P30" i="47"/>
  <c r="AG30" i="47" s="1"/>
  <c r="R63" i="47"/>
  <c r="AM63" i="47" s="1"/>
  <c r="L19" i="47"/>
  <c r="U19" i="47" s="1"/>
  <c r="R56" i="47"/>
  <c r="AM56" i="47" s="1"/>
  <c r="M39" i="47"/>
  <c r="X39" i="47" s="1"/>
  <c r="M64" i="47"/>
  <c r="X64" i="47" s="1"/>
  <c r="P65" i="47"/>
  <c r="AG65" i="47" s="1"/>
  <c r="R29" i="47"/>
  <c r="AM29" i="47" s="1"/>
  <c r="M37" i="47"/>
  <c r="X37" i="47" s="1"/>
  <c r="O30" i="47"/>
  <c r="AD30" i="47" s="1"/>
  <c r="P28" i="47"/>
  <c r="AG28" i="47" s="1"/>
  <c r="R38" i="47"/>
  <c r="AM38" i="47" s="1"/>
  <c r="P55" i="47"/>
  <c r="AG55" i="47" s="1"/>
  <c r="I63" i="47"/>
  <c r="AI63" i="47" s="1"/>
  <c r="O19" i="47"/>
  <c r="AD19" i="47" s="1"/>
  <c r="N20" i="47"/>
  <c r="AA20" i="47" s="1"/>
  <c r="N54" i="47"/>
  <c r="AA54" i="47" s="1"/>
  <c r="L27" i="47"/>
  <c r="U27" i="47" s="1"/>
  <c r="L45" i="47"/>
  <c r="P20" i="47"/>
  <c r="AG20" i="47" s="1"/>
  <c r="P45" i="47"/>
  <c r="AG45" i="47" s="1"/>
  <c r="E27" i="47"/>
  <c r="W27" i="47" s="1"/>
  <c r="I54" i="47"/>
  <c r="O27" i="47"/>
  <c r="AD27" i="47" s="1"/>
  <c r="P54" i="47"/>
  <c r="AG54" i="47" s="1"/>
  <c r="O63" i="47"/>
  <c r="AD63" i="47" s="1"/>
  <c r="M21" i="47"/>
  <c r="X21" i="47" s="1"/>
  <c r="I18" i="47"/>
  <c r="AI18" i="47" s="1"/>
  <c r="R21" i="47"/>
  <c r="AM21" i="47" s="1"/>
  <c r="N27" i="47"/>
  <c r="AA27" i="47" s="1"/>
  <c r="Q21" i="47"/>
  <c r="AJ21" i="47" s="1"/>
  <c r="O54" i="47"/>
  <c r="AD54" i="47" s="1"/>
  <c r="L66" i="47"/>
  <c r="U66" i="47" s="1"/>
  <c r="I36" i="47"/>
  <c r="O18" i="47"/>
  <c r="O36" i="47"/>
  <c r="N18" i="47"/>
  <c r="AA18" i="47" s="1"/>
  <c r="L63" i="47"/>
  <c r="U63" i="47" s="1"/>
  <c r="L57" i="47"/>
  <c r="U57" i="47" s="1"/>
  <c r="I27" i="47"/>
  <c r="AI27" i="47" s="1"/>
  <c r="N19" i="47"/>
  <c r="AA19" i="47" s="1"/>
  <c r="N63" i="47"/>
  <c r="AA63" i="47" s="1"/>
  <c r="M19" i="47"/>
  <c r="X19" i="47" s="1"/>
  <c r="R19" i="47"/>
  <c r="AM19" i="47" s="1"/>
  <c r="N21" i="47"/>
  <c r="AA21" i="47" s="1"/>
  <c r="L18" i="47"/>
  <c r="P18" i="47"/>
  <c r="AG18" i="47" s="1"/>
  <c r="E18" i="47"/>
  <c r="W18" i="47" s="1"/>
  <c r="E45" i="47"/>
  <c r="W45" i="47" s="1"/>
  <c r="P63" i="47"/>
  <c r="AG63" i="47" s="1"/>
  <c r="R66" i="47"/>
  <c r="AM66" i="47" s="1"/>
  <c r="N36" i="47"/>
  <c r="AA36" i="47" s="1"/>
  <c r="P27" i="47"/>
  <c r="AG27" i="47" s="1"/>
  <c r="P21" i="47"/>
  <c r="AG21" i="47" s="1"/>
  <c r="E36" i="47"/>
  <c r="W36" i="47" s="1"/>
  <c r="E54" i="47"/>
  <c r="L36" i="47"/>
  <c r="U36" i="47" s="1"/>
  <c r="P36" i="47"/>
  <c r="AG36" i="47" s="1"/>
  <c r="E63" i="47"/>
  <c r="O2" i="21"/>
  <c r="J50" i="24"/>
  <c r="J52" i="24"/>
  <c r="L87" i="24"/>
  <c r="L86" i="24"/>
  <c r="L85" i="24"/>
  <c r="L83" i="24"/>
  <c r="L84" i="24"/>
  <c r="L82" i="24"/>
  <c r="L81" i="24"/>
  <c r="L80" i="24"/>
  <c r="L79" i="24"/>
  <c r="L78" i="24"/>
  <c r="L77" i="24"/>
  <c r="L76" i="24"/>
  <c r="L75" i="24"/>
  <c r="J37" i="24"/>
  <c r="L60" i="24"/>
  <c r="L74" i="24"/>
  <c r="J40" i="24"/>
  <c r="J41" i="24"/>
  <c r="I64" i="24"/>
  <c r="I39" i="24"/>
  <c r="J80" i="24"/>
  <c r="J67" i="24"/>
  <c r="J43" i="24"/>
  <c r="J45" i="24"/>
  <c r="J51" i="24"/>
  <c r="L62" i="24"/>
  <c r="J79" i="24"/>
  <c r="J39" i="24"/>
  <c r="I50" i="24"/>
  <c r="J53" i="24"/>
  <c r="I87" i="24"/>
  <c r="I70" i="24"/>
  <c r="L73" i="24"/>
  <c r="L72" i="24"/>
  <c r="L71" i="24"/>
  <c r="L70" i="24"/>
  <c r="L69" i="24"/>
  <c r="L68" i="24"/>
  <c r="L67" i="24"/>
  <c r="L66" i="24"/>
  <c r="L65" i="24"/>
  <c r="J38" i="24"/>
  <c r="L64" i="24"/>
  <c r="L63" i="24"/>
  <c r="L61" i="24"/>
  <c r="L59" i="24"/>
  <c r="J82" i="24"/>
  <c r="J46" i="24"/>
  <c r="J42" i="24"/>
  <c r="J49" i="24"/>
  <c r="J73" i="24"/>
  <c r="J70" i="24"/>
  <c r="J58" i="24"/>
  <c r="J74" i="24"/>
  <c r="L51" i="24"/>
  <c r="L55" i="24"/>
  <c r="L44" i="24"/>
  <c r="L37" i="24"/>
  <c r="L48" i="24"/>
  <c r="J85" i="24"/>
  <c r="L41" i="24"/>
  <c r="L43" i="24"/>
  <c r="L58" i="24"/>
  <c r="L45" i="24"/>
  <c r="L46" i="24"/>
  <c r="J47" i="24"/>
  <c r="J75" i="24"/>
  <c r="J48" i="24"/>
  <c r="L57" i="24"/>
  <c r="I80" i="24"/>
  <c r="L56" i="24"/>
  <c r="I75" i="24"/>
  <c r="I52" i="24"/>
  <c r="I72" i="24"/>
  <c r="J77" i="24"/>
  <c r="I53" i="24"/>
  <c r="J65" i="24"/>
  <c r="I44" i="24"/>
  <c r="J64" i="24"/>
  <c r="J84" i="24"/>
  <c r="L40" i="24"/>
  <c r="J87" i="24"/>
  <c r="J60" i="24"/>
  <c r="J68" i="24"/>
  <c r="J83" i="24"/>
  <c r="I65" i="24"/>
  <c r="I42" i="24"/>
  <c r="J63" i="24"/>
  <c r="J76" i="24"/>
  <c r="J71" i="24"/>
  <c r="J72" i="24"/>
  <c r="J59" i="24"/>
  <c r="J56" i="24"/>
  <c r="J81" i="24"/>
  <c r="L49" i="24"/>
  <c r="I55" i="24"/>
  <c r="I38" i="24"/>
  <c r="L47" i="24"/>
  <c r="I59" i="24"/>
  <c r="L39" i="24"/>
  <c r="I41" i="24"/>
  <c r="I47" i="24"/>
  <c r="I86" i="24"/>
  <c r="I74" i="24"/>
  <c r="I37" i="24"/>
  <c r="I58" i="24"/>
  <c r="J69" i="24"/>
  <c r="I56" i="24"/>
  <c r="J44" i="24"/>
  <c r="J86" i="24"/>
  <c r="J55" i="24"/>
  <c r="I78" i="24"/>
  <c r="L54" i="24"/>
  <c r="I43" i="24"/>
  <c r="I85" i="24"/>
  <c r="I45" i="24"/>
  <c r="I48" i="24"/>
  <c r="I76" i="24"/>
  <c r="L52" i="24"/>
  <c r="I40" i="24"/>
  <c r="J62" i="24"/>
  <c r="L50" i="24"/>
  <c r="I62" i="24"/>
  <c r="L38" i="24"/>
  <c r="I77" i="24"/>
  <c r="L53" i="24"/>
  <c r="J61" i="24"/>
  <c r="I84" i="24"/>
  <c r="J54" i="24"/>
  <c r="I73" i="24"/>
  <c r="I79" i="24"/>
  <c r="I81" i="24"/>
  <c r="I54" i="24"/>
  <c r="I83" i="24"/>
  <c r="J57" i="24"/>
  <c r="I66" i="24"/>
  <c r="I60" i="24"/>
  <c r="L42" i="24"/>
  <c r="I82" i="24"/>
  <c r="I49" i="24"/>
  <c r="I71" i="24"/>
  <c r="I57" i="24"/>
  <c r="I46" i="24"/>
  <c r="I51" i="24"/>
  <c r="I61" i="24"/>
  <c r="AA879" i="15" l="1"/>
  <c r="AA884" i="15"/>
  <c r="AA871" i="15"/>
  <c r="AA868" i="15"/>
  <c r="AA876" i="15"/>
  <c r="AA870" i="15"/>
  <c r="AA131" i="15"/>
  <c r="AA875" i="15"/>
  <c r="AA869" i="15"/>
  <c r="AA862" i="15"/>
  <c r="AA864" i="15"/>
  <c r="F4" i="48"/>
  <c r="I4" i="48" s="1"/>
  <c r="AA847" i="15"/>
  <c r="AA855" i="15"/>
  <c r="I28" i="47"/>
  <c r="I46" i="47"/>
  <c r="AI46" i="47" s="1"/>
  <c r="I37" i="47"/>
  <c r="AI37" i="47" s="1"/>
  <c r="I19" i="47"/>
  <c r="AI19" i="47" s="1"/>
  <c r="I64" i="47"/>
  <c r="AI64" i="47" s="1"/>
  <c r="I55" i="47"/>
  <c r="AI55" i="47" s="1"/>
  <c r="F7" i="48"/>
  <c r="I7" i="48" s="1"/>
  <c r="G20" i="49"/>
  <c r="I50" i="5"/>
  <c r="S50" i="5" s="1"/>
  <c r="AA842" i="15"/>
  <c r="F85" i="5"/>
  <c r="D79" i="5"/>
  <c r="H79" i="5"/>
  <c r="J79" i="5"/>
  <c r="D85" i="5"/>
  <c r="G81" i="5"/>
  <c r="H86" i="5"/>
  <c r="F71" i="5"/>
  <c r="E69" i="5"/>
  <c r="F78" i="5"/>
  <c r="J84" i="5"/>
  <c r="E86" i="5"/>
  <c r="H70" i="5"/>
  <c r="D70" i="5"/>
  <c r="E80" i="5"/>
  <c r="G86" i="5"/>
  <c r="G69" i="5"/>
  <c r="J69" i="5"/>
  <c r="E78" i="5"/>
  <c r="D69" i="5"/>
  <c r="G68" i="5"/>
  <c r="J85" i="5"/>
  <c r="E70" i="5"/>
  <c r="F70" i="5"/>
  <c r="G83" i="5"/>
  <c r="E85" i="5"/>
  <c r="H69" i="5"/>
  <c r="F80" i="5"/>
  <c r="J71" i="5"/>
  <c r="D81" i="5"/>
  <c r="G85" i="5"/>
  <c r="F86" i="5"/>
  <c r="G79" i="5"/>
  <c r="F79" i="5"/>
  <c r="G84" i="5"/>
  <c r="E84" i="5"/>
  <c r="G70" i="5"/>
  <c r="H68" i="5"/>
  <c r="H83" i="5"/>
  <c r="F83" i="5"/>
  <c r="D68" i="5"/>
  <c r="F81" i="5"/>
  <c r="D86" i="5"/>
  <c r="J83" i="5"/>
  <c r="G71" i="5"/>
  <c r="D71" i="5"/>
  <c r="J86" i="5"/>
  <c r="F69" i="5"/>
  <c r="E81" i="5"/>
  <c r="J68" i="5"/>
  <c r="F84" i="5"/>
  <c r="E79" i="5"/>
  <c r="J70" i="5"/>
  <c r="D80" i="5"/>
  <c r="H85" i="5"/>
  <c r="E71" i="5"/>
  <c r="J78" i="5"/>
  <c r="G80" i="5"/>
  <c r="H80" i="5"/>
  <c r="D84" i="5"/>
  <c r="J81" i="5"/>
  <c r="D78" i="5"/>
  <c r="H84" i="5"/>
  <c r="H71" i="5"/>
  <c r="H81" i="5"/>
  <c r="G78" i="5"/>
  <c r="H78" i="5"/>
  <c r="D83" i="5"/>
  <c r="E68" i="5"/>
  <c r="J80" i="5"/>
  <c r="F68" i="5"/>
  <c r="E83" i="5"/>
  <c r="N43" i="5"/>
  <c r="P49" i="5"/>
  <c r="P28" i="5"/>
  <c r="O47" i="5"/>
  <c r="O43" i="5"/>
  <c r="Q48" i="5"/>
  <c r="T43" i="5"/>
  <c r="N48" i="5"/>
  <c r="Q44" i="5"/>
  <c r="P43" i="5"/>
  <c r="N34" i="5"/>
  <c r="R43" i="5"/>
  <c r="T49" i="5"/>
  <c r="P39" i="5"/>
  <c r="R47" i="5"/>
  <c r="T40" i="5"/>
  <c r="O45" i="5"/>
  <c r="T44" i="5"/>
  <c r="R48" i="5"/>
  <c r="O44" i="5"/>
  <c r="N47" i="5"/>
  <c r="Q43" i="5"/>
  <c r="Q30" i="5"/>
  <c r="N44" i="5"/>
  <c r="T48" i="5"/>
  <c r="O50" i="5"/>
  <c r="O42" i="5"/>
  <c r="Q47" i="5"/>
  <c r="Q45" i="5"/>
  <c r="O49" i="5"/>
  <c r="Q40" i="5"/>
  <c r="P42" i="5"/>
  <c r="R45" i="5"/>
  <c r="Q50" i="5"/>
  <c r="R38" i="5"/>
  <c r="N29" i="5"/>
  <c r="P45" i="5"/>
  <c r="Q49" i="5"/>
  <c r="P50" i="5"/>
  <c r="R33" i="5"/>
  <c r="P33" i="5"/>
  <c r="N45" i="5"/>
  <c r="T42" i="5"/>
  <c r="O48" i="5"/>
  <c r="T45" i="5"/>
  <c r="P44" i="5"/>
  <c r="N50" i="5"/>
  <c r="P47" i="5"/>
  <c r="R50" i="5"/>
  <c r="T47" i="5"/>
  <c r="R42" i="5"/>
  <c r="Q42" i="5"/>
  <c r="N49" i="5"/>
  <c r="T50" i="5"/>
  <c r="T34" i="5"/>
  <c r="O38" i="5"/>
  <c r="N39" i="5"/>
  <c r="R44" i="5"/>
  <c r="R49" i="5"/>
  <c r="P48" i="5"/>
  <c r="T37" i="5"/>
  <c r="Q39" i="5"/>
  <c r="R39" i="5"/>
  <c r="R40" i="5"/>
  <c r="Q37" i="5"/>
  <c r="R37" i="5"/>
  <c r="T39" i="5"/>
  <c r="O37" i="5"/>
  <c r="N38" i="5"/>
  <c r="P37" i="5"/>
  <c r="T38" i="5"/>
  <c r="O39" i="5"/>
  <c r="N37" i="5"/>
  <c r="N40" i="5"/>
  <c r="Q35" i="5"/>
  <c r="Q38" i="5"/>
  <c r="P38" i="5"/>
  <c r="O33" i="5"/>
  <c r="P40" i="5"/>
  <c r="O40" i="5"/>
  <c r="P32" i="5"/>
  <c r="O35" i="5"/>
  <c r="Q33" i="5"/>
  <c r="T35" i="5"/>
  <c r="R35" i="5"/>
  <c r="T30" i="5"/>
  <c r="R29" i="5"/>
  <c r="O34" i="5"/>
  <c r="R34" i="5"/>
  <c r="N33" i="5"/>
  <c r="R32" i="5"/>
  <c r="P34" i="5"/>
  <c r="O32" i="5"/>
  <c r="Q32" i="5"/>
  <c r="Q34" i="5"/>
  <c r="N35" i="5"/>
  <c r="O29" i="5"/>
  <c r="T32" i="5"/>
  <c r="P35" i="5"/>
  <c r="T33" i="5"/>
  <c r="R30" i="5"/>
  <c r="R27" i="5"/>
  <c r="N30" i="5"/>
  <c r="T29" i="5"/>
  <c r="Q27" i="5"/>
  <c r="O28" i="5"/>
  <c r="Q28" i="5"/>
  <c r="T28" i="5"/>
  <c r="P27" i="5"/>
  <c r="O27" i="5"/>
  <c r="T27" i="5"/>
  <c r="P29" i="5"/>
  <c r="Q29" i="5"/>
  <c r="N27" i="5"/>
  <c r="P30" i="5"/>
  <c r="N28" i="5"/>
  <c r="O30" i="5"/>
  <c r="R28" i="5"/>
  <c r="N32" i="5"/>
  <c r="O24" i="5"/>
  <c r="T23" i="5"/>
  <c r="Q22" i="5"/>
  <c r="P25" i="5"/>
  <c r="N24" i="5"/>
  <c r="R25" i="5"/>
  <c r="T25" i="5"/>
  <c r="N25" i="5"/>
  <c r="T24" i="5"/>
  <c r="P24" i="5"/>
  <c r="O22" i="5"/>
  <c r="P22" i="5"/>
  <c r="R24" i="5"/>
  <c r="O23" i="5"/>
  <c r="P23" i="5"/>
  <c r="Q23" i="5"/>
  <c r="R22" i="5"/>
  <c r="O25" i="5"/>
  <c r="Q25" i="5"/>
  <c r="N23" i="5"/>
  <c r="R23" i="5"/>
  <c r="N22" i="5"/>
  <c r="Q24" i="5"/>
  <c r="T22" i="5"/>
  <c r="D65" i="5"/>
  <c r="F64" i="5"/>
  <c r="H66" i="5"/>
  <c r="G66" i="5"/>
  <c r="E64" i="5"/>
  <c r="J63" i="5"/>
  <c r="D75" i="5"/>
  <c r="F63" i="5"/>
  <c r="H76" i="5"/>
  <c r="E66" i="5"/>
  <c r="G74" i="5"/>
  <c r="G64" i="5"/>
  <c r="J66" i="5"/>
  <c r="J76" i="5"/>
  <c r="F74" i="5"/>
  <c r="E76" i="5"/>
  <c r="H65" i="5"/>
  <c r="E75" i="5"/>
  <c r="E65" i="5"/>
  <c r="F73" i="5"/>
  <c r="E73" i="5"/>
  <c r="D64" i="5"/>
  <c r="F76" i="5"/>
  <c r="J75" i="5"/>
  <c r="H75" i="5"/>
  <c r="H63" i="5"/>
  <c r="D76" i="5"/>
  <c r="F65" i="5"/>
  <c r="G73" i="5"/>
  <c r="E63" i="5"/>
  <c r="G63" i="5"/>
  <c r="G75" i="5"/>
  <c r="H64" i="5"/>
  <c r="F75" i="5"/>
  <c r="G76" i="5"/>
  <c r="D63" i="5"/>
  <c r="G65" i="5"/>
  <c r="F66" i="5"/>
  <c r="J64" i="5"/>
  <c r="J73" i="5"/>
  <c r="E74" i="5"/>
  <c r="D73" i="5"/>
  <c r="D74" i="5"/>
  <c r="H73" i="5"/>
  <c r="D66" i="5"/>
  <c r="J65" i="5"/>
  <c r="H74" i="5"/>
  <c r="J74" i="5"/>
  <c r="G53" i="5"/>
  <c r="D53" i="5"/>
  <c r="K49" i="5"/>
  <c r="E53" i="5"/>
  <c r="H53" i="5"/>
  <c r="K52" i="5"/>
  <c r="F53" i="5"/>
  <c r="J53" i="5"/>
  <c r="K51" i="5"/>
  <c r="AA829" i="15"/>
  <c r="AA832" i="15"/>
  <c r="AA506" i="15"/>
  <c r="AA821" i="15"/>
  <c r="AA258" i="15"/>
  <c r="AA252" i="15"/>
  <c r="AA315" i="15"/>
  <c r="AA435" i="15"/>
  <c r="AA658" i="15"/>
  <c r="AA26" i="15"/>
  <c r="AA631" i="15"/>
  <c r="AA591" i="15"/>
  <c r="AA391" i="15"/>
  <c r="AA543" i="15"/>
  <c r="AA264" i="15"/>
  <c r="AA42" i="15"/>
  <c r="AA574" i="15"/>
  <c r="AA646" i="15"/>
  <c r="AA352" i="15"/>
  <c r="AA651" i="15"/>
  <c r="AA128" i="15"/>
  <c r="AA407" i="15"/>
  <c r="AA448" i="15"/>
  <c r="AA496" i="15"/>
  <c r="AA94" i="15"/>
  <c r="AA120" i="15"/>
  <c r="AA317" i="15"/>
  <c r="AA281" i="15"/>
  <c r="AA323" i="15"/>
  <c r="AA472" i="15"/>
  <c r="AA268" i="15"/>
  <c r="AA466" i="15"/>
  <c r="AA440" i="15"/>
  <c r="AA807" i="15"/>
  <c r="AA810" i="15"/>
  <c r="AA798" i="15"/>
  <c r="AA804" i="15"/>
  <c r="AB416" i="15"/>
  <c r="AC416" i="15" s="1"/>
  <c r="AA802" i="15"/>
  <c r="AA788" i="15"/>
  <c r="AA793" i="15"/>
  <c r="AA780" i="15"/>
  <c r="AA785" i="15"/>
  <c r="AB229" i="15"/>
  <c r="AC229" i="15" s="1"/>
  <c r="AB3" i="15"/>
  <c r="AC3" i="15" s="1"/>
  <c r="AB420" i="15"/>
  <c r="AC420" i="15" s="1"/>
  <c r="AB97" i="15"/>
  <c r="AC97" i="15" s="1"/>
  <c r="AB639" i="15"/>
  <c r="AC639" i="15" s="1"/>
  <c r="AA774" i="15"/>
  <c r="AA778" i="15"/>
  <c r="B2" i="13"/>
  <c r="E3" i="13" s="1"/>
  <c r="E4" i="13" s="1"/>
  <c r="I5" i="13" s="1"/>
  <c r="AA173" i="15"/>
  <c r="AA260" i="15"/>
  <c r="AA761" i="15"/>
  <c r="AA768" i="15"/>
  <c r="AA582" i="15"/>
  <c r="AA588" i="15"/>
  <c r="AA751" i="15"/>
  <c r="AA758" i="15"/>
  <c r="AA735" i="15"/>
  <c r="AA743" i="15"/>
  <c r="AA307" i="15"/>
  <c r="AA730" i="15"/>
  <c r="AA515" i="15"/>
  <c r="AA725" i="15"/>
  <c r="I5" i="46"/>
  <c r="M5" i="46" s="1"/>
  <c r="I6" i="46"/>
  <c r="M6" i="46" s="1"/>
  <c r="I7" i="46"/>
  <c r="M7" i="46" s="1"/>
  <c r="I3" i="46"/>
  <c r="M3" i="46" s="1"/>
  <c r="I4" i="46"/>
  <c r="M4" i="46" s="1"/>
  <c r="AA40" i="15"/>
  <c r="AA716" i="15"/>
  <c r="AA147" i="15"/>
  <c r="AA698" i="15"/>
  <c r="AA376" i="15"/>
  <c r="AA114" i="15"/>
  <c r="AA19" i="15"/>
  <c r="AA45" i="15"/>
  <c r="AA245" i="15"/>
  <c r="J36" i="24"/>
  <c r="C7" i="30"/>
  <c r="AA23" i="15"/>
  <c r="AA690" i="15"/>
  <c r="I8" i="48"/>
  <c r="I11" i="48"/>
  <c r="I6" i="48"/>
  <c r="I5" i="48"/>
  <c r="I10" i="48"/>
  <c r="I3" i="48"/>
  <c r="I9" i="48"/>
  <c r="AA686" i="15"/>
  <c r="I36" i="24"/>
  <c r="C3" i="30"/>
  <c r="H3" i="30" s="1"/>
  <c r="AA681" i="15"/>
  <c r="C4" i="30"/>
  <c r="H4" i="30" s="1"/>
  <c r="C6" i="30"/>
  <c r="H6" i="30" s="1"/>
  <c r="L36" i="24"/>
  <c r="C5" i="30"/>
  <c r="H5" i="30" s="1"/>
  <c r="AA91" i="15"/>
  <c r="AA5" i="15"/>
  <c r="AA342" i="15"/>
  <c r="AA31" i="15"/>
  <c r="AA142" i="15"/>
  <c r="AA51" i="15"/>
  <c r="AA239" i="15"/>
  <c r="AA339" i="15"/>
  <c r="AA611" i="15"/>
  <c r="Q37" i="47"/>
  <c r="AJ37" i="47" s="1"/>
  <c r="AA635" i="15"/>
  <c r="Q46" i="47"/>
  <c r="AJ46" i="47" s="1"/>
  <c r="AA333" i="15"/>
  <c r="AA3" i="15"/>
  <c r="AA665" i="15"/>
  <c r="AA86" i="15"/>
  <c r="AA61" i="15"/>
  <c r="AH54" i="47"/>
  <c r="Q55" i="47"/>
  <c r="AJ55" i="47" s="1"/>
  <c r="I41" i="5"/>
  <c r="I80" i="5" s="1"/>
  <c r="AA305" i="15"/>
  <c r="AA276" i="15"/>
  <c r="AA183" i="15"/>
  <c r="AA512" i="15"/>
  <c r="AA204" i="15"/>
  <c r="AA535" i="15"/>
  <c r="AA126" i="15"/>
  <c r="I32" i="5"/>
  <c r="AA216" i="15"/>
  <c r="AA193" i="15"/>
  <c r="AA458" i="15"/>
  <c r="AA310" i="15"/>
  <c r="Q28" i="47"/>
  <c r="AJ28" i="47" s="1"/>
  <c r="AA293" i="15"/>
  <c r="AA150" i="15"/>
  <c r="AA222" i="15"/>
  <c r="AA68" i="15"/>
  <c r="AA78" i="15"/>
  <c r="AA202" i="15"/>
  <c r="AA302" i="15"/>
  <c r="AA198" i="15"/>
  <c r="AA347" i="15"/>
  <c r="AA616" i="15"/>
  <c r="AA480" i="15"/>
  <c r="AA548" i="15"/>
  <c r="AA490" i="15"/>
  <c r="AA529" i="15"/>
  <c r="I23" i="5"/>
  <c r="I69" i="5" s="1"/>
  <c r="S5" i="5"/>
  <c r="S43" i="5" s="1"/>
  <c r="AA364" i="15"/>
  <c r="AA476" i="15"/>
  <c r="AA356" i="15"/>
  <c r="AA484" i="15"/>
  <c r="AA522" i="15"/>
  <c r="AA229" i="15"/>
  <c r="AC5" i="5"/>
  <c r="S14" i="5"/>
  <c r="S28" i="5" s="1"/>
  <c r="AA311" i="15"/>
  <c r="AA288" i="15"/>
  <c r="AA401" i="15"/>
  <c r="Q19" i="47"/>
  <c r="AJ19" i="47" s="1"/>
  <c r="AA606" i="15"/>
  <c r="AA420" i="15"/>
  <c r="AA97" i="15"/>
  <c r="AA370" i="15"/>
  <c r="AA167" i="15"/>
  <c r="AA207" i="15"/>
  <c r="Q64" i="47"/>
  <c r="AJ64" i="47" s="1"/>
  <c r="I14" i="5"/>
  <c r="S33" i="5" s="1"/>
  <c r="AA628" i="15"/>
  <c r="AA510" i="15"/>
  <c r="AA178" i="15"/>
  <c r="AA397" i="15"/>
  <c r="AA188" i="15"/>
  <c r="AA412" i="15"/>
  <c r="AA416" i="15"/>
  <c r="AA197" i="15"/>
  <c r="AA373" i="15"/>
  <c r="I5" i="5"/>
  <c r="S24" i="5" s="1"/>
  <c r="AA624" i="15"/>
  <c r="AA388" i="15"/>
  <c r="AA138" i="15"/>
  <c r="AE45" i="47"/>
  <c r="AH45" i="47"/>
  <c r="AE27" i="47"/>
  <c r="AE54" i="47"/>
  <c r="N42" i="5"/>
  <c r="G25" i="49"/>
  <c r="G19" i="49"/>
  <c r="Y38" i="47"/>
  <c r="AN55" i="47"/>
  <c r="AB66" i="47"/>
  <c r="AK65" i="47"/>
  <c r="AH64" i="47"/>
  <c r="AH29" i="47"/>
  <c r="AB29" i="47"/>
  <c r="Z57" i="47"/>
  <c r="AB57" i="47" s="1"/>
  <c r="AH28" i="47"/>
  <c r="AH46" i="47"/>
  <c r="AH55" i="47"/>
  <c r="AE30" i="47"/>
  <c r="AH37" i="47"/>
  <c r="AE66" i="47"/>
  <c r="AE57" i="47"/>
  <c r="Y47" i="47"/>
  <c r="O6" i="21"/>
  <c r="C5" i="21" s="1"/>
  <c r="C6" i="21" s="1"/>
  <c r="C9" i="21" s="1"/>
  <c r="AB30" i="47"/>
  <c r="Y29" i="47"/>
  <c r="Y65" i="47"/>
  <c r="AE39" i="47"/>
  <c r="AE48" i="47"/>
  <c r="AB39" i="47"/>
  <c r="Y46" i="47"/>
  <c r="AB21" i="47"/>
  <c r="V47" i="47"/>
  <c r="V65" i="47"/>
  <c r="Y37" i="47"/>
  <c r="V29" i="47"/>
  <c r="AB48" i="47"/>
  <c r="V56" i="47"/>
  <c r="Y54" i="47"/>
  <c r="Y28" i="47"/>
  <c r="AE38" i="47"/>
  <c r="V38" i="47"/>
  <c r="Y64" i="47"/>
  <c r="K66" i="24"/>
  <c r="M66" i="24"/>
  <c r="AE20" i="47"/>
  <c r="Z54" i="47"/>
  <c r="AB54" i="47" s="1"/>
  <c r="Y66" i="47"/>
  <c r="AE29" i="47"/>
  <c r="AN21" i="47"/>
  <c r="E58" i="47"/>
  <c r="AE47" i="47"/>
  <c r="AE56" i="47"/>
  <c r="Y30" i="47"/>
  <c r="AN48" i="47"/>
  <c r="AE65" i="47"/>
  <c r="AB45" i="47"/>
  <c r="Y39" i="47"/>
  <c r="M78" i="24"/>
  <c r="K78" i="24"/>
  <c r="AN57" i="47"/>
  <c r="Y48" i="47"/>
  <c r="V55" i="47"/>
  <c r="AE21" i="47"/>
  <c r="Y21" i="47"/>
  <c r="V37" i="47"/>
  <c r="K68" i="24"/>
  <c r="H61" i="5"/>
  <c r="K63" i="24"/>
  <c r="K69" i="24"/>
  <c r="AH20" i="47"/>
  <c r="AN47" i="47"/>
  <c r="W55" i="47"/>
  <c r="Y55" i="47" s="1"/>
  <c r="Y19" i="47"/>
  <c r="V19" i="47"/>
  <c r="H31" i="47"/>
  <c r="AF31" i="47" s="1"/>
  <c r="AH66" i="47"/>
  <c r="AH30" i="47"/>
  <c r="D60" i="5"/>
  <c r="AK56" i="47"/>
  <c r="G61" i="5"/>
  <c r="AH48" i="47"/>
  <c r="V48" i="47"/>
  <c r="AH39" i="47"/>
  <c r="AE46" i="47"/>
  <c r="F61" i="5"/>
  <c r="AB37" i="47"/>
  <c r="V66" i="47"/>
  <c r="J58" i="5"/>
  <c r="E61" i="5"/>
  <c r="D58" i="5"/>
  <c r="H60" i="5"/>
  <c r="AB20" i="47"/>
  <c r="F59" i="5"/>
  <c r="AB64" i="47"/>
  <c r="E60" i="5"/>
  <c r="G59" i="5"/>
  <c r="F58" i="5"/>
  <c r="J59" i="5"/>
  <c r="H58" i="5"/>
  <c r="J61" i="5"/>
  <c r="D59" i="5"/>
  <c r="J60" i="5"/>
  <c r="G60" i="5"/>
  <c r="AB46" i="47"/>
  <c r="F60" i="5"/>
  <c r="E58" i="5"/>
  <c r="G58" i="5"/>
  <c r="E59" i="5"/>
  <c r="H59" i="5"/>
  <c r="D61" i="5"/>
  <c r="AK47" i="47"/>
  <c r="F22" i="47"/>
  <c r="Z22" i="47" s="1"/>
  <c r="AB19" i="47"/>
  <c r="V20" i="47"/>
  <c r="F49" i="47"/>
  <c r="Z49" i="47" s="1"/>
  <c r="AB47" i="47"/>
  <c r="AK29" i="47"/>
  <c r="E8" i="5"/>
  <c r="F40" i="47"/>
  <c r="Z40" i="47" s="1"/>
  <c r="AB55" i="47"/>
  <c r="F58" i="47"/>
  <c r="Z58" i="47" s="1"/>
  <c r="AH57" i="47"/>
  <c r="H58" i="47"/>
  <c r="AF58" i="47" s="1"/>
  <c r="AB38" i="47"/>
  <c r="F67" i="47"/>
  <c r="Z67" i="47" s="1"/>
  <c r="H22" i="47"/>
  <c r="AF22" i="47" s="1"/>
  <c r="Z56" i="47"/>
  <c r="AB56" i="47" s="1"/>
  <c r="AB65" i="47"/>
  <c r="AH56" i="47"/>
  <c r="AK57" i="47"/>
  <c r="K67" i="24"/>
  <c r="D58" i="47"/>
  <c r="T58" i="47" s="1"/>
  <c r="V28" i="47"/>
  <c r="D22" i="47"/>
  <c r="T22" i="47" s="1"/>
  <c r="AB28" i="47"/>
  <c r="Y20" i="47"/>
  <c r="V64" i="47"/>
  <c r="F31" i="47"/>
  <c r="Z31" i="47" s="1"/>
  <c r="V57" i="47"/>
  <c r="AN20" i="47"/>
  <c r="V21" i="47"/>
  <c r="V39" i="47"/>
  <c r="D31" i="47"/>
  <c r="T31" i="47" s="1"/>
  <c r="V30" i="47"/>
  <c r="H67" i="47"/>
  <c r="AF67" i="47" s="1"/>
  <c r="D40" i="47"/>
  <c r="T40" i="47" s="1"/>
  <c r="AK48" i="47"/>
  <c r="AN56" i="47"/>
  <c r="D67" i="47"/>
  <c r="T67" i="47" s="1"/>
  <c r="V46" i="47"/>
  <c r="D49" i="47"/>
  <c r="T49" i="47" s="1"/>
  <c r="AH47" i="47"/>
  <c r="H49" i="47"/>
  <c r="AF49" i="47" s="1"/>
  <c r="H40" i="47"/>
  <c r="AF40" i="47" s="1"/>
  <c r="AK66" i="47"/>
  <c r="Y56" i="47"/>
  <c r="J31" i="47"/>
  <c r="AL31" i="47" s="1"/>
  <c r="AN28" i="47"/>
  <c r="AE55" i="47"/>
  <c r="AE64" i="47"/>
  <c r="J40" i="47"/>
  <c r="AL40" i="47" s="1"/>
  <c r="G67" i="47"/>
  <c r="AC67" i="47" s="1"/>
  <c r="AE37" i="47"/>
  <c r="G40" i="47"/>
  <c r="AC40" i="47" s="1"/>
  <c r="L49" i="47"/>
  <c r="U49" i="47" s="1"/>
  <c r="AN37" i="47"/>
  <c r="E31" i="47"/>
  <c r="W31" i="47" s="1"/>
  <c r="AE28" i="47"/>
  <c r="M58" i="47"/>
  <c r="X58" i="47" s="1"/>
  <c r="AN46" i="47"/>
  <c r="M67" i="47"/>
  <c r="X67" i="47" s="1"/>
  <c r="J58" i="47"/>
  <c r="AL58" i="47" s="1"/>
  <c r="G58" i="47"/>
  <c r="AC58" i="47" s="1"/>
  <c r="R49" i="47"/>
  <c r="AM49" i="47" s="1"/>
  <c r="AN39" i="47"/>
  <c r="N31" i="47"/>
  <c r="AA31" i="47" s="1"/>
  <c r="J22" i="47"/>
  <c r="AL22" i="47" s="1"/>
  <c r="R58" i="47"/>
  <c r="AM58" i="47" s="1"/>
  <c r="G22" i="47"/>
  <c r="AC22" i="47" s="1"/>
  <c r="M40" i="47"/>
  <c r="X40" i="47" s="1"/>
  <c r="G49" i="47"/>
  <c r="AC49" i="47" s="1"/>
  <c r="J49" i="47"/>
  <c r="AL49" i="47" s="1"/>
  <c r="R31" i="47"/>
  <c r="AM31" i="47" s="1"/>
  <c r="P49" i="47"/>
  <c r="AG49" i="47" s="1"/>
  <c r="AE19" i="47"/>
  <c r="AN64" i="47"/>
  <c r="J67" i="47"/>
  <c r="AL67" i="47" s="1"/>
  <c r="P58" i="47"/>
  <c r="AG58" i="47" s="1"/>
  <c r="N49" i="47"/>
  <c r="AA49" i="47" s="1"/>
  <c r="O49" i="47"/>
  <c r="AD49" i="47" s="1"/>
  <c r="G31" i="47"/>
  <c r="AC31" i="47" s="1"/>
  <c r="L31" i="47"/>
  <c r="U31" i="47" s="1"/>
  <c r="L58" i="47"/>
  <c r="U58" i="47" s="1"/>
  <c r="R40" i="47"/>
  <c r="AM40" i="47" s="1"/>
  <c r="O67" i="47"/>
  <c r="AD67" i="47" s="1"/>
  <c r="U45" i="47"/>
  <c r="V45" i="47" s="1"/>
  <c r="L22" i="47"/>
  <c r="U22" i="47" s="1"/>
  <c r="N58" i="47"/>
  <c r="AA58" i="47" s="1"/>
  <c r="M22" i="47"/>
  <c r="X22" i="47" s="1"/>
  <c r="N67" i="47"/>
  <c r="AA67" i="47" s="1"/>
  <c r="E22" i="47"/>
  <c r="W22" i="47" s="1"/>
  <c r="O58" i="47"/>
  <c r="AD58" i="47" s="1"/>
  <c r="R67" i="47"/>
  <c r="AM67" i="47" s="1"/>
  <c r="M31" i="47"/>
  <c r="X31" i="47" s="1"/>
  <c r="L67" i="47"/>
  <c r="Y57" i="47"/>
  <c r="M49" i="47"/>
  <c r="X49" i="47" s="1"/>
  <c r="O31" i="47"/>
  <c r="AD31" i="47" s="1"/>
  <c r="P67" i="47"/>
  <c r="AG67" i="47" s="1"/>
  <c r="AN66" i="47"/>
  <c r="N40" i="47"/>
  <c r="AA40" i="47" s="1"/>
  <c r="U18" i="47"/>
  <c r="V18" i="47" s="1"/>
  <c r="P22" i="47"/>
  <c r="AG22" i="47" s="1"/>
  <c r="R22" i="47"/>
  <c r="AM22" i="47" s="1"/>
  <c r="P31" i="47"/>
  <c r="AG31" i="47" s="1"/>
  <c r="E49" i="47"/>
  <c r="W49" i="47" s="1"/>
  <c r="P40" i="47"/>
  <c r="AG40" i="47" s="1"/>
  <c r="L40" i="47"/>
  <c r="V54" i="47"/>
  <c r="O40" i="47"/>
  <c r="AD40" i="47" s="1"/>
  <c r="AD36" i="47"/>
  <c r="AE36" i="47" s="1"/>
  <c r="AI54" i="47"/>
  <c r="AK54" i="47" s="1"/>
  <c r="E67" i="47"/>
  <c r="W67" i="47" s="1"/>
  <c r="W63" i="47"/>
  <c r="Y63" i="47" s="1"/>
  <c r="O22" i="47"/>
  <c r="AD22" i="47" s="1"/>
  <c r="AD18" i="47"/>
  <c r="AE18" i="47" s="1"/>
  <c r="Y45" i="47"/>
  <c r="N22" i="47"/>
  <c r="AA22" i="47" s="1"/>
  <c r="E40" i="47"/>
  <c r="W40" i="47" s="1"/>
  <c r="AI36" i="47"/>
  <c r="AK36" i="47" s="1"/>
  <c r="AN38" i="47"/>
  <c r="AN19" i="47"/>
  <c r="AK39" i="47"/>
  <c r="AK38" i="47"/>
  <c r="AK21" i="47"/>
  <c r="AB27" i="47"/>
  <c r="AN27" i="47"/>
  <c r="AN18" i="47"/>
  <c r="Y36" i="47"/>
  <c r="AH65" i="47"/>
  <c r="V36" i="47"/>
  <c r="AH36" i="47"/>
  <c r="AE63" i="47"/>
  <c r="AN30" i="47"/>
  <c r="AN29" i="47"/>
  <c r="AK20" i="47"/>
  <c r="AK45" i="47"/>
  <c r="AH63" i="47"/>
  <c r="V63" i="47"/>
  <c r="AK30" i="47"/>
  <c r="AK27" i="47"/>
  <c r="V27" i="47"/>
  <c r="AH27" i="47"/>
  <c r="AB18" i="47"/>
  <c r="AN54" i="47"/>
  <c r="AK63" i="47"/>
  <c r="AH18" i="47"/>
  <c r="AB36" i="47"/>
  <c r="AN36" i="47"/>
  <c r="AH19" i="47"/>
  <c r="AH38" i="47"/>
  <c r="AH21" i="47"/>
  <c r="AN65" i="47"/>
  <c r="Y18" i="47"/>
  <c r="AK18" i="47"/>
  <c r="Y27" i="47"/>
  <c r="AN45" i="47"/>
  <c r="AN63" i="47"/>
  <c r="AB63" i="47"/>
  <c r="O4" i="21"/>
  <c r="K50" i="24"/>
  <c r="M52" i="24"/>
  <c r="K52" i="24"/>
  <c r="M50" i="24"/>
  <c r="M86" i="24"/>
  <c r="M85" i="24"/>
  <c r="M84" i="24"/>
  <c r="M82" i="24"/>
  <c r="M83" i="24"/>
  <c r="M81" i="24"/>
  <c r="M80" i="24"/>
  <c r="M77" i="24"/>
  <c r="M79" i="24"/>
  <c r="M76" i="24"/>
  <c r="M37" i="24"/>
  <c r="K43" i="24"/>
  <c r="K37" i="24"/>
  <c r="K87" i="24"/>
  <c r="M75" i="24"/>
  <c r="M45" i="24"/>
  <c r="M43" i="24"/>
  <c r="M74" i="24"/>
  <c r="K39" i="24"/>
  <c r="M53" i="24"/>
  <c r="M60" i="24"/>
  <c r="K53" i="24"/>
  <c r="K40" i="24"/>
  <c r="M40" i="24"/>
  <c r="K70" i="24"/>
  <c r="K45" i="24"/>
  <c r="K64" i="24"/>
  <c r="K79" i="24"/>
  <c r="M41" i="24"/>
  <c r="K41" i="24"/>
  <c r="K80" i="24"/>
  <c r="M39" i="24"/>
  <c r="K51" i="24"/>
  <c r="M51" i="24"/>
  <c r="M67" i="24"/>
  <c r="M73" i="24"/>
  <c r="M71" i="24"/>
  <c r="M38" i="24"/>
  <c r="M59" i="24"/>
  <c r="M65" i="24"/>
  <c r="K38" i="24"/>
  <c r="K85" i="24"/>
  <c r="K81" i="24"/>
  <c r="K46" i="24"/>
  <c r="M46" i="24"/>
  <c r="K82" i="24"/>
  <c r="M42" i="24"/>
  <c r="K42" i="24"/>
  <c r="M64" i="24"/>
  <c r="M70" i="24"/>
  <c r="K49" i="24"/>
  <c r="M49" i="24"/>
  <c r="K73" i="24"/>
  <c r="K58" i="24"/>
  <c r="K84" i="24"/>
  <c r="M48" i="24"/>
  <c r="K72" i="24"/>
  <c r="K74" i="24"/>
  <c r="K47" i="24"/>
  <c r="K76" i="24"/>
  <c r="M47" i="24"/>
  <c r="K83" i="24"/>
  <c r="K44" i="24"/>
  <c r="M56" i="24"/>
  <c r="M58" i="24"/>
  <c r="K77" i="24"/>
  <c r="K56" i="24"/>
  <c r="M87" i="24"/>
  <c r="M68" i="24"/>
  <c r="M57" i="24"/>
  <c r="K55" i="24"/>
  <c r="M63" i="24"/>
  <c r="M72" i="24"/>
  <c r="K60" i="24"/>
  <c r="K71" i="24"/>
  <c r="K48" i="24"/>
  <c r="K61" i="24"/>
  <c r="K65" i="24"/>
  <c r="K54" i="24"/>
  <c r="K75" i="24"/>
  <c r="K59" i="24"/>
  <c r="K62" i="24"/>
  <c r="M61" i="24"/>
  <c r="M55" i="24"/>
  <c r="K86" i="24"/>
  <c r="M44" i="24"/>
  <c r="M69" i="24"/>
  <c r="M54" i="24"/>
  <c r="M62" i="24"/>
  <c r="K57" i="24"/>
  <c r="AI28" i="47" l="1"/>
  <c r="I31" i="47"/>
  <c r="AK28" i="47"/>
  <c r="I40" i="47"/>
  <c r="AI40" i="47" s="1"/>
  <c r="AK37" i="47"/>
  <c r="AK19" i="47"/>
  <c r="I22" i="47"/>
  <c r="AI22" i="47" s="1"/>
  <c r="I49" i="47"/>
  <c r="AI49" i="47" s="1"/>
  <c r="I58" i="47"/>
  <c r="AI58" i="47" s="1"/>
  <c r="AK55" i="47"/>
  <c r="AK46" i="47"/>
  <c r="I67" i="47"/>
  <c r="AI67" i="47" s="1"/>
  <c r="AK64" i="47"/>
  <c r="C11" i="30"/>
  <c r="K50" i="5"/>
  <c r="S47" i="5"/>
  <c r="S49" i="5"/>
  <c r="I83" i="5"/>
  <c r="S48" i="5"/>
  <c r="I53" i="5"/>
  <c r="H54" i="5" s="1"/>
  <c r="I85" i="5"/>
  <c r="I84" i="5"/>
  <c r="I86" i="5"/>
  <c r="I73" i="5"/>
  <c r="I78" i="5"/>
  <c r="I81" i="5"/>
  <c r="I71" i="5"/>
  <c r="S39" i="5"/>
  <c r="I79" i="5"/>
  <c r="I70" i="5"/>
  <c r="I68" i="5"/>
  <c r="M8" i="46"/>
  <c r="N54" i="5"/>
  <c r="N53" i="5"/>
  <c r="N55" i="5"/>
  <c r="N52" i="5"/>
  <c r="R55" i="5"/>
  <c r="R53" i="5"/>
  <c r="P55" i="5"/>
  <c r="T53" i="5"/>
  <c r="T52" i="5"/>
  <c r="Q54" i="5"/>
  <c r="T55" i="5"/>
  <c r="Q55" i="5"/>
  <c r="Q52" i="5"/>
  <c r="O55" i="5"/>
  <c r="R52" i="5"/>
  <c r="O54" i="5"/>
  <c r="Q53" i="5"/>
  <c r="P53" i="5"/>
  <c r="O53" i="5"/>
  <c r="R54" i="5"/>
  <c r="P52" i="5"/>
  <c r="O52" i="5"/>
  <c r="P54" i="5"/>
  <c r="T54" i="5"/>
  <c r="S42" i="5"/>
  <c r="S44" i="5"/>
  <c r="S45" i="5"/>
  <c r="S40" i="5"/>
  <c r="S37" i="5"/>
  <c r="S38" i="5"/>
  <c r="S32" i="5"/>
  <c r="S27" i="5"/>
  <c r="S34" i="5"/>
  <c r="S35" i="5"/>
  <c r="S29" i="5"/>
  <c r="S30" i="5"/>
  <c r="I64" i="5"/>
  <c r="I58" i="5"/>
  <c r="S23" i="5"/>
  <c r="S22" i="5"/>
  <c r="S25" i="5"/>
  <c r="J88" i="5"/>
  <c r="E89" i="5"/>
  <c r="H91" i="5"/>
  <c r="G91" i="5"/>
  <c r="G88" i="5"/>
  <c r="H90" i="5"/>
  <c r="E88" i="5"/>
  <c r="G90" i="5"/>
  <c r="F90" i="5"/>
  <c r="F91" i="5"/>
  <c r="D89" i="5"/>
  <c r="D88" i="5"/>
  <c r="E91" i="5"/>
  <c r="J89" i="5"/>
  <c r="G89" i="5"/>
  <c r="H88" i="5"/>
  <c r="D90" i="5"/>
  <c r="J90" i="5"/>
  <c r="E90" i="5"/>
  <c r="I65" i="5"/>
  <c r="I75" i="5"/>
  <c r="J91" i="5"/>
  <c r="I74" i="5"/>
  <c r="F88" i="5"/>
  <c r="I76" i="5"/>
  <c r="I66" i="5"/>
  <c r="D91" i="5"/>
  <c r="I63" i="5"/>
  <c r="H89" i="5"/>
  <c r="F89" i="5"/>
  <c r="R22" i="23"/>
  <c r="S22" i="23"/>
  <c r="L4" i="46"/>
  <c r="N4" i="46"/>
  <c r="L3" i="46"/>
  <c r="N3" i="46"/>
  <c r="L7" i="46"/>
  <c r="N7" i="46"/>
  <c r="L6" i="46"/>
  <c r="N6" i="46"/>
  <c r="L5" i="46"/>
  <c r="N5" i="46"/>
  <c r="K36" i="24"/>
  <c r="M36" i="24"/>
  <c r="H8" i="30"/>
  <c r="Q49" i="47"/>
  <c r="AJ49" i="47" s="1"/>
  <c r="Q40" i="47"/>
  <c r="AJ40" i="47" s="1"/>
  <c r="Q58" i="47"/>
  <c r="AJ58" i="47" s="1"/>
  <c r="Q22" i="47"/>
  <c r="AJ22" i="47" s="1"/>
  <c r="Q67" i="47"/>
  <c r="AJ67" i="47" s="1"/>
  <c r="I61" i="5"/>
  <c r="I60" i="5"/>
  <c r="I59" i="5"/>
  <c r="Q31" i="47"/>
  <c r="AJ31" i="47" s="1"/>
  <c r="H4" i="47"/>
  <c r="H10" i="47" s="1" a="1"/>
  <c r="H10" i="47" s="1"/>
  <c r="J8" i="21"/>
  <c r="J5" i="21"/>
  <c r="O8" i="21"/>
  <c r="D5" i="21" s="1"/>
  <c r="D6" i="21" s="1"/>
  <c r="D9" i="21" s="1"/>
  <c r="J6" i="21"/>
  <c r="J4" i="21"/>
  <c r="J7" i="21"/>
  <c r="G21" i="21"/>
  <c r="J9" i="21"/>
  <c r="G12" i="21" s="1"/>
  <c r="H12" i="21" s="1"/>
  <c r="G6" i="47"/>
  <c r="G12" i="47" s="1" a="1"/>
  <c r="G12" i="47" s="1"/>
  <c r="F6" i="47"/>
  <c r="F12" i="47" s="1" a="1"/>
  <c r="F12" i="47" s="1"/>
  <c r="D5" i="47"/>
  <c r="D11" i="47" s="1" a="1"/>
  <c r="D11" i="47" s="1"/>
  <c r="G5" i="47"/>
  <c r="G11" i="47" s="1" a="1"/>
  <c r="G11" i="47" s="1"/>
  <c r="E6" i="47"/>
  <c r="E12" i="47" s="1" a="1"/>
  <c r="E12" i="47" s="1"/>
  <c r="E4" i="47"/>
  <c r="E10" i="47" s="1" a="1"/>
  <c r="E10" i="47" s="1"/>
  <c r="AB49" i="47"/>
  <c r="W58" i="47"/>
  <c r="Y58" i="47" s="1"/>
  <c r="F4" i="47"/>
  <c r="F10" i="47" s="1" a="1"/>
  <c r="F10" i="47" s="1"/>
  <c r="AH58" i="47"/>
  <c r="AH49" i="47"/>
  <c r="F5" i="47"/>
  <c r="F11" i="47" s="1" a="1"/>
  <c r="F11" i="47" s="1"/>
  <c r="D4" i="47"/>
  <c r="D10" i="47" s="1" a="1"/>
  <c r="D10" i="47" s="1"/>
  <c r="E5" i="47"/>
  <c r="E11" i="47" s="1" a="1"/>
  <c r="E11" i="47" s="1"/>
  <c r="D6" i="47"/>
  <c r="D12" i="47" s="1" a="1"/>
  <c r="D12" i="47" s="1"/>
  <c r="AE40" i="47"/>
  <c r="G4" i="47"/>
  <c r="G10" i="47" s="1" a="1"/>
  <c r="G10" i="47" s="1"/>
  <c r="AE58" i="47"/>
  <c r="AE31" i="47"/>
  <c r="AE49" i="47"/>
  <c r="J4" i="47"/>
  <c r="J10" i="47" s="1" a="1"/>
  <c r="J10" i="47" s="1"/>
  <c r="J6" i="47"/>
  <c r="J12" i="47" s="1" a="1"/>
  <c r="J12" i="47" s="1"/>
  <c r="U67" i="47"/>
  <c r="V67" i="47" s="1"/>
  <c r="Y49" i="47"/>
  <c r="G3" i="47"/>
  <c r="G9" i="47" s="1" a="1"/>
  <c r="G9" i="47" s="1"/>
  <c r="J5" i="47"/>
  <c r="J11" i="47" s="1" a="1"/>
  <c r="J11" i="47" s="1"/>
  <c r="U40" i="47"/>
  <c r="V40" i="47" s="1"/>
  <c r="V49" i="47"/>
  <c r="V58" i="47"/>
  <c r="AB58" i="47"/>
  <c r="H5" i="47"/>
  <c r="H11" i="47" s="1" a="1"/>
  <c r="H11" i="47" s="1"/>
  <c r="I5" i="47"/>
  <c r="I11" i="47" s="1" a="1"/>
  <c r="I11" i="47" s="1"/>
  <c r="I3" i="47"/>
  <c r="I9" i="47" s="1" a="1"/>
  <c r="I9" i="47" s="1"/>
  <c r="I6" i="47"/>
  <c r="I12" i="47" s="1" a="1"/>
  <c r="I12" i="47" s="1"/>
  <c r="AB31" i="47"/>
  <c r="H6" i="47"/>
  <c r="H12" i="47" s="1" a="1"/>
  <c r="H12" i="47" s="1"/>
  <c r="Y31" i="47"/>
  <c r="AH40" i="47"/>
  <c r="Y40" i="47"/>
  <c r="AN58" i="47"/>
  <c r="AN31" i="47"/>
  <c r="V22" i="47"/>
  <c r="AH22" i="47"/>
  <c r="V31" i="47"/>
  <c r="Y22" i="47"/>
  <c r="AH31" i="47"/>
  <c r="AH67" i="47"/>
  <c r="AB40" i="47"/>
  <c r="AN40" i="47"/>
  <c r="AE67" i="47"/>
  <c r="J3" i="47"/>
  <c r="J9" i="47" s="1" a="1"/>
  <c r="J9" i="47" s="1"/>
  <c r="AN49" i="47"/>
  <c r="E3" i="47"/>
  <c r="E9" i="47" s="1" a="1"/>
  <c r="E9" i="47" s="1"/>
  <c r="Y67" i="47"/>
  <c r="AN67" i="47"/>
  <c r="AB67" i="47"/>
  <c r="H3" i="47"/>
  <c r="H9" i="47" s="1" a="1"/>
  <c r="H9" i="47" s="1"/>
  <c r="AB22" i="47"/>
  <c r="AN22" i="47"/>
  <c r="F3" i="47"/>
  <c r="F9" i="47" s="1" a="1"/>
  <c r="F9" i="47" s="1"/>
  <c r="D3" i="47"/>
  <c r="D9" i="47" s="1" a="1"/>
  <c r="D9" i="47" s="1"/>
  <c r="AE22" i="47"/>
  <c r="M14" i="36"/>
  <c r="N14" i="36"/>
  <c r="I14" i="36"/>
  <c r="P14" i="36"/>
  <c r="U14" i="36" s="1"/>
  <c r="K5" i="5"/>
  <c r="H8" i="5"/>
  <c r="G8" i="5"/>
  <c r="K7" i="5"/>
  <c r="D8" i="5"/>
  <c r="J8" i="5"/>
  <c r="F8" i="5"/>
  <c r="I8" i="5"/>
  <c r="K6" i="5"/>
  <c r="K4" i="5"/>
  <c r="AI31" i="47" l="1"/>
  <c r="AK31" i="47" s="1"/>
  <c r="H32" i="47"/>
  <c r="G32" i="47"/>
  <c r="F32" i="47"/>
  <c r="E32" i="47"/>
  <c r="D32" i="47"/>
  <c r="J32" i="47"/>
  <c r="I32" i="47"/>
  <c r="I41" i="47"/>
  <c r="F41" i="47"/>
  <c r="E41" i="47"/>
  <c r="D41" i="47"/>
  <c r="G41" i="47"/>
  <c r="J41" i="47"/>
  <c r="AK40" i="47"/>
  <c r="H41" i="47"/>
  <c r="AK58" i="47"/>
  <c r="J59" i="47"/>
  <c r="E23" i="47"/>
  <c r="D23" i="47"/>
  <c r="F23" i="47"/>
  <c r="H23" i="47"/>
  <c r="J23" i="47"/>
  <c r="I50" i="47"/>
  <c r="G59" i="47"/>
  <c r="AK22" i="47"/>
  <c r="E59" i="47"/>
  <c r="I23" i="47"/>
  <c r="G23" i="47"/>
  <c r="G50" i="47"/>
  <c r="H50" i="47"/>
  <c r="F50" i="47"/>
  <c r="AK49" i="47"/>
  <c r="D50" i="47"/>
  <c r="E50" i="47"/>
  <c r="J50" i="47"/>
  <c r="D59" i="47"/>
  <c r="F59" i="47"/>
  <c r="H59" i="47"/>
  <c r="I59" i="47"/>
  <c r="I4" i="47"/>
  <c r="I10" i="47" s="1" a="1"/>
  <c r="I10" i="47" s="1"/>
  <c r="G68" i="47"/>
  <c r="J68" i="47"/>
  <c r="AK67" i="47"/>
  <c r="E68" i="47"/>
  <c r="H68" i="47"/>
  <c r="I68" i="47"/>
  <c r="D68" i="47"/>
  <c r="F68" i="47"/>
  <c r="D11" i="30"/>
  <c r="J109" i="5"/>
  <c r="E109" i="5"/>
  <c r="I109" i="5"/>
  <c r="F109" i="5"/>
  <c r="D109" i="5"/>
  <c r="H109" i="5"/>
  <c r="G109" i="5"/>
  <c r="D54" i="5"/>
  <c r="E54" i="5"/>
  <c r="G54" i="5"/>
  <c r="I54" i="5"/>
  <c r="F54" i="5"/>
  <c r="J54" i="5"/>
  <c r="E104" i="5"/>
  <c r="S54" i="5"/>
  <c r="S55" i="5"/>
  <c r="S52" i="5"/>
  <c r="S53" i="5"/>
  <c r="I90" i="5"/>
  <c r="I91" i="5"/>
  <c r="D104" i="5"/>
  <c r="I88" i="5"/>
  <c r="H104" i="5"/>
  <c r="I104" i="5"/>
  <c r="F104" i="5"/>
  <c r="G104" i="5"/>
  <c r="J104" i="5"/>
  <c r="I89" i="5"/>
  <c r="N8" i="46"/>
  <c r="L8" i="46"/>
  <c r="L41" i="47"/>
  <c r="N41" i="47"/>
  <c r="O41" i="47"/>
  <c r="R41" i="47"/>
  <c r="Q41" i="47"/>
  <c r="O50" i="47"/>
  <c r="P41" i="47"/>
  <c r="M41" i="47"/>
  <c r="L50" i="47"/>
  <c r="N50" i="47"/>
  <c r="Q50" i="47"/>
  <c r="R50" i="47"/>
  <c r="M50" i="47"/>
  <c r="O68" i="47"/>
  <c r="P50" i="47"/>
  <c r="N68" i="47"/>
  <c r="M68" i="47"/>
  <c r="O59" i="47"/>
  <c r="R59" i="47"/>
  <c r="L59" i="47"/>
  <c r="M59" i="47"/>
  <c r="N59" i="47"/>
  <c r="P59" i="47"/>
  <c r="Q59" i="47"/>
  <c r="N23" i="47"/>
  <c r="L32" i="47"/>
  <c r="L23" i="47"/>
  <c r="M23" i="47"/>
  <c r="Q23" i="47"/>
  <c r="R23" i="47"/>
  <c r="O23" i="47"/>
  <c r="P23" i="47"/>
  <c r="P68" i="47"/>
  <c r="L68" i="47"/>
  <c r="Q68" i="47"/>
  <c r="R68" i="47"/>
  <c r="Q32" i="47"/>
  <c r="R32" i="47"/>
  <c r="O32" i="47"/>
  <c r="N32" i="47"/>
  <c r="M32" i="47"/>
  <c r="P32" i="47"/>
  <c r="E9" i="5"/>
  <c r="J9" i="5"/>
  <c r="F9" i="5"/>
  <c r="H9" i="5"/>
  <c r="I9" i="5"/>
  <c r="D9" i="5"/>
  <c r="G9" i="5"/>
  <c r="D6" i="46" l="1"/>
  <c r="D7" i="46"/>
  <c r="D44" i="5"/>
  <c r="E44" i="5"/>
  <c r="H44" i="5"/>
  <c r="G44" i="5"/>
  <c r="I44" i="5"/>
  <c r="F44" i="5"/>
  <c r="J44" i="5"/>
  <c r="K42" i="5"/>
  <c r="K43" i="5"/>
  <c r="K41" i="5"/>
  <c r="K40" i="5"/>
  <c r="AC8" i="5"/>
  <c r="AD8" i="5"/>
  <c r="F35" i="5"/>
  <c r="G35" i="5"/>
  <c r="D35" i="5"/>
  <c r="J35" i="5"/>
  <c r="I35" i="5"/>
  <c r="K33" i="5"/>
  <c r="K34" i="5"/>
  <c r="Y8" i="5"/>
  <c r="Z8" i="5"/>
  <c r="K31" i="5"/>
  <c r="AA8" i="5"/>
  <c r="I26" i="5"/>
  <c r="K25" i="5"/>
  <c r="K23" i="5"/>
  <c r="K32" i="5"/>
  <c r="H35" i="5"/>
  <c r="X8" i="5"/>
  <c r="K24" i="5"/>
  <c r="E26" i="5"/>
  <c r="G26" i="5"/>
  <c r="AB8" i="5"/>
  <c r="F26" i="5"/>
  <c r="J26" i="5"/>
  <c r="E35" i="5"/>
  <c r="H26" i="5"/>
  <c r="K22" i="5"/>
  <c r="D26" i="5"/>
  <c r="D8" i="46" l="1"/>
  <c r="D11" i="46" s="1"/>
  <c r="S884" i="15" s="1"/>
  <c r="U884" i="15" s="1"/>
  <c r="F106" i="5"/>
  <c r="G106" i="5"/>
  <c r="I106" i="5"/>
  <c r="D106" i="5"/>
  <c r="J106" i="5"/>
  <c r="E106" i="5"/>
  <c r="H106" i="5"/>
  <c r="J108" i="5"/>
  <c r="G108" i="5"/>
  <c r="D108" i="5"/>
  <c r="F108" i="5"/>
  <c r="E108" i="5"/>
  <c r="I108" i="5"/>
  <c r="H108" i="5"/>
  <c r="H107" i="5"/>
  <c r="E107" i="5"/>
  <c r="I107" i="5"/>
  <c r="D107" i="5"/>
  <c r="G107" i="5"/>
  <c r="J107" i="5"/>
  <c r="F107" i="5"/>
  <c r="J45" i="5"/>
  <c r="F45" i="5"/>
  <c r="E45" i="5"/>
  <c r="D45" i="5"/>
  <c r="G45" i="5"/>
  <c r="I45" i="5"/>
  <c r="H45" i="5"/>
  <c r="F36" i="5"/>
  <c r="D36" i="5"/>
  <c r="G36" i="5"/>
  <c r="H36" i="5"/>
  <c r="I36" i="5"/>
  <c r="J36" i="5"/>
  <c r="E36" i="5"/>
  <c r="J27" i="5"/>
  <c r="E27" i="5"/>
  <c r="I27" i="5"/>
  <c r="Q17" i="5"/>
  <c r="T17" i="5"/>
  <c r="D17" i="5"/>
  <c r="K13" i="5"/>
  <c r="I17" i="5"/>
  <c r="R8" i="5"/>
  <c r="Q8" i="5"/>
  <c r="U4" i="5"/>
  <c r="N8" i="5"/>
  <c r="F17" i="5"/>
  <c r="G27" i="5"/>
  <c r="R17" i="5"/>
  <c r="K16" i="5"/>
  <c r="K14" i="5"/>
  <c r="H17" i="5"/>
  <c r="D27" i="5"/>
  <c r="O17" i="5"/>
  <c r="U7" i="5"/>
  <c r="U15" i="5"/>
  <c r="J17" i="5"/>
  <c r="K15" i="5"/>
  <c r="S8" i="5"/>
  <c r="S17" i="5"/>
  <c r="N17" i="5"/>
  <c r="U13" i="5"/>
  <c r="O8" i="5"/>
  <c r="P8" i="5"/>
  <c r="G17" i="5"/>
  <c r="U6" i="5"/>
  <c r="H27" i="5"/>
  <c r="U14" i="5"/>
  <c r="U16" i="5"/>
  <c r="E17" i="5"/>
  <c r="U5" i="5"/>
  <c r="F27" i="5"/>
  <c r="P17" i="5"/>
  <c r="T8" i="5"/>
  <c r="S881" i="15" l="1"/>
  <c r="U881" i="15" s="1"/>
  <c r="S883" i="15"/>
  <c r="U883" i="15" s="1"/>
  <c r="S882" i="15"/>
  <c r="U882" i="15" s="1"/>
  <c r="S879" i="15"/>
  <c r="U879" i="15" s="1"/>
  <c r="S880" i="15"/>
  <c r="U880" i="15" s="1"/>
  <c r="S877" i="15"/>
  <c r="U877" i="15" s="1"/>
  <c r="S878" i="15"/>
  <c r="U878" i="15" s="1"/>
  <c r="S875" i="15"/>
  <c r="U875" i="15" s="1"/>
  <c r="S876" i="15"/>
  <c r="U876" i="15" s="1"/>
  <c r="S873" i="15"/>
  <c r="U873" i="15" s="1"/>
  <c r="S874" i="15"/>
  <c r="U874" i="15" s="1"/>
  <c r="S871" i="15"/>
  <c r="U871" i="15" s="1"/>
  <c r="S872" i="15"/>
  <c r="U872" i="15" s="1"/>
  <c r="S869" i="15"/>
  <c r="U869" i="15" s="1"/>
  <c r="S870" i="15"/>
  <c r="U870" i="15" s="1"/>
  <c r="S867" i="15"/>
  <c r="U867" i="15" s="1"/>
  <c r="S868" i="15"/>
  <c r="U868" i="15" s="1"/>
  <c r="S865" i="15"/>
  <c r="U865" i="15" s="1"/>
  <c r="S866" i="15"/>
  <c r="U866" i="15" s="1"/>
  <c r="S863" i="15"/>
  <c r="U863" i="15" s="1"/>
  <c r="S864" i="15"/>
  <c r="U864" i="15" s="1"/>
  <c r="S861" i="15"/>
  <c r="U861" i="15" s="1"/>
  <c r="S862" i="15"/>
  <c r="U862" i="15" s="1"/>
  <c r="S859" i="15"/>
  <c r="U859" i="15" s="1"/>
  <c r="S860" i="15"/>
  <c r="U860" i="15" s="1"/>
  <c r="S857" i="15"/>
  <c r="U857" i="15" s="1"/>
  <c r="S858" i="15"/>
  <c r="U858" i="15" s="1"/>
  <c r="S855" i="15"/>
  <c r="U855" i="15" s="1"/>
  <c r="S856" i="15"/>
  <c r="U856" i="15" s="1"/>
  <c r="S852" i="15"/>
  <c r="U852" i="15" s="1"/>
  <c r="S853" i="15"/>
  <c r="U853" i="15" s="1"/>
  <c r="S854" i="15"/>
  <c r="U854" i="15" s="1"/>
  <c r="S850" i="15"/>
  <c r="U850" i="15" s="1"/>
  <c r="S851" i="15"/>
  <c r="U851" i="15" s="1"/>
  <c r="S848" i="15"/>
  <c r="U848" i="15" s="1"/>
  <c r="S849" i="15"/>
  <c r="U849" i="15" s="1"/>
  <c r="S846" i="15"/>
  <c r="U846" i="15" s="1"/>
  <c r="S847" i="15"/>
  <c r="U847" i="15" s="1"/>
  <c r="S844" i="15"/>
  <c r="U844" i="15" s="1"/>
  <c r="S845" i="15"/>
  <c r="U845" i="15" s="1"/>
  <c r="S842" i="15"/>
  <c r="U842" i="15" s="1"/>
  <c r="S843" i="15"/>
  <c r="U843" i="15" s="1"/>
  <c r="S840" i="15"/>
  <c r="U840" i="15" s="1"/>
  <c r="S841" i="15"/>
  <c r="U841" i="15" s="1"/>
  <c r="S838" i="15"/>
  <c r="U838" i="15" s="1"/>
  <c r="S839" i="15"/>
  <c r="U839" i="15" s="1"/>
  <c r="S836" i="15"/>
  <c r="U836" i="15" s="1"/>
  <c r="S837" i="15"/>
  <c r="U837" i="15" s="1"/>
  <c r="S834" i="15"/>
  <c r="U834" i="15" s="1"/>
  <c r="S835" i="15"/>
  <c r="U835" i="15" s="1"/>
  <c r="AW22" i="48"/>
  <c r="AW23" i="48"/>
  <c r="AT22" i="48"/>
  <c r="AW24" i="48"/>
  <c r="AU23" i="48"/>
  <c r="AQ22" i="48"/>
  <c r="AS25" i="48"/>
  <c r="AR23" i="48"/>
  <c r="AW25" i="48"/>
  <c r="AT24" i="48"/>
  <c r="AU22" i="48"/>
  <c r="AR25" i="48"/>
  <c r="AQ24" i="48"/>
  <c r="AU24" i="48"/>
  <c r="AS22" i="48"/>
  <c r="AQ25" i="48"/>
  <c r="AV23" i="48"/>
  <c r="AS24" i="48"/>
  <c r="AV22" i="48"/>
  <c r="AV25" i="48"/>
  <c r="AV24" i="48"/>
  <c r="AT23" i="48"/>
  <c r="AT25" i="48"/>
  <c r="AU25" i="48"/>
  <c r="AR22" i="48"/>
  <c r="AQ23" i="48"/>
  <c r="AR24" i="48"/>
  <c r="AS23" i="48"/>
  <c r="G105" i="5"/>
  <c r="D105" i="5"/>
  <c r="F105" i="5"/>
  <c r="J105" i="5"/>
  <c r="E105" i="5"/>
  <c r="I105" i="5"/>
  <c r="H105" i="5"/>
  <c r="S3" i="15"/>
  <c r="U3" i="15" s="1"/>
  <c r="S19" i="15"/>
  <c r="U19" i="15" s="1"/>
  <c r="S35" i="15"/>
  <c r="U35" i="15" s="1"/>
  <c r="S51" i="15"/>
  <c r="U51" i="15" s="1"/>
  <c r="S67" i="15"/>
  <c r="U67" i="15" s="1"/>
  <c r="S83" i="15"/>
  <c r="S99" i="15"/>
  <c r="U99" i="15" s="1"/>
  <c r="S115" i="15"/>
  <c r="U115" i="15" s="1"/>
  <c r="S131" i="15"/>
  <c r="U131" i="15" s="1"/>
  <c r="S147" i="15"/>
  <c r="U147" i="15" s="1"/>
  <c r="S163" i="15"/>
  <c r="U163" i="15" s="1"/>
  <c r="S179" i="15"/>
  <c r="U179" i="15" s="1"/>
  <c r="S195" i="15"/>
  <c r="U195" i="15" s="1"/>
  <c r="S211" i="15"/>
  <c r="U211" i="15" s="1"/>
  <c r="S227" i="15"/>
  <c r="U227" i="15" s="1"/>
  <c r="S243" i="15"/>
  <c r="U243" i="15" s="1"/>
  <c r="S259" i="15"/>
  <c r="U259" i="15" s="1"/>
  <c r="S275" i="15"/>
  <c r="U275" i="15" s="1"/>
  <c r="S291" i="15"/>
  <c r="U291" i="15" s="1"/>
  <c r="S307" i="15"/>
  <c r="U307" i="15" s="1"/>
  <c r="S323" i="15"/>
  <c r="U323" i="15" s="1"/>
  <c r="S339" i="15"/>
  <c r="U339" i="15" s="1"/>
  <c r="S355" i="15"/>
  <c r="U355" i="15" s="1"/>
  <c r="S371" i="15"/>
  <c r="U371" i="15" s="1"/>
  <c r="S387" i="15"/>
  <c r="U387" i="15" s="1"/>
  <c r="S403" i="15"/>
  <c r="U403" i="15" s="1"/>
  <c r="S419" i="15"/>
  <c r="U419" i="15" s="1"/>
  <c r="S435" i="15"/>
  <c r="U435" i="15" s="1"/>
  <c r="S451" i="15"/>
  <c r="U451" i="15" s="1"/>
  <c r="S467" i="15"/>
  <c r="U467" i="15" s="1"/>
  <c r="S483" i="15"/>
  <c r="U483" i="15" s="1"/>
  <c r="S499" i="15"/>
  <c r="U499" i="15" s="1"/>
  <c r="S515" i="15"/>
  <c r="U515" i="15" s="1"/>
  <c r="S531" i="15"/>
  <c r="U531" i="15" s="1"/>
  <c r="S547" i="15"/>
  <c r="U547" i="15" s="1"/>
  <c r="S563" i="15"/>
  <c r="U563" i="15" s="1"/>
  <c r="S579" i="15"/>
  <c r="U579" i="15" s="1"/>
  <c r="S595" i="15"/>
  <c r="U595" i="15" s="1"/>
  <c r="S611" i="15"/>
  <c r="U611" i="15" s="1"/>
  <c r="S627" i="15"/>
  <c r="U627" i="15" s="1"/>
  <c r="S643" i="15"/>
  <c r="U643" i="15" s="1"/>
  <c r="S659" i="15"/>
  <c r="U659" i="15" s="1"/>
  <c r="S675" i="15"/>
  <c r="U675" i="15" s="1"/>
  <c r="S691" i="15"/>
  <c r="U691" i="15" s="1"/>
  <c r="S707" i="15"/>
  <c r="U707" i="15" s="1"/>
  <c r="S723" i="15"/>
  <c r="U723" i="15" s="1"/>
  <c r="S739" i="15"/>
  <c r="U739" i="15" s="1"/>
  <c r="S755" i="15"/>
  <c r="U755" i="15" s="1"/>
  <c r="S771" i="15"/>
  <c r="U771" i="15" s="1"/>
  <c r="S787" i="15"/>
  <c r="U787" i="15" s="1"/>
  <c r="S803" i="15"/>
  <c r="U803" i="15" s="1"/>
  <c r="S819" i="15"/>
  <c r="U819" i="15" s="1"/>
  <c r="S37" i="15"/>
  <c r="U37" i="15" s="1"/>
  <c r="S101" i="15"/>
  <c r="U101" i="15" s="1"/>
  <c r="S133" i="15"/>
  <c r="U133" i="15" s="1"/>
  <c r="S181" i="15"/>
  <c r="U181" i="15" s="1"/>
  <c r="S229" i="15"/>
  <c r="U229" i="15" s="1"/>
  <c r="S277" i="15"/>
  <c r="U277" i="15" s="1"/>
  <c r="S309" i="15"/>
  <c r="U309" i="15" s="1"/>
  <c r="S357" i="15"/>
  <c r="U357" i="15" s="1"/>
  <c r="S405" i="15"/>
  <c r="U405" i="15" s="1"/>
  <c r="S437" i="15"/>
  <c r="U437" i="15" s="1"/>
  <c r="S485" i="15"/>
  <c r="U485" i="15" s="1"/>
  <c r="S517" i="15"/>
  <c r="U517" i="15" s="1"/>
  <c r="S565" i="15"/>
  <c r="U565" i="15" s="1"/>
  <c r="S581" i="15"/>
  <c r="U581" i="15" s="1"/>
  <c r="S629" i="15"/>
  <c r="U629" i="15" s="1"/>
  <c r="S661" i="15"/>
  <c r="U661" i="15" s="1"/>
  <c r="S709" i="15"/>
  <c r="U709" i="15" s="1"/>
  <c r="S741" i="15"/>
  <c r="U741" i="15" s="1"/>
  <c r="S789" i="15"/>
  <c r="U789" i="15" s="1"/>
  <c r="S294" i="15"/>
  <c r="U294" i="15" s="1"/>
  <c r="S374" i="15"/>
  <c r="U374" i="15" s="1"/>
  <c r="S438" i="15"/>
  <c r="U438" i="15" s="1"/>
  <c r="S502" i="15"/>
  <c r="U502" i="15" s="1"/>
  <c r="S534" i="15"/>
  <c r="U534" i="15" s="1"/>
  <c r="S598" i="15"/>
  <c r="S646" i="15"/>
  <c r="U646" i="15" s="1"/>
  <c r="S694" i="15"/>
  <c r="U694" i="15" s="1"/>
  <c r="S742" i="15"/>
  <c r="U742" i="15" s="1"/>
  <c r="S806" i="15"/>
  <c r="U806" i="15" s="1"/>
  <c r="S247" i="15"/>
  <c r="U247" i="15" s="1"/>
  <c r="S391" i="15"/>
  <c r="U391" i="15" s="1"/>
  <c r="S455" i="15"/>
  <c r="U455" i="15" s="1"/>
  <c r="S519" i="15"/>
  <c r="U519" i="15" s="1"/>
  <c r="S4" i="15"/>
  <c r="U4" i="15" s="1"/>
  <c r="S20" i="15"/>
  <c r="U20" i="15" s="1"/>
  <c r="S36" i="15"/>
  <c r="U36" i="15" s="1"/>
  <c r="S52" i="15"/>
  <c r="U52" i="15" s="1"/>
  <c r="S68" i="15"/>
  <c r="U68" i="15" s="1"/>
  <c r="S84" i="15"/>
  <c r="S100" i="15"/>
  <c r="U100" i="15" s="1"/>
  <c r="S116" i="15"/>
  <c r="U116" i="15" s="1"/>
  <c r="S132" i="15"/>
  <c r="U132" i="15" s="1"/>
  <c r="S148" i="15"/>
  <c r="U148" i="15" s="1"/>
  <c r="S164" i="15"/>
  <c r="U164" i="15" s="1"/>
  <c r="S180" i="15"/>
  <c r="U180" i="15" s="1"/>
  <c r="S196" i="15"/>
  <c r="U196" i="15" s="1"/>
  <c r="S212" i="15"/>
  <c r="U212" i="15" s="1"/>
  <c r="S228" i="15"/>
  <c r="U228" i="15" s="1"/>
  <c r="S244" i="15"/>
  <c r="U244" i="15" s="1"/>
  <c r="S260" i="15"/>
  <c r="U260" i="15" s="1"/>
  <c r="S276" i="15"/>
  <c r="U276" i="15" s="1"/>
  <c r="S292" i="15"/>
  <c r="U292" i="15" s="1"/>
  <c r="S308" i="15"/>
  <c r="U308" i="15" s="1"/>
  <c r="S324" i="15"/>
  <c r="U324" i="15" s="1"/>
  <c r="S340" i="15"/>
  <c r="U340" i="15" s="1"/>
  <c r="S356" i="15"/>
  <c r="U356" i="15" s="1"/>
  <c r="S372" i="15"/>
  <c r="U372" i="15" s="1"/>
  <c r="S388" i="15"/>
  <c r="U388" i="15" s="1"/>
  <c r="S404" i="15"/>
  <c r="U404" i="15" s="1"/>
  <c r="S420" i="15"/>
  <c r="U420" i="15" s="1"/>
  <c r="S436" i="15"/>
  <c r="U436" i="15" s="1"/>
  <c r="S452" i="15"/>
  <c r="U452" i="15" s="1"/>
  <c r="S468" i="15"/>
  <c r="U468" i="15" s="1"/>
  <c r="S484" i="15"/>
  <c r="U484" i="15" s="1"/>
  <c r="S500" i="15"/>
  <c r="U500" i="15" s="1"/>
  <c r="S516" i="15"/>
  <c r="U516" i="15" s="1"/>
  <c r="S532" i="15"/>
  <c r="U532" i="15" s="1"/>
  <c r="S548" i="15"/>
  <c r="U548" i="15" s="1"/>
  <c r="S564" i="15"/>
  <c r="U564" i="15" s="1"/>
  <c r="S580" i="15"/>
  <c r="U580" i="15" s="1"/>
  <c r="S596" i="15"/>
  <c r="U596" i="15" s="1"/>
  <c r="S612" i="15"/>
  <c r="U612" i="15" s="1"/>
  <c r="S628" i="15"/>
  <c r="U628" i="15" s="1"/>
  <c r="S644" i="15"/>
  <c r="U644" i="15" s="1"/>
  <c r="S660" i="15"/>
  <c r="U660" i="15" s="1"/>
  <c r="S676" i="15"/>
  <c r="U676" i="15" s="1"/>
  <c r="S692" i="15"/>
  <c r="U692" i="15" s="1"/>
  <c r="S708" i="15"/>
  <c r="U708" i="15" s="1"/>
  <c r="S724" i="15"/>
  <c r="U724" i="15" s="1"/>
  <c r="S740" i="15"/>
  <c r="U740" i="15" s="1"/>
  <c r="S756" i="15"/>
  <c r="U756" i="15" s="1"/>
  <c r="S772" i="15"/>
  <c r="U772" i="15" s="1"/>
  <c r="S788" i="15"/>
  <c r="U788" i="15" s="1"/>
  <c r="S804" i="15"/>
  <c r="U804" i="15" s="1"/>
  <c r="S820" i="15"/>
  <c r="U820" i="15" s="1"/>
  <c r="S53" i="15"/>
  <c r="U53" i="15" s="1"/>
  <c r="S117" i="15"/>
  <c r="U117" i="15" s="1"/>
  <c r="S165" i="15"/>
  <c r="U165" i="15" s="1"/>
  <c r="S213" i="15"/>
  <c r="U213" i="15" s="1"/>
  <c r="S245" i="15"/>
  <c r="U245" i="15" s="1"/>
  <c r="S293" i="15"/>
  <c r="U293" i="15" s="1"/>
  <c r="S341" i="15"/>
  <c r="U341" i="15" s="1"/>
  <c r="S373" i="15"/>
  <c r="U373" i="15" s="1"/>
  <c r="S421" i="15"/>
  <c r="U421" i="15" s="1"/>
  <c r="S453" i="15"/>
  <c r="U453" i="15" s="1"/>
  <c r="S501" i="15"/>
  <c r="U501" i="15" s="1"/>
  <c r="S549" i="15"/>
  <c r="U549" i="15" s="1"/>
  <c r="S597" i="15"/>
  <c r="U597" i="15" s="1"/>
  <c r="S645" i="15"/>
  <c r="U645" i="15" s="1"/>
  <c r="S693" i="15"/>
  <c r="U693" i="15" s="1"/>
  <c r="S725" i="15"/>
  <c r="U725" i="15" s="1"/>
  <c r="S773" i="15"/>
  <c r="U773" i="15" s="1"/>
  <c r="S821" i="15"/>
  <c r="U821" i="15" s="1"/>
  <c r="S310" i="15"/>
  <c r="U310" i="15" s="1"/>
  <c r="S390" i="15"/>
  <c r="U390" i="15" s="1"/>
  <c r="S422" i="15"/>
  <c r="U422" i="15" s="1"/>
  <c r="S486" i="15"/>
  <c r="U486" i="15" s="1"/>
  <c r="S550" i="15"/>
  <c r="U550" i="15" s="1"/>
  <c r="S614" i="15"/>
  <c r="U614" i="15" s="1"/>
  <c r="S678" i="15"/>
  <c r="U678" i="15" s="1"/>
  <c r="S758" i="15"/>
  <c r="U758" i="15" s="1"/>
  <c r="S790" i="15"/>
  <c r="U790" i="15" s="1"/>
  <c r="S279" i="15"/>
  <c r="U279" i="15" s="1"/>
  <c r="S359" i="15"/>
  <c r="U359" i="15" s="1"/>
  <c r="S423" i="15"/>
  <c r="U423" i="15" s="1"/>
  <c r="S471" i="15"/>
  <c r="U471" i="15" s="1"/>
  <c r="S551" i="15"/>
  <c r="U551" i="15" s="1"/>
  <c r="S5" i="15"/>
  <c r="U5" i="15" s="1"/>
  <c r="S21" i="15"/>
  <c r="U21" i="15" s="1"/>
  <c r="S69" i="15"/>
  <c r="U69" i="15" s="1"/>
  <c r="S85" i="15"/>
  <c r="S149" i="15"/>
  <c r="U149" i="15" s="1"/>
  <c r="S197" i="15"/>
  <c r="U197" i="15" s="1"/>
  <c r="S261" i="15"/>
  <c r="U261" i="15" s="1"/>
  <c r="S325" i="15"/>
  <c r="U325" i="15" s="1"/>
  <c r="S389" i="15"/>
  <c r="U389" i="15" s="1"/>
  <c r="S469" i="15"/>
  <c r="U469" i="15" s="1"/>
  <c r="S533" i="15"/>
  <c r="U533" i="15" s="1"/>
  <c r="S613" i="15"/>
  <c r="U613" i="15" s="1"/>
  <c r="S677" i="15"/>
  <c r="U677" i="15" s="1"/>
  <c r="S757" i="15"/>
  <c r="U757" i="15" s="1"/>
  <c r="S805" i="15"/>
  <c r="U805" i="15" s="1"/>
  <c r="S342" i="15"/>
  <c r="U342" i="15" s="1"/>
  <c r="S470" i="15"/>
  <c r="U470" i="15" s="1"/>
  <c r="S566" i="15"/>
  <c r="U566" i="15" s="1"/>
  <c r="S630" i="15"/>
  <c r="U630" i="15" s="1"/>
  <c r="S710" i="15"/>
  <c r="U710" i="15" s="1"/>
  <c r="S774" i="15"/>
  <c r="U774" i="15" s="1"/>
  <c r="S295" i="15"/>
  <c r="U295" i="15" s="1"/>
  <c r="S407" i="15"/>
  <c r="U407" i="15" s="1"/>
  <c r="S503" i="15"/>
  <c r="U503" i="15" s="1"/>
  <c r="S6" i="15"/>
  <c r="U6" i="15" s="1"/>
  <c r="S22" i="15"/>
  <c r="U22" i="15" s="1"/>
  <c r="S38" i="15"/>
  <c r="U38" i="15" s="1"/>
  <c r="S54" i="15"/>
  <c r="U54" i="15" s="1"/>
  <c r="S70" i="15"/>
  <c r="U70" i="15" s="1"/>
  <c r="S86" i="15"/>
  <c r="S102" i="15"/>
  <c r="U102" i="15" s="1"/>
  <c r="S118" i="15"/>
  <c r="U118" i="15" s="1"/>
  <c r="S134" i="15"/>
  <c r="U134" i="15" s="1"/>
  <c r="S150" i="15"/>
  <c r="U150" i="15" s="1"/>
  <c r="S166" i="15"/>
  <c r="U166" i="15" s="1"/>
  <c r="S182" i="15"/>
  <c r="U182" i="15" s="1"/>
  <c r="S198" i="15"/>
  <c r="U198" i="15" s="1"/>
  <c r="S214" i="15"/>
  <c r="U214" i="15" s="1"/>
  <c r="S230" i="15"/>
  <c r="U230" i="15" s="1"/>
  <c r="S246" i="15"/>
  <c r="U246" i="15" s="1"/>
  <c r="S262" i="15"/>
  <c r="U262" i="15" s="1"/>
  <c r="S278" i="15"/>
  <c r="U278" i="15" s="1"/>
  <c r="S326" i="15"/>
  <c r="U326" i="15" s="1"/>
  <c r="S358" i="15"/>
  <c r="U358" i="15" s="1"/>
  <c r="S406" i="15"/>
  <c r="U406" i="15" s="1"/>
  <c r="S454" i="15"/>
  <c r="U454" i="15" s="1"/>
  <c r="S518" i="15"/>
  <c r="U518" i="15" s="1"/>
  <c r="S582" i="15"/>
  <c r="U582" i="15" s="1"/>
  <c r="S662" i="15"/>
  <c r="U662" i="15" s="1"/>
  <c r="S726" i="15"/>
  <c r="U726" i="15" s="1"/>
  <c r="S822" i="15"/>
  <c r="U822" i="15" s="1"/>
  <c r="S327" i="15"/>
  <c r="U327" i="15" s="1"/>
  <c r="S487" i="15"/>
  <c r="U487" i="15" s="1"/>
  <c r="S7" i="15"/>
  <c r="U7" i="15" s="1"/>
  <c r="S23" i="15"/>
  <c r="U23" i="15" s="1"/>
  <c r="S39" i="15"/>
  <c r="U39" i="15" s="1"/>
  <c r="S55" i="15"/>
  <c r="U55" i="15" s="1"/>
  <c r="S71" i="15"/>
  <c r="U71" i="15" s="1"/>
  <c r="S87" i="15"/>
  <c r="U87" i="15" s="1"/>
  <c r="S103" i="15"/>
  <c r="U103" i="15" s="1"/>
  <c r="S119" i="15"/>
  <c r="U119" i="15" s="1"/>
  <c r="S135" i="15"/>
  <c r="U135" i="15" s="1"/>
  <c r="S151" i="15"/>
  <c r="U151" i="15" s="1"/>
  <c r="S167" i="15"/>
  <c r="U167" i="15" s="1"/>
  <c r="S183" i="15"/>
  <c r="U183" i="15" s="1"/>
  <c r="S199" i="15"/>
  <c r="U199" i="15" s="1"/>
  <c r="S215" i="15"/>
  <c r="U215" i="15" s="1"/>
  <c r="S231" i="15"/>
  <c r="U231" i="15" s="1"/>
  <c r="S263" i="15"/>
  <c r="U263" i="15" s="1"/>
  <c r="S311" i="15"/>
  <c r="U311" i="15" s="1"/>
  <c r="S343" i="15"/>
  <c r="U343" i="15" s="1"/>
  <c r="S375" i="15"/>
  <c r="U375" i="15" s="1"/>
  <c r="S439" i="15"/>
  <c r="U439" i="15" s="1"/>
  <c r="S535" i="15"/>
  <c r="U535" i="15" s="1"/>
  <c r="S583" i="15"/>
  <c r="U583" i="15" s="1"/>
  <c r="S8" i="15"/>
  <c r="U8" i="15" s="1"/>
  <c r="S24" i="15"/>
  <c r="U24" i="15" s="1"/>
  <c r="S40" i="15"/>
  <c r="U40" i="15" s="1"/>
  <c r="S56" i="15"/>
  <c r="U56" i="15" s="1"/>
  <c r="S72" i="15"/>
  <c r="S88" i="15"/>
  <c r="U88" i="15" s="1"/>
  <c r="S104" i="15"/>
  <c r="U104" i="15" s="1"/>
  <c r="S120" i="15"/>
  <c r="U120" i="15" s="1"/>
  <c r="S136" i="15"/>
  <c r="U136" i="15" s="1"/>
  <c r="S152" i="15"/>
  <c r="U152" i="15" s="1"/>
  <c r="S168" i="15"/>
  <c r="U168" i="15" s="1"/>
  <c r="S184" i="15"/>
  <c r="U184" i="15" s="1"/>
  <c r="S200" i="15"/>
  <c r="S216" i="15"/>
  <c r="U216" i="15" s="1"/>
  <c r="S232" i="15"/>
  <c r="U232" i="15" s="1"/>
  <c r="S248" i="15"/>
  <c r="U248" i="15" s="1"/>
  <c r="S264" i="15"/>
  <c r="U264" i="15" s="1"/>
  <c r="S280" i="15"/>
  <c r="U280" i="15" s="1"/>
  <c r="S296" i="15"/>
  <c r="U296" i="15" s="1"/>
  <c r="S312" i="15"/>
  <c r="U312" i="15" s="1"/>
  <c r="S328" i="15"/>
  <c r="U328" i="15" s="1"/>
  <c r="S344" i="15"/>
  <c r="U344" i="15" s="1"/>
  <c r="S360" i="15"/>
  <c r="U360" i="15" s="1"/>
  <c r="S376" i="15"/>
  <c r="S392" i="15"/>
  <c r="U392" i="15" s="1"/>
  <c r="S408" i="15"/>
  <c r="U408" i="15" s="1"/>
  <c r="S424" i="15"/>
  <c r="U424" i="15" s="1"/>
  <c r="S440" i="15"/>
  <c r="U440" i="15" s="1"/>
  <c r="S456" i="15"/>
  <c r="U456" i="15" s="1"/>
  <c r="S472" i="15"/>
  <c r="U472" i="15" s="1"/>
  <c r="S488" i="15"/>
  <c r="U488" i="15" s="1"/>
  <c r="S504" i="15"/>
  <c r="U504" i="15" s="1"/>
  <c r="S520" i="15"/>
  <c r="U520" i="15" s="1"/>
  <c r="S536" i="15"/>
  <c r="U536" i="15" s="1"/>
  <c r="S552" i="15"/>
  <c r="U552" i="15" s="1"/>
  <c r="S568" i="15"/>
  <c r="U568" i="15" s="1"/>
  <c r="S584" i="15"/>
  <c r="U584" i="15" s="1"/>
  <c r="S600" i="15"/>
  <c r="U600" i="15" s="1"/>
  <c r="S616" i="15"/>
  <c r="U616" i="15" s="1"/>
  <c r="S632" i="15"/>
  <c r="U632" i="15" s="1"/>
  <c r="S648" i="15"/>
  <c r="U648" i="15" s="1"/>
  <c r="S664" i="15"/>
  <c r="U664" i="15" s="1"/>
  <c r="S680" i="15"/>
  <c r="U680" i="15" s="1"/>
  <c r="S696" i="15"/>
  <c r="U696" i="15" s="1"/>
  <c r="S712" i="15"/>
  <c r="U712" i="15" s="1"/>
  <c r="S728" i="15"/>
  <c r="U728" i="15" s="1"/>
  <c r="S744" i="15"/>
  <c r="U744" i="15" s="1"/>
  <c r="S760" i="15"/>
  <c r="U760" i="15" s="1"/>
  <c r="S776" i="15"/>
  <c r="U776" i="15" s="1"/>
  <c r="S792" i="15"/>
  <c r="U792" i="15" s="1"/>
  <c r="S808" i="15"/>
  <c r="U808" i="15" s="1"/>
  <c r="S824" i="15"/>
  <c r="U824" i="15" s="1"/>
  <c r="S9" i="15"/>
  <c r="U9" i="15" s="1"/>
  <c r="S25" i="15"/>
  <c r="U25" i="15" s="1"/>
  <c r="S41" i="15"/>
  <c r="U41" i="15" s="1"/>
  <c r="S57" i="15"/>
  <c r="U57" i="15" s="1"/>
  <c r="S73" i="15"/>
  <c r="S89" i="15"/>
  <c r="S105" i="15"/>
  <c r="U105" i="15" s="1"/>
  <c r="S121" i="15"/>
  <c r="U121" i="15" s="1"/>
  <c r="S137" i="15"/>
  <c r="U137" i="15" s="1"/>
  <c r="S153" i="15"/>
  <c r="U153" i="15" s="1"/>
  <c r="S169" i="15"/>
  <c r="U169" i="15" s="1"/>
  <c r="S185" i="15"/>
  <c r="U185" i="15" s="1"/>
  <c r="S201" i="15"/>
  <c r="U201" i="15" s="1"/>
  <c r="S217" i="15"/>
  <c r="S233" i="15"/>
  <c r="U233" i="15" s="1"/>
  <c r="S249" i="15"/>
  <c r="U249" i="15" s="1"/>
  <c r="S265" i="15"/>
  <c r="U265" i="15" s="1"/>
  <c r="S281" i="15"/>
  <c r="U281" i="15" s="1"/>
  <c r="S297" i="15"/>
  <c r="U297" i="15" s="1"/>
  <c r="S313" i="15"/>
  <c r="U313" i="15" s="1"/>
  <c r="S329" i="15"/>
  <c r="U329" i="15" s="1"/>
  <c r="S345" i="15"/>
  <c r="U345" i="15" s="1"/>
  <c r="S361" i="15"/>
  <c r="U361" i="15" s="1"/>
  <c r="S377" i="15"/>
  <c r="U377" i="15" s="1"/>
  <c r="S393" i="15"/>
  <c r="U393" i="15" s="1"/>
  <c r="S409" i="15"/>
  <c r="U409" i="15" s="1"/>
  <c r="S425" i="15"/>
  <c r="U425" i="15" s="1"/>
  <c r="S441" i="15"/>
  <c r="U441" i="15" s="1"/>
  <c r="S457" i="15"/>
  <c r="U457" i="15" s="1"/>
  <c r="S473" i="15"/>
  <c r="U473" i="15" s="1"/>
  <c r="S489" i="15"/>
  <c r="U489" i="15" s="1"/>
  <c r="S505" i="15"/>
  <c r="U505" i="15" s="1"/>
  <c r="S521" i="15"/>
  <c r="U521" i="15" s="1"/>
  <c r="S537" i="15"/>
  <c r="U537" i="15" s="1"/>
  <c r="S553" i="15"/>
  <c r="U553" i="15" s="1"/>
  <c r="S569" i="15"/>
  <c r="U569" i="15" s="1"/>
  <c r="S585" i="15"/>
  <c r="U585" i="15" s="1"/>
  <c r="S601" i="15"/>
  <c r="U601" i="15" s="1"/>
  <c r="S617" i="15"/>
  <c r="U617" i="15" s="1"/>
  <c r="S633" i="15"/>
  <c r="U633" i="15" s="1"/>
  <c r="S649" i="15"/>
  <c r="U649" i="15" s="1"/>
  <c r="S665" i="15"/>
  <c r="U665" i="15" s="1"/>
  <c r="S681" i="15"/>
  <c r="U681" i="15" s="1"/>
  <c r="S697" i="15"/>
  <c r="U697" i="15" s="1"/>
  <c r="S713" i="15"/>
  <c r="U713" i="15" s="1"/>
  <c r="S729" i="15"/>
  <c r="U729" i="15" s="1"/>
  <c r="S745" i="15"/>
  <c r="U745" i="15" s="1"/>
  <c r="S761" i="15"/>
  <c r="U761" i="15" s="1"/>
  <c r="S777" i="15"/>
  <c r="U777" i="15" s="1"/>
  <c r="S793" i="15"/>
  <c r="U793" i="15" s="1"/>
  <c r="S809" i="15"/>
  <c r="U809" i="15" s="1"/>
  <c r="S825" i="15"/>
  <c r="U825" i="15" s="1"/>
  <c r="S10" i="15"/>
  <c r="U10" i="15" s="1"/>
  <c r="S26" i="15"/>
  <c r="U26" i="15" s="1"/>
  <c r="S42" i="15"/>
  <c r="U42" i="15" s="1"/>
  <c r="S58" i="15"/>
  <c r="U58" i="15" s="1"/>
  <c r="S74" i="15"/>
  <c r="S90" i="15"/>
  <c r="S106" i="15"/>
  <c r="U106" i="15" s="1"/>
  <c r="S122" i="15"/>
  <c r="U122" i="15" s="1"/>
  <c r="S138" i="15"/>
  <c r="U138" i="15" s="1"/>
  <c r="S154" i="15"/>
  <c r="U154" i="15" s="1"/>
  <c r="S170" i="15"/>
  <c r="U170" i="15" s="1"/>
  <c r="S186" i="15"/>
  <c r="U186" i="15" s="1"/>
  <c r="S202" i="15"/>
  <c r="U202" i="15" s="1"/>
  <c r="S218" i="15"/>
  <c r="U218" i="15" s="1"/>
  <c r="S234" i="15"/>
  <c r="U234" i="15" s="1"/>
  <c r="S250" i="15"/>
  <c r="U250" i="15" s="1"/>
  <c r="S266" i="15"/>
  <c r="U266" i="15" s="1"/>
  <c r="S282" i="15"/>
  <c r="U282" i="15" s="1"/>
  <c r="S298" i="15"/>
  <c r="U298" i="15" s="1"/>
  <c r="S314" i="15"/>
  <c r="U314" i="15" s="1"/>
  <c r="S330" i="15"/>
  <c r="U330" i="15" s="1"/>
  <c r="S346" i="15"/>
  <c r="U346" i="15" s="1"/>
  <c r="S362" i="15"/>
  <c r="U362" i="15" s="1"/>
  <c r="S378" i="15"/>
  <c r="U378" i="15" s="1"/>
  <c r="S394" i="15"/>
  <c r="S410" i="15"/>
  <c r="U410" i="15" s="1"/>
  <c r="S426" i="15"/>
  <c r="U426" i="15" s="1"/>
  <c r="S442" i="15"/>
  <c r="U442" i="15" s="1"/>
  <c r="S458" i="15"/>
  <c r="U458" i="15" s="1"/>
  <c r="S474" i="15"/>
  <c r="U474" i="15" s="1"/>
  <c r="S490" i="15"/>
  <c r="U490" i="15" s="1"/>
  <c r="S506" i="15"/>
  <c r="U506" i="15" s="1"/>
  <c r="S522" i="15"/>
  <c r="U522" i="15" s="1"/>
  <c r="S538" i="15"/>
  <c r="U538" i="15" s="1"/>
  <c r="S554" i="15"/>
  <c r="U554" i="15" s="1"/>
  <c r="S570" i="15"/>
  <c r="U570" i="15" s="1"/>
  <c r="S586" i="15"/>
  <c r="U586" i="15" s="1"/>
  <c r="S602" i="15"/>
  <c r="U602" i="15" s="1"/>
  <c r="S618" i="15"/>
  <c r="U618" i="15" s="1"/>
  <c r="S634" i="15"/>
  <c r="U634" i="15" s="1"/>
  <c r="S650" i="15"/>
  <c r="U650" i="15" s="1"/>
  <c r="S666" i="15"/>
  <c r="U666" i="15" s="1"/>
  <c r="S682" i="15"/>
  <c r="U682" i="15" s="1"/>
  <c r="S698" i="15"/>
  <c r="U698" i="15" s="1"/>
  <c r="S714" i="15"/>
  <c r="U714" i="15" s="1"/>
  <c r="S730" i="15"/>
  <c r="U730" i="15" s="1"/>
  <c r="S746" i="15"/>
  <c r="U746" i="15" s="1"/>
  <c r="S762" i="15"/>
  <c r="U762" i="15" s="1"/>
  <c r="S778" i="15"/>
  <c r="U778" i="15" s="1"/>
  <c r="S794" i="15"/>
  <c r="U794" i="15" s="1"/>
  <c r="S810" i="15"/>
  <c r="U810" i="15" s="1"/>
  <c r="S826" i="15"/>
  <c r="U826" i="15" s="1"/>
  <c r="S429" i="15"/>
  <c r="U429" i="15" s="1"/>
  <c r="S541" i="15"/>
  <c r="U541" i="15" s="1"/>
  <c r="S605" i="15"/>
  <c r="U605" i="15" s="1"/>
  <c r="S669" i="15"/>
  <c r="U669" i="15" s="1"/>
  <c r="S11" i="15"/>
  <c r="U11" i="15" s="1"/>
  <c r="S27" i="15"/>
  <c r="U27" i="15" s="1"/>
  <c r="S43" i="15"/>
  <c r="U43" i="15" s="1"/>
  <c r="S59" i="15"/>
  <c r="U59" i="15" s="1"/>
  <c r="S75" i="15"/>
  <c r="U75" i="15" s="1"/>
  <c r="S91" i="15"/>
  <c r="S107" i="15"/>
  <c r="U107" i="15" s="1"/>
  <c r="S123" i="15"/>
  <c r="U123" i="15" s="1"/>
  <c r="S139" i="15"/>
  <c r="U139" i="15" s="1"/>
  <c r="S155" i="15"/>
  <c r="U155" i="15" s="1"/>
  <c r="S171" i="15"/>
  <c r="U171" i="15" s="1"/>
  <c r="S187" i="15"/>
  <c r="S203" i="15"/>
  <c r="U203" i="15" s="1"/>
  <c r="S219" i="15"/>
  <c r="U219" i="15" s="1"/>
  <c r="S235" i="15"/>
  <c r="U235" i="15" s="1"/>
  <c r="S251" i="15"/>
  <c r="U251" i="15" s="1"/>
  <c r="S267" i="15"/>
  <c r="U267" i="15" s="1"/>
  <c r="S283" i="15"/>
  <c r="U283" i="15" s="1"/>
  <c r="S299" i="15"/>
  <c r="U299" i="15" s="1"/>
  <c r="S315" i="15"/>
  <c r="U315" i="15" s="1"/>
  <c r="S331" i="15"/>
  <c r="U331" i="15" s="1"/>
  <c r="S347" i="15"/>
  <c r="U347" i="15" s="1"/>
  <c r="S363" i="15"/>
  <c r="U363" i="15" s="1"/>
  <c r="S379" i="15"/>
  <c r="U379" i="15" s="1"/>
  <c r="S395" i="15"/>
  <c r="U395" i="15" s="1"/>
  <c r="S411" i="15"/>
  <c r="U411" i="15" s="1"/>
  <c r="S427" i="15"/>
  <c r="U427" i="15" s="1"/>
  <c r="S443" i="15"/>
  <c r="U443" i="15" s="1"/>
  <c r="S459" i="15"/>
  <c r="U459" i="15" s="1"/>
  <c r="S475" i="15"/>
  <c r="U475" i="15" s="1"/>
  <c r="S491" i="15"/>
  <c r="U491" i="15" s="1"/>
  <c r="S507" i="15"/>
  <c r="U507" i="15" s="1"/>
  <c r="S523" i="15"/>
  <c r="U523" i="15" s="1"/>
  <c r="S539" i="15"/>
  <c r="U539" i="15" s="1"/>
  <c r="S555" i="15"/>
  <c r="U555" i="15" s="1"/>
  <c r="S571" i="15"/>
  <c r="U571" i="15" s="1"/>
  <c r="S587" i="15"/>
  <c r="U587" i="15" s="1"/>
  <c r="S603" i="15"/>
  <c r="U603" i="15" s="1"/>
  <c r="S619" i="15"/>
  <c r="U619" i="15" s="1"/>
  <c r="S635" i="15"/>
  <c r="U635" i="15" s="1"/>
  <c r="S651" i="15"/>
  <c r="U651" i="15" s="1"/>
  <c r="S667" i="15"/>
  <c r="U667" i="15" s="1"/>
  <c r="S683" i="15"/>
  <c r="U683" i="15" s="1"/>
  <c r="S699" i="15"/>
  <c r="U699" i="15" s="1"/>
  <c r="S715" i="15"/>
  <c r="U715" i="15" s="1"/>
  <c r="S731" i="15"/>
  <c r="U731" i="15" s="1"/>
  <c r="S747" i="15"/>
  <c r="U747" i="15" s="1"/>
  <c r="S763" i="15"/>
  <c r="U763" i="15" s="1"/>
  <c r="S779" i="15"/>
  <c r="U779" i="15" s="1"/>
  <c r="S795" i="15"/>
  <c r="U795" i="15" s="1"/>
  <c r="S811" i="15"/>
  <c r="U811" i="15" s="1"/>
  <c r="S827" i="15"/>
  <c r="U827" i="15" s="1"/>
  <c r="S460" i="15"/>
  <c r="U460" i="15" s="1"/>
  <c r="S524" i="15"/>
  <c r="U524" i="15" s="1"/>
  <c r="S556" i="15"/>
  <c r="U556" i="15" s="1"/>
  <c r="S588" i="15"/>
  <c r="U588" i="15" s="1"/>
  <c r="S604" i="15"/>
  <c r="U604" i="15" s="1"/>
  <c r="S636" i="15"/>
  <c r="U636" i="15" s="1"/>
  <c r="S668" i="15"/>
  <c r="U668" i="15" s="1"/>
  <c r="S700" i="15"/>
  <c r="U700" i="15" s="1"/>
  <c r="S732" i="15"/>
  <c r="U732" i="15" s="1"/>
  <c r="S764" i="15"/>
  <c r="U764" i="15" s="1"/>
  <c r="S796" i="15"/>
  <c r="U796" i="15" s="1"/>
  <c r="S828" i="15"/>
  <c r="U828" i="15" s="1"/>
  <c r="S461" i="15"/>
  <c r="U461" i="15" s="1"/>
  <c r="S525" i="15"/>
  <c r="U525" i="15" s="1"/>
  <c r="S557" i="15"/>
  <c r="U557" i="15" s="1"/>
  <c r="S589" i="15"/>
  <c r="U589" i="15" s="1"/>
  <c r="S653" i="15"/>
  <c r="U653" i="15" s="1"/>
  <c r="S12" i="15"/>
  <c r="U12" i="15" s="1"/>
  <c r="S28" i="15"/>
  <c r="U28" i="15" s="1"/>
  <c r="S44" i="15"/>
  <c r="U44" i="15" s="1"/>
  <c r="S60" i="15"/>
  <c r="U60" i="15" s="1"/>
  <c r="S76" i="15"/>
  <c r="U76" i="15" s="1"/>
  <c r="S92" i="15"/>
  <c r="U92" i="15" s="1"/>
  <c r="S108" i="15"/>
  <c r="U108" i="15" s="1"/>
  <c r="S124" i="15"/>
  <c r="U124" i="15" s="1"/>
  <c r="S140" i="15"/>
  <c r="U140" i="15" s="1"/>
  <c r="S156" i="15"/>
  <c r="U156" i="15" s="1"/>
  <c r="S172" i="15"/>
  <c r="U172" i="15" s="1"/>
  <c r="S188" i="15"/>
  <c r="U188" i="15" s="1"/>
  <c r="S204" i="15"/>
  <c r="U204" i="15" s="1"/>
  <c r="S220" i="15"/>
  <c r="U220" i="15" s="1"/>
  <c r="S236" i="15"/>
  <c r="U236" i="15" s="1"/>
  <c r="S252" i="15"/>
  <c r="U252" i="15" s="1"/>
  <c r="S268" i="15"/>
  <c r="U268" i="15" s="1"/>
  <c r="S284" i="15"/>
  <c r="U284" i="15" s="1"/>
  <c r="S300" i="15"/>
  <c r="U300" i="15" s="1"/>
  <c r="S316" i="15"/>
  <c r="U316" i="15" s="1"/>
  <c r="S332" i="15"/>
  <c r="U332" i="15" s="1"/>
  <c r="S348" i="15"/>
  <c r="U348" i="15" s="1"/>
  <c r="S364" i="15"/>
  <c r="U364" i="15" s="1"/>
  <c r="S380" i="15"/>
  <c r="U380" i="15" s="1"/>
  <c r="S396" i="15"/>
  <c r="S412" i="15"/>
  <c r="U412" i="15" s="1"/>
  <c r="S428" i="15"/>
  <c r="U428" i="15" s="1"/>
  <c r="S444" i="15"/>
  <c r="U444" i="15" s="1"/>
  <c r="S476" i="15"/>
  <c r="U476" i="15" s="1"/>
  <c r="S492" i="15"/>
  <c r="U492" i="15" s="1"/>
  <c r="S508" i="15"/>
  <c r="U508" i="15" s="1"/>
  <c r="S540" i="15"/>
  <c r="U540" i="15" s="1"/>
  <c r="S572" i="15"/>
  <c r="U572" i="15" s="1"/>
  <c r="S620" i="15"/>
  <c r="U620" i="15" s="1"/>
  <c r="S652" i="15"/>
  <c r="U652" i="15" s="1"/>
  <c r="S684" i="15"/>
  <c r="U684" i="15" s="1"/>
  <c r="S716" i="15"/>
  <c r="U716" i="15" s="1"/>
  <c r="S748" i="15"/>
  <c r="U748" i="15" s="1"/>
  <c r="S780" i="15"/>
  <c r="U780" i="15" s="1"/>
  <c r="S812" i="15"/>
  <c r="U812" i="15" s="1"/>
  <c r="S493" i="15"/>
  <c r="U493" i="15" s="1"/>
  <c r="S621" i="15"/>
  <c r="U621" i="15" s="1"/>
  <c r="S13" i="15"/>
  <c r="U13" i="15" s="1"/>
  <c r="S29" i="15"/>
  <c r="U29" i="15" s="1"/>
  <c r="S45" i="15"/>
  <c r="U45" i="15" s="1"/>
  <c r="S61" i="15"/>
  <c r="U61" i="15" s="1"/>
  <c r="S77" i="15"/>
  <c r="S93" i="15"/>
  <c r="S109" i="15"/>
  <c r="U109" i="15" s="1"/>
  <c r="S125" i="15"/>
  <c r="U125" i="15" s="1"/>
  <c r="S141" i="15"/>
  <c r="U141" i="15" s="1"/>
  <c r="S157" i="15"/>
  <c r="U157" i="15" s="1"/>
  <c r="S173" i="15"/>
  <c r="U173" i="15" s="1"/>
  <c r="S189" i="15"/>
  <c r="U189" i="15" s="1"/>
  <c r="S205" i="15"/>
  <c r="U205" i="15" s="1"/>
  <c r="S221" i="15"/>
  <c r="S237" i="15"/>
  <c r="U237" i="15" s="1"/>
  <c r="S253" i="15"/>
  <c r="U253" i="15" s="1"/>
  <c r="S269" i="15"/>
  <c r="U269" i="15" s="1"/>
  <c r="S285" i="15"/>
  <c r="U285" i="15" s="1"/>
  <c r="S301" i="15"/>
  <c r="U301" i="15" s="1"/>
  <c r="S317" i="15"/>
  <c r="U317" i="15" s="1"/>
  <c r="S333" i="15"/>
  <c r="U333" i="15" s="1"/>
  <c r="S349" i="15"/>
  <c r="U349" i="15" s="1"/>
  <c r="S365" i="15"/>
  <c r="U365" i="15" s="1"/>
  <c r="S381" i="15"/>
  <c r="U381" i="15" s="1"/>
  <c r="S397" i="15"/>
  <c r="U397" i="15" s="1"/>
  <c r="S413" i="15"/>
  <c r="U413" i="15" s="1"/>
  <c r="S445" i="15"/>
  <c r="U445" i="15" s="1"/>
  <c r="S477" i="15"/>
  <c r="U477" i="15" s="1"/>
  <c r="S509" i="15"/>
  <c r="U509" i="15" s="1"/>
  <c r="S573" i="15"/>
  <c r="U573" i="15" s="1"/>
  <c r="S637" i="15"/>
  <c r="U637" i="15" s="1"/>
  <c r="S14" i="15"/>
  <c r="U14" i="15" s="1"/>
  <c r="S30" i="15"/>
  <c r="U30" i="15" s="1"/>
  <c r="S46" i="15"/>
  <c r="U46" i="15" s="1"/>
  <c r="S62" i="15"/>
  <c r="U62" i="15" s="1"/>
  <c r="S78" i="15"/>
  <c r="S94" i="15"/>
  <c r="U94" i="15" s="1"/>
  <c r="S110" i="15"/>
  <c r="U110" i="15" s="1"/>
  <c r="S126" i="15"/>
  <c r="U126" i="15" s="1"/>
  <c r="S142" i="15"/>
  <c r="U142" i="15" s="1"/>
  <c r="S158" i="15"/>
  <c r="U158" i="15" s="1"/>
  <c r="S174" i="15"/>
  <c r="U174" i="15" s="1"/>
  <c r="S190" i="15"/>
  <c r="U190" i="15" s="1"/>
  <c r="S206" i="15"/>
  <c r="U206" i="15" s="1"/>
  <c r="S222" i="15"/>
  <c r="U222" i="15" s="1"/>
  <c r="S238" i="15"/>
  <c r="U238" i="15" s="1"/>
  <c r="S254" i="15"/>
  <c r="U254" i="15" s="1"/>
  <c r="S270" i="15"/>
  <c r="U270" i="15" s="1"/>
  <c r="S286" i="15"/>
  <c r="U286" i="15" s="1"/>
  <c r="S302" i="15"/>
  <c r="U302" i="15" s="1"/>
  <c r="S318" i="15"/>
  <c r="U318" i="15" s="1"/>
  <c r="S334" i="15"/>
  <c r="U334" i="15" s="1"/>
  <c r="S350" i="15"/>
  <c r="U350" i="15" s="1"/>
  <c r="S366" i="15"/>
  <c r="U366" i="15" s="1"/>
  <c r="S382" i="15"/>
  <c r="S15" i="15"/>
  <c r="U15" i="15" s="1"/>
  <c r="S31" i="15"/>
  <c r="U31" i="15" s="1"/>
  <c r="S47" i="15"/>
  <c r="U47" i="15" s="1"/>
  <c r="S63" i="15"/>
  <c r="U63" i="15" s="1"/>
  <c r="S79" i="15"/>
  <c r="S95" i="15"/>
  <c r="S17" i="15"/>
  <c r="U17" i="15" s="1"/>
  <c r="S33" i="15"/>
  <c r="U33" i="15" s="1"/>
  <c r="S49" i="15"/>
  <c r="U49" i="15" s="1"/>
  <c r="S65" i="15"/>
  <c r="U65" i="15" s="1"/>
  <c r="S81" i="15"/>
  <c r="S97" i="15"/>
  <c r="U97" i="15" s="1"/>
  <c r="S113" i="15"/>
  <c r="U113" i="15" s="1"/>
  <c r="S129" i="15"/>
  <c r="U129" i="15" s="1"/>
  <c r="S145" i="15"/>
  <c r="U145" i="15" s="1"/>
  <c r="S161" i="15"/>
  <c r="U161" i="15" s="1"/>
  <c r="S177" i="15"/>
  <c r="U177" i="15" s="1"/>
  <c r="S193" i="15"/>
  <c r="U193" i="15" s="1"/>
  <c r="S209" i="15"/>
  <c r="U209" i="15" s="1"/>
  <c r="S225" i="15"/>
  <c r="U225" i="15" s="1"/>
  <c r="S241" i="15"/>
  <c r="U241" i="15" s="1"/>
  <c r="S257" i="15"/>
  <c r="U257" i="15" s="1"/>
  <c r="S273" i="15"/>
  <c r="U273" i="15" s="1"/>
  <c r="S289" i="15"/>
  <c r="U289" i="15" s="1"/>
  <c r="S16" i="15"/>
  <c r="U16" i="15" s="1"/>
  <c r="S128" i="15"/>
  <c r="U128" i="15" s="1"/>
  <c r="S210" i="15"/>
  <c r="U210" i="15" s="1"/>
  <c r="S303" i="15"/>
  <c r="U303" i="15" s="1"/>
  <c r="S367" i="15"/>
  <c r="U367" i="15" s="1"/>
  <c r="S417" i="15"/>
  <c r="U417" i="15" s="1"/>
  <c r="S466" i="15"/>
  <c r="U466" i="15" s="1"/>
  <c r="S526" i="15"/>
  <c r="U526" i="15" s="1"/>
  <c r="S574" i="15"/>
  <c r="U574" i="15" s="1"/>
  <c r="S615" i="15"/>
  <c r="U615" i="15" s="1"/>
  <c r="S657" i="15"/>
  <c r="U657" i="15" s="1"/>
  <c r="S701" i="15"/>
  <c r="U701" i="15" s="1"/>
  <c r="S735" i="15"/>
  <c r="U735" i="15" s="1"/>
  <c r="S769" i="15"/>
  <c r="U769" i="15" s="1"/>
  <c r="S807" i="15"/>
  <c r="U807" i="15" s="1"/>
  <c r="S718" i="15"/>
  <c r="U718" i="15" s="1"/>
  <c r="S719" i="15"/>
  <c r="U719" i="15" s="1"/>
  <c r="S830" i="15"/>
  <c r="U830" i="15" s="1"/>
  <c r="S558" i="15"/>
  <c r="U558" i="15" s="1"/>
  <c r="S831" i="15"/>
  <c r="U831" i="15" s="1"/>
  <c r="S606" i="15"/>
  <c r="U606" i="15" s="1"/>
  <c r="S798" i="15"/>
  <c r="U798" i="15" s="1"/>
  <c r="S351" i="15"/>
  <c r="U351" i="15" s="1"/>
  <c r="S688" i="15"/>
  <c r="U688" i="15" s="1"/>
  <c r="S608" i="15"/>
  <c r="U608" i="15" s="1"/>
  <c r="S689" i="15"/>
  <c r="U689" i="15" s="1"/>
  <c r="S207" i="15"/>
  <c r="U207" i="15" s="1"/>
  <c r="S610" i="15"/>
  <c r="U610" i="15" s="1"/>
  <c r="S18" i="15"/>
  <c r="U18" i="15" s="1"/>
  <c r="S130" i="15"/>
  <c r="U130" i="15" s="1"/>
  <c r="S223" i="15"/>
  <c r="U223" i="15" s="1"/>
  <c r="S304" i="15"/>
  <c r="U304" i="15" s="1"/>
  <c r="S368" i="15"/>
  <c r="U368" i="15" s="1"/>
  <c r="S418" i="15"/>
  <c r="U418" i="15" s="1"/>
  <c r="S478" i="15"/>
  <c r="U478" i="15" s="1"/>
  <c r="S527" i="15"/>
  <c r="U527" i="15" s="1"/>
  <c r="S575" i="15"/>
  <c r="U575" i="15" s="1"/>
  <c r="S622" i="15"/>
  <c r="U622" i="15" s="1"/>
  <c r="S658" i="15"/>
  <c r="U658" i="15" s="1"/>
  <c r="S702" i="15"/>
  <c r="U702" i="15" s="1"/>
  <c r="S736" i="15"/>
  <c r="U736" i="15" s="1"/>
  <c r="S770" i="15"/>
  <c r="U770" i="15" s="1"/>
  <c r="S813" i="15"/>
  <c r="U813" i="15" s="1"/>
  <c r="S814" i="15"/>
  <c r="U814" i="15" s="1"/>
  <c r="S829" i="15"/>
  <c r="U829" i="15" s="1"/>
  <c r="S685" i="15"/>
  <c r="U685" i="15" s="1"/>
  <c r="S599" i="15"/>
  <c r="U599" i="15" s="1"/>
  <c r="S191" i="15"/>
  <c r="U191" i="15" s="1"/>
  <c r="S833" i="15"/>
  <c r="U833" i="15" s="1"/>
  <c r="S414" i="15"/>
  <c r="U414" i="15" s="1"/>
  <c r="S562" i="15"/>
  <c r="U562" i="15" s="1"/>
  <c r="S465" i="15"/>
  <c r="U465" i="15" s="1"/>
  <c r="S768" i="15"/>
  <c r="U768" i="15" s="1"/>
  <c r="S32" i="15"/>
  <c r="U32" i="15" s="1"/>
  <c r="S143" i="15"/>
  <c r="U143" i="15" s="1"/>
  <c r="S224" i="15"/>
  <c r="S305" i="15"/>
  <c r="U305" i="15" s="1"/>
  <c r="S369" i="15"/>
  <c r="U369" i="15" s="1"/>
  <c r="S430" i="15"/>
  <c r="U430" i="15" s="1"/>
  <c r="S479" i="15"/>
  <c r="U479" i="15" s="1"/>
  <c r="S528" i="15"/>
  <c r="U528" i="15" s="1"/>
  <c r="S576" i="15"/>
  <c r="U576" i="15" s="1"/>
  <c r="S623" i="15"/>
  <c r="U623" i="15" s="1"/>
  <c r="S663" i="15"/>
  <c r="U663" i="15" s="1"/>
  <c r="S703" i="15"/>
  <c r="U703" i="15" s="1"/>
  <c r="S737" i="15"/>
  <c r="U737" i="15" s="1"/>
  <c r="S775" i="15"/>
  <c r="U775" i="15" s="1"/>
  <c r="S34" i="15"/>
  <c r="U34" i="15" s="1"/>
  <c r="S144" i="15"/>
  <c r="U144" i="15" s="1"/>
  <c r="S226" i="15"/>
  <c r="U226" i="15" s="1"/>
  <c r="S306" i="15"/>
  <c r="U306" i="15" s="1"/>
  <c r="S370" i="15"/>
  <c r="U370" i="15" s="1"/>
  <c r="S431" i="15"/>
  <c r="U431" i="15" s="1"/>
  <c r="S480" i="15"/>
  <c r="U480" i="15" s="1"/>
  <c r="S529" i="15"/>
  <c r="U529" i="15" s="1"/>
  <c r="S577" i="15"/>
  <c r="U577" i="15" s="1"/>
  <c r="S624" i="15"/>
  <c r="U624" i="15" s="1"/>
  <c r="S670" i="15"/>
  <c r="U670" i="15" s="1"/>
  <c r="S704" i="15"/>
  <c r="U704" i="15" s="1"/>
  <c r="S738" i="15"/>
  <c r="U738" i="15" s="1"/>
  <c r="S781" i="15"/>
  <c r="U781" i="15" s="1"/>
  <c r="S815" i="15"/>
  <c r="U815" i="15" s="1"/>
  <c r="S592" i="15"/>
  <c r="U592" i="15" s="1"/>
  <c r="S593" i="15"/>
  <c r="U593" i="15" s="1"/>
  <c r="S546" i="15"/>
  <c r="U546" i="15" s="1"/>
  <c r="S641" i="15"/>
  <c r="U641" i="15" s="1"/>
  <c r="S754" i="15"/>
  <c r="U754" i="15" s="1"/>
  <c r="S338" i="15"/>
  <c r="U338" i="15" s="1"/>
  <c r="S647" i="15"/>
  <c r="U647" i="15" s="1"/>
  <c r="S194" i="15"/>
  <c r="S464" i="15"/>
  <c r="U464" i="15" s="1"/>
  <c r="S354" i="15"/>
  <c r="U354" i="15" s="1"/>
  <c r="S734" i="15"/>
  <c r="U734" i="15" s="1"/>
  <c r="S48" i="15"/>
  <c r="U48" i="15" s="1"/>
  <c r="S146" i="15"/>
  <c r="U146" i="15" s="1"/>
  <c r="S239" i="15"/>
  <c r="U239" i="15" s="1"/>
  <c r="S319" i="15"/>
  <c r="U319" i="15" s="1"/>
  <c r="S383" i="15"/>
  <c r="U383" i="15" s="1"/>
  <c r="S432" i="15"/>
  <c r="U432" i="15" s="1"/>
  <c r="S481" i="15"/>
  <c r="U481" i="15" s="1"/>
  <c r="S530" i="15"/>
  <c r="U530" i="15" s="1"/>
  <c r="S578" i="15"/>
  <c r="U578" i="15" s="1"/>
  <c r="S625" i="15"/>
  <c r="U625" i="15" s="1"/>
  <c r="S671" i="15"/>
  <c r="U671" i="15" s="1"/>
  <c r="S705" i="15"/>
  <c r="U705" i="15" s="1"/>
  <c r="S743" i="15"/>
  <c r="U743" i="15" s="1"/>
  <c r="S782" i="15"/>
  <c r="U782" i="15" s="1"/>
  <c r="S816" i="15"/>
  <c r="U816" i="15" s="1"/>
  <c r="S783" i="15"/>
  <c r="U783" i="15" s="1"/>
  <c r="S385" i="15"/>
  <c r="U385" i="15" s="1"/>
  <c r="S543" i="15"/>
  <c r="U543" i="15" s="1"/>
  <c r="S673" i="15"/>
  <c r="U673" i="15" s="1"/>
  <c r="S784" i="15"/>
  <c r="U784" i="15" s="1"/>
  <c r="S717" i="15"/>
  <c r="U717" i="15" s="1"/>
  <c r="S751" i="15"/>
  <c r="U751" i="15" s="1"/>
  <c r="S335" i="15"/>
  <c r="U335" i="15" s="1"/>
  <c r="S679" i="15"/>
  <c r="U679" i="15" s="1"/>
  <c r="S791" i="15"/>
  <c r="U791" i="15" s="1"/>
  <c r="S400" i="15"/>
  <c r="U400" i="15" s="1"/>
  <c r="S401" i="15"/>
  <c r="U401" i="15" s="1"/>
  <c r="S721" i="15"/>
  <c r="U721" i="15" s="1"/>
  <c r="S511" i="15"/>
  <c r="U511" i="15" s="1"/>
  <c r="S607" i="15"/>
  <c r="U607" i="15" s="1"/>
  <c r="S799" i="15"/>
  <c r="U799" i="15" s="1"/>
  <c r="S463" i="15"/>
  <c r="U463" i="15" s="1"/>
  <c r="S727" i="15"/>
  <c r="U727" i="15" s="1"/>
  <c r="S353" i="15"/>
  <c r="U353" i="15" s="1"/>
  <c r="S801" i="15"/>
  <c r="U801" i="15" s="1"/>
  <c r="S567" i="15"/>
  <c r="U567" i="15" s="1"/>
  <c r="S50" i="15"/>
  <c r="U50" i="15" s="1"/>
  <c r="S159" i="15"/>
  <c r="U159" i="15" s="1"/>
  <c r="S240" i="15"/>
  <c r="U240" i="15" s="1"/>
  <c r="S320" i="15"/>
  <c r="U320" i="15" s="1"/>
  <c r="S384" i="15"/>
  <c r="U384" i="15" s="1"/>
  <c r="S433" i="15"/>
  <c r="U433" i="15" s="1"/>
  <c r="S482" i="15"/>
  <c r="U482" i="15" s="1"/>
  <c r="S542" i="15"/>
  <c r="U542" i="15" s="1"/>
  <c r="S590" i="15"/>
  <c r="U590" i="15" s="1"/>
  <c r="S626" i="15"/>
  <c r="U626" i="15" s="1"/>
  <c r="S672" i="15"/>
  <c r="U672" i="15" s="1"/>
  <c r="S706" i="15"/>
  <c r="U706" i="15" s="1"/>
  <c r="S749" i="15"/>
  <c r="U749" i="15" s="1"/>
  <c r="S817" i="15"/>
  <c r="U817" i="15" s="1"/>
  <c r="S434" i="15"/>
  <c r="U434" i="15" s="1"/>
  <c r="S591" i="15"/>
  <c r="U591" i="15" s="1"/>
  <c r="S711" i="15"/>
  <c r="U711" i="15" s="1"/>
  <c r="S818" i="15"/>
  <c r="U818" i="15" s="1"/>
  <c r="S638" i="15"/>
  <c r="U638" i="15" s="1"/>
  <c r="S823" i="15"/>
  <c r="U823" i="15" s="1"/>
  <c r="S398" i="15"/>
  <c r="U398" i="15" s="1"/>
  <c r="S545" i="15"/>
  <c r="U545" i="15" s="1"/>
  <c r="S786" i="15"/>
  <c r="U786" i="15" s="1"/>
  <c r="S753" i="15"/>
  <c r="U753" i="15" s="1"/>
  <c r="S337" i="15"/>
  <c r="U337" i="15" s="1"/>
  <c r="S559" i="15"/>
  <c r="U559" i="15" s="1"/>
  <c r="S759" i="15"/>
  <c r="U759" i="15" s="1"/>
  <c r="S402" i="15"/>
  <c r="U402" i="15" s="1"/>
  <c r="S560" i="15"/>
  <c r="U560" i="15" s="1"/>
  <c r="S287" i="15"/>
  <c r="U287" i="15" s="1"/>
  <c r="S415" i="15"/>
  <c r="U415" i="15" s="1"/>
  <c r="S690" i="15"/>
  <c r="U690" i="15" s="1"/>
  <c r="S416" i="15"/>
  <c r="U416" i="15" s="1"/>
  <c r="S656" i="15"/>
  <c r="U656" i="15" s="1"/>
  <c r="S64" i="15"/>
  <c r="U64" i="15" s="1"/>
  <c r="S160" i="15"/>
  <c r="U160" i="15" s="1"/>
  <c r="S242" i="15"/>
  <c r="U242" i="15" s="1"/>
  <c r="S321" i="15"/>
  <c r="U321" i="15" s="1"/>
  <c r="S494" i="15"/>
  <c r="U494" i="15" s="1"/>
  <c r="S631" i="15"/>
  <c r="U631" i="15" s="1"/>
  <c r="S750" i="15"/>
  <c r="U750" i="15" s="1"/>
  <c r="S785" i="15"/>
  <c r="U785" i="15" s="1"/>
  <c r="S256" i="15"/>
  <c r="U256" i="15" s="1"/>
  <c r="S752" i="15"/>
  <c r="U752" i="15" s="1"/>
  <c r="S271" i="15"/>
  <c r="U271" i="15" s="1"/>
  <c r="S687" i="15"/>
  <c r="U687" i="15" s="1"/>
  <c r="S192" i="15"/>
  <c r="U192" i="15" s="1"/>
  <c r="S765" i="15"/>
  <c r="U765" i="15" s="1"/>
  <c r="S654" i="15"/>
  <c r="U654" i="15" s="1"/>
  <c r="S288" i="15"/>
  <c r="U288" i="15" s="1"/>
  <c r="S733" i="15"/>
  <c r="U733" i="15" s="1"/>
  <c r="S514" i="15"/>
  <c r="U514" i="15" s="1"/>
  <c r="S802" i="15"/>
  <c r="U802" i="15" s="1"/>
  <c r="S66" i="15"/>
  <c r="U66" i="15" s="1"/>
  <c r="S162" i="15"/>
  <c r="U162" i="15" s="1"/>
  <c r="S255" i="15"/>
  <c r="U255" i="15" s="1"/>
  <c r="S322" i="15"/>
  <c r="U322" i="15" s="1"/>
  <c r="S386" i="15"/>
  <c r="U386" i="15" s="1"/>
  <c r="S446" i="15"/>
  <c r="U446" i="15" s="1"/>
  <c r="S495" i="15"/>
  <c r="U495" i="15" s="1"/>
  <c r="S544" i="15"/>
  <c r="U544" i="15" s="1"/>
  <c r="S674" i="15"/>
  <c r="U674" i="15" s="1"/>
  <c r="S496" i="15"/>
  <c r="U496" i="15" s="1"/>
  <c r="S639" i="15"/>
  <c r="U639" i="15" s="1"/>
  <c r="S594" i="15"/>
  <c r="U594" i="15" s="1"/>
  <c r="S449" i="15"/>
  <c r="U449" i="15" s="1"/>
  <c r="S797" i="15"/>
  <c r="U797" i="15" s="1"/>
  <c r="S642" i="15"/>
  <c r="U642" i="15" s="1"/>
  <c r="S832" i="15"/>
  <c r="U832" i="15" s="1"/>
  <c r="S274" i="15"/>
  <c r="U274" i="15" s="1"/>
  <c r="S561" i="15"/>
  <c r="U561" i="15" s="1"/>
  <c r="S80" i="15"/>
  <c r="U80" i="15" s="1"/>
  <c r="S175" i="15"/>
  <c r="U175" i="15" s="1"/>
  <c r="S447" i="15"/>
  <c r="U447" i="15" s="1"/>
  <c r="S720" i="15"/>
  <c r="U720" i="15" s="1"/>
  <c r="S510" i="15"/>
  <c r="U510" i="15" s="1"/>
  <c r="S462" i="15"/>
  <c r="U462" i="15" s="1"/>
  <c r="S512" i="15"/>
  <c r="U512" i="15" s="1"/>
  <c r="S800" i="15"/>
  <c r="U800" i="15" s="1"/>
  <c r="S513" i="15"/>
  <c r="U513" i="15" s="1"/>
  <c r="S208" i="15"/>
  <c r="S82" i="15"/>
  <c r="U82" i="15" s="1"/>
  <c r="S176" i="15"/>
  <c r="U176" i="15" s="1"/>
  <c r="S258" i="15"/>
  <c r="U258" i="15" s="1"/>
  <c r="S336" i="15"/>
  <c r="U336" i="15" s="1"/>
  <c r="S399" i="15"/>
  <c r="U399" i="15" s="1"/>
  <c r="S448" i="15"/>
  <c r="U448" i="15" s="1"/>
  <c r="S497" i="15"/>
  <c r="U497" i="15" s="1"/>
  <c r="S640" i="15"/>
  <c r="U640" i="15" s="1"/>
  <c r="S686" i="15"/>
  <c r="U686" i="15" s="1"/>
  <c r="S272" i="15"/>
  <c r="U272" i="15" s="1"/>
  <c r="S722" i="15"/>
  <c r="U722" i="15" s="1"/>
  <c r="S352" i="15"/>
  <c r="U352" i="15" s="1"/>
  <c r="S609" i="15"/>
  <c r="U609" i="15" s="1"/>
  <c r="S290" i="15"/>
  <c r="U290" i="15" s="1"/>
  <c r="S96" i="15"/>
  <c r="U96" i="15" s="1"/>
  <c r="S178" i="15"/>
  <c r="U178" i="15" s="1"/>
  <c r="S498" i="15"/>
  <c r="U498" i="15" s="1"/>
  <c r="S111" i="15"/>
  <c r="U111" i="15" s="1"/>
  <c r="S114" i="15"/>
  <c r="U114" i="15" s="1"/>
  <c r="S767" i="15"/>
  <c r="U767" i="15" s="1"/>
  <c r="S695" i="15"/>
  <c r="U695" i="15" s="1"/>
  <c r="S98" i="15"/>
  <c r="U98" i="15" s="1"/>
  <c r="S450" i="15"/>
  <c r="U450" i="15" s="1"/>
  <c r="S112" i="15"/>
  <c r="U112" i="15" s="1"/>
  <c r="S766" i="15"/>
  <c r="U766" i="15" s="1"/>
  <c r="S655" i="15"/>
  <c r="U655" i="15" s="1"/>
  <c r="S127" i="15"/>
  <c r="U127" i="15" s="1"/>
  <c r="J18" i="5"/>
  <c r="T18" i="5"/>
  <c r="P9" i="5"/>
  <c r="O18" i="5"/>
  <c r="F18" i="5"/>
  <c r="Q9" i="5"/>
  <c r="Q18" i="5"/>
  <c r="E18" i="5"/>
  <c r="G18" i="5"/>
  <c r="I18" i="5"/>
  <c r="T9" i="5"/>
  <c r="S9" i="5"/>
  <c r="R18" i="5"/>
  <c r="R9" i="5"/>
  <c r="O9" i="5"/>
  <c r="N18" i="5"/>
  <c r="N9" i="5"/>
  <c r="S18" i="5"/>
  <c r="P18" i="5"/>
  <c r="H18" i="5"/>
  <c r="D18" i="5"/>
  <c r="AT4" i="48" l="1"/>
  <c r="AQ4" i="48"/>
  <c r="AS4" i="48"/>
  <c r="AQ7" i="48"/>
  <c r="AW4" i="48"/>
  <c r="AU6" i="48"/>
  <c r="AU4" i="48"/>
  <c r="AQ5" i="48"/>
  <c r="AT7" i="48"/>
  <c r="AX25" i="48"/>
  <c r="AS6" i="48"/>
  <c r="AW6" i="48"/>
  <c r="AV4" i="48"/>
  <c r="AS26" i="48"/>
  <c r="AS7" i="48"/>
  <c r="AV7" i="48"/>
  <c r="AX24" i="48"/>
  <c r="AW5" i="48"/>
  <c r="AS5" i="48"/>
  <c r="AU26" i="48"/>
  <c r="AV5" i="48"/>
  <c r="AV6" i="48"/>
  <c r="AX23" i="48"/>
  <c r="AR7" i="48"/>
  <c r="AR26" i="48"/>
  <c r="AU5" i="48"/>
  <c r="AR4" i="48"/>
  <c r="AQ26" i="48"/>
  <c r="AX22" i="48"/>
  <c r="AR6" i="48"/>
  <c r="AR5" i="48"/>
  <c r="AT6" i="48"/>
  <c r="AT5" i="48"/>
  <c r="AU7" i="48"/>
  <c r="AV26" i="48"/>
  <c r="AT26" i="48"/>
  <c r="AQ6" i="48"/>
  <c r="AW7" i="48"/>
  <c r="AW26" i="48"/>
  <c r="U95" i="15"/>
  <c r="AT14" i="48" s="1"/>
  <c r="U79" i="15"/>
  <c r="AQ15" i="48" s="1"/>
  <c r="U89" i="15"/>
  <c r="AW16" i="48" s="1"/>
  <c r="U73" i="15"/>
  <c r="AQ14" i="48" s="1"/>
  <c r="U194" i="15"/>
  <c r="AW15" i="48" s="1"/>
  <c r="U376" i="15"/>
  <c r="AV13" i="48" s="1"/>
  <c r="U224" i="15"/>
  <c r="AQ16" i="48" s="1"/>
  <c r="U91" i="15"/>
  <c r="AV16" i="48" s="1"/>
  <c r="U93" i="15"/>
  <c r="AS15" i="48" s="1"/>
  <c r="U72" i="15"/>
  <c r="AW14" i="48" s="1"/>
  <c r="U77" i="15"/>
  <c r="AS14" i="48" s="1"/>
  <c r="U78" i="15"/>
  <c r="AV14" i="48" s="1"/>
  <c r="U86" i="15"/>
  <c r="AV15" i="48" s="1"/>
  <c r="U83" i="15"/>
  <c r="AR16" i="48" s="1"/>
  <c r="U81" i="15"/>
  <c r="AU14" i="48" s="1"/>
  <c r="U394" i="15"/>
  <c r="AR13" i="48" s="1"/>
  <c r="U208" i="15"/>
  <c r="AW13" i="48" s="1"/>
  <c r="U90" i="15"/>
  <c r="AR15" i="48" s="1"/>
  <c r="U74" i="15"/>
  <c r="AR14" i="48" s="1"/>
  <c r="U200" i="15"/>
  <c r="AT15" i="48" s="1"/>
  <c r="U187" i="15"/>
  <c r="AU16" i="48" s="1"/>
  <c r="U85" i="15"/>
  <c r="AT16" i="48" s="1"/>
  <c r="U598" i="15"/>
  <c r="AS13" i="48" s="1"/>
  <c r="U84" i="15"/>
  <c r="AS16" i="48" s="1"/>
  <c r="U382" i="15"/>
  <c r="AT13" i="48" s="1"/>
  <c r="U217" i="15"/>
  <c r="AQ13" i="48" s="1"/>
  <c r="U396" i="15"/>
  <c r="AU15" i="48" s="1"/>
  <c r="U221" i="15"/>
  <c r="AU13" i="48" s="1"/>
  <c r="E94" i="5"/>
  <c r="F94" i="5"/>
  <c r="G94" i="5"/>
  <c r="J95" i="5"/>
  <c r="H96" i="5"/>
  <c r="I94" i="5"/>
  <c r="D96" i="5"/>
  <c r="F93" i="5"/>
  <c r="D93" i="5"/>
  <c r="F96" i="5"/>
  <c r="G95" i="5"/>
  <c r="J93" i="5"/>
  <c r="I95" i="5"/>
  <c r="G96" i="5"/>
  <c r="J96" i="5"/>
  <c r="H93" i="5"/>
  <c r="I96" i="5"/>
  <c r="H94" i="5"/>
  <c r="D94" i="5"/>
  <c r="G93" i="5"/>
  <c r="E96" i="5"/>
  <c r="I93" i="5"/>
  <c r="H95" i="5"/>
  <c r="J94" i="5"/>
  <c r="E95" i="5"/>
  <c r="F95" i="5"/>
  <c r="D95" i="5"/>
  <c r="E93" i="5"/>
  <c r="Q62" i="5"/>
  <c r="S62" i="5"/>
  <c r="T59" i="5"/>
  <c r="T62" i="5"/>
  <c r="R59" i="5"/>
  <c r="Q60" i="5"/>
  <c r="R60" i="5"/>
  <c r="O61" i="5"/>
  <c r="R62" i="5"/>
  <c r="Q61" i="5"/>
  <c r="R61" i="5"/>
  <c r="Q59" i="5"/>
  <c r="P59" i="5"/>
  <c r="T60" i="5"/>
  <c r="T61" i="5"/>
  <c r="S61" i="5"/>
  <c r="P60" i="5"/>
  <c r="P62" i="5"/>
  <c r="P61" i="5"/>
  <c r="O59" i="5"/>
  <c r="O62" i="5"/>
  <c r="S60" i="5"/>
  <c r="S59" i="5"/>
  <c r="O60" i="5"/>
  <c r="AU8" i="48" l="1"/>
  <c r="AT17" i="48"/>
  <c r="AS8" i="48"/>
  <c r="AW27" i="48"/>
  <c r="AW8" i="48"/>
  <c r="AT8" i="48"/>
  <c r="AX5" i="48"/>
  <c r="AX7" i="48"/>
  <c r="AU17" i="48"/>
  <c r="AV27" i="48"/>
  <c r="AU27" i="48"/>
  <c r="AX13" i="48"/>
  <c r="AQ17" i="48"/>
  <c r="AX16" i="48"/>
  <c r="AV17" i="48"/>
  <c r="AX14" i="48"/>
  <c r="AQ27" i="48"/>
  <c r="AX15" i="48"/>
  <c r="AR8" i="48"/>
  <c r="AW17" i="48"/>
  <c r="AS27" i="48"/>
  <c r="AR17" i="48"/>
  <c r="AR27" i="48"/>
  <c r="AV8" i="48"/>
  <c r="AX6" i="48"/>
  <c r="AX4" i="48"/>
  <c r="AS17" i="48"/>
  <c r="AT27" i="48"/>
  <c r="AQ8" i="48"/>
  <c r="H100" i="5"/>
  <c r="F101" i="5"/>
  <c r="G99" i="5"/>
  <c r="J99" i="5"/>
  <c r="J98" i="5"/>
  <c r="K94" i="5"/>
  <c r="I101" i="5"/>
  <c r="I100" i="5"/>
  <c r="K93" i="5"/>
  <c r="G98" i="5"/>
  <c r="E101" i="5"/>
  <c r="E99" i="5"/>
  <c r="H101" i="5"/>
  <c r="D99" i="5"/>
  <c r="I98" i="5"/>
  <c r="J101" i="5"/>
  <c r="F99" i="5"/>
  <c r="G101" i="5"/>
  <c r="E100" i="5"/>
  <c r="H111" i="5"/>
  <c r="I111" i="5"/>
  <c r="I99" i="5"/>
  <c r="D98" i="5"/>
  <c r="K95" i="5"/>
  <c r="G100" i="5"/>
  <c r="J111" i="5"/>
  <c r="H98" i="5"/>
  <c r="F111" i="5"/>
  <c r="D100" i="5"/>
  <c r="J100" i="5"/>
  <c r="K96" i="5"/>
  <c r="G111" i="5"/>
  <c r="E98" i="5"/>
  <c r="H99" i="5"/>
  <c r="D101" i="5"/>
  <c r="F98" i="5"/>
  <c r="F100" i="5"/>
  <c r="D111" i="5"/>
  <c r="E111" i="5"/>
  <c r="O19" i="21"/>
  <c r="AV18" i="48" l="1"/>
  <c r="AR9" i="48"/>
  <c r="AQ9" i="48"/>
  <c r="AQ18" i="48"/>
  <c r="AT18" i="48"/>
  <c r="AV9" i="48"/>
  <c r="AU18" i="48"/>
  <c r="AU9" i="48"/>
  <c r="AR18" i="48"/>
  <c r="AT9" i="48"/>
  <c r="AS18" i="48"/>
  <c r="AS9" i="48"/>
  <c r="AW18" i="48"/>
  <c r="AW9" i="48"/>
  <c r="K99" i="5"/>
  <c r="L99" i="5"/>
  <c r="H113" i="5"/>
  <c r="E113" i="5"/>
  <c r="K98" i="5"/>
  <c r="F113" i="5"/>
  <c r="L98" i="5"/>
  <c r="J113" i="5"/>
  <c r="L101" i="5"/>
  <c r="K100" i="5"/>
  <c r="G113" i="5"/>
  <c r="L100" i="5"/>
  <c r="D113" i="5"/>
  <c r="I113" i="5"/>
  <c r="K101" i="5"/>
  <c r="O15" i="21"/>
  <c r="O21" i="21"/>
  <c r="O16" i="21"/>
  <c r="O18" i="21"/>
  <c r="O17" i="21"/>
  <c r="O20" i="21"/>
  <c r="H31" i="23" l="1"/>
  <c r="I31" i="23"/>
  <c r="E31" i="23"/>
  <c r="F21" i="23"/>
  <c r="J31" i="23"/>
  <c r="F31" i="23"/>
  <c r="G21" i="23"/>
  <c r="G31" i="23"/>
  <c r="H21" i="23"/>
  <c r="I21" i="23"/>
  <c r="E21" i="23"/>
  <c r="K21" i="23"/>
  <c r="J21" i="23"/>
  <c r="I20" i="23"/>
  <c r="E30" i="23"/>
  <c r="J20" i="23"/>
  <c r="F30" i="23"/>
  <c r="G30" i="23"/>
  <c r="H30" i="23"/>
  <c r="H20" i="23"/>
  <c r="K20" i="23"/>
  <c r="E20" i="23"/>
  <c r="I30" i="23"/>
  <c r="F20" i="23"/>
  <c r="J30" i="23"/>
  <c r="G20" i="23"/>
  <c r="G22" i="23"/>
  <c r="J22" i="23"/>
  <c r="F32" i="23"/>
  <c r="J32" i="23"/>
  <c r="H22" i="23"/>
  <c r="I22" i="23"/>
  <c r="E32" i="23"/>
  <c r="I32" i="23"/>
  <c r="G32" i="23"/>
  <c r="K22" i="23"/>
  <c r="E22" i="23"/>
  <c r="F22" i="23"/>
  <c r="H32" i="23"/>
  <c r="F19" i="23"/>
  <c r="J29" i="23"/>
  <c r="E19" i="23"/>
  <c r="G19" i="23"/>
  <c r="I19" i="23"/>
  <c r="E29" i="23"/>
  <c r="H19" i="23"/>
  <c r="J19" i="23"/>
  <c r="F29" i="23"/>
  <c r="G29" i="23"/>
  <c r="H29" i="23"/>
  <c r="K19" i="23"/>
  <c r="I29" i="23"/>
  <c r="K8" i="23"/>
  <c r="I10" i="23"/>
  <c r="J9" i="23"/>
  <c r="I9" i="23"/>
  <c r="AD13" i="5"/>
  <c r="E9" i="23"/>
  <c r="Y13" i="5"/>
  <c r="AA13" i="5"/>
  <c r="K9" i="23"/>
  <c r="Z13" i="5"/>
  <c r="AC13" i="5"/>
  <c r="F10" i="23"/>
  <c r="E11" i="23"/>
  <c r="X12" i="5"/>
  <c r="F9" i="23"/>
  <c r="H8" i="23"/>
  <c r="J8" i="23"/>
  <c r="I8" i="23"/>
  <c r="G8" i="23"/>
  <c r="AB13" i="5"/>
  <c r="F8" i="23"/>
  <c r="X13" i="5"/>
  <c r="H9" i="23"/>
  <c r="G9" i="23"/>
  <c r="E8" i="23"/>
  <c r="M3" i="23" a="1"/>
  <c r="N5" i="23" s="1"/>
  <c r="AX5" i="23" s="1"/>
  <c r="E10" i="23"/>
  <c r="X15" i="5"/>
  <c r="AD12" i="5"/>
  <c r="AC12" i="5"/>
  <c r="AA12" i="5"/>
  <c r="Z12" i="5"/>
  <c r="AB14" i="5"/>
  <c r="AA14" i="5"/>
  <c r="AB12" i="5"/>
  <c r="AD15" i="5"/>
  <c r="AB15" i="5"/>
  <c r="I11" i="23"/>
  <c r="AC15" i="5"/>
  <c r="AA15" i="5"/>
  <c r="F11" i="23"/>
  <c r="J11" i="23"/>
  <c r="Z15" i="5"/>
  <c r="Y15" i="5"/>
  <c r="H11" i="23"/>
  <c r="Y14" i="5"/>
  <c r="X14" i="5"/>
  <c r="AD14" i="5"/>
  <c r="AC14" i="5"/>
  <c r="G11" i="23"/>
  <c r="K11" i="23"/>
  <c r="Y12" i="5"/>
  <c r="Z14" i="5"/>
  <c r="H10" i="23"/>
  <c r="G10" i="23"/>
  <c r="K10" i="23"/>
  <c r="J10" i="23"/>
  <c r="O22" i="21"/>
  <c r="H34" i="23" l="1"/>
  <c r="E36" i="23"/>
  <c r="K34" i="23"/>
  <c r="F34" i="23"/>
  <c r="G36" i="23"/>
  <c r="E34" i="23"/>
  <c r="J36" i="23"/>
  <c r="I36" i="23"/>
  <c r="I34" i="23"/>
  <c r="H36" i="23"/>
  <c r="G34" i="23"/>
  <c r="F36" i="23"/>
  <c r="J34" i="23"/>
  <c r="E25" i="23"/>
  <c r="E27" i="23"/>
  <c r="E24" i="23"/>
  <c r="E26" i="23"/>
  <c r="E12" i="23"/>
  <c r="E13" i="23" s="1"/>
  <c r="F12" i="23"/>
  <c r="F13" i="23" s="1"/>
  <c r="N3" i="23"/>
  <c r="AX3" i="23" s="1"/>
  <c r="M3" i="23"/>
  <c r="N9" i="23" s="1"/>
  <c r="AX9" i="23" s="1"/>
  <c r="N4" i="23"/>
  <c r="AX4" i="23" s="1"/>
  <c r="N8" i="23"/>
  <c r="AX8" i="23" s="1"/>
  <c r="H27" i="23"/>
  <c r="N6" i="23"/>
  <c r="AX6" i="23" s="1"/>
  <c r="N7" i="23"/>
  <c r="AX7" i="23" s="1"/>
  <c r="I27" i="23"/>
  <c r="I26" i="23"/>
  <c r="F25" i="23"/>
  <c r="F24" i="23"/>
  <c r="F27" i="23"/>
  <c r="F26" i="23"/>
  <c r="G27" i="23"/>
  <c r="J24" i="23"/>
  <c r="K27" i="23"/>
  <c r="G25" i="23"/>
  <c r="G26" i="23"/>
  <c r="G12" i="23"/>
  <c r="G13" i="23" s="1"/>
  <c r="K24" i="23"/>
  <c r="K12" i="23"/>
  <c r="K13" i="23" s="1"/>
  <c r="I12" i="23"/>
  <c r="I13" i="23" s="1"/>
  <c r="H25" i="23"/>
  <c r="K26" i="23"/>
  <c r="I24" i="23"/>
  <c r="J26" i="23"/>
  <c r="H26" i="23"/>
  <c r="H24" i="23"/>
  <c r="K25" i="23"/>
  <c r="J27" i="23"/>
  <c r="I25" i="23"/>
  <c r="J25" i="23"/>
  <c r="J12" i="23"/>
  <c r="J13" i="23" s="1"/>
  <c r="G24" i="23"/>
  <c r="H12" i="23"/>
  <c r="H13" i="23" s="1"/>
  <c r="K14" i="23" l="1"/>
  <c r="K15" i="23" s="1"/>
  <c r="H14" i="23"/>
  <c r="H15" i="23" s="1"/>
  <c r="G14" i="23"/>
  <c r="G15" i="23" s="1"/>
  <c r="I14" i="23"/>
  <c r="I15" i="23" s="1"/>
  <c r="F14" i="23"/>
  <c r="F15" i="23" s="1"/>
  <c r="J14" i="23"/>
  <c r="J15" i="23" s="1"/>
  <c r="E14" i="23"/>
  <c r="E15" i="23" s="1"/>
  <c r="E35" i="23"/>
  <c r="G35" i="23"/>
  <c r="F35" i="23"/>
  <c r="I35" i="23"/>
  <c r="H35" i="23"/>
  <c r="J35" i="23"/>
  <c r="K35" i="23"/>
  <c r="E37" i="23" l="1"/>
  <c r="E38" i="23" s="1"/>
  <c r="I37" i="23"/>
  <c r="I38" i="23" s="1"/>
  <c r="H37" i="23"/>
  <c r="H38" i="23" s="1"/>
  <c r="G37" i="23"/>
  <c r="G38" i="23" s="1"/>
  <c r="F37" i="23"/>
  <c r="F38" i="23" s="1"/>
  <c r="J37" i="23"/>
  <c r="J38" i="23" s="1"/>
  <c r="E25" i="36" l="1"/>
  <c r="X16" i="36" s="1"/>
  <c r="X15" i="36" l="1"/>
  <c r="Y15" i="36" s="1"/>
  <c r="Z15" i="36" s="1"/>
  <c r="X10" i="36"/>
  <c r="Y10" i="36" s="1"/>
  <c r="Z10" i="36" s="1"/>
  <c r="X13" i="36"/>
  <c r="Y13" i="36" s="1"/>
  <c r="Z13" i="36" s="1"/>
  <c r="X12" i="36"/>
  <c r="X17" i="36"/>
  <c r="Y17" i="36" s="1"/>
  <c r="Z17" i="36" s="1"/>
  <c r="X14" i="36"/>
  <c r="Y14" i="36" s="1"/>
  <c r="Z14" i="36" s="1"/>
  <c r="X9" i="36"/>
  <c r="Y9" i="36" s="1"/>
  <c r="Z9" i="36" s="1"/>
  <c r="X11" i="36"/>
  <c r="Y11" i="36" s="1"/>
  <c r="Z11" i="36" s="1"/>
  <c r="Y16" i="36"/>
  <c r="Z16" i="36" s="1"/>
  <c r="L5" i="36" l="1"/>
  <c r="N4" i="36" l="1"/>
  <c r="V11" i="36" l="1"/>
  <c r="V10" i="36"/>
  <c r="V14" i="36"/>
  <c r="V17" i="36"/>
  <c r="V16" i="36"/>
  <c r="V12" i="36"/>
  <c r="V9" i="36"/>
  <c r="V15" i="36"/>
  <c r="V13" i="36"/>
  <c r="M12" i="36" l="1"/>
  <c r="Y12" i="36" s="1"/>
  <c r="Z12" i="36" s="1"/>
  <c r="N12" i="36"/>
  <c r="H12" i="36"/>
  <c r="I12" i="36" s="1"/>
  <c r="O12" i="36"/>
  <c r="I18" i="36" l="1"/>
  <c r="J12" i="36" s="1"/>
  <c r="K12" i="36" s="1"/>
  <c r="P12" i="36"/>
  <c r="U12" i="36" s="1"/>
  <c r="U18" i="36" l="1"/>
  <c r="E20" i="36"/>
  <c r="J9" i="36"/>
  <c r="K9" i="36" s="1"/>
  <c r="R10" i="36"/>
  <c r="R9" i="36"/>
  <c r="J14" i="36"/>
  <c r="K14" i="36" s="1"/>
  <c r="R13" i="36"/>
  <c r="J16" i="36"/>
  <c r="K16" i="36" s="1"/>
  <c r="R14" i="36"/>
  <c r="J10" i="36"/>
  <c r="K10" i="36" s="1"/>
  <c r="J13" i="36"/>
  <c r="K13" i="36" s="1"/>
  <c r="R15" i="36"/>
  <c r="J11" i="36"/>
  <c r="K11" i="36" s="1"/>
  <c r="J17" i="36"/>
  <c r="K17" i="36" s="1"/>
  <c r="R16" i="36"/>
  <c r="R11" i="36"/>
  <c r="R12" i="36"/>
  <c r="J15" i="36"/>
  <c r="K15" i="36" s="1"/>
  <c r="R17" i="36"/>
  <c r="K18" i="36" l="1"/>
  <c r="Q12" i="36"/>
  <c r="Q14" i="36"/>
  <c r="Q10" i="36"/>
  <c r="Q11" i="36"/>
  <c r="Q16" i="36"/>
  <c r="Q9" i="36"/>
  <c r="Q13" i="36"/>
  <c r="Q15" i="36"/>
  <c r="Q17" i="36"/>
  <c r="N60" i="5" l="1"/>
  <c r="K30" i="23" s="1"/>
  <c r="N61" i="5"/>
  <c r="K31" i="23" s="1"/>
  <c r="N62" i="5"/>
  <c r="K32" i="23" s="1"/>
  <c r="N59" i="5"/>
  <c r="K29" i="23" s="1"/>
  <c r="K36" i="23" l="1"/>
  <c r="K37" i="23" s="1"/>
  <c r="K38" i="23" s="1"/>
  <c r="P3" i="23" l="1" a="1"/>
  <c r="Q9" i="23" s="1"/>
  <c r="W9" i="23" s="1"/>
  <c r="Q7" i="23" l="1"/>
  <c r="W7" i="23" s="1"/>
  <c r="P3" i="23"/>
  <c r="Q3" i="23" s="1"/>
  <c r="W3" i="23" s="1"/>
  <c r="Q6" i="23"/>
  <c r="W6" i="23" s="1"/>
  <c r="Q5" i="23"/>
  <c r="W5" i="23" s="1"/>
  <c r="Q4" i="23"/>
  <c r="W4" i="23" s="1"/>
  <c r="Q8" i="23"/>
  <c r="W8" i="23" s="1"/>
  <c r="R9" i="23"/>
  <c r="BA9" i="23" s="1"/>
  <c r="T9" i="23"/>
  <c r="BC9" i="23" s="1"/>
  <c r="S9" i="23"/>
  <c r="BB9" i="23" s="1"/>
  <c r="AZ9" i="23"/>
  <c r="X3" i="23" l="1"/>
  <c r="X8" i="23"/>
  <c r="X4" i="23"/>
  <c r="X5" i="23"/>
  <c r="X6" i="23"/>
  <c r="X7" i="23"/>
  <c r="X9" i="23"/>
  <c r="T8" i="23"/>
  <c r="BC8" i="23" s="1"/>
  <c r="T4" i="23"/>
  <c r="BC4" i="23" s="1"/>
  <c r="S5" i="23"/>
  <c r="BB5" i="23" s="1"/>
  <c r="S6" i="23"/>
  <c r="BB6" i="23" s="1"/>
  <c r="AZ7" i="23"/>
  <c r="S7" i="23"/>
  <c r="BB7" i="23" s="1"/>
  <c r="R7" i="23"/>
  <c r="BA7" i="23" s="1"/>
  <c r="T3" i="23"/>
  <c r="BC3" i="23" s="1"/>
  <c r="S3" i="23"/>
  <c r="BB3" i="23" s="1"/>
  <c r="AZ3" i="23"/>
  <c r="R3" i="23"/>
  <c r="BA3" i="23" s="1"/>
  <c r="T7" i="23"/>
  <c r="BC7" i="23" s="1"/>
  <c r="S4" i="23"/>
  <c r="BB4" i="23" s="1"/>
  <c r="R4" i="23"/>
  <c r="BA4" i="23" s="1"/>
  <c r="AZ4" i="23"/>
  <c r="R5" i="23"/>
  <c r="BA5" i="23" s="1"/>
  <c r="T5" i="23"/>
  <c r="BC5" i="23" s="1"/>
  <c r="AZ5" i="23"/>
  <c r="T6" i="23"/>
  <c r="BC6" i="23" s="1"/>
  <c r="S8" i="23"/>
  <c r="BB8" i="23" s="1"/>
  <c r="AZ8" i="23"/>
  <c r="R8" i="23"/>
  <c r="BA8" i="23" s="1"/>
  <c r="AZ6" i="23"/>
  <c r="R6" i="23"/>
  <c r="BA6" i="23" s="1"/>
  <c r="W10" i="23" l="1"/>
  <c r="Y8" i="23" l="1"/>
  <c r="AK8" i="23" s="1"/>
  <c r="Y9" i="23"/>
  <c r="Z9" i="23" s="1"/>
  <c r="Y7" i="23"/>
  <c r="Z7" i="23" s="1"/>
  <c r="Y4" i="23"/>
  <c r="Z4" i="23" s="1"/>
  <c r="Y3" i="23"/>
  <c r="AK3" i="23" s="1"/>
  <c r="X10" i="23"/>
  <c r="Y5" i="23"/>
  <c r="Z5" i="23" s="1"/>
  <c r="Y6" i="23"/>
  <c r="Z6" i="23" s="1"/>
  <c r="AA6" i="23" s="1"/>
  <c r="AK4" i="23" l="1"/>
  <c r="AL4" i="23" s="1"/>
  <c r="AK9" i="23"/>
  <c r="AL9" i="23" s="1"/>
  <c r="AK7" i="23"/>
  <c r="AL7" i="23" s="1"/>
  <c r="Z8" i="23"/>
  <c r="AA8" i="23" s="1"/>
  <c r="Z3" i="23"/>
  <c r="AA3" i="23" s="1"/>
  <c r="Y10" i="23"/>
  <c r="AK5" i="23"/>
  <c r="AL5" i="23" s="1"/>
  <c r="AK6" i="23"/>
  <c r="AL6" i="23" s="1"/>
  <c r="AA5" i="23"/>
  <c r="AL8" i="23"/>
  <c r="AA4" i="23"/>
  <c r="AC6" i="23"/>
  <c r="AB6" i="23"/>
  <c r="AD6" i="23"/>
  <c r="AL3" i="23"/>
  <c r="AA9" i="23"/>
  <c r="AA7" i="23"/>
  <c r="AT10" i="23" l="1"/>
  <c r="AO6" i="23"/>
  <c r="AM6" i="23"/>
  <c r="AN6" i="23"/>
  <c r="AP1" i="23"/>
  <c r="AE1" i="23"/>
  <c r="AN7" i="23"/>
  <c r="AO7" i="23"/>
  <c r="AM7" i="23"/>
  <c r="AB9" i="23"/>
  <c r="AC9" i="23"/>
  <c r="AD9" i="23"/>
  <c r="AO9" i="23"/>
  <c r="AN9" i="23"/>
  <c r="AM9" i="23"/>
  <c r="AB8" i="23"/>
  <c r="AD8" i="23"/>
  <c r="AC8" i="23"/>
  <c r="AO4" i="23"/>
  <c r="AN4" i="23"/>
  <c r="AM4" i="23"/>
  <c r="AB3" i="23"/>
  <c r="AD3" i="23"/>
  <c r="AC3" i="23"/>
  <c r="AD5" i="23"/>
  <c r="AC5" i="23"/>
  <c r="AB5" i="23"/>
  <c r="AD4" i="23"/>
  <c r="AC4" i="23"/>
  <c r="AB4" i="23"/>
  <c r="AM8" i="23"/>
  <c r="AN8" i="23"/>
  <c r="AO8" i="23"/>
  <c r="AM3" i="23"/>
  <c r="AO3" i="23"/>
  <c r="AN3" i="23"/>
  <c r="AB7" i="23"/>
  <c r="AD7" i="23"/>
  <c r="AC7" i="23"/>
  <c r="AN5" i="23"/>
  <c r="AM5" i="23"/>
  <c r="AO5" i="23"/>
  <c r="AE3" i="23" l="1"/>
  <c r="AG3" i="23" s="1"/>
  <c r="AP3" i="23"/>
  <c r="AQ3" i="23" s="1"/>
  <c r="AR3" i="23" s="1"/>
  <c r="AT3" i="23" s="1"/>
  <c r="AE5" i="23"/>
  <c r="AG5" i="23" s="1"/>
  <c r="AE6" i="23"/>
  <c r="AP6" i="23"/>
  <c r="AP5" i="23"/>
  <c r="AE4" i="23"/>
  <c r="AP9" i="23"/>
  <c r="AQ9" i="23" s="1"/>
  <c r="AP7" i="23"/>
  <c r="AE9" i="23"/>
  <c r="AG9" i="23" s="1"/>
  <c r="AE7" i="23"/>
  <c r="AE8" i="23"/>
  <c r="AP8" i="23"/>
  <c r="AP4" i="23"/>
  <c r="AQ6" i="23" l="1"/>
  <c r="AG6" i="23"/>
  <c r="AQ5" i="23"/>
  <c r="AG4" i="23"/>
  <c r="AH5" i="23" s="1"/>
  <c r="AI5" i="23" s="1"/>
  <c r="AQ7" i="23"/>
  <c r="BG3" i="23"/>
  <c r="AS3" i="23"/>
  <c r="BF3" i="23" s="1"/>
  <c r="AQ4" i="23"/>
  <c r="AQ8" i="23"/>
  <c r="AG8" i="23"/>
  <c r="AG7" i="23"/>
  <c r="AI10" i="23"/>
  <c r="AH3" i="23"/>
  <c r="AI3" i="23" s="1"/>
  <c r="AH6" i="23" l="1"/>
  <c r="AI6" i="23" s="1"/>
  <c r="BE6" i="23" s="1"/>
  <c r="AR5" i="23"/>
  <c r="AT5" i="23" s="1"/>
  <c r="BG5" i="23" s="1"/>
  <c r="AH9" i="23"/>
  <c r="AI9" i="23" s="1"/>
  <c r="BE9" i="23" s="1"/>
  <c r="AH4" i="23"/>
  <c r="AI4" i="23" s="1"/>
  <c r="BE4" i="23" s="1"/>
  <c r="BE5" i="23"/>
  <c r="U5" i="23"/>
  <c r="BD5" i="23" s="1"/>
  <c r="AR6" i="23"/>
  <c r="AT6" i="23" s="1"/>
  <c r="BE3" i="23"/>
  <c r="U3" i="23"/>
  <c r="BD3" i="23" s="1"/>
  <c r="AH7" i="23"/>
  <c r="AI7" i="23" s="1"/>
  <c r="AR7" i="23"/>
  <c r="AT7" i="23" s="1"/>
  <c r="AR9" i="23"/>
  <c r="AT9" i="23" s="1"/>
  <c r="BG9" i="23" s="1"/>
  <c r="AR8" i="23"/>
  <c r="AT8" i="23" s="1"/>
  <c r="AH8" i="23"/>
  <c r="AI8" i="23" s="1"/>
  <c r="AR4" i="23"/>
  <c r="AT4" i="23" s="1"/>
  <c r="U6" i="23" l="1"/>
  <c r="BD6" i="23" s="1"/>
  <c r="AS5" i="23"/>
  <c r="BF5" i="23" s="1"/>
  <c r="U9" i="23"/>
  <c r="BD9" i="23" s="1"/>
  <c r="U4" i="23"/>
  <c r="BD4" i="23" s="1"/>
  <c r="BG6" i="23"/>
  <c r="AS6" i="23"/>
  <c r="BF6" i="23" s="1"/>
  <c r="AI11" i="23"/>
  <c r="AS9" i="23"/>
  <c r="BF9" i="23" s="1"/>
  <c r="AT11" i="23"/>
  <c r="BE8" i="23"/>
  <c r="U8" i="23"/>
  <c r="BD8" i="23" s="1"/>
  <c r="BG7" i="23"/>
  <c r="AS7" i="23"/>
  <c r="BF7" i="23" s="1"/>
  <c r="BG4" i="23"/>
  <c r="AS4" i="23"/>
  <c r="BF4" i="23" s="1"/>
  <c r="BG8" i="23"/>
  <c r="AS8" i="23"/>
  <c r="BF8" i="23" s="1"/>
  <c r="BE7" i="23"/>
  <c r="U7" i="23"/>
  <c r="BD7" i="23" s="1"/>
  <c r="AS10" i="23" l="1"/>
  <c r="U10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Luke Napoleon</author>
  </authors>
  <commentList>
    <comment ref="B6" authorId="0" shapeId="0" xr:uid="{ED93DDF5-01D5-4D95-B3E8-578BC2DD4F42}">
      <text>
        <r>
          <rPr>
            <b/>
            <sz val="9"/>
            <color indexed="81"/>
            <rFont val="Tahoma"/>
            <family val="2"/>
          </rPr>
          <t>Luke Napoleon:</t>
        </r>
        <r>
          <rPr>
            <sz val="9"/>
            <color indexed="81"/>
            <rFont val="Tahoma"/>
            <family val="2"/>
          </rPr>
          <t xml:space="preserve">
Calculated remaining after making payments until the end of 2021.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tc={A1BEA5AC-AF09-491E-A10C-E77CB576FEAF}</author>
    <author>tc={F648E048-A9C8-4994-ACE9-7DCF75A98CA5}</author>
    <author>tc={D7812ED5-C9DD-474E-8F46-BB917EBFFC7E}</author>
  </authors>
  <commentList>
    <comment ref="I9" authorId="0" shapeId="0" xr:uid="{A1BEA5AC-AF09-491E-A10C-E77CB576FEAF}">
      <text>
        <t>[Threaded comment]
Your version of Excel allows you to read this threaded comment; however, any edits to it will get removed if the file is opened in a newer version of Excel. Learn more: https://go.microsoft.com/fwlink/?linkid=870924
Comment:
    10/24/23:
Average monthly usage last 6 months  - $740
Average Per Week - $171</t>
      </text>
    </comment>
    <comment ref="C13" authorId="1" shapeId="0" xr:uid="{F648E048-A9C8-4994-ACE9-7DCF75A98CA5}">
      <text>
        <t>[Threaded comment]
Your version of Excel allows you to read this threaded comment; however, any edits to it will get removed if the file is opened in a newer version of Excel. Learn more: https://go.microsoft.com/fwlink/?linkid=870924
Comment:
    See "BNPL, Car Maint., &amp; Others" sheet for details.</t>
      </text>
    </comment>
    <comment ref="D17" authorId="2" shapeId="0" xr:uid="{D7812ED5-C9DD-474E-8F46-BB917EBFFC7E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open an account for this.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tc={C6CB9861-D694-4C50-9BD8-1D5BCF477BCF}</author>
  </authors>
  <commentList>
    <comment ref="T23" authorId="0" shapeId="0" xr:uid="{C6CB9861-D694-4C50-9BD8-1D5BCF477BCF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Updated minimum to help reduce/eliminate the weekly reliance on Earnin.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tc={010FACCC-DC15-4CC3-A64D-53C03487D727}</author>
    <author>tc={D2C4C859-8419-47A8-A784-86FBC2324E6A}</author>
    <author>tc={02BB6A69-6EF2-4B9A-98D3-131D6AC881D7}</author>
    <author>tc={CD4FB585-6EDD-481D-9338-0A617DB94628}</author>
  </authors>
  <commentList>
    <comment ref="I2" authorId="0" shapeId="0" xr:uid="{010FACCC-DC15-4CC3-A64D-53C03487D727}">
      <text>
        <t>[Threaded comment]
Your version of Excel allows you to read this threaded comment; however, any edits to it will get removed if the file is opened in a newer version of Excel. Learn more: https://go.microsoft.com/fwlink/?linkid=870924
Comment:
    Work miles tracked on workbook.</t>
      </text>
    </comment>
    <comment ref="J2" authorId="1" shapeId="0" xr:uid="{D2C4C859-8419-47A8-A784-86FBC2324E6A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Everlance</t>
      </text>
    </comment>
    <comment ref="K2" authorId="2" shapeId="0" xr:uid="{02BB6A69-6EF2-4B9A-98D3-131D6AC881D7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Everlance logged miles</t>
      </text>
    </comment>
    <comment ref="C7" authorId="3" shapeId="0" xr:uid="{CD4FB585-6EDD-481D-9338-0A617DB94628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on the Declarations Document for just the CX-5. Doubled the number for the yearly value.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DDF4E-210C-43A1-A467-D802B51C3E13}" keepAlive="1" name="Query - All Data Combined [WIP]" description="Connection to the 'All Data Combined [WIP]' query in the workbook." type="5" refreshedVersion="8" background="1" saveData="1">
    <dbPr connection="Provider=Microsoft.Mashup.OleDb.1;Data Source=$Workbook$;Location=&quot;All Data Combined [WIP]&quot;;Extended Properties=&quot;&quot;" command="SELECT * FROM [All Data Combined [WIP]]]"/>
  </connection>
  <connection id="2" xr16:uid="{7042DFA9-EC44-4867-9E4B-EC5377486E6F}" keepAlive="1" name="Query - All Data Combined [WIP] (2)" description="Connection to the 'All Data Combined [WIP] (2)' query in the workbook." type="5" refreshedVersion="8" background="1" saveData="1">
    <dbPr connection="Provider=Microsoft.Mashup.OleDb.1;Data Source=$Workbook$;Location=&quot;All Data Combined [WIP] (2)&quot;;Extended Properties=&quot;&quot;" command="SELECT * FROM [All Data Combined [WIP]] (2)]"/>
  </connection>
  <connection id="3" xr16:uid="{8309D090-997C-46A6-B8B6-12CB32EF03D6}" keepAlive="1" name="Query - Dash Data (Earnings by App)" description="Connection to the 'Dash Data (Earnings by App)' query in the workbook." type="5" refreshedVersion="0" background="1" saveData="1">
    <dbPr connection="Provider=Microsoft.Mashup.OleDb.1;Data Source=$Workbook$;Location=&quot;Dash Data (Earnings by App)&quot;;Extended Properties=&quot;&quot;" command="SELECT * FROM [Dash Data (Earnings by App)]"/>
  </connection>
  <connection id="4" xr16:uid="{8C213BD9-94DD-4DB2-A32C-B6C9F0F50903}" keepAlive="1" name="Query - Dash Data [WIP - Prepared]" description="Connection to the 'Dash Data [WIP - Prepared]' query in the workbook." type="5" refreshedVersion="8" background="1" saveData="1">
    <dbPr connection="Provider=Microsoft.Mashup.OleDb.1;Data Source=$Workbook$;Location=&quot;Dash Data [WIP - Prepared]&quot;;Extended Properties=&quot;&quot;" command="SELECT * FROM [Dash Data [WIP - Prepared]]]"/>
  </connection>
  <connection id="5" xr16:uid="{061E8DC1-C3EB-4C7C-8C60-4F94B023FAC8}" keepAlive="1" name="Query - fxCostPerMileValue" description="Connection to the 'fxCostPerMileValue' query in the workbook." type="5" refreshedVersion="0" background="1" saveData="1">
    <dbPr connection="Provider=Microsoft.Mashup.OleDb.1;Data Source=$Workbook$;Location=fxCostPerMileValue;Extended Properties=&quot;&quot;" command="SELECT * FROM [fxCostPerMileValue]"/>
  </connection>
  <connection id="6" xr16:uid="{357C7D7B-648C-430B-B3FF-1935339A84D4}" keepAlive="1" name="Query - Mileage &amp; Weather Data [WIP - Prepared]" description="Connection to the 'Mileage &amp; Weather Data [WIP - Prepared]' query in the workbook." type="5" refreshedVersion="0" background="1" saveData="1">
    <dbPr connection="Provider=Microsoft.Mashup.OleDb.1;Data Source=$Workbook$;Location=&quot;Mileage &amp; Weather Data [WIP - Prepared]&quot;;Extended Properties=&quot;&quot;" command="SELECT * FROM [Mileage &amp; Weather Data [WIP - Prepared]]]"/>
  </connection>
  <connection id="7" xr16:uid="{C3118191-8196-41E9-B707-AA990A549FE8}" keepAlive="1" name="Query - Monthly Metrics" description="Connection to the 'Monthly Metrics' query in the workbook." type="5" refreshedVersion="8" background="1" refreshOnLoad="1" saveData="1">
    <dbPr connection="Provider=Microsoft.Mashup.OleDb.1;Data Source=$Workbook$;Location=&quot;Monthly Metrics&quot;;Extended Properties=&quot;&quot;" command="SELECT * FROM [Monthly Metrics]"/>
  </connection>
  <connection id="8" xr16:uid="{BCDD7A2C-715E-4686-814F-83235BB0E2DB}" keepAlive="1" name="Query - Profitable Start Time Data (New)" description="Connection to the 'Profitable Start Time Data (New)' query in the workbook." type="5" refreshedVersion="8" background="1" saveData="1">
    <dbPr connection="Provider=Microsoft.Mashup.OleDb.1;Data Source=$Workbook$;Location=&quot;Profitable Start Time Data (New)&quot;;Extended Properties=&quot;&quot;" command="SELECT * FROM [Profitable Start Time Data (New)]"/>
  </connection>
  <connection id="9" xr16:uid="{99B09068-23D6-4490-9F0A-01C2B16689FA}" keepAlive="1" name="Query - Weekly Metrics" description="Connection to the 'Weekly Metrics' query in the workbook." type="5" refreshedVersion="8" background="1" refreshOnLoad="1" saveData="1">
    <dbPr connection="Provider=Microsoft.Mashup.OleDb.1;Data Source=$Workbook$;Location=&quot;Weekly Metrics&quot;;Extended Properties=&quot;&quot;" command="SELECT * FROM [Weekly Metrics]"/>
  </connection>
  <connection id="10" xr16:uid="{C207D448-B3E9-4B0D-BB4F-1D00A5EF661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CC607D68-8771-4C2B-9FC4-37E8B4CE8EBD}" name="WorksheetConnection_0 - Side Gig Tracking.xlsx!EarningsPerDay" type="102" refreshedVersion="8" minRefreshableVersion="5" saveData="1">
    <extLst>
      <ext xmlns:x15="http://schemas.microsoft.com/office/spreadsheetml/2010/11/main" uri="{DE250136-89BD-433C-8126-D09CA5730AF9}">
        <x15:connection id="EarningsPerDay">
          <x15:rangePr sourceName="_xlcn.WorksheetConnection_0SideGigTracking.xlsxEarningsPerDay1"/>
        </x15:connection>
      </ext>
    </extLst>
  </connection>
  <connection id="12" xr16:uid="{6A041A0C-09D0-49EA-BFEB-51075EF3C005}" name="WorksheetConnection_0 - Side Gig Tracking.xlsx!Mileage" type="102" refreshedVersion="8" minRefreshableVersion="5" saveData="1">
    <extLst>
      <ext xmlns:x15="http://schemas.microsoft.com/office/spreadsheetml/2010/11/main" uri="{DE250136-89BD-433C-8126-D09CA5730AF9}">
        <x15:connection id="Mileage">
          <x15:rangePr sourceName="_xlcn.WorksheetConnection_0SideGigTracking.xlsxMileag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EarningsPerDay].[Date (Quarter)].&amp;[Qtr1]}"/>
    <s v="{[EarningsPerDay].[DOW].&amp;[Saturday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<sst xmlns="http://schemas.openxmlformats.org/spreadsheetml/2006/main" count="19475" uniqueCount="438">
  <si>
    <t>Current Balance</t>
  </si>
  <si>
    <t>Bi-Weekly</t>
  </si>
  <si>
    <t>Weekly</t>
  </si>
  <si>
    <t>$10K Goal</t>
  </si>
  <si>
    <t>$15K Goal</t>
  </si>
  <si>
    <t>Last Updated</t>
  </si>
  <si>
    <t>2nd Job Savings Account - 4419</t>
  </si>
  <si>
    <t>Side Gig Weekly Goal</t>
  </si>
  <si>
    <t>Date</t>
  </si>
  <si>
    <t>Savings-4419</t>
  </si>
  <si>
    <t>Stash Investments</t>
  </si>
  <si>
    <t>Savings-7392</t>
  </si>
  <si>
    <t>OM Balance</t>
  </si>
  <si>
    <t>SF Balance</t>
  </si>
  <si>
    <t>Column1</t>
  </si>
  <si>
    <t>Total Savings</t>
  </si>
  <si>
    <t>10K Balance</t>
  </si>
  <si>
    <t>15K Balance</t>
  </si>
  <si>
    <t>Starting</t>
  </si>
  <si>
    <t>Savings Account - 7392</t>
  </si>
  <si>
    <t>Taxes Savings Account - 3991</t>
  </si>
  <si>
    <t>Left over OM balance</t>
  </si>
  <si>
    <t>OneMain Loan Balance</t>
  </si>
  <si>
    <t>Samsung Financial Balance</t>
  </si>
  <si>
    <t>Miranda</t>
  </si>
  <si>
    <t>Total Saved (E2:E4)</t>
  </si>
  <si>
    <t>Total Weekly Goal</t>
  </si>
  <si>
    <t>Column2</t>
  </si>
  <si>
    <t>Goal</t>
  </si>
  <si>
    <t>Goal + Debt Balances</t>
  </si>
  <si>
    <t>Remaining</t>
  </si>
  <si>
    <t>ETA</t>
  </si>
  <si>
    <t>Percent to Goal</t>
  </si>
  <si>
    <t>Desired ETA</t>
  </si>
  <si>
    <t>Days Remaining to Desired Date</t>
  </si>
  <si>
    <t>Weeks to Desired Date</t>
  </si>
  <si>
    <t>Current</t>
  </si>
  <si>
    <t>Transfer</t>
  </si>
  <si>
    <t>Estimated Goal for Taxes</t>
  </si>
  <si>
    <t>Start</t>
  </si>
  <si>
    <t>Min</t>
  </si>
  <si>
    <t>Max</t>
  </si>
  <si>
    <t>Total Time</t>
  </si>
  <si>
    <t>Hours</t>
  </si>
  <si>
    <t>Sum</t>
  </si>
  <si>
    <t>Sunday</t>
  </si>
  <si>
    <t>Monday</t>
  </si>
  <si>
    <t>Tuesday</t>
  </si>
  <si>
    <t>Wednesday</t>
  </si>
  <si>
    <t>Thursday</t>
  </si>
  <si>
    <t>Friday</t>
  </si>
  <si>
    <t>Saturday</t>
  </si>
  <si>
    <t>Total</t>
  </si>
  <si>
    <t>Total Needed</t>
  </si>
  <si>
    <t>Last (Current) Week's Earnings</t>
  </si>
  <si>
    <t>Average Earnings Per Week</t>
  </si>
  <si>
    <t>Budget</t>
  </si>
  <si>
    <t>Target</t>
  </si>
  <si>
    <t>Savings Balance</t>
  </si>
  <si>
    <t>Amt to Add</t>
  </si>
  <si>
    <t>Percentage</t>
  </si>
  <si>
    <t>Weekly Food/Gas Budget</t>
  </si>
  <si>
    <t>Average</t>
  </si>
  <si>
    <t>Left Over</t>
  </si>
  <si>
    <t>Weekly Earnings Goal</t>
  </si>
  <si>
    <t>Weekly Hours Goal</t>
  </si>
  <si>
    <t>Average Earnings Per Hour</t>
  </si>
  <si>
    <t>Max Hours Worked Per Week</t>
  </si>
  <si>
    <t>Weekly Earnings Potential</t>
  </si>
  <si>
    <t>Recommended Session Hours</t>
  </si>
  <si>
    <t>Remaining Total</t>
  </si>
  <si>
    <t>Due ASAP</t>
  </si>
  <si>
    <t>Total Due</t>
  </si>
  <si>
    <t>Current Week Projected Earnings</t>
  </si>
  <si>
    <t>Location</t>
  </si>
  <si>
    <t>Quarter</t>
  </si>
  <si>
    <t>Qtr3</t>
  </si>
  <si>
    <t>Column Labels</t>
  </si>
  <si>
    <t>Earnings</t>
  </si>
  <si>
    <t>Deliveries</t>
  </si>
  <si>
    <t>Brunswick/Bath/Freeport</t>
  </si>
  <si>
    <t>Row Labels</t>
  </si>
  <si>
    <t>Lewiston</t>
  </si>
  <si>
    <t>UE</t>
  </si>
  <si>
    <t>App</t>
  </si>
  <si>
    <t>Portland</t>
  </si>
  <si>
    <t>DD</t>
  </si>
  <si>
    <t>Rank</t>
  </si>
  <si>
    <t>Grand Total</t>
  </si>
  <si>
    <t>Last Trip by Location and DOW</t>
  </si>
  <si>
    <t>Lunch</t>
  </si>
  <si>
    <t>Dinner</t>
  </si>
  <si>
    <t>Late Night</t>
  </si>
  <si>
    <t>Weeknights</t>
  </si>
  <si>
    <t>Per Location/DOW Rank</t>
  </si>
  <si>
    <t>Average Earnings per Trip</t>
  </si>
  <si>
    <t>DOW to Work (Total)</t>
  </si>
  <si>
    <t>DOW to Work (Ranking)</t>
  </si>
  <si>
    <t>Primary Area</t>
  </si>
  <si>
    <t>DOW</t>
  </si>
  <si>
    <t>Qtr1</t>
  </si>
  <si>
    <t>Qtr2</t>
  </si>
  <si>
    <t>Qtr4</t>
  </si>
  <si>
    <t>UID</t>
  </si>
  <si>
    <t>Week #</t>
  </si>
  <si>
    <t>Trips</t>
  </si>
  <si>
    <t>Time Spent</t>
  </si>
  <si>
    <t>Time Spent 2</t>
  </si>
  <si>
    <t>Time Spent 3</t>
  </si>
  <si>
    <t>TOD</t>
  </si>
  <si>
    <t>Area #</t>
  </si>
  <si>
    <t>Start Time</t>
  </si>
  <si>
    <t>Mileage</t>
  </si>
  <si>
    <t>Earnings Per Day</t>
  </si>
  <si>
    <t>Earnings Per Year</t>
  </si>
  <si>
    <t>Overall</t>
  </si>
  <si>
    <t>Last 90 Days</t>
  </si>
  <si>
    <t>Total Earnings</t>
  </si>
  <si>
    <t>Total Hours</t>
  </si>
  <si>
    <t>Sessions/Day</t>
  </si>
  <si>
    <t>Total Deliveries</t>
  </si>
  <si>
    <t>Estimated Time Spent Per Trip</t>
  </si>
  <si>
    <t>$/Hour</t>
  </si>
  <si>
    <t>Years</t>
  </si>
  <si>
    <t>Sum of Mileage</t>
  </si>
  <si>
    <t>Average of Mileage</t>
  </si>
  <si>
    <t>2021</t>
  </si>
  <si>
    <t>Average Hours Per Week</t>
  </si>
  <si>
    <t>Jan</t>
  </si>
  <si>
    <t>2022</t>
  </si>
  <si>
    <t>Max Hours Per Week</t>
  </si>
  <si>
    <t>Feb</t>
  </si>
  <si>
    <t>Average Earnings Per Month</t>
  </si>
  <si>
    <t>Mar</t>
  </si>
  <si>
    <t>Apr</t>
  </si>
  <si>
    <t>May</t>
  </si>
  <si>
    <t>Jun</t>
  </si>
  <si>
    <t>Jul</t>
  </si>
  <si>
    <t>Aug</t>
  </si>
  <si>
    <t>Sep</t>
  </si>
  <si>
    <t>Oct</t>
  </si>
  <si>
    <t>Days</t>
  </si>
  <si>
    <t>Nov</t>
  </si>
  <si>
    <t>Days Between Trips</t>
  </si>
  <si>
    <t>Dec</t>
  </si>
  <si>
    <t>Stop</t>
  </si>
  <si>
    <t>Known Variables</t>
  </si>
  <si>
    <t>Initial</t>
  </si>
  <si>
    <t>Dividend Yield</t>
  </si>
  <si>
    <t>DY/Month</t>
  </si>
  <si>
    <t>Average Earnings Per Day</t>
  </si>
  <si>
    <t>Current Total Amount</t>
  </si>
  <si>
    <t>Current Invested Total</t>
  </si>
  <si>
    <t>Average Dividends</t>
  </si>
  <si>
    <t>Bi-Weekly Investment</t>
  </si>
  <si>
    <t>Average Dividend Yield %</t>
  </si>
  <si>
    <t>12-Month Stash Projection</t>
  </si>
  <si>
    <t>Estimated Dividends</t>
  </si>
  <si>
    <t>12-Month Estimated Stash Total</t>
  </si>
  <si>
    <t>Updated</t>
  </si>
  <si>
    <t>Hours Needed</t>
  </si>
  <si>
    <t>Hours Needed Per Day</t>
  </si>
  <si>
    <t>Days to Final Due Date</t>
  </si>
  <si>
    <t>$$ Goal</t>
  </si>
  <si>
    <t>Hours of Side Gig Remaining</t>
  </si>
  <si>
    <t>Savings Account</t>
  </si>
  <si>
    <t>Total Due (Goal)</t>
  </si>
  <si>
    <t>Deliveries Per Hour</t>
  </si>
  <si>
    <t>DD Available Earnings</t>
  </si>
  <si>
    <t>UE Available Earnings</t>
  </si>
  <si>
    <t>M - Car Insurance</t>
  </si>
  <si>
    <t>M - Credit One</t>
  </si>
  <si>
    <t>Year</t>
  </si>
  <si>
    <t>Type</t>
  </si>
  <si>
    <t>Augusta</t>
  </si>
  <si>
    <t>Hourly</t>
  </si>
  <si>
    <t>Order</t>
  </si>
  <si>
    <t>Sum2</t>
  </si>
  <si>
    <t>Available Earnings</t>
  </si>
  <si>
    <t>2023</t>
  </si>
  <si>
    <t>Average Sessions/Day</t>
  </si>
  <si>
    <t>Prior.</t>
  </si>
  <si>
    <t>Account</t>
  </si>
  <si>
    <t>Miles</t>
  </si>
  <si>
    <t>Time Sum</t>
  </si>
  <si>
    <t>Miles Sum</t>
  </si>
  <si>
    <t>Goal Date</t>
  </si>
  <si>
    <t>Remain. Wks</t>
  </si>
  <si>
    <t>$ Remain.</t>
  </si>
  <si>
    <t>Break Time</t>
  </si>
  <si>
    <t>$/Mile</t>
  </si>
  <si>
    <t>Sum of Hours</t>
  </si>
  <si>
    <t>Trips/Hr</t>
  </si>
  <si>
    <t>Mi./Trip</t>
  </si>
  <si>
    <t>$/Trip</t>
  </si>
  <si>
    <t>Average of Hours</t>
  </si>
  <si>
    <t>Personal CC</t>
  </si>
  <si>
    <t>Balance</t>
  </si>
  <si>
    <t>Secondary Locations</t>
  </si>
  <si>
    <t>Allot.</t>
  </si>
  <si>
    <t>Expected</t>
  </si>
  <si>
    <t>Needed</t>
  </si>
  <si>
    <t>Average Break Time</t>
  </si>
  <si>
    <t>Current Goal</t>
  </si>
  <si>
    <t>Vehicle Maint. Savings</t>
  </si>
  <si>
    <t>Side Gig Availability</t>
  </si>
  <si>
    <t>AUG</t>
  </si>
  <si>
    <t>LEW</t>
  </si>
  <si>
    <t>POR</t>
  </si>
  <si>
    <t>BBF</t>
  </si>
  <si>
    <t>1st Recommended</t>
  </si>
  <si>
    <t>2nd Recommended</t>
  </si>
  <si>
    <t>Final Recommendation</t>
  </si>
  <si>
    <t>Score Totals Ranking</t>
  </si>
  <si>
    <t>IC</t>
  </si>
  <si>
    <t>Date (Quarter)</t>
  </si>
  <si>
    <t>Vacation/Foxwoods Trips</t>
  </si>
  <si>
    <t>Counts</t>
  </si>
  <si>
    <t>Count of Date</t>
  </si>
  <si>
    <t>Earnings/HR</t>
  </si>
  <si>
    <t>2023 Projected</t>
  </si>
  <si>
    <t>Average Per Week</t>
  </si>
  <si>
    <t>Start Date</t>
  </si>
  <si>
    <t>Bill Pay Checking</t>
  </si>
  <si>
    <t>Side Gig Checking</t>
  </si>
  <si>
    <t>Future Home Savings</t>
  </si>
  <si>
    <t>Tertiary Locations</t>
  </si>
  <si>
    <t>3rd Recommended</t>
  </si>
  <si>
    <t>Weather</t>
  </si>
  <si>
    <t>Hi Temp</t>
  </si>
  <si>
    <t>Clear</t>
  </si>
  <si>
    <t>Overcast</t>
  </si>
  <si>
    <t>Snow Storm</t>
  </si>
  <si>
    <t>Freezing Rain / Ice</t>
  </si>
  <si>
    <t>Light Snow</t>
  </si>
  <si>
    <t>Rain / Snow Mix</t>
  </si>
  <si>
    <t>Rain</t>
  </si>
  <si>
    <t xml:space="preserve">Weather </t>
  </si>
  <si>
    <t xml:space="preserve">Temperature </t>
  </si>
  <si>
    <t>Week</t>
  </si>
  <si>
    <t>21-22 %</t>
  </si>
  <si>
    <t>22-23%</t>
  </si>
  <si>
    <t>Clear &amp; Humid</t>
  </si>
  <si>
    <t>Partially cloudy &amp; Humid</t>
  </si>
  <si>
    <t>%</t>
  </si>
  <si>
    <t>Stormy</t>
  </si>
  <si>
    <t>Immediate Needs / Priorities</t>
  </si>
  <si>
    <t>Primary Savings Goals &amp; Priorities</t>
  </si>
  <si>
    <t>Primary Savings</t>
  </si>
  <si>
    <t>Partially Cloudy</t>
  </si>
  <si>
    <t>Federal Owed</t>
  </si>
  <si>
    <t>State Owed</t>
  </si>
  <si>
    <t>Total Owed</t>
  </si>
  <si>
    <t>Side Gig Earnings</t>
  </si>
  <si>
    <t>AGI</t>
  </si>
  <si>
    <t>% Taxed</t>
  </si>
  <si>
    <t>Current Quarter</t>
  </si>
  <si>
    <t>Miles Driven Per Session</t>
  </si>
  <si>
    <t>Next Week</t>
  </si>
  <si>
    <t>Tax Withholding</t>
  </si>
  <si>
    <t>Vacation</t>
  </si>
  <si>
    <t>House or Land</t>
  </si>
  <si>
    <t>Car Maintenance</t>
  </si>
  <si>
    <t>Wks to Goal</t>
  </si>
  <si>
    <t>%1</t>
  </si>
  <si>
    <t>Min.</t>
  </si>
  <si>
    <t>Min. 2</t>
  </si>
  <si>
    <t>Column3</t>
  </si>
  <si>
    <t>Short Term Goals</t>
  </si>
  <si>
    <t>Min/Week</t>
  </si>
  <si>
    <t>Time</t>
  </si>
  <si>
    <t>2023 Tax Savings</t>
  </si>
  <si>
    <t>Credit Card - Large Purchases</t>
  </si>
  <si>
    <t>% to Goal</t>
  </si>
  <si>
    <t>Ind.</t>
  </si>
  <si>
    <t>Savings for Christmas Gifts</t>
  </si>
  <si>
    <t>Fog</t>
  </si>
  <si>
    <t>2024</t>
  </si>
  <si>
    <t>QTR1</t>
  </si>
  <si>
    <t>Average of $/Trip</t>
  </si>
  <si>
    <t>Icy</t>
  </si>
  <si>
    <t>Sunny</t>
  </si>
  <si>
    <t>Ranked by Oldest Date</t>
  </si>
  <si>
    <t>(blank)</t>
  </si>
  <si>
    <t>Score Totals</t>
  </si>
  <si>
    <t>Mostly Cloudy</t>
  </si>
  <si>
    <t>Earnin Payback</t>
  </si>
  <si>
    <t>QTR2</t>
  </si>
  <si>
    <t>Credit Card - Bill Pay Card</t>
  </si>
  <si>
    <t>Bill Pay CC</t>
  </si>
  <si>
    <t>Weekly Food Budget</t>
  </si>
  <si>
    <t>Current Week Earnings Minus Gas</t>
  </si>
  <si>
    <t>Current Week Estimate Minus Gas</t>
  </si>
  <si>
    <t>Allot.2</t>
  </si>
  <si>
    <t>Week Remaining</t>
  </si>
  <si>
    <t>Fuel</t>
  </si>
  <si>
    <t>Hours Per Week</t>
  </si>
  <si>
    <t>Fri &amp; Sat</t>
  </si>
  <si>
    <t>Goal Per Week</t>
  </si>
  <si>
    <t>Cost</t>
  </si>
  <si>
    <t>(All)</t>
  </si>
  <si>
    <t>High Pay Only?</t>
  </si>
  <si>
    <t>Tertiary Score Totals</t>
  </si>
  <si>
    <t>Ranked by Highest Average Daily Earnings and Earning Per Hour</t>
  </si>
  <si>
    <t>Thunderstorms</t>
  </si>
  <si>
    <t>QTR3</t>
  </si>
  <si>
    <t># of Days Working Per Month</t>
  </si>
  <si>
    <t>Deliveries Per Shift</t>
  </si>
  <si>
    <t>Average Earnings per Mile</t>
  </si>
  <si>
    <t>Average Earnings per Hour</t>
  </si>
  <si>
    <t>Estimated Average Time Spent per Trip</t>
  </si>
  <si>
    <t>Average Miles Traveled per Delivery</t>
  </si>
  <si>
    <t>Cost Per Mile</t>
  </si>
  <si>
    <t>DOW Comparison</t>
  </si>
  <si>
    <t>Order Density (Trips per Hours)</t>
  </si>
  <si>
    <t>Order Density (Trips per Hour)</t>
  </si>
  <si>
    <t>Depreciation</t>
  </si>
  <si>
    <t>Insurance</t>
  </si>
  <si>
    <t>Yearly Cost</t>
  </si>
  <si>
    <t>Maintenance</t>
  </si>
  <si>
    <t>Total Cost Per Shift</t>
  </si>
  <si>
    <t>Work Miles %</t>
  </si>
  <si>
    <t>Work C/M</t>
  </si>
  <si>
    <t>Pay Per Hour KPIs</t>
  </si>
  <si>
    <t>Per Per Order KPIs</t>
  </si>
  <si>
    <t>Light Rain</t>
  </si>
  <si>
    <t>Weekly Average Earnings</t>
  </si>
  <si>
    <t>QTR4</t>
  </si>
  <si>
    <t>Week # in QTR</t>
  </si>
  <si>
    <t>Last 30 Days</t>
  </si>
  <si>
    <t>UE/DD</t>
  </si>
  <si>
    <t>2025</t>
  </si>
  <si>
    <t>Typical # of Working Days Per Week</t>
  </si>
  <si>
    <t>QTR</t>
  </si>
  <si>
    <t>Earliest</t>
  </si>
  <si>
    <t>Lastest</t>
  </si>
  <si>
    <t>Area</t>
  </si>
  <si>
    <t>LOB</t>
  </si>
  <si>
    <t>Wk #</t>
  </si>
  <si>
    <t>$/Hr Weekly / Daily Expectations</t>
  </si>
  <si>
    <t>Earnings Per Month</t>
  </si>
  <si>
    <t xml:space="preserve"> </t>
  </si>
  <si>
    <t>Month</t>
  </si>
  <si>
    <t>Strategy 2: Retest Old Data Locations</t>
  </si>
  <si>
    <t>Diff from Avg. Per Week</t>
  </si>
  <si>
    <t>Diff from Avg. per Site &amp; DOW Hist.</t>
  </si>
  <si>
    <t># of Working Weeks</t>
  </si>
  <si>
    <t># of Working Shift Days</t>
  </si>
  <si>
    <t>Week Starting</t>
  </si>
  <si>
    <t>Avg. $/Trip</t>
  </si>
  <si>
    <t>February</t>
  </si>
  <si>
    <t>January</t>
  </si>
  <si>
    <t>December</t>
  </si>
  <si>
    <t>November</t>
  </si>
  <si>
    <t>October</t>
  </si>
  <si>
    <t>September</t>
  </si>
  <si>
    <t>August</t>
  </si>
  <si>
    <t>July</t>
  </si>
  <si>
    <t>June</t>
  </si>
  <si>
    <t>April</t>
  </si>
  <si>
    <t>March</t>
  </si>
  <si>
    <t>Monthly Metrics</t>
  </si>
  <si>
    <t>Weekly Metrics</t>
  </si>
  <si>
    <t>Total Trips</t>
  </si>
  <si>
    <t>Working Days</t>
  </si>
  <si>
    <t>Last 1 Year</t>
  </si>
  <si>
    <t>90-Day Earnings</t>
  </si>
  <si>
    <t>Shift count</t>
  </si>
  <si>
    <t>Distrib.</t>
  </si>
  <si>
    <t>Planned Hours</t>
  </si>
  <si>
    <t>Capped Hours</t>
  </si>
  <si>
    <t>Available Space</t>
  </si>
  <si>
    <t>Overages</t>
  </si>
  <si>
    <t>Eligible Days</t>
  </si>
  <si>
    <t>Personal Miles</t>
  </si>
  <si>
    <t>Actual hours</t>
  </si>
  <si>
    <t>Daily Deficit</t>
  </si>
  <si>
    <t>Cumulative Deficit</t>
  </si>
  <si>
    <t>Scheduled Hours</t>
  </si>
  <si>
    <t>% OF Total</t>
  </si>
  <si>
    <t>(Multiple Items)</t>
  </si>
  <si>
    <t>Hour Limit</t>
  </si>
  <si>
    <t>Updated Schedule (Worked + Planned)</t>
  </si>
  <si>
    <t>Projected Taxes Owed</t>
  </si>
  <si>
    <t>WB Work Miles</t>
  </si>
  <si>
    <t>EL Work Miles</t>
  </si>
  <si>
    <t>Total Miles</t>
  </si>
  <si>
    <t>UD</t>
  </si>
  <si>
    <t>Latest</t>
  </si>
  <si>
    <t>Total Planned Hours</t>
  </si>
  <si>
    <t>Avg Earnings / Day (90D)</t>
  </si>
  <si>
    <t>Miles Driven Per Month</t>
  </si>
  <si>
    <t>&lt; - Updated</t>
  </si>
  <si>
    <t/>
  </si>
  <si>
    <t>4-Week Average</t>
  </si>
  <si>
    <t>Difference From Average</t>
  </si>
  <si>
    <t>Lowest? (Test Day)</t>
  </si>
  <si>
    <t>Sum of Diff from Avg. Per Week</t>
  </si>
  <si>
    <t>Average Daily Earnings (Blended)</t>
  </si>
  <si>
    <t>Gross Earnings</t>
  </si>
  <si>
    <t>Net Earnings</t>
  </si>
  <si>
    <t>Gross $/Hour</t>
  </si>
  <si>
    <t>Net $/Hour</t>
  </si>
  <si>
    <t>Average Net Daily Earnings</t>
  </si>
  <si>
    <t>Average Net Earnings per Hour</t>
  </si>
  <si>
    <t>Average Miles Per Delivery</t>
  </si>
  <si>
    <t>Estimated Time Per Trip</t>
  </si>
  <si>
    <t>Gross Earnings Per Hour</t>
  </si>
  <si>
    <t>Trips Per Shift</t>
  </si>
  <si>
    <t>Gross Earnings Per Mile</t>
  </si>
  <si>
    <t>Strategy 1: Minimize Wear &amp; Tear (Efficiency Strategy)</t>
  </si>
  <si>
    <t>Strategy 3: Maximize Earnings (Money Strategy)</t>
  </si>
  <si>
    <t>Daily Gross Earnings</t>
  </si>
  <si>
    <t>Gross Earnings Per Trip</t>
  </si>
  <si>
    <t>Average of Net Earnings</t>
  </si>
  <si>
    <t xml:space="preserve"> Net Earnings</t>
  </si>
  <si>
    <t xml:space="preserve"> Net $/Hour</t>
  </si>
  <si>
    <t>No</t>
  </si>
  <si>
    <t>Personal Mile %</t>
  </si>
  <si>
    <t>Average of Gross Earnings</t>
  </si>
  <si>
    <t>Average of Gross $/Hour</t>
  </si>
  <si>
    <t>Partially Sunny</t>
  </si>
  <si>
    <t>Trips Per Shift - (Lower)</t>
  </si>
  <si>
    <t>Order Density (Trips per Hour) - (Higher)</t>
  </si>
  <si>
    <t>Estimated Time Per Trip - (Lower)</t>
  </si>
  <si>
    <t>Average Miles Per Delivery - (Lower)</t>
  </si>
  <si>
    <t>Gross Earnings Per Mile - (Higher)</t>
  </si>
  <si>
    <t>Gross Earnings Per Hour-  - (Higher)</t>
  </si>
  <si>
    <t>Trips Per Shift - (Higher)</t>
  </si>
  <si>
    <t>Daily Gross Earnings - (Higher)</t>
  </si>
  <si>
    <t>Gross Earnings Per Trip - (Higher)</t>
  </si>
  <si>
    <t>Gross Earnings Per Hour - (Higher)</t>
  </si>
  <si>
    <t>Average Net Earnings per Length of Shift</t>
  </si>
  <si>
    <t>Gross Earnings Per Day</t>
  </si>
  <si>
    <t>Gross Earnings Per Delivery</t>
  </si>
  <si>
    <t>2026</t>
  </si>
  <si>
    <t>AI-Provided Goals [Current Plan]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</si>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</sst>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0"/>
    <numFmt numFmtId="165" formatCode="&quot;$&quot;#,##0.00"/>
    <numFmt numFmtId="166" formatCode="&quot;$&quot;#,##0"/>
    <numFmt numFmtId="167" formatCode="0.0"/>
    <numFmt numFmtId="168" formatCode="#,##0.0"/>
    <numFmt numFmtId="169" formatCode="m/d/yy;@"/>
    <numFmt numFmtId="170" formatCode="[$-409]d\-mmm;@"/>
    <numFmt numFmtId="171" formatCode="h:mm;@"/>
    <numFmt numFmtId="172" formatCode="[$-409]h:mm\ AM/PM;@"/>
    <numFmt numFmtId="173" formatCode="_(&quot;$&quot;* #,##0_);_(&quot;$&quot;* \(#,##0\);_(&quot;$&quot;* &quot;-&quot;??_);_(@_)"/>
    <numFmt numFmtId="174" formatCode="[$-409]mmm\-yy;@"/>
    <numFmt numFmtId="175" formatCode="#,##0.0_);\(#,##0.0\)"/>
    <numFmt numFmtId="176" formatCode="&quot;$&quot;#,##0.0"/>
    <numFmt numFmtId="177" formatCode="[$-409]d\-mmm\-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 style="thin">
        <color theme="0" tint="-0.44999542222357858"/>
      </left>
      <right style="thin">
        <color theme="0" tint="-0.44999542222357858"/>
      </right>
      <top/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medium">
        <color theme="1" tint="0.4999847407452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44999542222357858"/>
      </left>
      <right style="thin">
        <color theme="0" tint="-0.44999542222357858"/>
      </right>
      <top/>
      <bottom style="medium">
        <color indexed="64"/>
      </bottom>
      <diagonal/>
    </border>
  </borders>
  <cellStyleXfs count="9">
    <xf numFmtId="0" fontId="0" fillId="0" borderId="0"/>
    <xf numFmtId="44" fontId="2" fillId="0" borderId="0" applyFont="0" applyFill="0" applyBorder="0" applyAlignment="0" applyProtection="0"/>
    <xf numFmtId="0" fontId="4" fillId="0" borderId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19" fillId="0" borderId="0"/>
    <xf numFmtId="0" fontId="20" fillId="0" borderId="0"/>
    <xf numFmtId="44" fontId="4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538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 vertical="top"/>
    </xf>
    <xf numFmtId="1" fontId="0" fillId="0" borderId="0" xfId="0" applyNumberFormat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1" fillId="0" borderId="7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165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2"/>
    <xf numFmtId="4" fontId="4" fillId="0" borderId="0" xfId="2" applyNumberFormat="1"/>
    <xf numFmtId="1" fontId="4" fillId="0" borderId="0" xfId="2" applyNumberFormat="1"/>
    <xf numFmtId="14" fontId="4" fillId="10" borderId="10" xfId="2" applyNumberFormat="1" applyFill="1" applyBorder="1"/>
    <xf numFmtId="14" fontId="4" fillId="0" borderId="0" xfId="2" applyNumberFormat="1"/>
    <xf numFmtId="0" fontId="7" fillId="0" borderId="0" xfId="2" applyFont="1" applyAlignment="1">
      <alignment horizontal="center"/>
    </xf>
    <xf numFmtId="166" fontId="7" fillId="0" borderId="0" xfId="2" applyNumberFormat="1" applyFont="1"/>
    <xf numFmtId="166" fontId="4" fillId="2" borderId="10" xfId="2" applyNumberFormat="1" applyFill="1" applyBorder="1"/>
    <xf numFmtId="0" fontId="5" fillId="8" borderId="13" xfId="2" applyFont="1" applyFill="1" applyBorder="1"/>
    <xf numFmtId="165" fontId="5" fillId="8" borderId="14" xfId="2" applyNumberFormat="1" applyFont="1" applyFill="1" applyBorder="1"/>
    <xf numFmtId="166" fontId="4" fillId="5" borderId="15" xfId="2" applyNumberFormat="1" applyFill="1" applyBorder="1"/>
    <xf numFmtId="165" fontId="4" fillId="12" borderId="10" xfId="2" applyNumberFormat="1" applyFill="1" applyBorder="1"/>
    <xf numFmtId="166" fontId="4" fillId="10" borderId="10" xfId="2" applyNumberFormat="1" applyFill="1" applyBorder="1"/>
    <xf numFmtId="166" fontId="7" fillId="2" borderId="0" xfId="2" applyNumberFormat="1" applyFont="1" applyFill="1"/>
    <xf numFmtId="0" fontId="7" fillId="0" borderId="12" xfId="2" applyFont="1" applyBorder="1" applyAlignment="1">
      <alignment horizontal="center"/>
    </xf>
    <xf numFmtId="166" fontId="8" fillId="0" borderId="9" xfId="0" applyNumberFormat="1" applyFont="1" applyBorder="1"/>
    <xf numFmtId="0" fontId="1" fillId="0" borderId="0" xfId="0" applyFont="1" applyAlignment="1">
      <alignment horizontal="right"/>
    </xf>
    <xf numFmtId="166" fontId="4" fillId="0" borderId="0" xfId="2" applyNumberFormat="1"/>
    <xf numFmtId="165" fontId="4" fillId="0" borderId="0" xfId="2" applyNumberFormat="1"/>
    <xf numFmtId="166" fontId="4" fillId="14" borderId="15" xfId="2" applyNumberFormat="1" applyFill="1" applyBorder="1"/>
    <xf numFmtId="0" fontId="9" fillId="14" borderId="5" xfId="2" applyFont="1" applyFill="1" applyBorder="1" applyAlignment="1">
      <alignment horizontal="right"/>
    </xf>
    <xf numFmtId="166" fontId="9" fillId="14" borderId="6" xfId="2" applyNumberFormat="1" applyFont="1" applyFill="1" applyBorder="1"/>
    <xf numFmtId="166" fontId="4" fillId="5" borderId="5" xfId="2" applyNumberFormat="1" applyFill="1" applyBorder="1"/>
    <xf numFmtId="9" fontId="7" fillId="7" borderId="10" xfId="2" applyNumberFormat="1" applyFont="1" applyFill="1" applyBorder="1"/>
    <xf numFmtId="0" fontId="7" fillId="7" borderId="10" xfId="2" applyFont="1" applyFill="1" applyBorder="1" applyAlignment="1">
      <alignment horizontal="right"/>
    </xf>
    <xf numFmtId="14" fontId="7" fillId="7" borderId="10" xfId="2" applyNumberFormat="1" applyFont="1" applyFill="1" applyBorder="1"/>
    <xf numFmtId="14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5" fillId="9" borderId="10" xfId="2" applyFont="1" applyFill="1" applyBorder="1" applyAlignment="1">
      <alignment horizontal="right"/>
    </xf>
    <xf numFmtId="166" fontId="5" fillId="9" borderId="10" xfId="2" applyNumberFormat="1" applyFont="1" applyFill="1" applyBorder="1"/>
    <xf numFmtId="0" fontId="9" fillId="15" borderId="10" xfId="2" applyFont="1" applyFill="1" applyBorder="1" applyAlignment="1">
      <alignment horizontal="right"/>
    </xf>
    <xf numFmtId="166" fontId="9" fillId="15" borderId="10" xfId="2" applyNumberFormat="1" applyFont="1" applyFill="1" applyBorder="1"/>
    <xf numFmtId="0" fontId="7" fillId="11" borderId="10" xfId="2" applyFont="1" applyFill="1" applyBorder="1" applyAlignment="1">
      <alignment horizontal="right"/>
    </xf>
    <xf numFmtId="166" fontId="7" fillId="11" borderId="10" xfId="2" applyNumberFormat="1" applyFont="1" applyFill="1" applyBorder="1"/>
    <xf numFmtId="0" fontId="7" fillId="0" borderId="0" xfId="2" applyFont="1"/>
    <xf numFmtId="14" fontId="7" fillId="13" borderId="10" xfId="2" applyNumberFormat="1" applyFont="1" applyFill="1" applyBorder="1"/>
    <xf numFmtId="169" fontId="4" fillId="0" borderId="0" xfId="2" applyNumberFormat="1"/>
    <xf numFmtId="0" fontId="0" fillId="0" borderId="0" xfId="0" applyAlignment="1">
      <alignment horizontal="right"/>
    </xf>
    <xf numFmtId="0" fontId="12" fillId="16" borderId="18" xfId="0" applyFont="1" applyFill="1" applyBorder="1" applyAlignment="1">
      <alignment horizontal="right"/>
    </xf>
    <xf numFmtId="3" fontId="1" fillId="0" borderId="19" xfId="0" applyNumberFormat="1" applyFont="1" applyBorder="1"/>
    <xf numFmtId="0" fontId="0" fillId="17" borderId="0" xfId="0" applyFill="1"/>
    <xf numFmtId="0" fontId="0" fillId="0" borderId="1" xfId="0" applyBorder="1"/>
    <xf numFmtId="167" fontId="0" fillId="0" borderId="0" xfId="0" applyNumberFormat="1"/>
    <xf numFmtId="44" fontId="0" fillId="0" borderId="0" xfId="1" applyFont="1"/>
    <xf numFmtId="16" fontId="4" fillId="0" borderId="0" xfId="2" applyNumberFormat="1"/>
    <xf numFmtId="0" fontId="4" fillId="14" borderId="17" xfId="2" applyFill="1" applyBorder="1"/>
    <xf numFmtId="173" fontId="0" fillId="0" borderId="0" xfId="1" applyNumberFormat="1" applyFont="1"/>
    <xf numFmtId="5" fontId="12" fillId="16" borderId="18" xfId="1" applyNumberFormat="1" applyFont="1" applyFill="1" applyBorder="1" applyAlignment="1">
      <alignment horizontal="right"/>
    </xf>
    <xf numFmtId="37" fontId="0" fillId="0" borderId="0" xfId="0" applyNumberFormat="1"/>
    <xf numFmtId="10" fontId="0" fillId="0" borderId="0" xfId="0" applyNumberFormat="1"/>
    <xf numFmtId="44" fontId="0" fillId="5" borderId="0" xfId="1" applyFont="1" applyFill="1"/>
    <xf numFmtId="44" fontId="0" fillId="0" borderId="0" xfId="0" applyNumberFormat="1"/>
    <xf numFmtId="10" fontId="0" fillId="5" borderId="0" xfId="1" applyNumberFormat="1" applyFont="1" applyFill="1"/>
    <xf numFmtId="0" fontId="0" fillId="0" borderId="22" xfId="0" applyBorder="1" applyAlignment="1">
      <alignment horizontal="right"/>
    </xf>
    <xf numFmtId="44" fontId="0" fillId="0" borderId="22" xfId="0" applyNumberFormat="1" applyBorder="1"/>
    <xf numFmtId="14" fontId="0" fillId="5" borderId="0" xfId="0" applyNumberFormat="1" applyFill="1"/>
    <xf numFmtId="3" fontId="0" fillId="0" borderId="0" xfId="0" applyNumberFormat="1"/>
    <xf numFmtId="173" fontId="1" fillId="0" borderId="0" xfId="1" applyNumberFormat="1" applyFont="1" applyAlignment="1">
      <alignment horizontal="center"/>
    </xf>
    <xf numFmtId="37" fontId="0" fillId="0" borderId="0" xfId="1" applyNumberFormat="1" applyFont="1"/>
    <xf numFmtId="3" fontId="0" fillId="7" borderId="1" xfId="0" applyNumberFormat="1" applyFill="1" applyBorder="1"/>
    <xf numFmtId="173" fontId="0" fillId="0" borderId="1" xfId="1" applyNumberFormat="1" applyFont="1" applyBorder="1"/>
    <xf numFmtId="0" fontId="0" fillId="0" borderId="21" xfId="0" applyBorder="1"/>
    <xf numFmtId="173" fontId="0" fillId="0" borderId="21" xfId="1" applyNumberFormat="1" applyFont="1" applyBorder="1"/>
    <xf numFmtId="0" fontId="0" fillId="0" borderId="8" xfId="0" applyBorder="1"/>
    <xf numFmtId="173" fontId="0" fillId="0" borderId="8" xfId="1" applyNumberFormat="1" applyFont="1" applyBorder="1"/>
    <xf numFmtId="7" fontId="12" fillId="16" borderId="18" xfId="1" applyNumberFormat="1" applyFont="1" applyFill="1" applyBorder="1" applyAlignment="1">
      <alignment horizontal="right"/>
    </xf>
    <xf numFmtId="171" fontId="0" fillId="0" borderId="0" xfId="0" applyNumberFormat="1"/>
    <xf numFmtId="171" fontId="12" fillId="16" borderId="18" xfId="1" applyNumberFormat="1" applyFont="1" applyFill="1" applyBorder="1" applyAlignment="1">
      <alignment horizontal="right"/>
    </xf>
    <xf numFmtId="0" fontId="4" fillId="19" borderId="17" xfId="2" applyFill="1" applyBorder="1"/>
    <xf numFmtId="14" fontId="4" fillId="0" borderId="11" xfId="2" applyNumberFormat="1" applyBorder="1" applyAlignment="1">
      <alignment horizontal="center"/>
    </xf>
    <xf numFmtId="0" fontId="0" fillId="20" borderId="26" xfId="0" applyFill="1" applyBorder="1" applyAlignment="1">
      <alignment horizontal="left"/>
    </xf>
    <xf numFmtId="0" fontId="0" fillId="20" borderId="25" xfId="0" applyFill="1" applyBorder="1" applyAlignment="1">
      <alignment horizontal="left"/>
    </xf>
    <xf numFmtId="0" fontId="0" fillId="20" borderId="18" xfId="0" applyFill="1" applyBorder="1" applyAlignment="1">
      <alignment horizontal="left"/>
    </xf>
    <xf numFmtId="0" fontId="0" fillId="20" borderId="1" xfId="0" applyFill="1" applyBorder="1" applyAlignment="1">
      <alignment horizontal="left"/>
    </xf>
    <xf numFmtId="0" fontId="1" fillId="0" borderId="0" xfId="0" applyFont="1"/>
    <xf numFmtId="3" fontId="0" fillId="0" borderId="5" xfId="0" applyNumberFormat="1" applyBorder="1"/>
    <xf numFmtId="3" fontId="0" fillId="0" borderId="7" xfId="0" applyNumberFormat="1" applyBorder="1"/>
    <xf numFmtId="0" fontId="12" fillId="16" borderId="0" xfId="0" applyFont="1" applyFill="1"/>
    <xf numFmtId="0" fontId="12" fillId="16" borderId="27" xfId="0" applyFont="1" applyFill="1" applyBorder="1"/>
    <xf numFmtId="0" fontId="0" fillId="5" borderId="0" xfId="0" applyFill="1"/>
    <xf numFmtId="37" fontId="12" fillId="16" borderId="18" xfId="1" applyNumberFormat="1" applyFont="1" applyFill="1" applyBorder="1" applyAlignment="1">
      <alignment horizontal="right"/>
    </xf>
    <xf numFmtId="0" fontId="0" fillId="22" borderId="0" xfId="0" applyFill="1"/>
    <xf numFmtId="0" fontId="12" fillId="16" borderId="26" xfId="0" applyFont="1" applyFill="1" applyBorder="1"/>
    <xf numFmtId="166" fontId="0" fillId="20" borderId="1" xfId="0" applyNumberFormat="1" applyFill="1" applyBorder="1"/>
    <xf numFmtId="3" fontId="0" fillId="20" borderId="1" xfId="0" applyNumberFormat="1" applyFill="1" applyBorder="1"/>
    <xf numFmtId="165" fontId="0" fillId="20" borderId="1" xfId="0" applyNumberFormat="1" applyFill="1" applyBorder="1"/>
    <xf numFmtId="171" fontId="0" fillId="20" borderId="1" xfId="0" applyNumberFormat="1" applyFill="1" applyBorder="1"/>
    <xf numFmtId="0" fontId="1" fillId="13" borderId="14" xfId="0" applyFont="1" applyFill="1" applyBorder="1"/>
    <xf numFmtId="37" fontId="1" fillId="13" borderId="30" xfId="1" applyNumberFormat="1" applyFont="1" applyFill="1" applyBorder="1"/>
    <xf numFmtId="37" fontId="1" fillId="13" borderId="31" xfId="1" applyNumberFormat="1" applyFont="1" applyFill="1" applyBorder="1"/>
    <xf numFmtId="18" fontId="0" fillId="0" borderId="0" xfId="0" applyNumberFormat="1"/>
    <xf numFmtId="172" fontId="0" fillId="0" borderId="0" xfId="0" applyNumberFormat="1"/>
    <xf numFmtId="0" fontId="1" fillId="0" borderId="1" xfId="0" applyFont="1" applyBorder="1" applyAlignment="1">
      <alignment horizontal="center"/>
    </xf>
    <xf numFmtId="174" fontId="0" fillId="0" borderId="0" xfId="0" applyNumberFormat="1"/>
    <xf numFmtId="0" fontId="4" fillId="19" borderId="15" xfId="2" applyFill="1" applyBorder="1"/>
    <xf numFmtId="166" fontId="4" fillId="5" borderId="6" xfId="2" applyNumberFormat="1" applyFill="1" applyBorder="1"/>
    <xf numFmtId="166" fontId="4" fillId="10" borderId="16" xfId="2" applyNumberFormat="1" applyFill="1" applyBorder="1"/>
    <xf numFmtId="0" fontId="4" fillId="14" borderId="5" xfId="2" applyFill="1" applyBorder="1"/>
    <xf numFmtId="0" fontId="4" fillId="4" borderId="0" xfId="2" applyFill="1"/>
    <xf numFmtId="166" fontId="4" fillId="12" borderId="16" xfId="2" applyNumberFormat="1" applyFill="1" applyBorder="1"/>
    <xf numFmtId="0" fontId="4" fillId="3" borderId="1" xfId="2" applyFill="1" applyBorder="1"/>
    <xf numFmtId="166" fontId="4" fillId="5" borderId="1" xfId="2" applyNumberFormat="1" applyFill="1" applyBorder="1"/>
    <xf numFmtId="9" fontId="0" fillId="0" borderId="0" xfId="4" applyFont="1"/>
    <xf numFmtId="0" fontId="0" fillId="0" borderId="5" xfId="0" applyBorder="1"/>
    <xf numFmtId="0" fontId="0" fillId="0" borderId="6" xfId="0" applyBorder="1"/>
    <xf numFmtId="37" fontId="8" fillId="0" borderId="6" xfId="1" applyNumberFormat="1" applyFont="1" applyBorder="1" applyAlignment="1"/>
    <xf numFmtId="0" fontId="0" fillId="0" borderId="22" xfId="0" applyBorder="1"/>
    <xf numFmtId="0" fontId="0" fillId="0" borderId="35" xfId="0" applyBorder="1" applyAlignment="1">
      <alignment horizontal="center"/>
    </xf>
    <xf numFmtId="0" fontId="1" fillId="0" borderId="4" xfId="0" applyFont="1" applyBorder="1" applyAlignment="1">
      <alignment horizontal="center"/>
    </xf>
    <xf numFmtId="37" fontId="0" fillId="0" borderId="20" xfId="1" applyNumberFormat="1" applyFont="1" applyBorder="1" applyAlignment="1">
      <alignment horizontal="center"/>
    </xf>
    <xf numFmtId="0" fontId="8" fillId="0" borderId="6" xfId="0" applyFont="1" applyBorder="1"/>
    <xf numFmtId="1" fontId="8" fillId="0" borderId="6" xfId="0" applyNumberFormat="1" applyFont="1" applyBorder="1"/>
    <xf numFmtId="165" fontId="0" fillId="11" borderId="0" xfId="0" applyNumberFormat="1" applyFill="1"/>
    <xf numFmtId="165" fontId="1" fillId="11" borderId="0" xfId="0" applyNumberFormat="1" applyFont="1" applyFill="1"/>
    <xf numFmtId="165" fontId="0" fillId="5" borderId="22" xfId="0" applyNumberFormat="1" applyFill="1" applyBorder="1"/>
    <xf numFmtId="165" fontId="0" fillId="6" borderId="0" xfId="0" applyNumberFormat="1" applyFill="1"/>
    <xf numFmtId="175" fontId="8" fillId="0" borderId="6" xfId="1" applyNumberFormat="1" applyFont="1" applyBorder="1" applyAlignment="1"/>
    <xf numFmtId="168" fontId="0" fillId="6" borderId="0" xfId="0" applyNumberFormat="1" applyFill="1"/>
    <xf numFmtId="0" fontId="0" fillId="18" borderId="1" xfId="0" applyFill="1" applyBorder="1"/>
    <xf numFmtId="173" fontId="0" fillId="18" borderId="1" xfId="0" applyNumberFormat="1" applyFill="1" applyBorder="1"/>
    <xf numFmtId="37" fontId="0" fillId="18" borderId="1" xfId="1" applyNumberFormat="1" applyFont="1" applyFill="1" applyBorder="1"/>
    <xf numFmtId="166" fontId="0" fillId="0" borderId="1" xfId="4" applyNumberFormat="1" applyFont="1" applyBorder="1"/>
    <xf numFmtId="166" fontId="0" fillId="0" borderId="1" xfId="1" applyNumberFormat="1" applyFont="1" applyBorder="1"/>
    <xf numFmtId="166" fontId="0" fillId="2" borderId="20" xfId="4" applyNumberFormat="1" applyFont="1" applyFill="1" applyBorder="1"/>
    <xf numFmtId="173" fontId="1" fillId="25" borderId="36" xfId="1" applyNumberFormat="1" applyFont="1" applyFill="1" applyBorder="1"/>
    <xf numFmtId="166" fontId="1" fillId="26" borderId="1" xfId="4" applyNumberFormat="1" applyFont="1" applyFill="1" applyBorder="1"/>
    <xf numFmtId="166" fontId="0" fillId="28" borderId="1" xfId="1" applyNumberFormat="1" applyFont="1" applyFill="1" applyBorder="1"/>
    <xf numFmtId="166" fontId="0" fillId="28" borderId="1" xfId="4" applyNumberFormat="1" applyFont="1" applyFill="1" applyBorder="1"/>
    <xf numFmtId="166" fontId="0" fillId="2" borderId="39" xfId="4" applyNumberFormat="1" applyFont="1" applyFill="1" applyBorder="1"/>
    <xf numFmtId="0" fontId="0" fillId="0" borderId="15" xfId="0" applyBorder="1"/>
    <xf numFmtId="0" fontId="0" fillId="28" borderId="15" xfId="0" applyFill="1" applyBorder="1"/>
    <xf numFmtId="0" fontId="12" fillId="27" borderId="37" xfId="0" applyFont="1" applyFill="1" applyBorder="1"/>
    <xf numFmtId="173" fontId="12" fillId="27" borderId="21" xfId="1" applyNumberFormat="1" applyFont="1" applyFill="1" applyBorder="1"/>
    <xf numFmtId="0" fontId="12" fillId="27" borderId="21" xfId="0" applyFont="1" applyFill="1" applyBorder="1"/>
    <xf numFmtId="0" fontId="15" fillId="2" borderId="35" xfId="0" applyFont="1" applyFill="1" applyBorder="1"/>
    <xf numFmtId="0" fontId="0" fillId="28" borderId="28" xfId="0" applyFill="1" applyBorder="1"/>
    <xf numFmtId="166" fontId="0" fillId="28" borderId="23" xfId="1" applyNumberFormat="1" applyFont="1" applyFill="1" applyBorder="1"/>
    <xf numFmtId="166" fontId="0" fillId="28" borderId="23" xfId="4" applyNumberFormat="1" applyFont="1" applyFill="1" applyBorder="1"/>
    <xf numFmtId="0" fontId="14" fillId="2" borderId="37" xfId="0" applyFont="1" applyFill="1" applyBorder="1"/>
    <xf numFmtId="9" fontId="0" fillId="2" borderId="1" xfId="4" applyFont="1" applyFill="1" applyBorder="1"/>
    <xf numFmtId="0" fontId="12" fillId="27" borderId="35" xfId="0" applyFont="1" applyFill="1" applyBorder="1"/>
    <xf numFmtId="166" fontId="1" fillId="26" borderId="20" xfId="4" applyNumberFormat="1" applyFont="1" applyFill="1" applyBorder="1"/>
    <xf numFmtId="166" fontId="0" fillId="0" borderId="20" xfId="4" applyNumberFormat="1" applyFont="1" applyBorder="1"/>
    <xf numFmtId="166" fontId="0" fillId="28" borderId="20" xfId="4" applyNumberFormat="1" applyFont="1" applyFill="1" applyBorder="1"/>
    <xf numFmtId="166" fontId="0" fillId="28" borderId="39" xfId="4" applyNumberFormat="1" applyFont="1" applyFill="1" applyBorder="1"/>
    <xf numFmtId="3" fontId="15" fillId="13" borderId="20" xfId="4" applyNumberFormat="1" applyFont="1" applyFill="1" applyBorder="1" applyAlignment="1">
      <alignment horizontal="center"/>
    </xf>
    <xf numFmtId="3" fontId="15" fillId="29" borderId="20" xfId="4" applyNumberFormat="1" applyFont="1" applyFill="1" applyBorder="1" applyAlignment="1">
      <alignment horizontal="center"/>
    </xf>
    <xf numFmtId="3" fontId="15" fillId="29" borderId="39" xfId="4" applyNumberFormat="1" applyFont="1" applyFill="1" applyBorder="1" applyAlignment="1">
      <alignment horizontal="center"/>
    </xf>
    <xf numFmtId="1" fontId="1" fillId="13" borderId="0" xfId="0" applyNumberFormat="1" applyFont="1" applyFill="1" applyAlignment="1">
      <alignment horizontal="center"/>
    </xf>
    <xf numFmtId="1" fontId="1" fillId="13" borderId="3" xfId="0" applyNumberFormat="1" applyFont="1" applyFill="1" applyBorder="1" applyAlignment="1">
      <alignment horizontal="center"/>
    </xf>
    <xf numFmtId="1" fontId="1" fillId="13" borderId="8" xfId="0" applyNumberFormat="1" applyFont="1" applyFill="1" applyBorder="1" applyAlignment="1">
      <alignment horizontal="center"/>
    </xf>
    <xf numFmtId="0" fontId="1" fillId="13" borderId="2" xfId="0" applyFont="1" applyFill="1" applyBorder="1" applyAlignment="1">
      <alignment horizontal="right"/>
    </xf>
    <xf numFmtId="0" fontId="1" fillId="13" borderId="7" xfId="0" applyFont="1" applyFill="1" applyBorder="1" applyAlignment="1">
      <alignment horizontal="right"/>
    </xf>
    <xf numFmtId="166" fontId="1" fillId="13" borderId="4" xfId="0" applyNumberFormat="1" applyFont="1" applyFill="1" applyBorder="1" applyAlignment="1">
      <alignment horizontal="center"/>
    </xf>
    <xf numFmtId="0" fontId="1" fillId="26" borderId="1" xfId="0" applyFont="1" applyFill="1" applyBorder="1"/>
    <xf numFmtId="166" fontId="1" fillId="26" borderId="1" xfId="0" applyNumberFormat="1" applyFont="1" applyFill="1" applyBorder="1"/>
    <xf numFmtId="0" fontId="1" fillId="6" borderId="1" xfId="0" applyFont="1" applyFill="1" applyBorder="1"/>
    <xf numFmtId="166" fontId="1" fillId="6" borderId="1" xfId="0" applyNumberFormat="1" applyFont="1" applyFill="1" applyBorder="1"/>
    <xf numFmtId="0" fontId="1" fillId="25" borderId="1" xfId="0" applyFont="1" applyFill="1" applyBorder="1"/>
    <xf numFmtId="166" fontId="1" fillId="25" borderId="1" xfId="0" applyNumberFormat="1" applyFont="1" applyFill="1" applyBorder="1"/>
    <xf numFmtId="1" fontId="1" fillId="25" borderId="1" xfId="0" applyNumberFormat="1" applyFont="1" applyFill="1" applyBorder="1"/>
    <xf numFmtId="0" fontId="0" fillId="30" borderId="1" xfId="0" applyFill="1" applyBorder="1"/>
    <xf numFmtId="166" fontId="0" fillId="30" borderId="1" xfId="0" applyNumberFormat="1" applyFill="1" applyBorder="1"/>
    <xf numFmtId="14" fontId="1" fillId="5" borderId="9" xfId="0" applyNumberFormat="1" applyFont="1" applyFill="1" applyBorder="1" applyAlignment="1">
      <alignment horizontal="center"/>
    </xf>
    <xf numFmtId="176" fontId="12" fillId="16" borderId="18" xfId="1" applyNumberFormat="1" applyFont="1" applyFill="1" applyBorder="1" applyAlignment="1">
      <alignment horizontal="right"/>
    </xf>
    <xf numFmtId="9" fontId="0" fillId="0" borderId="1" xfId="4" applyFont="1" applyBorder="1"/>
    <xf numFmtId="1" fontId="0" fillId="0" borderId="1" xfId="0" applyNumberFormat="1" applyBorder="1"/>
    <xf numFmtId="1" fontId="0" fillId="20" borderId="40" xfId="0" applyNumberFormat="1" applyFill="1" applyBorder="1" applyAlignment="1">
      <alignment horizontal="right"/>
    </xf>
    <xf numFmtId="1" fontId="0" fillId="0" borderId="21" xfId="0" applyNumberFormat="1" applyBorder="1"/>
    <xf numFmtId="1" fontId="1" fillId="0" borderId="41" xfId="0" applyNumberFormat="1" applyFont="1" applyBorder="1" applyAlignment="1">
      <alignment horizontal="center"/>
    </xf>
    <xf numFmtId="1" fontId="0" fillId="20" borderId="5" xfId="0" applyNumberFormat="1" applyFill="1" applyBorder="1" applyAlignment="1">
      <alignment horizontal="right"/>
    </xf>
    <xf numFmtId="1" fontId="1" fillId="0" borderId="6" xfId="0" applyNumberFormat="1" applyFont="1" applyBorder="1" applyAlignment="1">
      <alignment horizontal="center"/>
    </xf>
    <xf numFmtId="1" fontId="0" fillId="20" borderId="7" xfId="0" applyNumberFormat="1" applyFill="1" applyBorder="1" applyAlignment="1">
      <alignment horizontal="right"/>
    </xf>
    <xf numFmtId="1" fontId="0" fillId="0" borderId="8" xfId="0" applyNumberFormat="1" applyBorder="1"/>
    <xf numFmtId="1" fontId="1" fillId="0" borderId="9" xfId="0" applyNumberFormat="1" applyFont="1" applyBorder="1" applyAlignment="1">
      <alignment horizontal="center"/>
    </xf>
    <xf numFmtId="173" fontId="1" fillId="5" borderId="31" xfId="1" applyNumberFormat="1" applyFont="1" applyFill="1" applyBorder="1"/>
    <xf numFmtId="2" fontId="1" fillId="0" borderId="0" xfId="0" applyNumberFormat="1" applyFont="1" applyAlignment="1">
      <alignment horizontal="center"/>
    </xf>
    <xf numFmtId="0" fontId="0" fillId="0" borderId="42" xfId="0" applyBorder="1" applyAlignment="1">
      <alignment horizontal="right"/>
    </xf>
    <xf numFmtId="0" fontId="0" fillId="0" borderId="14" xfId="0" applyBorder="1"/>
    <xf numFmtId="2" fontId="0" fillId="0" borderId="31" xfId="0" applyNumberFormat="1" applyBorder="1"/>
    <xf numFmtId="1" fontId="0" fillId="0" borderId="0" xfId="0" applyNumberFormat="1" applyAlignment="1">
      <alignment horizontal="left"/>
    </xf>
    <xf numFmtId="1" fontId="0" fillId="0" borderId="31" xfId="0" applyNumberFormat="1" applyBorder="1"/>
    <xf numFmtId="166" fontId="0" fillId="0" borderId="0" xfId="1" applyNumberFormat="1" applyFont="1" applyAlignment="1"/>
    <xf numFmtId="171" fontId="0" fillId="0" borderId="31" xfId="0" applyNumberFormat="1" applyBorder="1"/>
    <xf numFmtId="1" fontId="1" fillId="4" borderId="41" xfId="0" applyNumberFormat="1" applyFont="1" applyFill="1" applyBorder="1" applyAlignment="1">
      <alignment horizontal="center"/>
    </xf>
    <xf numFmtId="1" fontId="1" fillId="4" borderId="6" xfId="0" applyNumberFormat="1" applyFont="1" applyFill="1" applyBorder="1" applyAlignment="1">
      <alignment horizontal="center"/>
    </xf>
    <xf numFmtId="1" fontId="1" fillId="4" borderId="9" xfId="0" applyNumberFormat="1" applyFont="1" applyFill="1" applyBorder="1" applyAlignment="1">
      <alignment horizontal="center"/>
    </xf>
    <xf numFmtId="173" fontId="0" fillId="31" borderId="0" xfId="1" applyNumberFormat="1" applyFont="1" applyFill="1"/>
    <xf numFmtId="166" fontId="1" fillId="0" borderId="0" xfId="1" applyNumberFormat="1" applyFont="1"/>
    <xf numFmtId="14" fontId="0" fillId="4" borderId="1" xfId="0" applyNumberFormat="1" applyFill="1" applyBorder="1"/>
    <xf numFmtId="166" fontId="0" fillId="5" borderId="1" xfId="0" applyNumberFormat="1" applyFill="1" applyBorder="1"/>
    <xf numFmtId="166" fontId="0" fillId="5" borderId="1" xfId="1" applyNumberFormat="1" applyFont="1" applyFill="1" applyBorder="1" applyAlignment="1"/>
    <xf numFmtId="14" fontId="0" fillId="5" borderId="1" xfId="0" applyNumberFormat="1" applyFill="1" applyBorder="1"/>
    <xf numFmtId="0" fontId="0" fillId="0" borderId="14" xfId="0" applyBorder="1" applyAlignment="1">
      <alignment horizontal="right"/>
    </xf>
    <xf numFmtId="166" fontId="1" fillId="18" borderId="31" xfId="0" applyNumberFormat="1" applyFont="1" applyFill="1" applyBorder="1"/>
    <xf numFmtId="171" fontId="0" fillId="18" borderId="0" xfId="0" applyNumberFormat="1" applyFill="1"/>
    <xf numFmtId="2" fontId="0" fillId="18" borderId="0" xfId="0" applyNumberFormat="1" applyFill="1"/>
    <xf numFmtId="0" fontId="1" fillId="6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30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3" fontId="0" fillId="0" borderId="8" xfId="0" applyNumberFormat="1" applyBorder="1"/>
    <xf numFmtId="0" fontId="1" fillId="6" borderId="22" xfId="0" applyFont="1" applyFill="1" applyBorder="1" applyAlignment="1">
      <alignment horizontal="center"/>
    </xf>
    <xf numFmtId="177" fontId="0" fillId="20" borderId="1" xfId="0" applyNumberFormat="1" applyFill="1" applyBorder="1"/>
    <xf numFmtId="177" fontId="12" fillId="16" borderId="18" xfId="1" applyNumberFormat="1" applyFont="1" applyFill="1" applyBorder="1" applyAlignment="1">
      <alignment horizontal="right"/>
    </xf>
    <xf numFmtId="0" fontId="12" fillId="16" borderId="45" xfId="0" applyFont="1" applyFill="1" applyBorder="1"/>
    <xf numFmtId="0" fontId="12" fillId="16" borderId="46" xfId="0" applyFont="1" applyFill="1" applyBorder="1"/>
    <xf numFmtId="0" fontId="0" fillId="20" borderId="47" xfId="0" applyFill="1" applyBorder="1" applyAlignment="1">
      <alignment horizontal="left"/>
    </xf>
    <xf numFmtId="0" fontId="0" fillId="20" borderId="45" xfId="0" applyFill="1" applyBorder="1" applyAlignment="1">
      <alignment horizontal="left"/>
    </xf>
    <xf numFmtId="0" fontId="0" fillId="20" borderId="48" xfId="0" applyFill="1" applyBorder="1" applyAlignment="1">
      <alignment horizontal="left"/>
    </xf>
    <xf numFmtId="0" fontId="12" fillId="16" borderId="48" xfId="0" applyFont="1" applyFill="1" applyBorder="1" applyAlignment="1">
      <alignment horizontal="right"/>
    </xf>
    <xf numFmtId="0" fontId="0" fillId="0" borderId="46" xfId="0" applyBorder="1"/>
    <xf numFmtId="0" fontId="0" fillId="0" borderId="45" xfId="0" applyBorder="1"/>
    <xf numFmtId="0" fontId="0" fillId="0" borderId="49" xfId="0" applyBorder="1"/>
    <xf numFmtId="21" fontId="0" fillId="0" borderId="0" xfId="0" applyNumberFormat="1"/>
    <xf numFmtId="9" fontId="0" fillId="0" borderId="0" xfId="0" applyNumberFormat="1"/>
    <xf numFmtId="14" fontId="0" fillId="7" borderId="1" xfId="0" applyNumberFormat="1" applyFill="1" applyBorder="1"/>
    <xf numFmtId="1" fontId="0" fillId="7" borderId="1" xfId="0" applyNumberFormat="1" applyFill="1" applyBorder="1"/>
    <xf numFmtId="1" fontId="1" fillId="0" borderId="0" xfId="0" applyNumberFormat="1" applyFont="1" applyAlignment="1">
      <alignment horizontal="center"/>
    </xf>
    <xf numFmtId="42" fontId="0" fillId="0" borderId="0" xfId="0" applyNumberFormat="1"/>
    <xf numFmtId="0" fontId="1" fillId="17" borderId="0" xfId="0" applyFont="1" applyFill="1"/>
    <xf numFmtId="9" fontId="1" fillId="0" borderId="0" xfId="4" applyFont="1"/>
    <xf numFmtId="0" fontId="0" fillId="28" borderId="50" xfId="0" applyFill="1" applyBorder="1"/>
    <xf numFmtId="0" fontId="0" fillId="0" borderId="50" xfId="0" applyBorder="1"/>
    <xf numFmtId="9" fontId="0" fillId="7" borderId="1" xfId="4" applyFont="1" applyFill="1" applyBorder="1"/>
    <xf numFmtId="1" fontId="0" fillId="0" borderId="1" xfId="4" applyNumberFormat="1" applyFont="1" applyBorder="1"/>
    <xf numFmtId="173" fontId="0" fillId="31" borderId="50" xfId="1" applyNumberFormat="1" applyFont="1" applyFill="1" applyBorder="1"/>
    <xf numFmtId="1" fontId="0" fillId="28" borderId="1" xfId="4" applyNumberFormat="1" applyFont="1" applyFill="1" applyBorder="1"/>
    <xf numFmtId="166" fontId="0" fillId="28" borderId="50" xfId="1" applyNumberFormat="1" applyFont="1" applyFill="1" applyBorder="1" applyAlignment="1"/>
    <xf numFmtId="173" fontId="0" fillId="0" borderId="0" xfId="1" applyNumberFormat="1" applyFont="1" applyBorder="1"/>
    <xf numFmtId="166" fontId="1" fillId="0" borderId="0" xfId="1" applyNumberFormat="1" applyFont="1" applyBorder="1"/>
    <xf numFmtId="0" fontId="12" fillId="27" borderId="51" xfId="0" applyFont="1" applyFill="1" applyBorder="1" applyAlignment="1">
      <alignment horizontal="center"/>
    </xf>
    <xf numFmtId="0" fontId="12" fillId="27" borderId="52" xfId="0" applyFont="1" applyFill="1" applyBorder="1" applyAlignment="1">
      <alignment horizontal="center"/>
    </xf>
    <xf numFmtId="2" fontId="12" fillId="27" borderId="52" xfId="0" applyNumberFormat="1" applyFont="1" applyFill="1" applyBorder="1" applyAlignment="1">
      <alignment horizontal="center"/>
    </xf>
    <xf numFmtId="0" fontId="12" fillId="27" borderId="53" xfId="0" applyFont="1" applyFill="1" applyBorder="1" applyAlignment="1">
      <alignment horizontal="center"/>
    </xf>
    <xf numFmtId="173" fontId="12" fillId="11" borderId="54" xfId="1" applyNumberFormat="1" applyFont="1" applyFill="1" applyBorder="1" applyAlignment="1">
      <alignment horizontal="center"/>
    </xf>
    <xf numFmtId="9" fontId="1" fillId="0" borderId="41" xfId="4" applyFont="1" applyBorder="1" applyAlignment="1">
      <alignment horizontal="center"/>
    </xf>
    <xf numFmtId="14" fontId="0" fillId="5" borderId="1" xfId="1" applyNumberFormat="1" applyFont="1" applyFill="1" applyBorder="1"/>
    <xf numFmtId="173" fontId="0" fillId="0" borderId="0" xfId="1" applyNumberFormat="1" applyFont="1" applyFill="1"/>
    <xf numFmtId="9" fontId="0" fillId="0" borderId="0" xfId="4" applyFont="1" applyFill="1"/>
    <xf numFmtId="173" fontId="0" fillId="0" borderId="50" xfId="1" applyNumberFormat="1" applyFont="1" applyFill="1" applyBorder="1"/>
    <xf numFmtId="173" fontId="0" fillId="0" borderId="0" xfId="0" applyNumberFormat="1"/>
    <xf numFmtId="173" fontId="0" fillId="13" borderId="0" xfId="0" applyNumberFormat="1" applyFill="1"/>
    <xf numFmtId="173" fontId="1" fillId="0" borderId="0" xfId="0" applyNumberFormat="1" applyFont="1" applyAlignment="1">
      <alignment horizontal="center"/>
    </xf>
    <xf numFmtId="9" fontId="1" fillId="0" borderId="0" xfId="0" quotePrefix="1" applyNumberFormat="1" applyFont="1" applyAlignment="1">
      <alignment horizontal="center"/>
    </xf>
    <xf numFmtId="173" fontId="0" fillId="7" borderId="1" xfId="1" applyNumberFormat="1" applyFont="1" applyFill="1" applyBorder="1"/>
    <xf numFmtId="173" fontId="1" fillId="0" borderId="0" xfId="1" applyNumberFormat="1" applyFont="1"/>
    <xf numFmtId="166" fontId="0" fillId="28" borderId="0" xfId="1" applyNumberFormat="1" applyFont="1" applyFill="1" applyBorder="1" applyAlignment="1"/>
    <xf numFmtId="173" fontId="18" fillId="0" borderId="0" xfId="1" applyNumberFormat="1" applyFont="1"/>
    <xf numFmtId="173" fontId="1" fillId="6" borderId="1" xfId="4" applyNumberFormat="1" applyFont="1" applyFill="1" applyBorder="1" applyAlignment="1">
      <alignment horizontal="center"/>
    </xf>
    <xf numFmtId="0" fontId="0" fillId="0" borderId="0" xfId="0" quotePrefix="1"/>
    <xf numFmtId="9" fontId="0" fillId="0" borderId="0" xfId="4" applyFont="1" applyAlignment="1"/>
    <xf numFmtId="173" fontId="12" fillId="11" borderId="17" xfId="1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0" fontId="12" fillId="27" borderId="56" xfId="0" applyFont="1" applyFill="1" applyBorder="1" applyAlignment="1">
      <alignment horizontal="center"/>
    </xf>
    <xf numFmtId="166" fontId="0" fillId="5" borderId="0" xfId="0" applyNumberFormat="1" applyFill="1"/>
    <xf numFmtId="4" fontId="1" fillId="0" borderId="0" xfId="1" applyNumberFormat="1" applyFont="1"/>
    <xf numFmtId="1" fontId="0" fillId="0" borderId="57" xfId="0" applyNumberFormat="1" applyBorder="1"/>
    <xf numFmtId="172" fontId="0" fillId="0" borderId="0" xfId="0" applyNumberFormat="1" applyAlignment="1">
      <alignment horizontal="left"/>
    </xf>
    <xf numFmtId="9" fontId="1" fillId="0" borderId="0" xfId="1" applyNumberFormat="1" applyFont="1"/>
    <xf numFmtId="173" fontId="12" fillId="11" borderId="60" xfId="1" applyNumberFormat="1" applyFont="1" applyFill="1" applyBorder="1" applyAlignment="1">
      <alignment horizontal="center"/>
    </xf>
    <xf numFmtId="0" fontId="1" fillId="28" borderId="52" xfId="0" applyFont="1" applyFill="1" applyBorder="1"/>
    <xf numFmtId="0" fontId="1" fillId="28" borderId="0" xfId="0" applyFont="1" applyFill="1"/>
    <xf numFmtId="0" fontId="0" fillId="0" borderId="22" xfId="0" applyBorder="1" applyAlignment="1">
      <alignment horizontal="left"/>
    </xf>
    <xf numFmtId="167" fontId="0" fillId="0" borderId="22" xfId="0" applyNumberFormat="1" applyBorder="1"/>
    <xf numFmtId="14" fontId="1" fillId="28" borderId="52" xfId="0" applyNumberFormat="1" applyFont="1" applyFill="1" applyBorder="1"/>
    <xf numFmtId="9" fontId="0" fillId="0" borderId="22" xfId="4" applyFont="1" applyBorder="1"/>
    <xf numFmtId="0" fontId="1" fillId="3" borderId="10" xfId="0" applyFont="1" applyFill="1" applyBorder="1" applyAlignment="1">
      <alignment horizontal="center"/>
    </xf>
    <xf numFmtId="166" fontId="0" fillId="20" borderId="6" xfId="0" applyNumberFormat="1" applyFill="1" applyBorder="1"/>
    <xf numFmtId="0" fontId="0" fillId="20" borderId="5" xfId="0" applyFill="1" applyBorder="1" applyAlignment="1">
      <alignment horizontal="left"/>
    </xf>
    <xf numFmtId="0" fontId="12" fillId="27" borderId="0" xfId="0" applyFont="1" applyFill="1" applyAlignment="1">
      <alignment horizontal="center" wrapText="1"/>
    </xf>
    <xf numFmtId="44" fontId="0" fillId="17" borderId="0" xfId="1" applyFont="1" applyFill="1"/>
    <xf numFmtId="1" fontId="0" fillId="0" borderId="0" xfId="0" applyNumberFormat="1" applyAlignment="1">
      <alignment horizontal="center"/>
    </xf>
    <xf numFmtId="167" fontId="0" fillId="20" borderId="1" xfId="0" applyNumberFormat="1" applyFill="1" applyBorder="1"/>
    <xf numFmtId="167" fontId="12" fillId="16" borderId="18" xfId="1" applyNumberFormat="1" applyFont="1" applyFill="1" applyBorder="1" applyAlignment="1">
      <alignment horizontal="right"/>
    </xf>
    <xf numFmtId="0" fontId="0" fillId="20" borderId="55" xfId="0" applyFill="1" applyBorder="1" applyAlignment="1">
      <alignment horizontal="left"/>
    </xf>
    <xf numFmtId="3" fontId="0" fillId="0" borderId="1" xfId="0" applyNumberFormat="1" applyBorder="1"/>
    <xf numFmtId="0" fontId="0" fillId="0" borderId="2" xfId="0" applyBorder="1" applyAlignment="1">
      <alignment horizontal="right"/>
    </xf>
    <xf numFmtId="3" fontId="0" fillId="7" borderId="3" xfId="0" applyNumberFormat="1" applyFill="1" applyBorder="1"/>
    <xf numFmtId="3" fontId="0" fillId="7" borderId="4" xfId="0" applyNumberFormat="1" applyFill="1" applyBorder="1"/>
    <xf numFmtId="3" fontId="0" fillId="7" borderId="6" xfId="0" applyNumberFormat="1" applyFill="1" applyBorder="1"/>
    <xf numFmtId="3" fontId="0" fillId="0" borderId="6" xfId="0" applyNumberFormat="1" applyBorder="1"/>
    <xf numFmtId="3" fontId="0" fillId="0" borderId="9" xfId="0" applyNumberFormat="1" applyBorder="1"/>
    <xf numFmtId="0" fontId="12" fillId="16" borderId="26" xfId="0" applyFont="1" applyFill="1" applyBorder="1" applyAlignment="1">
      <alignment horizontal="center"/>
    </xf>
    <xf numFmtId="0" fontId="12" fillId="16" borderId="0" xfId="0" applyFont="1" applyFill="1" applyAlignment="1">
      <alignment horizontal="center"/>
    </xf>
    <xf numFmtId="1" fontId="0" fillId="0" borderId="41" xfId="0" applyNumberFormat="1" applyBorder="1"/>
    <xf numFmtId="1" fontId="0" fillId="0" borderId="6" xfId="0" applyNumberFormat="1" applyBorder="1"/>
    <xf numFmtId="1" fontId="0" fillId="0" borderId="9" xfId="0" applyNumberFormat="1" applyBorder="1"/>
    <xf numFmtId="44" fontId="0" fillId="34" borderId="0" xfId="1" applyFont="1" applyFill="1"/>
    <xf numFmtId="44" fontId="0" fillId="4" borderId="0" xfId="1" applyFont="1" applyFill="1"/>
    <xf numFmtId="44" fontId="0" fillId="20" borderId="1" xfId="1" applyFont="1" applyFill="1" applyBorder="1"/>
    <xf numFmtId="173" fontId="0" fillId="20" borderId="1" xfId="1" applyNumberFormat="1" applyFont="1" applyFill="1" applyBorder="1"/>
    <xf numFmtId="44" fontId="17" fillId="11" borderId="0" xfId="0" applyNumberFormat="1" applyFont="1" applyFill="1" applyAlignment="1">
      <alignment horizontal="center"/>
    </xf>
    <xf numFmtId="0" fontId="12" fillId="16" borderId="1" xfId="0" applyFont="1" applyFill="1" applyBorder="1"/>
    <xf numFmtId="173" fontId="0" fillId="0" borderId="1" xfId="0" applyNumberFormat="1" applyBorder="1"/>
    <xf numFmtId="37" fontId="0" fillId="0" borderId="1" xfId="0" applyNumberFormat="1" applyBorder="1"/>
    <xf numFmtId="44" fontId="0" fillId="0" borderId="1" xfId="0" applyNumberFormat="1" applyBorder="1"/>
    <xf numFmtId="171" fontId="0" fillId="0" borderId="1" xfId="0" applyNumberFormat="1" applyBorder="1"/>
    <xf numFmtId="175" fontId="0" fillId="0" borderId="1" xfId="0" applyNumberFormat="1" applyBorder="1"/>
    <xf numFmtId="0" fontId="0" fillId="20" borderId="7" xfId="0" applyFill="1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1" fillId="13" borderId="0" xfId="0" applyFont="1" applyFill="1"/>
    <xf numFmtId="0" fontId="1" fillId="0" borderId="63" xfId="0" applyFont="1" applyBorder="1" applyAlignment="1">
      <alignment horizontal="center"/>
    </xf>
    <xf numFmtId="37" fontId="8" fillId="0" borderId="17" xfId="1" applyNumberFormat="1" applyFont="1" applyBorder="1" applyAlignment="1"/>
    <xf numFmtId="175" fontId="8" fillId="0" borderId="17" xfId="1" applyNumberFormat="1" applyFont="1" applyBorder="1" applyAlignment="1"/>
    <xf numFmtId="0" fontId="8" fillId="0" borderId="17" xfId="0" applyFont="1" applyBorder="1"/>
    <xf numFmtId="1" fontId="8" fillId="0" borderId="17" xfId="0" applyNumberFormat="1" applyFont="1" applyBorder="1"/>
    <xf numFmtId="166" fontId="8" fillId="0" borderId="58" xfId="0" applyNumberFormat="1" applyFont="1" applyBorder="1"/>
    <xf numFmtId="0" fontId="1" fillId="0" borderId="64" xfId="0" applyFont="1" applyBorder="1" applyAlignment="1">
      <alignment horizontal="right"/>
    </xf>
    <xf numFmtId="44" fontId="8" fillId="0" borderId="65" xfId="1" applyFont="1" applyBorder="1"/>
    <xf numFmtId="44" fontId="8" fillId="0" borderId="6" xfId="1" applyFont="1" applyBorder="1"/>
    <xf numFmtId="44" fontId="8" fillId="0" borderId="6" xfId="1" applyFont="1" applyBorder="1" applyAlignment="1"/>
    <xf numFmtId="44" fontId="8" fillId="0" borderId="6" xfId="1" quotePrefix="1" applyFont="1" applyBorder="1"/>
    <xf numFmtId="44" fontId="8" fillId="0" borderId="17" xfId="1" applyFont="1" applyBorder="1"/>
    <xf numFmtId="44" fontId="8" fillId="0" borderId="17" xfId="1" applyFont="1" applyBorder="1" applyAlignment="1"/>
    <xf numFmtId="44" fontId="8" fillId="0" borderId="9" xfId="1" applyFont="1" applyBorder="1"/>
    <xf numFmtId="0" fontId="1" fillId="0" borderId="20" xfId="0" applyFont="1" applyBorder="1" applyAlignment="1">
      <alignment horizontal="center"/>
    </xf>
    <xf numFmtId="172" fontId="13" fillId="0" borderId="1" xfId="0" applyNumberFormat="1" applyFont="1" applyBorder="1"/>
    <xf numFmtId="172" fontId="13" fillId="0" borderId="8" xfId="0" applyNumberFormat="1" applyFont="1" applyBorder="1"/>
    <xf numFmtId="166" fontId="1" fillId="0" borderId="0" xfId="0" applyNumberFormat="1" applyFont="1"/>
    <xf numFmtId="165" fontId="0" fillId="0" borderId="1" xfId="1" applyNumberFormat="1" applyFont="1" applyBorder="1"/>
    <xf numFmtId="0" fontId="0" fillId="0" borderId="23" xfId="0" applyBorder="1"/>
    <xf numFmtId="165" fontId="0" fillId="0" borderId="23" xfId="1" applyNumberFormat="1" applyFont="1" applyBorder="1"/>
    <xf numFmtId="165" fontId="0" fillId="0" borderId="21" xfId="1" applyNumberFormat="1" applyFont="1" applyBorder="1"/>
    <xf numFmtId="165" fontId="0" fillId="0" borderId="20" xfId="1" applyNumberFormat="1" applyFont="1" applyBorder="1"/>
    <xf numFmtId="165" fontId="0" fillId="0" borderId="39" xfId="1" applyNumberFormat="1" applyFont="1" applyBorder="1"/>
    <xf numFmtId="165" fontId="0" fillId="0" borderId="35" xfId="1" applyNumberFormat="1" applyFont="1" applyBorder="1"/>
    <xf numFmtId="165" fontId="0" fillId="0" borderId="5" xfId="1" applyNumberFormat="1" applyFont="1" applyBorder="1"/>
    <xf numFmtId="165" fontId="0" fillId="0" borderId="64" xfId="1" applyNumberFormat="1" applyFont="1" applyBorder="1"/>
    <xf numFmtId="165" fontId="0" fillId="0" borderId="40" xfId="1" applyNumberFormat="1" applyFont="1" applyBorder="1"/>
    <xf numFmtId="0" fontId="1" fillId="0" borderId="1" xfId="0" applyFont="1" applyBorder="1"/>
    <xf numFmtId="0" fontId="1" fillId="0" borderId="0" xfId="0" pivotButton="1" applyFont="1" applyAlignment="1">
      <alignment horizontal="center"/>
    </xf>
    <xf numFmtId="169" fontId="0" fillId="0" borderId="1" xfId="0" applyNumberFormat="1" applyBorder="1" applyAlignment="1">
      <alignment horizontal="right"/>
    </xf>
    <xf numFmtId="166" fontId="0" fillId="0" borderId="1" xfId="0" applyNumberFormat="1" applyBorder="1"/>
    <xf numFmtId="165" fontId="1" fillId="13" borderId="0" xfId="0" applyNumberFormat="1" applyFont="1" applyFill="1"/>
    <xf numFmtId="0" fontId="12" fillId="21" borderId="0" xfId="0" applyFont="1" applyFill="1" applyAlignment="1">
      <alignment horizontal="center"/>
    </xf>
    <xf numFmtId="14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 wrapText="1"/>
    </xf>
    <xf numFmtId="171" fontId="0" fillId="0" borderId="0" xfId="0" applyNumberFormat="1" applyAlignment="1">
      <alignment horizontal="center" wrapText="1"/>
    </xf>
    <xf numFmtId="0" fontId="1" fillId="22" borderId="0" xfId="0" applyFont="1" applyFill="1" applyAlignment="1">
      <alignment horizontal="center"/>
    </xf>
    <xf numFmtId="166" fontId="0" fillId="19" borderId="21" xfId="0" applyNumberFormat="1" applyFill="1" applyBorder="1"/>
    <xf numFmtId="166" fontId="0" fillId="0" borderId="8" xfId="0" applyNumberFormat="1" applyBorder="1"/>
    <xf numFmtId="14" fontId="1" fillId="13" borderId="0" xfId="0" applyNumberFormat="1" applyFont="1" applyFill="1"/>
    <xf numFmtId="1" fontId="1" fillId="13" borderId="0" xfId="0" applyNumberFormat="1" applyFont="1" applyFill="1"/>
    <xf numFmtId="166" fontId="1" fillId="13" borderId="0" xfId="0" applyNumberFormat="1" applyFont="1" applyFill="1"/>
    <xf numFmtId="43" fontId="12" fillId="35" borderId="0" xfId="8" applyFont="1" applyFill="1" applyAlignment="1">
      <alignment horizontal="center"/>
    </xf>
    <xf numFmtId="173" fontId="8" fillId="0" borderId="6" xfId="1" applyNumberFormat="1" applyFont="1" applyBorder="1"/>
    <xf numFmtId="173" fontId="8" fillId="0" borderId="17" xfId="1" applyNumberFormat="1" applyFont="1" applyBorder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4" fontId="8" fillId="0" borderId="5" xfId="1" applyFont="1" applyBorder="1"/>
    <xf numFmtId="44" fontId="0" fillId="25" borderId="0" xfId="0" applyNumberFormat="1" applyFill="1"/>
    <xf numFmtId="1" fontId="1" fillId="0" borderId="0" xfId="0" applyNumberFormat="1" applyFont="1"/>
    <xf numFmtId="0" fontId="12" fillId="11" borderId="2" xfId="0" applyFont="1" applyFill="1" applyBorder="1" applyAlignment="1">
      <alignment horizontal="center"/>
    </xf>
    <xf numFmtId="0" fontId="12" fillId="11" borderId="3" xfId="0" applyFont="1" applyFill="1" applyBorder="1" applyAlignment="1">
      <alignment horizontal="center"/>
    </xf>
    <xf numFmtId="0" fontId="12" fillId="11" borderId="4" xfId="0" applyFont="1" applyFill="1" applyBorder="1" applyAlignment="1">
      <alignment horizontal="center"/>
    </xf>
    <xf numFmtId="9" fontId="0" fillId="0" borderId="8" xfId="4" applyFont="1" applyBorder="1"/>
    <xf numFmtId="1" fontId="1" fillId="0" borderId="8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2" fontId="0" fillId="0" borderId="1" xfId="0" applyNumberFormat="1" applyBorder="1"/>
    <xf numFmtId="2" fontId="0" fillId="0" borderId="8" xfId="0" applyNumberFormat="1" applyBorder="1"/>
    <xf numFmtId="0" fontId="14" fillId="4" borderId="3" xfId="0" applyFont="1" applyFill="1" applyBorder="1" applyAlignment="1">
      <alignment horizontal="center"/>
    </xf>
    <xf numFmtId="3" fontId="0" fillId="4" borderId="1" xfId="0" applyNumberFormat="1" applyFill="1" applyBorder="1"/>
    <xf numFmtId="3" fontId="0" fillId="4" borderId="8" xfId="0" applyNumberFormat="1" applyFill="1" applyBorder="1"/>
    <xf numFmtId="3" fontId="1" fillId="0" borderId="1" xfId="0" applyNumberFormat="1" applyFont="1" applyBorder="1" applyAlignment="1">
      <alignment horizontal="center"/>
    </xf>
    <xf numFmtId="0" fontId="14" fillId="30" borderId="3" xfId="0" applyFont="1" applyFill="1" applyBorder="1" applyAlignment="1">
      <alignment horizontal="center"/>
    </xf>
    <xf numFmtId="168" fontId="0" fillId="30" borderId="1" xfId="0" applyNumberFormat="1" applyFill="1" applyBorder="1"/>
    <xf numFmtId="168" fontId="0" fillId="30" borderId="8" xfId="0" applyNumberFormat="1" applyFill="1" applyBorder="1"/>
    <xf numFmtId="0" fontId="0" fillId="24" borderId="3" xfId="0" applyFill="1" applyBorder="1" applyAlignment="1">
      <alignment horizontal="center"/>
    </xf>
    <xf numFmtId="1" fontId="0" fillId="24" borderId="1" xfId="0" applyNumberFormat="1" applyFill="1" applyBorder="1"/>
    <xf numFmtId="1" fontId="0" fillId="24" borderId="8" xfId="0" applyNumberFormat="1" applyFill="1" applyBorder="1"/>
    <xf numFmtId="1" fontId="0" fillId="18" borderId="1" xfId="0" applyNumberFormat="1" applyFill="1" applyBorder="1"/>
    <xf numFmtId="165" fontId="1" fillId="0" borderId="30" xfId="1" applyNumberFormat="1" applyFont="1" applyFill="1" applyBorder="1"/>
    <xf numFmtId="165" fontId="1" fillId="0" borderId="13" xfId="1" applyNumberFormat="1" applyFont="1" applyFill="1" applyBorder="1"/>
    <xf numFmtId="165" fontId="0" fillId="0" borderId="10" xfId="1" applyNumberFormat="1" applyFont="1" applyFill="1" applyBorder="1"/>
    <xf numFmtId="1" fontId="1" fillId="23" borderId="0" xfId="0" applyNumberFormat="1" applyFont="1" applyFill="1"/>
    <xf numFmtId="1" fontId="1" fillId="30" borderId="0" xfId="0" applyNumberFormat="1" applyFont="1" applyFill="1"/>
    <xf numFmtId="9" fontId="21" fillId="0" borderId="0" xfId="4" applyFont="1" applyAlignment="1">
      <alignment horizontal="center"/>
    </xf>
    <xf numFmtId="44" fontId="0" fillId="20" borderId="1" xfId="1" applyFont="1" applyFill="1" applyBorder="1" applyAlignment="1">
      <alignment horizontal="center"/>
    </xf>
    <xf numFmtId="3" fontId="1" fillId="23" borderId="0" xfId="0" applyNumberFormat="1" applyFont="1" applyFill="1"/>
    <xf numFmtId="0" fontId="0" fillId="0" borderId="37" xfId="0" applyBorder="1" applyAlignment="1">
      <alignment horizontal="center"/>
    </xf>
    <xf numFmtId="0" fontId="1" fillId="0" borderId="2" xfId="0" applyFont="1" applyBorder="1" applyAlignment="1">
      <alignment horizontal="center"/>
    </xf>
    <xf numFmtId="1" fontId="0" fillId="34" borderId="1" xfId="0" applyNumberFormat="1" applyFill="1" applyBorder="1"/>
    <xf numFmtId="0" fontId="0" fillId="0" borderId="28" xfId="0" applyBorder="1"/>
    <xf numFmtId="1" fontId="0" fillId="0" borderId="23" xfId="0" applyNumberFormat="1" applyBorder="1"/>
    <xf numFmtId="0" fontId="0" fillId="0" borderId="21" xfId="0" applyBorder="1" applyAlignment="1">
      <alignment horizontal="center"/>
    </xf>
    <xf numFmtId="1" fontId="0" fillId="34" borderId="23" xfId="0" applyNumberFormat="1" applyFill="1" applyBorder="1"/>
    <xf numFmtId="1" fontId="0" fillId="0" borderId="20" xfId="0" applyNumberFormat="1" applyBorder="1"/>
    <xf numFmtId="9" fontId="0" fillId="36" borderId="1" xfId="0" applyNumberFormat="1" applyFill="1" applyBorder="1"/>
    <xf numFmtId="1" fontId="0" fillId="36" borderId="1" xfId="0" applyNumberFormat="1" applyFill="1" applyBorder="1"/>
    <xf numFmtId="44" fontId="0" fillId="13" borderId="0" xfId="0" applyNumberFormat="1" applyFill="1"/>
    <xf numFmtId="0" fontId="0" fillId="5" borderId="7" xfId="0" applyFill="1" applyBorder="1"/>
    <xf numFmtId="0" fontId="0" fillId="5" borderId="8" xfId="0" applyFill="1" applyBorder="1"/>
    <xf numFmtId="0" fontId="1" fillId="0" borderId="3" xfId="0" applyFont="1" applyBorder="1" applyAlignment="1">
      <alignment horizontal="center"/>
    </xf>
    <xf numFmtId="172" fontId="0" fillId="25" borderId="8" xfId="0" applyNumberFormat="1" applyFill="1" applyBorder="1"/>
    <xf numFmtId="172" fontId="0" fillId="25" borderId="9" xfId="0" applyNumberFormat="1" applyFill="1" applyBorder="1"/>
    <xf numFmtId="1" fontId="0" fillId="25" borderId="0" xfId="0" applyNumberFormat="1" applyFill="1"/>
    <xf numFmtId="0" fontId="4" fillId="18" borderId="0" xfId="6" applyFont="1" applyFill="1"/>
    <xf numFmtId="37" fontId="7" fillId="18" borderId="0" xfId="6" applyNumberFormat="1" applyFont="1" applyFill="1" applyAlignment="1">
      <alignment horizontal="center"/>
    </xf>
    <xf numFmtId="166" fontId="7" fillId="18" borderId="12" xfId="6" applyNumberFormat="1" applyFont="1" applyFill="1" applyBorder="1" applyAlignment="1">
      <alignment horizontal="center"/>
    </xf>
    <xf numFmtId="14" fontId="7" fillId="18" borderId="11" xfId="6" applyNumberFormat="1" applyFont="1" applyFill="1" applyBorder="1" applyAlignment="1">
      <alignment horizontal="center"/>
    </xf>
    <xf numFmtId="173" fontId="0" fillId="25" borderId="0" xfId="0" applyNumberFormat="1" applyFill="1"/>
    <xf numFmtId="0" fontId="1" fillId="0" borderId="8" xfId="0" applyFont="1" applyBorder="1" applyAlignment="1">
      <alignment horizontal="center"/>
    </xf>
    <xf numFmtId="3" fontId="1" fillId="0" borderId="6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" fontId="12" fillId="27" borderId="50" xfId="0" applyNumberFormat="1" applyFont="1" applyFill="1" applyBorder="1" applyAlignment="1">
      <alignment horizontal="center" wrapText="1"/>
    </xf>
    <xf numFmtId="14" fontId="12" fillId="27" borderId="50" xfId="0" applyNumberFormat="1" applyFont="1" applyFill="1" applyBorder="1" applyAlignment="1">
      <alignment horizontal="center" wrapText="1"/>
    </xf>
    <xf numFmtId="0" fontId="12" fillId="27" borderId="50" xfId="0" applyFont="1" applyFill="1" applyBorder="1" applyAlignment="1">
      <alignment horizontal="center" wrapText="1"/>
    </xf>
    <xf numFmtId="165" fontId="12" fillId="27" borderId="50" xfId="0" applyNumberFormat="1" applyFont="1" applyFill="1" applyBorder="1" applyAlignment="1">
      <alignment horizontal="center" wrapText="1"/>
    </xf>
    <xf numFmtId="171" fontId="12" fillId="27" borderId="50" xfId="0" applyNumberFormat="1" applyFont="1" applyFill="1" applyBorder="1" applyAlignment="1">
      <alignment horizontal="center" wrapText="1"/>
    </xf>
    <xf numFmtId="0" fontId="12" fillId="27" borderId="56" xfId="0" applyFont="1" applyFill="1" applyBorder="1" applyAlignment="1">
      <alignment horizontal="center" wrapText="1"/>
    </xf>
    <xf numFmtId="1" fontId="0" fillId="28" borderId="50" xfId="0" applyNumberFormat="1" applyFill="1" applyBorder="1"/>
    <xf numFmtId="14" fontId="0" fillId="28" borderId="50" xfId="0" applyNumberFormat="1" applyFill="1" applyBorder="1"/>
    <xf numFmtId="172" fontId="0" fillId="28" borderId="50" xfId="0" applyNumberFormat="1" applyFill="1" applyBorder="1"/>
    <xf numFmtId="165" fontId="0" fillId="28" borderId="50" xfId="0" applyNumberFormat="1" applyFill="1" applyBorder="1"/>
    <xf numFmtId="2" fontId="0" fillId="28" borderId="50" xfId="0" applyNumberFormat="1" applyFill="1" applyBorder="1"/>
    <xf numFmtId="166" fontId="0" fillId="28" borderId="50" xfId="0" applyNumberFormat="1" applyFill="1" applyBorder="1"/>
    <xf numFmtId="3" fontId="0" fillId="28" borderId="50" xfId="0" applyNumberFormat="1" applyFill="1" applyBorder="1"/>
    <xf numFmtId="171" fontId="0" fillId="28" borderId="50" xfId="0" applyNumberFormat="1" applyFill="1" applyBorder="1"/>
    <xf numFmtId="165" fontId="0" fillId="28" borderId="56" xfId="0" applyNumberFormat="1" applyFill="1" applyBorder="1"/>
    <xf numFmtId="1" fontId="0" fillId="0" borderId="50" xfId="0" applyNumberFormat="1" applyBorder="1"/>
    <xf numFmtId="14" fontId="0" fillId="0" borderId="50" xfId="0" applyNumberFormat="1" applyBorder="1"/>
    <xf numFmtId="172" fontId="0" fillId="0" borderId="50" xfId="0" applyNumberFormat="1" applyBorder="1"/>
    <xf numFmtId="165" fontId="0" fillId="0" borderId="50" xfId="0" applyNumberFormat="1" applyBorder="1"/>
    <xf numFmtId="2" fontId="0" fillId="0" borderId="50" xfId="0" applyNumberFormat="1" applyBorder="1"/>
    <xf numFmtId="166" fontId="0" fillId="0" borderId="50" xfId="0" applyNumberFormat="1" applyBorder="1"/>
    <xf numFmtId="3" fontId="0" fillId="0" borderId="50" xfId="0" applyNumberFormat="1" applyBorder="1"/>
    <xf numFmtId="171" fontId="0" fillId="0" borderId="50" xfId="0" applyNumberFormat="1" applyBorder="1"/>
    <xf numFmtId="165" fontId="0" fillId="0" borderId="56" xfId="0" applyNumberFormat="1" applyBorder="1"/>
    <xf numFmtId="165" fontId="0" fillId="28" borderId="0" xfId="0" applyNumberFormat="1" applyFill="1"/>
    <xf numFmtId="0" fontId="12" fillId="16" borderId="0" xfId="0" applyFont="1" applyFill="1" applyAlignment="1">
      <alignment horizontal="right"/>
    </xf>
    <xf numFmtId="177" fontId="12" fillId="16" borderId="0" xfId="1" applyNumberFormat="1" applyFont="1" applyFill="1" applyBorder="1" applyAlignment="1">
      <alignment horizontal="right"/>
    </xf>
    <xf numFmtId="0" fontId="0" fillId="24" borderId="0" xfId="0" applyFill="1"/>
    <xf numFmtId="165" fontId="0" fillId="30" borderId="0" xfId="0" applyNumberFormat="1" applyFill="1"/>
    <xf numFmtId="0" fontId="0" fillId="30" borderId="0" xfId="0" applyFill="1"/>
    <xf numFmtId="0" fontId="0" fillId="38" borderId="0" xfId="0" applyFill="1"/>
    <xf numFmtId="165" fontId="0" fillId="38" borderId="0" xfId="0" applyNumberFormat="1" applyFill="1"/>
    <xf numFmtId="165" fontId="0" fillId="34" borderId="0" xfId="0" applyNumberFormat="1" applyFill="1"/>
    <xf numFmtId="0" fontId="0" fillId="34" borderId="0" xfId="0" applyFill="1"/>
    <xf numFmtId="0" fontId="0" fillId="17" borderId="0" xfId="0" quotePrefix="1" applyFill="1"/>
    <xf numFmtId="1" fontId="0" fillId="17" borderId="0" xfId="0" applyNumberFormat="1" applyFill="1"/>
    <xf numFmtId="0" fontId="12" fillId="16" borderId="55" xfId="0" applyFont="1" applyFill="1" applyBorder="1" applyAlignment="1">
      <alignment horizontal="right"/>
    </xf>
    <xf numFmtId="3" fontId="1" fillId="0" borderId="66" xfId="0" applyNumberFormat="1" applyFont="1" applyBorder="1"/>
    <xf numFmtId="1" fontId="0" fillId="20" borderId="1" xfId="1" applyNumberFormat="1" applyFont="1" applyFill="1" applyBorder="1"/>
    <xf numFmtId="1" fontId="0" fillId="20" borderId="1" xfId="0" applyNumberFormat="1" applyFill="1" applyBorder="1"/>
    <xf numFmtId="1" fontId="12" fillId="16" borderId="18" xfId="1" applyNumberFormat="1" applyFont="1" applyFill="1" applyBorder="1" applyAlignment="1">
      <alignment horizontal="right"/>
    </xf>
    <xf numFmtId="7" fontId="0" fillId="0" borderId="0" xfId="0" applyNumberFormat="1"/>
    <xf numFmtId="173" fontId="0" fillId="34" borderId="0" xfId="1" applyNumberFormat="1" applyFont="1" applyFill="1"/>
    <xf numFmtId="9" fontId="0" fillId="0" borderId="20" xfId="4" applyFont="1" applyBorder="1"/>
    <xf numFmtId="16" fontId="0" fillId="0" borderId="0" xfId="0" applyNumberFormat="1" applyAlignment="1">
      <alignment horizontal="left" indent="1"/>
    </xf>
    <xf numFmtId="0" fontId="1" fillId="13" borderId="10" xfId="0" applyFont="1" applyFill="1" applyBorder="1" applyAlignment="1">
      <alignment horizontal="center"/>
    </xf>
    <xf numFmtId="173" fontId="7" fillId="34" borderId="0" xfId="6" applyNumberFormat="1" applyFont="1" applyFill="1"/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7" fillId="0" borderId="0" xfId="2" applyFont="1" applyAlignment="1">
      <alignment horizontal="center"/>
    </xf>
    <xf numFmtId="0" fontId="0" fillId="0" borderId="33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0" xfId="0" applyAlignment="1">
      <alignment horizontal="center"/>
    </xf>
    <xf numFmtId="0" fontId="1" fillId="0" borderId="24" xfId="0" applyFont="1" applyBorder="1" applyAlignment="1">
      <alignment horizontal="center"/>
    </xf>
    <xf numFmtId="173" fontId="18" fillId="0" borderId="0" xfId="1" applyNumberFormat="1" applyFont="1" applyAlignment="1">
      <alignment horizontal="right"/>
    </xf>
    <xf numFmtId="0" fontId="17" fillId="3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73" fontId="17" fillId="33" borderId="0" xfId="0" applyNumberFormat="1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2" fillId="14" borderId="33" xfId="0" applyFont="1" applyFill="1" applyBorder="1" applyAlignment="1">
      <alignment horizontal="center"/>
    </xf>
    <xf numFmtId="0" fontId="12" fillId="14" borderId="34" xfId="0" applyFont="1" applyFill="1" applyBorder="1" applyAlignment="1">
      <alignment horizontal="center"/>
    </xf>
    <xf numFmtId="0" fontId="12" fillId="14" borderId="32" xfId="0" applyFont="1" applyFill="1" applyBorder="1" applyAlignment="1">
      <alignment horizontal="center"/>
    </xf>
    <xf numFmtId="0" fontId="12" fillId="9" borderId="0" xfId="0" applyFont="1" applyFill="1" applyAlignment="1">
      <alignment horizontal="center"/>
    </xf>
    <xf numFmtId="0" fontId="1" fillId="25" borderId="24" xfId="0" applyFont="1" applyFill="1" applyBorder="1" applyAlignment="1">
      <alignment horizontal="center"/>
    </xf>
    <xf numFmtId="0" fontId="12" fillId="35" borderId="0" xfId="0" applyFont="1" applyFill="1" applyAlignment="1">
      <alignment horizontal="center"/>
    </xf>
    <xf numFmtId="43" fontId="12" fillId="35" borderId="0" xfId="8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7" fillId="18" borderId="0" xfId="6" applyFont="1" applyFill="1" applyAlignment="1">
      <alignment horizontal="center"/>
    </xf>
    <xf numFmtId="0" fontId="17" fillId="15" borderId="33" xfId="0" applyFont="1" applyFill="1" applyBorder="1" applyAlignment="1">
      <alignment horizontal="center" wrapText="1"/>
    </xf>
    <xf numFmtId="0" fontId="17" fillId="15" borderId="34" xfId="0" applyFont="1" applyFill="1" applyBorder="1" applyAlignment="1">
      <alignment horizontal="center" wrapText="1"/>
    </xf>
    <xf numFmtId="0" fontId="17" fillId="15" borderId="32" xfId="0" applyFont="1" applyFill="1" applyBorder="1" applyAlignment="1">
      <alignment horizontal="center" wrapText="1"/>
    </xf>
    <xf numFmtId="0" fontId="0" fillId="0" borderId="34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31" borderId="0" xfId="0" applyFont="1" applyFill="1" applyAlignment="1">
      <alignment horizontal="center"/>
    </xf>
    <xf numFmtId="0" fontId="1" fillId="22" borderId="0" xfId="0" applyFont="1" applyFill="1" applyAlignment="1">
      <alignment horizontal="center"/>
    </xf>
    <xf numFmtId="0" fontId="12" fillId="21" borderId="29" xfId="0" applyFont="1" applyFill="1" applyBorder="1" applyAlignment="1">
      <alignment horizontal="center"/>
    </xf>
    <xf numFmtId="0" fontId="12" fillId="21" borderId="58" xfId="0" applyFont="1" applyFill="1" applyBorder="1" applyAlignment="1">
      <alignment horizontal="center"/>
    </xf>
    <xf numFmtId="0" fontId="12" fillId="21" borderId="59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2" fillId="9" borderId="33" xfId="0" applyFont="1" applyFill="1" applyBorder="1" applyAlignment="1">
      <alignment horizontal="center"/>
    </xf>
    <xf numFmtId="0" fontId="12" fillId="9" borderId="34" xfId="0" applyFont="1" applyFill="1" applyBorder="1" applyAlignment="1">
      <alignment horizontal="center"/>
    </xf>
    <xf numFmtId="0" fontId="12" fillId="9" borderId="32" xfId="0" applyFont="1" applyFill="1" applyBorder="1" applyAlignment="1">
      <alignment horizontal="center"/>
    </xf>
    <xf numFmtId="0" fontId="17" fillId="15" borderId="0" xfId="0" applyFont="1" applyFill="1" applyAlignment="1">
      <alignment horizontal="center" wrapText="1"/>
    </xf>
    <xf numFmtId="0" fontId="17" fillId="15" borderId="0" xfId="0" applyFont="1" applyFill="1" applyAlignment="1">
      <alignment horizontal="center"/>
    </xf>
    <xf numFmtId="0" fontId="1" fillId="11" borderId="22" xfId="0" applyFont="1" applyFill="1" applyBorder="1" applyAlignment="1">
      <alignment horizontal="center"/>
    </xf>
    <xf numFmtId="1" fontId="16" fillId="13" borderId="42" xfId="0" applyNumberFormat="1" applyFont="1" applyFill="1" applyBorder="1" applyAlignment="1">
      <alignment horizontal="center"/>
    </xf>
    <xf numFmtId="1" fontId="16" fillId="13" borderId="43" xfId="0" applyNumberFormat="1" applyFont="1" applyFill="1" applyBorder="1" applyAlignment="1">
      <alignment horizontal="center"/>
    </xf>
    <xf numFmtId="1" fontId="16" fillId="13" borderId="44" xfId="0" applyNumberFormat="1" applyFont="1" applyFill="1" applyBorder="1" applyAlignment="1">
      <alignment horizontal="center"/>
    </xf>
    <xf numFmtId="1" fontId="12" fillId="21" borderId="42" xfId="0" applyNumberFormat="1" applyFont="1" applyFill="1" applyBorder="1" applyAlignment="1">
      <alignment horizontal="center"/>
    </xf>
    <xf numFmtId="1" fontId="12" fillId="21" borderId="43" xfId="0" applyNumberFormat="1" applyFont="1" applyFill="1" applyBorder="1" applyAlignment="1">
      <alignment horizontal="center"/>
    </xf>
    <xf numFmtId="1" fontId="12" fillId="21" borderId="44" xfId="0" applyNumberFormat="1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2" fillId="21" borderId="1" xfId="0" applyFont="1" applyFill="1" applyBorder="1" applyAlignment="1">
      <alignment horizontal="center"/>
    </xf>
    <xf numFmtId="0" fontId="12" fillId="21" borderId="6" xfId="0" applyFont="1" applyFill="1" applyBorder="1" applyAlignment="1">
      <alignment horizontal="center"/>
    </xf>
    <xf numFmtId="0" fontId="12" fillId="9" borderId="45" xfId="0" applyFont="1" applyFill="1" applyBorder="1" applyAlignment="1">
      <alignment horizontal="center"/>
    </xf>
    <xf numFmtId="0" fontId="12" fillId="9" borderId="46" xfId="0" applyFont="1" applyFill="1" applyBorder="1" applyAlignment="1">
      <alignment horizontal="center"/>
    </xf>
    <xf numFmtId="0" fontId="1" fillId="11" borderId="55" xfId="0" applyFont="1" applyFill="1" applyBorder="1" applyAlignment="1">
      <alignment horizontal="center"/>
    </xf>
    <xf numFmtId="0" fontId="1" fillId="11" borderId="49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7" xfId="0" applyBorder="1" applyAlignment="1">
      <alignment horizontal="center"/>
    </xf>
    <xf numFmtId="0" fontId="17" fillId="37" borderId="0" xfId="0" applyFont="1" applyFill="1" applyAlignment="1">
      <alignment horizontal="center" wrapText="1"/>
    </xf>
    <xf numFmtId="0" fontId="17" fillId="37" borderId="0" xfId="0" applyFont="1" applyFill="1" applyAlignment="1">
      <alignment horizontal="center"/>
    </xf>
  </cellXfs>
  <cellStyles count="9">
    <cellStyle name="Comma" xfId="8" builtinId="3"/>
    <cellStyle name="Currency" xfId="1" builtinId="4"/>
    <cellStyle name="Currency 2" xfId="7" xr:uid="{ABBD6478-026C-48F4-AFBB-CFE1DD41EAAF}"/>
    <cellStyle name="Normal" xfId="0" builtinId="0"/>
    <cellStyle name="Normal 2" xfId="2" xr:uid="{F2744284-7754-4485-A43E-2DD5C831A7C5}"/>
    <cellStyle name="Normal 2 2" xfId="5" xr:uid="{12968FB5-29B2-4B85-8485-571FDD4DAABF}"/>
    <cellStyle name="Normal 3" xfId="6" xr:uid="{07BA9ACA-7C42-4408-A686-AC127ECD809A}"/>
    <cellStyle name="Percent" xfId="4" builtinId="5"/>
    <cellStyle name="Percent 2" xfId="3" xr:uid="{EC917CF2-4EB7-4AEC-831C-631C39950999}"/>
  </cellStyles>
  <dxfs count="279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" formatCode="0"/>
    </dxf>
    <dxf>
      <numFmt numFmtId="19" formatCode="m/d/yyyy"/>
    </dxf>
    <dxf>
      <numFmt numFmtId="166" formatCode="&quot;$&quot;#,##0"/>
    </dxf>
    <dxf>
      <numFmt numFmtId="165" formatCode="&quot;$&quot;#,##0.00"/>
    </dxf>
    <dxf>
      <numFmt numFmtId="165" formatCode="&quot;$&quot;#,##0.00"/>
    </dxf>
    <dxf>
      <font>
        <b/>
      </font>
    </dxf>
    <dxf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8" tint="-0.24994659260841701"/>
      </font>
      <fill>
        <patternFill>
          <bgColor theme="8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00FF00"/>
        </left>
        <right style="thin">
          <color rgb="FF00FF00"/>
        </right>
        <top style="thin">
          <color rgb="FF00FF00"/>
        </top>
        <bottom style="thin">
          <color rgb="FF00FF00"/>
        </bottom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numFmt numFmtId="13" formatCode="0%"/>
    </dxf>
    <dxf>
      <numFmt numFmtId="13" formatCode="0%"/>
      <fill>
        <patternFill patternType="none">
          <bgColor auto="1"/>
        </patternFill>
      </fill>
    </dxf>
    <dxf>
      <numFmt numFmtId="173" formatCode="_(&quot;$&quot;* #,##0_);_(&quot;$&quot;* \(#,##0\);_(&quot;$&quot;* &quot;-&quot;??_);_(@_)"/>
      <fill>
        <patternFill patternType="none">
          <bgColor auto="1"/>
        </patternFill>
      </fill>
    </dxf>
    <dxf>
      <numFmt numFmtId="173" formatCode="_(&quot;$&quot;* #,##0_);_(&quot;$&quot;* \(#,##0\);_(&quot;$&quot;* &quot;-&quot;??_);_(@_)"/>
      <fill>
        <patternFill patternType="none">
          <bgColor auto="1"/>
        </patternFill>
      </fill>
    </dxf>
    <dxf>
      <numFmt numFmtId="173" formatCode="_(&quot;$&quot;* #,##0_);_(&quot;$&quot;* \(#,##0\);_(&quot;$&quot;* &quot;-&quot;??_);_(@_)"/>
      <fill>
        <patternFill patternType="none">
          <bgColor auto="1"/>
        </patternFill>
      </fill>
    </dxf>
    <dxf>
      <numFmt numFmtId="173" formatCode="_(&quot;$&quot;* #,##0_);_(&quot;$&quot;* \(#,##0\);_(&quot;$&quot;* &quot;-&quot;??_);_(@_)"/>
      <fill>
        <patternFill patternType="none">
          <bgColor auto="1"/>
        </patternFill>
      </fill>
    </dxf>
    <dxf>
      <numFmt numFmtId="173" formatCode="_(&quot;$&quot;* #,##0_);_(&quot;$&quot;* \(#,##0\);_(&quot;$&quot;* &quot;-&quot;??_);_(@_)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9" formatCode="m/d/yyyy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72" formatCode="[$-409]h:mm\ AM/PM;@"/>
    </dxf>
    <dxf>
      <numFmt numFmtId="0" formatCode="General"/>
    </dxf>
    <dxf>
      <numFmt numFmtId="0" formatCode="General"/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72" formatCode="[$-409]h:mm\ AM/PM;@"/>
    </dxf>
    <dxf>
      <numFmt numFmtId="0" formatCode="General"/>
    </dxf>
    <dxf>
      <numFmt numFmtId="0" formatCode="General"/>
    </dxf>
    <dxf>
      <numFmt numFmtId="19" formatCode="m/d/yyyy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6" formatCode="&quot;$&quot;#,##0"/>
    </dxf>
    <dxf>
      <numFmt numFmtId="171" formatCode="h:mm;@"/>
    </dxf>
    <dxf>
      <numFmt numFmtId="171" formatCode="h:mm;@"/>
    </dxf>
    <dxf>
      <numFmt numFmtId="165" formatCode="&quot;$&quot;#,##0.00"/>
    </dxf>
    <dxf>
      <numFmt numFmtId="3" formatCode="#,##0"/>
    </dxf>
    <dxf>
      <numFmt numFmtId="165" formatCode="&quot;$&quot;#,##0.00"/>
    </dxf>
    <dxf>
      <numFmt numFmtId="3" formatCode="#,##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0" formatCode="General"/>
    </dxf>
    <dxf>
      <numFmt numFmtId="3" formatCode="#,##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9" formatCode="m/d/yyyy"/>
    </dxf>
    <dxf>
      <numFmt numFmtId="1" formatCode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72" formatCode="[$-409]h:mm\ AM/PM;@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9" formatCode="m/d/yyyy"/>
    </dxf>
    <dxf>
      <numFmt numFmtId="1" formatCode="0"/>
    </dxf>
    <dxf>
      <numFmt numFmtId="19" formatCode="m/d/yyyy"/>
    </dxf>
    <dxf>
      <numFmt numFmtId="1" formatCode="0"/>
    </dxf>
    <dxf>
      <numFmt numFmtId="19" formatCode="m/d/yyyy"/>
    </dxf>
    <dxf>
      <numFmt numFmtId="19" formatCode="m/d/yyyy"/>
    </dxf>
    <dxf>
      <alignment horizontal="center" vertical="bottom" textRotation="0" wrapText="1" indent="0" justifyLastLine="0" shrinkToFit="0" readingOrder="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h:mm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[$-409]h:mm\ AM/PM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C7C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13" formatCode="0%"/>
      <fill>
        <patternFill patternType="solid">
          <fgColor indexed="64"/>
          <bgColor rgb="FFFFC7C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3" formatCode="0%"/>
      <fill>
        <patternFill patternType="solid">
          <fgColor indexed="64"/>
          <bgColor rgb="FFFFC7CE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1" formatCode="0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numFmt numFmtId="25" formatCode="h:mm"/>
    </dxf>
    <dxf>
      <numFmt numFmtId="19" formatCode="m/d/yyyy"/>
    </dxf>
    <dxf>
      <numFmt numFmtId="171" formatCode="h:mm;@"/>
      <fill>
        <patternFill patternType="solid">
          <fgColor indexed="64"/>
          <bgColor theme="5" tint="0.59999389629810485"/>
        </patternFill>
      </fill>
    </dxf>
    <dxf>
      <numFmt numFmtId="2" formatCode="0.00"/>
      <fill>
        <patternFill patternType="solid">
          <fgColor indexed="64"/>
          <bgColor theme="5" tint="0.59999389629810485"/>
        </patternFill>
      </fill>
    </dxf>
    <dxf>
      <numFmt numFmtId="171" formatCode="h:mm;@"/>
      <fill>
        <patternFill patternType="solid">
          <fgColor indexed="64"/>
          <bgColor theme="5" tint="0.59999389629810485"/>
        </patternFill>
      </fill>
    </dxf>
    <dxf>
      <numFmt numFmtId="167" formatCode="0.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</dxf>
    <dxf>
      <font>
        <b/>
      </font>
      <alignment horizontal="center"/>
    </dxf>
    <dxf>
      <font>
        <b/>
      </font>
      <alignment horizontal="center"/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3" formatCode="_(&quot;$&quot;* #,##0_);_(&quot;$&quot;* \(#,##0\);_(&quot;$&quot;* &quot;-&quot;??_);_(@_)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</dxf>
    <dxf>
      <numFmt numFmtId="166" formatCode="&quot;$&quot;#,##0"/>
    </dxf>
    <dxf>
      <numFmt numFmtId="166" formatCode="&quot;$&quot;#,##0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fill>
        <patternFill patternType="solid">
          <fgColor indexed="64"/>
          <bgColor theme="5" tint="0.39997558519241921"/>
        </patternFill>
      </fill>
      <border diagonalUp="0" diagonalDown="0">
        <left/>
        <right style="thin">
          <color indexed="64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</dxf>
    <dxf>
      <border outline="0">
        <top style="thin">
          <color rgb="FF8EA9DB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3" formatCode="_(&quot;$&quot;* #,##0_);_(&quot;$&quot;* \(#,##0\);_(&quot;$&quot;* &quot;-&quot;??_);_(@_)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3" formatCode="_(&quot;$&quot;* #,##0_);_(&quot;$&quot;* \(#,##0\);_(&quot;$&quot;* &quot;-&quot;??_);_(@_)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&quot;$&quot;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"/>
    </dxf>
    <dxf>
      <numFmt numFmtId="166" formatCode="&quot;$&quot;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66" formatCode="&quot;$&quot;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5" tint="-0.249977111117893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73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</font>
      <numFmt numFmtId="166" formatCode="&quot;$&quot;#,##0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</font>
      <numFmt numFmtId="166" formatCode="&quot;$&quot;#,##0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fill>
        <patternFill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(&quot;$&quot;* #,##0_);_(&quot;$&quot;* \(#,##0\);_(&quot;$&quot;* &quot;-&quot;??_);_(@_)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73" formatCode="_(&quot;$&quot;* #,##0_);_(&quot;$&quot;* \(#,##0\);_(&quot;$&quot;* &quot;-&quot;??_);_(@_)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</font>
      <numFmt numFmtId="166" formatCode="&quot;$&quot;#,##0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"/>
      <fill>
        <patternFill patternType="solid">
          <fgColor indexed="64"/>
          <bgColor theme="9" tint="0.3999755851924192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>
          <bgColor rgb="FFFFFF00"/>
        </patternFill>
      </fill>
      <alignment horizontal="center" vertical="bottom" textRotation="0" wrapText="0" indent="0" justifyLastLine="0" shrinkToFit="0" readingOrder="0"/>
    </dxf>
    <dxf>
      <numFmt numFmtId="166" formatCode="&quot;$&quot;#,##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numFmt numFmtId="21" formatCode="d\-mmm"/>
    </dxf>
    <dxf>
      <numFmt numFmtId="166" formatCode="&quot;$&quot;#,##0"/>
    </dxf>
    <dxf>
      <numFmt numFmtId="166" formatCode="&quot;$&quot;#,##0"/>
    </dxf>
    <dxf>
      <numFmt numFmtId="166" formatCode="&quot;$&quot;#,##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numFmt numFmtId="0" formatCode="General"/>
    </dxf>
    <dxf>
      <numFmt numFmtId="25" formatCode="h:mm"/>
    </dxf>
    <dxf>
      <numFmt numFmtId="2" formatCode="0.00"/>
    </dxf>
    <dxf>
      <numFmt numFmtId="2" formatCode="0.00"/>
    </dxf>
    <dxf>
      <numFmt numFmtId="25" formatCode="h:mm"/>
    </dxf>
    <dxf>
      <numFmt numFmtId="164" formatCode="[$$-409]#,##0.00"/>
    </dxf>
    <dxf>
      <numFmt numFmtId="169" formatCode="m/d/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4F4F"/>
      <color rgb="FFFF8B8B"/>
      <color rgb="FF00FF00"/>
      <color rgb="FF62D862"/>
      <color rgb="FF79AFFF"/>
      <color rgb="FFFFC7CE"/>
      <color rgb="FFC6EFCE"/>
      <color rgb="FF9C5700"/>
      <color rgb="FFFFEB9C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8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3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17/10/relationships/person" Target="persons/person.xml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'House Buying Power'!$O$2</c:f>
              <c:strCache>
                <c:ptCount val="1"/>
                <c:pt idx="0">
                  <c:v>Savings-4419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Power'!$O$3:$O$45</c:f>
              <c:numCache>
                <c:formatCode>"$"#,##0</c:formatCode>
                <c:ptCount val="43"/>
                <c:pt idx="0" formatCode="&quot;$&quot;#,##0.00">
                  <c:v>1.22</c:v>
                </c:pt>
                <c:pt idx="1">
                  <c:v>1.22</c:v>
                </c:pt>
                <c:pt idx="2">
                  <c:v>1.22</c:v>
                </c:pt>
                <c:pt idx="3">
                  <c:v>1.22</c:v>
                </c:pt>
                <c:pt idx="4">
                  <c:v>1.22</c:v>
                </c:pt>
                <c:pt idx="5">
                  <c:v>1.22</c:v>
                </c:pt>
                <c:pt idx="6">
                  <c:v>1.22</c:v>
                </c:pt>
                <c:pt idx="7">
                  <c:v>1.22</c:v>
                </c:pt>
                <c:pt idx="8">
                  <c:v>1.22</c:v>
                </c:pt>
                <c:pt idx="9">
                  <c:v>1.22</c:v>
                </c:pt>
                <c:pt idx="10">
                  <c:v>1.22</c:v>
                </c:pt>
                <c:pt idx="11">
                  <c:v>1.22</c:v>
                </c:pt>
                <c:pt idx="12">
                  <c:v>1.22</c:v>
                </c:pt>
                <c:pt idx="13">
                  <c:v>1.22</c:v>
                </c:pt>
                <c:pt idx="14">
                  <c:v>1.22</c:v>
                </c:pt>
                <c:pt idx="15">
                  <c:v>1.22</c:v>
                </c:pt>
                <c:pt idx="16">
                  <c:v>1.22</c:v>
                </c:pt>
                <c:pt idx="17">
                  <c:v>1.22</c:v>
                </c:pt>
                <c:pt idx="18">
                  <c:v>1.22</c:v>
                </c:pt>
                <c:pt idx="19">
                  <c:v>1.22</c:v>
                </c:pt>
                <c:pt idx="20">
                  <c:v>1.22</c:v>
                </c:pt>
                <c:pt idx="21">
                  <c:v>1.22</c:v>
                </c:pt>
                <c:pt idx="22">
                  <c:v>1.22</c:v>
                </c:pt>
                <c:pt idx="23">
                  <c:v>1.22</c:v>
                </c:pt>
                <c:pt idx="24">
                  <c:v>1.22</c:v>
                </c:pt>
                <c:pt idx="25">
                  <c:v>1.22</c:v>
                </c:pt>
                <c:pt idx="26">
                  <c:v>1.22</c:v>
                </c:pt>
                <c:pt idx="27">
                  <c:v>1.22</c:v>
                </c:pt>
                <c:pt idx="28">
                  <c:v>1.22</c:v>
                </c:pt>
                <c:pt idx="29">
                  <c:v>1.22</c:v>
                </c:pt>
                <c:pt idx="30">
                  <c:v>1.22</c:v>
                </c:pt>
                <c:pt idx="31">
                  <c:v>1.22</c:v>
                </c:pt>
                <c:pt idx="32">
                  <c:v>1.22</c:v>
                </c:pt>
                <c:pt idx="33">
                  <c:v>1.22</c:v>
                </c:pt>
                <c:pt idx="34">
                  <c:v>1.22</c:v>
                </c:pt>
                <c:pt idx="35">
                  <c:v>1.22</c:v>
                </c:pt>
                <c:pt idx="36">
                  <c:v>1.22</c:v>
                </c:pt>
                <c:pt idx="37">
                  <c:v>1.22</c:v>
                </c:pt>
                <c:pt idx="38">
                  <c:v>1.22</c:v>
                </c:pt>
                <c:pt idx="39">
                  <c:v>1.22</c:v>
                </c:pt>
                <c:pt idx="40">
                  <c:v>1.22</c:v>
                </c:pt>
                <c:pt idx="41">
                  <c:v>1.22</c:v>
                </c:pt>
                <c:pt idx="42">
                  <c:v>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6-4623-AE82-5F58EC363928}"/>
            </c:ext>
          </c:extLst>
        </c:ser>
        <c:ser>
          <c:idx val="1"/>
          <c:order val="1"/>
          <c:tx>
            <c:strRef>
              <c:f>'House Buying Power'!$P$2</c:f>
              <c:strCache>
                <c:ptCount val="1"/>
                <c:pt idx="0">
                  <c:v>Stash Investments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Power'!$P$3:$P$45</c:f>
              <c:numCache>
                <c:formatCode>"$"#,##0</c:formatCode>
                <c:ptCount val="43"/>
                <c:pt idx="0" formatCode="&quot;$&quot;#,##0.00">
                  <c:v>1016.99</c:v>
                </c:pt>
                <c:pt idx="1">
                  <c:v>1172.99</c:v>
                </c:pt>
                <c:pt idx="2">
                  <c:v>1328.99</c:v>
                </c:pt>
                <c:pt idx="3">
                  <c:v>1484.99</c:v>
                </c:pt>
                <c:pt idx="4">
                  <c:v>1640.99</c:v>
                </c:pt>
                <c:pt idx="5">
                  <c:v>1796.99</c:v>
                </c:pt>
                <c:pt idx="6">
                  <c:v>1952.99</c:v>
                </c:pt>
                <c:pt idx="7">
                  <c:v>2108.9899999999998</c:v>
                </c:pt>
                <c:pt idx="8">
                  <c:v>2328.4366666666665</c:v>
                </c:pt>
                <c:pt idx="9">
                  <c:v>2547.8833333333332</c:v>
                </c:pt>
                <c:pt idx="10">
                  <c:v>2767.33</c:v>
                </c:pt>
                <c:pt idx="11">
                  <c:v>2986.7766666666666</c:v>
                </c:pt>
                <c:pt idx="12">
                  <c:v>3206.2233333333334</c:v>
                </c:pt>
                <c:pt idx="13">
                  <c:v>3425.67</c:v>
                </c:pt>
                <c:pt idx="14">
                  <c:v>3645.1166666666668</c:v>
                </c:pt>
                <c:pt idx="15">
                  <c:v>3864.5633333333335</c:v>
                </c:pt>
                <c:pt idx="16">
                  <c:v>4084.01</c:v>
                </c:pt>
                <c:pt idx="17">
                  <c:v>4303.4566666666669</c:v>
                </c:pt>
                <c:pt idx="18">
                  <c:v>4522.9033333333336</c:v>
                </c:pt>
                <c:pt idx="19">
                  <c:v>4742.3500000000004</c:v>
                </c:pt>
                <c:pt idx="20">
                  <c:v>4961.7966666666671</c:v>
                </c:pt>
                <c:pt idx="21">
                  <c:v>5181.2433333333338</c:v>
                </c:pt>
                <c:pt idx="22">
                  <c:v>5400.6900000000005</c:v>
                </c:pt>
                <c:pt idx="23">
                  <c:v>5620.1366666666672</c:v>
                </c:pt>
                <c:pt idx="24">
                  <c:v>5839.5833333333339</c:v>
                </c:pt>
                <c:pt idx="25">
                  <c:v>6059.0300000000007</c:v>
                </c:pt>
                <c:pt idx="26">
                  <c:v>6278.4766666666674</c:v>
                </c:pt>
                <c:pt idx="27">
                  <c:v>6497.9233333333341</c:v>
                </c:pt>
                <c:pt idx="28">
                  <c:v>6717.3700000000008</c:v>
                </c:pt>
                <c:pt idx="29">
                  <c:v>6936.8166666666675</c:v>
                </c:pt>
                <c:pt idx="30">
                  <c:v>7156.2633333333342</c:v>
                </c:pt>
                <c:pt idx="31">
                  <c:v>7375.7100000000009</c:v>
                </c:pt>
                <c:pt idx="32">
                  <c:v>7595.1566666666677</c:v>
                </c:pt>
                <c:pt idx="33">
                  <c:v>7814.6033333333344</c:v>
                </c:pt>
                <c:pt idx="34">
                  <c:v>8034.0500000000011</c:v>
                </c:pt>
                <c:pt idx="35">
                  <c:v>8253.4966666666678</c:v>
                </c:pt>
                <c:pt idx="36">
                  <c:v>8472.9433333333345</c:v>
                </c:pt>
                <c:pt idx="37">
                  <c:v>8692.3900000000012</c:v>
                </c:pt>
                <c:pt idx="38">
                  <c:v>8911.836666666668</c:v>
                </c:pt>
                <c:pt idx="39">
                  <c:v>9131.2833333333347</c:v>
                </c:pt>
                <c:pt idx="40">
                  <c:v>9350.7300000000014</c:v>
                </c:pt>
                <c:pt idx="41">
                  <c:v>9570.1766666666681</c:v>
                </c:pt>
                <c:pt idx="42">
                  <c:v>9789.6233333333348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6-4623-AE82-5F58EC363928}"/>
            </c:ext>
          </c:extLst>
        </c:ser>
        <c:ser>
          <c:idx val="2"/>
          <c:order val="2"/>
          <c:tx>
            <c:strRef>
              <c:f>'House Buying Power'!$Q$2</c:f>
              <c:strCache>
                <c:ptCount val="1"/>
                <c:pt idx="0">
                  <c:v>Savings-7392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Power'!$Q$3:$Q$45</c:f>
              <c:numCache>
                <c:formatCode>"$"#,##0</c:formatCode>
                <c:ptCount val="43"/>
                <c:pt idx="0" formatCode="&quot;$&quot;#,##0.00">
                  <c:v>1.08</c:v>
                </c:pt>
                <c:pt idx="1">
                  <c:v>157.08000000000001</c:v>
                </c:pt>
                <c:pt idx="2">
                  <c:v>313.08000000000004</c:v>
                </c:pt>
                <c:pt idx="3">
                  <c:v>469.08000000000004</c:v>
                </c:pt>
                <c:pt idx="4">
                  <c:v>625.08000000000004</c:v>
                </c:pt>
                <c:pt idx="5">
                  <c:v>781.08</c:v>
                </c:pt>
                <c:pt idx="6">
                  <c:v>937.08</c:v>
                </c:pt>
                <c:pt idx="7">
                  <c:v>1093.08</c:v>
                </c:pt>
                <c:pt idx="8">
                  <c:v>1312.5266666666666</c:v>
                </c:pt>
                <c:pt idx="9">
                  <c:v>1531.9733333333334</c:v>
                </c:pt>
                <c:pt idx="10">
                  <c:v>1751.42</c:v>
                </c:pt>
                <c:pt idx="11">
                  <c:v>1970.8666666666668</c:v>
                </c:pt>
                <c:pt idx="12">
                  <c:v>2190.3133333333335</c:v>
                </c:pt>
                <c:pt idx="13">
                  <c:v>2409.7600000000002</c:v>
                </c:pt>
                <c:pt idx="14">
                  <c:v>2629.2066666666669</c:v>
                </c:pt>
                <c:pt idx="15">
                  <c:v>2848.6533333333336</c:v>
                </c:pt>
                <c:pt idx="16">
                  <c:v>3068.1000000000004</c:v>
                </c:pt>
                <c:pt idx="17">
                  <c:v>3287.5466666666671</c:v>
                </c:pt>
                <c:pt idx="18">
                  <c:v>3506.9933333333338</c:v>
                </c:pt>
                <c:pt idx="19">
                  <c:v>3726.4400000000005</c:v>
                </c:pt>
                <c:pt idx="20">
                  <c:v>3945.8866666666672</c:v>
                </c:pt>
                <c:pt idx="21">
                  <c:v>4165.3333333333339</c:v>
                </c:pt>
                <c:pt idx="22">
                  <c:v>4384.7800000000007</c:v>
                </c:pt>
                <c:pt idx="23">
                  <c:v>4604.2266666666674</c:v>
                </c:pt>
                <c:pt idx="24">
                  <c:v>4823.6733333333341</c:v>
                </c:pt>
                <c:pt idx="25">
                  <c:v>5043.1200000000008</c:v>
                </c:pt>
                <c:pt idx="26">
                  <c:v>5262.5666666666675</c:v>
                </c:pt>
                <c:pt idx="27">
                  <c:v>5482.0133333333342</c:v>
                </c:pt>
                <c:pt idx="28">
                  <c:v>5701.4600000000009</c:v>
                </c:pt>
                <c:pt idx="29">
                  <c:v>5920.9066666666677</c:v>
                </c:pt>
                <c:pt idx="30">
                  <c:v>6140.3533333333344</c:v>
                </c:pt>
                <c:pt idx="31">
                  <c:v>6359.8000000000011</c:v>
                </c:pt>
                <c:pt idx="32">
                  <c:v>6579.2466666666678</c:v>
                </c:pt>
                <c:pt idx="33">
                  <c:v>6798.6933333333345</c:v>
                </c:pt>
                <c:pt idx="34">
                  <c:v>7018.1400000000012</c:v>
                </c:pt>
                <c:pt idx="35">
                  <c:v>7237.586666666668</c:v>
                </c:pt>
                <c:pt idx="36">
                  <c:v>7457.0333333333347</c:v>
                </c:pt>
                <c:pt idx="37">
                  <c:v>7676.4800000000014</c:v>
                </c:pt>
                <c:pt idx="38">
                  <c:v>7895.9266666666681</c:v>
                </c:pt>
                <c:pt idx="39">
                  <c:v>8115.3733333333348</c:v>
                </c:pt>
                <c:pt idx="40">
                  <c:v>8334.8200000000015</c:v>
                </c:pt>
                <c:pt idx="41">
                  <c:v>8554.2666666666682</c:v>
                </c:pt>
                <c:pt idx="42">
                  <c:v>8773.713333333335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F6-4623-AE82-5F58EC363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45487"/>
        <c:axId val="1820450063"/>
        <c:extLst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'House Buying Power'!$T$2</c15:sqref>
                        </c15:formulaRef>
                      </c:ext>
                    </c:extLst>
                    <c:strCache>
                      <c:ptCount val="1"/>
                      <c:pt idx="0">
                        <c:v>Column1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'House Buying Power'!$N$3:$N$45</c15:sqref>
                        </c15:formulaRef>
                      </c:ext>
                    </c:extLst>
                    <c:strCache>
                      <c:ptCount val="43"/>
                      <c:pt idx="0">
                        <c:v>Starting</c:v>
                      </c:pt>
                      <c:pt idx="1">
                        <c:v>3/19/22</c:v>
                      </c:pt>
                      <c:pt idx="2">
                        <c:v>4/2/22</c:v>
                      </c:pt>
                      <c:pt idx="3">
                        <c:v>4/16/22</c:v>
                      </c:pt>
                      <c:pt idx="4">
                        <c:v>4/30/22</c:v>
                      </c:pt>
                      <c:pt idx="5">
                        <c:v>5/14/22</c:v>
                      </c:pt>
                      <c:pt idx="6">
                        <c:v>5/28/22</c:v>
                      </c:pt>
                      <c:pt idx="7">
                        <c:v>6/11/22</c:v>
                      </c:pt>
                      <c:pt idx="8">
                        <c:v>6/25/22</c:v>
                      </c:pt>
                      <c:pt idx="9">
                        <c:v>7/9/22</c:v>
                      </c:pt>
                      <c:pt idx="10">
                        <c:v>7/23/22</c:v>
                      </c:pt>
                      <c:pt idx="11">
                        <c:v>8/6/22</c:v>
                      </c:pt>
                      <c:pt idx="12">
                        <c:v>8/20/22</c:v>
                      </c:pt>
                      <c:pt idx="13">
                        <c:v>9/3/22</c:v>
                      </c:pt>
                      <c:pt idx="14">
                        <c:v>9/17/22</c:v>
                      </c:pt>
                      <c:pt idx="15">
                        <c:v>10/1/22</c:v>
                      </c:pt>
                      <c:pt idx="16">
                        <c:v>10/15/22</c:v>
                      </c:pt>
                      <c:pt idx="17">
                        <c:v>10/29/22</c:v>
                      </c:pt>
                      <c:pt idx="18">
                        <c:v>11/12/22</c:v>
                      </c:pt>
                      <c:pt idx="19">
                        <c:v>11/26/22</c:v>
                      </c:pt>
                      <c:pt idx="20">
                        <c:v>12/10/22</c:v>
                      </c:pt>
                      <c:pt idx="21">
                        <c:v>12/24/22</c:v>
                      </c:pt>
                      <c:pt idx="22">
                        <c:v>1/7/23</c:v>
                      </c:pt>
                      <c:pt idx="23">
                        <c:v>1/21/23</c:v>
                      </c:pt>
                      <c:pt idx="24">
                        <c:v>2/4/23</c:v>
                      </c:pt>
                      <c:pt idx="25">
                        <c:v>2/18/23</c:v>
                      </c:pt>
                      <c:pt idx="26">
                        <c:v>3/4/23</c:v>
                      </c:pt>
                      <c:pt idx="27">
                        <c:v>3/18/23</c:v>
                      </c:pt>
                      <c:pt idx="28">
                        <c:v>4/1/23</c:v>
                      </c:pt>
                      <c:pt idx="29">
                        <c:v>4/15/23</c:v>
                      </c:pt>
                      <c:pt idx="30">
                        <c:v>4/29/23</c:v>
                      </c:pt>
                      <c:pt idx="31">
                        <c:v>5/13/23</c:v>
                      </c:pt>
                      <c:pt idx="32">
                        <c:v>5/27/23</c:v>
                      </c:pt>
                      <c:pt idx="33">
                        <c:v>6/10/23</c:v>
                      </c:pt>
                      <c:pt idx="34">
                        <c:v>6/24/23</c:v>
                      </c:pt>
                      <c:pt idx="35">
                        <c:v>7/8/23</c:v>
                      </c:pt>
                      <c:pt idx="36">
                        <c:v>7/22/23</c:v>
                      </c:pt>
                      <c:pt idx="37">
                        <c:v>8/5/23</c:v>
                      </c:pt>
                      <c:pt idx="38">
                        <c:v>8/19/23</c:v>
                      </c:pt>
                      <c:pt idx="39">
                        <c:v>9/2/23</c:v>
                      </c:pt>
                      <c:pt idx="40">
                        <c:v>9/16/23</c:v>
                      </c:pt>
                      <c:pt idx="41">
                        <c:v>9/30/23</c:v>
                      </c:pt>
                      <c:pt idx="42">
                        <c:v>10/14/23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'House Buying Power'!$T$3:$T$45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A2F6-4623-AE82-5F58EC363928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'House Buying Power'!$R$2</c:f>
              <c:strCache>
                <c:ptCount val="1"/>
                <c:pt idx="0">
                  <c:v>OM Balance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Power'!$R$3:$R$45</c:f>
              <c:numCache>
                <c:formatCode>"$"#,##0</c:formatCode>
                <c:ptCount val="43"/>
                <c:pt idx="0" formatCode="&quot;$&quot;#,##0.00">
                  <c:v>18680.38</c:v>
                </c:pt>
                <c:pt idx="1">
                  <c:v>18427.38</c:v>
                </c:pt>
                <c:pt idx="2">
                  <c:v>18174.38</c:v>
                </c:pt>
                <c:pt idx="3">
                  <c:v>17921.38</c:v>
                </c:pt>
                <c:pt idx="4">
                  <c:v>17668.38</c:v>
                </c:pt>
                <c:pt idx="5">
                  <c:v>17415.38</c:v>
                </c:pt>
                <c:pt idx="6">
                  <c:v>17162.38</c:v>
                </c:pt>
                <c:pt idx="7">
                  <c:v>16909.38</c:v>
                </c:pt>
                <c:pt idx="8">
                  <c:v>16466.04</c:v>
                </c:pt>
                <c:pt idx="9">
                  <c:v>16022.7</c:v>
                </c:pt>
                <c:pt idx="10">
                  <c:v>15579.36</c:v>
                </c:pt>
                <c:pt idx="11">
                  <c:v>15136.02</c:v>
                </c:pt>
                <c:pt idx="12">
                  <c:v>14692.68</c:v>
                </c:pt>
                <c:pt idx="13">
                  <c:v>14249.34</c:v>
                </c:pt>
                <c:pt idx="14">
                  <c:v>13806</c:v>
                </c:pt>
                <c:pt idx="15">
                  <c:v>13362.66</c:v>
                </c:pt>
                <c:pt idx="16">
                  <c:v>12919.32</c:v>
                </c:pt>
                <c:pt idx="17">
                  <c:v>12475.98</c:v>
                </c:pt>
                <c:pt idx="18">
                  <c:v>12032.64</c:v>
                </c:pt>
                <c:pt idx="19">
                  <c:v>11589.3</c:v>
                </c:pt>
                <c:pt idx="20">
                  <c:v>11145.96</c:v>
                </c:pt>
                <c:pt idx="21">
                  <c:v>10702.619999999999</c:v>
                </c:pt>
                <c:pt idx="22">
                  <c:v>10259.279999999999</c:v>
                </c:pt>
                <c:pt idx="23">
                  <c:v>9815.9399999999987</c:v>
                </c:pt>
                <c:pt idx="24">
                  <c:v>9372.5999999999985</c:v>
                </c:pt>
                <c:pt idx="25">
                  <c:v>8929.2599999999984</c:v>
                </c:pt>
                <c:pt idx="26">
                  <c:v>8485.9199999999983</c:v>
                </c:pt>
                <c:pt idx="27">
                  <c:v>8042.5799999999981</c:v>
                </c:pt>
                <c:pt idx="28">
                  <c:v>7599.239999999998</c:v>
                </c:pt>
                <c:pt idx="29">
                  <c:v>7155.8999999999978</c:v>
                </c:pt>
                <c:pt idx="30">
                  <c:v>6712.5599999999977</c:v>
                </c:pt>
                <c:pt idx="31">
                  <c:v>6269.2199999999975</c:v>
                </c:pt>
                <c:pt idx="32">
                  <c:v>5825.8799999999974</c:v>
                </c:pt>
                <c:pt idx="33">
                  <c:v>5382.5399999999972</c:v>
                </c:pt>
                <c:pt idx="34">
                  <c:v>4939.1999999999971</c:v>
                </c:pt>
                <c:pt idx="35">
                  <c:v>4495.8599999999969</c:v>
                </c:pt>
                <c:pt idx="36">
                  <c:v>4052.5199999999968</c:v>
                </c:pt>
                <c:pt idx="37">
                  <c:v>3609.1799999999967</c:v>
                </c:pt>
                <c:pt idx="38">
                  <c:v>3165.8399999999965</c:v>
                </c:pt>
                <c:pt idx="39">
                  <c:v>2722.4999999999964</c:v>
                </c:pt>
                <c:pt idx="40">
                  <c:v>2279.1599999999962</c:v>
                </c:pt>
                <c:pt idx="41">
                  <c:v>1835.8199999999961</c:v>
                </c:pt>
                <c:pt idx="42">
                  <c:v>1392.4799999999959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F6-4623-AE82-5F58EC363928}"/>
            </c:ext>
          </c:extLst>
        </c:ser>
        <c:ser>
          <c:idx val="6"/>
          <c:order val="6"/>
          <c:tx>
            <c:strRef>
              <c:f>'House Buying Power'!$U$2</c:f>
              <c:strCache>
                <c:ptCount val="1"/>
                <c:pt idx="0">
                  <c:v>Total Savings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Power'!$U$3:$U$45</c:f>
              <c:numCache>
                <c:formatCode>"$"#,##0</c:formatCode>
                <c:ptCount val="43"/>
                <c:pt idx="0">
                  <c:v>1019.2900000000001</c:v>
                </c:pt>
                <c:pt idx="1">
                  <c:v>1331.29</c:v>
                </c:pt>
                <c:pt idx="2">
                  <c:v>1643.29</c:v>
                </c:pt>
                <c:pt idx="3">
                  <c:v>1955.29</c:v>
                </c:pt>
                <c:pt idx="4">
                  <c:v>2267.29</c:v>
                </c:pt>
                <c:pt idx="5">
                  <c:v>2579.29</c:v>
                </c:pt>
                <c:pt idx="6">
                  <c:v>2891.29</c:v>
                </c:pt>
                <c:pt idx="7">
                  <c:v>3203.2899999999995</c:v>
                </c:pt>
                <c:pt idx="8">
                  <c:v>3642.1833333333329</c:v>
                </c:pt>
                <c:pt idx="9">
                  <c:v>4081.0766666666664</c:v>
                </c:pt>
                <c:pt idx="10">
                  <c:v>4519.9699999999993</c:v>
                </c:pt>
                <c:pt idx="11">
                  <c:v>4958.8633333333328</c:v>
                </c:pt>
                <c:pt idx="12">
                  <c:v>5397.7566666666662</c:v>
                </c:pt>
                <c:pt idx="13">
                  <c:v>5836.65</c:v>
                </c:pt>
                <c:pt idx="14">
                  <c:v>6275.5433333333331</c:v>
                </c:pt>
                <c:pt idx="15">
                  <c:v>6714.4366666666665</c:v>
                </c:pt>
                <c:pt idx="16">
                  <c:v>7153.33</c:v>
                </c:pt>
                <c:pt idx="17">
                  <c:v>7592.2233333333343</c:v>
                </c:pt>
                <c:pt idx="18">
                  <c:v>8031.1166666666677</c:v>
                </c:pt>
                <c:pt idx="19">
                  <c:v>8470.010000000002</c:v>
                </c:pt>
                <c:pt idx="20">
                  <c:v>8908.9033333333355</c:v>
                </c:pt>
                <c:pt idx="21">
                  <c:v>9347.7966666666689</c:v>
                </c:pt>
                <c:pt idx="22">
                  <c:v>9786.6900000000023</c:v>
                </c:pt>
                <c:pt idx="23">
                  <c:v>10225.583333333336</c:v>
                </c:pt>
                <c:pt idx="24">
                  <c:v>10664.476666666669</c:v>
                </c:pt>
                <c:pt idx="25">
                  <c:v>11103.370000000003</c:v>
                </c:pt>
                <c:pt idx="26">
                  <c:v>11542.263333333336</c:v>
                </c:pt>
                <c:pt idx="27">
                  <c:v>11981.156666666669</c:v>
                </c:pt>
                <c:pt idx="28">
                  <c:v>12420.050000000003</c:v>
                </c:pt>
                <c:pt idx="29">
                  <c:v>12858.943333333336</c:v>
                </c:pt>
                <c:pt idx="30">
                  <c:v>13297.83666666667</c:v>
                </c:pt>
                <c:pt idx="31">
                  <c:v>13736.730000000003</c:v>
                </c:pt>
                <c:pt idx="32">
                  <c:v>14175.623333333337</c:v>
                </c:pt>
                <c:pt idx="33">
                  <c:v>14614.51666666667</c:v>
                </c:pt>
                <c:pt idx="34">
                  <c:v>15053.410000000003</c:v>
                </c:pt>
                <c:pt idx="35">
                  <c:v>15492.303333333335</c:v>
                </c:pt>
                <c:pt idx="36">
                  <c:v>15931.196666666669</c:v>
                </c:pt>
                <c:pt idx="37">
                  <c:v>16370.090000000002</c:v>
                </c:pt>
                <c:pt idx="38">
                  <c:v>16808.983333333337</c:v>
                </c:pt>
                <c:pt idx="39">
                  <c:v>17247.876666666671</c:v>
                </c:pt>
                <c:pt idx="40">
                  <c:v>17686.770000000004</c:v>
                </c:pt>
                <c:pt idx="41">
                  <c:v>18125.663333333338</c:v>
                </c:pt>
                <c:pt idx="42">
                  <c:v>18564.556666666671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B7-4A3D-9CE0-85F7F2B45CDC}"/>
            </c:ext>
          </c:extLst>
        </c:ser>
        <c:ser>
          <c:idx val="7"/>
          <c:order val="7"/>
          <c:tx>
            <c:strRef>
              <c:f>'House Buying Power'!$V$2</c:f>
              <c:strCache>
                <c:ptCount val="1"/>
                <c:pt idx="0">
                  <c:v>10K Balance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Power'!$V$3:$V$45</c:f>
              <c:numCache>
                <c:formatCode>"$"#,##0</c:formatCode>
                <c:ptCount val="43"/>
                <c:pt idx="0">
                  <c:v>-27661.09</c:v>
                </c:pt>
                <c:pt idx="1">
                  <c:v>-27096.09</c:v>
                </c:pt>
                <c:pt idx="2">
                  <c:v>-26531.09</c:v>
                </c:pt>
                <c:pt idx="3">
                  <c:v>-25966.09</c:v>
                </c:pt>
                <c:pt idx="4">
                  <c:v>-25401.09</c:v>
                </c:pt>
                <c:pt idx="5">
                  <c:v>-24836.09</c:v>
                </c:pt>
                <c:pt idx="6">
                  <c:v>-24271.09</c:v>
                </c:pt>
                <c:pt idx="7">
                  <c:v>-23706.09</c:v>
                </c:pt>
                <c:pt idx="8">
                  <c:v>-22823.856666666667</c:v>
                </c:pt>
                <c:pt idx="9">
                  <c:v>-21941.623333333333</c:v>
                </c:pt>
                <c:pt idx="10">
                  <c:v>-21059.39</c:v>
                </c:pt>
                <c:pt idx="11">
                  <c:v>-20177.156666666669</c:v>
                </c:pt>
                <c:pt idx="12">
                  <c:v>-19294.923333333332</c:v>
                </c:pt>
                <c:pt idx="13">
                  <c:v>-18412.690000000002</c:v>
                </c:pt>
                <c:pt idx="14">
                  <c:v>-17530.456666666665</c:v>
                </c:pt>
                <c:pt idx="15">
                  <c:v>-16648.223333333335</c:v>
                </c:pt>
                <c:pt idx="16">
                  <c:v>-15765.99</c:v>
                </c:pt>
                <c:pt idx="17">
                  <c:v>-14883.756666666664</c:v>
                </c:pt>
                <c:pt idx="18">
                  <c:v>-14001.523333333331</c:v>
                </c:pt>
                <c:pt idx="19">
                  <c:v>-13119.289999999997</c:v>
                </c:pt>
                <c:pt idx="20">
                  <c:v>-12237.056666666664</c:v>
                </c:pt>
                <c:pt idx="21">
                  <c:v>-11354.82333333333</c:v>
                </c:pt>
                <c:pt idx="22">
                  <c:v>-10472.589999999997</c:v>
                </c:pt>
                <c:pt idx="23">
                  <c:v>-9590.3566666666629</c:v>
                </c:pt>
                <c:pt idx="24">
                  <c:v>-8708.1233333333294</c:v>
                </c:pt>
                <c:pt idx="25">
                  <c:v>-7825.8899999999958</c:v>
                </c:pt>
                <c:pt idx="26">
                  <c:v>-6943.6566666666622</c:v>
                </c:pt>
                <c:pt idx="27">
                  <c:v>-6061.4233333333286</c:v>
                </c:pt>
                <c:pt idx="28">
                  <c:v>-5179.1899999999951</c:v>
                </c:pt>
                <c:pt idx="29">
                  <c:v>-4296.9566666666615</c:v>
                </c:pt>
                <c:pt idx="30">
                  <c:v>-3414.7233333333279</c:v>
                </c:pt>
                <c:pt idx="31">
                  <c:v>-2532.4899999999943</c:v>
                </c:pt>
                <c:pt idx="32">
                  <c:v>-1650.2566666666607</c:v>
                </c:pt>
                <c:pt idx="33">
                  <c:v>-768.02333333332717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B7-4A3D-9CE0-85F7F2B45CDC}"/>
            </c:ext>
          </c:extLst>
        </c:ser>
        <c:ser>
          <c:idx val="8"/>
          <c:order val="8"/>
          <c:tx>
            <c:strRef>
              <c:f>'House Buying Power'!$W$2</c:f>
              <c:strCache>
                <c:ptCount val="1"/>
                <c:pt idx="0">
                  <c:v>15K Balance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'House Buying Power'!$N$3:$N$45</c:f>
              <c:strCache>
                <c:ptCount val="43"/>
                <c:pt idx="0">
                  <c:v>Starting</c:v>
                </c:pt>
                <c:pt idx="1">
                  <c:v>3/19/22</c:v>
                </c:pt>
                <c:pt idx="2">
                  <c:v>4/2/22</c:v>
                </c:pt>
                <c:pt idx="3">
                  <c:v>4/16/22</c:v>
                </c:pt>
                <c:pt idx="4">
                  <c:v>4/30/22</c:v>
                </c:pt>
                <c:pt idx="5">
                  <c:v>5/14/22</c:v>
                </c:pt>
                <c:pt idx="6">
                  <c:v>5/28/22</c:v>
                </c:pt>
                <c:pt idx="7">
                  <c:v>6/11/22</c:v>
                </c:pt>
                <c:pt idx="8">
                  <c:v>6/25/22</c:v>
                </c:pt>
                <c:pt idx="9">
                  <c:v>7/9/22</c:v>
                </c:pt>
                <c:pt idx="10">
                  <c:v>7/23/22</c:v>
                </c:pt>
                <c:pt idx="11">
                  <c:v>8/6/22</c:v>
                </c:pt>
                <c:pt idx="12">
                  <c:v>8/20/22</c:v>
                </c:pt>
                <c:pt idx="13">
                  <c:v>9/3/22</c:v>
                </c:pt>
                <c:pt idx="14">
                  <c:v>9/17/22</c:v>
                </c:pt>
                <c:pt idx="15">
                  <c:v>10/1/22</c:v>
                </c:pt>
                <c:pt idx="16">
                  <c:v>10/15/22</c:v>
                </c:pt>
                <c:pt idx="17">
                  <c:v>10/29/22</c:v>
                </c:pt>
                <c:pt idx="18">
                  <c:v>11/12/22</c:v>
                </c:pt>
                <c:pt idx="19">
                  <c:v>11/26/22</c:v>
                </c:pt>
                <c:pt idx="20">
                  <c:v>12/10/22</c:v>
                </c:pt>
                <c:pt idx="21">
                  <c:v>12/24/22</c:v>
                </c:pt>
                <c:pt idx="22">
                  <c:v>1/7/23</c:v>
                </c:pt>
                <c:pt idx="23">
                  <c:v>1/21/23</c:v>
                </c:pt>
                <c:pt idx="24">
                  <c:v>2/4/23</c:v>
                </c:pt>
                <c:pt idx="25">
                  <c:v>2/18/23</c:v>
                </c:pt>
                <c:pt idx="26">
                  <c:v>3/4/23</c:v>
                </c:pt>
                <c:pt idx="27">
                  <c:v>3/18/23</c:v>
                </c:pt>
                <c:pt idx="28">
                  <c:v>4/1/23</c:v>
                </c:pt>
                <c:pt idx="29">
                  <c:v>4/15/23</c:v>
                </c:pt>
                <c:pt idx="30">
                  <c:v>4/29/23</c:v>
                </c:pt>
                <c:pt idx="31">
                  <c:v>5/13/23</c:v>
                </c:pt>
                <c:pt idx="32">
                  <c:v>5/27/23</c:v>
                </c:pt>
                <c:pt idx="33">
                  <c:v>6/10/23</c:v>
                </c:pt>
                <c:pt idx="34">
                  <c:v>6/24/23</c:v>
                </c:pt>
                <c:pt idx="35">
                  <c:v>7/8/23</c:v>
                </c:pt>
                <c:pt idx="36">
                  <c:v>7/22/23</c:v>
                </c:pt>
                <c:pt idx="37">
                  <c:v>8/5/23</c:v>
                </c:pt>
                <c:pt idx="38">
                  <c:v>8/19/23</c:v>
                </c:pt>
                <c:pt idx="39">
                  <c:v>9/2/23</c:v>
                </c:pt>
                <c:pt idx="40">
                  <c:v>9/16/23</c:v>
                </c:pt>
                <c:pt idx="41">
                  <c:v>9/30/23</c:v>
                </c:pt>
                <c:pt idx="42">
                  <c:v>10/14/23</c:v>
                </c:pt>
              </c:strCache>
            </c:strRef>
          </c:cat>
          <c:val>
            <c:numRef>
              <c:f>'House Buying Power'!$W$3:$W$45</c:f>
              <c:numCache>
                <c:formatCode>"$"#,##0</c:formatCode>
                <c:ptCount val="43"/>
                <c:pt idx="0">
                  <c:v>-32661.090000000004</c:v>
                </c:pt>
                <c:pt idx="1">
                  <c:v>-32096.090000000004</c:v>
                </c:pt>
                <c:pt idx="2">
                  <c:v>-31531.090000000004</c:v>
                </c:pt>
                <c:pt idx="3">
                  <c:v>-30966.090000000004</c:v>
                </c:pt>
                <c:pt idx="4">
                  <c:v>-30401.09</c:v>
                </c:pt>
                <c:pt idx="5">
                  <c:v>-29836.09</c:v>
                </c:pt>
                <c:pt idx="6">
                  <c:v>-29271.09</c:v>
                </c:pt>
                <c:pt idx="7">
                  <c:v>-28706.09</c:v>
                </c:pt>
                <c:pt idx="8">
                  <c:v>-27823.856666666667</c:v>
                </c:pt>
                <c:pt idx="9">
                  <c:v>-26941.623333333333</c:v>
                </c:pt>
                <c:pt idx="10">
                  <c:v>-26059.39</c:v>
                </c:pt>
                <c:pt idx="11">
                  <c:v>-25177.156666666669</c:v>
                </c:pt>
                <c:pt idx="12">
                  <c:v>-24294.923333333332</c:v>
                </c:pt>
                <c:pt idx="13">
                  <c:v>-23412.690000000002</c:v>
                </c:pt>
                <c:pt idx="14">
                  <c:v>-22530.456666666665</c:v>
                </c:pt>
                <c:pt idx="15">
                  <c:v>-21648.223333333335</c:v>
                </c:pt>
                <c:pt idx="16">
                  <c:v>-20765.989999999998</c:v>
                </c:pt>
                <c:pt idx="17">
                  <c:v>-19883.756666666664</c:v>
                </c:pt>
                <c:pt idx="18">
                  <c:v>-19001.523333333331</c:v>
                </c:pt>
                <c:pt idx="19">
                  <c:v>-18119.289999999997</c:v>
                </c:pt>
                <c:pt idx="20">
                  <c:v>-17237.056666666664</c:v>
                </c:pt>
                <c:pt idx="21">
                  <c:v>-16354.82333333333</c:v>
                </c:pt>
                <c:pt idx="22">
                  <c:v>-15472.589999999997</c:v>
                </c:pt>
                <c:pt idx="23">
                  <c:v>-14590.356666666663</c:v>
                </c:pt>
                <c:pt idx="24">
                  <c:v>-13708.123333333329</c:v>
                </c:pt>
                <c:pt idx="25">
                  <c:v>-12825.889999999996</c:v>
                </c:pt>
                <c:pt idx="26">
                  <c:v>-11943.656666666662</c:v>
                </c:pt>
                <c:pt idx="27">
                  <c:v>-11061.423333333329</c:v>
                </c:pt>
                <c:pt idx="28">
                  <c:v>-10179.189999999995</c:v>
                </c:pt>
                <c:pt idx="29">
                  <c:v>-9296.9566666666615</c:v>
                </c:pt>
                <c:pt idx="30">
                  <c:v>-8414.7233333333279</c:v>
                </c:pt>
                <c:pt idx="31">
                  <c:v>-7532.4899999999943</c:v>
                </c:pt>
                <c:pt idx="32">
                  <c:v>-6650.2566666666607</c:v>
                </c:pt>
                <c:pt idx="33">
                  <c:v>-5768.0233333333272</c:v>
                </c:pt>
                <c:pt idx="34">
                  <c:v>-4885.7899999999936</c:v>
                </c:pt>
                <c:pt idx="35">
                  <c:v>-4003.5566666666618</c:v>
                </c:pt>
                <c:pt idx="36">
                  <c:v>-3121.3233333333283</c:v>
                </c:pt>
                <c:pt idx="37">
                  <c:v>-2239.0899999999947</c:v>
                </c:pt>
                <c:pt idx="38">
                  <c:v>-1356.8566666666593</c:v>
                </c:pt>
                <c:pt idx="39">
                  <c:v>-474.62333333332572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7-4A3D-9CE0-85F7F2B4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445487"/>
        <c:axId val="1820450063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'House Buying Power'!$S$2</c15:sqref>
                        </c15:formulaRef>
                      </c:ext>
                    </c:extLst>
                    <c:strCache>
                      <c:ptCount val="1"/>
                      <c:pt idx="0">
                        <c:v>SF Balance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'House Buying Power'!$N$3:$N$45</c15:sqref>
                        </c15:formulaRef>
                      </c:ext>
                    </c:extLst>
                    <c:strCache>
                      <c:ptCount val="43"/>
                      <c:pt idx="0">
                        <c:v>Starting</c:v>
                      </c:pt>
                      <c:pt idx="1">
                        <c:v>3/19/22</c:v>
                      </c:pt>
                      <c:pt idx="2">
                        <c:v>4/2/22</c:v>
                      </c:pt>
                      <c:pt idx="3">
                        <c:v>4/16/22</c:v>
                      </c:pt>
                      <c:pt idx="4">
                        <c:v>4/30/22</c:v>
                      </c:pt>
                      <c:pt idx="5">
                        <c:v>5/14/22</c:v>
                      </c:pt>
                      <c:pt idx="6">
                        <c:v>5/28/22</c:v>
                      </c:pt>
                      <c:pt idx="7">
                        <c:v>6/11/22</c:v>
                      </c:pt>
                      <c:pt idx="8">
                        <c:v>6/25/22</c:v>
                      </c:pt>
                      <c:pt idx="9">
                        <c:v>7/9/22</c:v>
                      </c:pt>
                      <c:pt idx="10">
                        <c:v>7/23/22</c:v>
                      </c:pt>
                      <c:pt idx="11">
                        <c:v>8/6/22</c:v>
                      </c:pt>
                      <c:pt idx="12">
                        <c:v>8/20/22</c:v>
                      </c:pt>
                      <c:pt idx="13">
                        <c:v>9/3/22</c:v>
                      </c:pt>
                      <c:pt idx="14">
                        <c:v>9/17/22</c:v>
                      </c:pt>
                      <c:pt idx="15">
                        <c:v>10/1/22</c:v>
                      </c:pt>
                      <c:pt idx="16">
                        <c:v>10/15/22</c:v>
                      </c:pt>
                      <c:pt idx="17">
                        <c:v>10/29/22</c:v>
                      </c:pt>
                      <c:pt idx="18">
                        <c:v>11/12/22</c:v>
                      </c:pt>
                      <c:pt idx="19">
                        <c:v>11/26/22</c:v>
                      </c:pt>
                      <c:pt idx="20">
                        <c:v>12/10/22</c:v>
                      </c:pt>
                      <c:pt idx="21">
                        <c:v>12/24/22</c:v>
                      </c:pt>
                      <c:pt idx="22">
                        <c:v>1/7/23</c:v>
                      </c:pt>
                      <c:pt idx="23">
                        <c:v>1/21/23</c:v>
                      </c:pt>
                      <c:pt idx="24">
                        <c:v>2/4/23</c:v>
                      </c:pt>
                      <c:pt idx="25">
                        <c:v>2/18/23</c:v>
                      </c:pt>
                      <c:pt idx="26">
                        <c:v>3/4/23</c:v>
                      </c:pt>
                      <c:pt idx="27">
                        <c:v>3/18/23</c:v>
                      </c:pt>
                      <c:pt idx="28">
                        <c:v>4/1/23</c:v>
                      </c:pt>
                      <c:pt idx="29">
                        <c:v>4/15/23</c:v>
                      </c:pt>
                      <c:pt idx="30">
                        <c:v>4/29/23</c:v>
                      </c:pt>
                      <c:pt idx="31">
                        <c:v>5/13/23</c:v>
                      </c:pt>
                      <c:pt idx="32">
                        <c:v>5/27/23</c:v>
                      </c:pt>
                      <c:pt idx="33">
                        <c:v>6/10/23</c:v>
                      </c:pt>
                      <c:pt idx="34">
                        <c:v>6/24/23</c:v>
                      </c:pt>
                      <c:pt idx="35">
                        <c:v>7/8/23</c:v>
                      </c:pt>
                      <c:pt idx="36">
                        <c:v>7/22/23</c:v>
                      </c:pt>
                      <c:pt idx="37">
                        <c:v>8/5/23</c:v>
                      </c:pt>
                      <c:pt idx="38">
                        <c:v>8/19/23</c:v>
                      </c:pt>
                      <c:pt idx="39">
                        <c:v>9/2/23</c:v>
                      </c:pt>
                      <c:pt idx="40">
                        <c:v>9/16/23</c:v>
                      </c:pt>
                      <c:pt idx="41">
                        <c:v>9/30/23</c:v>
                      </c:pt>
                      <c:pt idx="42">
                        <c:v>10/14/23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'House Buying Power'!$S$3:$S$45</c15:sqref>
                        </c15:formulaRef>
                      </c:ext>
                    </c:extLst>
                    <c:numCache>
                      <c:formatCode>"$"#,##0</c:formatCode>
                      <c:ptCount val="43"/>
                      <c:pt idx="0" formatCode="&quot;$&quot;#,##0.00">
                        <c:v>1300.68</c:v>
                      </c:pt>
                      <c:pt idx="1">
                        <c:v>1110.3400000000001</c:v>
                      </c:pt>
                      <c:pt idx="2">
                        <c:v>920.00000000000011</c:v>
                      </c:pt>
                      <c:pt idx="3">
                        <c:v>729.66000000000008</c:v>
                      </c:pt>
                      <c:pt idx="4">
                        <c:v>539.32000000000005</c:v>
                      </c:pt>
                      <c:pt idx="5">
                        <c:v>348.98</c:v>
                      </c:pt>
                      <c:pt idx="6">
                        <c:v>158.64000000000001</c:v>
                      </c:pt>
                      <c:pt idx="7">
                        <c:v>-31.699999999999989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F6-4623-AE82-5F58EC363928}"/>
                  </c:ext>
                </c:extLst>
              </c15:ser>
            </c15:filteredLineSeries>
          </c:ext>
        </c:extLst>
      </c:lineChart>
      <c:catAx>
        <c:axId val="182044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450063"/>
        <c:crosses val="autoZero"/>
        <c:auto val="1"/>
        <c:lblAlgn val="ctr"/>
        <c:lblOffset val="100"/>
        <c:noMultiLvlLbl val="0"/>
      </c:catAx>
      <c:valAx>
        <c:axId val="182045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44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Earnings Per Day </a:t>
            </a:r>
          </a:p>
          <a:p>
            <a:pPr>
              <a:defRPr/>
            </a:pPr>
            <a:r>
              <a:rPr lang="en-US"/>
              <a:t>(Last 90 Day</a:t>
            </a:r>
            <a:r>
              <a:rPr lang="en-US" baseline="0"/>
              <a:t> Average)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Dashboards!$BC$2</c:f>
              <c:strCache>
                <c:ptCount val="1"/>
                <c:pt idx="0">
                  <c:v>Avg Earnings / Day (90D)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elete val="1"/>
          </c:dLbls>
          <c:cat>
            <c:numRef>
              <c:f>Dashboards!$BB$3:$BB$60</c:f>
              <c:numCache>
                <c:formatCode>m/d/yyyy</c:formatCode>
                <c:ptCount val="58"/>
                <c:pt idx="0">
                  <c:v>46164</c:v>
                </c:pt>
                <c:pt idx="1">
                  <c:v>46162</c:v>
                </c:pt>
                <c:pt idx="2">
                  <c:v>46159</c:v>
                </c:pt>
                <c:pt idx="3">
                  <c:v>46154</c:v>
                </c:pt>
                <c:pt idx="4">
                  <c:v>46153</c:v>
                </c:pt>
                <c:pt idx="5">
                  <c:v>46150</c:v>
                </c:pt>
                <c:pt idx="6">
                  <c:v>46146</c:v>
                </c:pt>
                <c:pt idx="7">
                  <c:v>46141</c:v>
                </c:pt>
                <c:pt idx="8">
                  <c:v>46136</c:v>
                </c:pt>
                <c:pt idx="9">
                  <c:v>46134</c:v>
                </c:pt>
                <c:pt idx="10">
                  <c:v>46126</c:v>
                </c:pt>
                <c:pt idx="11">
                  <c:v>46107</c:v>
                </c:pt>
                <c:pt idx="12">
                  <c:v>46106</c:v>
                </c:pt>
                <c:pt idx="13">
                  <c:v>46098</c:v>
                </c:pt>
              </c:numCache>
            </c:numRef>
          </c:cat>
          <c:val>
            <c:numRef>
              <c:f>Dashboards!$BC$3:$BC$60</c:f>
              <c:numCache>
                <c:formatCode>"$"#,##0.00</c:formatCode>
                <c:ptCount val="58"/>
                <c:pt idx="0">
                  <c:v>23.685199999999998</c:v>
                </c:pt>
                <c:pt idx="1">
                  <c:v>26.3629</c:v>
                </c:pt>
                <c:pt idx="2">
                  <c:v>25.168299999999999</c:v>
                </c:pt>
                <c:pt idx="3">
                  <c:v>25.0717</c:v>
                </c:pt>
                <c:pt idx="4">
                  <c:v>23.9236</c:v>
                </c:pt>
                <c:pt idx="5">
                  <c:v>23.0261</c:v>
                </c:pt>
                <c:pt idx="6">
                  <c:v>22.8157</c:v>
                </c:pt>
                <c:pt idx="7">
                  <c:v>23.749199999999998</c:v>
                </c:pt>
                <c:pt idx="8">
                  <c:v>22.6266</c:v>
                </c:pt>
                <c:pt idx="9">
                  <c:v>20.2347</c:v>
                </c:pt>
                <c:pt idx="10">
                  <c:v>22.256699999999999</c:v>
                </c:pt>
                <c:pt idx="11">
                  <c:v>26.0533</c:v>
                </c:pt>
                <c:pt idx="12">
                  <c:v>24.95</c:v>
                </c:pt>
                <c:pt idx="13">
                  <c:v>26.127400000000002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4-4391-8FEF-8608E43CC3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4290431"/>
        <c:axId val="1704287071"/>
      </c:lineChart>
      <c:dateAx>
        <c:axId val="170429043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287071"/>
        <c:crosses val="autoZero"/>
        <c:auto val="1"/>
        <c:lblOffset val="100"/>
        <c:baseTimeUnit val="days"/>
      </c:dateAx>
      <c:valAx>
        <c:axId val="17042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290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[0 - Side Gig Tracking.xlsm]Seasonality WIP!PivotTable9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'Seasonality WIP'!$AH$4:$AH$5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'Seasonality WIP'!$AG$6:$AG$57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'Seasonality WIP'!$AH$6:$AH$57</c:f>
              <c:numCache>
                <c:formatCode>"$"#,##0.00</c:formatCode>
                <c:ptCount val="52"/>
                <c:pt idx="0">
                  <c:v>-0.15351009073687649</c:v>
                </c:pt>
                <c:pt idx="1">
                  <c:v>-7.3792863038103054</c:v>
                </c:pt>
                <c:pt idx="2">
                  <c:v>-7.9730813803759961</c:v>
                </c:pt>
                <c:pt idx="4">
                  <c:v>-5.0150699565135195</c:v>
                </c:pt>
                <c:pt idx="5">
                  <c:v>-24.000829735957979</c:v>
                </c:pt>
                <c:pt idx="6">
                  <c:v>5.4803368329469002</c:v>
                </c:pt>
                <c:pt idx="7">
                  <c:v>-8.7389508069140689</c:v>
                </c:pt>
                <c:pt idx="8">
                  <c:v>-8.6068823554889402</c:v>
                </c:pt>
                <c:pt idx="9">
                  <c:v>7.7178129343998272</c:v>
                </c:pt>
                <c:pt idx="10">
                  <c:v>13.680071676159036</c:v>
                </c:pt>
                <c:pt idx="11">
                  <c:v>33.94415351853764</c:v>
                </c:pt>
                <c:pt idx="12">
                  <c:v>5.666365535006566</c:v>
                </c:pt>
                <c:pt idx="13">
                  <c:v>8.0921996950162871</c:v>
                </c:pt>
                <c:pt idx="15">
                  <c:v>1.7107964307200341</c:v>
                </c:pt>
                <c:pt idx="16">
                  <c:v>2.6204193230801991</c:v>
                </c:pt>
                <c:pt idx="17">
                  <c:v>-7.5323119050444483</c:v>
                </c:pt>
                <c:pt idx="18">
                  <c:v>7.9174396011978967</c:v>
                </c:pt>
                <c:pt idx="19">
                  <c:v>28.930843051627019</c:v>
                </c:pt>
                <c:pt idx="20">
                  <c:v>20.331320909211577</c:v>
                </c:pt>
                <c:pt idx="21">
                  <c:v>0.83434220919090052</c:v>
                </c:pt>
                <c:pt idx="22">
                  <c:v>-0.16316244739682162</c:v>
                </c:pt>
                <c:pt idx="23">
                  <c:v>-16.592973247950113</c:v>
                </c:pt>
                <c:pt idx="24">
                  <c:v>5.5843574940262926</c:v>
                </c:pt>
                <c:pt idx="25">
                  <c:v>-1.331092681465698</c:v>
                </c:pt>
                <c:pt idx="26">
                  <c:v>-5.2951020161758766</c:v>
                </c:pt>
                <c:pt idx="29">
                  <c:v>-7.5080865398366523</c:v>
                </c:pt>
                <c:pt idx="30">
                  <c:v>-1.7538024687425882</c:v>
                </c:pt>
                <c:pt idx="35">
                  <c:v>-1.9261983463099828</c:v>
                </c:pt>
                <c:pt idx="36">
                  <c:v>10.709685253618034</c:v>
                </c:pt>
                <c:pt idx="37">
                  <c:v>-5.6255497089402375</c:v>
                </c:pt>
                <c:pt idx="38">
                  <c:v>0.94159904604018863</c:v>
                </c:pt>
                <c:pt idx="39">
                  <c:v>-2.1947619047619042</c:v>
                </c:pt>
                <c:pt idx="40">
                  <c:v>0</c:v>
                </c:pt>
                <c:pt idx="41">
                  <c:v>-6.3443745232646833</c:v>
                </c:pt>
                <c:pt idx="42">
                  <c:v>0.81664066874650132</c:v>
                </c:pt>
                <c:pt idx="43">
                  <c:v>-2.9399395015076912</c:v>
                </c:pt>
                <c:pt idx="44">
                  <c:v>2.5383278558367799</c:v>
                </c:pt>
                <c:pt idx="45">
                  <c:v>11.852365530987928</c:v>
                </c:pt>
                <c:pt idx="46">
                  <c:v>-7.2684722514107101</c:v>
                </c:pt>
                <c:pt idx="47">
                  <c:v>7.6199216613547804</c:v>
                </c:pt>
                <c:pt idx="48">
                  <c:v>-0.26060716559860708</c:v>
                </c:pt>
                <c:pt idx="49">
                  <c:v>-1.4356364268249457</c:v>
                </c:pt>
                <c:pt idx="50">
                  <c:v>1.9850064350064329</c:v>
                </c:pt>
                <c:pt idx="51">
                  <c:v>-8.7356321839081374E-2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9A-416D-BF98-E530354D9728}"/>
            </c:ext>
          </c:extLst>
        </c:ser>
        <c:ser>
          <c:idx val="1"/>
          <c:order val="1"/>
          <c:tx>
            <c:strRef>
              <c:f>'Seasonality WIP'!$AI$4:$AI$5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'Seasonality WIP'!$AG$6:$AG$57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'Seasonality WIP'!$AI$6:$AI$57</c:f>
              <c:numCache>
                <c:formatCode>"$"#,##0.00</c:formatCode>
                <c:ptCount val="52"/>
                <c:pt idx="0">
                  <c:v>-8.2451128512871605</c:v>
                </c:pt>
                <c:pt idx="2">
                  <c:v>-5.3006590599276642</c:v>
                </c:pt>
                <c:pt idx="4">
                  <c:v>0</c:v>
                </c:pt>
                <c:pt idx="5">
                  <c:v>2.1233857199840465</c:v>
                </c:pt>
                <c:pt idx="6">
                  <c:v>1.5297849453991255</c:v>
                </c:pt>
                <c:pt idx="7">
                  <c:v>0.13800837320573933</c:v>
                </c:pt>
                <c:pt idx="8">
                  <c:v>-6.3122833145347705</c:v>
                </c:pt>
                <c:pt idx="9">
                  <c:v>-0.47602620001065077</c:v>
                </c:pt>
                <c:pt idx="10">
                  <c:v>13.020771010682473</c:v>
                </c:pt>
                <c:pt idx="11">
                  <c:v>5.2178499853346842</c:v>
                </c:pt>
                <c:pt idx="12">
                  <c:v>-1.7827325497258926</c:v>
                </c:pt>
                <c:pt idx="13">
                  <c:v>5.6133599527403852</c:v>
                </c:pt>
                <c:pt idx="14">
                  <c:v>9.8575646730815478</c:v>
                </c:pt>
                <c:pt idx="16">
                  <c:v>0.83384626009138074</c:v>
                </c:pt>
                <c:pt idx="18">
                  <c:v>-3.929651249234265</c:v>
                </c:pt>
                <c:pt idx="19">
                  <c:v>-12.971938008904196</c:v>
                </c:pt>
                <c:pt idx="20">
                  <c:v>-6.9225654695823735</c:v>
                </c:pt>
                <c:pt idx="21">
                  <c:v>0.45888496106704935</c:v>
                </c:pt>
                <c:pt idx="22">
                  <c:v>6.8964735482187169</c:v>
                </c:pt>
                <c:pt idx="23">
                  <c:v>-11.656541892817419</c:v>
                </c:pt>
                <c:pt idx="24">
                  <c:v>2.5682098126779351E-2</c:v>
                </c:pt>
                <c:pt idx="25">
                  <c:v>-2.1465021519546319</c:v>
                </c:pt>
                <c:pt idx="26">
                  <c:v>-1.5451382111646783</c:v>
                </c:pt>
                <c:pt idx="27">
                  <c:v>2.6630005558355823</c:v>
                </c:pt>
                <c:pt idx="28">
                  <c:v>13.488723028148375</c:v>
                </c:pt>
                <c:pt idx="29">
                  <c:v>2.8745455586924109</c:v>
                </c:pt>
                <c:pt idx="32">
                  <c:v>-2.6089778056683048</c:v>
                </c:pt>
                <c:pt idx="33">
                  <c:v>0.97561736430698076</c:v>
                </c:pt>
                <c:pt idx="34">
                  <c:v>-3.0182384870568164</c:v>
                </c:pt>
                <c:pt idx="35">
                  <c:v>-2.2473741756070549</c:v>
                </c:pt>
                <c:pt idx="36">
                  <c:v>0.62696681329692616</c:v>
                </c:pt>
                <c:pt idx="37">
                  <c:v>-14.632916067191715</c:v>
                </c:pt>
                <c:pt idx="38">
                  <c:v>-10.997993061128682</c:v>
                </c:pt>
                <c:pt idx="39">
                  <c:v>-9.7703379528480045</c:v>
                </c:pt>
                <c:pt idx="40">
                  <c:v>15.998832146445629</c:v>
                </c:pt>
                <c:pt idx="41">
                  <c:v>-5.0735390059230667</c:v>
                </c:pt>
                <c:pt idx="44">
                  <c:v>-6.6359436566288785</c:v>
                </c:pt>
                <c:pt idx="45">
                  <c:v>-17.493890359862469</c:v>
                </c:pt>
                <c:pt idx="46">
                  <c:v>7.4026724416903829</c:v>
                </c:pt>
                <c:pt idx="47">
                  <c:v>-11.129950699824281</c:v>
                </c:pt>
                <c:pt idx="48">
                  <c:v>-17.263707480732094</c:v>
                </c:pt>
                <c:pt idx="49">
                  <c:v>-1.3918271033083141</c:v>
                </c:pt>
                <c:pt idx="50">
                  <c:v>-7.4353361863362757</c:v>
                </c:pt>
                <c:pt idx="51">
                  <c:v>8.7356321839077822E-2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5-40A7-AF79-D2F96CD6CD64}"/>
            </c:ext>
          </c:extLst>
        </c:ser>
        <c:ser>
          <c:idx val="2"/>
          <c:order val="2"/>
          <c:tx>
            <c:strRef>
              <c:f>'Seasonality WIP'!$AJ$4:$AJ$5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'Seasonality WIP'!$AG$6:$AG$57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'Seasonality WIP'!$AJ$6:$AJ$57</c:f>
              <c:numCache>
                <c:formatCode>"$"#,##0.00</c:formatCode>
                <c:ptCount val="52"/>
                <c:pt idx="0">
                  <c:v>1.4053023570294698</c:v>
                </c:pt>
                <c:pt idx="1">
                  <c:v>-5.750248062313533</c:v>
                </c:pt>
                <c:pt idx="2">
                  <c:v>-11.162426198910454</c:v>
                </c:pt>
                <c:pt idx="3">
                  <c:v>-7.6086545965081331</c:v>
                </c:pt>
                <c:pt idx="4">
                  <c:v>0.73820596864515942</c:v>
                </c:pt>
                <c:pt idx="5">
                  <c:v>14.759318150302182</c:v>
                </c:pt>
                <c:pt idx="6">
                  <c:v>-3.8947073626487594</c:v>
                </c:pt>
                <c:pt idx="7">
                  <c:v>15.358640181720588</c:v>
                </c:pt>
                <c:pt idx="8">
                  <c:v>9.0571052451901828</c:v>
                </c:pt>
                <c:pt idx="9">
                  <c:v>1.6198747115745107</c:v>
                </c:pt>
                <c:pt idx="10">
                  <c:v>-19.625329611192502</c:v>
                </c:pt>
                <c:pt idx="11">
                  <c:v>-28.270183226714124</c:v>
                </c:pt>
                <c:pt idx="12">
                  <c:v>-4.0941205093963795</c:v>
                </c:pt>
                <c:pt idx="13">
                  <c:v>-12.636803010605961</c:v>
                </c:pt>
                <c:pt idx="14">
                  <c:v>-7.661918287775773</c:v>
                </c:pt>
                <c:pt idx="15">
                  <c:v>2.090897144554642</c:v>
                </c:pt>
                <c:pt idx="16">
                  <c:v>9.9883511075911571</c:v>
                </c:pt>
                <c:pt idx="17">
                  <c:v>6.4268998933126902</c:v>
                </c:pt>
                <c:pt idx="18">
                  <c:v>-9.0026083532009444</c:v>
                </c:pt>
                <c:pt idx="19">
                  <c:v>-12.255078004322268</c:v>
                </c:pt>
                <c:pt idx="20">
                  <c:v>-13.788229021949249</c:v>
                </c:pt>
                <c:pt idx="21">
                  <c:v>2.5286349636056826</c:v>
                </c:pt>
                <c:pt idx="22">
                  <c:v>-8.1604324961936037</c:v>
                </c:pt>
                <c:pt idx="23">
                  <c:v>3.6315939005926126</c:v>
                </c:pt>
                <c:pt idx="25">
                  <c:v>-6.402355870730565</c:v>
                </c:pt>
                <c:pt idx="27">
                  <c:v>2.4984121668172961</c:v>
                </c:pt>
                <c:pt idx="28">
                  <c:v>-13.720958340105033</c:v>
                </c:pt>
                <c:pt idx="29">
                  <c:v>4.5646932060103396</c:v>
                </c:pt>
                <c:pt idx="30">
                  <c:v>-6.1247044434928188</c:v>
                </c:pt>
                <c:pt idx="31">
                  <c:v>-6.3299643082096591</c:v>
                </c:pt>
                <c:pt idx="32">
                  <c:v>2.9816371980390262</c:v>
                </c:pt>
                <c:pt idx="33">
                  <c:v>-8.9232231802732365</c:v>
                </c:pt>
                <c:pt idx="34">
                  <c:v>-4.0964376064316497</c:v>
                </c:pt>
                <c:pt idx="35">
                  <c:v>-7.8960462404287952</c:v>
                </c:pt>
                <c:pt idx="36">
                  <c:v>9.9714724825455257</c:v>
                </c:pt>
                <c:pt idx="37">
                  <c:v>11.084700322873456</c:v>
                </c:pt>
                <c:pt idx="38">
                  <c:v>-15.961823108656072</c:v>
                </c:pt>
                <c:pt idx="39">
                  <c:v>9.2030392333897098</c:v>
                </c:pt>
                <c:pt idx="40">
                  <c:v>-14.084166072242366</c:v>
                </c:pt>
                <c:pt idx="41">
                  <c:v>9.8412261826526848</c:v>
                </c:pt>
                <c:pt idx="42">
                  <c:v>0.56975588986659176</c:v>
                </c:pt>
                <c:pt idx="43">
                  <c:v>9.1457394760432607</c:v>
                </c:pt>
                <c:pt idx="44">
                  <c:v>0.96870260228064353</c:v>
                </c:pt>
                <c:pt idx="45">
                  <c:v>7.836920878029467</c:v>
                </c:pt>
                <c:pt idx="46">
                  <c:v>-0.41670892258445313</c:v>
                </c:pt>
                <c:pt idx="47">
                  <c:v>3.1949329102292978E-2</c:v>
                </c:pt>
                <c:pt idx="48">
                  <c:v>12.096158966802509</c:v>
                </c:pt>
                <c:pt idx="49">
                  <c:v>-5.6862758865071008</c:v>
                </c:pt>
                <c:pt idx="50">
                  <c:v>5.4503297513298463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5-40A7-AF79-D2F96CD6CD64}"/>
            </c:ext>
          </c:extLst>
        </c:ser>
        <c:ser>
          <c:idx val="3"/>
          <c:order val="3"/>
          <c:tx>
            <c:strRef>
              <c:f>'Seasonality WIP'!$AK$4:$AK$5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'Seasonality WIP'!$AG$6:$AG$57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'Seasonality WIP'!$AK$6:$AK$57</c:f>
              <c:numCache>
                <c:formatCode>"$"#,##0.00</c:formatCode>
                <c:ptCount val="52"/>
                <c:pt idx="0">
                  <c:v>2.4119813558964722</c:v>
                </c:pt>
                <c:pt idx="1">
                  <c:v>28.587162094693685</c:v>
                </c:pt>
                <c:pt idx="2">
                  <c:v>14.238442557553906</c:v>
                </c:pt>
                <c:pt idx="3">
                  <c:v>10.083368981374445</c:v>
                </c:pt>
                <c:pt idx="4">
                  <c:v>7.4640109559672201</c:v>
                </c:pt>
                <c:pt idx="5">
                  <c:v>8.0259779883230316</c:v>
                </c:pt>
                <c:pt idx="6">
                  <c:v>0.88249626346035726</c:v>
                </c:pt>
                <c:pt idx="7">
                  <c:v>-6.3079579548599529</c:v>
                </c:pt>
                <c:pt idx="8">
                  <c:v>1.8676393504134055</c:v>
                </c:pt>
                <c:pt idx="9">
                  <c:v>-2.9075829286941683</c:v>
                </c:pt>
                <c:pt idx="10">
                  <c:v>-1.4804585917658137</c:v>
                </c:pt>
                <c:pt idx="11">
                  <c:v>8.6532890539424123</c:v>
                </c:pt>
                <c:pt idx="12">
                  <c:v>14.429353799016244</c:v>
                </c:pt>
                <c:pt idx="13">
                  <c:v>-1.0687566371507167</c:v>
                </c:pt>
                <c:pt idx="14">
                  <c:v>1.6708405996929159</c:v>
                </c:pt>
                <c:pt idx="15">
                  <c:v>-4.2450656415181243</c:v>
                </c:pt>
                <c:pt idx="16">
                  <c:v>-6.8552993443314865</c:v>
                </c:pt>
                <c:pt idx="17">
                  <c:v>-1.3327533723831664E-2</c:v>
                </c:pt>
                <c:pt idx="18">
                  <c:v>5.5543871442521073</c:v>
                </c:pt>
                <c:pt idx="19">
                  <c:v>1.098038846962119</c:v>
                </c:pt>
                <c:pt idx="20">
                  <c:v>2.5588616234653472E-2</c:v>
                </c:pt>
                <c:pt idx="21">
                  <c:v>-2.507120376766057</c:v>
                </c:pt>
                <c:pt idx="22">
                  <c:v>-6.2874815075047579</c:v>
                </c:pt>
                <c:pt idx="23">
                  <c:v>12.022010918282557</c:v>
                </c:pt>
                <c:pt idx="24">
                  <c:v>2.2005833318516146</c:v>
                </c:pt>
                <c:pt idx="26">
                  <c:v>-0.81641350733744389</c:v>
                </c:pt>
                <c:pt idx="27">
                  <c:v>-5.1614127226528783</c:v>
                </c:pt>
                <c:pt idx="28">
                  <c:v>-0.43543729556548527</c:v>
                </c:pt>
                <c:pt idx="29">
                  <c:v>-0.6860201449274399</c:v>
                </c:pt>
                <c:pt idx="30">
                  <c:v>6.7621199753536061</c:v>
                </c:pt>
                <c:pt idx="31">
                  <c:v>3.4658965202016425</c:v>
                </c:pt>
                <c:pt idx="32">
                  <c:v>3.4365255459197073</c:v>
                </c:pt>
                <c:pt idx="33">
                  <c:v>15.420442962450025</c:v>
                </c:pt>
                <c:pt idx="34">
                  <c:v>1.2514593918194628</c:v>
                </c:pt>
                <c:pt idx="35">
                  <c:v>12.06961876234584</c:v>
                </c:pt>
                <c:pt idx="36">
                  <c:v>-21.308124549460487</c:v>
                </c:pt>
                <c:pt idx="37">
                  <c:v>9.173765453258504</c:v>
                </c:pt>
                <c:pt idx="38">
                  <c:v>26.01821712374457</c:v>
                </c:pt>
                <c:pt idx="39">
                  <c:v>2.7620606242201795</c:v>
                </c:pt>
                <c:pt idx="40">
                  <c:v>-1.9146660742032715</c:v>
                </c:pt>
                <c:pt idx="41">
                  <c:v>1.5766873465350599</c:v>
                </c:pt>
                <c:pt idx="42">
                  <c:v>-1.386396558613086</c:v>
                </c:pt>
                <c:pt idx="43">
                  <c:v>-6.2057999745355712</c:v>
                </c:pt>
                <c:pt idx="44">
                  <c:v>3.1289131985114622</c:v>
                </c:pt>
                <c:pt idx="45">
                  <c:v>-2.195396049154926</c:v>
                </c:pt>
                <c:pt idx="46">
                  <c:v>0.28250873230476969</c:v>
                </c:pt>
                <c:pt idx="47">
                  <c:v>3.47807970936719</c:v>
                </c:pt>
                <c:pt idx="48">
                  <c:v>5.4281556795281851</c:v>
                </c:pt>
                <c:pt idx="49">
                  <c:v>8.5137394166403588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A5-40A7-AF79-D2F96CD6CD64}"/>
            </c:ext>
          </c:extLst>
        </c:ser>
        <c:ser>
          <c:idx val="4"/>
          <c:order val="4"/>
          <c:tx>
            <c:strRef>
              <c:f>'Seasonality WIP'!$AL$4:$AL$5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'Seasonality WIP'!$AG$6:$AG$57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'Seasonality WIP'!$AL$6:$AL$57</c:f>
              <c:numCache>
                <c:formatCode>"$"#,##0.00</c:formatCode>
                <c:ptCount val="52"/>
                <c:pt idx="0">
                  <c:v>4.5813392290980879</c:v>
                </c:pt>
                <c:pt idx="1">
                  <c:v>-15.457627728569847</c:v>
                </c:pt>
                <c:pt idx="2">
                  <c:v>10.197724081660219</c:v>
                </c:pt>
                <c:pt idx="3">
                  <c:v>-2.4747143848663153</c:v>
                </c:pt>
                <c:pt idx="4">
                  <c:v>-3.1871469680988618</c:v>
                </c:pt>
                <c:pt idx="5">
                  <c:v>-0.90785212265127768</c:v>
                </c:pt>
                <c:pt idx="6">
                  <c:v>-3.9979106791576378</c:v>
                </c:pt>
                <c:pt idx="7">
                  <c:v>-0.44973979315231816</c:v>
                </c:pt>
                <c:pt idx="8">
                  <c:v>3.9944210744201278</c:v>
                </c:pt>
                <c:pt idx="9">
                  <c:v>-5.9540785172695117</c:v>
                </c:pt>
                <c:pt idx="10">
                  <c:v>-5.5950544838832243</c:v>
                </c:pt>
                <c:pt idx="11">
                  <c:v>-19.545109331100615</c:v>
                </c:pt>
                <c:pt idx="12">
                  <c:v>-14.218866274900535</c:v>
                </c:pt>
                <c:pt idx="14">
                  <c:v>-3.8664869849987049</c:v>
                </c:pt>
                <c:pt idx="15">
                  <c:v>0.44337206624345527</c:v>
                </c:pt>
                <c:pt idx="16">
                  <c:v>-6.5873173464312629</c:v>
                </c:pt>
                <c:pt idx="17">
                  <c:v>1.1187395454555897</c:v>
                </c:pt>
                <c:pt idx="18">
                  <c:v>-0.53956714301481412</c:v>
                </c:pt>
                <c:pt idx="19">
                  <c:v>-4.8018658853626413</c:v>
                </c:pt>
                <c:pt idx="20">
                  <c:v>0.35388496608541331</c:v>
                </c:pt>
                <c:pt idx="21">
                  <c:v>-1.3147417570975612</c:v>
                </c:pt>
                <c:pt idx="22">
                  <c:v>7.7146029028764751</c:v>
                </c:pt>
                <c:pt idx="23">
                  <c:v>12.595910321892376</c:v>
                </c:pt>
                <c:pt idx="24">
                  <c:v>-7.8106229240046936</c:v>
                </c:pt>
                <c:pt idx="25">
                  <c:v>9.8799507041508949</c:v>
                </c:pt>
                <c:pt idx="26">
                  <c:v>7.6566537346779953</c:v>
                </c:pt>
                <c:pt idx="27">
                  <c:v>0</c:v>
                </c:pt>
                <c:pt idx="28">
                  <c:v>0.66767260752215662</c:v>
                </c:pt>
                <c:pt idx="29">
                  <c:v>0.75486792006133641</c:v>
                </c:pt>
                <c:pt idx="30">
                  <c:v>1.1163869368818133</c:v>
                </c:pt>
                <c:pt idx="31">
                  <c:v>2.8640677880080148</c:v>
                </c:pt>
                <c:pt idx="32">
                  <c:v>-3.8091849382904481</c:v>
                </c:pt>
                <c:pt idx="33">
                  <c:v>-7.4728371464837657</c:v>
                </c:pt>
                <c:pt idx="34">
                  <c:v>5.863216701669014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A5-40A7-AF79-D2F96CD6C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982704"/>
        <c:axId val="845987504"/>
      </c:barChart>
      <c:catAx>
        <c:axId val="84598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987504"/>
        <c:crosses val="autoZero"/>
        <c:auto val="1"/>
        <c:lblAlgn val="ctr"/>
        <c:lblOffset val="100"/>
        <c:noMultiLvlLbl val="0"/>
      </c:catAx>
      <c:valAx>
        <c:axId val="8459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98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[0 - Side Gig Tracking.xlsm]Trends!PivotTable1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Trends!$C$4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Trends!$B$5:$B$45</c:f>
              <c:strCache>
                <c:ptCount val="41"/>
                <c:pt idx="0">
                  <c:v>1/2/2021</c:v>
                </c:pt>
                <c:pt idx="1">
                  <c:v>1/30/2021</c:v>
                </c:pt>
                <c:pt idx="2">
                  <c:v>2/20/2021</c:v>
                </c:pt>
                <c:pt idx="3">
                  <c:v>2/27/2021</c:v>
                </c:pt>
                <c:pt idx="4">
                  <c:v>3/6/2021</c:v>
                </c:pt>
                <c:pt idx="5">
                  <c:v>3/27/2021</c:v>
                </c:pt>
                <c:pt idx="6">
                  <c:v>1/15/2022</c:v>
                </c:pt>
                <c:pt idx="7">
                  <c:v>2/12/2022</c:v>
                </c:pt>
                <c:pt idx="8">
                  <c:v>3/12/2022</c:v>
                </c:pt>
                <c:pt idx="9">
                  <c:v>3/19/2022</c:v>
                </c:pt>
                <c:pt idx="10">
                  <c:v>3/26/2022</c:v>
                </c:pt>
                <c:pt idx="11">
                  <c:v>1/21/2023</c:v>
                </c:pt>
                <c:pt idx="12">
                  <c:v>1/28/2023</c:v>
                </c:pt>
                <c:pt idx="13">
                  <c:v>2/11/2023</c:v>
                </c:pt>
                <c:pt idx="14">
                  <c:v>3/4/2023</c:v>
                </c:pt>
                <c:pt idx="15">
                  <c:v>3/11/2023</c:v>
                </c:pt>
                <c:pt idx="16">
                  <c:v>3/18/2023</c:v>
                </c:pt>
                <c:pt idx="17">
                  <c:v>3/25/2023</c:v>
                </c:pt>
                <c:pt idx="18">
                  <c:v>1/6/2024</c:v>
                </c:pt>
                <c:pt idx="19">
                  <c:v>1/13/2024</c:v>
                </c:pt>
                <c:pt idx="20">
                  <c:v>1/20/2024</c:v>
                </c:pt>
                <c:pt idx="21">
                  <c:v>1/27/2024</c:v>
                </c:pt>
                <c:pt idx="22">
                  <c:v>2/10/2024</c:v>
                </c:pt>
                <c:pt idx="23">
                  <c:v>2/17/2024</c:v>
                </c:pt>
                <c:pt idx="24">
                  <c:v>2/24/2024</c:v>
                </c:pt>
                <c:pt idx="25">
                  <c:v>3/2/2024</c:v>
                </c:pt>
                <c:pt idx="26">
                  <c:v>3/9/2024</c:v>
                </c:pt>
                <c:pt idx="27">
                  <c:v>3/16/2024</c:v>
                </c:pt>
                <c:pt idx="28">
                  <c:v>1/11/2025</c:v>
                </c:pt>
                <c:pt idx="29">
                  <c:v>1/18/2025</c:v>
                </c:pt>
                <c:pt idx="30">
                  <c:v>2/1/2025</c:v>
                </c:pt>
                <c:pt idx="31">
                  <c:v>2/15/2025</c:v>
                </c:pt>
                <c:pt idx="32">
                  <c:v>2/22/2025</c:v>
                </c:pt>
                <c:pt idx="33">
                  <c:v>3/1/2025</c:v>
                </c:pt>
                <c:pt idx="34">
                  <c:v>3/8/2025</c:v>
                </c:pt>
                <c:pt idx="35">
                  <c:v>3/22/2025</c:v>
                </c:pt>
                <c:pt idx="36">
                  <c:v>1/3/2026</c:v>
                </c:pt>
                <c:pt idx="37">
                  <c:v>1/17/2026</c:v>
                </c:pt>
                <c:pt idx="38">
                  <c:v>1/24/2026</c:v>
                </c:pt>
                <c:pt idx="39">
                  <c:v>2/14/2026</c:v>
                </c:pt>
                <c:pt idx="40">
                  <c:v>2/21/2026</c:v>
                </c:pt>
              </c:strCache>
            </c:strRef>
          </c:cat>
          <c:val>
            <c:numRef>
              <c:f>Trends!$C$5:$C$45</c:f>
              <c:numCache>
                <c:formatCode>General</c:formatCode>
                <c:ptCount val="41"/>
                <c:pt idx="0">
                  <c:v>4</c:v>
                </c:pt>
                <c:pt idx="1">
                  <c:v>7</c:v>
                </c:pt>
                <c:pt idx="2">
                  <c:v>10</c:v>
                </c:pt>
                <c:pt idx="3">
                  <c:v>8</c:v>
                </c:pt>
                <c:pt idx="4">
                  <c:v>2</c:v>
                </c:pt>
                <c:pt idx="5">
                  <c:v>17</c:v>
                </c:pt>
                <c:pt idx="6">
                  <c:v>14</c:v>
                </c:pt>
                <c:pt idx="7">
                  <c:v>14</c:v>
                </c:pt>
                <c:pt idx="8">
                  <c:v>11</c:v>
                </c:pt>
                <c:pt idx="9">
                  <c:v>23</c:v>
                </c:pt>
                <c:pt idx="10">
                  <c:v>9</c:v>
                </c:pt>
                <c:pt idx="11">
                  <c:v>13</c:v>
                </c:pt>
                <c:pt idx="12">
                  <c:v>11</c:v>
                </c:pt>
                <c:pt idx="13">
                  <c:v>10</c:v>
                </c:pt>
                <c:pt idx="14">
                  <c:v>7</c:v>
                </c:pt>
                <c:pt idx="15">
                  <c:v>11</c:v>
                </c:pt>
                <c:pt idx="16">
                  <c:v>9</c:v>
                </c:pt>
                <c:pt idx="17">
                  <c:v>8</c:v>
                </c:pt>
                <c:pt idx="18">
                  <c:v>10</c:v>
                </c:pt>
                <c:pt idx="19">
                  <c:v>6</c:v>
                </c:pt>
                <c:pt idx="20">
                  <c:v>12</c:v>
                </c:pt>
                <c:pt idx="21">
                  <c:v>8</c:v>
                </c:pt>
                <c:pt idx="22">
                  <c:v>8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17</c:v>
                </c:pt>
                <c:pt idx="27">
                  <c:v>6</c:v>
                </c:pt>
                <c:pt idx="28">
                  <c:v>16</c:v>
                </c:pt>
                <c:pt idx="29">
                  <c:v>8</c:v>
                </c:pt>
                <c:pt idx="30">
                  <c:v>3</c:v>
                </c:pt>
                <c:pt idx="31">
                  <c:v>6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10</c:v>
                </c:pt>
                <c:pt idx="36">
                  <c:v>9</c:v>
                </c:pt>
                <c:pt idx="37">
                  <c:v>11</c:v>
                </c:pt>
                <c:pt idx="38">
                  <c:v>8</c:v>
                </c:pt>
                <c:pt idx="39">
                  <c:v>3</c:v>
                </c:pt>
                <c:pt idx="4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3-4FD1-9DEB-10C5F89B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63291615"/>
        <c:axId val="1863291135"/>
      </c:barChart>
      <c:valAx>
        <c:axId val="186329113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291615"/>
        <c:crosses val="max"/>
        <c:crossBetween val="between"/>
      </c:valAx>
      <c:catAx>
        <c:axId val="1863291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632911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Trends!$K$35</c:f>
              <c:strCache>
                <c:ptCount val="1"/>
                <c:pt idx="0">
                  <c:v>21-22 %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Trends!$H$36:$H$87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cat>
          <c:val>
            <c:numRef>
              <c:f>Trends!$K$36:$K$87</c:f>
              <c:numCache>
                <c:formatCode>0%</c:formatCode>
                <c:ptCount val="52"/>
                <c:pt idx="0">
                  <c:v>-0.20740472513979261</c:v>
                </c:pt>
                <c:pt idx="1">
                  <c:v>0</c:v>
                </c:pt>
                <c:pt idx="2">
                  <c:v>0.95182840262812396</c:v>
                </c:pt>
                <c:pt idx="3">
                  <c:v>0</c:v>
                </c:pt>
                <c:pt idx="4">
                  <c:v>1.4099420753997218</c:v>
                </c:pt>
                <c:pt idx="5">
                  <c:v>0.85098948573503708</c:v>
                </c:pt>
                <c:pt idx="6">
                  <c:v>-6.7163370900218969E-2</c:v>
                </c:pt>
                <c:pt idx="7">
                  <c:v>0.4708969941623769</c:v>
                </c:pt>
                <c:pt idx="8">
                  <c:v>0.48315339215048508</c:v>
                </c:pt>
                <c:pt idx="9">
                  <c:v>-0.20664461100499887</c:v>
                </c:pt>
                <c:pt idx="10">
                  <c:v>5.9002238878809191E-2</c:v>
                </c:pt>
                <c:pt idx="11">
                  <c:v>-0.3351577344311169</c:v>
                </c:pt>
                <c:pt idx="12">
                  <c:v>-0.29008929286163454</c:v>
                </c:pt>
                <c:pt idx="13">
                  <c:v>-0.15922371186863102</c:v>
                </c:pt>
                <c:pt idx="14">
                  <c:v>0</c:v>
                </c:pt>
                <c:pt idx="15">
                  <c:v>0</c:v>
                </c:pt>
                <c:pt idx="16">
                  <c:v>7.9811265969802495E-2</c:v>
                </c:pt>
                <c:pt idx="17">
                  <c:v>0</c:v>
                </c:pt>
                <c:pt idx="18">
                  <c:v>-0.10517044674811461</c:v>
                </c:pt>
                <c:pt idx="19">
                  <c:v>-0.52315715159091913</c:v>
                </c:pt>
                <c:pt idx="20">
                  <c:v>-0.35582509771725479</c:v>
                </c:pt>
                <c:pt idx="21">
                  <c:v>-0.22142470493459676</c:v>
                </c:pt>
                <c:pt idx="22">
                  <c:v>0.17227079539518919</c:v>
                </c:pt>
                <c:pt idx="23">
                  <c:v>0.44587682119625183</c:v>
                </c:pt>
                <c:pt idx="24">
                  <c:v>-0.12221054622154282</c:v>
                </c:pt>
                <c:pt idx="25">
                  <c:v>-7.545375791784846E-2</c:v>
                </c:pt>
                <c:pt idx="26">
                  <c:v>7.6071619010307942E-2</c:v>
                </c:pt>
                <c:pt idx="27">
                  <c:v>0</c:v>
                </c:pt>
                <c:pt idx="28">
                  <c:v>0</c:v>
                </c:pt>
                <c:pt idx="29">
                  <c:v>1.1811723362855606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0.10991570026810729</c:v>
                </c:pt>
                <c:pt idx="36">
                  <c:v>-0.21822239360165177</c:v>
                </c:pt>
                <c:pt idx="37">
                  <c:v>0.3401141502251272</c:v>
                </c:pt>
                <c:pt idx="38">
                  <c:v>-0.24654357877612215</c:v>
                </c:pt>
                <c:pt idx="39">
                  <c:v>-2.5667692304968258E-2</c:v>
                </c:pt>
                <c:pt idx="40">
                  <c:v>0.54149705444822971</c:v>
                </c:pt>
                <c:pt idx="41">
                  <c:v>-0.20388985449862609</c:v>
                </c:pt>
                <c:pt idx="42">
                  <c:v>0</c:v>
                </c:pt>
                <c:pt idx="43">
                  <c:v>0</c:v>
                </c:pt>
                <c:pt idx="44">
                  <c:v>-0.2966254180560326</c:v>
                </c:pt>
                <c:pt idx="45">
                  <c:v>-0.41991842587210226</c:v>
                </c:pt>
                <c:pt idx="46">
                  <c:v>0.36265901005096912</c:v>
                </c:pt>
                <c:pt idx="47">
                  <c:v>-0.24256593022695877</c:v>
                </c:pt>
                <c:pt idx="48">
                  <c:v>-0.38317120117218056</c:v>
                </c:pt>
                <c:pt idx="49">
                  <c:v>-0.10030816260856117</c:v>
                </c:pt>
                <c:pt idx="50">
                  <c:v>-0.16715488038497961</c:v>
                </c:pt>
                <c:pt idx="51">
                  <c:v>0.17590917076597923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74-48E1-8B2A-6312FEC42C7B}"/>
            </c:ext>
          </c:extLst>
        </c:ser>
        <c:ser>
          <c:idx val="4"/>
          <c:order val="4"/>
          <c:tx>
            <c:strRef>
              <c:f>Trends!$M$35</c:f>
              <c:strCache>
                <c:ptCount val="1"/>
                <c:pt idx="0">
                  <c:v>22-23%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Trends!$H$36:$H$87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numCache>
            </c:numRef>
          </c:cat>
          <c:val>
            <c:numRef>
              <c:f>Trends!$M$36:$M$87</c:f>
              <c:numCache>
                <c:formatCode>0%</c:formatCode>
                <c:ptCount val="52"/>
                <c:pt idx="0">
                  <c:v>0.37293626939236785</c:v>
                </c:pt>
                <c:pt idx="1">
                  <c:v>0</c:v>
                </c:pt>
                <c:pt idx="2">
                  <c:v>-8.6115661322208686E-2</c:v>
                </c:pt>
                <c:pt idx="3">
                  <c:v>0</c:v>
                </c:pt>
                <c:pt idx="4">
                  <c:v>-0.17590006990318607</c:v>
                </c:pt>
                <c:pt idx="5">
                  <c:v>0.35160507794764506</c:v>
                </c:pt>
                <c:pt idx="6">
                  <c:v>-9.279331375768804E-2</c:v>
                </c:pt>
                <c:pt idx="7">
                  <c:v>-7.1075547072590145E-2</c:v>
                </c:pt>
                <c:pt idx="8">
                  <c:v>0.21862226614625507</c:v>
                </c:pt>
                <c:pt idx="9">
                  <c:v>0.1278600295255872</c:v>
                </c:pt>
                <c:pt idx="10">
                  <c:v>-0.3891206865317553</c:v>
                </c:pt>
                <c:pt idx="11">
                  <c:v>-0.30242127398113516</c:v>
                </c:pt>
                <c:pt idx="12">
                  <c:v>-1.6679213591797654E-2</c:v>
                </c:pt>
                <c:pt idx="13">
                  <c:v>-0.24653795951728008</c:v>
                </c:pt>
                <c:pt idx="14">
                  <c:v>-0.63737201365187701</c:v>
                </c:pt>
                <c:pt idx="15">
                  <c:v>0</c:v>
                </c:pt>
                <c:pt idx="16">
                  <c:v>2.2334828337679701E-2</c:v>
                </c:pt>
                <c:pt idx="17">
                  <c:v>0</c:v>
                </c:pt>
                <c:pt idx="18">
                  <c:v>-5.0124675107947887E-2</c:v>
                </c:pt>
                <c:pt idx="19">
                  <c:v>8.7902694785190749E-3</c:v>
                </c:pt>
                <c:pt idx="20">
                  <c:v>-0.15345298367834173</c:v>
                </c:pt>
                <c:pt idx="21">
                  <c:v>0.13684445786897453</c:v>
                </c:pt>
                <c:pt idx="22">
                  <c:v>-0.28852444554150197</c:v>
                </c:pt>
                <c:pt idx="23">
                  <c:v>0.38344839990486601</c:v>
                </c:pt>
                <c:pt idx="24">
                  <c:v>0</c:v>
                </c:pt>
                <c:pt idx="25">
                  <c:v>-5.230439707493522E-2</c:v>
                </c:pt>
                <c:pt idx="26">
                  <c:v>0</c:v>
                </c:pt>
                <c:pt idx="27">
                  <c:v>-5.8599255877862168E-2</c:v>
                </c:pt>
                <c:pt idx="28">
                  <c:v>-0.28861553000266094</c:v>
                </c:pt>
                <c:pt idx="29">
                  <c:v>-0.14190865786944604</c:v>
                </c:pt>
                <c:pt idx="30">
                  <c:v>0</c:v>
                </c:pt>
                <c:pt idx="31">
                  <c:v>0</c:v>
                </c:pt>
                <c:pt idx="32">
                  <c:v>4.4815593489726045E-2</c:v>
                </c:pt>
                <c:pt idx="33">
                  <c:v>-2.2729261241588701E-2</c:v>
                </c:pt>
                <c:pt idx="34">
                  <c:v>6.6863306842647491E-2</c:v>
                </c:pt>
                <c:pt idx="35">
                  <c:v>-2.9764813980285271E-2</c:v>
                </c:pt>
                <c:pt idx="36">
                  <c:v>2.151855946224367E-2</c:v>
                </c:pt>
                <c:pt idx="37">
                  <c:v>0.39859686971169622</c:v>
                </c:pt>
                <c:pt idx="38">
                  <c:v>-3.1654940535225874E-3</c:v>
                </c:pt>
                <c:pt idx="39">
                  <c:v>0.25687872271183859</c:v>
                </c:pt>
                <c:pt idx="40">
                  <c:v>-0.25792498922291496</c:v>
                </c:pt>
                <c:pt idx="41">
                  <c:v>0.61971601740750271</c:v>
                </c:pt>
                <c:pt idx="42">
                  <c:v>0</c:v>
                </c:pt>
                <c:pt idx="43">
                  <c:v>0</c:v>
                </c:pt>
                <c:pt idx="44">
                  <c:v>0.46426608583658618</c:v>
                </c:pt>
                <c:pt idx="45">
                  <c:v>0.41181881342316679</c:v>
                </c:pt>
                <c:pt idx="46">
                  <c:v>-0.12100687465245959</c:v>
                </c:pt>
                <c:pt idx="47">
                  <c:v>6.719620215479423E-2</c:v>
                </c:pt>
                <c:pt idx="48">
                  <c:v>0.96073534741415989</c:v>
                </c:pt>
                <c:pt idx="49">
                  <c:v>-4.5310078850445697E-2</c:v>
                </c:pt>
                <c:pt idx="50">
                  <c:v>0.25051419589225316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74-48E1-8B2A-6312FEC42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10443232"/>
        <c:axId val="31042595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Trends!$I$35</c15:sqref>
                        </c15:formulaRef>
                      </c:ext>
                    </c:extLst>
                    <c:strCache>
                      <c:ptCount val="1"/>
                      <c:pt idx="0">
                        <c:v>2021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Trends!$H$36:$H$87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Trends!$I$36:$I$87</c15:sqref>
                        </c15:formulaRef>
                      </c:ext>
                    </c:extLst>
                    <c:numCache>
                      <c:formatCode>_("$"* #,##0_);_("$"* \(#,##0\);_("$"* "-"_);_(@_)</c:formatCode>
                      <c:ptCount val="52"/>
                      <c:pt idx="0">
                        <c:v>20.931317204301074</c:v>
                      </c:pt>
                      <c:pt idx="1">
                        <c:v>7.7675677336118447</c:v>
                      </c:pt>
                      <c:pt idx="2">
                        <c:v>9.8045454545454565</c:v>
                      </c:pt>
                      <c:pt idx="3">
                        <c:v>0</c:v>
                      </c:pt>
                      <c:pt idx="4">
                        <c:v>8.8591340920336474</c:v>
                      </c:pt>
                      <c:pt idx="5">
                        <c:v>12.077864392148248</c:v>
                      </c:pt>
                      <c:pt idx="6">
                        <c:v>27.980799999999999</c:v>
                      </c:pt>
                      <c:pt idx="7">
                        <c:v>18.483619252673982</c:v>
                      </c:pt>
                      <c:pt idx="8">
                        <c:v>15.040358744394618</c:v>
                      </c:pt>
                      <c:pt idx="9">
                        <c:v>29.097811624649864</c:v>
                      </c:pt>
                      <c:pt idx="10">
                        <c:v>30.037023713940471</c:v>
                      </c:pt>
                      <c:pt idx="11">
                        <c:v>35.810024286581658</c:v>
                      </c:pt>
                      <c:pt idx="12">
                        <c:v>33.768427458617332</c:v>
                      </c:pt>
                      <c:pt idx="13">
                        <c:v>29.783333333333331</c:v>
                      </c:pt>
                      <c:pt idx="14">
                        <c:v>0</c:v>
                      </c:pt>
                      <c:pt idx="15">
                        <c:v>22.33233368952472</c:v>
                      </c:pt>
                      <c:pt idx="16">
                        <c:v>21.578947368421055</c:v>
                      </c:pt>
                      <c:pt idx="17">
                        <c:v>11.714285714285715</c:v>
                      </c:pt>
                      <c:pt idx="18">
                        <c:v>22.464483479169385</c:v>
                      </c:pt>
                      <c:pt idx="19">
                        <c:v>39.680783353733162</c:v>
                      </c:pt>
                      <c:pt idx="20">
                        <c:v>22.649942029477305</c:v>
                      </c:pt>
                      <c:pt idx="21">
                        <c:v>24.651414677276744</c:v>
                      </c:pt>
                      <c:pt idx="22">
                        <c:v>23.071904761904761</c:v>
                      </c:pt>
                      <c:pt idx="23">
                        <c:v>12.266666666666666</c:v>
                      </c:pt>
                      <c:pt idx="24">
                        <c:v>23.968128686979259</c:v>
                      </c:pt>
                      <c:pt idx="25">
                        <c:v>21.284027777777776</c:v>
                      </c:pt>
                      <c:pt idx="26">
                        <c:v>16.431725146198829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11.428571428571429</c:v>
                      </c:pt>
                      <c:pt idx="30">
                        <c:v>19.065789473684212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18.937944664031619</c:v>
                      </c:pt>
                      <c:pt idx="36">
                        <c:v>33.595161290322579</c:v>
                      </c:pt>
                      <c:pt idx="37">
                        <c:v>12.741935483870968</c:v>
                      </c:pt>
                      <c:pt idx="38">
                        <c:v>24.575342465753415</c:v>
                      </c:pt>
                      <c:pt idx="39">
                        <c:v>17.023809523809526</c:v>
                      </c:pt>
                      <c:pt idx="40">
                        <c:v>18.75</c:v>
                      </c:pt>
                      <c:pt idx="41">
                        <c:v>19.021739130434785</c:v>
                      </c:pt>
                      <c:pt idx="42">
                        <c:v>25.464814814814815</c:v>
                      </c:pt>
                      <c:pt idx="43">
                        <c:v>20.56666666666667</c:v>
                      </c:pt>
                      <c:pt idx="44">
                        <c:v>24.611223571749886</c:v>
                      </c:pt>
                      <c:pt idx="45">
                        <c:v>27.803261385199239</c:v>
                      </c:pt>
                      <c:pt idx="46">
                        <c:v>17.386291334598354</c:v>
                      </c:pt>
                      <c:pt idx="47">
                        <c:v>26.47919254658385</c:v>
                      </c:pt>
                      <c:pt idx="48">
                        <c:v>20.666473224360832</c:v>
                      </c:pt>
                      <c:pt idx="49">
                        <c:v>23.595296199701938</c:v>
                      </c:pt>
                      <c:pt idx="50">
                        <c:v>22.728571428571428</c:v>
                      </c:pt>
                      <c:pt idx="51">
                        <c:v>18.129930394431554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B74-48E1-8B2A-6312FEC42C7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Trends!$J$35</c15:sqref>
                        </c15:formulaRef>
                      </c:ext>
                    </c:extLst>
                    <c:strCache>
                      <c:ptCount val="1"/>
                      <c:pt idx="0">
                        <c:v>2022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Trends!$H$36:$H$87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Trends!$J$36:$J$87</c15:sqref>
                        </c15:formulaRef>
                      </c:ext>
                    </c:extLst>
                    <c:numCache>
                      <c:formatCode>_("$"* #,##0_);_("$"* \(#,##0\);_("$"* "-"_);_(@_)</c:formatCode>
                      <c:ptCount val="52"/>
                      <c:pt idx="0">
                        <c:v>16.590063112729197</c:v>
                      </c:pt>
                      <c:pt idx="1">
                        <c:v>0</c:v>
                      </c:pt>
                      <c:pt idx="2">
                        <c:v>19.136790293040292</c:v>
                      </c:pt>
                      <c:pt idx="3">
                        <c:v>0</c:v>
                      </c:pt>
                      <c:pt idx="4">
                        <c:v>21.349999999999998</c:v>
                      </c:pt>
                      <c:pt idx="5">
                        <c:v>22.356000000000002</c:v>
                      </c:pt>
                      <c:pt idx="6">
                        <c:v>26.101515151515152</c:v>
                      </c:pt>
                      <c:pt idx="7">
                        <c:v>27.1875</c:v>
                      </c:pt>
                      <c:pt idx="8">
                        <c:v>22.307159090909089</c:v>
                      </c:pt>
                      <c:pt idx="9">
                        <c:v>23.084905660377359</c:v>
                      </c:pt>
                      <c:pt idx="10">
                        <c:v>31.809275362318843</c:v>
                      </c:pt>
                      <c:pt idx="11">
                        <c:v>23.808017676767676</c:v>
                      </c:pt>
                      <c:pt idx="12">
                        <c:v>23.972568216097628</c:v>
                      </c:pt>
                      <c:pt idx="13">
                        <c:v>25.041120448179271</c:v>
                      </c:pt>
                      <c:pt idx="14">
                        <c:v>37.01052631578947</c:v>
                      </c:pt>
                      <c:pt idx="15">
                        <c:v>0</c:v>
                      </c:pt>
                      <c:pt idx="16">
                        <c:v>23.301190476190477</c:v>
                      </c:pt>
                      <c:pt idx="17">
                        <c:v>0</c:v>
                      </c:pt>
                      <c:pt idx="18">
                        <c:v>20.1018837156995</c:v>
                      </c:pt>
                      <c:pt idx="19">
                        <c:v>18.921497761497761</c:v>
                      </c:pt>
                      <c:pt idx="20">
                        <c:v>14.590524193548386</c:v>
                      </c:pt>
                      <c:pt idx="21">
                        <c:v>19.192982456140353</c:v>
                      </c:pt>
                      <c:pt idx="22">
                        <c:v>27.046520146520148</c:v>
                      </c:pt>
                      <c:pt idx="23">
                        <c:v>17.736089006674021</c:v>
                      </c:pt>
                      <c:pt idx="24">
                        <c:v>21.038970588235294</c:v>
                      </c:pt>
                      <c:pt idx="25">
                        <c:v>19.67806789831657</c:v>
                      </c:pt>
                      <c:pt idx="26">
                        <c:v>17.681713081202563</c:v>
                      </c:pt>
                      <c:pt idx="27">
                        <c:v>20.782512221518321</c:v>
                      </c:pt>
                      <c:pt idx="28">
                        <c:v>25.175618348897345</c:v>
                      </c:pt>
                      <c:pt idx="29">
                        <c:v>24.927683843263551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17.359131545338442</c:v>
                      </c:pt>
                      <c:pt idx="33">
                        <c:v>20.826728076200865</c:v>
                      </c:pt>
                      <c:pt idx="34">
                        <c:v>18.986450102429032</c:v>
                      </c:pt>
                      <c:pt idx="35">
                        <c:v>21.01952211341732</c:v>
                      </c:pt>
                      <c:pt idx="36">
                        <c:v>26.26394478011483</c:v>
                      </c:pt>
                      <c:pt idx="37">
                        <c:v>17.075648043191137</c:v>
                      </c:pt>
                      <c:pt idx="38">
                        <c:v>18.516449584597758</c:v>
                      </c:pt>
                      <c:pt idx="39">
                        <c:v>16.586847619093994</c:v>
                      </c:pt>
                      <c:pt idx="40">
                        <c:v>28.903069770904306</c:v>
                      </c:pt>
                      <c:pt idx="41">
                        <c:v>15.143399506819614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17.310909090909092</c:v>
                      </c:pt>
                      <c:pt idx="45">
                        <c:v>16.128159630215769</c:v>
                      </c:pt>
                      <c:pt idx="46">
                        <c:v>23.691586538461536</c:v>
                      </c:pt>
                      <c:pt idx="47">
                        <c:v>20.056242574862985</c:v>
                      </c:pt>
                      <c:pt idx="48">
                        <c:v>12.747675854989785</c:v>
                      </c:pt>
                      <c:pt idx="49">
                        <c:v>21.228495391705071</c:v>
                      </c:pt>
                      <c:pt idx="50">
                        <c:v>18.929379790107106</c:v>
                      </c:pt>
                      <c:pt idx="51">
                        <c:v>21.319151416160931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B74-48E1-8B2A-6312FEC42C7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Trends!$L$35</c15:sqref>
                        </c15:formulaRef>
                      </c:ext>
                    </c:extLst>
                    <c:strCache>
                      <c:ptCount val="1"/>
                      <c:pt idx="0">
                        <c:v>2023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Trends!$H$36:$H$87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Trends!$L$36:$L$87</c15:sqref>
                        </c15:formulaRef>
                      </c:ext>
                    </c:extLst>
                    <c:numCache>
                      <c:formatCode>_("$"* #,##0_);_("$"* \(#,##0\);_("$"* "-"_);_(@_)</c:formatCode>
                      <c:ptCount val="52"/>
                      <c:pt idx="0">
                        <c:v>22.777099358974358</c:v>
                      </c:pt>
                      <c:pt idx="1">
                        <c:v>16.497061557495691</c:v>
                      </c:pt>
                      <c:pt idx="2">
                        <c:v>17.488812941370703</c:v>
                      </c:pt>
                      <c:pt idx="3">
                        <c:v>17.929220677273168</c:v>
                      </c:pt>
                      <c:pt idx="4">
                        <c:v>17.594533507566975</c:v>
                      </c:pt>
                      <c:pt idx="5">
                        <c:v>30.216483122597555</c:v>
                      </c:pt>
                      <c:pt idx="6">
                        <c:v>23.679469066509558</c:v>
                      </c:pt>
                      <c:pt idx="7">
                        <c:v>25.255133563963955</c:v>
                      </c:pt>
                      <c:pt idx="8">
                        <c:v>27.184000762648669</c:v>
                      </c:pt>
                      <c:pt idx="9">
                        <c:v>26.036542379708603</c:v>
                      </c:pt>
                      <c:pt idx="10">
                        <c:v>19.431628295255685</c:v>
                      </c:pt>
                      <c:pt idx="11">
                        <c:v>16.60796663999421</c:v>
                      </c:pt>
                      <c:pt idx="12">
                        <c:v>23.572724630477396</c:v>
                      </c:pt>
                      <c:pt idx="13">
                        <c:v>18.867533708858716</c:v>
                      </c:pt>
                      <c:pt idx="14">
                        <c:v>13.421052631578949</c:v>
                      </c:pt>
                      <c:pt idx="15">
                        <c:v>23.869328809070595</c:v>
                      </c:pt>
                      <c:pt idx="16">
                        <c:v>23.821618565539769</c:v>
                      </c:pt>
                      <c:pt idx="17">
                        <c:v>24.186341417376806</c:v>
                      </c:pt>
                      <c:pt idx="18">
                        <c:v>19.094283325392315</c:v>
                      </c:pt>
                      <c:pt idx="19">
                        <c:v>19.087822825758522</c:v>
                      </c:pt>
                      <c:pt idx="20">
                        <c:v>12.351564722617356</c:v>
                      </c:pt>
                      <c:pt idx="21">
                        <c:v>21.819435735239619</c:v>
                      </c:pt>
                      <c:pt idx="22">
                        <c:v>19.242937917418359</c:v>
                      </c:pt>
                      <c:pt idx="23">
                        <c:v>24.536963956853459</c:v>
                      </c:pt>
                      <c:pt idx="24">
                        <c:v>0</c:v>
                      </c:pt>
                      <c:pt idx="25">
                        <c:v>18.648818421295484</c:v>
                      </c:pt>
                      <c:pt idx="26">
                        <c:v>0</c:v>
                      </c:pt>
                      <c:pt idx="27">
                        <c:v>19.564672470064771</c:v>
                      </c:pt>
                      <c:pt idx="28">
                        <c:v>17.909543915985623</c:v>
                      </c:pt>
                      <c:pt idx="29">
                        <c:v>21.390229685272146</c:v>
                      </c:pt>
                      <c:pt idx="30">
                        <c:v>18.945805593449247</c:v>
                      </c:pt>
                      <c:pt idx="31">
                        <c:v>18.293959059769243</c:v>
                      </c:pt>
                      <c:pt idx="32">
                        <c:v>18.13709132800901</c:v>
                      </c:pt>
                      <c:pt idx="33">
                        <c:v>20.353351932949366</c:v>
                      </c:pt>
                      <c:pt idx="34">
                        <c:v>20.25594694148036</c:v>
                      </c:pt>
                      <c:pt idx="35">
                        <c:v>20.393879947756961</c:v>
                      </c:pt>
                      <c:pt idx="36">
                        <c:v>26.829107037578815</c:v>
                      </c:pt>
                      <c:pt idx="37">
                        <c:v>23.881947901505775</c:v>
                      </c:pt>
                      <c:pt idx="38">
                        <c:v>18.457835873545363</c:v>
                      </c:pt>
                      <c:pt idx="39">
                        <c:v>20.847655849302761</c:v>
                      </c:pt>
                      <c:pt idx="40">
                        <c:v>21.448245811734655</c:v>
                      </c:pt>
                      <c:pt idx="41">
                        <c:v>24.528006739196606</c:v>
                      </c:pt>
                      <c:pt idx="42">
                        <c:v>24.482234522345223</c:v>
                      </c:pt>
                      <c:pt idx="43">
                        <c:v>24.561104958549357</c:v>
                      </c:pt>
                      <c:pt idx="44">
                        <c:v>25.347777096818433</c:v>
                      </c:pt>
                      <c:pt idx="45">
                        <c:v>22.770039191830648</c:v>
                      </c:pt>
                      <c:pt idx="46">
                        <c:v>20.824741695884022</c:v>
                      </c:pt>
                      <c:pt idx="47">
                        <c:v>21.403945905389069</c:v>
                      </c:pt>
                      <c:pt idx="48">
                        <c:v>24.994818646256494</c:v>
                      </c:pt>
                      <c:pt idx="49">
                        <c:v>20.266630591630591</c:v>
                      </c:pt>
                      <c:pt idx="50">
                        <c:v>23.671458146964856</c:v>
                      </c:pt>
                      <c:pt idx="5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B74-48E1-8B2A-6312FEC42C7B}"/>
                  </c:ext>
                </c:extLst>
              </c15:ser>
            </c15:filteredBarSeries>
          </c:ext>
        </c:extLst>
      </c:barChart>
      <c:catAx>
        <c:axId val="3104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25952"/>
        <c:crosses val="autoZero"/>
        <c:auto val="1"/>
        <c:lblAlgn val="ctr"/>
        <c:lblOffset val="100"/>
        <c:noMultiLvlLbl val="0"/>
      </c:catAx>
      <c:valAx>
        <c:axId val="310425952"/>
        <c:scaling>
          <c:orientation val="minMax"/>
          <c:max val="1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61632</xdr:colOff>
      <xdr:row>1</xdr:row>
      <xdr:rowOff>1119</xdr:rowOff>
    </xdr:from>
    <xdr:to>
      <xdr:col>37</xdr:col>
      <xdr:colOff>190500</xdr:colOff>
      <xdr:row>27</xdr:row>
      <xdr:rowOff>104775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0FF6E18-B47E-438E-8A7D-42CB9E6FA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12</xdr:row>
      <xdr:rowOff>180975</xdr:rowOff>
    </xdr:from>
    <xdr:to>
      <xdr:col>8</xdr:col>
      <xdr:colOff>409575</xdr:colOff>
      <xdr:row>31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E86F1D-F7BB-4F1F-9ED2-B0052776A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176211</xdr:colOff>
      <xdr:row>2</xdr:row>
      <xdr:rowOff>866776</xdr:rowOff>
    </xdr:from>
    <xdr:to>
      <xdr:col>68</xdr:col>
      <xdr:colOff>504825</xdr:colOff>
      <xdr:row>31</xdr:row>
      <xdr:rowOff>185738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23ABDA-6FC8-1078-F267-DDC788333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</xdr:row>
      <xdr:rowOff>3810</xdr:rowOff>
    </xdr:from>
    <xdr:to>
      <xdr:col>22</xdr:col>
      <xdr:colOff>518160</xdr:colOff>
      <xdr:row>31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F55768-D187-58A9-CC15-C840083EE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259080</xdr:colOff>
      <xdr:row>34</xdr:row>
      <xdr:rowOff>95250</xdr:rowOff>
    </xdr:from>
    <xdr:to>
      <xdr:col>24</xdr:col>
      <xdr:colOff>1129553</xdr:colOff>
      <xdr:row>64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9C55B5-BB01-DE66-A858-B6315BBB7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ke Napoleon" id="{E6672FDE-F945-4FE0-B14F-797BD64F11F2}" userId="5c8220c9eaf51976" providerId="Windows Live"/>
</personList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ke Napoleon" refreshedDate="46166.720247453704" createdVersion="8" refreshedVersion="8" minRefreshableVersion="3" recordCount="0" supportSubquery="1" supportAdvancedDrill="1" xr:uid="{7572B350-F307-4EF9-B9F0-946514E79FBB}">
  <cacheSource type="external" connectionId="10"/>
  <cacheFields count="2">
    <cacheField name="[Measures].[Sum of Mileage]" caption="Sum of Mileage" numFmtId="0" hierarchy="48" level="32767"/>
    <cacheField name="[Mileage].[Date (Year)].[Date (Year)]" caption="Date (Year)" numFmtId="0" hierarchy="39" level="1">
      <sharedItems count="6">
        <s v="2021"/>
        <s v="2022"/>
        <s v="2023"/>
        <s v="2024"/>
        <s v="2025"/>
        <s v="2026"/>
      </sharedItems>
    </cacheField>
  </cacheFields>
  <cacheHierarchies count="63">
    <cacheHierarchy uniqueName="[EarningsPerDay].[Date]" caption="Date" attribute="1" time="1" defaultMemberUniqueName="[EarningsPerDay].[Date].[All]" allUniqueName="[EarningsPerDay].[Date].[All]" dimensionUniqueName="[EarningsPerDay]" displayFolder="" count="0" memberValueDatatype="7" unbalanced="0"/>
    <cacheHierarchy uniqueName="[EarningsPerDay].[Year]" caption="Year" attribute="1" defaultMemberUniqueName="[EarningsPerDay].[Year].[All]" allUniqueName="[EarningsPerDay].[Year].[All]" dimensionUniqueName="[EarningsPerDay]" displayFolder="" count="0" memberValueDatatype="20" unbalanced="0"/>
    <cacheHierarchy uniqueName="[EarningsPerDay].[Quarter]" caption="Quarter" attribute="1" defaultMemberUniqueName="[EarningsPerDay].[Quarter].[All]" allUniqueName="[EarningsPerDay].[Quarter].[All]" dimensionUniqueName="[EarningsPerDay]" displayFolder="" count="0" memberValueDatatype="130" unbalanced="0"/>
    <cacheHierarchy uniqueName="[EarningsPerDay].[Week # in QTR]" caption="Week # in QTR" attribute="1" defaultMemberUniqueName="[EarningsPerDay].[Week # in QTR].[All]" allUniqueName="[EarningsPerDay].[Week # in QTR].[All]" dimensionUniqueName="[EarningsPerDay]" displayFolder="" count="0" memberValueDatatype="20" unbalanced="0"/>
    <cacheHierarchy uniqueName="[EarningsPerDay].[Week #]" caption="Week #" attribute="1" defaultMemberUniqueName="[EarningsPerDay].[Week #].[All]" allUniqueName="[EarningsPerDay].[Week #].[All]" dimensionUniqueName="[EarningsPerDay]" displayFolder="" count="0" memberValueDatatype="20" unbalanced="0"/>
    <cacheHierarchy uniqueName="[EarningsPerDay].[DOW]" caption="DOW" attribute="1" defaultMemberUniqueName="[EarningsPerDay].[DOW].[All]" allUniqueName="[EarningsPerDay].[DOW].[All]" dimensionUniqueName="[EarningsPerDay]" displayFolder="" count="0" memberValueDatatype="130" unbalanced="0"/>
    <cacheHierarchy uniqueName="[EarningsPerDay].[Start Time]" caption="Start Time" attribute="1" defaultMemberUniqueName="[EarningsPerDay].[Start Time].[All]" allUniqueName="[EarningsPerDay].[Start Time].[All]" dimensionUniqueName="[EarningsPerDay]" displayFolder="" count="0" memberValueDatatype="130" unbalanced="0"/>
    <cacheHierarchy uniqueName="[EarningsPerDay].[Primary Area]" caption="Primary Area" attribute="1" defaultMemberUniqueName="[EarningsPerDay].[Primary Area].[All]" allUniqueName="[EarningsPerDay].[Primary Area].[All]" dimensionUniqueName="[EarningsPerDay]" displayFolder="" count="0" memberValueDatatype="130" unbalanced="0"/>
    <cacheHierarchy uniqueName="[EarningsPerDay].[Weather]" caption="Weather" attribute="1" defaultMemberUniqueName="[EarningsPerDay].[Weather].[All]" allUniqueName="[EarningsPerDay].[Weather].[All]" dimensionUniqueName="[EarningsPerDay]" displayFolder="" count="0" memberValueDatatype="130" unbalanced="0"/>
    <cacheHierarchy uniqueName="[EarningsPerDay].[Hi Temp]" caption="Hi Temp" attribute="1" defaultMemberUniqueName="[EarningsPerDay].[Hi Temp].[All]" allUniqueName="[EarningsPerDay].[Hi Temp].[All]" dimensionUniqueName="[EarningsPerDay]" displayFolder="" count="0" memberValueDatatype="5" unbalanced="0"/>
    <cacheHierarchy uniqueName="[EarningsPerDay].[Hours]" caption="Hours" attribute="1" defaultMemberUniqueName="[EarningsPerDay].[Hours].[All]" allUniqueName="[EarningsPerDay].[Hours].[All]" dimensionUniqueName="[EarningsPerDay]" displayFolder="" count="0" memberValueDatatype="5" unbalanced="0"/>
    <cacheHierarchy uniqueName="[EarningsPerDay].[Miles]" caption="Miles" attribute="1" defaultMemberUniqueName="[EarningsPerDay].[Miles].[All]" allUniqueName="[EarningsPerDay].[Miles].[All]" dimensionUniqueName="[EarningsPerDay]" displayFolder="" count="0" memberValueDatatype="5" unbalanced="0"/>
    <cacheHierarchy uniqueName="[EarningsPerDay].[Deliveries]" caption="Deliveries" attribute="1" defaultMemberUniqueName="[EarningsPerDay].[Deliveries].[All]" allUniqueName="[EarningsPerDay].[Deliveries].[All]" dimensionUniqueName="[EarningsPerDay]" displayFolder="" count="0" memberValueDatatype="20" unbalanced="0"/>
    <cacheHierarchy uniqueName="[EarningsPerDay].[Sessions/Day]" caption="Sessions/Day" attribute="1" defaultMemberUniqueName="[EarningsPerDay].[Sessions/Day].[All]" allUniqueName="[EarningsPerDay].[Sessions/Day].[All]" dimensionUniqueName="[EarningsPerDay]" displayFolder="" count="0" memberValueDatatype="20" unbalanced="0"/>
    <cacheHierarchy uniqueName="[EarningsPerDay].[Type]" caption="Type" attribute="1" defaultMemberUniqueName="[EarningsPerDay].[Type].[All]" allUniqueName="[EarningsPerDay].[Type].[All]" dimensionUniqueName="[EarningsPerDay]" displayFolder="" count="0" memberValueDatatype="130" unbalanced="0"/>
    <cacheHierarchy uniqueName="[EarningsPerDay].[Gross Earnings]" caption="Gross Earnings" attribute="1" defaultMemberUniqueName="[EarningsPerDay].[Gross Earnings].[All]" allUniqueName="[EarningsPerDay].[Gross Earnings].[All]" dimensionUniqueName="[EarningsPerDay]" displayFolder="" count="0" memberValueDatatype="5" unbalanced="0"/>
    <cacheHierarchy uniqueName="[EarningsPerDay].[Net Earnings]" caption="Net Earnings" attribute="1" defaultMemberUniqueName="[EarningsPerDay].[Net Earnings].[All]" allUniqueName="[EarningsPerDay].[Net Earnings].[All]" dimensionUniqueName="[EarningsPerDay]" displayFolder="" count="0" memberValueDatatype="5" unbalanced="0"/>
    <cacheHierarchy uniqueName="[EarningsPerDay].[Gross $/Hour]" caption="Gross $/Hour" attribute="1" defaultMemberUniqueName="[EarningsPerDay].[Gross $/Hour].[All]" allUniqueName="[EarningsPerDay].[Gross $/Hour].[All]" dimensionUniqueName="[EarningsPerDay]" displayFolder="" count="0" memberValueDatatype="5" unbalanced="0"/>
    <cacheHierarchy uniqueName="[EarningsPerDay].[Net $/Hour]" caption="Net $/Hour" attribute="1" defaultMemberUniqueName="[EarningsPerDay].[Net $/Hour].[All]" allUniqueName="[EarningsPerDay].[Net $/Hour].[All]" dimensionUniqueName="[EarningsPerDay]" displayFolder="" count="0" memberValueDatatype="5" unbalanced="0"/>
    <cacheHierarchy uniqueName="[EarningsPerDay].[$/Trip]" caption="$/Trip" attribute="1" defaultMemberUniqueName="[EarningsPerDay].[$/Trip].[All]" allUniqueName="[EarningsPerDay].[$/Trip].[All]" dimensionUniqueName="[EarningsPerDay]" displayFolder="" count="0" memberValueDatatype="5" unbalanced="0"/>
    <cacheHierarchy uniqueName="[EarningsPerDay].[$/Mile]" caption="$/Mile" attribute="1" defaultMemberUniqueName="[EarningsPerDay].[$/Mile].[All]" allUniqueName="[EarningsPerDay].[$/Mile].[All]" dimensionUniqueName="[EarningsPerDay]" displayFolder="" count="0" memberValueDatatype="5" unbalanced="0"/>
    <cacheHierarchy uniqueName="[EarningsPerDay].[Trips/Hr]" caption="Trips/Hr" attribute="1" defaultMemberUniqueName="[EarningsPerDay].[Trips/Hr].[All]" allUniqueName="[EarningsPerDay].[Trips/Hr].[All]" dimensionUniqueName="[EarningsPerDay]" displayFolder="" count="0" memberValueDatatype="5" unbalanced="0"/>
    <cacheHierarchy uniqueName="[EarningsPerDay].[Mi./Trip]" caption="Mi./Trip" attribute="1" defaultMemberUniqueName="[EarningsPerDay].[Mi./Trip].[All]" allUniqueName="[EarningsPerDay].[Mi./Trip].[All]" dimensionUniqueName="[EarningsPerDay]" displayFolder="" count="0" memberValueDatatype="5" unbalanced="0"/>
    <cacheHierarchy uniqueName="[EarningsPerDay].[Estimated Time Spent Per Trip]" caption="Estimated Time Spent Per Trip" attribute="1" time="1" defaultMemberUniqueName="[EarningsPerDay].[Estimated Time Spent Per Trip].[All]" allUniqueName="[EarningsPerDay].[Estimated Time Spent Per Trip].[All]" dimensionUniqueName="[EarningsPerDay]" displayFolder="" count="0" memberValueDatatype="7" unbalanced="0"/>
    <cacheHierarchy uniqueName="[EarningsPerDay].[Diff from Avg. per Site &amp; DOW Hist.]" caption="Diff from Avg. per Site &amp; DOW Hist." attribute="1" defaultMemberUniqueName="[EarningsPerDay].[Diff from Avg. per Site &amp; DOW Hist.].[All]" allUniqueName="[EarningsPerDay].[Diff from Avg. per Site &amp; DOW Hist.].[All]" dimensionUniqueName="[EarningsPerDay]" displayFolder="" count="0" memberValueDatatype="130" unbalanced="0"/>
    <cacheHierarchy uniqueName="[EarningsPerDay].[Weekly Average Earnings]" caption="Weekly Average Earnings" attribute="1" defaultMemberUniqueName="[EarningsPerDay].[Weekly Average Earnings].[All]" allUniqueName="[EarningsPerDay].[Weekly Average Earnings].[All]" dimensionUniqueName="[EarningsPerDay]" displayFolder="" count="0" memberValueDatatype="5" unbalanced="0"/>
    <cacheHierarchy uniqueName="[EarningsPerDay].[Diff from Avg. Per Week]" caption="Diff from Avg. Per Week" attribute="1" defaultMemberUniqueName="[EarningsPerDay].[Diff from Avg. Per Week].[All]" allUniqueName="[EarningsPerDay].[Diff from Avg. Per Week].[All]" dimensionUniqueName="[EarningsPerDay]" displayFolder="" count="0" memberValueDatatype="5" unbalanced="0"/>
    <cacheHierarchy uniqueName="[EarningsPerDay].[Date (Year)]" caption="Date (Year)" attribute="1" defaultMemberUniqueName="[EarningsPerDay].[Date (Year)].[All]" allUniqueName="[EarningsPerDay].[Date (Year)].[All]" dimensionUniqueName="[EarningsPerDay]" displayFolder="" count="0" memberValueDatatype="130" unbalanced="0"/>
    <cacheHierarchy uniqueName="[EarningsPerDay].[Date (Quarter)]" caption="Date (Quarter)" attribute="1" defaultMemberUniqueName="[EarningsPerDay].[Date (Quarter)].[All]" allUniqueName="[EarningsPerDay].[Date (Quarter)].[All]" dimensionUniqueName="[EarningsPerDay]" displayFolder="" count="0" memberValueDatatype="130" unbalanced="0"/>
    <cacheHierarchy uniqueName="[EarningsPerDay].[Date (Month)]" caption="Date (Month)" attribute="1" defaultMemberUniqueName="[EarningsPerDay].[Date (Month)].[All]" allUniqueName="[EarningsPerDay].[Date (Month)].[All]" dimensionUniqueName="[EarningsPerDay]" displayFolder="" count="0" memberValueDatatype="130" unbalanced="0"/>
    <cacheHierarchy uniqueName="[EarningsPerDay].[90-Day Earnings]" caption="90-Day Earnings" attribute="1" defaultMemberUniqueName="[EarningsPerDay].[90-Day Earnings].[All]" allUniqueName="[EarningsPerDay].[90-Day Earnings].[All]" dimensionUniqueName="[EarningsPerDay]" displayFolder="" count="0" memberValueDatatype="5" unbalanced="0"/>
    <cacheHierarchy uniqueName="[Mileage].[Date]" caption="Date" attribute="1" time="1" defaultMemberUniqueName="[Mileage].[Date].[All]" allUniqueName="[Mileage].[Date].[All]" dimensionUniqueName="[Mileage]" displayFolder="" count="0" memberValueDatatype="7" unbalanced="0"/>
    <cacheHierarchy uniqueName="[Mileage].[DOW]" caption="DOW" attribute="1" defaultMemberUniqueName="[Mileage].[DOW].[All]" allUniqueName="[Mileage].[DOW].[All]" dimensionUniqueName="[Mileage]" displayFolder="" count="0" memberValueDatatype="130" unbalanced="0"/>
    <cacheHierarchy uniqueName="[Mileage].[Weather]" caption="Weather" attribute="1" defaultMemberUniqueName="[Mileage].[Weather].[All]" allUniqueName="[Mileage].[Weather].[All]" dimensionUniqueName="[Mileage]" displayFolder="" count="0" memberValueDatatype="130" unbalanced="0"/>
    <cacheHierarchy uniqueName="[Mileage].[Hi Temp]" caption="Hi Temp" attribute="1" defaultMemberUniqueName="[Mileage].[Hi Temp].[All]" allUniqueName="[Mileage].[Hi Temp].[All]" dimensionUniqueName="[Mileage]" displayFolder="" count="0" memberValueDatatype="5" unbalanced="0"/>
    <cacheHierarchy uniqueName="[Mileage].[Primary Area]" caption="Primary Area" attribute="1" defaultMemberUniqueName="[Mileage].[Primary Area].[All]" allUniqueName="[Mileage].[Primary Area].[All]" dimensionUniqueName="[Mileage]" displayFolder="" count="0" memberValueDatatype="130" unbalanced="0"/>
    <cacheHierarchy uniqueName="[Mileage].[Start Time]" caption="Start Time" attribute="1" time="1" defaultMemberUniqueName="[Mileage].[Start Time].[All]" allUniqueName="[Mileage].[Start Time].[All]" dimensionUniqueName="[Mileage]" displayFolder="" count="0" memberValueDatatype="7" unbalanced="0"/>
    <cacheHierarchy uniqueName="[Mileage].[Total Time]" caption="Total Time" attribute="1" defaultMemberUniqueName="[Mileage].[Total Time].[All]" allUniqueName="[Mileage].[Total Time].[All]" dimensionUniqueName="[Mileage]" displayFolder="" count="0" memberValueDatatype="5" unbalanced="0"/>
    <cacheHierarchy uniqueName="[Mileage].[Mileage]" caption="Mileage" attribute="1" defaultMemberUniqueName="[Mileage].[Mileage].[All]" allUniqueName="[Mileage].[Mileage].[All]" dimensionUniqueName="[Mileage]" displayFolder="" count="0" memberValueDatatype="5" unbalanced="0"/>
    <cacheHierarchy uniqueName="[Mileage].[Date (Year)]" caption="Date (Year)" attribute="1" defaultMemberUniqueName="[Mileage].[Date (Year)].[All]" allUniqueName="[Mileage].[Date (Year)].[All]" dimensionUniqueName="[Mileage]" displayFolder="" count="2" memberValueDatatype="130" unbalanced="0">
      <fieldsUsage count="2">
        <fieldUsage x="-1"/>
        <fieldUsage x="1"/>
      </fieldsUsage>
    </cacheHierarchy>
    <cacheHierarchy uniqueName="[Mileage].[Date (Quarter)]" caption="Date (Quarter)" attribute="1" defaultMemberUniqueName="[Mileage].[Date (Quarter)].[All]" allUniqueName="[Mileage].[Date (Quarter)].[All]" dimensionUniqueName="[Mileage]" displayFolder="" count="0" memberValueDatatype="130" unbalanced="0"/>
    <cacheHierarchy uniqueName="[Mileage].[Date (Month)]" caption="Date (Month)" attribute="1" defaultMemberUniqueName="[Mileage].[Date (Month)].[All]" allUniqueName="[Mileage].[Date (Month)].[All]" dimensionUniqueName="[Mileage]" displayFolder="" count="0" memberValueDatatype="130" unbalanced="0"/>
    <cacheHierarchy uniqueName="[Mileage].[UE/DD]" caption="UE/DD" attribute="1" defaultMemberUniqueName="[Mileage].[UE/DD].[All]" allUniqueName="[Mileage].[UE/DD].[All]" dimensionUniqueName="[Mileage]" displayFolder="" count="0" memberValueDatatype="130" unbalanced="0"/>
    <cacheHierarchy uniqueName="[EarningsPerDay].[Date (Month Index)]" caption="Date (Month Index)" attribute="1" defaultMemberUniqueName="[EarningsPerDay].[Date (Month Index)].[All]" allUniqueName="[EarningsPerDay].[Date (Month Index)].[All]" dimensionUniqueName="[EarningsPerDay]" displayFolder="" count="0" memberValueDatatype="20" unbalanced="0" hidden="1"/>
    <cacheHierarchy uniqueName="[Mileage].[Date (Month Index)]" caption="Date (Month Index)" attribute="1" defaultMemberUniqueName="[Mileage].[Date (Month Index)].[All]" allUniqueName="[Mileage].[Date (Month Index)].[All]" dimensionUniqueName="[Mileage]" displayFolder="" count="0" memberValueDatatype="20" unbalanced="0" hidden="1"/>
    <cacheHierarchy uniqueName="[Measures].[__XL_Count EarningsPerDay]" caption="__XL_Count EarningsPerDay" measure="1" displayFolder="" measureGroup="EarningsPerDay" count="0" hidden="1"/>
    <cacheHierarchy uniqueName="[Measures].[__XL_Count Mileage]" caption="__XL_Count Mileage" measure="1" displayFolder="" measureGroup="Mileage" count="0" hidden="1"/>
    <cacheHierarchy uniqueName="[Measures].[__No measures defined]" caption="__No measures defined" measure="1" displayFolder="" count="0" hidden="1"/>
    <cacheHierarchy uniqueName="[Measures].[Sum of Mileage]" caption="Sum of Mileage" measure="1" displayFolder="" measureGroup="Milea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Week #]" caption="Sum of Week #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Deliveries]" caption="Sum of Deliveries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Gross Earnings]" caption="Sum of Gross Earnings" measure="1" displayFolder="" measureGroup="EarningsPerDay" count="0" hidden="1"/>
    <cacheHierarchy uniqueName="[Measures].[Count of Date]" caption="Count of Dat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Estimated Time Spent Per Trip]" caption="Count of Estimated Time Spent Per 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Average of Gross Earnings]" caption="Average of Gross Earnings" measure="1" displayFolder="" measureGroup="EarningsPerDay" count="0" hidden="1"/>
    <cacheHierarchy uniqueName="[Measures].[Sum of Year]" caption="Sum of Year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Hours]" caption="Sum of Hours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$/Trip]" caption="Sum of $/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Average of $/Trip]" caption="Average of $/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Net Earnings]" caption="Sum of Net Earnings" measure="1" displayFolder="" measureGroup="EarningsPerDay" count="0" hidden="1"/>
    <cacheHierarchy uniqueName="[Measures].[Average of Net Earnings]" caption="Average of Net Earnings" measure="1" displayFolder="" measureGroup="EarningsPerDay" count="0" hidden="1"/>
    <cacheHierarchy uniqueName="[Measures].[Sum of $/Mile]" caption="Sum of $/Mil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Average of $/Mile]" caption="Average of $/Mil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EarningsPerDay" uniqueName="[EarningsPerDay]" caption="EarningsPerDay"/>
    <dimension measure="1" name="Measures" uniqueName="[Measures]" caption="Measures"/>
    <dimension name="Mileage" uniqueName="[Mileage]" caption="Mileage"/>
  </dimensions>
  <measureGroups count="2">
    <measureGroup name="EarningsPerDay" caption="EarningsPerDay"/>
    <measureGroup name="Mileage" caption="Mileage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ke Napoleon" refreshedDate="46166.720249189813" createdVersion="8" refreshedVersion="8" minRefreshableVersion="3" recordCount="0" supportSubquery="1" supportAdvancedDrill="1" xr:uid="{A464137A-FAF0-4214-AB7D-B7F3905410A5}">
  <cacheSource type="external" connectionId="10"/>
  <cacheFields count="4">
    <cacheField name="[Measures].[Sum of Deliveries]" caption="Sum of Deliveries" numFmtId="0" hierarchy="50" level="32767"/>
    <cacheField name="[EarningsPerDay].[Date (Quarter)].[Date (Quarter)]" caption="Date (Quarter)" numFmtId="0" hierarchy="28" level="1">
      <sharedItems containsSemiMixedTypes="0" containsNonDate="0" containsString="0"/>
    </cacheField>
    <cacheField name="[EarningsPerDay].[DOW].[DOW]" caption="DOW" numFmtId="0" hierarchy="5" level="1">
      <sharedItems containsSemiMixedTypes="0" containsNonDate="0" containsString="0"/>
    </cacheField>
    <cacheField name="[EarningsPerDay].[Date].[Date]" caption="Date" numFmtId="0" level="1">
      <sharedItems containsSemiMixedTypes="0" containsNonDate="0" containsDate="1" containsString="0" minDate="2021-01-02T00:00:00" maxDate="2026-02-22T00:00:00" count="41">
        <d v="2021-01-02T00:00:00"/>
        <d v="2021-01-30T00:00:00"/>
        <d v="2021-02-20T00:00:00"/>
        <d v="2021-02-27T00:00:00"/>
        <d v="2021-03-06T00:00:00"/>
        <d v="2021-03-27T00:00:00"/>
        <d v="2022-01-15T00:00:00"/>
        <d v="2022-02-12T00:00:00"/>
        <d v="2022-03-12T00:00:00"/>
        <d v="2022-03-19T00:00:00"/>
        <d v="2022-03-26T00:00:00"/>
        <d v="2023-01-21T00:00:00"/>
        <d v="2023-01-28T00:00:00"/>
        <d v="2023-02-11T00:00:00"/>
        <d v="2023-03-04T00:00:00"/>
        <d v="2023-03-11T00:00:00"/>
        <d v="2023-03-18T00:00:00"/>
        <d v="2023-03-25T00:00:00"/>
        <d v="2024-01-06T00:00:00"/>
        <d v="2024-01-13T00:00:00"/>
        <d v="2024-01-20T00:00:00"/>
        <d v="2024-01-27T00:00:00"/>
        <d v="2024-02-10T00:00:00"/>
        <d v="2024-02-17T00:00:00"/>
        <d v="2024-02-24T00:00:00"/>
        <d v="2024-03-02T00:00:00"/>
        <d v="2024-03-09T00:00:00"/>
        <d v="2024-03-16T00:00:00"/>
        <d v="2025-01-11T00:00:00"/>
        <d v="2025-01-18T00:00:00"/>
        <d v="2025-02-01T00:00:00"/>
        <d v="2025-02-15T00:00:00"/>
        <d v="2025-02-22T00:00:00"/>
        <d v="2025-03-01T00:00:00"/>
        <d v="2025-03-08T00:00:00"/>
        <d v="2025-03-22T00:00:00"/>
        <d v="2026-01-03T00:00:00"/>
        <d v="2026-01-17T00:00:00"/>
        <d v="2026-01-24T00:00:00"/>
        <d v="2026-02-14T00:00:00"/>
        <d v="2026-02-21T00:00:00"/>
      </sharedItems>
    </cacheField>
  </cacheFields>
  <cacheHierarchies count="63">
    <cacheHierarchy uniqueName="[EarningsPerDay].[Date]" caption="Date" attribute="1" time="1" defaultMemberUniqueName="[EarningsPerDay].[Date].[All]" allUniqueName="[EarningsPerDay].[Date].[All]" dimensionUniqueName="[EarningsPerDay]" displayFolder="" count="2" memberValueDatatype="7" unbalanced="0">
      <fieldsUsage count="2">
        <fieldUsage x="-1"/>
        <fieldUsage x="3"/>
      </fieldsUsage>
    </cacheHierarchy>
    <cacheHierarchy uniqueName="[EarningsPerDay].[Year]" caption="Year" attribute="1" defaultMemberUniqueName="[EarningsPerDay].[Year].[All]" allUniqueName="[EarningsPerDay].[Year].[All]" dimensionUniqueName="[EarningsPerDay]" displayFolder="" count="0" memberValueDatatype="20" unbalanced="0"/>
    <cacheHierarchy uniqueName="[EarningsPerDay].[Quarter]" caption="Quarter" attribute="1" defaultMemberUniqueName="[EarningsPerDay].[Quarter].[All]" allUniqueName="[EarningsPerDay].[Quarter].[All]" dimensionUniqueName="[EarningsPerDay]" displayFolder="" count="0" memberValueDatatype="130" unbalanced="0"/>
    <cacheHierarchy uniqueName="[EarningsPerDay].[Week # in QTR]" caption="Week # in QTR" attribute="1" defaultMemberUniqueName="[EarningsPerDay].[Week # in QTR].[All]" allUniqueName="[EarningsPerDay].[Week # in QTR].[All]" dimensionUniqueName="[EarningsPerDay]" displayFolder="" count="0" memberValueDatatype="20" unbalanced="0"/>
    <cacheHierarchy uniqueName="[EarningsPerDay].[Week #]" caption="Week #" attribute="1" defaultMemberUniqueName="[EarningsPerDay].[Week #].[All]" allUniqueName="[EarningsPerDay].[Week #].[All]" dimensionUniqueName="[EarningsPerDay]" displayFolder="" count="0" memberValueDatatype="20" unbalanced="0"/>
    <cacheHierarchy uniqueName="[EarningsPerDay].[DOW]" caption="DOW" attribute="1" defaultMemberUniqueName="[EarningsPerDay].[DOW].[All]" allUniqueName="[EarningsPerDay].[DOW].[All]" dimensionUniqueName="[EarningsPerDay]" displayFolder="" count="2" memberValueDatatype="130" unbalanced="0">
      <fieldsUsage count="2">
        <fieldUsage x="-1"/>
        <fieldUsage x="2"/>
      </fieldsUsage>
    </cacheHierarchy>
    <cacheHierarchy uniqueName="[EarningsPerDay].[Start Time]" caption="Start Time" attribute="1" defaultMemberUniqueName="[EarningsPerDay].[Start Time].[All]" allUniqueName="[EarningsPerDay].[Start Time].[All]" dimensionUniqueName="[EarningsPerDay]" displayFolder="" count="0" memberValueDatatype="130" unbalanced="0"/>
    <cacheHierarchy uniqueName="[EarningsPerDay].[Primary Area]" caption="Primary Area" attribute="1" defaultMemberUniqueName="[EarningsPerDay].[Primary Area].[All]" allUniqueName="[EarningsPerDay].[Primary Area].[All]" dimensionUniqueName="[EarningsPerDay]" displayFolder="" count="0" memberValueDatatype="130" unbalanced="0"/>
    <cacheHierarchy uniqueName="[EarningsPerDay].[Weather]" caption="Weather" attribute="1" defaultMemberUniqueName="[EarningsPerDay].[Weather].[All]" allUniqueName="[EarningsPerDay].[Weather].[All]" dimensionUniqueName="[EarningsPerDay]" displayFolder="" count="0" memberValueDatatype="130" unbalanced="0"/>
    <cacheHierarchy uniqueName="[EarningsPerDay].[Hi Temp]" caption="Hi Temp" attribute="1" defaultMemberUniqueName="[EarningsPerDay].[Hi Temp].[All]" allUniqueName="[EarningsPerDay].[Hi Temp].[All]" dimensionUniqueName="[EarningsPerDay]" displayFolder="" count="0" memberValueDatatype="5" unbalanced="0"/>
    <cacheHierarchy uniqueName="[EarningsPerDay].[Hours]" caption="Hours" attribute="1" defaultMemberUniqueName="[EarningsPerDay].[Hours].[All]" allUniqueName="[EarningsPerDay].[Hours].[All]" dimensionUniqueName="[EarningsPerDay]" displayFolder="" count="0" memberValueDatatype="5" unbalanced="0"/>
    <cacheHierarchy uniqueName="[EarningsPerDay].[Miles]" caption="Miles" attribute="1" defaultMemberUniqueName="[EarningsPerDay].[Miles].[All]" allUniqueName="[EarningsPerDay].[Miles].[All]" dimensionUniqueName="[EarningsPerDay]" displayFolder="" count="0" memberValueDatatype="5" unbalanced="0"/>
    <cacheHierarchy uniqueName="[EarningsPerDay].[Deliveries]" caption="Deliveries" attribute="1" defaultMemberUniqueName="[EarningsPerDay].[Deliveries].[All]" allUniqueName="[EarningsPerDay].[Deliveries].[All]" dimensionUniqueName="[EarningsPerDay]" displayFolder="" count="0" memberValueDatatype="20" unbalanced="0"/>
    <cacheHierarchy uniqueName="[EarningsPerDay].[Sessions/Day]" caption="Sessions/Day" attribute="1" defaultMemberUniqueName="[EarningsPerDay].[Sessions/Day].[All]" allUniqueName="[EarningsPerDay].[Sessions/Day].[All]" dimensionUniqueName="[EarningsPerDay]" displayFolder="" count="0" memberValueDatatype="20" unbalanced="0"/>
    <cacheHierarchy uniqueName="[EarningsPerDay].[Type]" caption="Type" attribute="1" defaultMemberUniqueName="[EarningsPerDay].[Type].[All]" allUniqueName="[EarningsPerDay].[Type].[All]" dimensionUniqueName="[EarningsPerDay]" displayFolder="" count="0" memberValueDatatype="130" unbalanced="0"/>
    <cacheHierarchy uniqueName="[EarningsPerDay].[Gross Earnings]" caption="Gross Earnings" attribute="1" defaultMemberUniqueName="[EarningsPerDay].[Gross Earnings].[All]" allUniqueName="[EarningsPerDay].[Gross Earnings].[All]" dimensionUniqueName="[EarningsPerDay]" displayFolder="" count="0" memberValueDatatype="5" unbalanced="0"/>
    <cacheHierarchy uniqueName="[EarningsPerDay].[Net Earnings]" caption="Net Earnings" attribute="1" defaultMemberUniqueName="[EarningsPerDay].[Net Earnings].[All]" allUniqueName="[EarningsPerDay].[Net Earnings].[All]" dimensionUniqueName="[EarningsPerDay]" displayFolder="" count="0" memberValueDatatype="5" unbalanced="0"/>
    <cacheHierarchy uniqueName="[EarningsPerDay].[Gross $/Hour]" caption="Gross $/Hour" attribute="1" defaultMemberUniqueName="[EarningsPerDay].[Gross $/Hour].[All]" allUniqueName="[EarningsPerDay].[Gross $/Hour].[All]" dimensionUniqueName="[EarningsPerDay]" displayFolder="" count="0" memberValueDatatype="5" unbalanced="0"/>
    <cacheHierarchy uniqueName="[EarningsPerDay].[Net $/Hour]" caption="Net $/Hour" attribute="1" defaultMemberUniqueName="[EarningsPerDay].[Net $/Hour].[All]" allUniqueName="[EarningsPerDay].[Net $/Hour].[All]" dimensionUniqueName="[EarningsPerDay]" displayFolder="" count="0" memberValueDatatype="5" unbalanced="0"/>
    <cacheHierarchy uniqueName="[EarningsPerDay].[$/Trip]" caption="$/Trip" attribute="1" defaultMemberUniqueName="[EarningsPerDay].[$/Trip].[All]" allUniqueName="[EarningsPerDay].[$/Trip].[All]" dimensionUniqueName="[EarningsPerDay]" displayFolder="" count="0" memberValueDatatype="5" unbalanced="0"/>
    <cacheHierarchy uniqueName="[EarningsPerDay].[$/Mile]" caption="$/Mile" attribute="1" defaultMemberUniqueName="[EarningsPerDay].[$/Mile].[All]" allUniqueName="[EarningsPerDay].[$/Mile].[All]" dimensionUniqueName="[EarningsPerDay]" displayFolder="" count="0" memberValueDatatype="5" unbalanced="0"/>
    <cacheHierarchy uniqueName="[EarningsPerDay].[Trips/Hr]" caption="Trips/Hr" attribute="1" defaultMemberUniqueName="[EarningsPerDay].[Trips/Hr].[All]" allUniqueName="[EarningsPerDay].[Trips/Hr].[All]" dimensionUniqueName="[EarningsPerDay]" displayFolder="" count="0" memberValueDatatype="5" unbalanced="0"/>
    <cacheHierarchy uniqueName="[EarningsPerDay].[Mi./Trip]" caption="Mi./Trip" attribute="1" defaultMemberUniqueName="[EarningsPerDay].[Mi./Trip].[All]" allUniqueName="[EarningsPerDay].[Mi./Trip].[All]" dimensionUniqueName="[EarningsPerDay]" displayFolder="" count="0" memberValueDatatype="5" unbalanced="0"/>
    <cacheHierarchy uniqueName="[EarningsPerDay].[Estimated Time Spent Per Trip]" caption="Estimated Time Spent Per Trip" attribute="1" time="1" defaultMemberUniqueName="[EarningsPerDay].[Estimated Time Spent Per Trip].[All]" allUniqueName="[EarningsPerDay].[Estimated Time Spent Per Trip].[All]" dimensionUniqueName="[EarningsPerDay]" displayFolder="" count="0" memberValueDatatype="7" unbalanced="0"/>
    <cacheHierarchy uniqueName="[EarningsPerDay].[Diff from Avg. per Site &amp; DOW Hist.]" caption="Diff from Avg. per Site &amp; DOW Hist." attribute="1" defaultMemberUniqueName="[EarningsPerDay].[Diff from Avg. per Site &amp; DOW Hist.].[All]" allUniqueName="[EarningsPerDay].[Diff from Avg. per Site &amp; DOW Hist.].[All]" dimensionUniqueName="[EarningsPerDay]" displayFolder="" count="0" memberValueDatatype="130" unbalanced="0"/>
    <cacheHierarchy uniqueName="[EarningsPerDay].[Weekly Average Earnings]" caption="Weekly Average Earnings" attribute="1" defaultMemberUniqueName="[EarningsPerDay].[Weekly Average Earnings].[All]" allUniqueName="[EarningsPerDay].[Weekly Average Earnings].[All]" dimensionUniqueName="[EarningsPerDay]" displayFolder="" count="0" memberValueDatatype="5" unbalanced="0"/>
    <cacheHierarchy uniqueName="[EarningsPerDay].[Diff from Avg. Per Week]" caption="Diff from Avg. Per Week" attribute="1" defaultMemberUniqueName="[EarningsPerDay].[Diff from Avg. Per Week].[All]" allUniqueName="[EarningsPerDay].[Diff from Avg. Per Week].[All]" dimensionUniqueName="[EarningsPerDay]" displayFolder="" count="0" memberValueDatatype="5" unbalanced="0"/>
    <cacheHierarchy uniqueName="[EarningsPerDay].[Date (Year)]" caption="Date (Year)" attribute="1" defaultMemberUniqueName="[EarningsPerDay].[Date (Year)].[All]" allUniqueName="[EarningsPerDay].[Date (Year)].[All]" dimensionUniqueName="[EarningsPerDay]" displayFolder="" count="0" memberValueDatatype="130" unbalanced="0"/>
    <cacheHierarchy uniqueName="[EarningsPerDay].[Date (Quarter)]" caption="Date (Quarter)" attribute="1" defaultMemberUniqueName="[EarningsPerDay].[Date (Quarter)].[All]" allUniqueName="[EarningsPerDay].[Date (Quarter)].[All]" dimensionUniqueName="[EarningsPerDay]" displayFolder="" count="2" memberValueDatatype="130" unbalanced="0">
      <fieldsUsage count="2">
        <fieldUsage x="-1"/>
        <fieldUsage x="1"/>
      </fieldsUsage>
    </cacheHierarchy>
    <cacheHierarchy uniqueName="[EarningsPerDay].[Date (Month)]" caption="Date (Month)" attribute="1" defaultMemberUniqueName="[EarningsPerDay].[Date (Month)].[All]" allUniqueName="[EarningsPerDay].[Date (Month)].[All]" dimensionUniqueName="[EarningsPerDay]" displayFolder="" count="0" memberValueDatatype="130" unbalanced="0"/>
    <cacheHierarchy uniqueName="[EarningsPerDay].[90-Day Earnings]" caption="90-Day Earnings" attribute="1" defaultMemberUniqueName="[EarningsPerDay].[90-Day Earnings].[All]" allUniqueName="[EarningsPerDay].[90-Day Earnings].[All]" dimensionUniqueName="[EarningsPerDay]" displayFolder="" count="0" memberValueDatatype="5" unbalanced="0"/>
    <cacheHierarchy uniqueName="[Mileage].[Date]" caption="Date" attribute="1" time="1" defaultMemberUniqueName="[Mileage].[Date].[All]" allUniqueName="[Mileage].[Date].[All]" dimensionUniqueName="[Mileage]" displayFolder="" count="0" memberValueDatatype="7" unbalanced="0"/>
    <cacheHierarchy uniqueName="[Mileage].[DOW]" caption="DOW" attribute="1" defaultMemberUniqueName="[Mileage].[DOW].[All]" allUniqueName="[Mileage].[DOW].[All]" dimensionUniqueName="[Mileage]" displayFolder="" count="0" memberValueDatatype="130" unbalanced="0"/>
    <cacheHierarchy uniqueName="[Mileage].[Weather]" caption="Weather" attribute="1" defaultMemberUniqueName="[Mileage].[Weather].[All]" allUniqueName="[Mileage].[Weather].[All]" dimensionUniqueName="[Mileage]" displayFolder="" count="0" memberValueDatatype="130" unbalanced="0"/>
    <cacheHierarchy uniqueName="[Mileage].[Hi Temp]" caption="Hi Temp" attribute="1" defaultMemberUniqueName="[Mileage].[Hi Temp].[All]" allUniqueName="[Mileage].[Hi Temp].[All]" dimensionUniqueName="[Mileage]" displayFolder="" count="0" memberValueDatatype="5" unbalanced="0"/>
    <cacheHierarchy uniqueName="[Mileage].[Primary Area]" caption="Primary Area" attribute="1" defaultMemberUniqueName="[Mileage].[Primary Area].[All]" allUniqueName="[Mileage].[Primary Area].[All]" dimensionUniqueName="[Mileage]" displayFolder="" count="0" memberValueDatatype="130" unbalanced="0"/>
    <cacheHierarchy uniqueName="[Mileage].[Start Time]" caption="Start Time" attribute="1" time="1" defaultMemberUniqueName="[Mileage].[Start Time].[All]" allUniqueName="[Mileage].[Start Time].[All]" dimensionUniqueName="[Mileage]" displayFolder="" count="0" memberValueDatatype="7" unbalanced="0"/>
    <cacheHierarchy uniqueName="[Mileage].[Total Time]" caption="Total Time" attribute="1" defaultMemberUniqueName="[Mileage].[Total Time].[All]" allUniqueName="[Mileage].[Total Time].[All]" dimensionUniqueName="[Mileage]" displayFolder="" count="0" memberValueDatatype="5" unbalanced="0"/>
    <cacheHierarchy uniqueName="[Mileage].[Mileage]" caption="Mileage" attribute="1" defaultMemberUniqueName="[Mileage].[Mileage].[All]" allUniqueName="[Mileage].[Mileage].[All]" dimensionUniqueName="[Mileage]" displayFolder="" count="0" memberValueDatatype="5" unbalanced="0"/>
    <cacheHierarchy uniqueName="[Mileage].[Date (Year)]" caption="Date (Year)" attribute="1" defaultMemberUniqueName="[Mileage].[Date (Year)].[All]" allUniqueName="[Mileage].[Date (Year)].[All]" dimensionUniqueName="[Mileage]" displayFolder="" count="0" memberValueDatatype="130" unbalanced="0"/>
    <cacheHierarchy uniqueName="[Mileage].[Date (Quarter)]" caption="Date (Quarter)" attribute="1" defaultMemberUniqueName="[Mileage].[Date (Quarter)].[All]" allUniqueName="[Mileage].[Date (Quarter)].[All]" dimensionUniqueName="[Mileage]" displayFolder="" count="0" memberValueDatatype="130" unbalanced="0"/>
    <cacheHierarchy uniqueName="[Mileage].[Date (Month)]" caption="Date (Month)" attribute="1" defaultMemberUniqueName="[Mileage].[Date (Month)].[All]" allUniqueName="[Mileage].[Date (Month)].[All]" dimensionUniqueName="[Mileage]" displayFolder="" count="0" memberValueDatatype="130" unbalanced="0"/>
    <cacheHierarchy uniqueName="[Mileage].[UE/DD]" caption="UE/DD" attribute="1" defaultMemberUniqueName="[Mileage].[UE/DD].[All]" allUniqueName="[Mileage].[UE/DD].[All]" dimensionUniqueName="[Mileage]" displayFolder="" count="0" memberValueDatatype="130" unbalanced="0"/>
    <cacheHierarchy uniqueName="[EarningsPerDay].[Date (Month Index)]" caption="Date (Month Index)" attribute="1" defaultMemberUniqueName="[EarningsPerDay].[Date (Month Index)].[All]" allUniqueName="[EarningsPerDay].[Date (Month Index)].[All]" dimensionUniqueName="[EarningsPerDay]" displayFolder="" count="0" memberValueDatatype="20" unbalanced="0" hidden="1"/>
    <cacheHierarchy uniqueName="[Mileage].[Date (Month Index)]" caption="Date (Month Index)" attribute="1" defaultMemberUniqueName="[Mileage].[Date (Month Index)].[All]" allUniqueName="[Mileage].[Date (Month Index)].[All]" dimensionUniqueName="[Mileage]" displayFolder="" count="0" memberValueDatatype="20" unbalanced="0" hidden="1"/>
    <cacheHierarchy uniqueName="[Measures].[__XL_Count EarningsPerDay]" caption="__XL_Count EarningsPerDay" measure="1" displayFolder="" measureGroup="EarningsPerDay" count="0" hidden="1"/>
    <cacheHierarchy uniqueName="[Measures].[__XL_Count Mileage]" caption="__XL_Count Mileage" measure="1" displayFolder="" measureGroup="Mileage" count="0" hidden="1"/>
    <cacheHierarchy uniqueName="[Measures].[__No measures defined]" caption="__No measures defined" measure="1" displayFolder="" count="0" hidden="1"/>
    <cacheHierarchy uniqueName="[Measures].[Sum of Mileage]" caption="Sum of Mileage" measure="1" displayFolder="" measureGroup="Mileage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Week #]" caption="Sum of Week #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Deliveries]" caption="Sum of Deliveries" measure="1" displayFolder="" measureGroup="EarningsPerDa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Gross Earnings]" caption="Sum of Gross Earnings" measure="1" displayFolder="" measureGroup="EarningsPerDay" count="0" hidden="1"/>
    <cacheHierarchy uniqueName="[Measures].[Count of Date]" caption="Count of Dat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Estimated Time Spent Per Trip]" caption="Count of Estimated Time Spent Per 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Average of Gross Earnings]" caption="Average of Gross Earnings" measure="1" displayFolder="" measureGroup="EarningsPerDay" count="0" hidden="1"/>
    <cacheHierarchy uniqueName="[Measures].[Sum of Year]" caption="Sum of Year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Hours]" caption="Sum of Hours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$/Trip]" caption="Sum of $/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Average of $/Trip]" caption="Average of $/Trip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Net Earnings]" caption="Sum of Net Earnings" measure="1" displayFolder="" measureGroup="EarningsPerDay" count="0" hidden="1"/>
    <cacheHierarchy uniqueName="[Measures].[Average of Net Earnings]" caption="Average of Net Earnings" measure="1" displayFolder="" measureGroup="EarningsPerDay" count="0" hidden="1"/>
    <cacheHierarchy uniqueName="[Measures].[Sum of $/Mile]" caption="Sum of $/Mil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Average of $/Mile]" caption="Average of $/Mile" measure="1" displayFolder="" measureGroup="EarningsPerDay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EarningsPerDay" uniqueName="[EarningsPerDay]" caption="EarningsPerDay"/>
    <dimension measure="1" name="Measures" uniqueName="[Measures]" caption="Measures"/>
    <dimension name="Mileage" uniqueName="[Mileage]" caption="Mileage"/>
  </dimensions>
  <measureGroups count="2">
    <measureGroup name="EarningsPerDay" caption="EarningsPerDay"/>
    <measureGroup name="Mileage" caption="Mileage"/>
  </measureGroups>
  <maps count="3">
    <map measureGroup="0" dimension="0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1041668" createdVersion="7" refreshedVersion="8" minRefreshableVersion="3" recordCount="882" xr:uid="{1912FF3E-E782-4747-9164-97A26C194D35}">
  <cacheSource type="worksheet">
    <worksheetSource name="EarningsPerDay"/>
  </cacheSource>
  <cacheFields count="29">
    <cacheField name="Date" numFmtId="14">
      <sharedItems containsSemiMixedTypes="0" containsNonDate="0" containsDate="1" containsString="0" minDate="2021-01-01T00:00:00" maxDate="2026-05-23T00:00:00" count="882">
        <d v="2021-01-01T00:00:00"/>
        <d v="2021-01-02T00:00:00"/>
        <d v="2021-01-08T00:00:00"/>
        <d v="2021-01-10T00:00:00"/>
        <d v="2021-01-17T00:00:00"/>
        <d v="2021-01-30T00:00:00"/>
        <d v="2021-01-31T00:00:00"/>
        <d v="2021-02-01T00:00:00"/>
        <d v="2021-02-02T00:00:00"/>
        <d v="2021-02-07T00:00:00"/>
        <d v="2021-02-14T00:00:00"/>
        <d v="2021-02-20T00:00:00"/>
        <d v="2021-02-21T00:00:00"/>
        <d v="2021-02-27T00:00:00"/>
        <d v="2021-03-01T00:00:00"/>
        <d v="2021-03-02T00:00:00"/>
        <d v="2021-03-05T00:00:00"/>
        <d v="2021-03-06T00:00:00"/>
        <d v="2021-03-09T00:00:00"/>
        <d v="2021-03-10T00:00:00"/>
        <d v="2021-03-12T00:00:00"/>
        <d v="2021-03-15T00:00:00"/>
        <d v="2021-03-17T00:00:00"/>
        <d v="2021-03-19T00:00:00"/>
        <d v="2021-03-22T00:00:00"/>
        <d v="2021-03-24T00:00:00"/>
        <d v="2021-03-27T00:00:00"/>
        <d v="2021-04-03T00:00:00"/>
        <d v="2021-04-16T00:00:00"/>
        <d v="2021-04-17T00:00:00"/>
        <d v="2021-04-18T00:00:00"/>
        <d v="2021-04-25T00:00:00"/>
        <d v="2021-05-02T00:00:00"/>
        <d v="2021-05-03T00:00:00"/>
        <d v="2021-05-04T00:00:00"/>
        <d v="2021-05-05T00:00:00"/>
        <d v="2021-05-06T00:00:00"/>
        <d v="2021-05-07T00:00:00"/>
        <d v="2021-05-12T00:00:00"/>
        <d v="2021-05-14T00:00:00"/>
        <d v="2021-05-17T00:00:00"/>
        <d v="2021-05-20T00:00:00"/>
        <d v="2021-05-21T00:00:00"/>
        <d v="2021-05-23T00:00:00"/>
        <d v="2021-05-26T00:00:00"/>
        <d v="2021-05-29T00:00:00"/>
        <d v="2021-05-31T00:00:00"/>
        <d v="2021-06-03T00:00:00"/>
        <d v="2021-06-04T00:00:00"/>
        <d v="2021-06-07T00:00:00"/>
        <d v="2021-06-12T00:00:00"/>
        <d v="2021-06-14T00:00:00"/>
        <d v="2021-06-19T00:00:00"/>
        <d v="2021-06-20T00:00:00"/>
        <d v="2021-06-22T00:00:00"/>
        <d v="2021-06-24T00:00:00"/>
        <d v="2021-06-26T00:00:00"/>
        <d v="2021-06-29T00:00:00"/>
        <d v="2021-07-02T00:00:00"/>
        <d v="2021-07-03T00:00:00"/>
        <d v="2021-07-24T00:00:00"/>
        <d v="2021-07-31T00:00:00"/>
        <d v="2021-08-01T00:00:00"/>
        <d v="2021-08-30T00:00:00"/>
        <d v="2021-08-31T00:00:00"/>
        <d v="2021-09-10T00:00:00"/>
        <d v="2021-09-12T00:00:00"/>
        <d v="2021-09-16T00:00:00"/>
        <d v="2021-09-25T00:00:00"/>
        <d v="2021-10-02T00:00:00"/>
        <d v="2021-10-10T00:00:00"/>
        <d v="2021-10-11T00:00:00"/>
        <d v="2021-10-24T00:00:00"/>
        <d v="2021-10-25T00:00:00"/>
        <d v="2021-11-02T00:00:00"/>
        <d v="2021-11-05T00:00:00"/>
        <d v="2021-11-07T00:00:00"/>
        <d v="2021-11-09T00:00:00"/>
        <d v="2021-11-11T00:00:00"/>
        <d v="2021-11-14T00:00:00"/>
        <d v="2021-11-15T00:00:00"/>
        <d v="2021-11-16T00:00:00"/>
        <d v="2021-11-17T00:00:00"/>
        <d v="2021-11-19T00:00:00"/>
        <d v="2021-11-21T00:00:00"/>
        <d v="2021-11-22T00:00:00"/>
        <d v="2021-11-27T00:00:00"/>
        <d v="2021-11-29T00:00:00"/>
        <d v="2021-12-03T00:00:00"/>
        <d v="2021-12-06T00:00:00"/>
        <d v="2021-12-07T00:00:00"/>
        <d v="2021-12-10T00:00:00"/>
        <d v="2021-12-15T00:00:00"/>
        <d v="2021-12-27T00:00:00"/>
        <d v="2021-12-31T00:00:00"/>
        <d v="2022-01-11T00:00:00"/>
        <d v="2022-01-15T00:00:00"/>
        <d v="2022-01-24T00:00:00"/>
        <d v="2022-02-03T00:00:00"/>
        <d v="2022-02-08T00:00:00"/>
        <d v="2022-02-12T00:00:00"/>
        <d v="2022-02-14T00:00:00"/>
        <d v="2022-02-24T00:00:00"/>
        <d v="2022-02-27T00:00:00"/>
        <d v="2022-02-28T00:00:00"/>
        <d v="2022-03-07T00:00:00"/>
        <d v="2022-03-12T00:00:00"/>
        <d v="2022-03-14T00:00:00"/>
        <d v="2022-03-19T00:00:00"/>
        <d v="2022-03-20T00:00:00"/>
        <d v="2022-03-24T00:00:00"/>
        <d v="2022-03-25T00:00:00"/>
        <d v="2022-03-26T00:00:00"/>
        <d v="2022-03-29T00:00:00"/>
        <d v="2022-03-31T00:00:00"/>
        <d v="2022-04-02T00:00:00"/>
        <d v="2022-04-09T00:00:00"/>
        <d v="2022-04-22T00:00:00"/>
        <d v="2022-05-03T00:00:00"/>
        <d v="2022-05-04T00:00:00"/>
        <d v="2022-05-07T00:00:00"/>
        <d v="2022-05-11T00:00:00"/>
        <d v="2022-05-12T00:00:00"/>
        <d v="2022-05-13T00:00:00"/>
        <d v="2022-05-19T00:00:00"/>
        <d v="2022-05-20T00:00:00"/>
        <d v="2022-05-23T00:00:00"/>
        <d v="2022-06-02T00:00:00"/>
        <d v="2022-06-03T00:00:00"/>
        <d v="2022-06-09T00:00:00"/>
        <d v="2022-06-10T00:00:00"/>
        <d v="2022-06-12T00:00:00"/>
        <d v="2022-06-16T00:00:00"/>
        <d v="2022-06-18T00:00:00"/>
        <d v="2022-06-22T00:00:00"/>
        <d v="2022-06-24T00:00:00"/>
        <d v="2022-06-25T00:00:00"/>
        <d v="2022-06-26T00:00:00"/>
        <d v="2022-06-28T00:00:00"/>
        <d v="2022-07-01T00:00:00"/>
        <d v="2022-07-02T00:00:00"/>
        <d v="2022-07-05T00:00:00"/>
        <d v="2022-07-06T00:00:00"/>
        <d v="2022-07-07T00:00:00"/>
        <d v="2022-07-08T00:00:00"/>
        <d v="2022-07-11T00:00:00"/>
        <d v="2022-07-13T00:00:00"/>
        <d v="2022-07-15T00:00:00"/>
        <d v="2022-07-16T00:00:00"/>
        <d v="2022-07-20T00:00:00"/>
        <d v="2022-07-21T00:00:00"/>
        <d v="2022-08-08T00:00:00"/>
        <d v="2022-08-09T00:00:00"/>
        <d v="2022-08-10T00:00:00"/>
        <d v="2022-08-16T00:00:00"/>
        <d v="2022-08-17T00:00:00"/>
        <d v="2022-08-18T00:00:00"/>
        <d v="2022-08-20T00:00:00"/>
        <d v="2022-08-22T00:00:00"/>
        <d v="2022-08-27T00:00:00"/>
        <d v="2022-08-29T00:00:00"/>
        <d v="2022-08-30T00:00:00"/>
        <d v="2022-08-31T00:00:00"/>
        <d v="2022-09-01T00:00:00"/>
        <d v="2022-09-02T00:00:00"/>
        <d v="2022-09-03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5T00:00:00"/>
        <d v="2022-09-16T00:00:00"/>
        <d v="2022-09-18T00:00:00"/>
        <d v="2022-09-19T00:00:00"/>
        <d v="2022-09-20T00:00:00"/>
        <d v="2022-09-21T00:00:00"/>
        <d v="2022-09-23T00:00:00"/>
        <d v="2022-09-25T00:00:00"/>
        <d v="2022-09-26T00:00:00"/>
        <d v="2022-09-27T00:00:00"/>
        <d v="2022-09-29T00:00:00"/>
        <d v="2022-09-30T00:00:00"/>
        <d v="2022-10-02T00:00:00"/>
        <d v="2022-10-03T00:00:00"/>
        <d v="2022-10-05T00:00:00"/>
        <d v="2022-10-06T00:00:00"/>
        <d v="2022-10-07T00:00:00"/>
        <d v="2022-10-08T00:00:00"/>
        <d v="2022-10-11T00:00:00"/>
        <d v="2022-10-12T00:00:00"/>
        <d v="2022-10-14T00:00:00"/>
        <d v="2022-11-04T00:00:00"/>
        <d v="2022-11-07T00:00:00"/>
        <d v="2022-11-09T00:00:00"/>
        <d v="2022-11-10T00:00:00"/>
        <d v="2022-11-11T00:00:00"/>
        <d v="2022-11-17T00:00:00"/>
        <d v="2022-11-18T00:00:00"/>
        <d v="2022-11-21T00:00:00"/>
        <d v="2022-11-23T00:00:00"/>
        <d v="2022-11-25T00:00:00"/>
        <d v="2022-11-26T00:00:00"/>
        <d v="2022-11-27T00:00:00"/>
        <d v="2022-11-28T00:00:00"/>
        <d v="2022-12-01T00:00:00"/>
        <d v="2022-12-03T00:00:00"/>
        <d v="2022-12-05T00:00:00"/>
        <d v="2022-12-07T00:00:00"/>
        <d v="2022-12-08T00:00:00"/>
        <d v="2022-12-09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7T00:00:00"/>
        <d v="2022-12-29T00:00:00"/>
        <d v="2022-12-30T00:00:00"/>
        <d v="2023-01-01T00:00:00"/>
        <d v="2023-01-03T00:00:00"/>
        <d v="2023-01-04T00:00:00"/>
        <d v="2023-01-05T00:00:00"/>
        <d v="2023-01-08T00:00:00"/>
        <d v="2023-01-09T00:00:00"/>
        <d v="2023-01-10T00:00:00"/>
        <d v="2023-01-11T00:00:00"/>
        <d v="2023-01-12T00:00:00"/>
        <d v="2023-01-13T00:00:00"/>
        <d v="2023-01-16T00:00:00"/>
        <d v="2023-01-19T00:00:00"/>
        <d v="2023-01-21T00:00:00"/>
        <d v="2023-01-25T00:00:00"/>
        <d v="2023-01-26T00:00:00"/>
        <d v="2023-01-27T00:00:00"/>
        <d v="2023-01-28T00:00:00"/>
        <d v="2023-01-31T00:00:00"/>
        <d v="2023-02-01T00:00:00"/>
        <d v="2023-02-07T00:00:00"/>
        <d v="2023-02-08T00:00:00"/>
        <d v="2023-02-09T00:00:00"/>
        <d v="2023-02-10T00:00:00"/>
        <d v="2023-02-11T00:00:00"/>
        <d v="2023-02-12T00:00:00"/>
        <d v="2023-02-14T00:00:00"/>
        <d v="2023-02-15T00:00:00"/>
        <d v="2023-02-16T00:00:00"/>
        <d v="2023-02-17T00:00:00"/>
        <d v="2023-02-23T00:00:00"/>
        <d v="2023-02-24T00:00:00"/>
        <d v="2023-02-26T00:00:00"/>
        <d v="2023-02-28T00:00:00"/>
        <d v="2023-03-01T00:00:00"/>
        <d v="2023-03-03T00:00:00"/>
        <d v="2023-03-04T00:00:00"/>
        <d v="2023-03-07T00:00:00"/>
        <d v="2023-03-09T00:00:00"/>
        <d v="2023-03-10T00:00:00"/>
        <d v="2023-03-11T00:00:00"/>
        <d v="2023-03-14T00:00:00"/>
        <d v="2023-03-15T00:00:00"/>
        <d v="2023-03-16T00:00:00"/>
        <d v="2023-03-17T00:00:00"/>
        <d v="2023-03-18T00:00:00"/>
        <d v="2023-03-23T00:00:00"/>
        <d v="2023-03-24T00:00:00"/>
        <d v="2023-03-25T00:00:00"/>
        <d v="2023-03-26T00:00:00"/>
        <d v="2023-03-29T00:00:00"/>
        <d v="2023-03-30T00:00:00"/>
        <d v="2023-03-31T00:00:00"/>
        <d v="2023-04-01T00:00:00"/>
        <d v="2023-04-04T00:00:00"/>
        <d v="2023-04-13T00:00:00"/>
        <d v="2023-04-15T00:00:00"/>
        <d v="2023-04-19T00:00:00"/>
        <d v="2023-04-20T00:00:00"/>
        <d v="2023-04-21T00:00:00"/>
        <d v="2023-04-22T00:00:00"/>
        <d v="2023-04-23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10T00:00:00"/>
        <d v="2023-05-12T00:00:00"/>
        <d v="2023-05-18T00:00:00"/>
        <d v="2023-05-21T00:00:00"/>
        <d v="2023-05-22T00:00:00"/>
        <d v="2023-05-24T00:00:00"/>
        <d v="2023-05-26T00:00:00"/>
        <d v="2023-05-31T00:00:00"/>
        <d v="2023-06-01T00:00:00"/>
        <d v="2023-06-02T00:00:00"/>
        <d v="2023-06-09T00:00:00"/>
        <d v="2023-06-10T00:00:00"/>
        <d v="2023-06-20T00:00:00"/>
        <d v="2023-06-21T00:00:00"/>
        <d v="2023-06-23T00:00:00"/>
        <d v="2023-07-05T00:00:00"/>
        <d v="2023-07-07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22T00:00:00"/>
        <d v="2023-07-24T00:00:00"/>
        <d v="2023-07-29T00:00:00"/>
        <d v="2023-07-31T00:00:00"/>
        <d v="2023-08-02T00:00:00"/>
        <d v="2023-08-04T00:00:00"/>
        <d v="2023-08-05T00:00:00"/>
        <d v="2023-08-06T00:00:00"/>
        <d v="2023-08-07T00:00:00"/>
        <d v="2023-08-08T00:00:00"/>
        <d v="2023-08-10T00:00:00"/>
        <d v="2023-08-11T00:00:00"/>
        <d v="2023-08-16T00:00:00"/>
        <d v="2023-08-17T00:00:00"/>
        <d v="2023-08-18T00:00:00"/>
        <d v="2023-08-19T00:00:00"/>
        <d v="2023-08-20T00:00:00"/>
        <d v="2023-08-23T00:00:00"/>
        <d v="2023-08-24T00:00:00"/>
        <d v="2023-08-25T00:00:00"/>
        <d v="2023-08-26T00:00:00"/>
        <d v="2023-08-29T00:00:00"/>
        <d v="2023-08-30T00:00:00"/>
        <d v="2023-08-31T00:00:00"/>
        <d v="2023-09-01T00:00:00"/>
        <d v="2023-09-02T00:00:00"/>
        <d v="2023-09-06T00:00:00"/>
        <d v="2023-09-07T00:00:00"/>
        <d v="2023-09-08T00:00:00"/>
        <d v="2023-09-10T00:00:00"/>
        <d v="2023-09-11T00:00:00"/>
        <d v="2023-09-13T00:00:00"/>
        <d v="2023-09-14T00:00:00"/>
        <d v="2023-09-16T00:00:00"/>
        <d v="2023-09-19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5T00:00:00"/>
        <d v="2023-10-06T00:00:00"/>
        <d v="2023-10-09T00:00:00"/>
        <d v="2023-10-10T00:00:00"/>
        <d v="2023-10-13T00:00:00"/>
        <d v="2023-10-15T00:00:00"/>
        <d v="2023-10-17T00:00:00"/>
        <d v="2023-10-18T00:00:00"/>
        <d v="2023-10-23T00:00:00"/>
        <d v="2023-10-24T00:00:00"/>
        <d v="2023-10-25T00:00:00"/>
        <d v="2023-10-28T00:00:00"/>
        <d v="2023-10-29T00:00:00"/>
        <d v="2023-10-30T00:00:00"/>
        <d v="2023-10-31T00:00:00"/>
        <d v="2023-11-01T00:00:00"/>
        <d v="2023-11-03T00:00:00"/>
        <d v="2023-11-06T00:00:00"/>
        <d v="2023-11-08T00:00:00"/>
        <d v="2023-11-10T00:00:00"/>
        <d v="2023-11-11T00:00:00"/>
        <d v="2023-11-12T00:00:00"/>
        <d v="2023-11-13T00:00:00"/>
        <d v="2023-11-14T00:00:00"/>
        <d v="2023-11-16T00:00:00"/>
        <d v="2023-11-17T00:00:00"/>
        <d v="2023-11-20T00:00:00"/>
        <d v="2023-11-21T00:00:00"/>
        <d v="2023-11-22T00:00:00"/>
        <d v="2023-11-24T00:00:00"/>
        <d v="2023-11-27T00:00:00"/>
        <d v="2023-11-28T00:00:00"/>
        <d v="2023-11-30T00:00:00"/>
        <d v="2023-12-06T00:00:00"/>
        <d v="2023-12-07T00:00:00"/>
        <d v="2023-12-08T00:00:00"/>
        <d v="2023-12-09T00:00:00"/>
        <d v="2023-12-14T00:00:00"/>
        <d v="2023-12-16T00:00:00"/>
        <d v="2023-12-18T00:00:00"/>
        <d v="2023-12-22T00:00:00"/>
        <d v="2023-12-23T00:00:00"/>
        <d v="2023-12-24T00:00:00"/>
        <d v="2023-12-27T00:00:00"/>
        <d v="2023-12-29T00:00:00"/>
        <d v="2024-01-01T00:00:00"/>
        <d v="2024-01-02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4T00:00:00"/>
        <d v="2024-01-15T00:00:00"/>
        <d v="2024-01-16T00:00:00"/>
        <d v="2024-01-20T00:00:00"/>
        <d v="2024-01-22T00:00:00"/>
        <d v="2024-01-23T00:00:00"/>
        <d v="2024-01-25T00:00:00"/>
        <d v="2024-01-26T00:00:00"/>
        <d v="2024-01-27T00:00:00"/>
        <d v="2024-01-30T00:00:00"/>
        <d v="2024-01-31T00:00:00"/>
        <d v="2024-02-01T00:00:00"/>
        <d v="2024-02-02T00:00:00"/>
        <d v="2024-02-05T00:00:00"/>
        <d v="2024-02-07T00:00:00"/>
        <d v="2024-02-08T00:00:00"/>
        <d v="2024-02-09T00:00:00"/>
        <d v="2024-02-10T00:00:00"/>
        <d v="2024-02-13T00:00:00"/>
        <d v="2024-02-14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4T00:00:00"/>
        <d v="2024-02-27T00:00:00"/>
        <d v="2024-02-28T00:00:00"/>
        <d v="2024-03-01T00:00:00"/>
        <d v="2024-03-02T00:00:00"/>
        <d v="2024-03-03T00:00:00"/>
        <d v="2024-03-05T00:00:00"/>
        <d v="2024-03-09T00:00:00"/>
        <d v="2024-03-11T00:00:00"/>
        <d v="2024-03-13T00:00:00"/>
        <d v="2024-03-14T00:00:00"/>
        <d v="2024-03-15T00:00:00"/>
        <d v="2024-03-16T00:00:00"/>
        <d v="2024-03-19T00:00:00"/>
        <d v="2024-03-25T00:00:00"/>
        <d v="2024-03-26T00:00:00"/>
        <d v="2024-03-27T00:00:00"/>
        <d v="2024-03-29T00:00:00"/>
        <d v="2024-04-01T00:00:00"/>
        <d v="2024-04-02T00:00:00"/>
        <d v="2024-04-03T00:00:00"/>
        <d v="2024-04-05T00:00:00"/>
        <d v="2024-04-06T00:00:00"/>
        <d v="2024-04-08T00:00:00"/>
        <d v="2024-04-09T00:00:00"/>
        <d v="2024-04-12T00:00:00"/>
        <d v="2024-04-13T00:00:00"/>
        <d v="2024-04-16T00:00:00"/>
        <d v="2024-04-17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7T00:00:00"/>
        <d v="2024-04-28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9T00:00:00"/>
        <d v="2024-05-13T00:00:00"/>
        <d v="2024-05-14T00:00:00"/>
        <d v="2024-05-15T00:00:00"/>
        <d v="2024-05-16T00:00:00"/>
        <d v="2024-05-17T00:00:00"/>
        <d v="2024-05-20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7T00:00:00"/>
        <d v="2024-06-18T00:00:00"/>
        <d v="2024-06-19T00:00:00"/>
        <d v="2024-06-20T00:00:00"/>
        <d v="2024-06-21T00:00:00"/>
        <d v="2024-06-23T00:00:00"/>
        <d v="2024-07-01T00:00:00"/>
        <d v="2024-07-02T00:00:00"/>
        <d v="2024-07-03T00:00:00"/>
        <d v="2024-07-04T00:00:00"/>
        <d v="2024-07-09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6T00:00:00"/>
        <d v="2024-07-27T00:00:00"/>
        <d v="2024-07-29T00:00:00"/>
        <d v="2024-07-30T00:00:00"/>
        <d v="2024-07-31T00:00:00"/>
        <d v="2024-08-01T00:00:00"/>
        <d v="2024-08-03T00:00:00"/>
        <d v="2024-08-04T00:00:00"/>
        <d v="2024-08-06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9-02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20T00:00:00"/>
        <d v="2024-09-22T00:00:00"/>
        <d v="2024-09-23T00:00:00"/>
        <d v="2024-09-24T00:00:00"/>
        <d v="2024-09-25T00:00:00"/>
        <d v="2024-09-27T00:00:00"/>
        <d v="2024-09-30T00:00:00"/>
        <d v="2024-10-01T00:00:00"/>
        <d v="2024-10-05T00:00:00"/>
        <d v="2024-10-06T00:00:00"/>
        <d v="2024-10-07T00:00:00"/>
        <d v="2024-10-12T00:00:00"/>
        <d v="2024-10-14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5T00:00:00"/>
        <d v="2024-10-27T00:00:00"/>
        <d v="2024-10-28T00:00:00"/>
        <d v="2024-10-29T00:00:00"/>
        <d v="2024-10-30T00:00:00"/>
        <d v="2024-11-01T00:00:00"/>
        <d v="2024-11-02T00:00:00"/>
        <d v="2024-11-03T00:00:00"/>
        <d v="2024-11-04T00:00:00"/>
        <d v="2024-11-05T00:00:00"/>
        <d v="2024-11-07T00:00:00"/>
        <d v="2024-11-11T00:00:00"/>
        <d v="2024-11-12T00:00:00"/>
        <d v="2024-11-15T00:00:00"/>
        <d v="2024-11-16T00:00:00"/>
        <d v="2024-11-18T00:00:00"/>
        <d v="2024-11-21T00:00:00"/>
        <d v="2024-11-22T00:00:00"/>
        <d v="2024-11-25T00:00:00"/>
        <d v="2024-11-27T00:00:00"/>
        <d v="2024-11-29T00:00:00"/>
        <d v="2024-12-02T00:00:00"/>
        <d v="2024-12-03T00:00:00"/>
        <d v="2024-12-04T00:00:00"/>
        <d v="2024-12-06T00:00:00"/>
        <d v="2024-12-09T00:00:00"/>
        <d v="2024-12-12T00:00:00"/>
        <d v="2025-01-02T00:00:00"/>
        <d v="2025-01-03T00:00:00"/>
        <d v="2025-01-05T00:00:00"/>
        <d v="2025-01-08T00:00:00"/>
        <d v="2025-01-09T00:00:00"/>
        <d v="2025-01-11T00:00:00"/>
        <d v="2025-01-13T00:00:00"/>
        <d v="2025-01-16T00:00:00"/>
        <d v="2025-01-17T00:00:00"/>
        <d v="2025-01-18T00:00:00"/>
        <d v="2025-01-19T00:00:00"/>
        <d v="2025-01-21T00:00:00"/>
        <d v="2025-01-22T00:00:00"/>
        <d v="2025-01-24T00:00:00"/>
        <d v="2025-01-26T00:00:00"/>
        <d v="2025-01-28T00:00:00"/>
        <d v="2025-02-01T00:00:00"/>
        <d v="2025-02-03T00:00:00"/>
        <d v="2025-02-05T00:00:00"/>
        <d v="2025-02-06T00:00:00"/>
        <d v="2025-02-07T00:00:00"/>
        <d v="2025-02-09T00:00:00"/>
        <d v="2025-02-10T00:00:00"/>
        <d v="2025-02-13T00:00:00"/>
        <d v="2025-02-15T00:00:00"/>
        <d v="2025-02-18T00:00:00"/>
        <d v="2025-02-20T00:00:00"/>
        <d v="2025-02-21T00:00:00"/>
        <d v="2025-02-22T00:00:00"/>
        <d v="2025-02-24T00:00:00"/>
        <d v="2025-02-26T00:00:00"/>
        <d v="2025-03-01T00:00:00"/>
        <d v="2025-03-03T00:00:00"/>
        <d v="2025-03-04T00:00:00"/>
        <d v="2025-03-08T00:00:00"/>
        <d v="2025-03-09T00:00:00"/>
        <d v="2025-03-10T00:00:00"/>
        <d v="2025-03-12T00:00:00"/>
        <d v="2025-03-13T00:00:00"/>
        <d v="2025-03-16T00:00:00"/>
        <d v="2025-03-1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8T00:00:00"/>
        <d v="2025-03-30T00:00:00"/>
        <d v="2025-04-07T00:00:00"/>
        <d v="2025-04-08T00:00:00"/>
        <d v="2025-04-11T00:00:00"/>
        <d v="2025-04-12T00:00:00"/>
        <d v="2025-04-14T00:00:00"/>
        <d v="2025-04-16T00:00:00"/>
        <d v="2025-04-17T00:00:00"/>
        <d v="2025-04-21T00:00:00"/>
        <d v="2025-04-22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3T00:00:00"/>
        <d v="2025-05-04T00:00:00"/>
        <d v="2025-05-05T00:00:00"/>
        <d v="2025-05-06T00:00:00"/>
        <d v="2025-05-07T00:00:00"/>
        <d v="2025-05-08T00:00:00"/>
        <d v="2025-05-10T00:00:00"/>
        <d v="2025-05-11T00:00:00"/>
        <d v="2025-05-12T00:00:00"/>
        <d v="2025-05-13T00:00:00"/>
        <d v="2025-05-14T00:00:00"/>
        <d v="2025-05-16T00:00:00"/>
        <d v="2025-05-17T00:00:00"/>
        <d v="2025-05-20T00:00:00"/>
        <d v="2025-05-21T00:00:00"/>
        <d v="2025-05-22T00:00:00"/>
        <d v="2025-05-26T00:00:00"/>
        <d v="2025-05-27T00:00:00"/>
        <d v="2025-05-28T00:00:00"/>
        <d v="2025-05-29T00:00:00"/>
        <d v="2025-05-30T00:00:00"/>
        <d v="2025-06-01T00:00:00"/>
        <d v="2025-06-02T00:00:00"/>
        <d v="2025-06-03T00:00:00"/>
        <d v="2025-06-04T00:00:00"/>
        <d v="2025-06-06T00:00:00"/>
        <d v="2025-06-07T00:00:00"/>
        <d v="2025-06-09T00:00:00"/>
        <d v="2025-06-10T00:00:00"/>
        <d v="2025-06-12T00:00:00"/>
        <d v="2025-06-13T00:00:00"/>
        <d v="2025-06-16T00:00:00"/>
        <d v="2025-06-19T00:00:00"/>
        <d v="2025-06-21T00:00:00"/>
        <d v="2025-06-22T00:00:00"/>
        <d v="2025-06-23T00:00:00"/>
        <d v="2025-06-24T00:00:00"/>
        <d v="2025-06-25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7T00:00:00"/>
        <d v="2025-07-18T00:00:00"/>
        <d v="2025-07-19T00:00:00"/>
        <d v="2025-07-22T00:00:00"/>
        <d v="2025-07-24T00:00:00"/>
        <d v="2025-07-28T00:00:00"/>
        <d v="2025-07-30T00:00:00"/>
        <d v="2025-07-31T00:00:00"/>
        <d v="2025-08-01T00:00:00"/>
        <d v="2025-08-04T00:00:00"/>
        <d v="2025-08-06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20T00:00:00"/>
        <d v="2025-08-21T00:00:00"/>
        <d v="2025-08-22T00:00:00"/>
        <d v="2025-08-25T00:00:00"/>
        <d v="2025-08-27T00:00:00"/>
        <d v="2025-08-28T00:00:00"/>
        <d v="2025-08-29T00:00:00"/>
        <d v="2025-08-31T00:00:00"/>
        <d v="2025-09-01T00:00:00"/>
        <d v="2025-09-02T00:00:00"/>
        <d v="2025-09-04T00:00:00"/>
        <d v="2025-09-06T00:00:00"/>
        <d v="2025-09-07T00:00:00"/>
        <d v="2025-09-08T00:00:00"/>
        <d v="2025-09-09T00:00:00"/>
        <d v="2025-09-11T00:00:00"/>
        <d v="2025-09-12T00:00:00"/>
        <d v="2025-09-14T00:00:00"/>
        <d v="2025-09-15T00:00:00"/>
        <d v="2025-09-17T00:00:00"/>
        <d v="2025-09-18T00:00:00"/>
        <d v="2025-09-19T00:00:00"/>
        <d v="2025-09-21T00:00:00"/>
        <d v="2025-09-22T00:00:00"/>
        <d v="2025-09-23T00:00:00"/>
        <d v="2025-09-24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5T00:00:00"/>
        <d v="2025-10-07T00:00:00"/>
        <d v="2025-10-10T00:00:00"/>
        <d v="2025-10-13T00:00:00"/>
        <d v="2025-10-14T00:00:00"/>
        <d v="2025-10-17T00:00:00"/>
        <d v="2025-10-20T00:00:00"/>
        <d v="2025-10-21T00:00:00"/>
        <d v="2025-10-25T00:00:00"/>
        <d v="2025-10-27T00:00:00"/>
        <d v="2025-10-28T00:00:00"/>
        <d v="2025-10-29T00:00:00"/>
        <d v="2025-11-01T00:00:00"/>
        <d v="2025-11-02T00:00:00"/>
        <d v="2025-11-03T00:00:00"/>
        <d v="2025-11-04T00:00:00"/>
        <d v="2025-11-07T00:00:00"/>
        <d v="2025-11-08T00:00:00"/>
        <d v="2025-11-10T00:00:00"/>
        <d v="2025-11-13T00:00:00"/>
        <d v="2025-11-15T00:00:00"/>
        <d v="2025-11-16T00:00:00"/>
        <d v="2025-11-17T00:00:00"/>
        <d v="2025-11-18T00:00:00"/>
        <d v="2025-11-21T00:00:00"/>
        <d v="2025-11-23T00:00:00"/>
        <d v="2025-11-25T00:00:00"/>
        <d v="2025-11-28T00:00:00"/>
        <d v="2025-11-29T00:00:00"/>
        <d v="2025-11-30T00:00:00"/>
        <d v="2025-12-02T00:00:00"/>
        <d v="2025-12-03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9T00:00:00"/>
        <d v="2025-12-21T00:00:00"/>
        <d v="2025-12-30T00:00:00"/>
        <d v="2026-01-01T00:00:00"/>
        <d v="2026-01-03T00:00:00"/>
        <d v="2026-01-04T00:00:00"/>
        <d v="2026-01-08T00:00:00"/>
        <d v="2026-01-14T00:00:00"/>
        <d v="2026-01-16T00:00:00"/>
        <d v="2026-01-17T00:00:00"/>
        <d v="2026-01-18T00:00:00"/>
        <d v="2026-01-19T00:00:00"/>
        <d v="2026-01-24T00:00:00"/>
        <d v="2026-01-26T00:00:00"/>
        <d v="2026-02-01T00:00:00"/>
        <d v="2026-02-13T00:00:00"/>
        <d v="2026-02-14T00:00:00"/>
        <d v="2026-02-20T00:00:00"/>
        <d v="2026-02-21T00:00:00"/>
        <d v="2026-03-02T00:00:00"/>
        <d v="2026-03-03T00:00:00"/>
        <d v="2026-03-06T00:00:00"/>
        <d v="2026-03-10T00:00:00"/>
        <d v="2026-03-13T00:00:00"/>
        <d v="2026-03-17T00:00:00"/>
        <d v="2026-03-25T00:00:00"/>
        <d v="2026-03-26T00:00:00"/>
        <d v="2026-04-14T00:00:00"/>
        <d v="2026-04-22T00:00:00"/>
        <d v="2026-04-24T00:00:00"/>
        <d v="2026-04-29T00:00:00"/>
        <d v="2026-05-04T00:00:00"/>
        <d v="2026-05-08T00:00:00"/>
        <d v="2026-05-11T00:00:00"/>
        <d v="2026-05-12T00:00:00"/>
        <d v="2026-05-17T00:00:00"/>
        <d v="2026-05-20T00:00:00"/>
        <d v="2026-05-22T00:00:00"/>
      </sharedItems>
    </cacheField>
    <cacheField name="Year" numFmtId="1">
      <sharedItems containsSemiMixedTypes="0" containsString="0" containsNumber="1" containsInteger="1" minValue="1899" maxValue="2026" count="8">
        <n v="2021"/>
        <n v="2022"/>
        <n v="2023"/>
        <n v="2024"/>
        <n v="2025"/>
        <n v="2026"/>
        <n v="2020" u="1"/>
        <n v="1899" u="1"/>
      </sharedItems>
    </cacheField>
    <cacheField name="Quarter" numFmtId="1">
      <sharedItems count="4">
        <s v="QTR1"/>
        <s v="QTR2"/>
        <s v="QTR3"/>
        <s v="QTR4"/>
      </sharedItems>
    </cacheField>
    <cacheField name="Week # in QTR" numFmtId="1">
      <sharedItems containsSemiMixedTypes="0" containsString="0" containsNumber="1" containsInteger="1" minValue="1" maxValue="13"/>
    </cacheField>
    <cacheField name="Week #" numFmtId="1">
      <sharedItems containsSemiMixedTypes="0" containsString="0" containsNumber="1" containsInteger="1" minValue="1" maxValue="52"/>
    </cacheField>
    <cacheField name="DOW" numFmtId="14">
      <sharedItems count="7">
        <s v="Friday"/>
        <s v="Saturday"/>
        <s v="Sunday"/>
        <s v="Monday"/>
        <s v="Tuesday"/>
        <s v="Wednesday"/>
        <s v="Thursday"/>
      </sharedItems>
    </cacheField>
    <cacheField name="Start Time" numFmtId="172">
      <sharedItems containsDate="1" containsMixedTypes="1" minDate="1899-12-30T00:00:00" maxDate="1899-12-30T23:30:00" count="176">
        <s v=""/>
        <d v="1899-12-30T18:00:00"/>
        <d v="1899-12-30T17:30:00"/>
        <d v="1899-12-30T15:30:00"/>
        <d v="1899-12-30T13:00:00"/>
        <d v="1899-12-30T11:00:00"/>
        <d v="1899-12-30T12:30:00"/>
        <d v="1899-12-30T16:00:00"/>
        <d v="1899-12-30T19:30:00"/>
        <d v="1899-12-30T18:30:00"/>
        <d v="1899-12-30T17:00:00"/>
        <d v="1899-12-30T14:00:00"/>
        <d v="1899-12-30T14:30:00"/>
        <d v="1899-12-30T20:30:00"/>
        <d v="1899-12-30T19:00:00"/>
        <d v="1899-12-30T16:30:00"/>
        <d v="1899-12-30T22:00:00"/>
        <d v="1899-12-30T13:30:00"/>
        <d v="1899-12-30T20:00:00"/>
        <d v="1899-12-30T11:30:00"/>
        <d v="1899-12-30T10:30:00"/>
        <d v="1899-12-30T15:00:00"/>
        <d v="1899-12-30T12:00:00"/>
        <d v="1899-12-30T21:00:00"/>
        <d v="1899-12-30T10:00:00"/>
        <d v="1899-12-30T21:30:00"/>
        <d v="1899-12-30T00:00:00" u="1"/>
        <d v="1899-12-30T01:30:00" u="1"/>
        <d v="1899-12-30T00:30:00" u="1"/>
        <d v="1899-12-30T02:00:00" u="1"/>
        <d v="1899-12-30T23:30:00" u="1"/>
        <d v="1899-12-30T17:49:00" u="1"/>
        <d v="1899-12-30T17:32:00" u="1"/>
        <d v="1899-12-30T15:44:00" u="1"/>
        <d v="1899-12-30T13:09:00" u="1"/>
        <d v="1899-12-30T17:36:00" u="1"/>
        <d v="1899-12-30T14:11:00" u="1"/>
        <d v="1899-12-30T12:44:00" u="1"/>
        <d v="1899-12-30T15:53:00" u="1"/>
        <d v="1899-12-30T17:47:00" u="1"/>
        <d v="1899-12-30T19:32:00" u="1"/>
        <d v="1899-12-30T17:37:00" u="1"/>
        <d v="1899-12-30T18:43:00" u="1"/>
        <d v="1899-12-30T17:17:00" u="1"/>
        <d v="1899-12-30T16:55:00" u="1"/>
        <d v="1899-12-30T18:02:00" u="1"/>
        <d v="1899-12-30T17:38:00" u="1"/>
        <d v="1899-12-30T18:14:00" u="1"/>
        <d v="1899-12-30T19:18:00" u="1"/>
        <d v="1899-12-30T12:40:00" u="1"/>
        <d v="1899-12-30T17:13:00" u="1"/>
        <d v="1899-12-30T16:52:00" u="1"/>
        <d v="1899-12-30T14:10:00" u="1"/>
        <d v="1899-12-30T17:18:00" u="1"/>
        <d v="1899-12-30T18:07:00" u="1"/>
        <d v="1899-12-30T18:22:00" u="1"/>
        <d v="1899-12-30T14:38:00" u="1"/>
        <d v="1899-12-30T19:42:00" u="1"/>
        <d v="1899-12-30T14:04:00" u="1"/>
        <d v="1899-12-30T16:04:00" u="1"/>
        <d v="1899-12-30T20:39:00" u="1"/>
        <d v="1899-12-30T16:09:00" u="1"/>
        <d v="1899-12-30T17:23:00" u="1"/>
        <d v="1899-12-30T18:48:00" u="1"/>
        <d v="1899-12-30T16:58:00" u="1"/>
        <d v="1899-12-30T13:54:00" u="1"/>
        <d v="1899-12-30T17:04:00" u="1"/>
        <d v="1899-12-30T19:37:00" u="1"/>
        <d v="1899-12-30T18:39:00" u="1"/>
        <d v="1899-12-30T15:38:00" u="1"/>
        <d v="1899-12-30T18:10:00" u="1"/>
        <d v="1899-12-30T13:49:00" u="1"/>
        <d v="1899-12-30T18:19:00" u="1"/>
        <d v="1899-12-30T17:07:00" u="1"/>
        <d v="1899-12-30T17:59:00" u="1"/>
        <d v="1899-12-30T16:32:00" u="1"/>
        <d v="1899-12-30T18:03:00" u="1"/>
        <d v="1899-12-30T17:29:00" u="1"/>
        <d v="1899-12-30T17:51:00" u="1"/>
        <d v="1899-12-30T10:49:00" u="1"/>
        <d v="1899-12-30T17:31:00" u="1"/>
        <d v="1899-12-30T17:50:00" u="1"/>
        <d v="1899-12-30T17:53:00" u="1"/>
        <d v="1899-12-30T21:57:00" u="1"/>
        <d v="1899-12-30T01:43:00" u="1"/>
        <d v="1899-12-30T17:09:00" u="1"/>
        <d v="1899-12-30T13:13:00" u="1"/>
        <d v="1899-12-30T00:24:00" u="1"/>
        <d v="1899-12-30T18:41:00" u="1"/>
        <d v="1899-12-30T00:01:00" u="1"/>
        <d v="1899-12-30T19:47:00" u="1"/>
        <d v="1899-12-30T16:41:00" u="1"/>
        <d v="1899-12-30T17:40:00" u="1"/>
        <d v="1899-12-30T11:34:00" u="1"/>
        <d v="1899-12-30T17:54:00" u="1"/>
        <d v="1899-12-30T18:20:00" u="1"/>
        <d v="1899-12-30T15:19:00" u="1"/>
        <d v="1899-12-30T18:11:00" u="1"/>
        <d v="1899-12-30T17:28:00" u="1"/>
        <d v="1899-12-30T16:48:00" u="1"/>
        <d v="1899-12-30T18:01:00" u="1"/>
        <d v="1899-12-30T16:51:00" u="1"/>
        <d v="1899-12-30T17:25:00" u="1"/>
        <d v="1899-12-30T13:36:00" u="1"/>
        <d v="1899-12-30T16:16:00" u="1"/>
        <d v="1899-12-30T18:40:00" u="1"/>
        <d v="1899-12-30T00:18:00" u="1"/>
        <d v="1899-12-30T18:08:00" u="1"/>
        <d v="1899-12-30T10:40:00" u="1"/>
        <d v="1899-12-30T17:06:00" u="1"/>
        <d v="1899-12-30T16:59:00" u="1"/>
        <d v="1899-12-30T15:36:00" u="1"/>
        <d v="1899-12-30T17:48:00" u="1"/>
        <d v="1899-12-30T17:11:00" u="1"/>
        <d v="1899-12-30T17:35:00" u="1"/>
        <d v="1899-12-30T18:15:00" u="1"/>
        <d v="1899-12-30T17:26:00" u="1"/>
        <d v="1899-12-30T17:45:00" u="1"/>
        <d v="1899-12-30T16:57:00" u="1"/>
        <d v="1899-12-30T18:05:00" u="1"/>
        <d v="1899-12-30T16:45:00" u="1"/>
        <d v="1899-12-30T17:10:00" u="1"/>
        <d v="1899-12-30T18:42:00" u="1"/>
        <d v="1899-12-30T14:14:00" u="1"/>
        <d v="1899-12-30T17:20:00" u="1"/>
        <d v="1899-12-30T00:32:00" u="1"/>
        <d v="1899-12-30T01:45:00" u="1"/>
        <d v="1899-12-30T18:55:00" u="1"/>
        <d v="1899-12-30T19:05:00" u="1"/>
        <d v="1899-12-30T18:44:00" u="1"/>
        <d v="1899-12-30T23:18:00" u="1"/>
        <d v="1899-12-30T17:55:00" u="1"/>
        <d v="1899-12-30T11:25:00" u="1"/>
        <d v="1899-12-30T17:05:00" u="1"/>
        <d v="1899-12-30T00:03:00" u="1"/>
        <d v="1899-12-30T16:20:00" u="1"/>
        <d v="1899-12-30T14:25:00" u="1"/>
        <d v="1899-12-30T13:05:00" u="1"/>
        <d v="1899-12-30T17:39:00" u="1"/>
        <d v="1899-12-30T17:12:00" u="1"/>
        <d v="1899-12-30T18:27:00" u="1"/>
        <d v="1899-12-30T11:10:00" u="1"/>
        <d v="1899-12-30T14:15:00" u="1"/>
        <d v="1899-12-30T13:45:00" u="1"/>
        <d v="1899-12-30T01:58:00" u="1"/>
        <d v="1899-12-30T18:25:00" u="1"/>
        <d v="1899-12-30T16:11:00" u="1"/>
        <d v="1899-12-30T00:11:00" u="1"/>
        <d v="1899-12-30T14:50:00" u="1"/>
        <d v="1899-12-30T18:35:00" u="1"/>
        <d v="1899-12-30T17:15:00" u="1"/>
        <d v="1899-12-30T15:50:00" u="1"/>
        <d v="1899-12-30T14:05:00" u="1"/>
        <d v="1899-12-30T00:29:00" u="1"/>
        <d v="1899-12-30T11:45:00" u="1"/>
        <d v="1899-12-30T15:15:00" u="1"/>
        <d v="1899-12-30T15:25:00" u="1"/>
        <d v="1899-12-30T16:50:00" u="1"/>
        <d v="1899-12-30T18:45:00" u="1"/>
        <d v="1899-12-30T13:35:00" u="1"/>
        <d v="1899-12-30T18:50:00" u="1"/>
        <d v="1899-12-30T17:52:00" u="1"/>
        <d v="1899-12-30T16:42:00" u="1"/>
        <d v="1899-12-30T15:55:00" u="1"/>
        <d v="1899-12-30T18:18:00" u="1"/>
        <d v="1899-12-30T12:35:00" u="1"/>
        <d v="1899-12-30T14:55:00" u="1"/>
        <d v="1899-12-30T13:55:00" u="1"/>
        <d v="1899-12-30T14:20:00" u="1"/>
        <d v="1899-12-30T15:45:00" u="1"/>
        <d v="1899-12-30T16:05:00" u="1"/>
        <d v="1899-12-30T15:20:00" u="1"/>
        <d v="1899-12-30T15:35:00" u="1"/>
        <d v="1899-12-30T19:10:00" u="1"/>
        <d v="1899-12-30T16:15:00" u="1"/>
        <d v="1899-12-30T12:50:00" u="1"/>
      </sharedItems>
    </cacheField>
    <cacheField name="Primary Area" numFmtId="14">
      <sharedItems count="5">
        <s v="Brunswick/Bath/Freeport"/>
        <s v="Portland"/>
        <s v="Lewiston"/>
        <s v="Augusta"/>
        <e v="#N/A" u="1"/>
      </sharedItems>
    </cacheField>
    <cacheField name="Weather" numFmtId="14">
      <sharedItems containsDate="1" containsMixedTypes="1" minDate="1899-12-30T00:00:00" maxDate="1899-12-31T00:00:00" count="20">
        <s v="Rain / Snow Mix"/>
        <s v="Partially Cloudy"/>
        <s v="Clear"/>
        <s v="Light Snow"/>
        <s v="Rain"/>
        <s v="Overcast"/>
        <s v="Snow Storm"/>
        <s v="Freezing Rain / Ice"/>
        <s v="Clear &amp; Humid"/>
        <s v="Partially cloudy &amp; Humid"/>
        <s v="Stormy"/>
        <s v="Fog"/>
        <s v="Sunny"/>
        <s v="Mostly Cloudy"/>
        <s v="Light Rain"/>
        <s v="Partially Sunny"/>
        <d v="1899-12-30T00:00:00" u="1"/>
        <s v="Icy" u="1"/>
        <s v="Thunderstorms" u="1"/>
        <s v="Cear" u="1"/>
      </sharedItems>
    </cacheField>
    <cacheField name="Hi Temp" numFmtId="1">
      <sharedItems containsSemiMixedTypes="0" containsString="0" containsNumber="1" minValue="0" maxValue="655" count="290">
        <n v="29.5"/>
        <n v="32"/>
        <n v="26.6"/>
        <n v="34.200000000000003"/>
        <n v="32.4"/>
        <n v="29.1"/>
        <n v="17.600000000000001"/>
        <n v="21.2"/>
        <n v="31.9"/>
        <n v="16.3"/>
        <n v="26.4"/>
        <n v="36.1"/>
        <n v="41.8"/>
        <n v="5.5"/>
        <n v="28.6"/>
        <n v="20.6"/>
        <n v="25.3"/>
        <n v="40"/>
        <n v="56.3"/>
        <n v="32.299999999999997"/>
        <n v="29.3"/>
        <n v="42.3"/>
        <n v="54.2"/>
        <n v="64.3"/>
        <n v="53.6"/>
        <n v="38.9"/>
        <n v="56.4"/>
        <n v="40.799999999999997"/>
        <n v="50.9"/>
        <n v="61.9"/>
        <n v="44.4"/>
        <n v="56.8"/>
        <n v="61.1"/>
        <n v="50"/>
        <n v="58.7"/>
        <n v="59.6"/>
        <n v="53.8"/>
        <n v="67"/>
        <n v="73.8"/>
        <n v="77.400000000000006"/>
        <n v="73.400000000000006"/>
        <n v="77.900000000000006"/>
        <n v="62.2"/>
        <n v="71.3"/>
        <n v="54.1"/>
        <n v="74.5"/>
        <n v="77"/>
        <n v="85"/>
        <n v="90.1"/>
        <n v="80.099999999999994"/>
        <n v="67.2"/>
        <n v="83"/>
        <n v="83.8"/>
        <n v="70.2"/>
        <n v="67.900000000000006"/>
        <n v="93.1"/>
        <n v="95.3"/>
        <n v="58.1"/>
        <n v="58.2"/>
        <n v="69.599999999999994"/>
        <n v="74.3"/>
        <n v="74.2"/>
        <n v="82.2"/>
        <n v="73.099999999999994"/>
        <n v="72"/>
        <n v="69.7"/>
        <n v="55.4"/>
        <n v="67.599999999999994"/>
        <n v="74.599999999999994"/>
        <n v="42.9"/>
        <n v="43.9"/>
        <n v="47.5"/>
        <n v="48.2"/>
        <n v="60.5"/>
        <n v="54.9"/>
        <n v="57.1"/>
        <n v="39.1"/>
        <n v="37.1"/>
        <n v="38.700000000000003"/>
        <n v="58.6"/>
        <n v="42.4"/>
        <n v="52"/>
        <n v="30.7"/>
        <n v="30.6"/>
        <n v="31.7"/>
        <n v="31.5"/>
        <n v="23"/>
        <n v="44.2"/>
        <n v="41.1"/>
        <n v="32.799999999999997"/>
        <n v="37.799999999999997"/>
        <n v="24.1"/>
        <n v="19.7"/>
        <n v="29.7"/>
        <n v="24.4"/>
        <n v="23.6"/>
        <n v="16.7"/>
        <n v="17.3"/>
        <n v="11"/>
        <n v="27.8"/>
        <n v="36.5"/>
        <n v="22.8"/>
        <n v="49"/>
        <n v="49.1"/>
        <n v="43.1"/>
        <n v="53"/>
        <n v="48.4"/>
        <n v="46.8"/>
        <n v="44.5"/>
        <n v="50.8"/>
        <n v="45.2"/>
        <n v="54.5"/>
        <n v="58.3"/>
        <n v="48.9"/>
        <n v="65.5"/>
        <n v="57.8"/>
        <n v="78.599999999999994"/>
        <n v="77.5"/>
        <n v="86.8"/>
        <n v="69.900000000000006"/>
        <n v="62.6"/>
        <n v="55.3"/>
        <n v="62.7"/>
        <n v="73.5"/>
        <n v="74"/>
        <n v="76.3"/>
        <n v="78.2"/>
        <n v="71.2"/>
        <n v="87.6"/>
        <n v="88.2"/>
        <n v="76.5"/>
        <n v="78.3"/>
        <n v="83.9"/>
        <n v="80.3"/>
        <n v="76"/>
        <n v="76.7"/>
        <n v="81.599999999999994"/>
        <n v="84"/>
        <n v="81.7"/>
        <n v="81.8"/>
        <n v="85.2"/>
        <n v="90.7"/>
        <n v="89.9"/>
        <n v="73.2"/>
        <n v="70.7"/>
        <n v="74.400000000000006"/>
        <n v="68"/>
        <n v="69"/>
        <n v="83.3"/>
        <n v="85.9"/>
        <n v="76.900000000000006"/>
        <n v="91.7"/>
        <n v="79.8"/>
        <n v="71"/>
        <n v="62.3"/>
        <n v="73.7"/>
        <n v="79.3"/>
        <n v="82.5"/>
        <n v="79.5"/>
        <n v="72.7"/>
        <n v="65.900000000000006"/>
        <n v="66.900000000000006"/>
        <n v="66.8"/>
        <n v="63.5"/>
        <n v="64.599999999999994"/>
        <n v="71.099999999999994"/>
        <n v="70.5"/>
        <n v="67.7"/>
        <n v="63.1"/>
        <n v="57.3"/>
        <n v="69.5"/>
        <n v="57.2"/>
        <n v="65.7"/>
        <n v="44.9"/>
        <n v="65.099999999999994"/>
        <n v="68.3"/>
        <n v="70"/>
        <n v="33.6"/>
        <n v="37.6"/>
        <n v="42.5"/>
        <n v="34.799999999999997"/>
        <n v="53.7"/>
        <n v="40.9"/>
        <n v="36.4"/>
        <n v="35.4"/>
        <n v="38.1"/>
        <n v="51.3"/>
        <n v="46.1"/>
        <n v="34.9"/>
        <n v="26.7"/>
        <n v="27.3"/>
        <n v="34.6"/>
        <n v="29.9"/>
        <n v="27.7"/>
        <n v="27.5"/>
        <n v="31"/>
        <n v="50.7"/>
        <n v="44.1"/>
        <n v="32.200000000000003"/>
        <n v="30.5"/>
        <n v="34.1"/>
        <n v="27"/>
        <n v="27.1"/>
        <n v="32.1"/>
        <n v="51.9"/>
        <n v="27.9"/>
        <n v="42"/>
        <n v="26.1"/>
        <n v="39.5"/>
        <n v="51.4"/>
        <n v="37.200000000000003"/>
        <n v="42.1"/>
        <n v="14.3"/>
        <n v="18.399999999999999"/>
        <n v="26.8"/>
        <n v="34.4"/>
        <n v="35.9"/>
        <n v="39.9"/>
        <n v="44.3"/>
        <n v="38.299999999999997"/>
        <n v="45"/>
        <n v="28.4"/>
        <n v="31.3"/>
        <n v="33.5"/>
        <n v="41.9"/>
        <n v="52.3"/>
        <n v="33"/>
        <n v="38.6"/>
        <n v="43.8"/>
        <n v="78.400000000000006"/>
        <n v="66"/>
        <n v="54.3"/>
        <n v="53.2"/>
        <n v="55.1"/>
        <n v="45.5"/>
        <n v="50.6"/>
        <n v="63.4"/>
        <n v="74.7"/>
        <n v="78.7"/>
        <n v="70.099999999999994"/>
        <n v="62.4"/>
        <n v="64.5"/>
        <n v="62.1"/>
        <n v="79.900000000000006"/>
        <n v="87.4"/>
        <n v="46"/>
        <n v="62"/>
        <n v="64"/>
        <n v="78"/>
        <n v="82"/>
        <n v="75"/>
        <n v="79"/>
        <n v="73"/>
        <n v="81"/>
        <n v="63"/>
        <n v="59"/>
        <n v="57"/>
        <n v="61"/>
        <n v="55"/>
        <n v="54"/>
        <n v="48"/>
        <n v="36"/>
        <n v="39"/>
        <n v="34"/>
        <n v="43"/>
        <n v="28"/>
        <n v="30"/>
        <n v="37"/>
        <n v="25"/>
        <n v="21"/>
        <n v="16"/>
        <n v="19"/>
        <n v="13"/>
        <n v="18"/>
        <n v="41"/>
        <n v="88"/>
        <n v="9"/>
        <n v="12"/>
        <n v="10"/>
        <n v="86"/>
        <n v="90"/>
        <n v="14"/>
        <n v="0" u="1"/>
        <n v="655" u="1"/>
        <n v="43.4" u="1"/>
        <n v="30.1" u="1"/>
        <n v="28.9" u="1"/>
        <n v="39.200000000000003" u="1"/>
        <n v="65.2" u="1"/>
        <n v="76.400000000000006" u="1"/>
      </sharedItems>
    </cacheField>
    <cacheField name="Hours" numFmtId="2">
      <sharedItems containsSemiMixedTypes="0" containsString="0" containsNumber="1" minValue="0.4" maxValue="11.5"/>
    </cacheField>
    <cacheField name="Miles" numFmtId="1">
      <sharedItems containsSemiMixedTypes="0" containsString="0" containsNumber="1" minValue="7.89235576923077" maxValue="256"/>
    </cacheField>
    <cacheField name="Deliveries" numFmtId="1">
      <sharedItems containsSemiMixedTypes="0" containsString="0" containsNumber="1" containsInteger="1" minValue="1" maxValue="26"/>
    </cacheField>
    <cacheField name="Sessions/Day" numFmtId="0">
      <sharedItems containsSemiMixedTypes="0" containsString="0" containsNumber="1" containsInteger="1" minValue="1" maxValue="6"/>
    </cacheField>
    <cacheField name="Type" numFmtId="3">
      <sharedItems/>
    </cacheField>
    <cacheField name="Gross Earnings" numFmtId="165">
      <sharedItems containsSemiMixedTypes="0" containsString="0" containsNumber="1" minValue="6.97" maxValue="325.67999999999995"/>
    </cacheField>
    <cacheField name="Net Earnings" numFmtId="165">
      <sharedItems containsSemiMixedTypes="0" containsString="0" containsNumber="1" minValue="1.6553991833292407" maxValue="301.82187908877358"/>
    </cacheField>
    <cacheField name="Gross $/Hour" numFmtId="165">
      <sharedItems containsSemiMixedTypes="0" containsString="0" containsNumber="1" minValue="2.69" maxValue="48.839306358381506"/>
    </cacheField>
    <cacheField name="Net $/Hour" numFmtId="165">
      <sharedItems containsSemiMixedTypes="0" containsString="0" containsNumber="1" minValue="0.60360891897820124" maxValue="42.441694788569578"/>
    </cacheField>
    <cacheField name="$/Trip" numFmtId="165">
      <sharedItems containsSemiMixedTypes="0" containsString="0" containsNumber="1" minValue="4.585" maxValue="37"/>
    </cacheField>
    <cacheField name="$/Mile" numFmtId="165">
      <sharedItems containsSemiMixedTypes="0" containsString="0" containsNumber="1" minValue="0.25480769230769229" maxValue="3.5057692307692312"/>
    </cacheField>
    <cacheField name="Trips/Hr" numFmtId="3">
      <sharedItems containsSemiMixedTypes="0" containsString="0" containsNumber="1" minValue="0.23076923076923078" maxValue="5.2173913043478262"/>
    </cacheField>
    <cacheField name="Mi./Trip" numFmtId="3">
      <sharedItems containsSemiMixedTypes="0" containsString="0" containsNumber="1" minValue="2.75" maxValue="50"/>
    </cacheField>
    <cacheField name="Estimated Time Spent Per Trip" numFmtId="171">
      <sharedItems containsSemiMixedTypes="0" containsNonDate="0" containsDate="1" containsString="0" minDate="1899-12-30T00:11:30" maxDate="1899-12-30T04:20:00"/>
    </cacheField>
    <cacheField name="Diff from Avg. per Site &amp; DOW Hist." numFmtId="166">
      <sharedItems containsMixedTypes="1" containsNumber="1" minValue="-28.467511486586634" maxValue="30.105757591478181"/>
    </cacheField>
    <cacheField name="Weekly Average Earnings" numFmtId="165">
      <sharedItems containsSemiMixedTypes="0" containsString="0" containsNumber="1" minValue="5.873170731707317" maxValue="35.60762607626075"/>
    </cacheField>
    <cacheField name="Diff from Avg. Per Week" numFmtId="165">
      <sharedItems containsSemiMixedTypes="0" containsString="0" containsNumber="1" minValue="-16.594062859031038" maxValue="19.227173228786043"/>
    </cacheField>
    <cacheField name="90-Day Earnings" numFmtId="165">
      <sharedItems containsSemiMixedTypes="0" containsString="0" containsNumber="1" minValue="0.31344444444444447" maxValue="92.86422222222221"/>
    </cacheField>
    <cacheField name="Trips Per Hour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5092594" createdVersion="8" refreshedVersion="8" minRefreshableVersion="3" recordCount="777" xr:uid="{F100DB84-4C3E-48CF-800B-DBC4AC08ACC6}">
  <cacheSource type="worksheet">
    <worksheetSource name="Table29"/>
  </cacheSource>
  <cacheFields count="28">
    <cacheField name="Date" numFmtId="14">
      <sharedItems containsSemiMixedTypes="0" containsNonDate="0" containsDate="1" containsString="0" minDate="2021-01-01T00:00:00" maxDate="2025-09-01T00:00:00"/>
    </cacheField>
    <cacheField name="Year" numFmtId="1">
      <sharedItems containsSemiMixedTypes="0" containsString="0" containsNumber="1" containsInteger="1" minValue="2021" maxValue="2025" count="5">
        <n v="2021"/>
        <n v="2022"/>
        <n v="2023"/>
        <n v="2024"/>
        <n v="2025"/>
      </sharedItems>
    </cacheField>
    <cacheField name="Week #" numFmtId="1">
      <sharedItems containsSemiMixedTypes="0" containsString="0" containsNumber="1" containsInteger="1" minValue="1" maxValue="52" count="52">
        <n v="1"/>
        <n v="2"/>
        <n v="3"/>
        <n v="5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30"/>
        <n v="31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15"/>
        <n v="28"/>
        <n v="29"/>
        <n v="33"/>
        <n v="34"/>
        <n v="35"/>
        <n v="52"/>
        <n v="4"/>
        <n v="32"/>
      </sharedItems>
    </cacheField>
    <cacheField name="Week # in QTR" numFmtId="1">
      <sharedItems containsSemiMixedTypes="0" containsString="0" containsNumber="1" containsInteger="1" minValue="1" maxValue="13"/>
    </cacheField>
    <cacheField name="Quarter" numFmtId="1">
      <sharedItems/>
    </cacheField>
    <cacheField name="DOW" numFmtId="14">
      <sharedItems/>
    </cacheField>
    <cacheField name="Start Time" numFmtId="172">
      <sharedItems containsDate="1" containsMixedTypes="1" minDate="1899-12-30T10:00:00" maxDate="1899-12-30T22:00:00"/>
    </cacheField>
    <cacheField name="Weather" numFmtId="14">
      <sharedItems/>
    </cacheField>
    <cacheField name="Hi Temp" numFmtId="1">
      <sharedItems containsSemiMixedTypes="0" containsString="0" containsNumber="1" minValue="5.5" maxValue="95.3"/>
    </cacheField>
    <cacheField name="Primary Area" numFmtId="14">
      <sharedItems/>
    </cacheField>
    <cacheField name="Earnings" numFmtId="165">
      <sharedItems containsSemiMixedTypes="0" containsString="0" containsNumber="1" minValue="7.5" maxValue="289.48999999999995"/>
    </cacheField>
    <cacheField name="Hours" numFmtId="2">
      <sharedItems containsSemiMixedTypes="0" containsString="0" containsNumber="1" minValue="0.45" maxValue="11.5"/>
    </cacheField>
    <cacheField name="Miles" numFmtId="1">
      <sharedItems containsSemiMixedTypes="0" containsString="0" containsNumber="1" minValue="7.89235576923077" maxValue="256"/>
    </cacheField>
    <cacheField name="Deliveries" numFmtId="1">
      <sharedItems containsSemiMixedTypes="0" containsString="0" containsNumber="1" containsInteger="1" minValue="1" maxValue="26"/>
    </cacheField>
    <cacheField name="$/Hour" numFmtId="165">
      <sharedItems containsSemiMixedTypes="0" containsString="0" containsNumber="1" minValue="2.69" maxValue="48.839306358381506"/>
    </cacheField>
    <cacheField name="Diff from Avg. per Site &amp; DOW Hist." numFmtId="166">
      <sharedItems containsMixedTypes="1" containsNumber="1" minValue="-28.467511486586634" maxValue="30.105757591478181"/>
    </cacheField>
    <cacheField name="$/Trip" numFmtId="165">
      <sharedItems containsSemiMixedTypes="0" containsString="0" containsNumber="1" minValue="4.585" maxValue="28.21"/>
    </cacheField>
    <cacheField name="$/Mile" numFmtId="165">
      <sharedItems containsSemiMixedTypes="0" containsString="0" containsNumber="1" minValue="0.25480769230769229" maxValue="3.5057692307692312"/>
    </cacheField>
    <cacheField name="Mi./Trip" numFmtId="3">
      <sharedItems containsSemiMixedTypes="0" containsString="0" containsNumber="1" minValue="2.75" maxValue="50"/>
    </cacheField>
    <cacheField name="Trips/Hr" numFmtId="3">
      <sharedItems containsSemiMixedTypes="0" containsString="0" containsNumber="1" minValue="0.23076923076923078" maxValue="5.2173913043478262"/>
    </cacheField>
    <cacheField name="Sessions/Day" numFmtId="0">
      <sharedItems containsSemiMixedTypes="0" containsString="0" containsNumber="1" containsInteger="1" minValue="1" maxValue="6"/>
    </cacheField>
    <cacheField name="Estimated Time Spent Per Trip" numFmtId="171">
      <sharedItems containsSemiMixedTypes="0" containsNonDate="0" containsDate="1" containsString="0" minDate="1899-12-30T00:11:30" maxDate="1899-12-30T04:20:00"/>
    </cacheField>
    <cacheField name="Type" numFmtId="3">
      <sharedItems/>
    </cacheField>
    <cacheField name="Weekly Average Earnings" numFmtId="165">
      <sharedItems containsSemiMixedTypes="0" containsString="0" containsNumber="1" minValue="3.6936170212765953" maxValue="36.45127432808156"/>
    </cacheField>
    <cacheField name="Diff from Avg. Per Week" numFmtId="165">
      <sharedItems containsSemiMixedTypes="0" containsString="0" containsNumber="1" minValue="-16.362781141276063" maxValue="19.227173228786043"/>
    </cacheField>
    <cacheField name="90-Day Earnings" numFmtId="165">
      <sharedItems containsSemiMixedTypes="0" containsString="0" containsNumber="1" minValue="0.31344444444444447" maxValue="92.86422222222221"/>
    </cacheField>
    <cacheField name="4-Week Average" numFmtId="44">
      <sharedItems containsSemiMixedTypes="0" containsString="0" containsNumber="1" minValue="24" maxValue="181.21499999999997"/>
    </cacheField>
    <cacheField name="Difference From Average" numFmtId="165">
      <sharedItems containsSemiMixedTypes="0" containsString="0" containsNumber="1" minValue="-103.4025" maxValue="150.02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5324071" createdVersion="7" refreshedVersion="8" minRefreshableVersion="3" recordCount="2098" xr:uid="{F30D6DB0-A90A-4C79-BEEE-7928DCBEE05E}">
  <cacheSource type="worksheet">
    <worksheetSource name="Combined"/>
  </cacheSource>
  <cacheFields count="15">
    <cacheField name="UID" numFmtId="0">
      <sharedItems containsSemiMixedTypes="0" containsString="0" containsNumber="1" containsInteger="1" minValue="1" maxValue="2098"/>
    </cacheField>
    <cacheField name="App" numFmtId="0">
      <sharedItems/>
    </cacheField>
    <cacheField name="Type" numFmtId="0">
      <sharedItems/>
    </cacheField>
    <cacheField name="Week #" numFmtId="0">
      <sharedItems containsSemiMixedTypes="0" containsString="0" containsNumber="1" containsInteger="1" minValue="1" maxValue="53"/>
    </cacheField>
    <cacheField name="DOW" numFmtId="0">
      <sharedItems/>
    </cacheField>
    <cacheField name="Date" numFmtId="169">
      <sharedItems containsSemiMixedTypes="0" containsNonDate="0" containsDate="1" containsString="0" minDate="2021-01-01T00:00:00" maxDate="2026-05-23T00:00:00" count="882">
        <d v="2021-01-01T00:00:00"/>
        <d v="2021-01-02T00:00:00"/>
        <d v="2021-01-08T00:00:00"/>
        <d v="2021-01-10T00:00:00"/>
        <d v="2021-01-17T00:00:00"/>
        <d v="2021-01-30T00:00:00"/>
        <d v="2021-01-31T00:00:00"/>
        <d v="2021-02-01T00:00:00"/>
        <d v="2021-02-02T00:00:00"/>
        <d v="2021-02-07T00:00:00"/>
        <d v="2021-02-14T00:00:00"/>
        <d v="2021-02-20T00:00:00"/>
        <d v="2021-02-21T00:00:00"/>
        <d v="2021-02-27T00:00:00"/>
        <d v="2021-03-01T00:00:00"/>
        <d v="2021-03-02T00:00:00"/>
        <d v="2021-03-05T00:00:00"/>
        <d v="2021-03-06T00:00:00"/>
        <d v="2021-03-09T00:00:00"/>
        <d v="2021-03-10T00:00:00"/>
        <d v="2021-03-12T00:00:00"/>
        <d v="2021-03-15T00:00:00"/>
        <d v="2021-03-17T00:00:00"/>
        <d v="2021-03-19T00:00:00"/>
        <d v="2021-03-22T00:00:00"/>
        <d v="2021-03-24T00:00:00"/>
        <d v="2021-03-27T00:00:00"/>
        <d v="2021-04-03T00:00:00"/>
        <d v="2021-04-16T00:00:00"/>
        <d v="2021-04-17T00:00:00"/>
        <d v="2021-04-18T00:00:00"/>
        <d v="2021-04-25T00:00:00"/>
        <d v="2021-05-02T00:00:00"/>
        <d v="2021-05-03T00:00:00"/>
        <d v="2021-05-04T00:00:00"/>
        <d v="2021-05-05T00:00:00"/>
        <d v="2021-05-06T00:00:00"/>
        <d v="2021-05-07T00:00:00"/>
        <d v="2021-05-12T00:00:00"/>
        <d v="2021-05-14T00:00:00"/>
        <d v="2021-05-17T00:00:00"/>
        <d v="2021-05-20T00:00:00"/>
        <d v="2021-05-21T00:00:00"/>
        <d v="2021-05-23T00:00:00"/>
        <d v="2021-05-26T00:00:00"/>
        <d v="2021-05-29T00:00:00"/>
        <d v="2021-05-31T00:00:00"/>
        <d v="2021-06-03T00:00:00"/>
        <d v="2021-06-04T00:00:00"/>
        <d v="2021-06-07T00:00:00"/>
        <d v="2021-06-12T00:00:00"/>
        <d v="2021-06-14T00:00:00"/>
        <d v="2021-06-19T00:00:00"/>
        <d v="2021-06-20T00:00:00"/>
        <d v="2021-06-22T00:00:00"/>
        <d v="2021-06-24T00:00:00"/>
        <d v="2021-06-26T00:00:00"/>
        <d v="2021-06-29T00:00:00"/>
        <d v="2021-07-02T00:00:00"/>
        <d v="2021-07-03T00:00:00"/>
        <d v="2021-07-24T00:00:00"/>
        <d v="2021-07-31T00:00:00"/>
        <d v="2021-08-01T00:00:00"/>
        <d v="2021-08-30T00:00:00"/>
        <d v="2021-08-31T00:00:00"/>
        <d v="2021-09-10T00:00:00"/>
        <d v="2021-09-12T00:00:00"/>
        <d v="2021-09-16T00:00:00"/>
        <d v="2021-09-25T00:00:00"/>
        <d v="2021-10-02T00:00:00"/>
        <d v="2021-10-10T00:00:00"/>
        <d v="2021-10-11T00:00:00"/>
        <d v="2021-10-24T00:00:00"/>
        <d v="2021-10-25T00:00:00"/>
        <d v="2021-11-02T00:00:00"/>
        <d v="2021-11-05T00:00:00"/>
        <d v="2021-11-07T00:00:00"/>
        <d v="2021-11-09T00:00:00"/>
        <d v="2021-11-11T00:00:00"/>
        <d v="2021-11-14T00:00:00"/>
        <d v="2021-11-15T00:00:00"/>
        <d v="2021-11-16T00:00:00"/>
        <d v="2021-11-17T00:00:00"/>
        <d v="2021-11-19T00:00:00"/>
        <d v="2021-11-21T00:00:00"/>
        <d v="2021-11-22T00:00:00"/>
        <d v="2021-11-27T00:00:00"/>
        <d v="2021-11-29T00:00:00"/>
        <d v="2021-12-03T00:00:00"/>
        <d v="2021-12-06T00:00:00"/>
        <d v="2021-12-07T00:00:00"/>
        <d v="2021-12-10T00:00:00"/>
        <d v="2021-12-15T00:00:00"/>
        <d v="2021-12-27T00:00:00"/>
        <d v="2021-12-31T00:00:00"/>
        <d v="2022-01-11T00:00:00"/>
        <d v="2022-01-15T00:00:00"/>
        <d v="2022-01-24T00:00:00"/>
        <d v="2022-02-03T00:00:00"/>
        <d v="2022-02-08T00:00:00"/>
        <d v="2022-02-12T00:00:00"/>
        <d v="2022-02-14T00:00:00"/>
        <d v="2022-02-24T00:00:00"/>
        <d v="2022-02-27T00:00:00"/>
        <d v="2022-02-28T00:00:00"/>
        <d v="2022-03-07T00:00:00"/>
        <d v="2022-03-12T00:00:00"/>
        <d v="2022-03-14T00:00:00"/>
        <d v="2022-03-19T00:00:00"/>
        <d v="2022-03-20T00:00:00"/>
        <d v="2022-03-24T00:00:00"/>
        <d v="2022-03-25T00:00:00"/>
        <d v="2022-03-26T00:00:00"/>
        <d v="2022-03-29T00:00:00"/>
        <d v="2022-03-31T00:00:00"/>
        <d v="2022-04-02T00:00:00"/>
        <d v="2022-04-09T00:00:00"/>
        <d v="2022-04-22T00:00:00"/>
        <d v="2022-05-03T00:00:00"/>
        <d v="2022-05-04T00:00:00"/>
        <d v="2022-05-07T00:00:00"/>
        <d v="2022-05-11T00:00:00"/>
        <d v="2022-05-12T00:00:00"/>
        <d v="2022-05-13T00:00:00"/>
        <d v="2022-05-19T00:00:00"/>
        <d v="2022-05-20T00:00:00"/>
        <d v="2022-05-23T00:00:00"/>
        <d v="2022-06-02T00:00:00"/>
        <d v="2022-06-03T00:00:00"/>
        <d v="2022-06-09T00:00:00"/>
        <d v="2022-06-10T00:00:00"/>
        <d v="2022-06-12T00:00:00"/>
        <d v="2022-06-16T00:00:00"/>
        <d v="2022-06-18T00:00:00"/>
        <d v="2022-06-22T00:00:00"/>
        <d v="2022-06-24T00:00:00"/>
        <d v="2022-06-25T00:00:00"/>
        <d v="2022-06-26T00:00:00"/>
        <d v="2022-06-28T00:00:00"/>
        <d v="2022-07-01T00:00:00"/>
        <d v="2022-07-02T00:00:00"/>
        <d v="2022-07-05T00:00:00"/>
        <d v="2022-07-06T00:00:00"/>
        <d v="2022-07-07T00:00:00"/>
        <d v="2022-07-08T00:00:00"/>
        <d v="2022-07-11T00:00:00"/>
        <d v="2022-07-13T00:00:00"/>
        <d v="2022-07-15T00:00:00"/>
        <d v="2022-07-16T00:00:00"/>
        <d v="2022-07-20T00:00:00"/>
        <d v="2022-07-21T00:00:00"/>
        <d v="2022-08-08T00:00:00"/>
        <d v="2022-08-09T00:00:00"/>
        <d v="2022-08-10T00:00:00"/>
        <d v="2022-08-16T00:00:00"/>
        <d v="2022-08-17T00:00:00"/>
        <d v="2022-08-18T00:00:00"/>
        <d v="2022-08-20T00:00:00"/>
        <d v="2022-08-22T00:00:00"/>
        <d v="2022-08-27T00:00:00"/>
        <d v="2022-08-29T00:00:00"/>
        <d v="2022-08-30T00:00:00"/>
        <d v="2022-08-31T00:00:00"/>
        <d v="2022-09-01T00:00:00"/>
        <d v="2022-09-02T00:00:00"/>
        <d v="2022-09-03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5T00:00:00"/>
        <d v="2022-09-16T00:00:00"/>
        <d v="2022-09-18T00:00:00"/>
        <d v="2022-09-19T00:00:00"/>
        <d v="2022-09-20T00:00:00"/>
        <d v="2022-09-21T00:00:00"/>
        <d v="2022-09-23T00:00:00"/>
        <d v="2022-09-25T00:00:00"/>
        <d v="2022-09-26T00:00:00"/>
        <d v="2022-09-27T00:00:00"/>
        <d v="2022-09-29T00:00:00"/>
        <d v="2022-09-30T00:00:00"/>
        <d v="2022-10-02T00:00:00"/>
        <d v="2022-10-03T00:00:00"/>
        <d v="2022-10-05T00:00:00"/>
        <d v="2022-10-06T00:00:00"/>
        <d v="2022-10-07T00:00:00"/>
        <d v="2022-10-08T00:00:00"/>
        <d v="2022-10-11T00:00:00"/>
        <d v="2022-10-12T00:00:00"/>
        <d v="2022-10-14T00:00:00"/>
        <d v="2022-11-04T00:00:00"/>
        <d v="2022-11-07T00:00:00"/>
        <d v="2022-11-09T00:00:00"/>
        <d v="2022-11-10T00:00:00"/>
        <d v="2022-11-11T00:00:00"/>
        <d v="2022-11-17T00:00:00"/>
        <d v="2022-11-18T00:00:00"/>
        <d v="2022-11-21T00:00:00"/>
        <d v="2022-11-23T00:00:00"/>
        <d v="2022-11-25T00:00:00"/>
        <d v="2022-11-26T00:00:00"/>
        <d v="2022-11-27T00:00:00"/>
        <d v="2022-11-28T00:00:00"/>
        <d v="2022-12-01T00:00:00"/>
        <d v="2022-12-03T00:00:00"/>
        <d v="2022-12-05T00:00:00"/>
        <d v="2022-12-07T00:00:00"/>
        <d v="2022-12-08T00:00:00"/>
        <d v="2022-12-09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7T00:00:00"/>
        <d v="2022-12-29T00:00:00"/>
        <d v="2022-12-30T00:00:00"/>
        <d v="2023-01-01T00:00:00"/>
        <d v="2023-01-03T00:00:00"/>
        <d v="2023-01-04T00:00:00"/>
        <d v="2023-01-05T00:00:00"/>
        <d v="2023-01-08T00:00:00"/>
        <d v="2023-01-09T00:00:00"/>
        <d v="2023-01-10T00:00:00"/>
        <d v="2023-01-11T00:00:00"/>
        <d v="2023-01-12T00:00:00"/>
        <d v="2023-01-13T00:00:00"/>
        <d v="2023-01-16T00:00:00"/>
        <d v="2023-01-19T00:00:00"/>
        <d v="2023-01-21T00:00:00"/>
        <d v="2023-01-25T00:00:00"/>
        <d v="2023-01-26T00:00:00"/>
        <d v="2023-01-27T00:00:00"/>
        <d v="2023-01-28T00:00:00"/>
        <d v="2023-01-31T00:00:00"/>
        <d v="2023-02-01T00:00:00"/>
        <d v="2023-02-07T00:00:00"/>
        <d v="2023-02-08T00:00:00"/>
        <d v="2023-02-09T00:00:00"/>
        <d v="2023-02-10T00:00:00"/>
        <d v="2023-02-11T00:00:00"/>
        <d v="2023-02-12T00:00:00"/>
        <d v="2023-02-14T00:00:00"/>
        <d v="2023-02-15T00:00:00"/>
        <d v="2023-02-16T00:00:00"/>
        <d v="2023-02-17T00:00:00"/>
        <d v="2023-02-23T00:00:00"/>
        <d v="2023-02-24T00:00:00"/>
        <d v="2023-02-26T00:00:00"/>
        <d v="2023-02-28T00:00:00"/>
        <d v="2023-03-01T00:00:00"/>
        <d v="2023-03-03T00:00:00"/>
        <d v="2023-03-04T00:00:00"/>
        <d v="2023-03-07T00:00:00"/>
        <d v="2023-03-09T00:00:00"/>
        <d v="2023-03-10T00:00:00"/>
        <d v="2023-03-11T00:00:00"/>
        <d v="2023-03-14T00:00:00"/>
        <d v="2023-03-15T00:00:00"/>
        <d v="2023-03-16T00:00:00"/>
        <d v="2023-03-17T00:00:00"/>
        <d v="2023-03-18T00:00:00"/>
        <d v="2023-03-23T00:00:00"/>
        <d v="2023-03-24T00:00:00"/>
        <d v="2023-03-25T00:00:00"/>
        <d v="2023-03-26T00:00:00"/>
        <d v="2023-03-29T00:00:00"/>
        <d v="2023-03-30T00:00:00"/>
        <d v="2023-03-31T00:00:00"/>
        <d v="2023-04-01T00:00:00"/>
        <d v="2023-04-04T00:00:00"/>
        <d v="2023-04-13T00:00:00"/>
        <d v="2023-04-15T00:00:00"/>
        <d v="2023-04-19T00:00:00"/>
        <d v="2023-04-20T00:00:00"/>
        <d v="2023-04-21T00:00:00"/>
        <d v="2023-04-22T00:00:00"/>
        <d v="2023-04-23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10T00:00:00"/>
        <d v="2023-05-12T00:00:00"/>
        <d v="2023-05-18T00:00:00"/>
        <d v="2023-05-21T00:00:00"/>
        <d v="2023-05-22T00:00:00"/>
        <d v="2023-05-24T00:00:00"/>
        <d v="2023-05-26T00:00:00"/>
        <d v="2023-05-31T00:00:00"/>
        <d v="2023-06-01T00:00:00"/>
        <d v="2023-06-02T00:00:00"/>
        <d v="2023-06-09T00:00:00"/>
        <d v="2023-06-10T00:00:00"/>
        <d v="2023-06-20T00:00:00"/>
        <d v="2023-06-21T00:00:00"/>
        <d v="2023-06-23T00:00:00"/>
        <d v="2023-07-05T00:00:00"/>
        <d v="2023-07-07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22T00:00:00"/>
        <d v="2023-07-24T00:00:00"/>
        <d v="2023-07-29T00:00:00"/>
        <d v="2023-07-31T00:00:00"/>
        <d v="2023-08-02T00:00:00"/>
        <d v="2023-08-04T00:00:00"/>
        <d v="2023-08-05T00:00:00"/>
        <d v="2023-08-06T00:00:00"/>
        <d v="2023-08-07T00:00:00"/>
        <d v="2023-08-08T00:00:00"/>
        <d v="2023-08-10T00:00:00"/>
        <d v="2023-08-11T00:00:00"/>
        <d v="2023-08-16T00:00:00"/>
        <d v="2023-08-17T00:00:00"/>
        <d v="2023-08-18T00:00:00"/>
        <d v="2023-08-19T00:00:00"/>
        <d v="2023-08-20T00:00:00"/>
        <d v="2023-08-23T00:00:00"/>
        <d v="2023-08-24T00:00:00"/>
        <d v="2023-08-25T00:00:00"/>
        <d v="2023-08-26T00:00:00"/>
        <d v="2023-08-29T00:00:00"/>
        <d v="2023-08-30T00:00:00"/>
        <d v="2023-08-31T00:00:00"/>
        <d v="2023-09-01T00:00:00"/>
        <d v="2023-09-02T00:00:00"/>
        <d v="2023-09-06T00:00:00"/>
        <d v="2023-09-07T00:00:00"/>
        <d v="2023-09-08T00:00:00"/>
        <d v="2023-09-10T00:00:00"/>
        <d v="2023-09-11T00:00:00"/>
        <d v="2023-09-13T00:00:00"/>
        <d v="2023-09-14T00:00:00"/>
        <d v="2023-09-16T00:00:00"/>
        <d v="2023-09-19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5T00:00:00"/>
        <d v="2023-10-06T00:00:00"/>
        <d v="2023-10-09T00:00:00"/>
        <d v="2023-10-10T00:00:00"/>
        <d v="2023-10-13T00:00:00"/>
        <d v="2023-10-15T00:00:00"/>
        <d v="2023-10-17T00:00:00"/>
        <d v="2023-10-18T00:00:00"/>
        <d v="2023-10-23T00:00:00"/>
        <d v="2023-10-24T00:00:00"/>
        <d v="2023-10-25T00:00:00"/>
        <d v="2023-10-28T00:00:00"/>
        <d v="2023-10-29T00:00:00"/>
        <d v="2023-10-30T00:00:00"/>
        <d v="2023-10-31T00:00:00"/>
        <d v="2023-11-01T00:00:00"/>
        <d v="2023-11-03T00:00:00"/>
        <d v="2023-11-06T00:00:00"/>
        <d v="2023-11-08T00:00:00"/>
        <d v="2023-11-10T00:00:00"/>
        <d v="2023-11-11T00:00:00"/>
        <d v="2023-11-12T00:00:00"/>
        <d v="2023-11-13T00:00:00"/>
        <d v="2023-11-14T00:00:00"/>
        <d v="2023-11-16T00:00:00"/>
        <d v="2023-11-17T00:00:00"/>
        <d v="2023-11-20T00:00:00"/>
        <d v="2023-11-21T00:00:00"/>
        <d v="2023-11-22T00:00:00"/>
        <d v="2023-11-24T00:00:00"/>
        <d v="2023-11-27T00:00:00"/>
        <d v="2023-11-28T00:00:00"/>
        <d v="2023-11-30T00:00:00"/>
        <d v="2023-12-06T00:00:00"/>
        <d v="2023-12-07T00:00:00"/>
        <d v="2023-12-08T00:00:00"/>
        <d v="2023-12-09T00:00:00"/>
        <d v="2023-12-14T00:00:00"/>
        <d v="2023-12-16T00:00:00"/>
        <d v="2023-12-18T00:00:00"/>
        <d v="2023-12-22T00:00:00"/>
        <d v="2023-12-23T00:00:00"/>
        <d v="2023-12-24T00:00:00"/>
        <d v="2023-12-27T00:00:00"/>
        <d v="2023-12-29T00:00:00"/>
        <d v="2024-01-01T00:00:00"/>
        <d v="2024-01-02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4T00:00:00"/>
        <d v="2024-01-15T00:00:00"/>
        <d v="2024-01-16T00:00:00"/>
        <d v="2024-01-20T00:00:00"/>
        <d v="2024-01-22T00:00:00"/>
        <d v="2024-01-23T00:00:00"/>
        <d v="2024-01-25T00:00:00"/>
        <d v="2024-01-26T00:00:00"/>
        <d v="2024-01-27T00:00:00"/>
        <d v="2024-01-30T00:00:00"/>
        <d v="2024-01-31T00:00:00"/>
        <d v="2024-02-01T00:00:00"/>
        <d v="2024-02-02T00:00:00"/>
        <d v="2024-02-05T00:00:00"/>
        <d v="2024-02-07T00:00:00"/>
        <d v="2024-02-08T00:00:00"/>
        <d v="2024-02-09T00:00:00"/>
        <d v="2024-02-10T00:00:00"/>
        <d v="2024-02-13T00:00:00"/>
        <d v="2024-02-14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4T00:00:00"/>
        <d v="2024-02-27T00:00:00"/>
        <d v="2024-02-28T00:00:00"/>
        <d v="2024-03-01T00:00:00"/>
        <d v="2024-03-02T00:00:00"/>
        <d v="2024-03-03T00:00:00"/>
        <d v="2024-03-05T00:00:00"/>
        <d v="2024-03-09T00:00:00"/>
        <d v="2024-03-11T00:00:00"/>
        <d v="2024-03-13T00:00:00"/>
        <d v="2024-03-14T00:00:00"/>
        <d v="2024-03-15T00:00:00"/>
        <d v="2024-03-16T00:00:00"/>
        <d v="2024-03-19T00:00:00"/>
        <d v="2024-03-25T00:00:00"/>
        <d v="2024-03-26T00:00:00"/>
        <d v="2024-03-27T00:00:00"/>
        <d v="2024-03-29T00:00:00"/>
        <d v="2024-04-01T00:00:00"/>
        <d v="2024-04-02T00:00:00"/>
        <d v="2024-04-03T00:00:00"/>
        <d v="2024-04-05T00:00:00"/>
        <d v="2024-04-06T00:00:00"/>
        <d v="2024-04-08T00:00:00"/>
        <d v="2024-04-09T00:00:00"/>
        <d v="2024-04-12T00:00:00"/>
        <d v="2024-04-13T00:00:00"/>
        <d v="2024-04-16T00:00:00"/>
        <d v="2024-04-17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7T00:00:00"/>
        <d v="2024-04-28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9T00:00:00"/>
        <d v="2024-05-13T00:00:00"/>
        <d v="2024-05-14T00:00:00"/>
        <d v="2024-05-15T00:00:00"/>
        <d v="2024-05-16T00:00:00"/>
        <d v="2024-05-17T00:00:00"/>
        <d v="2024-05-20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7T00:00:00"/>
        <d v="2024-06-18T00:00:00"/>
        <d v="2024-06-19T00:00:00"/>
        <d v="2024-06-20T00:00:00"/>
        <d v="2024-06-21T00:00:00"/>
        <d v="2024-06-23T00:00:00"/>
        <d v="2024-07-01T00:00:00"/>
        <d v="2024-07-02T00:00:00"/>
        <d v="2024-07-03T00:00:00"/>
        <d v="2024-07-04T00:00:00"/>
        <d v="2024-07-09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6T00:00:00"/>
        <d v="2024-07-27T00:00:00"/>
        <d v="2024-07-29T00:00:00"/>
        <d v="2024-07-30T00:00:00"/>
        <d v="2024-07-31T00:00:00"/>
        <d v="2024-08-01T00:00:00"/>
        <d v="2024-08-03T00:00:00"/>
        <d v="2024-08-04T00:00:00"/>
        <d v="2024-08-06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9-02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20T00:00:00"/>
        <d v="2024-09-22T00:00:00"/>
        <d v="2024-09-23T00:00:00"/>
        <d v="2024-09-24T00:00:00"/>
        <d v="2024-09-25T00:00:00"/>
        <d v="2024-09-27T00:00:00"/>
        <d v="2024-09-30T00:00:00"/>
        <d v="2024-10-01T00:00:00"/>
        <d v="2024-10-05T00:00:00"/>
        <d v="2024-10-06T00:00:00"/>
        <d v="2024-10-07T00:00:00"/>
        <d v="2024-10-12T00:00:00"/>
        <d v="2024-10-14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5T00:00:00"/>
        <d v="2024-10-27T00:00:00"/>
        <d v="2024-10-28T00:00:00"/>
        <d v="2024-10-29T00:00:00"/>
        <d v="2024-10-30T00:00:00"/>
        <d v="2024-11-01T00:00:00"/>
        <d v="2024-11-02T00:00:00"/>
        <d v="2024-11-03T00:00:00"/>
        <d v="2024-11-04T00:00:00"/>
        <d v="2024-11-05T00:00:00"/>
        <d v="2024-11-07T00:00:00"/>
        <d v="2024-11-11T00:00:00"/>
        <d v="2024-11-12T00:00:00"/>
        <d v="2024-11-15T00:00:00"/>
        <d v="2024-11-16T00:00:00"/>
        <d v="2024-11-18T00:00:00"/>
        <d v="2024-11-21T00:00:00"/>
        <d v="2024-11-22T00:00:00"/>
        <d v="2024-11-25T00:00:00"/>
        <d v="2024-11-27T00:00:00"/>
        <d v="2024-11-29T00:00:00"/>
        <d v="2024-12-02T00:00:00"/>
        <d v="2024-12-03T00:00:00"/>
        <d v="2024-12-04T00:00:00"/>
        <d v="2024-12-06T00:00:00"/>
        <d v="2024-12-09T00:00:00"/>
        <d v="2024-12-12T00:00:00"/>
        <d v="2025-01-02T00:00:00"/>
        <d v="2025-01-03T00:00:00"/>
        <d v="2025-01-05T00:00:00"/>
        <d v="2025-01-08T00:00:00"/>
        <d v="2025-01-09T00:00:00"/>
        <d v="2025-01-11T00:00:00"/>
        <d v="2025-01-13T00:00:00"/>
        <d v="2025-01-16T00:00:00"/>
        <d v="2025-01-17T00:00:00"/>
        <d v="2025-01-18T00:00:00"/>
        <d v="2025-01-19T00:00:00"/>
        <d v="2025-01-21T00:00:00"/>
        <d v="2025-01-22T00:00:00"/>
        <d v="2025-01-24T00:00:00"/>
        <d v="2025-01-26T00:00:00"/>
        <d v="2025-01-28T00:00:00"/>
        <d v="2025-02-01T00:00:00"/>
        <d v="2025-02-03T00:00:00"/>
        <d v="2025-02-05T00:00:00"/>
        <d v="2025-02-06T00:00:00"/>
        <d v="2025-02-07T00:00:00"/>
        <d v="2025-02-09T00:00:00"/>
        <d v="2025-02-10T00:00:00"/>
        <d v="2025-02-13T00:00:00"/>
        <d v="2025-02-15T00:00:00"/>
        <d v="2025-02-18T00:00:00"/>
        <d v="2025-02-20T00:00:00"/>
        <d v="2025-02-21T00:00:00"/>
        <d v="2025-02-22T00:00:00"/>
        <d v="2025-02-24T00:00:00"/>
        <d v="2025-02-26T00:00:00"/>
        <d v="2025-03-01T00:00:00"/>
        <d v="2025-03-03T00:00:00"/>
        <d v="2025-03-04T00:00:00"/>
        <d v="2025-03-08T00:00:00"/>
        <d v="2025-03-09T00:00:00"/>
        <d v="2025-03-10T00:00:00"/>
        <d v="2025-03-12T00:00:00"/>
        <d v="2025-03-13T00:00:00"/>
        <d v="2025-03-16T00:00:00"/>
        <d v="2025-03-1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8T00:00:00"/>
        <d v="2025-03-30T00:00:00"/>
        <d v="2025-04-07T00:00:00"/>
        <d v="2025-04-08T00:00:00"/>
        <d v="2025-04-11T00:00:00"/>
        <d v="2025-04-12T00:00:00"/>
        <d v="2025-04-14T00:00:00"/>
        <d v="2025-04-16T00:00:00"/>
        <d v="2025-04-17T00:00:00"/>
        <d v="2025-04-21T00:00:00"/>
        <d v="2025-04-22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3T00:00:00"/>
        <d v="2025-05-04T00:00:00"/>
        <d v="2025-05-05T00:00:00"/>
        <d v="2025-05-06T00:00:00"/>
        <d v="2025-05-07T00:00:00"/>
        <d v="2025-05-08T00:00:00"/>
        <d v="2025-05-10T00:00:00"/>
        <d v="2025-05-11T00:00:00"/>
        <d v="2025-05-12T00:00:00"/>
        <d v="2025-05-13T00:00:00"/>
        <d v="2025-05-14T00:00:00"/>
        <d v="2025-05-16T00:00:00"/>
        <d v="2025-05-17T00:00:00"/>
        <d v="2025-05-20T00:00:00"/>
        <d v="2025-05-21T00:00:00"/>
        <d v="2025-05-22T00:00:00"/>
        <d v="2025-05-26T00:00:00"/>
        <d v="2025-05-27T00:00:00"/>
        <d v="2025-05-28T00:00:00"/>
        <d v="2025-05-29T00:00:00"/>
        <d v="2025-05-30T00:00:00"/>
        <d v="2025-06-01T00:00:00"/>
        <d v="2025-06-02T00:00:00"/>
        <d v="2025-06-03T00:00:00"/>
        <d v="2025-06-04T00:00:00"/>
        <d v="2025-06-06T00:00:00"/>
        <d v="2025-06-07T00:00:00"/>
        <d v="2025-06-09T00:00:00"/>
        <d v="2025-06-10T00:00:00"/>
        <d v="2025-06-12T00:00:00"/>
        <d v="2025-06-13T00:00:00"/>
        <d v="2025-06-16T00:00:00"/>
        <d v="2025-06-19T00:00:00"/>
        <d v="2025-06-21T00:00:00"/>
        <d v="2025-06-22T00:00:00"/>
        <d v="2025-06-23T00:00:00"/>
        <d v="2025-06-24T00:00:00"/>
        <d v="2025-06-25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7T00:00:00"/>
        <d v="2025-07-18T00:00:00"/>
        <d v="2025-07-19T00:00:00"/>
        <d v="2025-07-22T00:00:00"/>
        <d v="2025-07-24T00:00:00"/>
        <d v="2025-07-28T00:00:00"/>
        <d v="2025-07-30T00:00:00"/>
        <d v="2025-07-31T00:00:00"/>
        <d v="2025-08-01T00:00:00"/>
        <d v="2025-08-04T00:00:00"/>
        <d v="2025-08-06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20T00:00:00"/>
        <d v="2025-08-21T00:00:00"/>
        <d v="2025-08-22T00:00:00"/>
        <d v="2025-08-25T00:00:00"/>
        <d v="2025-08-27T00:00:00"/>
        <d v="2025-08-28T00:00:00"/>
        <d v="2025-08-29T00:00:00"/>
        <d v="2025-08-31T00:00:00"/>
        <d v="2025-09-01T00:00:00"/>
        <d v="2025-09-02T00:00:00"/>
        <d v="2025-09-04T00:00:00"/>
        <d v="2025-09-06T00:00:00"/>
        <d v="2025-09-07T00:00:00"/>
        <d v="2025-09-08T00:00:00"/>
        <d v="2025-09-09T00:00:00"/>
        <d v="2025-09-11T00:00:00"/>
        <d v="2025-09-12T00:00:00"/>
        <d v="2025-09-14T00:00:00"/>
        <d v="2025-09-15T00:00:00"/>
        <d v="2025-09-17T00:00:00"/>
        <d v="2025-09-18T00:00:00"/>
        <d v="2025-09-19T00:00:00"/>
        <d v="2025-09-21T00:00:00"/>
        <d v="2025-09-22T00:00:00"/>
        <d v="2025-09-23T00:00:00"/>
        <d v="2025-09-24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5T00:00:00"/>
        <d v="2025-10-07T00:00:00"/>
        <d v="2025-10-10T00:00:00"/>
        <d v="2025-10-13T00:00:00"/>
        <d v="2025-10-14T00:00:00"/>
        <d v="2025-10-17T00:00:00"/>
        <d v="2025-10-20T00:00:00"/>
        <d v="2025-10-21T00:00:00"/>
        <d v="2025-10-25T00:00:00"/>
        <d v="2025-10-27T00:00:00"/>
        <d v="2025-10-28T00:00:00"/>
        <d v="2025-10-29T00:00:00"/>
        <d v="2025-11-01T00:00:00"/>
        <d v="2025-11-02T00:00:00"/>
        <d v="2025-11-03T00:00:00"/>
        <d v="2025-11-04T00:00:00"/>
        <d v="2025-11-07T00:00:00"/>
        <d v="2025-11-08T00:00:00"/>
        <d v="2025-11-10T00:00:00"/>
        <d v="2025-11-13T00:00:00"/>
        <d v="2025-11-15T00:00:00"/>
        <d v="2025-11-16T00:00:00"/>
        <d v="2025-11-17T00:00:00"/>
        <d v="2025-11-18T00:00:00"/>
        <d v="2025-11-21T00:00:00"/>
        <d v="2025-11-23T00:00:00"/>
        <d v="2025-11-25T00:00:00"/>
        <d v="2025-11-28T00:00:00"/>
        <d v="2025-11-29T00:00:00"/>
        <d v="2025-11-30T00:00:00"/>
        <d v="2025-12-02T00:00:00"/>
        <d v="2025-12-03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9T00:00:00"/>
        <d v="2025-12-21T00:00:00"/>
        <d v="2025-12-30T00:00:00"/>
        <d v="2026-01-01T00:00:00"/>
        <d v="2026-01-03T00:00:00"/>
        <d v="2026-01-04T00:00:00"/>
        <d v="2026-01-08T00:00:00"/>
        <d v="2026-01-14T00:00:00"/>
        <d v="2026-01-16T00:00:00"/>
        <d v="2026-01-17T00:00:00"/>
        <d v="2026-01-18T00:00:00"/>
        <d v="2026-01-19T00:00:00"/>
        <d v="2026-01-24T00:00:00"/>
        <d v="2026-01-26T00:00:00"/>
        <d v="2026-02-01T00:00:00"/>
        <d v="2026-02-13T00:00:00"/>
        <d v="2026-02-14T00:00:00"/>
        <d v="2026-02-20T00:00:00"/>
        <d v="2026-02-21T00:00:00"/>
        <d v="2026-03-02T00:00:00"/>
        <d v="2026-03-03T00:00:00"/>
        <d v="2026-03-06T00:00:00"/>
        <d v="2026-03-10T00:00:00"/>
        <d v="2026-03-13T00:00:00"/>
        <d v="2026-03-17T00:00:00"/>
        <d v="2026-03-25T00:00:00"/>
        <d v="2026-03-26T00:00:00"/>
        <d v="2026-04-14T00:00:00"/>
        <d v="2026-04-22T00:00:00"/>
        <d v="2026-04-24T00:00:00"/>
        <d v="2026-04-29T00:00:00"/>
        <d v="2026-05-04T00:00:00"/>
        <d v="2026-05-08T00:00:00"/>
        <d v="2026-05-11T00:00:00"/>
        <d v="2026-05-12T00:00:00"/>
        <d v="2026-05-17T00:00:00"/>
        <d v="2026-05-20T00:00:00"/>
        <d v="2026-05-22T00:00:00"/>
      </sharedItems>
      <fieldGroup par="14" base="5">
        <rangePr groupBy="months" startDate="2021-01-01T00:00:00" endDate="2026-05-23T00:00:00"/>
        <groupItems count="14">
          <s v="&lt;1/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3/2026"/>
        </groupItems>
      </fieldGroup>
    </cacheField>
    <cacheField name="Trips" numFmtId="0">
      <sharedItems containsSemiMixedTypes="0" containsString="0" containsNumber="1" containsInteger="1" minValue="0" maxValue="19"/>
    </cacheField>
    <cacheField name="Earnings" numFmtId="164">
      <sharedItems containsSemiMixedTypes="0" containsString="0" containsNumber="1" minValue="0" maxValue="248.66"/>
    </cacheField>
    <cacheField name="Time Spent" numFmtId="20">
      <sharedItems containsSemiMixedTypes="0" containsNonDate="0" containsDate="1" containsString="0" minDate="1899-12-30T00:05:00" maxDate="1900-03-19T06:28:48"/>
    </cacheField>
    <cacheField name="Time Spent 2" numFmtId="2">
      <sharedItems containsString="0" containsBlank="1" containsNumber="1" minValue="8.3333333333333329E-2" maxValue="1902.48"/>
    </cacheField>
    <cacheField name="Time Spent 3" numFmtId="2">
      <sharedItems containsString="0" containsBlank="1" containsNumber="1" minValue="0" maxValue="1902.5"/>
    </cacheField>
    <cacheField name="TOD" numFmtId="20">
      <sharedItems containsBlank="1"/>
    </cacheField>
    <cacheField name="Primary Area" numFmtId="0">
      <sharedItems/>
    </cacheField>
    <cacheField name="Area #" numFmtId="0">
      <sharedItems containsSemiMixedTypes="0" containsString="0" containsNumber="1" containsInteger="1" minValue="1" maxValue="4"/>
    </cacheField>
    <cacheField name="Years" numFmtId="0" databaseField="0">
      <fieldGroup base="5">
        <rangePr groupBy="years" startDate="2021-01-01T00:00:00" endDate="2026-05-23T00:00:00"/>
        <groupItems count="8">
          <s v="&lt;1/1/2021"/>
          <s v="2021"/>
          <s v="2022"/>
          <s v="2023"/>
          <s v="2024"/>
          <s v="2025"/>
          <s v="2026"/>
          <s v="&gt;5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5671295" createdVersion="7" refreshedVersion="8" minRefreshableVersion="3" recordCount="882" xr:uid="{B2680C9B-2F7D-4502-AA98-A4082735C20A}">
  <cacheSource type="worksheet">
    <worksheetSource name="Mileage"/>
  </cacheSource>
  <cacheFields count="9">
    <cacheField name="Date" numFmtId="14">
      <sharedItems containsSemiMixedTypes="0" containsNonDate="0" containsDate="1" containsString="0" minDate="2021-01-01T00:00:00" maxDate="2026-05-23T00:00:00" count="882">
        <d v="2021-01-01T00:00:00"/>
        <d v="2021-01-02T00:00:00"/>
        <d v="2021-01-08T00:00:00"/>
        <d v="2021-01-10T00:00:00"/>
        <d v="2021-01-17T00:00:00"/>
        <d v="2021-01-30T00:00:00"/>
        <d v="2021-01-31T00:00:00"/>
        <d v="2021-02-01T00:00:00"/>
        <d v="2021-02-02T00:00:00"/>
        <d v="2021-02-07T00:00:00"/>
        <d v="2021-02-14T00:00:00"/>
        <d v="2021-02-20T00:00:00"/>
        <d v="2021-02-21T00:00:00"/>
        <d v="2021-02-27T00:00:00"/>
        <d v="2021-03-01T00:00:00"/>
        <d v="2021-03-02T00:00:00"/>
        <d v="2021-03-05T00:00:00"/>
        <d v="2021-03-06T00:00:00"/>
        <d v="2021-03-09T00:00:00"/>
        <d v="2021-03-10T00:00:00"/>
        <d v="2021-03-12T00:00:00"/>
        <d v="2021-03-15T00:00:00"/>
        <d v="2021-03-17T00:00:00"/>
        <d v="2021-03-19T00:00:00"/>
        <d v="2021-03-22T00:00:00"/>
        <d v="2021-03-24T00:00:00"/>
        <d v="2021-03-27T00:00:00"/>
        <d v="2021-04-03T00:00:00"/>
        <d v="2021-04-16T00:00:00"/>
        <d v="2021-04-17T00:00:00"/>
        <d v="2021-04-18T00:00:00"/>
        <d v="2021-04-25T00:00:00"/>
        <d v="2021-05-02T00:00:00"/>
        <d v="2021-05-03T00:00:00"/>
        <d v="2021-05-04T00:00:00"/>
        <d v="2021-05-05T00:00:00"/>
        <d v="2021-05-06T00:00:00"/>
        <d v="2021-05-07T00:00:00"/>
        <d v="2021-05-12T00:00:00"/>
        <d v="2021-05-14T00:00:00"/>
        <d v="2021-05-17T00:00:00"/>
        <d v="2021-05-20T00:00:00"/>
        <d v="2021-05-21T00:00:00"/>
        <d v="2021-05-23T00:00:00"/>
        <d v="2021-05-26T00:00:00"/>
        <d v="2021-05-29T00:00:00"/>
        <d v="2021-05-31T00:00:00"/>
        <d v="2021-06-03T00:00:00"/>
        <d v="2021-06-04T00:00:00"/>
        <d v="2021-06-07T00:00:00"/>
        <d v="2021-06-12T00:00:00"/>
        <d v="2021-06-14T00:00:00"/>
        <d v="2021-06-19T00:00:00"/>
        <d v="2021-06-20T00:00:00"/>
        <d v="2021-06-22T00:00:00"/>
        <d v="2021-06-24T00:00:00"/>
        <d v="2021-06-26T00:00:00"/>
        <d v="2021-06-29T00:00:00"/>
        <d v="2021-07-02T00:00:00"/>
        <d v="2021-07-03T00:00:00"/>
        <d v="2021-07-24T00:00:00"/>
        <d v="2021-07-31T00:00:00"/>
        <d v="2021-08-01T00:00:00"/>
        <d v="2021-08-30T00:00:00"/>
        <d v="2021-08-31T00:00:00"/>
        <d v="2021-09-10T00:00:00"/>
        <d v="2021-09-12T00:00:00"/>
        <d v="2021-09-16T00:00:00"/>
        <d v="2021-09-25T00:00:00"/>
        <d v="2021-10-02T00:00:00"/>
        <d v="2021-10-10T00:00:00"/>
        <d v="2021-10-11T00:00:00"/>
        <d v="2021-10-24T00:00:00"/>
        <d v="2021-10-25T00:00:00"/>
        <d v="2021-11-02T00:00:00"/>
        <d v="2021-11-05T00:00:00"/>
        <d v="2021-11-07T00:00:00"/>
        <d v="2021-11-09T00:00:00"/>
        <d v="2021-11-11T00:00:00"/>
        <d v="2021-11-14T00:00:00"/>
        <d v="2021-11-15T00:00:00"/>
        <d v="2021-11-16T00:00:00"/>
        <d v="2021-11-17T00:00:00"/>
        <d v="2021-11-19T00:00:00"/>
        <d v="2021-11-21T00:00:00"/>
        <d v="2021-11-22T00:00:00"/>
        <d v="2021-11-27T00:00:00"/>
        <d v="2021-11-29T00:00:00"/>
        <d v="2021-12-03T00:00:00"/>
        <d v="2021-12-06T00:00:00"/>
        <d v="2021-12-07T00:00:00"/>
        <d v="2021-12-10T00:00:00"/>
        <d v="2021-12-15T00:00:00"/>
        <d v="2021-12-27T00:00:00"/>
        <d v="2021-12-31T00:00:00"/>
        <d v="2022-01-11T00:00:00"/>
        <d v="2022-01-15T00:00:00"/>
        <d v="2022-01-24T00:00:00"/>
        <d v="2022-02-03T00:00:00"/>
        <d v="2022-02-08T00:00:00"/>
        <d v="2022-02-12T00:00:00"/>
        <d v="2022-02-14T00:00:00"/>
        <d v="2022-02-24T00:00:00"/>
        <d v="2022-02-27T00:00:00"/>
        <d v="2022-02-28T00:00:00"/>
        <d v="2022-03-07T00:00:00"/>
        <d v="2022-03-12T00:00:00"/>
        <d v="2022-03-14T00:00:00"/>
        <d v="2022-03-19T00:00:00"/>
        <d v="2022-03-20T00:00:00"/>
        <d v="2022-03-24T00:00:00"/>
        <d v="2022-03-25T00:00:00"/>
        <d v="2022-03-26T00:00:00"/>
        <d v="2022-03-29T00:00:00"/>
        <d v="2022-03-31T00:00:00"/>
        <d v="2022-04-02T00:00:00"/>
        <d v="2022-04-09T00:00:00"/>
        <d v="2022-04-22T00:00:00"/>
        <d v="2022-05-03T00:00:00"/>
        <d v="2022-05-04T00:00:00"/>
        <d v="2022-05-07T00:00:00"/>
        <d v="2022-05-11T00:00:00"/>
        <d v="2022-05-12T00:00:00"/>
        <d v="2022-05-13T00:00:00"/>
        <d v="2022-05-19T00:00:00"/>
        <d v="2022-05-20T00:00:00"/>
        <d v="2022-05-23T00:00:00"/>
        <d v="2022-06-02T00:00:00"/>
        <d v="2022-06-03T00:00:00"/>
        <d v="2022-06-09T00:00:00"/>
        <d v="2022-06-10T00:00:00"/>
        <d v="2022-06-12T00:00:00"/>
        <d v="2022-06-16T00:00:00"/>
        <d v="2022-06-18T00:00:00"/>
        <d v="2022-06-22T00:00:00"/>
        <d v="2022-06-24T00:00:00"/>
        <d v="2022-06-25T00:00:00"/>
        <d v="2022-06-26T00:00:00"/>
        <d v="2022-06-28T00:00:00"/>
        <d v="2022-07-01T00:00:00"/>
        <d v="2022-07-02T00:00:00"/>
        <d v="2022-07-05T00:00:00"/>
        <d v="2022-07-06T00:00:00"/>
        <d v="2022-07-07T00:00:00"/>
        <d v="2022-07-08T00:00:00"/>
        <d v="2022-07-11T00:00:00"/>
        <d v="2022-07-13T00:00:00"/>
        <d v="2022-07-15T00:00:00"/>
        <d v="2022-07-16T00:00:00"/>
        <d v="2022-07-20T00:00:00"/>
        <d v="2022-07-21T00:00:00"/>
        <d v="2022-08-08T00:00:00"/>
        <d v="2022-08-09T00:00:00"/>
        <d v="2022-08-10T00:00:00"/>
        <d v="2022-08-16T00:00:00"/>
        <d v="2022-08-17T00:00:00"/>
        <d v="2022-08-18T00:00:00"/>
        <d v="2022-08-20T00:00:00"/>
        <d v="2022-08-22T00:00:00"/>
        <d v="2022-08-27T00:00:00"/>
        <d v="2022-08-29T00:00:00"/>
        <d v="2022-08-30T00:00:00"/>
        <d v="2022-08-31T00:00:00"/>
        <d v="2022-09-01T00:00:00"/>
        <d v="2022-09-02T00:00:00"/>
        <d v="2022-09-03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5T00:00:00"/>
        <d v="2022-09-16T00:00:00"/>
        <d v="2022-09-18T00:00:00"/>
        <d v="2022-09-19T00:00:00"/>
        <d v="2022-09-20T00:00:00"/>
        <d v="2022-09-21T00:00:00"/>
        <d v="2022-09-23T00:00:00"/>
        <d v="2022-09-25T00:00:00"/>
        <d v="2022-09-26T00:00:00"/>
        <d v="2022-09-27T00:00:00"/>
        <d v="2022-09-29T00:00:00"/>
        <d v="2022-09-30T00:00:00"/>
        <d v="2022-10-02T00:00:00"/>
        <d v="2022-10-03T00:00:00"/>
        <d v="2022-10-05T00:00:00"/>
        <d v="2022-10-06T00:00:00"/>
        <d v="2022-10-07T00:00:00"/>
        <d v="2022-10-08T00:00:00"/>
        <d v="2022-10-11T00:00:00"/>
        <d v="2022-10-12T00:00:00"/>
        <d v="2022-10-14T00:00:00"/>
        <d v="2022-11-04T00:00:00"/>
        <d v="2022-11-07T00:00:00"/>
        <d v="2022-11-09T00:00:00"/>
        <d v="2022-11-10T00:00:00"/>
        <d v="2022-11-11T00:00:00"/>
        <d v="2022-11-17T00:00:00"/>
        <d v="2022-11-18T00:00:00"/>
        <d v="2022-11-21T00:00:00"/>
        <d v="2022-11-23T00:00:00"/>
        <d v="2022-11-25T00:00:00"/>
        <d v="2022-11-26T00:00:00"/>
        <d v="2022-11-27T00:00:00"/>
        <d v="2022-11-28T00:00:00"/>
        <d v="2022-12-01T00:00:00"/>
        <d v="2022-12-03T00:00:00"/>
        <d v="2022-12-05T00:00:00"/>
        <d v="2022-12-07T00:00:00"/>
        <d v="2022-12-08T00:00:00"/>
        <d v="2022-12-09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7T00:00:00"/>
        <d v="2022-12-29T00:00:00"/>
        <d v="2022-12-30T00:00:00"/>
        <d v="2023-01-01T00:00:00"/>
        <d v="2023-01-03T00:00:00"/>
        <d v="2023-01-04T00:00:00"/>
        <d v="2023-01-05T00:00:00"/>
        <d v="2023-01-08T00:00:00"/>
        <d v="2023-01-09T00:00:00"/>
        <d v="2023-01-10T00:00:00"/>
        <d v="2023-01-11T00:00:00"/>
        <d v="2023-01-12T00:00:00"/>
        <d v="2023-01-13T00:00:00"/>
        <d v="2023-01-16T00:00:00"/>
        <d v="2023-01-19T00:00:00"/>
        <d v="2023-01-21T00:00:00"/>
        <d v="2023-01-25T00:00:00"/>
        <d v="2023-01-26T00:00:00"/>
        <d v="2023-01-27T00:00:00"/>
        <d v="2023-01-28T00:00:00"/>
        <d v="2023-01-31T00:00:00"/>
        <d v="2023-02-01T00:00:00"/>
        <d v="2023-02-07T00:00:00"/>
        <d v="2023-02-08T00:00:00"/>
        <d v="2023-02-09T00:00:00"/>
        <d v="2023-02-10T00:00:00"/>
        <d v="2023-02-11T00:00:00"/>
        <d v="2023-02-12T00:00:00"/>
        <d v="2023-02-14T00:00:00"/>
        <d v="2023-02-15T00:00:00"/>
        <d v="2023-02-16T00:00:00"/>
        <d v="2023-02-17T00:00:00"/>
        <d v="2023-02-23T00:00:00"/>
        <d v="2023-02-24T00:00:00"/>
        <d v="2023-02-26T00:00:00"/>
        <d v="2023-02-28T00:00:00"/>
        <d v="2023-03-01T00:00:00"/>
        <d v="2023-03-03T00:00:00"/>
        <d v="2023-03-04T00:00:00"/>
        <d v="2023-03-07T00:00:00"/>
        <d v="2023-03-09T00:00:00"/>
        <d v="2023-03-10T00:00:00"/>
        <d v="2023-03-11T00:00:00"/>
        <d v="2023-03-14T00:00:00"/>
        <d v="2023-03-15T00:00:00"/>
        <d v="2023-03-16T00:00:00"/>
        <d v="2023-03-17T00:00:00"/>
        <d v="2023-03-18T00:00:00"/>
        <d v="2023-03-23T00:00:00"/>
        <d v="2023-03-24T00:00:00"/>
        <d v="2023-03-25T00:00:00"/>
        <d v="2023-03-26T00:00:00"/>
        <d v="2023-03-29T00:00:00"/>
        <d v="2023-03-30T00:00:00"/>
        <d v="2023-03-31T00:00:00"/>
        <d v="2023-04-01T00:00:00"/>
        <d v="2023-04-04T00:00:00"/>
        <d v="2023-04-13T00:00:00"/>
        <d v="2023-04-15T00:00:00"/>
        <d v="2023-04-19T00:00:00"/>
        <d v="2023-04-20T00:00:00"/>
        <d v="2023-04-21T00:00:00"/>
        <d v="2023-04-22T00:00:00"/>
        <d v="2023-04-23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10T00:00:00"/>
        <d v="2023-05-12T00:00:00"/>
        <d v="2023-05-18T00:00:00"/>
        <d v="2023-05-21T00:00:00"/>
        <d v="2023-05-22T00:00:00"/>
        <d v="2023-05-24T00:00:00"/>
        <d v="2023-05-26T00:00:00"/>
        <d v="2023-05-31T00:00:00"/>
        <d v="2023-06-01T00:00:00"/>
        <d v="2023-06-02T00:00:00"/>
        <d v="2023-06-09T00:00:00"/>
        <d v="2023-06-10T00:00:00"/>
        <d v="2023-06-20T00:00:00"/>
        <d v="2023-06-21T00:00:00"/>
        <d v="2023-06-23T00:00:00"/>
        <d v="2023-07-05T00:00:00"/>
        <d v="2023-07-07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22T00:00:00"/>
        <d v="2023-07-24T00:00:00"/>
        <d v="2023-07-29T00:00:00"/>
        <d v="2023-07-31T00:00:00"/>
        <d v="2023-08-02T00:00:00"/>
        <d v="2023-08-04T00:00:00"/>
        <d v="2023-08-05T00:00:00"/>
        <d v="2023-08-06T00:00:00"/>
        <d v="2023-08-07T00:00:00"/>
        <d v="2023-08-08T00:00:00"/>
        <d v="2023-08-10T00:00:00"/>
        <d v="2023-08-11T00:00:00"/>
        <d v="2023-08-16T00:00:00"/>
        <d v="2023-08-17T00:00:00"/>
        <d v="2023-08-18T00:00:00"/>
        <d v="2023-08-19T00:00:00"/>
        <d v="2023-08-20T00:00:00"/>
        <d v="2023-08-23T00:00:00"/>
        <d v="2023-08-24T00:00:00"/>
        <d v="2023-08-25T00:00:00"/>
        <d v="2023-08-26T00:00:00"/>
        <d v="2023-08-29T00:00:00"/>
        <d v="2023-08-30T00:00:00"/>
        <d v="2023-08-31T00:00:00"/>
        <d v="2023-09-01T00:00:00"/>
        <d v="2023-09-02T00:00:00"/>
        <d v="2023-09-06T00:00:00"/>
        <d v="2023-09-07T00:00:00"/>
        <d v="2023-09-08T00:00:00"/>
        <d v="2023-09-10T00:00:00"/>
        <d v="2023-09-11T00:00:00"/>
        <d v="2023-09-13T00:00:00"/>
        <d v="2023-09-14T00:00:00"/>
        <d v="2023-09-16T00:00:00"/>
        <d v="2023-09-19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5T00:00:00"/>
        <d v="2023-10-06T00:00:00"/>
        <d v="2023-10-09T00:00:00"/>
        <d v="2023-10-10T00:00:00"/>
        <d v="2023-10-13T00:00:00"/>
        <d v="2023-10-15T00:00:00"/>
        <d v="2023-10-17T00:00:00"/>
        <d v="2023-10-18T00:00:00"/>
        <d v="2023-10-23T00:00:00"/>
        <d v="2023-10-24T00:00:00"/>
        <d v="2023-10-25T00:00:00"/>
        <d v="2023-10-28T00:00:00"/>
        <d v="2023-10-29T00:00:00"/>
        <d v="2023-10-30T00:00:00"/>
        <d v="2023-10-31T00:00:00"/>
        <d v="2023-11-01T00:00:00"/>
        <d v="2023-11-03T00:00:00"/>
        <d v="2023-11-06T00:00:00"/>
        <d v="2023-11-08T00:00:00"/>
        <d v="2023-11-10T00:00:00"/>
        <d v="2023-11-11T00:00:00"/>
        <d v="2023-11-12T00:00:00"/>
        <d v="2023-11-13T00:00:00"/>
        <d v="2023-11-14T00:00:00"/>
        <d v="2023-11-16T00:00:00"/>
        <d v="2023-11-17T00:00:00"/>
        <d v="2023-11-20T00:00:00"/>
        <d v="2023-11-21T00:00:00"/>
        <d v="2023-11-22T00:00:00"/>
        <d v="2023-11-24T00:00:00"/>
        <d v="2023-11-27T00:00:00"/>
        <d v="2023-11-28T00:00:00"/>
        <d v="2023-11-30T00:00:00"/>
        <d v="2023-12-06T00:00:00"/>
        <d v="2023-12-07T00:00:00"/>
        <d v="2023-12-08T00:00:00"/>
        <d v="2023-12-09T00:00:00"/>
        <d v="2023-12-14T00:00:00"/>
        <d v="2023-12-16T00:00:00"/>
        <d v="2023-12-18T00:00:00"/>
        <d v="2023-12-22T00:00:00"/>
        <d v="2023-12-23T00:00:00"/>
        <d v="2023-12-24T00:00:00"/>
        <d v="2023-12-27T00:00:00"/>
        <d v="2023-12-29T00:00:00"/>
        <d v="2024-01-01T00:00:00"/>
        <d v="2024-01-02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4T00:00:00"/>
        <d v="2024-01-15T00:00:00"/>
        <d v="2024-01-16T00:00:00"/>
        <d v="2024-01-20T00:00:00"/>
        <d v="2024-01-22T00:00:00"/>
        <d v="2024-01-23T00:00:00"/>
        <d v="2024-01-25T00:00:00"/>
        <d v="2024-01-26T00:00:00"/>
        <d v="2024-01-27T00:00:00"/>
        <d v="2024-01-30T00:00:00"/>
        <d v="2024-01-31T00:00:00"/>
        <d v="2024-02-01T00:00:00"/>
        <d v="2024-02-02T00:00:00"/>
        <d v="2024-02-05T00:00:00"/>
        <d v="2024-02-07T00:00:00"/>
        <d v="2024-02-08T00:00:00"/>
        <d v="2024-02-09T00:00:00"/>
        <d v="2024-02-10T00:00:00"/>
        <d v="2024-02-13T00:00:00"/>
        <d v="2024-02-14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4T00:00:00"/>
        <d v="2024-02-27T00:00:00"/>
        <d v="2024-02-28T00:00:00"/>
        <d v="2024-03-01T00:00:00"/>
        <d v="2024-03-02T00:00:00"/>
        <d v="2024-03-03T00:00:00"/>
        <d v="2024-03-05T00:00:00"/>
        <d v="2024-03-09T00:00:00"/>
        <d v="2024-03-11T00:00:00"/>
        <d v="2024-03-13T00:00:00"/>
        <d v="2024-03-14T00:00:00"/>
        <d v="2024-03-15T00:00:00"/>
        <d v="2024-03-16T00:00:00"/>
        <d v="2024-03-19T00:00:00"/>
        <d v="2024-03-25T00:00:00"/>
        <d v="2024-03-26T00:00:00"/>
        <d v="2024-03-27T00:00:00"/>
        <d v="2024-03-29T00:00:00"/>
        <d v="2024-04-01T00:00:00"/>
        <d v="2024-04-02T00:00:00"/>
        <d v="2024-04-03T00:00:00"/>
        <d v="2024-04-05T00:00:00"/>
        <d v="2024-04-06T00:00:00"/>
        <d v="2024-04-08T00:00:00"/>
        <d v="2024-04-09T00:00:00"/>
        <d v="2024-04-12T00:00:00"/>
        <d v="2024-04-13T00:00:00"/>
        <d v="2024-04-16T00:00:00"/>
        <d v="2024-04-17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7T00:00:00"/>
        <d v="2024-04-28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9T00:00:00"/>
        <d v="2024-05-13T00:00:00"/>
        <d v="2024-05-14T00:00:00"/>
        <d v="2024-05-15T00:00:00"/>
        <d v="2024-05-16T00:00:00"/>
        <d v="2024-05-17T00:00:00"/>
        <d v="2024-05-20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7T00:00:00"/>
        <d v="2024-06-18T00:00:00"/>
        <d v="2024-06-19T00:00:00"/>
        <d v="2024-06-20T00:00:00"/>
        <d v="2024-06-21T00:00:00"/>
        <d v="2024-06-23T00:00:00"/>
        <d v="2024-07-01T00:00:00"/>
        <d v="2024-07-02T00:00:00"/>
        <d v="2024-07-03T00:00:00"/>
        <d v="2024-07-04T00:00:00"/>
        <d v="2024-07-09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6T00:00:00"/>
        <d v="2024-07-27T00:00:00"/>
        <d v="2024-07-29T00:00:00"/>
        <d v="2024-07-30T00:00:00"/>
        <d v="2024-07-31T00:00:00"/>
        <d v="2024-08-01T00:00:00"/>
        <d v="2024-08-03T00:00:00"/>
        <d v="2024-08-04T00:00:00"/>
        <d v="2024-08-06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9-02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20T00:00:00"/>
        <d v="2024-09-22T00:00:00"/>
        <d v="2024-09-23T00:00:00"/>
        <d v="2024-09-24T00:00:00"/>
        <d v="2024-09-25T00:00:00"/>
        <d v="2024-09-27T00:00:00"/>
        <d v="2024-09-30T00:00:00"/>
        <d v="2024-10-01T00:00:00"/>
        <d v="2024-10-05T00:00:00"/>
        <d v="2024-10-06T00:00:00"/>
        <d v="2024-10-07T00:00:00"/>
        <d v="2024-10-12T00:00:00"/>
        <d v="2024-10-14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5T00:00:00"/>
        <d v="2024-10-27T00:00:00"/>
        <d v="2024-10-28T00:00:00"/>
        <d v="2024-10-29T00:00:00"/>
        <d v="2024-10-30T00:00:00"/>
        <d v="2024-11-01T00:00:00"/>
        <d v="2024-11-02T00:00:00"/>
        <d v="2024-11-03T00:00:00"/>
        <d v="2024-11-04T00:00:00"/>
        <d v="2024-11-05T00:00:00"/>
        <d v="2024-11-07T00:00:00"/>
        <d v="2024-11-11T00:00:00"/>
        <d v="2024-11-12T00:00:00"/>
        <d v="2024-11-15T00:00:00"/>
        <d v="2024-11-16T00:00:00"/>
        <d v="2024-11-18T00:00:00"/>
        <d v="2024-11-21T00:00:00"/>
        <d v="2024-11-22T00:00:00"/>
        <d v="2024-11-25T00:00:00"/>
        <d v="2024-11-27T00:00:00"/>
        <d v="2024-11-29T00:00:00"/>
        <d v="2024-12-02T00:00:00"/>
        <d v="2024-12-03T00:00:00"/>
        <d v="2024-12-04T00:00:00"/>
        <d v="2024-12-06T00:00:00"/>
        <d v="2024-12-09T00:00:00"/>
        <d v="2024-12-12T00:00:00"/>
        <d v="2025-01-02T00:00:00"/>
        <d v="2025-01-03T00:00:00"/>
        <d v="2025-01-05T00:00:00"/>
        <d v="2025-01-08T00:00:00"/>
        <d v="2025-01-09T00:00:00"/>
        <d v="2025-01-11T00:00:00"/>
        <d v="2025-01-13T00:00:00"/>
        <d v="2025-01-16T00:00:00"/>
        <d v="2025-01-17T00:00:00"/>
        <d v="2025-01-18T00:00:00"/>
        <d v="2025-01-19T00:00:00"/>
        <d v="2025-01-21T00:00:00"/>
        <d v="2025-01-22T00:00:00"/>
        <d v="2025-01-24T00:00:00"/>
        <d v="2025-01-26T00:00:00"/>
        <d v="2025-01-28T00:00:00"/>
        <d v="2025-02-01T00:00:00"/>
        <d v="2025-02-03T00:00:00"/>
        <d v="2025-02-05T00:00:00"/>
        <d v="2025-02-06T00:00:00"/>
        <d v="2025-02-07T00:00:00"/>
        <d v="2025-02-09T00:00:00"/>
        <d v="2025-02-10T00:00:00"/>
        <d v="2025-02-13T00:00:00"/>
        <d v="2025-02-15T00:00:00"/>
        <d v="2025-02-18T00:00:00"/>
        <d v="2025-02-20T00:00:00"/>
        <d v="2025-02-21T00:00:00"/>
        <d v="2025-02-22T00:00:00"/>
        <d v="2025-02-24T00:00:00"/>
        <d v="2025-02-26T00:00:00"/>
        <d v="2025-03-01T00:00:00"/>
        <d v="2025-03-03T00:00:00"/>
        <d v="2025-03-04T00:00:00"/>
        <d v="2025-03-08T00:00:00"/>
        <d v="2025-03-09T00:00:00"/>
        <d v="2025-03-10T00:00:00"/>
        <d v="2025-03-12T00:00:00"/>
        <d v="2025-03-13T00:00:00"/>
        <d v="2025-03-16T00:00:00"/>
        <d v="2025-03-1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8T00:00:00"/>
        <d v="2025-03-30T00:00:00"/>
        <d v="2025-04-07T00:00:00"/>
        <d v="2025-04-08T00:00:00"/>
        <d v="2025-04-11T00:00:00"/>
        <d v="2025-04-12T00:00:00"/>
        <d v="2025-04-14T00:00:00"/>
        <d v="2025-04-16T00:00:00"/>
        <d v="2025-04-17T00:00:00"/>
        <d v="2025-04-21T00:00:00"/>
        <d v="2025-04-22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3T00:00:00"/>
        <d v="2025-05-04T00:00:00"/>
        <d v="2025-05-05T00:00:00"/>
        <d v="2025-05-06T00:00:00"/>
        <d v="2025-05-07T00:00:00"/>
        <d v="2025-05-08T00:00:00"/>
        <d v="2025-05-10T00:00:00"/>
        <d v="2025-05-11T00:00:00"/>
        <d v="2025-05-12T00:00:00"/>
        <d v="2025-05-13T00:00:00"/>
        <d v="2025-05-14T00:00:00"/>
        <d v="2025-05-16T00:00:00"/>
        <d v="2025-05-17T00:00:00"/>
        <d v="2025-05-20T00:00:00"/>
        <d v="2025-05-21T00:00:00"/>
        <d v="2025-05-22T00:00:00"/>
        <d v="2025-05-26T00:00:00"/>
        <d v="2025-05-27T00:00:00"/>
        <d v="2025-05-28T00:00:00"/>
        <d v="2025-05-29T00:00:00"/>
        <d v="2025-05-30T00:00:00"/>
        <d v="2025-06-01T00:00:00"/>
        <d v="2025-06-02T00:00:00"/>
        <d v="2025-06-03T00:00:00"/>
        <d v="2025-06-04T00:00:00"/>
        <d v="2025-06-06T00:00:00"/>
        <d v="2025-06-07T00:00:00"/>
        <d v="2025-06-09T00:00:00"/>
        <d v="2025-06-10T00:00:00"/>
        <d v="2025-06-12T00:00:00"/>
        <d v="2025-06-13T00:00:00"/>
        <d v="2025-06-16T00:00:00"/>
        <d v="2025-06-19T00:00:00"/>
        <d v="2025-06-21T00:00:00"/>
        <d v="2025-06-22T00:00:00"/>
        <d v="2025-06-23T00:00:00"/>
        <d v="2025-06-24T00:00:00"/>
        <d v="2025-06-25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7T00:00:00"/>
        <d v="2025-07-18T00:00:00"/>
        <d v="2025-07-19T00:00:00"/>
        <d v="2025-07-22T00:00:00"/>
        <d v="2025-07-24T00:00:00"/>
        <d v="2025-07-28T00:00:00"/>
        <d v="2025-07-30T00:00:00"/>
        <d v="2025-07-31T00:00:00"/>
        <d v="2025-08-01T00:00:00"/>
        <d v="2025-08-04T00:00:00"/>
        <d v="2025-08-06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20T00:00:00"/>
        <d v="2025-08-21T00:00:00"/>
        <d v="2025-08-22T00:00:00"/>
        <d v="2025-08-25T00:00:00"/>
        <d v="2025-08-27T00:00:00"/>
        <d v="2025-08-28T00:00:00"/>
        <d v="2025-08-29T00:00:00"/>
        <d v="2025-08-31T00:00:00"/>
        <d v="2025-09-01T00:00:00"/>
        <d v="2025-09-02T00:00:00"/>
        <d v="2025-09-04T00:00:00"/>
        <d v="2025-09-06T00:00:00"/>
        <d v="2025-09-07T00:00:00"/>
        <d v="2025-09-08T00:00:00"/>
        <d v="2025-09-09T00:00:00"/>
        <d v="2025-09-11T00:00:00"/>
        <d v="2025-09-12T00:00:00"/>
        <d v="2025-09-14T00:00:00"/>
        <d v="2025-09-15T00:00:00"/>
        <d v="2025-09-17T00:00:00"/>
        <d v="2025-09-18T00:00:00"/>
        <d v="2025-09-19T00:00:00"/>
        <d v="2025-09-21T00:00:00"/>
        <d v="2025-09-22T00:00:00"/>
        <d v="2025-09-23T00:00:00"/>
        <d v="2025-09-24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5T00:00:00"/>
        <d v="2025-10-07T00:00:00"/>
        <d v="2025-10-10T00:00:00"/>
        <d v="2025-10-13T00:00:00"/>
        <d v="2025-10-14T00:00:00"/>
        <d v="2025-10-17T00:00:00"/>
        <d v="2025-10-20T00:00:00"/>
        <d v="2025-10-21T00:00:00"/>
        <d v="2025-10-25T00:00:00"/>
        <d v="2025-10-27T00:00:00"/>
        <d v="2025-10-28T00:00:00"/>
        <d v="2025-10-29T00:00:00"/>
        <d v="2025-11-01T00:00:00"/>
        <d v="2025-11-02T00:00:00"/>
        <d v="2025-11-03T00:00:00"/>
        <d v="2025-11-04T00:00:00"/>
        <d v="2025-11-07T00:00:00"/>
        <d v="2025-11-08T00:00:00"/>
        <d v="2025-11-10T00:00:00"/>
        <d v="2025-11-13T00:00:00"/>
        <d v="2025-11-15T00:00:00"/>
        <d v="2025-11-16T00:00:00"/>
        <d v="2025-11-17T00:00:00"/>
        <d v="2025-11-18T00:00:00"/>
        <d v="2025-11-21T00:00:00"/>
        <d v="2025-11-23T00:00:00"/>
        <d v="2025-11-25T00:00:00"/>
        <d v="2025-11-28T00:00:00"/>
        <d v="2025-11-29T00:00:00"/>
        <d v="2025-11-30T00:00:00"/>
        <d v="2025-12-02T00:00:00"/>
        <d v="2025-12-03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9T00:00:00"/>
        <d v="2025-12-21T00:00:00"/>
        <d v="2025-12-30T00:00:00"/>
        <d v="2026-01-01T00:00:00"/>
        <d v="2026-01-03T00:00:00"/>
        <d v="2026-01-04T00:00:00"/>
        <d v="2026-01-08T00:00:00"/>
        <d v="2026-01-14T00:00:00"/>
        <d v="2026-01-16T00:00:00"/>
        <d v="2026-01-17T00:00:00"/>
        <d v="2026-01-18T00:00:00"/>
        <d v="2026-01-19T00:00:00"/>
        <d v="2026-01-24T00:00:00"/>
        <d v="2026-01-26T00:00:00"/>
        <d v="2026-02-01T00:00:00"/>
        <d v="2026-02-13T00:00:00"/>
        <d v="2026-02-14T00:00:00"/>
        <d v="2026-02-20T00:00:00"/>
        <d v="2026-02-21T00:00:00"/>
        <d v="2026-03-02T00:00:00"/>
        <d v="2026-03-03T00:00:00"/>
        <d v="2026-03-06T00:00:00"/>
        <d v="2026-03-10T00:00:00"/>
        <d v="2026-03-13T00:00:00"/>
        <d v="2026-03-17T00:00:00"/>
        <d v="2026-03-25T00:00:00"/>
        <d v="2026-03-26T00:00:00"/>
        <d v="2026-04-14T00:00:00"/>
        <d v="2026-04-22T00:00:00"/>
        <d v="2026-04-24T00:00:00"/>
        <d v="2026-04-29T00:00:00"/>
        <d v="2026-05-04T00:00:00"/>
        <d v="2026-05-08T00:00:00"/>
        <d v="2026-05-11T00:00:00"/>
        <d v="2026-05-12T00:00:00"/>
        <d v="2026-05-17T00:00:00"/>
        <d v="2026-05-20T00:00:00"/>
        <d v="2026-05-22T00:00:00"/>
      </sharedItems>
      <fieldGroup base="0">
        <rangePr groupBy="quarters" startDate="2021-01-01T00:00:00" endDate="2026-05-23T00:00:00"/>
        <groupItems count="6">
          <s v="&lt;1/1/2021"/>
          <s v="Qtr1"/>
          <s v="Qtr2"/>
          <s v="Qtr3"/>
          <s v="Qtr4"/>
          <s v="&gt;5/23/2026"/>
        </groupItems>
      </fieldGroup>
    </cacheField>
    <cacheField name="DOW" numFmtId="1">
      <sharedItems/>
    </cacheField>
    <cacheField name="Weather" numFmtId="1">
      <sharedItems/>
    </cacheField>
    <cacheField name="Hi Temp" numFmtId="1">
      <sharedItems containsSemiMixedTypes="0" containsString="0" containsNumber="1" minValue="5.5" maxValue="95.3"/>
    </cacheField>
    <cacheField name="Primary Area" numFmtId="0">
      <sharedItems containsBlank="1" count="6">
        <s v="Brunswick/Bath/Freeport"/>
        <s v="Portland"/>
        <s v="Lewiston"/>
        <s v="Augusta"/>
        <m u="1"/>
        <e v="#N/A" u="1"/>
      </sharedItems>
    </cacheField>
    <cacheField name="Start Time" numFmtId="0">
      <sharedItems containsNonDate="0" containsDate="1" containsString="0" containsBlank="1" minDate="1899-12-30T10:00:00" maxDate="1899-12-30T21:57:00"/>
    </cacheField>
    <cacheField name="Total Time" numFmtId="2">
      <sharedItems containsSemiMixedTypes="0" containsString="0" containsNumber="1" minValue="0.4" maxValue="11.5"/>
    </cacheField>
    <cacheField name="Mileage" numFmtId="0">
      <sharedItems containsSemiMixedTypes="0" containsString="0" containsNumber="1" minValue="7.89235576923077" maxValue="256"/>
    </cacheField>
    <cacheField name="UE/D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6365741" createdVersion="6" refreshedVersion="8" minRefreshableVersion="3" recordCount="2098" xr:uid="{C0BC5FD3-4FDE-4CB6-A6AA-8A65F747D739}">
  <cacheSource type="worksheet">
    <worksheetSource name="Combined"/>
  </cacheSource>
  <cacheFields count="20">
    <cacheField name="UID" numFmtId="0">
      <sharedItems containsSemiMixedTypes="0" containsString="0" containsNumber="1" containsInteger="1" minValue="1" maxValue="2098"/>
    </cacheField>
    <cacheField name="App" numFmtId="0">
      <sharedItems/>
    </cacheField>
    <cacheField name="Type" numFmtId="0">
      <sharedItems/>
    </cacheField>
    <cacheField name="Week #" numFmtId="0">
      <sharedItems containsSemiMixedTypes="0" containsString="0" containsNumber="1" containsInteger="1" minValue="1" maxValue="53"/>
    </cacheField>
    <cacheField name="DOW" numFmtId="0">
      <sharedItems containsBlank="1" count="8">
        <s v="Friday"/>
        <s v="Saturday"/>
        <s v="Sunday"/>
        <s v="Monday"/>
        <s v="Tuesday"/>
        <s v="Wednesday"/>
        <s v="Thursday"/>
        <m u="1"/>
      </sharedItems>
    </cacheField>
    <cacheField name="Date" numFmtId="169">
      <sharedItems containsSemiMixedTypes="0" containsNonDate="0" containsDate="1" containsString="0" minDate="2021-01-01T00:00:00" maxDate="2026-05-23T00:00:00" count="882">
        <d v="2021-01-01T00:00:00"/>
        <d v="2021-01-02T00:00:00"/>
        <d v="2021-01-08T00:00:00"/>
        <d v="2021-01-10T00:00:00"/>
        <d v="2021-01-17T00:00:00"/>
        <d v="2021-01-30T00:00:00"/>
        <d v="2021-01-31T00:00:00"/>
        <d v="2021-02-01T00:00:00"/>
        <d v="2021-02-02T00:00:00"/>
        <d v="2021-02-07T00:00:00"/>
        <d v="2021-02-14T00:00:00"/>
        <d v="2021-02-20T00:00:00"/>
        <d v="2021-02-21T00:00:00"/>
        <d v="2021-02-27T00:00:00"/>
        <d v="2021-03-01T00:00:00"/>
        <d v="2021-03-02T00:00:00"/>
        <d v="2021-03-05T00:00:00"/>
        <d v="2021-03-06T00:00:00"/>
        <d v="2021-03-09T00:00:00"/>
        <d v="2021-03-10T00:00:00"/>
        <d v="2021-03-12T00:00:00"/>
        <d v="2021-03-15T00:00:00"/>
        <d v="2021-03-17T00:00:00"/>
        <d v="2021-03-19T00:00:00"/>
        <d v="2021-03-22T00:00:00"/>
        <d v="2021-03-24T00:00:00"/>
        <d v="2021-03-27T00:00:00"/>
        <d v="2021-04-03T00:00:00"/>
        <d v="2021-04-16T00:00:00"/>
        <d v="2021-04-17T00:00:00"/>
        <d v="2021-04-18T00:00:00"/>
        <d v="2021-04-25T00:00:00"/>
        <d v="2021-05-02T00:00:00"/>
        <d v="2021-05-03T00:00:00"/>
        <d v="2021-05-04T00:00:00"/>
        <d v="2021-05-05T00:00:00"/>
        <d v="2021-05-06T00:00:00"/>
        <d v="2021-05-07T00:00:00"/>
        <d v="2021-05-12T00:00:00"/>
        <d v="2021-05-14T00:00:00"/>
        <d v="2021-05-17T00:00:00"/>
        <d v="2021-05-20T00:00:00"/>
        <d v="2021-05-21T00:00:00"/>
        <d v="2021-05-23T00:00:00"/>
        <d v="2021-05-26T00:00:00"/>
        <d v="2021-05-29T00:00:00"/>
        <d v="2021-05-31T00:00:00"/>
        <d v="2021-06-03T00:00:00"/>
        <d v="2021-06-04T00:00:00"/>
        <d v="2021-06-07T00:00:00"/>
        <d v="2021-06-12T00:00:00"/>
        <d v="2021-06-14T00:00:00"/>
        <d v="2021-06-19T00:00:00"/>
        <d v="2021-06-20T00:00:00"/>
        <d v="2021-06-22T00:00:00"/>
        <d v="2021-06-24T00:00:00"/>
        <d v="2021-06-26T00:00:00"/>
        <d v="2021-06-29T00:00:00"/>
        <d v="2021-07-02T00:00:00"/>
        <d v="2021-07-03T00:00:00"/>
        <d v="2021-07-24T00:00:00"/>
        <d v="2021-07-31T00:00:00"/>
        <d v="2021-08-01T00:00:00"/>
        <d v="2021-08-30T00:00:00"/>
        <d v="2021-08-31T00:00:00"/>
        <d v="2021-09-10T00:00:00"/>
        <d v="2021-09-12T00:00:00"/>
        <d v="2021-09-16T00:00:00"/>
        <d v="2021-09-25T00:00:00"/>
        <d v="2021-10-02T00:00:00"/>
        <d v="2021-10-10T00:00:00"/>
        <d v="2021-10-11T00:00:00"/>
        <d v="2021-10-24T00:00:00"/>
        <d v="2021-10-25T00:00:00"/>
        <d v="2021-11-02T00:00:00"/>
        <d v="2021-11-05T00:00:00"/>
        <d v="2021-11-07T00:00:00"/>
        <d v="2021-11-09T00:00:00"/>
        <d v="2021-11-11T00:00:00"/>
        <d v="2021-11-14T00:00:00"/>
        <d v="2021-11-15T00:00:00"/>
        <d v="2021-11-16T00:00:00"/>
        <d v="2021-11-17T00:00:00"/>
        <d v="2021-11-19T00:00:00"/>
        <d v="2021-11-21T00:00:00"/>
        <d v="2021-11-22T00:00:00"/>
        <d v="2021-11-27T00:00:00"/>
        <d v="2021-11-29T00:00:00"/>
        <d v="2021-12-03T00:00:00"/>
        <d v="2021-12-06T00:00:00"/>
        <d v="2021-12-07T00:00:00"/>
        <d v="2021-12-10T00:00:00"/>
        <d v="2021-12-15T00:00:00"/>
        <d v="2021-12-27T00:00:00"/>
        <d v="2021-12-31T00:00:00"/>
        <d v="2022-01-11T00:00:00"/>
        <d v="2022-01-15T00:00:00"/>
        <d v="2022-01-24T00:00:00"/>
        <d v="2022-02-03T00:00:00"/>
        <d v="2022-02-08T00:00:00"/>
        <d v="2022-02-12T00:00:00"/>
        <d v="2022-02-14T00:00:00"/>
        <d v="2022-02-24T00:00:00"/>
        <d v="2022-02-27T00:00:00"/>
        <d v="2022-02-28T00:00:00"/>
        <d v="2022-03-07T00:00:00"/>
        <d v="2022-03-12T00:00:00"/>
        <d v="2022-03-14T00:00:00"/>
        <d v="2022-03-19T00:00:00"/>
        <d v="2022-03-20T00:00:00"/>
        <d v="2022-03-24T00:00:00"/>
        <d v="2022-03-25T00:00:00"/>
        <d v="2022-03-26T00:00:00"/>
        <d v="2022-03-29T00:00:00"/>
        <d v="2022-03-31T00:00:00"/>
        <d v="2022-04-02T00:00:00"/>
        <d v="2022-04-09T00:00:00"/>
        <d v="2022-04-22T00:00:00"/>
        <d v="2022-05-03T00:00:00"/>
        <d v="2022-05-04T00:00:00"/>
        <d v="2022-05-07T00:00:00"/>
        <d v="2022-05-11T00:00:00"/>
        <d v="2022-05-12T00:00:00"/>
        <d v="2022-05-13T00:00:00"/>
        <d v="2022-05-19T00:00:00"/>
        <d v="2022-05-20T00:00:00"/>
        <d v="2022-05-23T00:00:00"/>
        <d v="2022-06-02T00:00:00"/>
        <d v="2022-06-03T00:00:00"/>
        <d v="2022-06-09T00:00:00"/>
        <d v="2022-06-10T00:00:00"/>
        <d v="2022-06-12T00:00:00"/>
        <d v="2022-06-16T00:00:00"/>
        <d v="2022-06-18T00:00:00"/>
        <d v="2022-06-22T00:00:00"/>
        <d v="2022-06-24T00:00:00"/>
        <d v="2022-06-25T00:00:00"/>
        <d v="2022-06-26T00:00:00"/>
        <d v="2022-06-28T00:00:00"/>
        <d v="2022-07-01T00:00:00"/>
        <d v="2022-07-02T00:00:00"/>
        <d v="2022-07-05T00:00:00"/>
        <d v="2022-07-06T00:00:00"/>
        <d v="2022-07-07T00:00:00"/>
        <d v="2022-07-08T00:00:00"/>
        <d v="2022-07-11T00:00:00"/>
        <d v="2022-07-13T00:00:00"/>
        <d v="2022-07-15T00:00:00"/>
        <d v="2022-07-16T00:00:00"/>
        <d v="2022-07-20T00:00:00"/>
        <d v="2022-07-21T00:00:00"/>
        <d v="2022-08-08T00:00:00"/>
        <d v="2022-08-09T00:00:00"/>
        <d v="2022-08-10T00:00:00"/>
        <d v="2022-08-16T00:00:00"/>
        <d v="2022-08-17T00:00:00"/>
        <d v="2022-08-18T00:00:00"/>
        <d v="2022-08-20T00:00:00"/>
        <d v="2022-08-22T00:00:00"/>
        <d v="2022-08-27T00:00:00"/>
        <d v="2022-08-29T00:00:00"/>
        <d v="2022-08-30T00:00:00"/>
        <d v="2022-08-31T00:00:00"/>
        <d v="2022-09-01T00:00:00"/>
        <d v="2022-09-02T00:00:00"/>
        <d v="2022-09-03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5T00:00:00"/>
        <d v="2022-09-16T00:00:00"/>
        <d v="2022-09-18T00:00:00"/>
        <d v="2022-09-19T00:00:00"/>
        <d v="2022-09-20T00:00:00"/>
        <d v="2022-09-21T00:00:00"/>
        <d v="2022-09-23T00:00:00"/>
        <d v="2022-09-25T00:00:00"/>
        <d v="2022-09-26T00:00:00"/>
        <d v="2022-09-27T00:00:00"/>
        <d v="2022-09-29T00:00:00"/>
        <d v="2022-09-30T00:00:00"/>
        <d v="2022-10-02T00:00:00"/>
        <d v="2022-10-03T00:00:00"/>
        <d v="2022-10-05T00:00:00"/>
        <d v="2022-10-06T00:00:00"/>
        <d v="2022-10-07T00:00:00"/>
        <d v="2022-10-08T00:00:00"/>
        <d v="2022-10-11T00:00:00"/>
        <d v="2022-10-12T00:00:00"/>
        <d v="2022-10-14T00:00:00"/>
        <d v="2022-11-04T00:00:00"/>
        <d v="2022-11-07T00:00:00"/>
        <d v="2022-11-09T00:00:00"/>
        <d v="2022-11-10T00:00:00"/>
        <d v="2022-11-11T00:00:00"/>
        <d v="2022-11-17T00:00:00"/>
        <d v="2022-11-18T00:00:00"/>
        <d v="2022-11-21T00:00:00"/>
        <d v="2022-11-23T00:00:00"/>
        <d v="2022-11-25T00:00:00"/>
        <d v="2022-11-26T00:00:00"/>
        <d v="2022-11-27T00:00:00"/>
        <d v="2022-11-28T00:00:00"/>
        <d v="2022-12-01T00:00:00"/>
        <d v="2022-12-03T00:00:00"/>
        <d v="2022-12-05T00:00:00"/>
        <d v="2022-12-07T00:00:00"/>
        <d v="2022-12-08T00:00:00"/>
        <d v="2022-12-09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7T00:00:00"/>
        <d v="2022-12-29T00:00:00"/>
        <d v="2022-12-30T00:00:00"/>
        <d v="2023-01-01T00:00:00"/>
        <d v="2023-01-03T00:00:00"/>
        <d v="2023-01-04T00:00:00"/>
        <d v="2023-01-05T00:00:00"/>
        <d v="2023-01-08T00:00:00"/>
        <d v="2023-01-09T00:00:00"/>
        <d v="2023-01-10T00:00:00"/>
        <d v="2023-01-11T00:00:00"/>
        <d v="2023-01-12T00:00:00"/>
        <d v="2023-01-13T00:00:00"/>
        <d v="2023-01-16T00:00:00"/>
        <d v="2023-01-19T00:00:00"/>
        <d v="2023-01-21T00:00:00"/>
        <d v="2023-01-25T00:00:00"/>
        <d v="2023-01-26T00:00:00"/>
        <d v="2023-01-27T00:00:00"/>
        <d v="2023-01-28T00:00:00"/>
        <d v="2023-01-31T00:00:00"/>
        <d v="2023-02-01T00:00:00"/>
        <d v="2023-02-07T00:00:00"/>
        <d v="2023-02-08T00:00:00"/>
        <d v="2023-02-09T00:00:00"/>
        <d v="2023-02-10T00:00:00"/>
        <d v="2023-02-11T00:00:00"/>
        <d v="2023-02-12T00:00:00"/>
        <d v="2023-02-14T00:00:00"/>
        <d v="2023-02-15T00:00:00"/>
        <d v="2023-02-16T00:00:00"/>
        <d v="2023-02-17T00:00:00"/>
        <d v="2023-02-23T00:00:00"/>
        <d v="2023-02-24T00:00:00"/>
        <d v="2023-02-26T00:00:00"/>
        <d v="2023-02-28T00:00:00"/>
        <d v="2023-03-01T00:00:00"/>
        <d v="2023-03-03T00:00:00"/>
        <d v="2023-03-04T00:00:00"/>
        <d v="2023-03-07T00:00:00"/>
        <d v="2023-03-09T00:00:00"/>
        <d v="2023-03-10T00:00:00"/>
        <d v="2023-03-11T00:00:00"/>
        <d v="2023-03-14T00:00:00"/>
        <d v="2023-03-15T00:00:00"/>
        <d v="2023-03-16T00:00:00"/>
        <d v="2023-03-17T00:00:00"/>
        <d v="2023-03-18T00:00:00"/>
        <d v="2023-03-23T00:00:00"/>
        <d v="2023-03-24T00:00:00"/>
        <d v="2023-03-25T00:00:00"/>
        <d v="2023-03-26T00:00:00"/>
        <d v="2023-03-29T00:00:00"/>
        <d v="2023-03-30T00:00:00"/>
        <d v="2023-03-31T00:00:00"/>
        <d v="2023-04-01T00:00:00"/>
        <d v="2023-04-04T00:00:00"/>
        <d v="2023-04-13T00:00:00"/>
        <d v="2023-04-15T00:00:00"/>
        <d v="2023-04-19T00:00:00"/>
        <d v="2023-04-20T00:00:00"/>
        <d v="2023-04-21T00:00:00"/>
        <d v="2023-04-22T00:00:00"/>
        <d v="2023-04-23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10T00:00:00"/>
        <d v="2023-05-12T00:00:00"/>
        <d v="2023-05-18T00:00:00"/>
        <d v="2023-05-21T00:00:00"/>
        <d v="2023-05-22T00:00:00"/>
        <d v="2023-05-24T00:00:00"/>
        <d v="2023-05-26T00:00:00"/>
        <d v="2023-05-31T00:00:00"/>
        <d v="2023-06-01T00:00:00"/>
        <d v="2023-06-02T00:00:00"/>
        <d v="2023-06-09T00:00:00"/>
        <d v="2023-06-10T00:00:00"/>
        <d v="2023-06-20T00:00:00"/>
        <d v="2023-06-21T00:00:00"/>
        <d v="2023-06-23T00:00:00"/>
        <d v="2023-07-05T00:00:00"/>
        <d v="2023-07-07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22T00:00:00"/>
        <d v="2023-07-24T00:00:00"/>
        <d v="2023-07-29T00:00:00"/>
        <d v="2023-07-31T00:00:00"/>
        <d v="2023-08-02T00:00:00"/>
        <d v="2023-08-04T00:00:00"/>
        <d v="2023-08-05T00:00:00"/>
        <d v="2023-08-06T00:00:00"/>
        <d v="2023-08-07T00:00:00"/>
        <d v="2023-08-08T00:00:00"/>
        <d v="2023-08-10T00:00:00"/>
        <d v="2023-08-11T00:00:00"/>
        <d v="2023-08-16T00:00:00"/>
        <d v="2023-08-17T00:00:00"/>
        <d v="2023-08-18T00:00:00"/>
        <d v="2023-08-19T00:00:00"/>
        <d v="2023-08-20T00:00:00"/>
        <d v="2023-08-23T00:00:00"/>
        <d v="2023-08-24T00:00:00"/>
        <d v="2023-08-25T00:00:00"/>
        <d v="2023-08-26T00:00:00"/>
        <d v="2023-08-29T00:00:00"/>
        <d v="2023-08-30T00:00:00"/>
        <d v="2023-08-31T00:00:00"/>
        <d v="2023-09-01T00:00:00"/>
        <d v="2023-09-02T00:00:00"/>
        <d v="2023-09-06T00:00:00"/>
        <d v="2023-09-07T00:00:00"/>
        <d v="2023-09-08T00:00:00"/>
        <d v="2023-09-10T00:00:00"/>
        <d v="2023-09-11T00:00:00"/>
        <d v="2023-09-13T00:00:00"/>
        <d v="2023-09-14T00:00:00"/>
        <d v="2023-09-16T00:00:00"/>
        <d v="2023-09-19T00:00:00"/>
        <d v="2023-09-21T00:00:00"/>
        <d v="2023-09-22T00:00:00"/>
        <d v="2023-09-23T00:00:00"/>
        <d v="2023-09-25T00:00:00"/>
        <d v="2023-09-26T00:00:00"/>
        <d v="2023-09-27T00:00:00"/>
        <d v="2023-09-28T00:00:00"/>
        <d v="2023-09-29T00:00:00"/>
        <d v="2023-10-02T00:00:00"/>
        <d v="2023-10-05T00:00:00"/>
        <d v="2023-10-06T00:00:00"/>
        <d v="2023-10-09T00:00:00"/>
        <d v="2023-10-10T00:00:00"/>
        <d v="2023-10-13T00:00:00"/>
        <d v="2023-10-15T00:00:00"/>
        <d v="2023-10-17T00:00:00"/>
        <d v="2023-10-18T00:00:00"/>
        <d v="2023-10-23T00:00:00"/>
        <d v="2023-10-24T00:00:00"/>
        <d v="2023-10-25T00:00:00"/>
        <d v="2023-10-28T00:00:00"/>
        <d v="2023-10-29T00:00:00"/>
        <d v="2023-10-30T00:00:00"/>
        <d v="2023-10-31T00:00:00"/>
        <d v="2023-11-01T00:00:00"/>
        <d v="2023-11-03T00:00:00"/>
        <d v="2023-11-06T00:00:00"/>
        <d v="2023-11-08T00:00:00"/>
        <d v="2023-11-10T00:00:00"/>
        <d v="2023-11-11T00:00:00"/>
        <d v="2023-11-12T00:00:00"/>
        <d v="2023-11-13T00:00:00"/>
        <d v="2023-11-14T00:00:00"/>
        <d v="2023-11-16T00:00:00"/>
        <d v="2023-11-17T00:00:00"/>
        <d v="2023-11-20T00:00:00"/>
        <d v="2023-11-21T00:00:00"/>
        <d v="2023-11-22T00:00:00"/>
        <d v="2023-11-24T00:00:00"/>
        <d v="2023-11-27T00:00:00"/>
        <d v="2023-11-28T00:00:00"/>
        <d v="2023-11-30T00:00:00"/>
        <d v="2023-12-06T00:00:00"/>
        <d v="2023-12-07T00:00:00"/>
        <d v="2023-12-08T00:00:00"/>
        <d v="2023-12-09T00:00:00"/>
        <d v="2023-12-14T00:00:00"/>
        <d v="2023-12-16T00:00:00"/>
        <d v="2023-12-18T00:00:00"/>
        <d v="2023-12-22T00:00:00"/>
        <d v="2023-12-23T00:00:00"/>
        <d v="2023-12-24T00:00:00"/>
        <d v="2023-12-27T00:00:00"/>
        <d v="2023-12-29T00:00:00"/>
        <d v="2024-01-01T00:00:00"/>
        <d v="2024-01-02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3T00:00:00"/>
        <d v="2024-01-14T00:00:00"/>
        <d v="2024-01-15T00:00:00"/>
        <d v="2024-01-16T00:00:00"/>
        <d v="2024-01-20T00:00:00"/>
        <d v="2024-01-22T00:00:00"/>
        <d v="2024-01-23T00:00:00"/>
        <d v="2024-01-25T00:00:00"/>
        <d v="2024-01-26T00:00:00"/>
        <d v="2024-01-27T00:00:00"/>
        <d v="2024-01-30T00:00:00"/>
        <d v="2024-01-31T00:00:00"/>
        <d v="2024-02-01T00:00:00"/>
        <d v="2024-02-02T00:00:00"/>
        <d v="2024-02-05T00:00:00"/>
        <d v="2024-02-07T00:00:00"/>
        <d v="2024-02-08T00:00:00"/>
        <d v="2024-02-09T00:00:00"/>
        <d v="2024-02-10T00:00:00"/>
        <d v="2024-02-13T00:00:00"/>
        <d v="2024-02-14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4T00:00:00"/>
        <d v="2024-02-27T00:00:00"/>
        <d v="2024-02-28T00:00:00"/>
        <d v="2024-03-01T00:00:00"/>
        <d v="2024-03-02T00:00:00"/>
        <d v="2024-03-03T00:00:00"/>
        <d v="2024-03-05T00:00:00"/>
        <d v="2024-03-09T00:00:00"/>
        <d v="2024-03-11T00:00:00"/>
        <d v="2024-03-13T00:00:00"/>
        <d v="2024-03-14T00:00:00"/>
        <d v="2024-03-15T00:00:00"/>
        <d v="2024-03-16T00:00:00"/>
        <d v="2024-03-19T00:00:00"/>
        <d v="2024-03-25T00:00:00"/>
        <d v="2024-03-26T00:00:00"/>
        <d v="2024-03-27T00:00:00"/>
        <d v="2024-03-29T00:00:00"/>
        <d v="2024-04-01T00:00:00"/>
        <d v="2024-04-02T00:00:00"/>
        <d v="2024-04-03T00:00:00"/>
        <d v="2024-04-05T00:00:00"/>
        <d v="2024-04-06T00:00:00"/>
        <d v="2024-04-08T00:00:00"/>
        <d v="2024-04-09T00:00:00"/>
        <d v="2024-04-12T00:00:00"/>
        <d v="2024-04-13T00:00:00"/>
        <d v="2024-04-16T00:00:00"/>
        <d v="2024-04-17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7T00:00:00"/>
        <d v="2024-04-28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9T00:00:00"/>
        <d v="2024-05-13T00:00:00"/>
        <d v="2024-05-14T00:00:00"/>
        <d v="2024-05-15T00:00:00"/>
        <d v="2024-05-16T00:00:00"/>
        <d v="2024-05-17T00:00:00"/>
        <d v="2024-05-20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7T00:00:00"/>
        <d v="2024-06-18T00:00:00"/>
        <d v="2024-06-19T00:00:00"/>
        <d v="2024-06-20T00:00:00"/>
        <d v="2024-06-21T00:00:00"/>
        <d v="2024-06-23T00:00:00"/>
        <d v="2024-07-01T00:00:00"/>
        <d v="2024-07-02T00:00:00"/>
        <d v="2024-07-03T00:00:00"/>
        <d v="2024-07-04T00:00:00"/>
        <d v="2024-07-09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6T00:00:00"/>
        <d v="2024-07-27T00:00:00"/>
        <d v="2024-07-29T00:00:00"/>
        <d v="2024-07-30T00:00:00"/>
        <d v="2024-07-31T00:00:00"/>
        <d v="2024-08-01T00:00:00"/>
        <d v="2024-08-03T00:00:00"/>
        <d v="2024-08-04T00:00:00"/>
        <d v="2024-08-06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9-02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20T00:00:00"/>
        <d v="2024-09-22T00:00:00"/>
        <d v="2024-09-23T00:00:00"/>
        <d v="2024-09-24T00:00:00"/>
        <d v="2024-09-25T00:00:00"/>
        <d v="2024-09-27T00:00:00"/>
        <d v="2024-09-30T00:00:00"/>
        <d v="2024-10-01T00:00:00"/>
        <d v="2024-10-05T00:00:00"/>
        <d v="2024-10-06T00:00:00"/>
        <d v="2024-10-07T00:00:00"/>
        <d v="2024-10-12T00:00:00"/>
        <d v="2024-10-14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5T00:00:00"/>
        <d v="2024-10-27T00:00:00"/>
        <d v="2024-10-28T00:00:00"/>
        <d v="2024-10-29T00:00:00"/>
        <d v="2024-10-30T00:00:00"/>
        <d v="2024-11-01T00:00:00"/>
        <d v="2024-11-02T00:00:00"/>
        <d v="2024-11-03T00:00:00"/>
        <d v="2024-11-04T00:00:00"/>
        <d v="2024-11-05T00:00:00"/>
        <d v="2024-11-07T00:00:00"/>
        <d v="2024-11-11T00:00:00"/>
        <d v="2024-11-12T00:00:00"/>
        <d v="2024-11-15T00:00:00"/>
        <d v="2024-11-16T00:00:00"/>
        <d v="2024-11-18T00:00:00"/>
        <d v="2024-11-21T00:00:00"/>
        <d v="2024-11-22T00:00:00"/>
        <d v="2024-11-25T00:00:00"/>
        <d v="2024-11-27T00:00:00"/>
        <d v="2024-11-29T00:00:00"/>
        <d v="2024-12-02T00:00:00"/>
        <d v="2024-12-03T00:00:00"/>
        <d v="2024-12-04T00:00:00"/>
        <d v="2024-12-06T00:00:00"/>
        <d v="2024-12-09T00:00:00"/>
        <d v="2024-12-12T00:00:00"/>
        <d v="2025-01-02T00:00:00"/>
        <d v="2025-01-03T00:00:00"/>
        <d v="2025-01-05T00:00:00"/>
        <d v="2025-01-08T00:00:00"/>
        <d v="2025-01-09T00:00:00"/>
        <d v="2025-01-11T00:00:00"/>
        <d v="2025-01-13T00:00:00"/>
        <d v="2025-01-16T00:00:00"/>
        <d v="2025-01-17T00:00:00"/>
        <d v="2025-01-18T00:00:00"/>
        <d v="2025-01-19T00:00:00"/>
        <d v="2025-01-21T00:00:00"/>
        <d v="2025-01-22T00:00:00"/>
        <d v="2025-01-24T00:00:00"/>
        <d v="2025-01-26T00:00:00"/>
        <d v="2025-01-28T00:00:00"/>
        <d v="2025-02-01T00:00:00"/>
        <d v="2025-02-03T00:00:00"/>
        <d v="2025-02-05T00:00:00"/>
        <d v="2025-02-06T00:00:00"/>
        <d v="2025-02-07T00:00:00"/>
        <d v="2025-02-09T00:00:00"/>
        <d v="2025-02-10T00:00:00"/>
        <d v="2025-02-13T00:00:00"/>
        <d v="2025-02-15T00:00:00"/>
        <d v="2025-02-18T00:00:00"/>
        <d v="2025-02-20T00:00:00"/>
        <d v="2025-02-21T00:00:00"/>
        <d v="2025-02-22T00:00:00"/>
        <d v="2025-02-24T00:00:00"/>
        <d v="2025-02-26T00:00:00"/>
        <d v="2025-03-01T00:00:00"/>
        <d v="2025-03-03T00:00:00"/>
        <d v="2025-03-04T00:00:00"/>
        <d v="2025-03-08T00:00:00"/>
        <d v="2025-03-09T00:00:00"/>
        <d v="2025-03-10T00:00:00"/>
        <d v="2025-03-12T00:00:00"/>
        <d v="2025-03-13T00:00:00"/>
        <d v="2025-03-16T00:00:00"/>
        <d v="2025-03-1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8T00:00:00"/>
        <d v="2025-03-30T00:00:00"/>
        <d v="2025-04-07T00:00:00"/>
        <d v="2025-04-08T00:00:00"/>
        <d v="2025-04-11T00:00:00"/>
        <d v="2025-04-12T00:00:00"/>
        <d v="2025-04-14T00:00:00"/>
        <d v="2025-04-16T00:00:00"/>
        <d v="2025-04-17T00:00:00"/>
        <d v="2025-04-21T00:00:00"/>
        <d v="2025-04-22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3T00:00:00"/>
        <d v="2025-05-04T00:00:00"/>
        <d v="2025-05-05T00:00:00"/>
        <d v="2025-05-06T00:00:00"/>
        <d v="2025-05-07T00:00:00"/>
        <d v="2025-05-08T00:00:00"/>
        <d v="2025-05-10T00:00:00"/>
        <d v="2025-05-11T00:00:00"/>
        <d v="2025-05-12T00:00:00"/>
        <d v="2025-05-13T00:00:00"/>
        <d v="2025-05-14T00:00:00"/>
        <d v="2025-05-16T00:00:00"/>
        <d v="2025-05-17T00:00:00"/>
        <d v="2025-05-20T00:00:00"/>
        <d v="2025-05-21T00:00:00"/>
        <d v="2025-05-22T00:00:00"/>
        <d v="2025-05-26T00:00:00"/>
        <d v="2025-05-27T00:00:00"/>
        <d v="2025-05-28T00:00:00"/>
        <d v="2025-05-29T00:00:00"/>
        <d v="2025-05-30T00:00:00"/>
        <d v="2025-06-01T00:00:00"/>
        <d v="2025-06-02T00:00:00"/>
        <d v="2025-06-03T00:00:00"/>
        <d v="2025-06-04T00:00:00"/>
        <d v="2025-06-06T00:00:00"/>
        <d v="2025-06-07T00:00:00"/>
        <d v="2025-06-09T00:00:00"/>
        <d v="2025-06-10T00:00:00"/>
        <d v="2025-06-12T00:00:00"/>
        <d v="2025-06-13T00:00:00"/>
        <d v="2025-06-16T00:00:00"/>
        <d v="2025-06-19T00:00:00"/>
        <d v="2025-06-21T00:00:00"/>
        <d v="2025-06-22T00:00:00"/>
        <d v="2025-06-23T00:00:00"/>
        <d v="2025-06-24T00:00:00"/>
        <d v="2025-06-25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7T00:00:00"/>
        <d v="2025-07-18T00:00:00"/>
        <d v="2025-07-19T00:00:00"/>
        <d v="2025-07-22T00:00:00"/>
        <d v="2025-07-24T00:00:00"/>
        <d v="2025-07-28T00:00:00"/>
        <d v="2025-07-30T00:00:00"/>
        <d v="2025-07-31T00:00:00"/>
        <d v="2025-08-01T00:00:00"/>
        <d v="2025-08-04T00:00:00"/>
        <d v="2025-08-06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20T00:00:00"/>
        <d v="2025-08-21T00:00:00"/>
        <d v="2025-08-22T00:00:00"/>
        <d v="2025-08-25T00:00:00"/>
        <d v="2025-08-27T00:00:00"/>
        <d v="2025-08-28T00:00:00"/>
        <d v="2025-08-29T00:00:00"/>
        <d v="2025-08-31T00:00:00"/>
        <d v="2025-09-01T00:00:00"/>
        <d v="2025-09-02T00:00:00"/>
        <d v="2025-09-04T00:00:00"/>
        <d v="2025-09-06T00:00:00"/>
        <d v="2025-09-07T00:00:00"/>
        <d v="2025-09-08T00:00:00"/>
        <d v="2025-09-09T00:00:00"/>
        <d v="2025-09-11T00:00:00"/>
        <d v="2025-09-12T00:00:00"/>
        <d v="2025-09-14T00:00:00"/>
        <d v="2025-09-15T00:00:00"/>
        <d v="2025-09-17T00:00:00"/>
        <d v="2025-09-18T00:00:00"/>
        <d v="2025-09-19T00:00:00"/>
        <d v="2025-09-21T00:00:00"/>
        <d v="2025-09-22T00:00:00"/>
        <d v="2025-09-23T00:00:00"/>
        <d v="2025-09-24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5T00:00:00"/>
        <d v="2025-10-07T00:00:00"/>
        <d v="2025-10-10T00:00:00"/>
        <d v="2025-10-13T00:00:00"/>
        <d v="2025-10-14T00:00:00"/>
        <d v="2025-10-17T00:00:00"/>
        <d v="2025-10-20T00:00:00"/>
        <d v="2025-10-21T00:00:00"/>
        <d v="2025-10-25T00:00:00"/>
        <d v="2025-10-27T00:00:00"/>
        <d v="2025-10-28T00:00:00"/>
        <d v="2025-10-29T00:00:00"/>
        <d v="2025-11-01T00:00:00"/>
        <d v="2025-11-02T00:00:00"/>
        <d v="2025-11-03T00:00:00"/>
        <d v="2025-11-04T00:00:00"/>
        <d v="2025-11-07T00:00:00"/>
        <d v="2025-11-08T00:00:00"/>
        <d v="2025-11-10T00:00:00"/>
        <d v="2025-11-13T00:00:00"/>
        <d v="2025-11-15T00:00:00"/>
        <d v="2025-11-16T00:00:00"/>
        <d v="2025-11-17T00:00:00"/>
        <d v="2025-11-18T00:00:00"/>
        <d v="2025-11-21T00:00:00"/>
        <d v="2025-11-23T00:00:00"/>
        <d v="2025-11-25T00:00:00"/>
        <d v="2025-11-28T00:00:00"/>
        <d v="2025-11-29T00:00:00"/>
        <d v="2025-11-30T00:00:00"/>
        <d v="2025-12-02T00:00:00"/>
        <d v="2025-12-03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9T00:00:00"/>
        <d v="2025-12-21T00:00:00"/>
        <d v="2025-12-30T00:00:00"/>
        <d v="2026-01-01T00:00:00"/>
        <d v="2026-01-03T00:00:00"/>
        <d v="2026-01-04T00:00:00"/>
        <d v="2026-01-08T00:00:00"/>
        <d v="2026-01-14T00:00:00"/>
        <d v="2026-01-16T00:00:00"/>
        <d v="2026-01-17T00:00:00"/>
        <d v="2026-01-18T00:00:00"/>
        <d v="2026-01-19T00:00:00"/>
        <d v="2026-01-24T00:00:00"/>
        <d v="2026-01-26T00:00:00"/>
        <d v="2026-02-01T00:00:00"/>
        <d v="2026-02-13T00:00:00"/>
        <d v="2026-02-14T00:00:00"/>
        <d v="2026-02-20T00:00:00"/>
        <d v="2026-02-21T00:00:00"/>
        <d v="2026-03-02T00:00:00"/>
        <d v="2026-03-03T00:00:00"/>
        <d v="2026-03-06T00:00:00"/>
        <d v="2026-03-10T00:00:00"/>
        <d v="2026-03-13T00:00:00"/>
        <d v="2026-03-17T00:00:00"/>
        <d v="2026-03-25T00:00:00"/>
        <d v="2026-03-26T00:00:00"/>
        <d v="2026-04-14T00:00:00"/>
        <d v="2026-04-22T00:00:00"/>
        <d v="2026-04-24T00:00:00"/>
        <d v="2026-04-29T00:00:00"/>
        <d v="2026-05-04T00:00:00"/>
        <d v="2026-05-08T00:00:00"/>
        <d v="2026-05-11T00:00:00"/>
        <d v="2026-05-12T00:00:00"/>
        <d v="2026-05-17T00:00:00"/>
        <d v="2026-05-20T00:00:00"/>
        <d v="2026-05-22T00:00:00"/>
      </sharedItems>
      <fieldGroup par="19" base="5">
        <rangePr groupBy="quarters" startDate="2021-01-01T00:00:00" endDate="2026-05-23T00:00:00"/>
        <groupItems count="6">
          <s v="&lt;1/1/2021"/>
          <s v="Qtr1"/>
          <s v="Qtr2"/>
          <s v="Qtr3"/>
          <s v="Qtr4"/>
          <s v="&gt;5/23/2026"/>
        </groupItems>
      </fieldGroup>
    </cacheField>
    <cacheField name="Trips" numFmtId="0">
      <sharedItems containsSemiMixedTypes="0" containsString="0" containsNumber="1" containsInteger="1" minValue="0" maxValue="19"/>
    </cacheField>
    <cacheField name="Earnings" numFmtId="164">
      <sharedItems containsSemiMixedTypes="0" containsString="0" containsNumber="1" minValue="0" maxValue="248.66"/>
    </cacheField>
    <cacheField name="Time Spent" numFmtId="20">
      <sharedItems containsSemiMixedTypes="0" containsNonDate="0" containsDate="1" containsString="0" minDate="1899-12-30T00:05:00" maxDate="1900-03-19T06:28:48"/>
    </cacheField>
    <cacheField name="Time Spent 2" numFmtId="2">
      <sharedItems containsString="0" containsBlank="1" containsNumber="1" minValue="8.3333333333333329E-2" maxValue="1902.48"/>
    </cacheField>
    <cacheField name="Time Spent 3" numFmtId="2">
      <sharedItems containsString="0" containsBlank="1" containsNumber="1" minValue="0" maxValue="1902.5"/>
    </cacheField>
    <cacheField name="TOD" numFmtId="20">
      <sharedItems containsBlank="1" count="4">
        <s v="Dinner"/>
        <s v="Lunch"/>
        <s v="Late Night"/>
        <m/>
      </sharedItems>
    </cacheField>
    <cacheField name="Primary Area" numFmtId="0">
      <sharedItems/>
    </cacheField>
    <cacheField name="Area #" numFmtId="0">
      <sharedItems containsSemiMixedTypes="0" containsString="0" containsNumber="1" containsInteger="1" minValue="1" maxValue="4"/>
    </cacheField>
    <cacheField name="Field1" numFmtId="0" formula="Trips/'Time Spent 2'" databaseField="0"/>
    <cacheField name="Trips Per Hour" numFmtId="0" formula="Trips/'Time Spent 2'" databaseField="0"/>
    <cacheField name="Field2" numFmtId="0" formula="Earnings/'Time Spent 2'" databaseField="0"/>
    <cacheField name="Field3" numFmtId="0" formula="1" databaseField="0"/>
    <cacheField name="Year" numFmtId="0" formula="YEAR(Date)" databaseField="0"/>
    <cacheField name="Years" numFmtId="0" databaseField="0">
      <fieldGroup base="5">
        <rangePr groupBy="years" startDate="2021-01-01T00:00:00" endDate="2026-05-23T00:00:00"/>
        <groupItems count="8">
          <s v="&lt;1/1/2021"/>
          <s v="2021"/>
          <s v="2022"/>
          <s v="2023"/>
          <s v="2024"/>
          <s v="2025"/>
          <s v="2026"/>
          <s v="&gt;5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ke Napoleon" refreshedDate="46166.720256712964" createdVersion="8" refreshedVersion="8" minRefreshableVersion="3" recordCount="882" xr:uid="{1AD98828-7E54-4DD6-906F-BDA962114A02}">
  <cacheSource type="worksheet">
    <worksheetSource name="All_Data_Combined__WIP"/>
  </cacheSource>
  <cacheFields count="23">
    <cacheField name="Date" numFmtId="14">
      <sharedItems containsSemiMixedTypes="0" containsNonDate="0" containsDate="1" containsString="0" minDate="2021-01-01T00:00:00" maxDate="2026-05-23T00:00:00"/>
    </cacheField>
    <cacheField name="Year" numFmtId="0">
      <sharedItems containsSemiMixedTypes="0" containsString="0" containsNumber="1" containsInteger="1" minValue="2021" maxValue="2026" count="6">
        <n v="2026"/>
        <n v="2025"/>
        <n v="2024"/>
        <n v="2023"/>
        <n v="2022"/>
        <n v="2021"/>
      </sharedItems>
    </cacheField>
    <cacheField name="Quarter" numFmtId="0">
      <sharedItems count="4">
        <s v="QTR2"/>
        <s v="QTR1"/>
        <s v="QTR4"/>
        <s v="QTR3"/>
      </sharedItems>
    </cacheField>
    <cacheField name="Week # in QTR" numFmtId="0">
      <sharedItems containsSemiMixedTypes="0" containsString="0" containsNumber="1" containsInteger="1" minValue="1" maxValue="14"/>
    </cacheField>
    <cacheField name="Week #" numFmtId="0">
      <sharedItems containsSemiMixedTypes="0" containsString="0" containsNumber="1" containsInteger="1" minValue="1" maxValue="53"/>
    </cacheField>
    <cacheField name="DOW" numFmtId="0">
      <sharedItems containsBlank="1" count="8">
        <s v="Friday"/>
        <s v="Wednesday"/>
        <s v="Sunday"/>
        <s v="Tuesday"/>
        <s v="Monday"/>
        <s v="Thursday"/>
        <s v="Saturday"/>
        <m u="1"/>
      </sharedItems>
    </cacheField>
    <cacheField name="Start Time" numFmtId="172">
      <sharedItems containsNonDate="0" containsDate="1" containsString="0" containsBlank="1" minDate="1899-12-30T10:00:00" maxDate="1899-12-30T21:57:00" count="193">
        <d v="1899-12-30T20:50:00"/>
        <d v="1899-12-30T18:05:00"/>
        <d v="1899-12-30T17:55:00"/>
        <d v="1899-12-30T19:25:00"/>
        <d v="1899-12-30T20:30:00"/>
        <d v="1899-12-30T15:20:00"/>
        <d v="1899-12-30T20:00:00"/>
        <d v="1899-12-30T19:45:00"/>
        <d v="1899-12-30T19:00:00"/>
        <d v="1899-12-30T19:35:00"/>
        <d v="1899-12-30T18:35:00"/>
        <d v="1899-12-30T20:45:00"/>
        <d v="1899-12-30T18:50:00"/>
        <d v="1899-12-30T19:55:00"/>
        <d v="1899-12-30T21:50:00"/>
        <d v="1899-12-30T15:40:00"/>
        <d v="1899-12-30T21:15:00"/>
        <d v="1899-12-30T18:45:00"/>
        <d v="1899-12-30T21:40:00"/>
        <d v="1899-12-30T18:40:00"/>
        <d v="1899-12-30T12:10:00"/>
        <d v="1899-12-30T16:10:00"/>
        <d v="1899-12-30T16:00:00"/>
        <d v="1899-12-30T20:10:00"/>
        <d v="1899-12-30T20:15:00"/>
        <d v="1899-12-30T20:55:00"/>
        <d v="1899-12-30T14:45:00"/>
        <d v="1899-12-30T17:15:00"/>
        <d v="1899-12-30T11:55:00"/>
        <d v="1899-12-30T14:00:00"/>
        <d v="1899-12-30T11:40:00"/>
        <d v="1899-12-30T10:35:00"/>
        <d v="1899-12-30T10:00:00"/>
        <d v="1899-12-30T13:10:00"/>
        <d v="1899-12-30T14:55:00"/>
        <d v="1899-12-30T13:00:00"/>
        <d v="1899-12-30T19:20:00"/>
        <d v="1899-12-30T17:25:00"/>
        <d v="1899-12-30T14:50:00"/>
        <d v="1899-12-30T13:05:00"/>
        <d v="1899-12-30T17:30:00"/>
        <d v="1899-12-30T11:30:00"/>
        <d v="1899-12-30T18:10:00"/>
        <d v="1899-12-30T18:20:00"/>
        <d v="1899-12-30T16:30:00"/>
        <d v="1899-12-30T18:30:00"/>
        <d v="1899-12-30T14:05:00"/>
        <d v="1899-12-30T18:15:00"/>
        <d v="1899-12-30T18:55:00"/>
        <d v="1899-12-30T15:05:00"/>
        <d v="1899-12-30T18:00:00"/>
        <d v="1899-12-30T21:20:00"/>
        <d v="1899-12-30T17:40:00"/>
        <d v="1899-12-30T17:35:00"/>
        <d v="1899-12-30T19:05:00"/>
        <d v="1899-12-30T16:40:00"/>
        <d v="1899-12-30T18:25:00"/>
        <d v="1899-12-30T16:50:00"/>
        <d v="1899-12-30T14:20:00"/>
        <d v="1899-12-30T17:00:00"/>
        <d v="1899-12-30T12:30:00"/>
        <d v="1899-12-30T10:30:00"/>
        <d v="1899-12-30T19:15:00"/>
        <d v="1899-12-30T17:10:00"/>
        <d v="1899-12-30T17:05:00"/>
        <d v="1899-12-30T17:50:00"/>
        <d v="1899-12-30T13:40:00"/>
        <d v="1899-12-30T17:45:00"/>
        <d v="1899-12-30T19:10:00"/>
        <d v="1899-12-30T13:35:00"/>
        <d v="1899-12-30T10:25:00"/>
        <d v="1899-12-30T11:45:00"/>
        <d v="1899-12-30T17:20:00"/>
        <d v="1899-12-30T12:25:00"/>
        <d v="1899-12-30T10:55:00"/>
        <d v="1899-12-30T19:40:00"/>
        <d v="1899-12-30T15:35:00"/>
        <d v="1899-12-30T13:11:00"/>
        <d v="1899-12-30T10:10:00"/>
        <d v="1899-12-30T14:10:00"/>
        <d v="1899-12-30T19:30:00"/>
        <d v="1899-12-30T15:00:00"/>
        <d v="1899-12-30T16:55:00"/>
        <d v="1899-12-30T15:15:00"/>
        <d v="1899-12-30T19:04:00"/>
        <d v="1899-12-30T19:50:00"/>
        <d v="1899-12-30T16:45:00"/>
        <d v="1899-12-30T13:45:00"/>
        <d v="1899-12-30T18:08:00"/>
        <d v="1899-12-30T12:50:00"/>
        <d v="1899-12-30T12:35:00"/>
        <d v="1899-12-30T11:05:00"/>
        <d v="1899-12-30T16:25:00"/>
        <d v="1899-12-30T13:55:00"/>
        <d v="1899-12-30T15:30:00"/>
        <d v="1899-12-30T13:50:00"/>
        <d v="1899-12-30T16:35:00"/>
        <d v="1899-12-30T15:55:00"/>
        <d v="1899-12-30T14:40:00"/>
        <d v="1899-12-30T16:05:00"/>
        <d v="1899-12-30T14:30:00"/>
        <d v="1899-12-30T16:15:00"/>
        <d v="1899-12-30T12:40:00"/>
        <d v="1899-12-30T15:25:00"/>
        <d v="1899-12-30T15:45:00"/>
        <d v="1899-12-30T15:50:00"/>
        <d v="1899-12-30T17:13:00"/>
        <d v="1899-12-30T18:18:00"/>
        <d v="1899-12-30T11:10:00"/>
        <d v="1899-12-30T16:42:00"/>
        <d v="1899-12-30T17:52:00"/>
        <d v="1899-12-30T17:26:00"/>
        <d v="1899-12-30T16:11:00"/>
        <d v="1899-12-30T14:15:00"/>
        <d v="1899-12-30T18:27:00"/>
        <d v="1899-12-30T17:12:00"/>
        <d v="1899-12-30T18:22:00"/>
        <d v="1899-12-30T17:39:00"/>
        <d v="1899-12-30T17:37:00"/>
        <d v="1899-12-30T14:25:00"/>
        <d v="1899-12-30T16:20:00"/>
        <d v="1899-12-30T11:25:00"/>
        <d v="1899-12-30T17:32:00"/>
        <d v="1899-12-30T16:06:00"/>
        <d v="1899-12-30T14:14:00"/>
        <d v="1899-12-30T18:42:00"/>
        <d v="1899-12-30T16:57:00"/>
        <d v="1899-12-30T18:07:00"/>
        <d v="1899-12-30T17:11:00"/>
        <d v="1899-12-30T17:48:00"/>
        <d v="1899-12-30T15:36:00"/>
        <d v="1899-12-30T16:59:00"/>
        <d v="1899-12-30T17:06:00"/>
        <d v="1899-12-30T10:40:00"/>
        <d v="1899-12-30T16:48:00"/>
        <d v="1899-12-30T19:18:00"/>
        <d v="1899-12-30T16:16:00"/>
        <d v="1899-12-30T13:36:00"/>
        <d v="1899-12-30T13:13:00"/>
        <d v="1899-12-30T16:51:00"/>
        <d v="1899-12-30T18:01:00"/>
        <d v="1899-12-30T17:28:00"/>
        <d v="1899-12-30T18:11:00"/>
        <d v="1899-12-30T15:19:00"/>
        <d v="1899-12-30T17:54:00"/>
        <d v="1899-12-30T11:34:00"/>
        <d v="1899-12-30T16:41:00"/>
        <d v="1899-12-30T19:47:00"/>
        <d v="1899-12-30T17:29:00"/>
        <d v="1899-12-30T16:52:00"/>
        <d v="1899-12-30T13:15:00"/>
        <d v="1899-12-30T17:09:00"/>
        <d v="1899-12-30T21:57:00"/>
        <d v="1899-12-30T17:53:00"/>
        <d v="1899-12-30T17:17:00"/>
        <d v="1899-12-30T17:18:00"/>
        <d v="1899-12-30T17:36:00"/>
        <d v="1899-12-30T17:31:00"/>
        <d v="1899-12-30T10:49:00"/>
        <d v="1899-12-30T17:51:00"/>
        <d v="1899-12-30T18:03:00"/>
        <d v="1899-12-30T16:32:00"/>
        <d v="1899-12-30T17:59:00"/>
        <d v="1899-12-30T17:07:00"/>
        <d v="1899-12-30T18:19:00"/>
        <d v="1899-12-30T13:49:00"/>
        <d v="1899-12-30T15:38:00"/>
        <d v="1899-12-30T18:39:00"/>
        <d v="1899-12-30T19:37:00"/>
        <d v="1899-12-30T17:04:00"/>
        <d v="1899-12-30T13:54:00"/>
        <d v="1899-12-30T16:58:00"/>
        <d v="1899-12-30T18:48:00"/>
        <d v="1899-12-30T17:23:00"/>
        <d v="1899-12-30T16:09:00"/>
        <d v="1899-12-30T20:39:00"/>
        <d v="1899-12-30T16:04:00"/>
        <d v="1899-12-30T14:04:00"/>
        <d v="1899-12-30T19:42:00"/>
        <d v="1899-12-30T14:38:00"/>
        <d v="1899-12-30T18:14:00"/>
        <d v="1899-12-30T17:38:00"/>
        <d v="1899-12-30T18:02:00"/>
        <d v="1899-12-30T18:43:00"/>
        <d v="1899-12-30T19:32:00"/>
        <d v="1899-12-30T17:47:00"/>
        <d v="1899-12-30T15:53:00"/>
        <d v="1899-12-30T12:44:00"/>
        <d v="1899-12-30T10:50:00"/>
        <d v="1899-12-30T13:09:00"/>
        <d v="1899-12-30T15:44:00"/>
        <d v="1899-12-30T17:49:00"/>
        <m/>
      </sharedItems>
      <fieldGroup par="22"/>
    </cacheField>
    <cacheField name="Primary Area" numFmtId="0">
      <sharedItems containsBlank="1" count="5">
        <s v="Lewiston"/>
        <s v="Portland"/>
        <s v="Brunswick/Bath/Freeport"/>
        <s v="Augusta"/>
        <m u="1"/>
      </sharedItems>
    </cacheField>
    <cacheField name="Weather" numFmtId="0">
      <sharedItems/>
    </cacheField>
    <cacheField name="Hi Temp" numFmtId="0">
      <sharedItems containsSemiMixedTypes="0" containsString="0" containsNumber="1" minValue="5.5" maxValue="95.3"/>
    </cacheField>
    <cacheField name="Hours" numFmtId="0">
      <sharedItems containsSemiMixedTypes="0" containsString="0" containsNumber="1" minValue="0.4" maxValue="11.5" count="408">
        <n v="6.23"/>
        <n v="5.0199999999999996"/>
        <n v="6.37"/>
        <n v="3.57"/>
        <n v="3.15"/>
        <n v="1.8"/>
        <n v="3.75"/>
        <n v="5.47"/>
        <n v="7.17"/>
        <n v="4.7300000000000004"/>
        <n v="3.12"/>
        <n v="4.38"/>
        <n v="4.75"/>
        <n v="3.97"/>
        <n v="4.05"/>
        <n v="3.1"/>
        <n v="2.33"/>
        <n v="4.87"/>
        <n v="4.9800000000000004"/>
        <n v="4.22"/>
        <n v="3.5"/>
        <n v="4.33"/>
        <n v="4.4800000000000004"/>
        <n v="0.85"/>
        <n v="4.62"/>
        <n v="4.47"/>
        <n v="1.63"/>
        <n v="4.2699999999999996"/>
        <n v="4.12"/>
        <n v="2.23"/>
        <n v="1.72"/>
        <n v="1.22"/>
        <n v="4.83"/>
        <n v="0.43"/>
        <n v="4.6500000000000004"/>
        <n v="5.73"/>
        <n v="3.87"/>
        <n v="3.83"/>
        <n v="4.17"/>
        <n v="3.47"/>
        <n v="6.83"/>
        <n v="5.58"/>
        <n v="6.78"/>
        <n v="7.5"/>
        <n v="5.8"/>
        <n v="8.7200000000000006"/>
        <n v="6.58"/>
        <n v="3.65"/>
        <n v="4.5999999999999996"/>
        <n v="6.03"/>
        <n v="8.26"/>
        <n v="4.4000000000000004"/>
        <n v="4.1500000000000004"/>
        <n v="0.4"/>
        <n v="2.57"/>
        <n v="6"/>
        <n v="4.32"/>
        <n v="6.3330000000000002"/>
        <n v="2.1800000000000002"/>
        <n v="5.25"/>
        <n v="2.35"/>
        <n v="1.1000000000000001"/>
        <n v="5.55"/>
        <n v="5.92"/>
        <n v="5.38"/>
        <n v="6.07"/>
        <n v="4.67"/>
        <n v="7.1"/>
        <n v="6.48"/>
        <n v="6.02"/>
        <n v="5.22"/>
        <n v="4.42"/>
        <n v="7.28"/>
        <n v="2.58"/>
        <n v="0.98"/>
        <n v="3.95"/>
        <n v="7.47"/>
        <n v="5.63"/>
        <n v="7.15"/>
        <n v="0.83819444444444446"/>
        <n v="5.98"/>
        <n v="4"/>
        <n v="5.07"/>
        <n v="5.75"/>
        <n v="6.98"/>
        <n v="5.12"/>
        <n v="8.33"/>
        <n v="5.43"/>
        <n v="5.08"/>
        <n v="5.53"/>
        <n v="2.27"/>
        <n v="6.92"/>
        <n v="1.37"/>
        <n v="4.5199999999999996"/>
        <n v="6.28"/>
        <n v="0.97"/>
        <n v="6.13"/>
        <n v="6.45"/>
        <n v="6.42"/>
        <n v="6.55"/>
        <n v="6.88"/>
        <n v="7.05"/>
        <n v="5.13"/>
        <n v="3.02"/>
        <n v="7.33"/>
        <n v="6.38"/>
        <n v="4.07"/>
        <n v="3.13"/>
        <n v="5.85"/>
        <n v="6.22"/>
        <n v="6.57"/>
        <n v="3.18"/>
        <n v="4.3"/>
        <n v="5.97"/>
        <n v="5.42"/>
        <n v="6.18"/>
        <n v="9.92"/>
        <n v="5"/>
        <n v="8.2200000000000006"/>
        <n v="5.37"/>
        <n v="4.93"/>
        <n v="2.17"/>
        <n v="2.98"/>
        <n v="4.72"/>
        <n v="3.68"/>
        <n v="1.28"/>
        <n v="9.07"/>
        <n v="3.52"/>
        <n v="4.63"/>
        <n v="7.63"/>
        <n v="5.23"/>
        <n v="3.93"/>
        <n v="6.82"/>
        <n v="3.67"/>
        <n v="4.97"/>
        <n v="4.03"/>
        <n v="3.6"/>
        <n v="6.73"/>
        <n v="4.82"/>
        <n v="5.77"/>
        <n v="5.0999999999999996"/>
        <n v="7.08"/>
        <n v="4.78"/>
        <n v="4.53"/>
        <n v="3.2"/>
        <n v="4.88"/>
        <n v="4.68"/>
        <n v="4.7699999999999996"/>
        <n v="6.85"/>
        <n v="3.42"/>
        <n v="4.08"/>
        <n v="5.52"/>
        <n v="7.02"/>
        <n v="5.33"/>
        <n v="4.0999999999999996"/>
        <n v="4.7"/>
        <n v="5.28"/>
        <n v="5.57"/>
        <n v="4.92"/>
        <n v="3.98"/>
        <n v="2.4500000000000002"/>
        <n v="4.43"/>
        <n v="2.9"/>
        <n v="2.78"/>
        <n v="8.1300000000000008"/>
        <n v="5.03"/>
        <n v="2.52"/>
        <n v="1.03"/>
        <n v="5.3"/>
        <n v="3.73"/>
        <n v="5.6"/>
        <n v="8.6199999999999992"/>
        <n v="5.2"/>
        <n v="1.1499999999999999"/>
        <n v="2.7"/>
        <n v="2.82"/>
        <n v="2"/>
        <n v="2.5"/>
        <n v="1.7"/>
        <n v="3.53"/>
        <n v="2.0699999999999998"/>
        <n v="1.38"/>
        <n v="2.85"/>
        <n v="1.73"/>
        <n v="2.75"/>
        <n v="2.12"/>
        <n v="1.85"/>
        <n v="2.02"/>
        <n v="3.27"/>
        <n v="1.23"/>
        <n v="2.77"/>
        <n v="3"/>
        <n v="0.6"/>
        <n v="8"/>
        <n v="6.27"/>
        <n v="5.35"/>
        <n v="6.3"/>
        <n v="4.0199999999999996"/>
        <n v="1.42"/>
        <n v="4.55"/>
        <n v="1.52"/>
        <n v="6.5"/>
        <n v="4.18"/>
        <n v="3.35"/>
        <n v="3.82"/>
        <n v="5.9"/>
        <n v="6.75"/>
        <n v="5.32"/>
        <n v="8.18"/>
        <n v="2.5499999999999998"/>
        <n v="7.13"/>
        <n v="4.58"/>
        <n v="5.88"/>
        <n v="6.2"/>
        <n v="6.05"/>
        <n v="3.58"/>
        <n v="2.73"/>
        <n v="5.7"/>
        <n v="6.93"/>
        <n v="7.52"/>
        <n v="6.35"/>
        <n v="3.77"/>
        <n v="7.78"/>
        <n v="6.52"/>
        <n v="7.62"/>
        <n v="2.93"/>
        <n v="4.9000000000000004"/>
        <n v="5.83"/>
        <n v="5.45"/>
        <n v="8.6999999999999993"/>
        <n v="6.08"/>
        <n v="7.23"/>
        <n v="3.37"/>
        <n v="6.17"/>
        <n v="2.2799999999999998"/>
        <n v="5.48"/>
        <n v="5.18"/>
        <n v="5.93"/>
        <n v="5.72"/>
        <n v="5.16"/>
        <n v="6.62"/>
        <n v="7.35"/>
        <n v="4.2300000000000004"/>
        <n v="5.05"/>
        <n v="2.97"/>
        <n v="6.1"/>
        <n v="4.45"/>
        <n v="1.58"/>
        <n v="5.62"/>
        <n v="4.2"/>
        <n v="3.63"/>
        <n v="3.22"/>
        <n v="4.8499999999999996"/>
        <n v="7.7"/>
        <n v="2.25"/>
        <n v="3.9"/>
        <n v="3.32"/>
        <n v="3.25"/>
        <n v="3.38"/>
        <n v="7.55"/>
        <n v="3.45"/>
        <n v="3.08"/>
        <n v="2.37"/>
        <n v="2.3199999999999998"/>
        <n v="3.23"/>
        <n v="2.1"/>
        <n v="0.75"/>
        <n v="2.95"/>
        <n v="2.63"/>
        <n v="3.72"/>
        <n v="3.55"/>
        <n v="6.8"/>
        <n v="4.25"/>
        <n v="1.43"/>
        <n v="4.3499999999999996"/>
        <n v="6.25"/>
        <n v="3.85"/>
        <n v="4.13"/>
        <n v="1.83"/>
        <n v="0.87"/>
        <n v="2.15"/>
        <n v="6.63"/>
        <n v="3.33"/>
        <n v="3.28"/>
        <n v="4.5"/>
        <n v="1.68"/>
        <n v="5.67"/>
        <n v="4.37"/>
        <n v="6.72"/>
        <n v="1.25"/>
        <n v="2.92"/>
        <n v="9.42"/>
        <n v="0.63"/>
        <n v="5.17"/>
        <n v="0.9"/>
        <n v="7.38"/>
        <n v="7.45"/>
        <n v="8.0299999999999994"/>
        <n v="7.03"/>
        <n v="9.2200000000000006"/>
        <n v="4.28"/>
        <n v="8.57"/>
        <n v="3.43"/>
        <n v="8.92"/>
        <n v="7.18"/>
        <n v="2.65"/>
        <n v="6.95"/>
        <n v="6.6"/>
        <n v="4.95"/>
        <n v="7.85"/>
        <n v="3.7"/>
        <n v="1.1299999999999999"/>
        <n v="2.8"/>
        <n v="1.9"/>
        <n v="8.9499999999999993"/>
        <n v="2.4300000000000002"/>
        <n v="1.17"/>
        <n v="5.15"/>
        <n v="7.68"/>
        <n v="7.9"/>
        <n v="6.15"/>
        <n v="0.45"/>
        <n v="5.5"/>
        <n v="6.4"/>
        <n v="8.32"/>
        <n v="0.8"/>
        <n v="9.68"/>
        <n v="0.73"/>
        <n v="8.85"/>
        <n v="7.2"/>
        <n v="9.1"/>
        <n v="9.08"/>
        <n v="5.3000000000000007"/>
        <n v="8.2000000000000011"/>
        <n v="5.1999999999999993"/>
        <n v="5.8999999999999995"/>
        <n v="7.6"/>
        <n v="6.43"/>
        <n v="6.1999999999999993"/>
        <n v="9.6000000000000014"/>
        <n v="10.099999999999998"/>
        <n v="2.2999999999999998"/>
        <n v="6.7"/>
        <n v="4.3999999999999995"/>
        <n v="3.5999999999999996"/>
        <n v="4.3000000000000007"/>
        <n v="5.4"/>
        <n v="9.4"/>
        <n v="6.9"/>
        <n v="7"/>
        <n v="2.4"/>
        <n v="6.3999999999999995"/>
        <n v="8.73"/>
        <n v="6.6999999999999993"/>
        <n v="4.8"/>
        <n v="5.6999999999999993"/>
        <n v="8.75"/>
        <n v="3.3"/>
        <n v="9.1000000000000014"/>
        <n v="6.3000000000000007"/>
        <n v="2.6"/>
        <n v="7.8000000000000007"/>
        <n v="3.8"/>
        <n v="8.4"/>
        <n v="1.7000000000000002"/>
        <n v="8.8000000000000007"/>
        <n v="3.9000000000000004"/>
        <n v="1.5"/>
        <n v="2.2000000000000002"/>
        <n v="6.33"/>
        <n v="11.5"/>
        <n v="3.4000000000000004"/>
        <n v="4.8000000000000007"/>
        <n v="3.3999999999999995"/>
        <n v="1.9000000000000001"/>
        <n v="2.6000000000000005"/>
        <n v="1.2"/>
        <n v="5.3999999999999995"/>
        <n v="2.0999999999999996"/>
        <n v="7.3000000000000016"/>
        <n v="0.5"/>
        <n v="2.3000000000000003"/>
        <n v="2.9000000000000004"/>
        <n v="6.6000000000000014"/>
        <n v="0.89999999999999991"/>
        <n v="4.6999999999999993"/>
        <n v="1.4000000000000001"/>
        <n v="3.4999999999999996"/>
        <n v="1.88"/>
        <n v="2.67"/>
        <n v="7.8999999999999995"/>
        <n v="2.5999999999999996"/>
        <n v="2.041666666666667"/>
        <n v="2.541666666666667"/>
        <n v="2.5666666666666664"/>
        <n v="1.6416666666666666"/>
        <n v="1.4416666666666664"/>
        <n v="0.70833333333333326"/>
        <n v="1.8666666666666667"/>
        <n v="3.7166666666666668"/>
        <n v="5.2166666666666668"/>
        <n v="4.9666666666666668"/>
        <n v="7.1666666666666661"/>
        <n v="3.6666666666666661"/>
        <n v="6.6166666666666671"/>
        <n v="2.0499999999999998"/>
        <n v="3.1000000000000005"/>
        <n v="4.333333333333333"/>
      </sharedItems>
    </cacheField>
    <cacheField name="Miles" numFmtId="0">
      <sharedItems containsSemiMixedTypes="0" containsString="0" containsNumber="1" minValue="7.89235576923077" maxValue="256"/>
    </cacheField>
    <cacheField name="Trips" numFmtId="0">
      <sharedItems containsSemiMixedTypes="0" containsString="0" containsNumber="1" containsInteger="1" minValue="1" maxValue="26"/>
    </cacheField>
    <cacheField name="Gross Earnings" numFmtId="44">
      <sharedItems containsSemiMixedTypes="0" containsString="0" containsNumber="1" minValue="6.97" maxValue="325.68"/>
    </cacheField>
    <cacheField name="Net Earnings" numFmtId="44">
      <sharedItems containsSemiMixedTypes="0" containsString="0" containsNumber="1" minValue="1.6539999999999999" maxValue="301.81900000000002"/>
    </cacheField>
    <cacheField name="Gross $/Hour" numFmtId="44">
      <sharedItems containsSemiMixedTypes="0" containsString="0" containsNumber="1" minValue="2.69" maxValue="48.839300000000001"/>
    </cacheField>
    <cacheField name="Net $/Hour" numFmtId="44">
      <sharedItems containsSemiMixedTypes="0" containsString="0" containsNumber="1" minValue="0.60335714285714304" maxValue="42.440922754103099"/>
    </cacheField>
    <cacheField name="$/Trip" numFmtId="44">
      <sharedItems containsSemiMixedTypes="0" containsString="0" containsNumber="1" minValue="4.585" maxValue="37"/>
    </cacheField>
    <cacheField name="$/Mile" numFmtId="44">
      <sharedItems containsSemiMixedTypes="0" containsString="0" containsNumber="1" minValue="0.25480769230769201" maxValue="3.5057692307692299"/>
    </cacheField>
    <cacheField name="Type" numFmtId="0">
      <sharedItems/>
    </cacheField>
    <cacheField name="Avg Earnings / Day (90D)" numFmtId="165">
      <sharedItems containsSemiMixedTypes="0" containsString="0" containsNumber="1" minValue="0.31340000000000001" maxValue="92.864199999999997"/>
    </cacheField>
    <cacheField name="Minutes (Start Time)" numFmtId="0" databaseField="0">
      <fieldGroup base="6">
        <rangePr groupBy="minutes" startDate="1899-12-30T10:00:00" endDate="1899-12-30T21:57:00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 (Start Time)" numFmtId="0" databaseField="0">
      <fieldGroup base="6">
        <rangePr groupBy="hours" startDate="1899-12-30T10:00:00" endDate="1899-12-30T21:57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2">
  <r>
    <x v="0"/>
    <x v="0"/>
    <x v="0"/>
    <n v="1"/>
    <n v="1"/>
    <x v="0"/>
    <x v="0"/>
    <x v="0"/>
    <x v="0"/>
    <x v="0"/>
    <n v="4.333333333333333"/>
    <n v="10.341184263267598"/>
    <n v="1"/>
    <n v="1"/>
    <s v="Order"/>
    <n v="28.21"/>
    <n v="25.904194163380282"/>
    <n v="6.5100000000000007"/>
    <n v="5.9778909607800657"/>
    <n v="28.21"/>
    <n v="2.727927409649137"/>
    <n v="0.23076923076923078"/>
    <n v="10.341184263267598"/>
    <d v="1899-12-30T04:20:00"/>
    <s v=""/>
    <n v="19.988788031661809"/>
    <n v="-13.478788031661807"/>
    <n v="0.31344444444444447"/>
  </r>
  <r>
    <x v="1"/>
    <x v="0"/>
    <x v="0"/>
    <n v="1"/>
    <n v="1"/>
    <x v="1"/>
    <x v="0"/>
    <x v="1"/>
    <x v="0"/>
    <x v="1"/>
    <n v="3.1000000000000005"/>
    <n v="57.189545807727626"/>
    <n v="4"/>
    <n v="1"/>
    <s v="Order"/>
    <n v="53.14"/>
    <n v="40.388270105244068"/>
    <n v="17.141935483870967"/>
    <n v="13.028474227498084"/>
    <n v="13.285"/>
    <n v="0.9291908031348548"/>
    <n v="1.290322580645161"/>
    <n v="14.297386451931906"/>
    <d v="1899-12-30T00:46:30"/>
    <s v=""/>
    <n v="24.897417163760267"/>
    <n v="-7.7554816798893"/>
    <n v="0.90388888888888885"/>
  </r>
  <r>
    <x v="2"/>
    <x v="0"/>
    <x v="0"/>
    <n v="2"/>
    <n v="2"/>
    <x v="0"/>
    <x v="0"/>
    <x v="1"/>
    <x v="1"/>
    <x v="2"/>
    <n v="2.0499999999999998"/>
    <n v="28.594772903863813"/>
    <n v="2"/>
    <n v="1"/>
    <s v="Order"/>
    <n v="12.04"/>
    <n v="5.6641350526220329"/>
    <n v="5.873170731707317"/>
    <n v="2.7629927085961139"/>
    <n v="6.02"/>
    <n v="0.42105597552667107"/>
    <n v="0.97560975609756106"/>
    <n v="14.297386451931906"/>
    <d v="1899-12-30T01:01:30"/>
    <s v=""/>
    <n v="5.873170731707317"/>
    <n v="0"/>
    <n v="1.0376666666666665"/>
  </r>
  <r>
    <x v="3"/>
    <x v="0"/>
    <x v="0"/>
    <n v="2"/>
    <n v="2"/>
    <x v="2"/>
    <x v="0"/>
    <x v="1"/>
    <x v="1"/>
    <x v="3"/>
    <n v="6.6166666666666671"/>
    <n v="71.48693225965954"/>
    <n v="5"/>
    <n v="1"/>
    <s v="Order"/>
    <n v="63.93"/>
    <n v="47.990337631555079"/>
    <n v="9.6619647355163725"/>
    <n v="7.2529477528798605"/>
    <n v="12.786"/>
    <n v="0.89428931944917212"/>
    <n v="0.75566750629722912"/>
    <n v="14.297386451931908"/>
    <d v="1899-12-30T01:19:24"/>
    <s v=""/>
    <n v="17.041251039326678"/>
    <n v="-7.3792863038103054"/>
    <n v="1.748"/>
  </r>
  <r>
    <x v="4"/>
    <x v="0"/>
    <x v="0"/>
    <n v="3"/>
    <n v="3"/>
    <x v="2"/>
    <x v="0"/>
    <x v="1"/>
    <x v="1"/>
    <x v="4"/>
    <n v="3.6666666666666661"/>
    <n v="28.594772903863813"/>
    <n v="2"/>
    <n v="1"/>
    <s v="Order"/>
    <n v="35.950000000000003"/>
    <n v="29.574135052622037"/>
    <n v="9.8045454545454565"/>
    <n v="8.065673196169648"/>
    <n v="17.975000000000001"/>
    <n v="1.2572227840684242"/>
    <n v="0.54545454545454553"/>
    <n v="14.297386451931906"/>
    <d v="1899-12-30T01:50:00"/>
    <n v="0.14258071902908398"/>
    <n v="16.540912777473199"/>
    <n v="-6.7363673229277428"/>
    <n v="2.147444444444444"/>
  </r>
  <r>
    <x v="5"/>
    <x v="0"/>
    <x v="0"/>
    <n v="5"/>
    <n v="5"/>
    <x v="1"/>
    <x v="0"/>
    <x v="1"/>
    <x v="2"/>
    <x v="5"/>
    <n v="7.1666666666666661"/>
    <n v="100.08170516352334"/>
    <n v="7"/>
    <n v="1"/>
    <s v="Order"/>
    <n v="100.51"/>
    <n v="78.194472684177128"/>
    <n v="14.024651162790699"/>
    <n v="10.910856653606112"/>
    <n v="14.358571428571429"/>
    <n v="1.0042794518316498"/>
    <n v="0.9767441860465117"/>
    <n v="14.297386451931905"/>
    <d v="1899-12-30T01:01:26"/>
    <n v="-3.1172843210802679"/>
    <n v="19.039721119304218"/>
    <n v="-5.0150699565135195"/>
    <n v="3.2642222222222221"/>
  </r>
  <r>
    <x v="6"/>
    <x v="0"/>
    <x v="0"/>
    <n v="5"/>
    <n v="5"/>
    <x v="2"/>
    <x v="0"/>
    <x v="2"/>
    <x v="1"/>
    <x v="6"/>
    <n v="2.35"/>
    <n v="7.89235576923077"/>
    <n v="1"/>
    <n v="1"/>
    <s v="Order"/>
    <n v="8.68"/>
    <n v="6.9202170260119367"/>
    <n v="3.6936170212765953"/>
    <n v="2.9447732025582707"/>
    <n v="8.68"/>
    <n v="1.0997983686746546"/>
    <n v="0.42553191489361702"/>
    <n v="7.89235576923077"/>
    <d v="1899-12-30T02:21:00"/>
    <s v=""/>
    <n v="17.667121010638297"/>
    <n v="-13.973503989361703"/>
    <n v="3.3606666666666665"/>
  </r>
  <r>
    <x v="7"/>
    <x v="0"/>
    <x v="0"/>
    <n v="6"/>
    <n v="6"/>
    <x v="3"/>
    <x v="0"/>
    <x v="1"/>
    <x v="0"/>
    <x v="7"/>
    <n v="2.15"/>
    <n v="28.594772903863813"/>
    <n v="2"/>
    <n v="1"/>
    <s v="Order"/>
    <n v="24.85"/>
    <n v="18.474135052622035"/>
    <n v="11.558139534883722"/>
    <n v="8.5926209547079235"/>
    <n v="12.425000000000001"/>
    <n v="0.86903994948818752"/>
    <n v="0.93023255813953487"/>
    <n v="14.297386451931906"/>
    <d v="1899-12-30T01:04:30"/>
    <s v=""/>
    <n v="16.370667853439272"/>
    <n v="-4.8125283185555503"/>
    <n v="3.6367777777777777"/>
  </r>
  <r>
    <x v="8"/>
    <x v="0"/>
    <x v="0"/>
    <n v="6"/>
    <n v="6"/>
    <x v="4"/>
    <x v="0"/>
    <x v="1"/>
    <x v="0"/>
    <x v="8"/>
    <n v="4.9666666666666668"/>
    <n v="71.48693225965954"/>
    <n v="5"/>
    <n v="1"/>
    <s v="Order"/>
    <n v="53.84"/>
    <n v="37.90033763155509"/>
    <n v="10.840268456375838"/>
    <n v="7.6309404627292121"/>
    <n v="10.768000000000001"/>
    <n v="0.75314464193873665"/>
    <n v="1.006711409395973"/>
    <n v="14.297386451931908"/>
    <d v="1899-12-30T00:59:36"/>
    <s v=""/>
    <n v="23.735051355259746"/>
    <n v="-12.894782898883907"/>
    <n v="4.2349999999999994"/>
  </r>
  <r>
    <x v="9"/>
    <x v="0"/>
    <x v="0"/>
    <n v="6"/>
    <n v="6"/>
    <x v="2"/>
    <x v="0"/>
    <x v="1"/>
    <x v="3"/>
    <x v="9"/>
    <n v="5.4"/>
    <n v="85.784318711591439"/>
    <n v="6"/>
    <n v="1"/>
    <s v="Order"/>
    <n v="74.709999999999994"/>
    <n v="55.582405157866091"/>
    <n v="13.835185185185184"/>
    <n v="10.293037992197423"/>
    <n v="12.451666666666666"/>
    <n v="0.87090509223692125"/>
    <n v="1.1111111111111109"/>
    <n v="14.297386451931906"/>
    <d v="1899-12-30T00:54:00"/>
    <n v="4.1019300901542692"/>
    <n v="20.128703703703703"/>
    <n v="-6.2935185185185194"/>
    <n v="5.0651111111111105"/>
  </r>
  <r>
    <x v="10"/>
    <x v="0"/>
    <x v="0"/>
    <n v="7"/>
    <n v="7"/>
    <x v="2"/>
    <x v="0"/>
    <x v="0"/>
    <x v="1"/>
    <x v="0"/>
    <n v="6.25"/>
    <n v="82.729474106140785"/>
    <n v="8"/>
    <n v="1"/>
    <s v="Order"/>
    <n v="174.88"/>
    <n v="156.43355330704225"/>
    <n v="27.980799999999999"/>
    <n v="25.02936852912676"/>
    <n v="21.86"/>
    <n v="2.1138778154884843"/>
    <n v="1.28"/>
    <n v="10.341184263267598"/>
    <d v="1899-12-30T00:46:53"/>
    <s v=""/>
    <n v="22.500463167053098"/>
    <n v="5.4803368329469002"/>
    <n v="7.0082222222222219"/>
  </r>
  <r>
    <x v="11"/>
    <x v="0"/>
    <x v="0"/>
    <n v="8"/>
    <n v="8"/>
    <x v="1"/>
    <x v="0"/>
    <x v="0"/>
    <x v="2"/>
    <x v="10"/>
    <n v="5.2166666666666668"/>
    <n v="103.41184263267598"/>
    <n v="10"/>
    <n v="1"/>
    <s v="Order"/>
    <n v="89.93"/>
    <n v="66.871941633802834"/>
    <n v="17.238977635782749"/>
    <n v="12.818902549610767"/>
    <n v="8.9930000000000003"/>
    <n v="0.86962960634437048"/>
    <n v="1.9169329073482428"/>
    <n v="10.341184263267598"/>
    <d v="1899-12-30T00:31:18"/>
    <s v=""/>
    <n v="29.384048741661168"/>
    <n v="-12.145071105878419"/>
    <n v="8.0074444444444453"/>
  </r>
  <r>
    <x v="12"/>
    <x v="0"/>
    <x v="0"/>
    <n v="8"/>
    <n v="8"/>
    <x v="2"/>
    <x v="0"/>
    <x v="0"/>
    <x v="0"/>
    <x v="11"/>
    <n v="4.5999999999999996"/>
    <n v="124.09421115921117"/>
    <n v="12"/>
    <n v="1"/>
    <s v="Order"/>
    <n v="90.75"/>
    <n v="63.080329960563397"/>
    <n v="19.728260869565219"/>
    <n v="13.713115208818131"/>
    <n v="7.5625"/>
    <n v="0.73129922139211634"/>
    <n v="2.6086956521739131"/>
    <n v="10.341184263267598"/>
    <d v="1899-12-30T00:23:00"/>
    <n v="-8.2525391304347799"/>
    <n v="19.728260869565219"/>
    <n v="0"/>
    <n v="9.0157777777777781"/>
  </r>
  <r>
    <x v="13"/>
    <x v="0"/>
    <x v="0"/>
    <n v="9"/>
    <n v="9"/>
    <x v="1"/>
    <x v="0"/>
    <x v="2"/>
    <x v="2"/>
    <x v="12"/>
    <n v="3.7166666666666668"/>
    <n v="63.13884615384616"/>
    <n v="8"/>
    <n v="1"/>
    <s v="Order"/>
    <n v="55.9"/>
    <n v="41.821736208095494"/>
    <n v="15.040358744394618"/>
    <n v="11.252485078411343"/>
    <n v="6.9874999999999998"/>
    <n v="0.88535035727121536"/>
    <n v="2.1524663677130045"/>
    <n v="7.89235576923077"/>
    <d v="1899-12-30T00:27:53"/>
    <s v=""/>
    <n v="23.647241099883558"/>
    <n v="-8.6068823554889402"/>
    <n v="9.6368888888888886"/>
  </r>
  <r>
    <x v="14"/>
    <x v="0"/>
    <x v="0"/>
    <n v="10"/>
    <n v="10"/>
    <x v="3"/>
    <x v="0"/>
    <x v="0"/>
    <x v="1"/>
    <x v="13"/>
    <n v="1.8666666666666667"/>
    <n v="41.364737053070392"/>
    <n v="4"/>
    <n v="1"/>
    <s v="Order"/>
    <n v="37.5"/>
    <n v="28.276776653521132"/>
    <n v="20.089285714285715"/>
    <n v="15.148273207243463"/>
    <n v="9.375"/>
    <n v="0.90656928271749948"/>
    <n v="2.1428571428571428"/>
    <n v="10.341184263267598"/>
    <d v="1899-12-30T00:28:00"/>
    <s v=""/>
    <n v="24.199959675578484"/>
    <n v="-4.1106739612927683"/>
    <n v="10.053555555555556"/>
  </r>
  <r>
    <x v="15"/>
    <x v="0"/>
    <x v="0"/>
    <n v="10"/>
    <n v="10"/>
    <x v="4"/>
    <x v="0"/>
    <x v="2"/>
    <x v="1"/>
    <x v="14"/>
    <n v="1.5"/>
    <n v="31.56942307692308"/>
    <n v="4"/>
    <n v="1"/>
    <s v="Order"/>
    <n v="29.5"/>
    <n v="22.460868104047748"/>
    <n v="19.666666666666668"/>
    <n v="14.973912069365165"/>
    <n v="7.375"/>
    <n v="0.93444849872990532"/>
    <n v="2.6666666666666665"/>
    <n v="7.89235576923077"/>
    <d v="1899-12-30T00:22:30"/>
    <s v=""/>
    <n v="20.790663442097699"/>
    <n v="-1.1239967754310314"/>
    <n v="10.381333333333334"/>
  </r>
  <r>
    <x v="16"/>
    <x v="0"/>
    <x v="0"/>
    <n v="10"/>
    <n v="10"/>
    <x v="0"/>
    <x v="0"/>
    <x v="1"/>
    <x v="1"/>
    <x v="15"/>
    <n v="4.3499999999999996"/>
    <n v="100.08170516352334"/>
    <n v="7"/>
    <n v="1"/>
    <s v="Order"/>
    <n v="142.68"/>
    <n v="120.36447268417713"/>
    <n v="32.800000000000004"/>
    <n v="27.669993720500493"/>
    <n v="20.382857142857144"/>
    <n v="1.4256351824429387"/>
    <n v="1.6091954022988506"/>
    <n v="14.297386451931905"/>
    <d v="1899-12-30T00:37:17"/>
    <n v="26.926829268292686"/>
    <n v="31.220108445914899"/>
    <n v="1.5798915540851048"/>
    <n v="11.966666666666667"/>
  </r>
  <r>
    <x v="17"/>
    <x v="0"/>
    <x v="0"/>
    <n v="10"/>
    <n v="10"/>
    <x v="1"/>
    <x v="0"/>
    <x v="0"/>
    <x v="2"/>
    <x v="16"/>
    <n v="0.70833333333333326"/>
    <n v="20.682368526535196"/>
    <n v="2"/>
    <n v="2"/>
    <s v="Order"/>
    <n v="31.05"/>
    <n v="26.438388326760567"/>
    <n v="43.835294117647067"/>
    <n v="37.32478352013257"/>
    <n v="15.525"/>
    <n v="1.5012787321801793"/>
    <n v="2.8235294117647061"/>
    <n v="10.341184263267598"/>
    <d v="1899-12-30T00:21:15"/>
    <n v="26.596316481864317"/>
    <n v="30.543878208019763"/>
    <n v="13.291415909627304"/>
    <n v="12.311666666666666"/>
  </r>
  <r>
    <x v="18"/>
    <x v="0"/>
    <x v="0"/>
    <n v="11"/>
    <n v="11"/>
    <x v="4"/>
    <x v="0"/>
    <x v="0"/>
    <x v="2"/>
    <x v="17"/>
    <n v="1.4416666666666664"/>
    <n v="41.364737053070392"/>
    <n v="4"/>
    <n v="2"/>
    <s v="Order"/>
    <n v="70.41"/>
    <n v="61.186776653521129"/>
    <n v="48.839306358381506"/>
    <n v="42.441694788569578"/>
    <n v="17.602499999999999"/>
    <n v="1.7021744852303771"/>
    <n v="2.7745664739884397"/>
    <n v="10.341184263267598"/>
    <d v="1899-12-30T00:21:37"/>
    <s v=""/>
    <n v="32.707806934860422"/>
    <n v="16.131499423521085"/>
    <n v="13.094000000000001"/>
  </r>
  <r>
    <x v="19"/>
    <x v="0"/>
    <x v="0"/>
    <n v="11"/>
    <n v="11"/>
    <x v="5"/>
    <x v="0"/>
    <x v="0"/>
    <x v="2"/>
    <x v="18"/>
    <n v="1.6416666666666666"/>
    <n v="41.364737053070392"/>
    <n v="4"/>
    <n v="2"/>
    <s v="Order"/>
    <n v="41.620000000000005"/>
    <n v="32.396776653521137"/>
    <n v="25.352284263959394"/>
    <n v="19.734077149352977"/>
    <n v="10.405000000000001"/>
    <n v="1.0061710279120621"/>
    <n v="2.436548223350254"/>
    <n v="10.341184263267598"/>
    <d v="1899-12-30T00:24:38"/>
    <s v=""/>
    <n v="24.713285343418189"/>
    <n v="0.638998920541205"/>
    <n v="13.556444444444443"/>
  </r>
  <r>
    <x v="20"/>
    <x v="0"/>
    <x v="0"/>
    <n v="11"/>
    <n v="11"/>
    <x v="0"/>
    <x v="0"/>
    <x v="0"/>
    <x v="1"/>
    <x v="19"/>
    <n v="2.5666666666666664"/>
    <n v="51.705921316337992"/>
    <n v="5"/>
    <n v="2"/>
    <s v="Order"/>
    <n v="40.86"/>
    <n v="29.330970816901413"/>
    <n v="15.919480519480521"/>
    <n v="11.427650967623928"/>
    <n v="8.1720000000000006"/>
    <n v="0.79023831235918995"/>
    <n v="1.9480519480519483"/>
    <n v="10.341184263267598"/>
    <d v="1899-12-30T00:30:48"/>
    <n v="9.4094805194805211"/>
    <n v="20.505198983639957"/>
    <n v="-4.5857184641594362"/>
    <n v="14.010444444444442"/>
  </r>
  <r>
    <x v="21"/>
    <x v="0"/>
    <x v="0"/>
    <n v="12"/>
    <n v="12"/>
    <x v="3"/>
    <x v="0"/>
    <x v="0"/>
    <x v="2"/>
    <x v="20"/>
    <n v="2.541666666666667"/>
    <n v="62.047105579605585"/>
    <n v="6"/>
    <n v="2"/>
    <s v="Order"/>
    <n v="82"/>
    <n v="68.165164980281702"/>
    <n v="32.26229508196721"/>
    <n v="26.819081303717386"/>
    <n v="13.666666666666666"/>
    <n v="1.3215765543615106"/>
    <n v="2.3606557377049175"/>
    <n v="10.341184263267598"/>
    <d v="1899-12-30T00:25:25"/>
    <n v="12.173009367681495"/>
    <n v="22.127564587674119"/>
    <n v="10.134730494293091"/>
    <n v="14.921555555555553"/>
  </r>
  <r>
    <x v="22"/>
    <x v="0"/>
    <x v="0"/>
    <n v="12"/>
    <n v="12"/>
    <x v="5"/>
    <x v="0"/>
    <x v="0"/>
    <x v="4"/>
    <x v="21"/>
    <n v="2.041666666666667"/>
    <n v="72.388289842873192"/>
    <n v="7"/>
    <n v="2"/>
    <s v="Order"/>
    <n v="83.79"/>
    <n v="67.649359143661982"/>
    <n v="41.04"/>
    <n v="33.134379988732398"/>
    <n v="11.97"/>
    <n v="1.1575076601737033"/>
    <n v="3.4285714285714279"/>
    <n v="10.341184263267598"/>
    <d v="1899-12-30T00:17:30"/>
    <n v="15.687715736040605"/>
    <n v="26.505470302261681"/>
    <n v="14.534529697738318"/>
    <n v="15.852555555555552"/>
  </r>
  <r>
    <x v="23"/>
    <x v="0"/>
    <x v="0"/>
    <n v="12"/>
    <n v="12"/>
    <x v="0"/>
    <x v="0"/>
    <x v="1"/>
    <x v="2"/>
    <x v="22"/>
    <n v="3.5999999999999996"/>
    <n v="85.784318711591439"/>
    <n v="6"/>
    <n v="1"/>
    <s v="Order"/>
    <n v="122.86"/>
    <n v="103.7324051578661"/>
    <n v="34.12777777777778"/>
    <n v="28.81455698829614"/>
    <n v="20.476666666666667"/>
    <n v="1.4321964881840203"/>
    <n v="1.6666666666666667"/>
    <n v="14.297386451931906"/>
    <d v="1899-12-30T00:36:00"/>
    <n v="14.791192411924118"/>
    <n v="24.852884451271549"/>
    <n v="9.2748933265062306"/>
    <n v="17.217666666666663"/>
  </r>
  <r>
    <x v="24"/>
    <x v="0"/>
    <x v="0"/>
    <n v="13"/>
    <n v="13"/>
    <x v="3"/>
    <x v="1"/>
    <x v="0"/>
    <x v="1"/>
    <x v="23"/>
    <n v="2"/>
    <n v="51.705921316337992"/>
    <n v="5"/>
    <n v="2"/>
    <s v="Order"/>
    <n v="67.849999999999994"/>
    <n v="56.320970816901408"/>
    <n v="33.924999999999997"/>
    <n v="28.160485408450704"/>
    <n v="13.569999999999999"/>
    <n v="1.3122288177574899"/>
    <n v="2.5"/>
    <n v="10.341184263267598"/>
    <d v="1899-12-30T00:24:00"/>
    <n v="7.7492096018735346"/>
    <n v="28.889867756914999"/>
    <n v="5.0351322430849983"/>
    <n v="17.97155555555555"/>
  </r>
  <r>
    <x v="25"/>
    <x v="0"/>
    <x v="0"/>
    <n v="13"/>
    <n v="13"/>
    <x v="5"/>
    <x v="2"/>
    <x v="0"/>
    <x v="4"/>
    <x v="24"/>
    <n v="2.5999999999999996"/>
    <n v="62.047105579605585"/>
    <n v="6"/>
    <n v="2"/>
    <s v="Order"/>
    <n v="90.59"/>
    <n v="76.755164980281705"/>
    <n v="34.842307692307699"/>
    <n v="29.521217300108351"/>
    <n v="15.098333333333334"/>
    <n v="1.4600197568245028"/>
    <n v="2.3076923076923079"/>
    <n v="10.341184263267598"/>
    <d v="1899-12-30T00:26:00"/>
    <n v="1.6461655603280008"/>
    <n v="32.352077622229814"/>
    <n v="2.4902300700778852"/>
    <n v="18.978111111111104"/>
  </r>
  <r>
    <x v="26"/>
    <x v="0"/>
    <x v="0"/>
    <n v="13"/>
    <n v="13"/>
    <x v="1"/>
    <x v="3"/>
    <x v="0"/>
    <x v="4"/>
    <x v="25"/>
    <n v="7.8999999999999995"/>
    <n v="175.80013247554916"/>
    <n v="17"/>
    <n v="2"/>
    <s v="Order"/>
    <n v="257.05"/>
    <n v="217.85130077746481"/>
    <n v="32.537974683544306"/>
    <n v="27.576114022463901"/>
    <n v="15.120588235294118"/>
    <n v="1.4621718219453068"/>
    <n v="2.1518987341772156"/>
    <n v="10.341184263267598"/>
    <d v="1899-12-30T00:27:53"/>
    <n v="2.0008388068293996"/>
    <n v="30.297774755848877"/>
    <n v="2.2401999276954285"/>
    <n v="21.834222222222216"/>
  </r>
  <r>
    <x v="27"/>
    <x v="0"/>
    <x v="1"/>
    <n v="1"/>
    <n v="14"/>
    <x v="1"/>
    <x v="4"/>
    <x v="0"/>
    <x v="2"/>
    <x v="26"/>
    <n v="1.2"/>
    <n v="31.023552789802793"/>
    <n v="3"/>
    <n v="2"/>
    <s v="Order"/>
    <n v="35.739999999999995"/>
    <n v="28.822582490140846"/>
    <n v="29.783333333333331"/>
    <n v="24.018818741784038"/>
    <n v="11.913333333333332"/>
    <n v="1.1520279525092776"/>
    <n v="2.5"/>
    <n v="10.341184263267598"/>
    <d v="1899-12-30T00:24:00"/>
    <s v=""/>
    <n v="21.691133638317044"/>
    <n v="8.0921996950162871"/>
    <n v="21.327444444444438"/>
  </r>
  <r>
    <x v="28"/>
    <x v="0"/>
    <x v="1"/>
    <n v="3"/>
    <n v="16"/>
    <x v="0"/>
    <x v="2"/>
    <x v="1"/>
    <x v="0"/>
    <x v="27"/>
    <n v="7.13"/>
    <n v="188"/>
    <n v="12"/>
    <n v="2"/>
    <s v="Order"/>
    <n v="139.62"/>
    <n v="97.701058585882649"/>
    <n v="19.582047685834503"/>
    <n v="13.702813265902195"/>
    <n v="11.635"/>
    <n v="0.74265957446808517"/>
    <n v="1.6830294530154277"/>
    <n v="15.666666666666666"/>
    <d v="1899-12-30T00:35:39"/>
    <s v=""/>
    <n v="19.08828752450929"/>
    <n v="0.49376016132521272"/>
    <n v="22.034666666666659"/>
  </r>
  <r>
    <x v="29"/>
    <x v="0"/>
    <x v="1"/>
    <n v="3"/>
    <n v="16"/>
    <x v="1"/>
    <x v="1"/>
    <x v="0"/>
    <x v="1"/>
    <x v="28"/>
    <n v="2.67"/>
    <n v="73"/>
    <n v="6"/>
    <n v="2"/>
    <s v="Order"/>
    <n v="83.039999999999992"/>
    <n v="66.762964238135268"/>
    <n v="31.101123595505616"/>
    <n v="25.00485551990085"/>
    <n v="13.839999999999998"/>
    <n v="1.1375342465753424"/>
    <n v="2.2471910112359552"/>
    <n v="12.166666666666666"/>
    <d v="1899-12-30T00:26:42"/>
    <n v="1.3177902621722843"/>
    <n v="24.77708469395462"/>
    <n v="6.3240389015509955"/>
    <n v="22.557888888888883"/>
  </r>
  <r>
    <x v="30"/>
    <x v="0"/>
    <x v="1"/>
    <n v="3"/>
    <n v="16"/>
    <x v="2"/>
    <x v="5"/>
    <x v="1"/>
    <x v="4"/>
    <x v="29"/>
    <n v="1.88"/>
    <n v="19"/>
    <n v="4"/>
    <n v="1"/>
    <s v="Order"/>
    <n v="30.67"/>
    <n v="26.433511240062607"/>
    <n v="16.313829787234045"/>
    <n v="14.060378319182238"/>
    <n v="7.6675000000000004"/>
    <n v="1.6142105263157895"/>
    <n v="2.1276595744680851"/>
    <n v="4.75"/>
    <d v="1899-12-30T00:28:12"/>
    <s v=""/>
    <n v="21.420832419390219"/>
    <n v="-5.1070026321561741"/>
    <n v="22.898666666666664"/>
  </r>
  <r>
    <x v="31"/>
    <x v="0"/>
    <x v="1"/>
    <n v="4"/>
    <n v="17"/>
    <x v="2"/>
    <x v="6"/>
    <x v="0"/>
    <x v="4"/>
    <x v="30"/>
    <n v="1.9"/>
    <n v="51.705921316337992"/>
    <n v="5"/>
    <n v="2"/>
    <s v="Order"/>
    <n v="41"/>
    <n v="29.470970816901414"/>
    <n v="21.578947368421055"/>
    <n v="15.511037272053377"/>
    <n v="8.1999999999999993"/>
    <n v="0.79294593261690616"/>
    <n v="2.6315789473684212"/>
    <n v="10.341184263267598"/>
    <d v="1899-12-30T00:22:48"/>
    <s v=""/>
    <n v="18.958528045340856"/>
    <n v="2.6204193230801991"/>
    <n v="23.354222222222219"/>
  </r>
  <r>
    <x v="32"/>
    <x v="0"/>
    <x v="1"/>
    <n v="5"/>
    <n v="18"/>
    <x v="2"/>
    <x v="7"/>
    <x v="0"/>
    <x v="1"/>
    <x v="31"/>
    <n v="3.4999999999999996"/>
    <n v="62.047105579605585"/>
    <n v="6"/>
    <n v="2"/>
    <s v="Order"/>
    <n v="41"/>
    <n v="27.165164980281698"/>
    <n v="11.714285714285715"/>
    <n v="7.7614757086519148"/>
    <n v="6.833333333333333"/>
    <n v="0.66078827718075528"/>
    <n v="1.7142857142857144"/>
    <n v="10.341184263267598"/>
    <d v="1899-12-30T00:35:00"/>
    <n v="-9.8646616541353396"/>
    <n v="19.246597619330164"/>
    <n v="-7.5323119050444483"/>
    <n v="22.320444444444441"/>
  </r>
  <r>
    <x v="33"/>
    <x v="0"/>
    <x v="1"/>
    <n v="6"/>
    <n v="19"/>
    <x v="3"/>
    <x v="1"/>
    <x v="0"/>
    <x v="5"/>
    <x v="32"/>
    <n v="3.1"/>
    <n v="72.388289842873192"/>
    <n v="7"/>
    <n v="2"/>
    <s v="Order"/>
    <n v="74.13"/>
    <n v="57.989359143661972"/>
    <n v="23.912903225806449"/>
    <n v="18.70624488505225"/>
    <n v="10.59"/>
    <n v="1.0240606617576873"/>
    <n v="2.258064516129032"/>
    <n v="10.341184263267598"/>
    <d v="1899-12-30T00:26:34"/>
    <s v=""/>
    <n v="20.570186793111567"/>
    <n v="3.3427164326948819"/>
    <n v="22.545888888888886"/>
  </r>
  <r>
    <x v="34"/>
    <x v="0"/>
    <x v="1"/>
    <n v="6"/>
    <n v="19"/>
    <x v="4"/>
    <x v="8"/>
    <x v="0"/>
    <x v="4"/>
    <x v="33"/>
    <n v="1.4000000000000001"/>
    <n v="31.023552789802793"/>
    <n v="3"/>
    <n v="2"/>
    <s v="Order"/>
    <n v="26"/>
    <n v="19.082582490140851"/>
    <n v="18.571428571428569"/>
    <n v="13.630416064386321"/>
    <n v="8.6666666666666661"/>
    <n v="0.83807293691217732"/>
    <n v="2.1428571428571428"/>
    <n v="10.341184263267598"/>
    <d v="1899-12-30T00:28:00"/>
    <s v=""/>
    <n v="18.163573021829258"/>
    <n v="0.40785554959931147"/>
    <n v="22.834777777777774"/>
  </r>
  <r>
    <x v="35"/>
    <x v="0"/>
    <x v="1"/>
    <n v="6"/>
    <n v="19"/>
    <x v="5"/>
    <x v="2"/>
    <x v="0"/>
    <x v="4"/>
    <x v="34"/>
    <n v="2.8"/>
    <n v="72.388289842873192"/>
    <n v="7"/>
    <n v="1"/>
    <s v="Order"/>
    <n v="104.94"/>
    <n v="88.799359143661974"/>
    <n v="37.478571428571428"/>
    <n v="31.714056837022135"/>
    <n v="14.991428571428571"/>
    <n v="1.4496819890038002"/>
    <n v="2.5"/>
    <n v="10.341184263267598"/>
    <d v="1899-12-30T00:24:00"/>
    <s v=""/>
    <n v="24.426643904418047"/>
    <n v="13.051927524153381"/>
    <n v="24.000777777777774"/>
  </r>
  <r>
    <x v="36"/>
    <x v="0"/>
    <x v="1"/>
    <n v="6"/>
    <n v="19"/>
    <x v="6"/>
    <x v="9"/>
    <x v="1"/>
    <x v="2"/>
    <x v="35"/>
    <n v="3.9000000000000004"/>
    <n v="85.784318711591439"/>
    <n v="6"/>
    <n v="2"/>
    <s v="Order"/>
    <n v="66.97"/>
    <n v="47.842405157866096"/>
    <n v="17.171794871794869"/>
    <n v="12.267283373811818"/>
    <n v="11.161666666666667"/>
    <n v="0.78067881176692033"/>
    <n v="1.5384615384615383"/>
    <n v="14.297386451931906"/>
    <d v="1899-12-30T00:39:00"/>
    <s v=""/>
    <n v="21.385404996263951"/>
    <n v="-4.2136101244690813"/>
    <n v="24.744888888888884"/>
  </r>
  <r>
    <x v="37"/>
    <x v="0"/>
    <x v="1"/>
    <n v="6"/>
    <n v="19"/>
    <x v="0"/>
    <x v="2"/>
    <x v="1"/>
    <x v="1"/>
    <x v="36"/>
    <n v="5.7"/>
    <n v="157.27125097125096"/>
    <n v="11"/>
    <n v="2"/>
    <s v="Order"/>
    <n v="86.57"/>
    <n v="51.502742789421177"/>
    <n v="15.187719298245613"/>
    <n v="9.0355689104247681"/>
    <n v="7.8699999999999992"/>
    <n v="0.55045025372008327"/>
    <n v="1.9298245614035088"/>
    <n v="14.297386451931906"/>
    <d v="1899-12-30T00:31:05"/>
    <n v="-4.3943283875888905"/>
    <n v="15.596737876437123"/>
    <n v="-0.40901857819151033"/>
    <n v="25.706777777777774"/>
  </r>
  <r>
    <x v="38"/>
    <x v="0"/>
    <x v="1"/>
    <n v="7"/>
    <n v="20"/>
    <x v="5"/>
    <x v="10"/>
    <x v="0"/>
    <x v="1"/>
    <x v="37"/>
    <n v="4.3000000000000007"/>
    <n v="113.75302689594358"/>
    <n v="11"/>
    <n v="2"/>
    <s v="Order"/>
    <n v="146.07999999999998"/>
    <n v="120.7161357971831"/>
    <n v="33.972093023255802"/>
    <n v="28.073519952833273"/>
    <n v="13.28"/>
    <n v="1.2841856079454286"/>
    <n v="2.5581395348837206"/>
    <n v="10.341184263267598"/>
    <d v="1899-12-30T00:23:27"/>
    <n v="-3.5064784053156259"/>
    <n v="24.268423200414826"/>
    <n v="9.7036698228409755"/>
    <n v="26.499777777777773"/>
  </r>
  <r>
    <x v="39"/>
    <x v="0"/>
    <x v="1"/>
    <n v="7"/>
    <n v="20"/>
    <x v="0"/>
    <x v="1"/>
    <x v="1"/>
    <x v="4"/>
    <x v="38"/>
    <n v="1.9"/>
    <n v="57.189545807727626"/>
    <n v="4"/>
    <n v="1"/>
    <s v="Order"/>
    <n v="86.24"/>
    <n v="73.488270105244055"/>
    <n v="45.389473684210529"/>
    <n v="38.678036897496874"/>
    <n v="21.56"/>
    <n v="1.5079679123513337"/>
    <n v="2.1052631578947367"/>
    <n v="14.297386451931906"/>
    <d v="1899-12-30T00:28:30"/>
    <n v="28.004590192170472"/>
    <n v="26.162300455424486"/>
    <n v="19.227173228786043"/>
    <n v="27.457999999999991"/>
  </r>
  <r>
    <x v="40"/>
    <x v="0"/>
    <x v="1"/>
    <n v="8"/>
    <n v="21"/>
    <x v="3"/>
    <x v="2"/>
    <x v="0"/>
    <x v="1"/>
    <x v="39"/>
    <n v="4.6999999999999993"/>
    <n v="93.070658369408378"/>
    <n v="9"/>
    <n v="2"/>
    <s v="Order"/>
    <n v="79.72999999999999"/>
    <n v="58.977747470422536"/>
    <n v="16.963829787234044"/>
    <n v="12.548456908600542"/>
    <n v="8.8588888888888881"/>
    <n v="0.85666096487189602"/>
    <n v="1.9148936170212769"/>
    <n v="10.341184263267598"/>
    <d v="1899-12-30T00:31:20"/>
    <n v="-6.9490734385724053"/>
    <n v="15.443940210072718"/>
    <n v="1.5198895771613259"/>
    <n v="26.400777777777776"/>
  </r>
  <r>
    <x v="41"/>
    <x v="0"/>
    <x v="1"/>
    <n v="8"/>
    <n v="21"/>
    <x v="6"/>
    <x v="1"/>
    <x v="0"/>
    <x v="4"/>
    <x v="40"/>
    <n v="0.89999999999999991"/>
    <n v="22"/>
    <n v="2"/>
    <n v="1"/>
    <s v="Order"/>
    <n v="19.61"/>
    <n v="14.704591962177755"/>
    <n v="21.788888888888891"/>
    <n v="16.33843551353084"/>
    <n v="9.8049999999999997"/>
    <n v="0.89136363636363636"/>
    <n v="2.2222222222222223"/>
    <n v="11"/>
    <d v="1899-12-30T00:27:00"/>
    <s v=""/>
    <n v="19.770465325238188"/>
    <n v="2.0184235636507033"/>
    <n v="26.618666666666666"/>
  </r>
  <r>
    <x v="42"/>
    <x v="0"/>
    <x v="1"/>
    <n v="8"/>
    <n v="21"/>
    <x v="0"/>
    <x v="8"/>
    <x v="1"/>
    <x v="1"/>
    <x v="41"/>
    <n v="1.9"/>
    <n v="63.9"/>
    <n v="3"/>
    <n v="1"/>
    <s v="Order"/>
    <n v="43.87"/>
    <n v="29.62201938105266"/>
    <n v="23.089473684210525"/>
    <n v="15.590536516343505"/>
    <n v="14.623333333333333"/>
    <n v="0.68654147104851326"/>
    <n v="1.5789473684210527"/>
    <n v="21.3"/>
    <d v="1899-12-30T00:38:00"/>
    <n v="-3.6302732052196873"/>
    <n v="17.27594486567542"/>
    <n v="5.8135288185351044"/>
    <n v="26.106888888888889"/>
  </r>
  <r>
    <x v="43"/>
    <x v="0"/>
    <x v="1"/>
    <n v="8"/>
    <n v="21"/>
    <x v="2"/>
    <x v="6"/>
    <x v="1"/>
    <x v="2"/>
    <x v="42"/>
    <n v="6.6000000000000014"/>
    <n v="142"/>
    <n v="14"/>
    <n v="2"/>
    <s v="Order"/>
    <n v="189.8"/>
    <n v="158.13782084678371"/>
    <n v="28.757575757575754"/>
    <n v="23.960275885876314"/>
    <n v="13.557142857142859"/>
    <n v="1.3366197183098592"/>
    <n v="2.1212121212121207"/>
    <n v="10.142857142857142"/>
    <d v="1899-12-30T00:28:17"/>
    <n v="12.443745970341709"/>
    <n v="18.720893141945773"/>
    <n v="10.036682615629982"/>
    <n v="27.207444444444445"/>
  </r>
  <r>
    <x v="44"/>
    <x v="0"/>
    <x v="1"/>
    <n v="9"/>
    <n v="22"/>
    <x v="5"/>
    <x v="10"/>
    <x v="2"/>
    <x v="4"/>
    <x v="43"/>
    <n v="3.9000000000000004"/>
    <n v="54"/>
    <n v="13"/>
    <n v="2"/>
    <s v="Order"/>
    <n v="102.85"/>
    <n v="90.809452998072672"/>
    <n v="26.371794871794869"/>
    <n v="23.284475127710941"/>
    <n v="7.911538461538461"/>
    <n v="1.9046296296296295"/>
    <n v="3.333333333333333"/>
    <n v="4.1538461538461542"/>
    <d v="1899-12-30T00:18:00"/>
    <s v=""/>
    <n v="21.882177824775361"/>
    <n v="4.4896170470195074"/>
    <n v="28.350222222222222"/>
  </r>
  <r>
    <x v="45"/>
    <x v="0"/>
    <x v="1"/>
    <n v="9"/>
    <n v="22"/>
    <x v="1"/>
    <x v="10"/>
    <x v="0"/>
    <x v="4"/>
    <x v="44"/>
    <n v="2.9000000000000004"/>
    <n v="60"/>
    <n v="7"/>
    <n v="2"/>
    <s v="Order"/>
    <n v="66.5"/>
    <n v="53.12161444230297"/>
    <n v="22.931034482758619"/>
    <n v="18.317798083552745"/>
    <n v="9.5"/>
    <n v="1.1083333333333334"/>
    <n v="2.4137931034482754"/>
    <n v="8.5714285714285712"/>
    <d v="1899-12-30T00:24:51"/>
    <n v="-7.5111939816608526"/>
    <n v="26.586309320587226"/>
    <n v="-3.6552748378286068"/>
    <n v="28.468"/>
  </r>
  <r>
    <x v="46"/>
    <x v="0"/>
    <x v="1"/>
    <n v="10"/>
    <n v="23"/>
    <x v="3"/>
    <x v="11"/>
    <x v="0"/>
    <x v="2"/>
    <x v="45"/>
    <n v="4.2"/>
    <n v="89"/>
    <n v="11"/>
    <n v="2"/>
    <s v="Order"/>
    <n v="98.360000000000014"/>
    <n v="78.515394756082756"/>
    <n v="23.419047619047621"/>
    <n v="18.694141608591131"/>
    <n v="8.9418181818181832"/>
    <n v="1.1051685393258428"/>
    <n v="2.6190476190476191"/>
    <n v="8.0909090909090917"/>
    <d v="1899-12-30T00:22:55"/>
    <n v="2.9806811125273747"/>
    <n v="22.182309988289532"/>
    <n v="1.2367376307580891"/>
    <n v="28.816444444444446"/>
  </r>
  <r>
    <x v="47"/>
    <x v="0"/>
    <x v="1"/>
    <n v="10"/>
    <n v="23"/>
    <x v="6"/>
    <x v="2"/>
    <x v="2"/>
    <x v="4"/>
    <x v="46"/>
    <n v="2.8"/>
    <n v="42"/>
    <n v="6"/>
    <n v="2"/>
    <s v="Order"/>
    <n v="56"/>
    <n v="46.635130109612078"/>
    <n v="20"/>
    <n v="16.655403610575743"/>
    <n v="9.3333333333333339"/>
    <n v="1.3333333333333333"/>
    <n v="2.1428571428571428"/>
    <n v="7"/>
    <d v="1899-12-30T00:28:00"/>
    <s v=""/>
    <n v="27.094757647407121"/>
    <n v="-7.0947576474071212"/>
    <n v="27.853333333333335"/>
  </r>
  <r>
    <x v="48"/>
    <x v="0"/>
    <x v="1"/>
    <n v="10"/>
    <n v="23"/>
    <x v="0"/>
    <x v="1"/>
    <x v="2"/>
    <x v="2"/>
    <x v="47"/>
    <n v="3"/>
    <n v="52"/>
    <n v="8"/>
    <n v="2"/>
    <s v="Order"/>
    <n v="77.39"/>
    <n v="65.795399183329238"/>
    <n v="25.796666666666667"/>
    <n v="21.931799727776411"/>
    <n v="9.6737500000000001"/>
    <n v="1.4882692307692307"/>
    <n v="2.6666666666666665"/>
    <n v="6.5"/>
    <d v="1899-12-30T00:22:30"/>
    <s v=""/>
    <n v="20.101809097414456"/>
    <n v="5.6948575692522105"/>
    <n v="28.368222222222222"/>
  </r>
  <r>
    <x v="49"/>
    <x v="0"/>
    <x v="1"/>
    <n v="11"/>
    <n v="24"/>
    <x v="3"/>
    <x v="9"/>
    <x v="2"/>
    <x v="2"/>
    <x v="48"/>
    <n v="2.5"/>
    <n v="45"/>
    <n v="5"/>
    <n v="2"/>
    <s v="Order"/>
    <n v="24.75"/>
    <n v="14.716210831727228"/>
    <n v="9.9"/>
    <n v="5.8864843326908911"/>
    <n v="4.95"/>
    <n v="0.55000000000000004"/>
    <n v="2"/>
    <n v="9"/>
    <d v="1899-12-30T00:30:00"/>
    <s v=""/>
    <n v="18.7884790163058"/>
    <n v="-8.8884790163057996"/>
    <n v="27.860888888888891"/>
  </r>
  <r>
    <x v="50"/>
    <x v="0"/>
    <x v="1"/>
    <n v="11"/>
    <n v="24"/>
    <x v="1"/>
    <x v="12"/>
    <x v="1"/>
    <x v="2"/>
    <x v="49"/>
    <n v="1.8"/>
    <n v="31"/>
    <n v="2"/>
    <n v="1"/>
    <s v="Order"/>
    <n v="26.34"/>
    <n v="19.427834128523202"/>
    <n v="14.633333333333333"/>
    <n v="10.79324118251289"/>
    <n v="13.17"/>
    <n v="0.84967741935483876"/>
    <n v="1.1111111111111112"/>
    <n v="15.5"/>
    <d v="1899-12-30T00:54:00"/>
    <s v=""/>
    <n v="22.337827564977648"/>
    <n v="-7.7044942316443148"/>
    <n v="27.237111111111112"/>
  </r>
  <r>
    <x v="51"/>
    <x v="0"/>
    <x v="1"/>
    <n v="12"/>
    <n v="25"/>
    <x v="3"/>
    <x v="8"/>
    <x v="0"/>
    <x v="4"/>
    <x v="50"/>
    <n v="2.7"/>
    <n v="57"/>
    <n v="4"/>
    <n v="2"/>
    <s v="Order"/>
    <n v="35.75"/>
    <n v="23.040533720187824"/>
    <n v="13.24074074074074"/>
    <n v="8.5335310074769719"/>
    <n v="8.9375"/>
    <n v="0.6271929824561403"/>
    <n v="1.4814814814814814"/>
    <n v="14.25"/>
    <d v="1899-12-30T00:40:30"/>
    <n v="-8.1911861366219618"/>
    <n v="19.273030658110066"/>
    <n v="-6.0322899173693258"/>
    <n v="26.723222222222223"/>
  </r>
  <r>
    <x v="52"/>
    <x v="0"/>
    <x v="1"/>
    <n v="12"/>
    <n v="25"/>
    <x v="1"/>
    <x v="11"/>
    <x v="1"/>
    <x v="1"/>
    <x v="51"/>
    <n v="7"/>
    <n v="171"/>
    <n v="15"/>
    <n v="2"/>
    <s v="Order"/>
    <n v="142.98000000000002"/>
    <n v="104.85160116056349"/>
    <n v="20.425714285714289"/>
    <n v="14.978800165794784"/>
    <n v="9.5320000000000018"/>
    <n v="0.83614035087719307"/>
    <n v="2.1428571428571428"/>
    <n v="11.4"/>
    <d v="1899-12-30T00:28:00"/>
    <n v="5.792380952380956"/>
    <n v="22.879063937501609"/>
    <n v="-2.4533496517873203"/>
    <n v="26.015777777777775"/>
  </r>
  <r>
    <x v="53"/>
    <x v="0"/>
    <x v="1"/>
    <n v="12"/>
    <n v="25"/>
    <x v="2"/>
    <x v="7"/>
    <x v="1"/>
    <x v="1"/>
    <x v="52"/>
    <n v="2.9000000000000004"/>
    <n v="69"/>
    <n v="5"/>
    <n v="2"/>
    <s v="Order"/>
    <n v="110.89"/>
    <n v="95.504856608648424"/>
    <n v="38.237931034482756"/>
    <n v="32.932709175396006"/>
    <n v="22.178000000000001"/>
    <n v="1.6071014492753624"/>
    <n v="1.7241379310344827"/>
    <n v="13.8"/>
    <d v="1899-12-30T00:34:48"/>
    <n v="15.702228262077856"/>
    <n v="24.167933971299817"/>
    <n v="14.069997063182939"/>
    <n v="26.494"/>
  </r>
  <r>
    <x v="54"/>
    <x v="0"/>
    <x v="1"/>
    <n v="13"/>
    <n v="26"/>
    <x v="4"/>
    <x v="13"/>
    <x v="0"/>
    <x v="4"/>
    <x v="53"/>
    <n v="1.8"/>
    <n v="40"/>
    <n v="2"/>
    <n v="2"/>
    <s v="Order"/>
    <n v="32.910000000000004"/>
    <n v="23.991076294868648"/>
    <n v="18.283333333333335"/>
    <n v="13.32837571937147"/>
    <n v="16.455000000000002"/>
    <n v="0.82275000000000009"/>
    <n v="1.1111111111111112"/>
    <n v="20"/>
    <d v="1899-12-30T00:54:00"/>
    <n v="-0.28809523809523441"/>
    <n v="20.492635020175374"/>
    <n v="-2.2093016868420392"/>
    <n v="25.853111111111104"/>
  </r>
  <r>
    <x v="55"/>
    <x v="0"/>
    <x v="1"/>
    <n v="13"/>
    <n v="26"/>
    <x v="6"/>
    <x v="1"/>
    <x v="0"/>
    <x v="4"/>
    <x v="54"/>
    <n v="2.8"/>
    <n v="45"/>
    <n v="8"/>
    <n v="2"/>
    <s v="Order"/>
    <n v="68.81"/>
    <n v="58.776210831727226"/>
    <n v="24.575000000000003"/>
    <n v="20.991503868474013"/>
    <n v="8.6012500000000003"/>
    <n v="1.5291111111111111"/>
    <n v="2.8571428571428572"/>
    <n v="5.625"/>
    <d v="1899-12-30T00:21:00"/>
    <n v="2.7861111111111114"/>
    <n v="24.575000000000003"/>
    <n v="0"/>
    <n v="26.617666666666658"/>
  </r>
  <r>
    <x v="56"/>
    <x v="0"/>
    <x v="1"/>
    <n v="13"/>
    <n v="26"/>
    <x v="1"/>
    <x v="7"/>
    <x v="1"/>
    <x v="2"/>
    <x v="55"/>
    <n v="6.4"/>
    <n v="112.99999999999999"/>
    <n v="18"/>
    <n v="2"/>
    <s v="Order"/>
    <n v="134.35999999999999"/>
    <n v="109.16404053300391"/>
    <n v="20.993749999999995"/>
    <n v="17.056881333281861"/>
    <n v="7.4644444444444433"/>
    <n v="1.1890265486725664"/>
    <n v="2.8125"/>
    <n v="6.2777777777777768"/>
    <d v="1899-12-30T00:21:20"/>
    <n v="3.464226190476186"/>
    <n v="20.115540994623654"/>
    <n v="0.87820900537634117"/>
    <n v="25.254444444444445"/>
  </r>
  <r>
    <x v="57"/>
    <x v="0"/>
    <x v="2"/>
    <n v="1"/>
    <n v="27"/>
    <x v="4"/>
    <x v="2"/>
    <x v="0"/>
    <x v="4"/>
    <x v="56"/>
    <n v="3.8"/>
    <n v="72"/>
    <n v="9"/>
    <n v="2"/>
    <s v="Order"/>
    <n v="98.18"/>
    <n v="82.125937330763577"/>
    <n v="25.836842105263162"/>
    <n v="21.612088771253575"/>
    <n v="10.908888888888889"/>
    <n v="1.3636111111111111"/>
    <n v="2.3684210526315792"/>
    <n v="8"/>
    <d v="1899-12-30T00:25:20"/>
    <s v=""/>
    <n v="20.191072811871479"/>
    <n v="5.6457692933916839"/>
    <n v="26.345333333333333"/>
  </r>
  <r>
    <x v="58"/>
    <x v="0"/>
    <x v="2"/>
    <n v="1"/>
    <n v="27"/>
    <x v="0"/>
    <x v="14"/>
    <x v="1"/>
    <x v="4"/>
    <x v="57"/>
    <n v="4"/>
    <n v="95.6"/>
    <n v="7"/>
    <n v="2"/>
    <s v="Order"/>
    <n v="50.5"/>
    <n v="29.183772344736067"/>
    <n v="12.625"/>
    <n v="7.2959430861840167"/>
    <n v="7.2142857142857144"/>
    <n v="0.52824267782426781"/>
    <n v="1.75"/>
    <n v="13.657142857142857"/>
    <d v="1899-12-30T00:34:17"/>
    <s v=""/>
    <n v="18.630277777777778"/>
    <n v="-6.0052777777777777"/>
    <n v="26.509333333333331"/>
  </r>
  <r>
    <x v="59"/>
    <x v="0"/>
    <x v="2"/>
    <n v="1"/>
    <n v="27"/>
    <x v="1"/>
    <x v="4"/>
    <x v="0"/>
    <x v="4"/>
    <x v="58"/>
    <n v="4.8000000000000007"/>
    <n v="52.5"/>
    <n v="7"/>
    <n v="2"/>
    <s v="Order"/>
    <n v="52"/>
    <n v="40.293912637015097"/>
    <n v="10.833333333333332"/>
    <n v="8.3945651327114774"/>
    <n v="7.4285714285714288"/>
    <n v="0.99047619047619051"/>
    <n v="1.458333333333333"/>
    <n v="7.5"/>
    <d v="1899-12-30T00:41:09"/>
    <s v=""/>
    <n v="15.768926865123115"/>
    <n v="-4.9355935317897828"/>
    <n v="27.087111111111106"/>
  </r>
  <r>
    <x v="60"/>
    <x v="0"/>
    <x v="2"/>
    <n v="4"/>
    <n v="30"/>
    <x v="1"/>
    <x v="10"/>
    <x v="0"/>
    <x v="4"/>
    <x v="59"/>
    <n v="2.1"/>
    <n v="58"/>
    <n v="3"/>
    <n v="2"/>
    <s v="Order"/>
    <n v="24"/>
    <n v="11.067560627559539"/>
    <n v="11.428571428571429"/>
    <n v="5.2702669655045424"/>
    <n v="8"/>
    <n v="0.41379310344827586"/>
    <n v="1.4285714285714286"/>
    <n v="19.333333333333332"/>
    <d v="1899-12-30T00:42:00"/>
    <n v="0.59523809523809668"/>
    <n v="18.936657968408081"/>
    <n v="-7.5080865398366523"/>
    <n v="24.083444444444446"/>
  </r>
  <r>
    <x v="61"/>
    <x v="0"/>
    <x v="2"/>
    <n v="5"/>
    <n v="31"/>
    <x v="1"/>
    <x v="11"/>
    <x v="0"/>
    <x v="1"/>
    <x v="60"/>
    <n v="1.2"/>
    <n v="16.5"/>
    <n v="3"/>
    <n v="2"/>
    <s v="Order"/>
    <n v="28.2"/>
    <n v="24.520943971633315"/>
    <n v="23.5"/>
    <n v="20.434119976361096"/>
    <n v="9.4"/>
    <n v="1.709090909090909"/>
    <n v="2.5"/>
    <n v="5.5"/>
    <d v="1899-12-30T00:24:00"/>
    <n v="12.36904761904762"/>
    <n v="22.885934984497997"/>
    <n v="0.61406501550200332"/>
    <n v="23.941222222222223"/>
  </r>
  <r>
    <x v="62"/>
    <x v="0"/>
    <x v="2"/>
    <n v="5"/>
    <n v="31"/>
    <x v="2"/>
    <x v="10"/>
    <x v="0"/>
    <x v="4"/>
    <x v="61"/>
    <n v="1.9"/>
    <n v="47.4"/>
    <n v="2"/>
    <n v="1"/>
    <s v="Order"/>
    <n v="27.8"/>
    <n v="17.231075409419347"/>
    <n v="14.631578947368421"/>
    <n v="9.0689870575891298"/>
    <n v="13.9"/>
    <n v="0.5864978902953587"/>
    <n v="1.0526315789473684"/>
    <n v="23.7"/>
    <d v="1899-12-30T00:57:00"/>
    <s v=""/>
    <n v="16.999446431613013"/>
    <n v="-2.3678674842445915"/>
    <n v="23.426444444444446"/>
  </r>
  <r>
    <x v="63"/>
    <x v="0"/>
    <x v="2"/>
    <n v="10"/>
    <n v="36"/>
    <x v="3"/>
    <x v="10"/>
    <x v="0"/>
    <x v="4"/>
    <x v="62"/>
    <n v="1.1000000000000001"/>
    <n v="13.5"/>
    <n v="2"/>
    <n v="1"/>
    <s v="Order"/>
    <n v="16"/>
    <n v="12.989863249518169"/>
    <n v="14.545454545454545"/>
    <n v="11.808966590471062"/>
    <n v="8"/>
    <n v="1.1851851851851851"/>
    <n v="1.8181818181818181"/>
    <n v="6.75"/>
    <d v="1899-12-30T00:33:00"/>
    <s v=""/>
    <n v="21.854789288246266"/>
    <n v="-7.3093347427917212"/>
    <n v="11.187333333333335"/>
  </r>
  <r>
    <x v="64"/>
    <x v="0"/>
    <x v="2"/>
    <n v="10"/>
    <n v="36"/>
    <x v="4"/>
    <x v="8"/>
    <x v="0"/>
    <x v="4"/>
    <x v="40"/>
    <n v="2.3000000000000003"/>
    <n v="37.1"/>
    <n v="6"/>
    <n v="2"/>
    <s v="Order"/>
    <n v="53.66"/>
    <n v="45.387698263490662"/>
    <n v="23.330434782608691"/>
    <n v="19.733781853691589"/>
    <n v="8.9433333333333334"/>
    <n v="1.4463611859838272"/>
    <n v="2.6086956521739126"/>
    <n v="6.1833333333333336"/>
    <d v="1899-12-30T00:23:00"/>
    <n v="-2.5064073226544714"/>
    <n v="21.806363018460878"/>
    <n v="1.5240717641478128"/>
    <n v="11.783555555555559"/>
  </r>
  <r>
    <x v="65"/>
    <x v="0"/>
    <x v="2"/>
    <n v="11"/>
    <n v="37"/>
    <x v="0"/>
    <x v="9"/>
    <x v="0"/>
    <x v="2"/>
    <x v="63"/>
    <n v="3.1"/>
    <n v="50.099999999999994"/>
    <n v="10"/>
    <n v="1"/>
    <s v="Order"/>
    <n v="83.36"/>
    <n v="72.189048059322985"/>
    <n v="26.890322580645162"/>
    <n v="23.2867896965558"/>
    <n v="8.3360000000000003"/>
    <n v="1.6638722554890222"/>
    <n v="3.225806451612903"/>
    <n v="5.01"/>
    <d v="1899-12-30T00:18:36"/>
    <s v=""/>
    <n v="27.690267905647875"/>
    <n v="-0.79994532500271376"/>
    <n v="10.66"/>
  </r>
  <r>
    <x v="66"/>
    <x v="0"/>
    <x v="2"/>
    <n v="11"/>
    <n v="37"/>
    <x v="2"/>
    <x v="3"/>
    <x v="0"/>
    <x v="2"/>
    <x v="60"/>
    <n v="0.5"/>
    <n v="13.3"/>
    <n v="2"/>
    <n v="1"/>
    <s v="Order"/>
    <n v="20.149999999999999"/>
    <n v="17.184457868043822"/>
    <n v="40.299999999999997"/>
    <n v="34.368915736087644"/>
    <n v="10.074999999999999"/>
    <n v="1.5150375939849623"/>
    <n v="4"/>
    <n v="6.65"/>
    <d v="1899-12-30T00:15:00"/>
    <n v="25.668421052631576"/>
    <n v="25.652020692468419"/>
    <n v="14.647979307531578"/>
    <n v="10.486666666666668"/>
  </r>
  <r>
    <x v="67"/>
    <x v="0"/>
    <x v="2"/>
    <n v="12"/>
    <n v="38"/>
    <x v="6"/>
    <x v="1"/>
    <x v="0"/>
    <x v="1"/>
    <x v="64"/>
    <n v="3.1"/>
    <n v="76.8"/>
    <n v="4"/>
    <n v="1"/>
    <s v="Order"/>
    <n v="39.5"/>
    <n v="22.375666486147804"/>
    <n v="12.741935483870968"/>
    <n v="7.2179569310154204"/>
    <n v="9.875"/>
    <n v="0.51432291666666674"/>
    <n v="1.2903225806451613"/>
    <n v="19.2"/>
    <d v="1899-12-30T00:46:30"/>
    <s v=""/>
    <n v="19.309961720695359"/>
    <n v="-6.5680262368243909"/>
    <n v="10.925555555555556"/>
  </r>
  <r>
    <x v="68"/>
    <x v="0"/>
    <x v="2"/>
    <n v="13"/>
    <n v="39"/>
    <x v="1"/>
    <x v="11"/>
    <x v="0"/>
    <x v="4"/>
    <x v="65"/>
    <n v="7.3000000000000016"/>
    <n v="152.30000000000001"/>
    <n v="16"/>
    <n v="2"/>
    <s v="Order"/>
    <n v="179.39999999999998"/>
    <n v="145.44119799271235"/>
    <n v="24.575342465753415"/>
    <n v="19.923451779823605"/>
    <n v="11.212499999999999"/>
    <n v="1.1779382797110962"/>
    <n v="2.1917808219178077"/>
    <n v="9.5187500000000007"/>
    <d v="1899-12-30T00:27:23"/>
    <n v="9.3213742117851623"/>
    <n v="26.218122565395614"/>
    <n v="-1.6427800996421986"/>
    <n v="7.4749999999999996"/>
  </r>
  <r>
    <x v="69"/>
    <x v="0"/>
    <x v="3"/>
    <n v="1"/>
    <n v="40"/>
    <x v="1"/>
    <x v="9"/>
    <x v="0"/>
    <x v="4"/>
    <x v="66"/>
    <n v="2.0999999999999996"/>
    <n v="40"/>
    <n v="5"/>
    <n v="1"/>
    <s v="Order"/>
    <n v="35.75"/>
    <n v="26.831076294868645"/>
    <n v="17.023809523809526"/>
    <n v="12.7767029975565"/>
    <n v="7.15"/>
    <n v="0.89375000000000004"/>
    <n v="2.3809523809523814"/>
    <n v="8"/>
    <d v="1899-12-30T00:25:12"/>
    <s v=""/>
    <n v="19.21857142857143"/>
    <n v="-2.1947619047619042"/>
    <n v="5.6424444444444442"/>
  </r>
  <r>
    <x v="70"/>
    <x v="0"/>
    <x v="3"/>
    <n v="2"/>
    <n v="41"/>
    <x v="2"/>
    <x v="10"/>
    <x v="0"/>
    <x v="1"/>
    <x v="67"/>
    <n v="1.2"/>
    <n v="35"/>
    <n v="2"/>
    <n v="1"/>
    <s v="Order"/>
    <n v="22.5"/>
    <n v="14.695941758010065"/>
    <n v="18.75"/>
    <n v="12.246618131675055"/>
    <n v="11.25"/>
    <n v="0.6428571428571429"/>
    <n v="1.6666666666666667"/>
    <n v="17.5"/>
    <d v="1899-12-30T00:36:00"/>
    <s v=""/>
    <n v="18.75"/>
    <n v="0"/>
    <n v="5.8924444444444442"/>
  </r>
  <r>
    <x v="71"/>
    <x v="0"/>
    <x v="3"/>
    <n v="3"/>
    <n v="42"/>
    <x v="3"/>
    <x v="1"/>
    <x v="0"/>
    <x v="1"/>
    <x v="68"/>
    <n v="2.2999999999999998"/>
    <n v="43.199999999999996"/>
    <n v="3"/>
    <n v="1"/>
    <s v="Order"/>
    <n v="43.75"/>
    <n v="34.117562398458141"/>
    <n v="19.021739130434785"/>
    <n v="14.833722781938324"/>
    <n v="14.583333333333334"/>
    <n v="1.0127314814814816"/>
    <n v="1.3043478260869565"/>
    <n v="14.399999999999999"/>
    <d v="1899-12-30T00:46:00"/>
    <s v=""/>
    <n v="24.193893597623301"/>
    <n v="-5.1721544671885162"/>
    <n v="6.3785555555555549"/>
  </r>
  <r>
    <x v="72"/>
    <x v="0"/>
    <x v="3"/>
    <n v="4"/>
    <n v="43"/>
    <x v="2"/>
    <x v="15"/>
    <x v="0"/>
    <x v="4"/>
    <x v="69"/>
    <n v="5.3999999999999995"/>
    <n v="100"/>
    <n v="14"/>
    <n v="2"/>
    <s v="Order"/>
    <n v="137.51"/>
    <n v="115.21269073717161"/>
    <n v="25.464814814814815"/>
    <n v="21.335683469846597"/>
    <n v="9.8221428571428557"/>
    <n v="1.3751"/>
    <n v="2.592592592592593"/>
    <n v="7.1428571428571432"/>
    <d v="1899-12-30T00:23:09"/>
    <n v="6.7148148148148152"/>
    <n v="24.648174146068314"/>
    <n v="0.81664066874650132"/>
    <n v="7.6397777777777769"/>
  </r>
  <r>
    <x v="73"/>
    <x v="0"/>
    <x v="3"/>
    <n v="5"/>
    <n v="44"/>
    <x v="3"/>
    <x v="1"/>
    <x v="0"/>
    <x v="4"/>
    <x v="70"/>
    <n v="3.9"/>
    <n v="72.400000000000006"/>
    <n v="9"/>
    <n v="2"/>
    <s v="Order"/>
    <n v="80.210000000000008"/>
    <n v="64.066748093712249"/>
    <n v="20.56666666666667"/>
    <n v="16.427371306080065"/>
    <n v="8.9122222222222227"/>
    <n v="1.1078729281767956"/>
    <n v="2.3076923076923079"/>
    <n v="8.0444444444444443"/>
    <d v="1899-12-30T00:26:00"/>
    <n v="1.5449275362318851"/>
    <n v="23.348653143428958"/>
    <n v="-2.7819864767622882"/>
    <n v="8.5309999999999988"/>
  </r>
  <r>
    <x v="74"/>
    <x v="0"/>
    <x v="3"/>
    <n v="6"/>
    <n v="45"/>
    <x v="4"/>
    <x v="2"/>
    <x v="0"/>
    <x v="1"/>
    <x v="71"/>
    <n v="1.2"/>
    <n v="11"/>
    <n v="4"/>
    <n v="1"/>
    <s v="Order"/>
    <n v="27.5"/>
    <n v="25.04729598108888"/>
    <n v="22.916666666666668"/>
    <n v="20.872746650907402"/>
    <n v="6.875"/>
    <n v="2.5"/>
    <n v="3.3333333333333335"/>
    <n v="2.75"/>
    <d v="1899-12-30T00:18:00"/>
    <s v=""/>
    <n v="24.067332496186882"/>
    <n v="-1.1506658295202143"/>
    <n v="8.2143333333333324"/>
  </r>
  <r>
    <x v="75"/>
    <x v="0"/>
    <x v="3"/>
    <n v="6"/>
    <n v="45"/>
    <x v="0"/>
    <x v="1"/>
    <x v="0"/>
    <x v="2"/>
    <x v="72"/>
    <n v="2.6000000000000005"/>
    <n v="58"/>
    <n v="6"/>
    <n v="2"/>
    <s v="Order"/>
    <n v="77.099999999999994"/>
    <n v="64.167560627559538"/>
    <n v="29.653846153846146"/>
    <n v="24.679831010599816"/>
    <n v="12.85"/>
    <n v="1.329310344827586"/>
    <n v="2.307692307692307"/>
    <n v="9.6666666666666661"/>
    <d v="1899-12-30T00:26:00"/>
    <s v=""/>
    <n v="21.69064414780944"/>
    <n v="7.9632020060367061"/>
    <n v="9.0709999999999997"/>
  </r>
  <r>
    <x v="76"/>
    <x v="0"/>
    <x v="3"/>
    <n v="6"/>
    <n v="45"/>
    <x v="2"/>
    <x v="5"/>
    <x v="2"/>
    <x v="2"/>
    <x v="73"/>
    <n v="1.9000000000000001"/>
    <n v="19.299999999999997"/>
    <n v="5"/>
    <n v="2"/>
    <s v="Order"/>
    <n v="40.4"/>
    <n v="36.096619312274122"/>
    <n v="21.263157894736839"/>
    <n v="18.998220690670589"/>
    <n v="8.08"/>
    <n v="2.0932642487046635"/>
    <n v="2.6315789473684208"/>
    <n v="3.8599999999999994"/>
    <d v="1899-12-30T00:22:48"/>
    <s v=""/>
    <n v="21.263157894736839"/>
    <n v="0"/>
    <n v="9.5198888888888877"/>
  </r>
  <r>
    <x v="77"/>
    <x v="0"/>
    <x v="3"/>
    <n v="7"/>
    <n v="46"/>
    <x v="4"/>
    <x v="2"/>
    <x v="0"/>
    <x v="4"/>
    <x v="74"/>
    <n v="3.3999999999999995"/>
    <n v="82"/>
    <n v="9"/>
    <n v="2"/>
    <s v="Order"/>
    <n v="119.74"/>
    <n v="101.45620640448072"/>
    <n v="35.21764705882353"/>
    <n v="29.840060707200216"/>
    <n v="13.304444444444444"/>
    <n v="1.4602439024390244"/>
    <n v="2.6470588235294121"/>
    <n v="9.1111111111111107"/>
    <d v="1899-12-30T00:22:40"/>
    <n v="12.300980392156863"/>
    <n v="27.181628668598059"/>
    <n v="8.0360183902254718"/>
    <n v="10.850333333333333"/>
  </r>
  <r>
    <x v="78"/>
    <x v="0"/>
    <x v="3"/>
    <n v="7"/>
    <n v="46"/>
    <x v="6"/>
    <x v="2"/>
    <x v="0"/>
    <x v="4"/>
    <x v="75"/>
    <n v="3.1"/>
    <n v="90.7"/>
    <n v="9"/>
    <n v="3"/>
    <s v="Order"/>
    <n v="83.23"/>
    <n v="63.006340498614662"/>
    <n v="26.848387096774193"/>
    <n v="20.324625967295052"/>
    <n v="9.2477777777777774"/>
    <n v="0.91764057331863291"/>
    <n v="2.903225806451613"/>
    <n v="10.077777777777778"/>
    <d v="1899-12-30T00:20:40"/>
    <s v=""/>
    <n v="19.260211523840557"/>
    <n v="7.5881755729336362"/>
    <n v="11.77511111111111"/>
  </r>
  <r>
    <x v="79"/>
    <x v="0"/>
    <x v="3"/>
    <n v="7"/>
    <n v="46"/>
    <x v="2"/>
    <x v="2"/>
    <x v="2"/>
    <x v="4"/>
    <x v="76"/>
    <n v="4.8000000000000007"/>
    <n v="71.900000000000006"/>
    <n v="12"/>
    <n v="2"/>
    <s v="Order"/>
    <n v="102.44999999999999"/>
    <n v="86.418234640026384"/>
    <n v="21.343749999999993"/>
    <n v="18.003798883338828"/>
    <n v="8.5374999999999996"/>
    <n v="1.424895688456189"/>
    <n v="2.4999999999999996"/>
    <n v="5.9916666666666671"/>
    <d v="1899-12-30T00:24:00"/>
    <n v="8.0592105263153968E-2"/>
    <n v="23.328185483870968"/>
    <n v="-1.9844354838709748"/>
    <n v="12.913444444444444"/>
  </r>
  <r>
    <x v="80"/>
    <x v="0"/>
    <x v="3"/>
    <n v="8"/>
    <n v="47"/>
    <x v="3"/>
    <x v="2"/>
    <x v="1"/>
    <x v="1"/>
    <x v="77"/>
    <n v="6"/>
    <n v="132.19999999999999"/>
    <n v="13"/>
    <n v="2"/>
    <s v="Order"/>
    <n v="116.81"/>
    <n v="87.332957154540878"/>
    <n v="19.468333333333334"/>
    <n v="14.555492859090146"/>
    <n v="8.985384615384616"/>
    <n v="0.88358547655068087"/>
    <n v="2.1666666666666665"/>
    <n v="10.169230769230769"/>
    <d v="1899-12-30T00:27:42"/>
    <s v=""/>
    <n v="25.390434083182001"/>
    <n v="-5.9221007498486671"/>
    <n v="14.211333333333332"/>
  </r>
  <r>
    <x v="81"/>
    <x v="0"/>
    <x v="3"/>
    <n v="8"/>
    <n v="47"/>
    <x v="4"/>
    <x v="1"/>
    <x v="1"/>
    <x v="1"/>
    <x v="78"/>
    <n v="5"/>
    <n v="96.699999999999989"/>
    <n v="11"/>
    <n v="2"/>
    <s v="Order"/>
    <n v="87.539999999999992"/>
    <n v="65.978501942844957"/>
    <n v="17.507999999999999"/>
    <n v="13.195700388568991"/>
    <n v="7.9581818181818171"/>
    <n v="0.90527404343329887"/>
    <n v="2.2000000000000002"/>
    <n v="8.7909090909090892"/>
    <d v="1899-12-30T00:27:16"/>
    <s v=""/>
    <n v="23.298678975611001"/>
    <n v="-5.7906789756110015"/>
    <n v="15.183999999999999"/>
  </r>
  <r>
    <x v="82"/>
    <x v="0"/>
    <x v="3"/>
    <n v="8"/>
    <n v="47"/>
    <x v="5"/>
    <x v="1"/>
    <x v="1"/>
    <x v="4"/>
    <x v="79"/>
    <n v="1.7"/>
    <n v="52"/>
    <n v="2"/>
    <n v="1"/>
    <s v="Order"/>
    <n v="13.25"/>
    <n v="1.6553991833292407"/>
    <n v="7.7941176470588234"/>
    <n v="0.97376422548778874"/>
    <n v="6.625"/>
    <n v="0.25480769230769229"/>
    <n v="1.1764705882352942"/>
    <n v="26"/>
    <d v="1899-12-30T00:51:00"/>
    <s v=""/>
    <n v="7.7941176470588234"/>
    <n v="0"/>
    <n v="15.331222222222221"/>
  </r>
  <r>
    <x v="83"/>
    <x v="0"/>
    <x v="3"/>
    <n v="8"/>
    <n v="47"/>
    <x v="0"/>
    <x v="16"/>
    <x v="2"/>
    <x v="2"/>
    <x v="80"/>
    <n v="3.1"/>
    <n v="74"/>
    <n v="8"/>
    <n v="3"/>
    <s v="Order"/>
    <n v="73.03"/>
    <n v="56.529991145506997"/>
    <n v="23.558064516129033"/>
    <n v="18.235481014679674"/>
    <n v="9.1287500000000001"/>
    <n v="0.98689189189189186"/>
    <n v="2.5806451612903225"/>
    <n v="9.25"/>
    <d v="1899-12-30T00:23:15"/>
    <s v=""/>
    <n v="22.73915602398818"/>
    <n v="0.81890849214085293"/>
    <n v="16.142666666666667"/>
  </r>
  <r>
    <x v="84"/>
    <x v="0"/>
    <x v="3"/>
    <n v="8"/>
    <n v="47"/>
    <x v="2"/>
    <x v="9"/>
    <x v="2"/>
    <x v="4"/>
    <x v="81"/>
    <n v="3.4000000000000004"/>
    <n v="71"/>
    <n v="6"/>
    <n v="2"/>
    <s v="Order"/>
    <n v="63.25"/>
    <n v="47.41891042339185"/>
    <n v="18.602941176470587"/>
    <n v="13.946738359821131"/>
    <n v="10.541666666666666"/>
    <n v="0.89084507042253525"/>
    <n v="1.7647058823529409"/>
    <n v="11.833333333333334"/>
    <d v="1899-12-30T00:34:00"/>
    <n v="-2.7005127708978307"/>
    <n v="16.126771793054569"/>
    <n v="2.4761693834160177"/>
    <n v="16.845444444444443"/>
  </r>
  <r>
    <x v="85"/>
    <x v="0"/>
    <x v="3"/>
    <n v="9"/>
    <n v="48"/>
    <x v="3"/>
    <x v="10"/>
    <x v="0"/>
    <x v="2"/>
    <x v="82"/>
    <n v="4.2"/>
    <n v="84"/>
    <n v="11"/>
    <n v="2"/>
    <s v="Order"/>
    <n v="120"/>
    <n v="101.27026021922416"/>
    <n v="28.571428571428569"/>
    <n v="24.111966718862892"/>
    <n v="10.909090909090908"/>
    <n v="1.4285714285714286"/>
    <n v="2.6190476190476191"/>
    <n v="7.6363636363636367"/>
    <d v="1899-12-30T00:22:55"/>
    <n v="8.7772256728778402"/>
    <n v="22.7536390170972"/>
    <n v="5.8177895543313696"/>
    <n v="18.178777777777778"/>
  </r>
  <r>
    <x v="86"/>
    <x v="0"/>
    <x v="3"/>
    <n v="9"/>
    <n v="48"/>
    <x v="1"/>
    <x v="17"/>
    <x v="1"/>
    <x v="1"/>
    <x v="83"/>
    <n v="11.5"/>
    <n v="247"/>
    <n v="26"/>
    <n v="3"/>
    <s v="Order"/>
    <n v="280.45"/>
    <n v="225.37564612081388"/>
    <n v="24.38695652173913"/>
    <n v="19.59788227137512"/>
    <n v="10.786538461538461"/>
    <n v="1.1354251012145749"/>
    <n v="2.2608695652173911"/>
    <n v="9.5"/>
    <d v="1899-12-30T00:26:32"/>
    <s v=""/>
    <n v="20.137597751187688"/>
    <n v="4.2493587705514422"/>
    <n v="21.294888888888888"/>
  </r>
  <r>
    <x v="87"/>
    <x v="0"/>
    <x v="3"/>
    <n v="10"/>
    <n v="49"/>
    <x v="3"/>
    <x v="10"/>
    <x v="2"/>
    <x v="1"/>
    <x v="84"/>
    <n v="4.9000000000000004"/>
    <n v="86.8"/>
    <n v="14"/>
    <n v="2"/>
    <s v="Order"/>
    <n v="113"/>
    <n v="93.645935559864967"/>
    <n v="23.061224489795915"/>
    <n v="19.111415420380602"/>
    <n v="8.0714285714285712"/>
    <n v="1.3018433179723503"/>
    <n v="2.8571428571428568"/>
    <n v="6.2"/>
    <d v="1899-12-30T00:21:00"/>
    <s v=""/>
    <n v="21.442841149708883"/>
    <n v="1.618383340087032"/>
    <n v="21.776444444444444"/>
  </r>
  <r>
    <x v="88"/>
    <x v="0"/>
    <x v="3"/>
    <n v="10"/>
    <n v="49"/>
    <x v="0"/>
    <x v="14"/>
    <x v="1"/>
    <x v="2"/>
    <x v="85"/>
    <n v="6.33"/>
    <n v="143"/>
    <n v="11"/>
    <n v="3"/>
    <s v="Order"/>
    <n v="115.66"/>
    <n v="83.774847754155417"/>
    <n v="18.271721958925749"/>
    <n v="13.234573104921866"/>
    <n v="10.514545454545454"/>
    <n v="0.80881118881118874"/>
    <n v="1.7377567140600316"/>
    <n v="13"/>
    <d v="1899-12-30T00:34:32"/>
    <s v=""/>
    <n v="20.150712464611388"/>
    <n v="-1.8789905056856391"/>
    <n v="23.061555555555554"/>
  </r>
  <r>
    <x v="89"/>
    <x v="0"/>
    <x v="3"/>
    <n v="11"/>
    <n v="50"/>
    <x v="3"/>
    <x v="2"/>
    <x v="0"/>
    <x v="4"/>
    <x v="25"/>
    <n v="4.8"/>
    <n v="130.1"/>
    <n v="11"/>
    <n v="3"/>
    <s v="Order"/>
    <n v="117.21000000000001"/>
    <n v="88.201200649060283"/>
    <n v="24.418750000000003"/>
    <n v="18.375250135220892"/>
    <n v="10.655454545454546"/>
    <n v="0.90092236740968501"/>
    <n v="2.291666666666667"/>
    <n v="11.827272727272726"/>
    <d v="1899-12-30T00:26:11"/>
    <n v="1.6988052104899936"/>
    <n v="22.79137036513114"/>
    <n v="1.6273796348688627"/>
    <n v="24.363888888888887"/>
  </r>
  <r>
    <x v="90"/>
    <x v="0"/>
    <x v="3"/>
    <n v="11"/>
    <n v="50"/>
    <x v="4"/>
    <x v="2"/>
    <x v="2"/>
    <x v="3"/>
    <x v="86"/>
    <n v="2.2000000000000002"/>
    <n v="38.1"/>
    <n v="6"/>
    <n v="2"/>
    <s v="Order"/>
    <n v="62.57"/>
    <n v="54.074725170862386"/>
    <n v="28.440909090909088"/>
    <n v="24.579420532210175"/>
    <n v="10.428333333333333"/>
    <n v="1.642257217847769"/>
    <n v="2.7272727272727271"/>
    <n v="6.3500000000000005"/>
    <d v="1899-12-30T00:22:00"/>
    <s v=""/>
    <n v="23.001121212121209"/>
    <n v="5.4397878787878788"/>
    <n v="25.059111111111115"/>
  </r>
  <r>
    <x v="91"/>
    <x v="0"/>
    <x v="3"/>
    <n v="11"/>
    <n v="50"/>
    <x v="0"/>
    <x v="1"/>
    <x v="1"/>
    <x v="0"/>
    <x v="87"/>
    <n v="6.1"/>
    <n v="128.9"/>
    <n v="11"/>
    <n v="3"/>
    <s v="Order"/>
    <n v="109.35"/>
    <n v="80.608768360214214"/>
    <n v="17.926229508196723"/>
    <n v="13.214552190199052"/>
    <n v="9.9409090909090896"/>
    <n v="0.84833204034134979"/>
    <n v="1.8032786885245902"/>
    <n v="11.718181818181819"/>
    <d v="1899-12-30T00:33:16"/>
    <n v="-0.34549245072902579"/>
    <n v="21.738060193229416"/>
    <n v="-3.8118306850326924"/>
    <n v="25.347888888888889"/>
  </r>
  <r>
    <x v="92"/>
    <x v="0"/>
    <x v="3"/>
    <n v="12"/>
    <n v="51"/>
    <x v="5"/>
    <x v="2"/>
    <x v="0"/>
    <x v="0"/>
    <x v="88"/>
    <n v="3.5"/>
    <n v="72.5"/>
    <n v="8"/>
    <n v="2"/>
    <s v="Order"/>
    <n v="79.55"/>
    <n v="63.38445078444942"/>
    <n v="22.728571428571428"/>
    <n v="18.109843081271261"/>
    <n v="9.9437499999999996"/>
    <n v="1.0972413793103448"/>
    <n v="2.2857142857142856"/>
    <n v="9.0625"/>
    <d v="1899-12-30T00:26:15"/>
    <s v=""/>
    <n v="20.743564993564995"/>
    <n v="1.9850064350064329"/>
    <n v="25.568999999999999"/>
  </r>
  <r>
    <x v="93"/>
    <x v="0"/>
    <x v="0"/>
    <n v="1"/>
    <n v="1"/>
    <x v="3"/>
    <x v="18"/>
    <x v="0"/>
    <x v="0"/>
    <x v="89"/>
    <n v="1.5"/>
    <n v="34.299999999999997"/>
    <n v="2"/>
    <n v="1"/>
    <s v="Order"/>
    <n v="40.049999999999997"/>
    <n v="32.402022922849866"/>
    <n v="26.7"/>
    <n v="21.601348615233245"/>
    <n v="20.024999999999999"/>
    <n v="1.1676384839650147"/>
    <n v="1.3333333333333333"/>
    <n v="17.149999999999999"/>
    <d v="1899-12-30T00:45:00"/>
    <n v="-2.0588602654176391"/>
    <n v="22.603731343283581"/>
    <n v="4.0962686567164184"/>
    <n v="24.020666666666667"/>
  </r>
  <r>
    <x v="94"/>
    <x v="0"/>
    <x v="0"/>
    <n v="1"/>
    <n v="1"/>
    <x v="0"/>
    <x v="15"/>
    <x v="0"/>
    <x v="0"/>
    <x v="90"/>
    <n v="4.5"/>
    <n v="109.2"/>
    <n v="10"/>
    <n v="2"/>
    <s v="Order"/>
    <n v="150.18"/>
    <n v="125.83133828499142"/>
    <n v="33.373333333333335"/>
    <n v="27.962519618886983"/>
    <n v="15.018000000000001"/>
    <n v="1.3752747252747253"/>
    <n v="2.2222222222222223"/>
    <n v="10.92"/>
    <d v="1899-12-30T00:27:00"/>
    <n v="22.158593073593075"/>
    <n v="19.988788031661809"/>
    <n v="13.384545301671526"/>
    <n v="25.292111111111112"/>
  </r>
  <r>
    <x v="95"/>
    <x v="1"/>
    <x v="0"/>
    <n v="3"/>
    <n v="3"/>
    <x v="4"/>
    <x v="2"/>
    <x v="0"/>
    <x v="1"/>
    <x v="91"/>
    <n v="3.9000000000000004"/>
    <n v="81.3"/>
    <n v="8"/>
    <n v="2"/>
    <s v="Order"/>
    <n v="79.45"/>
    <n v="61.32228756932053"/>
    <n v="20.371794871794872"/>
    <n v="15.723663479312956"/>
    <n v="9.9312500000000004"/>
    <n v="0.97724477244772456"/>
    <n v="2.0512820512820511"/>
    <n v="10.1625"/>
    <d v="1899-12-30T00:29:15"/>
    <n v="-28.467511486586634"/>
    <n v="24.309841019700176"/>
    <n v="-3.9380461479053039"/>
    <n v="25.438777777777769"/>
  </r>
  <r>
    <x v="96"/>
    <x v="1"/>
    <x v="0"/>
    <n v="3"/>
    <n v="3"/>
    <x v="1"/>
    <x v="19"/>
    <x v="2"/>
    <x v="2"/>
    <x v="92"/>
    <n v="5.6"/>
    <n v="116.89999999999999"/>
    <n v="14"/>
    <n v="3"/>
    <s v="Order"/>
    <n v="100.25"/>
    <n v="74.184445471753619"/>
    <n v="17.901785714285715"/>
    <n v="13.247222405670289"/>
    <n v="7.1607142857142856"/>
    <n v="0.85757057313943552"/>
    <n v="2.5"/>
    <n v="8.35"/>
    <d v="1899-12-30T00:24:00"/>
    <n v="2.861426969891097"/>
    <n v="22.144434801112787"/>
    <n v="-4.2426490868270719"/>
    <n v="26.55266666666666"/>
  </r>
  <r>
    <x v="97"/>
    <x v="1"/>
    <x v="0"/>
    <n v="5"/>
    <n v="5"/>
    <x v="3"/>
    <x v="2"/>
    <x v="0"/>
    <x v="3"/>
    <x v="93"/>
    <n v="1.8"/>
    <n v="46.4"/>
    <n v="4"/>
    <n v="2"/>
    <s v="Order"/>
    <n v="38.43"/>
    <n v="28.084048502047629"/>
    <n v="21.349999999999998"/>
    <n v="15.602249167804239"/>
    <n v="9.6074999999999999"/>
    <n v="0.82823275862068968"/>
    <n v="2.2222222222222223"/>
    <n v="11.6"/>
    <d v="1899-12-30T00:27:00"/>
    <n v="-6.8941451990632316"/>
    <n v="23.522058823529413"/>
    <n v="-2.1720588235294152"/>
    <n v="24.560555555555553"/>
  </r>
  <r>
    <x v="98"/>
    <x v="1"/>
    <x v="0"/>
    <n v="6"/>
    <n v="6"/>
    <x v="6"/>
    <x v="1"/>
    <x v="0"/>
    <x v="6"/>
    <x v="94"/>
    <n v="2.5"/>
    <n v="49.8"/>
    <n v="8"/>
    <n v="1"/>
    <s v="Order"/>
    <n v="55.89"/>
    <n v="44.785939987111469"/>
    <n v="22.356000000000002"/>
    <n v="17.914375994844587"/>
    <n v="6.9862500000000001"/>
    <n v="1.1222891566265061"/>
    <n v="3.2"/>
    <n v="6.2249999999999996"/>
    <d v="1899-12-30T00:18:45"/>
    <s v=""/>
    <n v="20.232614280015955"/>
    <n v="2.1233857199840465"/>
    <n v="24.019333333333332"/>
  </r>
  <r>
    <x v="99"/>
    <x v="1"/>
    <x v="0"/>
    <n v="7"/>
    <n v="7"/>
    <x v="4"/>
    <x v="9"/>
    <x v="0"/>
    <x v="2"/>
    <x v="78"/>
    <n v="3.3"/>
    <n v="76"/>
    <n v="6"/>
    <n v="2"/>
    <s v="Order"/>
    <n v="110.74"/>
    <n v="93.794044960250432"/>
    <n v="33.557575757575755"/>
    <n v="28.422437866742555"/>
    <n v="18.456666666666667"/>
    <n v="1.4571052631578947"/>
    <n v="1.8181818181818183"/>
    <n v="12.666666666666666"/>
    <d v="1899-12-30T00:33:00"/>
    <n v="-1.0479748575124361"/>
    <n v="27.074867409256267"/>
    <n v="6.4827083483194876"/>
    <n v="23.470444444444446"/>
  </r>
  <r>
    <x v="100"/>
    <x v="1"/>
    <x v="0"/>
    <n v="7"/>
    <n v="7"/>
    <x v="1"/>
    <x v="3"/>
    <x v="0"/>
    <x v="3"/>
    <x v="95"/>
    <n v="5.5"/>
    <n v="87.4"/>
    <n v="14"/>
    <n v="1"/>
    <s v="Order"/>
    <n v="102.55"/>
    <n v="83.062151704287984"/>
    <n v="18.645454545454545"/>
    <n v="15.102209400779634"/>
    <n v="7.3250000000000002"/>
    <n v="1.173340961098398"/>
    <n v="2.5454545454545454"/>
    <n v="6.2428571428571429"/>
    <d v="1899-12-30T00:23:34"/>
    <n v="-12.558627600203494"/>
    <n v="22.316988072985641"/>
    <n v="-3.6715335275310963"/>
    <n v="22.546777777777777"/>
  </r>
  <r>
    <x v="101"/>
    <x v="1"/>
    <x v="0"/>
    <n v="8"/>
    <n v="8"/>
    <x v="3"/>
    <x v="1"/>
    <x v="0"/>
    <x v="2"/>
    <x v="96"/>
    <n v="0.8"/>
    <n v="19.3"/>
    <n v="2"/>
    <n v="1"/>
    <s v="Order"/>
    <n v="21.75"/>
    <n v="17.446619312274123"/>
    <n v="27.1875"/>
    <n v="21.808274140342654"/>
    <n v="10.875"/>
    <n v="1.1269430051813472"/>
    <n v="2.5"/>
    <n v="9.65"/>
    <d v="1899-12-30T00:24:00"/>
    <n v="0.32218384074941397"/>
    <n v="27.049491626794261"/>
    <n v="0.13800837320573933"/>
    <n v="20.517888888888891"/>
  </r>
  <r>
    <x v="102"/>
    <x v="1"/>
    <x v="0"/>
    <n v="9"/>
    <n v="9"/>
    <x v="6"/>
    <x v="2"/>
    <x v="2"/>
    <x v="6"/>
    <x v="97"/>
    <n v="4"/>
    <n v="59"/>
    <n v="10"/>
    <n v="2"/>
    <s v="Order"/>
    <n v="72.930000000000007"/>
    <n v="59.774587534931257"/>
    <n v="18.232500000000002"/>
    <n v="14.943646883732814"/>
    <n v="7.293000000000001"/>
    <n v="1.2361016949152543"/>
    <n v="2.5"/>
    <n v="5.9"/>
    <d v="1899-12-30T00:24:00"/>
    <s v=""/>
    <n v="23.055098920863308"/>
    <n v="-4.8225989208633067"/>
    <n v="18.333444444444446"/>
  </r>
  <r>
    <x v="103"/>
    <x v="1"/>
    <x v="0"/>
    <n v="9"/>
    <n v="9"/>
    <x v="2"/>
    <x v="10"/>
    <x v="1"/>
    <x v="2"/>
    <x v="98"/>
    <n v="5.5"/>
    <n v="90.6"/>
    <n v="16"/>
    <n v="2"/>
    <s v="Order"/>
    <n v="145.1"/>
    <n v="124.89863780787748"/>
    <n v="26.381818181818179"/>
    <n v="22.708843237795904"/>
    <n v="9.0687499999999996"/>
    <n v="1.6015452538631347"/>
    <n v="2.9090909090909092"/>
    <n v="5.6624999999999996"/>
    <d v="1899-12-30T00:20:38"/>
    <n v="15.28125305673584"/>
    <n v="27.871502575489643"/>
    <n v="-1.4896843936714639"/>
    <n v="15.573999999999998"/>
  </r>
  <r>
    <x v="104"/>
    <x v="1"/>
    <x v="0"/>
    <n v="10"/>
    <n v="10"/>
    <x v="3"/>
    <x v="1"/>
    <x v="0"/>
    <x v="3"/>
    <x v="99"/>
    <n v="5.3"/>
    <n v="119.19999999999999"/>
    <n v="11"/>
    <n v="2"/>
    <s v="Order"/>
    <n v="122.35"/>
    <n v="95.771607358708565"/>
    <n v="23.084905660377359"/>
    <n v="18.070114595982748"/>
    <n v="11.122727272727273"/>
    <n v="1.0264261744966443"/>
    <n v="2.0754716981132075"/>
    <n v="10.836363636363636"/>
    <d v="1899-12-30T00:28:55"/>
    <n v="-3.8341078056647966"/>
    <n v="24.199959675578484"/>
    <n v="-1.1150540152011246"/>
    <n v="16.93344444444444"/>
  </r>
  <r>
    <x v="105"/>
    <x v="1"/>
    <x v="0"/>
    <n v="11"/>
    <n v="11"/>
    <x v="3"/>
    <x v="10"/>
    <x v="0"/>
    <x v="4"/>
    <x v="100"/>
    <n v="2.2999999999999998"/>
    <n v="54.3"/>
    <n v="6"/>
    <n v="2"/>
    <s v="Order"/>
    <n v="72.14"/>
    <n v="60.032561070284189"/>
    <n v="31.365217391304352"/>
    <n v="26.101113508819214"/>
    <n v="12.023333333333333"/>
    <n v="1.3285451197053408"/>
    <n v="2.6086956521739131"/>
    <n v="9.0499999999999989"/>
    <d v="1899-12-30T00:23:00"/>
    <n v="4.9939336117857387"/>
    <n v="26.303037502761384"/>
    <n v="5.0621798885429676"/>
    <n v="14.452333333333332"/>
  </r>
  <r>
    <x v="106"/>
    <x v="1"/>
    <x v="0"/>
    <n v="11"/>
    <n v="11"/>
    <x v="1"/>
    <x v="4"/>
    <x v="0"/>
    <x v="1"/>
    <x v="101"/>
    <n v="4.5"/>
    <n v="115.60000000000001"/>
    <n v="11"/>
    <n v="2"/>
    <s v="Order"/>
    <n v="145.13999999999999"/>
    <n v="119.36431049217038"/>
    <n v="32.25333333333333"/>
    <n v="26.525402331593416"/>
    <n v="13.194545454545453"/>
    <n v="1.2555363321799307"/>
    <n v="2.4444444444444446"/>
    <n v="10.50909090909091"/>
    <d v="1899-12-30T00:24:33"/>
    <n v="4.1889080877261655"/>
    <n v="24.294742211193824"/>
    <n v="7.9585911221395058"/>
    <n v="14.85"/>
  </r>
  <r>
    <x v="107"/>
    <x v="1"/>
    <x v="0"/>
    <n v="12"/>
    <n v="12"/>
    <x v="3"/>
    <x v="2"/>
    <x v="0"/>
    <x v="4"/>
    <x v="102"/>
    <n v="4.8"/>
    <n v="86"/>
    <n v="11"/>
    <n v="2"/>
    <s v="Order"/>
    <n v="88.67"/>
    <n v="69.494314033967598"/>
    <n v="18.472916666666666"/>
    <n v="14.477982090409917"/>
    <n v="8.0609090909090906"/>
    <n v="1.0310465116279071"/>
    <n v="2.291666666666667"/>
    <n v="7.8181818181818183"/>
    <d v="1899-12-30T00:26:11"/>
    <n v="-8.5226088143251637"/>
    <n v="22.127564587674119"/>
    <n v="-3.6546479210074523"/>
    <n v="15.835222222222223"/>
  </r>
  <r>
    <x v="108"/>
    <x v="1"/>
    <x v="0"/>
    <n v="12"/>
    <n v="12"/>
    <x v="1"/>
    <x v="17"/>
    <x v="0"/>
    <x v="4"/>
    <x v="103"/>
    <n v="8.8000000000000007"/>
    <n v="176"/>
    <n v="23"/>
    <n v="4"/>
    <s v="Order"/>
    <n v="222.43"/>
    <n v="183.18673569742205"/>
    <n v="25.276136363636361"/>
    <n v="20.816674511070687"/>
    <n v="9.6708695652173908"/>
    <n v="1.2638068181818183"/>
    <n v="2.6136363636363633"/>
    <n v="7.6521739130434785"/>
    <d v="1899-12-30T00:22:57"/>
    <n v="-3.6260704995160395"/>
    <n v="21.037978186413866"/>
    <n v="4.2381581772224948"/>
    <n v="17.422777777777782"/>
  </r>
  <r>
    <x v="109"/>
    <x v="1"/>
    <x v="0"/>
    <n v="12"/>
    <n v="12"/>
    <x v="2"/>
    <x v="15"/>
    <x v="0"/>
    <x v="4"/>
    <x v="104"/>
    <n v="4"/>
    <n v="80"/>
    <n v="13"/>
    <n v="2"/>
    <s v="Order"/>
    <n v="110.7"/>
    <n v="92.862152589737292"/>
    <n v="27.675000000000001"/>
    <n v="23.215538147434323"/>
    <n v="8.5153846153846153"/>
    <n v="1.38375"/>
    <n v="3.25"/>
    <n v="6.1538461538461542"/>
    <d v="1899-12-30T00:18:28"/>
    <n v="3.8204695652173903"/>
    <n v="23.040660270880359"/>
    <n v="4.6343397291196418"/>
    <n v="18.652777777777782"/>
  </r>
  <r>
    <x v="110"/>
    <x v="1"/>
    <x v="0"/>
    <n v="13"/>
    <n v="13"/>
    <x v="6"/>
    <x v="8"/>
    <x v="0"/>
    <x v="4"/>
    <x v="105"/>
    <n v="1.1000000000000001"/>
    <n v="36.5"/>
    <n v="2"/>
    <n v="1"/>
    <s v="Order"/>
    <n v="26.25"/>
    <n v="18.111482119067638"/>
    <n v="23.863636363636363"/>
    <n v="16.464983744606943"/>
    <n v="13.125"/>
    <n v="0.71917808219178081"/>
    <n v="1.8181818181818181"/>
    <n v="18.25"/>
    <d v="1899-12-30T00:33:00"/>
    <n v="1.5076363636363617"/>
    <n v="22.100489612644736"/>
    <n v="1.763146750991627"/>
    <n v="18.94444444444445"/>
  </r>
  <r>
    <x v="111"/>
    <x v="1"/>
    <x v="0"/>
    <n v="13"/>
    <n v="13"/>
    <x v="0"/>
    <x v="14"/>
    <x v="1"/>
    <x v="4"/>
    <x v="106"/>
    <n v="5.5"/>
    <n v="95.800000000000011"/>
    <n v="15"/>
    <n v="2"/>
    <s v="Order"/>
    <n v="102.57"/>
    <n v="81.209177726210399"/>
    <n v="18.649090909090908"/>
    <n v="14.765305041129164"/>
    <n v="6.8379999999999992"/>
    <n v="1.0706680584551147"/>
    <n v="2.7272727272727271"/>
    <n v="6.3866666666666676"/>
    <d v="1899-12-30T00:22:00"/>
    <n v="-5.6178919274041235"/>
    <n v="21.587544461558959"/>
    <n v="-2.9384535524680508"/>
    <n v="20.084111111111117"/>
  </r>
  <r>
    <x v="112"/>
    <x v="1"/>
    <x v="0"/>
    <n v="13"/>
    <n v="13"/>
    <x v="1"/>
    <x v="17"/>
    <x v="0"/>
    <x v="0"/>
    <x v="107"/>
    <n v="4.42"/>
    <n v="111"/>
    <n v="9"/>
    <n v="2"/>
    <s v="Order"/>
    <n v="129.97"/>
    <n v="105.21998671826049"/>
    <n v="29.404977375565611"/>
    <n v="23.805426859334951"/>
    <n v="14.441111111111111"/>
    <n v="1.1709009009009008"/>
    <n v="2.0361990950226243"/>
    <n v="12.333333333333334"/>
    <d v="1899-12-30T00:29:28"/>
    <n v="1.1071155956658814"/>
    <n v="30.297774755848877"/>
    <n v="-0.89279738028326605"/>
    <n v="21.528222222222226"/>
  </r>
  <r>
    <x v="113"/>
    <x v="1"/>
    <x v="1"/>
    <n v="1"/>
    <n v="14"/>
    <x v="4"/>
    <x v="10"/>
    <x v="0"/>
    <x v="2"/>
    <x v="108"/>
    <n v="1.7000000000000002"/>
    <n v="37.799999999999997"/>
    <n v="4"/>
    <n v="2"/>
    <s v="Order"/>
    <n v="56.64"/>
    <n v="48.211617098650876"/>
    <n v="33.317647058823525"/>
    <n v="28.359774763912277"/>
    <n v="14.16"/>
    <n v="1.4984126984126986"/>
    <n v="2.3529411764705879"/>
    <n v="9.4499999999999993"/>
    <d v="1899-12-30T00:25:30"/>
    <n v="14.890266106442574"/>
    <n v="27.133182503770737"/>
    <n v="6.1844645550527879"/>
    <n v="21.712555555555561"/>
  </r>
  <r>
    <x v="114"/>
    <x v="1"/>
    <x v="1"/>
    <n v="1"/>
    <n v="14"/>
    <x v="6"/>
    <x v="1"/>
    <x v="0"/>
    <x v="4"/>
    <x v="109"/>
    <n v="3.5"/>
    <n v="68"/>
    <n v="10"/>
    <n v="1"/>
    <s v="Order"/>
    <n v="71.25"/>
    <n v="56.087829701276704"/>
    <n v="20.357142857142858"/>
    <n v="16.025094200364773"/>
    <n v="7.125"/>
    <n v="1.0477941176470589"/>
    <n v="2.8571428571428572"/>
    <n v="6.8"/>
    <d v="1899-12-30T00:21:00"/>
    <n v="-2.8248015873015895"/>
    <n v="20.685685249709643"/>
    <n v="-0.32854239256678497"/>
    <n v="20.835555555555558"/>
  </r>
  <r>
    <x v="115"/>
    <x v="1"/>
    <x v="1"/>
    <n v="1"/>
    <n v="14"/>
    <x v="1"/>
    <x v="20"/>
    <x v="0"/>
    <x v="3"/>
    <x v="110"/>
    <n v="3.5"/>
    <n v="68"/>
    <n v="7"/>
    <n v="2"/>
    <s v="Order"/>
    <n v="75.069999999999993"/>
    <n v="59.907829701276697"/>
    <n v="21.448571428571427"/>
    <n v="17.116522771793342"/>
    <n v="10.724285714285713"/>
    <n v="1.1039705882352939"/>
    <n v="2"/>
    <n v="9.7142857142857135"/>
    <d v="1899-12-30T00:30:00"/>
    <n v="-6.4899257086277622"/>
    <n v="21.691133638317044"/>
    <n v="-0.24256220974561771"/>
    <n v="21.669666666666668"/>
  </r>
  <r>
    <x v="116"/>
    <x v="1"/>
    <x v="1"/>
    <n v="2"/>
    <n v="15"/>
    <x v="1"/>
    <x v="2"/>
    <x v="0"/>
    <x v="4"/>
    <x v="111"/>
    <n v="1.9"/>
    <n v="49.5"/>
    <n v="8"/>
    <n v="3"/>
    <s v="Order"/>
    <n v="70.319999999999993"/>
    <n v="59.282831914899944"/>
    <n v="37.01052631578947"/>
    <n v="31.201490481526289"/>
    <n v="8.7899999999999991"/>
    <n v="1.4206060606060604"/>
    <n v="4.2105263157894735"/>
    <n v="6.1875"/>
    <d v="1899-12-30T00:14:15"/>
    <n v="10.694510605747222"/>
    <n v="27.152961642707922"/>
    <n v="9.8575646730815478"/>
    <n v="22.451000000000001"/>
  </r>
  <r>
    <x v="117"/>
    <x v="1"/>
    <x v="1"/>
    <n v="4"/>
    <n v="17"/>
    <x v="0"/>
    <x v="10"/>
    <x v="1"/>
    <x v="2"/>
    <x v="112"/>
    <n v="8.4"/>
    <n v="213.2"/>
    <n v="18"/>
    <n v="4"/>
    <s v="Order"/>
    <n v="195.73000000000002"/>
    <n v="148.19213665164992"/>
    <n v="23.301190476190477"/>
    <n v="17.641921029958322"/>
    <n v="10.87388888888889"/>
    <n v="0.91805816135084439"/>
    <n v="2.1428571428571428"/>
    <n v="11.844444444444443"/>
    <d v="1899-12-30T00:28:00"/>
    <n v="-2.5109881119348145"/>
    <n v="27.058394201331158"/>
    <n v="-3.7572037251406805"/>
    <n v="22.629111111111111"/>
  </r>
  <r>
    <x v="118"/>
    <x v="1"/>
    <x v="1"/>
    <n v="6"/>
    <n v="19"/>
    <x v="4"/>
    <x v="2"/>
    <x v="2"/>
    <x v="4"/>
    <x v="113"/>
    <n v="3.2"/>
    <n v="72.3"/>
    <n v="8"/>
    <n v="2"/>
    <s v="Order"/>
    <n v="50.68"/>
    <n v="34.55904540297508"/>
    <n v="15.837499999999999"/>
    <n v="10.799701688429712"/>
    <n v="6.335"/>
    <n v="0.70096818810511763"/>
    <n v="2.5"/>
    <n v="9.0374999999999996"/>
    <d v="1899-12-30T00:24:00"/>
    <s v=""/>
    <n v="18.163573021829258"/>
    <n v="-2.3260730218292593"/>
    <n v="22.765222222222221"/>
  </r>
  <r>
    <x v="119"/>
    <x v="1"/>
    <x v="1"/>
    <n v="6"/>
    <n v="19"/>
    <x v="5"/>
    <x v="10"/>
    <x v="1"/>
    <x v="4"/>
    <x v="114"/>
    <n v="3.8"/>
    <n v="62"/>
    <n v="9"/>
    <n v="1"/>
    <s v="Order"/>
    <n v="82.49"/>
    <n v="68.665668257046406"/>
    <n v="21.707894736842103"/>
    <n v="18.069912699222741"/>
    <n v="9.1655555555555548"/>
    <n v="1.3304838709677418"/>
    <n v="2.3684210526315792"/>
    <n v="6.8888888888888893"/>
    <d v="1899-12-30T00:25:20"/>
    <s v=""/>
    <n v="24.426643904418047"/>
    <n v="-2.7187491675759432"/>
    <n v="23.060777777777776"/>
  </r>
  <r>
    <x v="120"/>
    <x v="1"/>
    <x v="1"/>
    <n v="6"/>
    <n v="19"/>
    <x v="1"/>
    <x v="3"/>
    <x v="0"/>
    <x v="2"/>
    <x v="115"/>
    <n v="7.8000000000000007"/>
    <n v="136.69999999999999"/>
    <n v="18"/>
    <n v="3"/>
    <s v="Order"/>
    <n v="177.53"/>
    <n v="147.0495782377136"/>
    <n v="22.760256410256407"/>
    <n v="18.8525100304761"/>
    <n v="9.8627777777777776"/>
    <n v="1.2986832479882957"/>
    <n v="2.3076923076923075"/>
    <n v="7.5944444444444441"/>
    <d v="1899-12-30T00:26:00"/>
    <n v="-5.6946614209352866"/>
    <n v="21.645085470085469"/>
    <n v="1.1151709401709375"/>
    <n v="25.033333333333335"/>
  </r>
  <r>
    <x v="121"/>
    <x v="1"/>
    <x v="1"/>
    <n v="7"/>
    <n v="20"/>
    <x v="5"/>
    <x v="1"/>
    <x v="0"/>
    <x v="2"/>
    <x v="116"/>
    <n v="3"/>
    <n v="52"/>
    <n v="8"/>
    <n v="2"/>
    <s v="Order"/>
    <n v="64.34"/>
    <n v="52.745399183329241"/>
    <n v="21.446666666666669"/>
    <n v="17.581799727776414"/>
    <n v="8.0425000000000004"/>
    <n v="1.2373076923076924"/>
    <n v="2.6666666666666665"/>
    <n v="6.5"/>
    <d v="1899-12-30T00:22:30"/>
    <n v="-14.278665559246949"/>
    <n v="24.268423200414826"/>
    <n v="-2.8217565337481574"/>
    <n v="24.517777777777781"/>
  </r>
  <r>
    <x v="122"/>
    <x v="1"/>
    <x v="1"/>
    <n v="7"/>
    <n v="20"/>
    <x v="6"/>
    <x v="10"/>
    <x v="2"/>
    <x v="4"/>
    <x v="117"/>
    <n v="2.6"/>
    <n v="42"/>
    <n v="7"/>
    <n v="2"/>
    <s v="Order"/>
    <n v="40.400000000000006"/>
    <n v="31.035130109612084"/>
    <n v="15.53846153846154"/>
    <n v="11.936588503696955"/>
    <n v="5.7714285714285722"/>
    <n v="0.96190476190476204"/>
    <n v="2.6923076923076921"/>
    <n v="6"/>
    <d v="1899-12-30T00:22:17"/>
    <n v="-4.4615384615384599"/>
    <n v="19.305707637558172"/>
    <n v="-3.7672460990966314"/>
    <n v="24.966666666666672"/>
  </r>
  <r>
    <x v="123"/>
    <x v="1"/>
    <x v="1"/>
    <n v="7"/>
    <n v="20"/>
    <x v="0"/>
    <x v="2"/>
    <x v="0"/>
    <x v="4"/>
    <x v="118"/>
    <n v="6.3000000000000007"/>
    <n v="162.4"/>
    <n v="11"/>
    <n v="3"/>
    <s v="Order"/>
    <n v="124.61"/>
    <n v="88.399169757166703"/>
    <n v="19.779365079365078"/>
    <n v="14.031614247169317"/>
    <n v="11.328181818181818"/>
    <n v="0.7673029556650246"/>
    <n v="1.7460317460317458"/>
    <n v="14.763636363636364"/>
    <d v="1899-12-30T00:34:22"/>
    <s v=""/>
    <n v="26.162300455424486"/>
    <n v="-6.3829353760594074"/>
    <n v="25.211777777777783"/>
  </r>
  <r>
    <x v="124"/>
    <x v="1"/>
    <x v="1"/>
    <n v="8"/>
    <n v="21"/>
    <x v="6"/>
    <x v="2"/>
    <x v="0"/>
    <x v="4"/>
    <x v="79"/>
    <n v="3.1"/>
    <n v="62"/>
    <n v="7"/>
    <n v="3"/>
    <s v="Order"/>
    <n v="60.43"/>
    <n v="46.605668257046403"/>
    <n v="19.493548387096773"/>
    <n v="15.034086534531097"/>
    <n v="8.6328571428571426"/>
    <n v="0.97467741935483876"/>
    <n v="2.258064516129032"/>
    <n v="8.8571428571428577"/>
    <d v="1899-12-30T00:26:34"/>
    <n v="-2.7467955282471443"/>
    <n v="19.770465325238188"/>
    <n v="-0.27691693814141516"/>
    <n v="25.641555555555559"/>
  </r>
  <r>
    <x v="125"/>
    <x v="1"/>
    <x v="1"/>
    <n v="8"/>
    <n v="21"/>
    <x v="0"/>
    <x v="9"/>
    <x v="2"/>
    <x v="4"/>
    <x v="119"/>
    <n v="2.4"/>
    <n v="33"/>
    <n v="5"/>
    <n v="1"/>
    <s v="Order"/>
    <n v="23.25"/>
    <n v="15.891887943266633"/>
    <n v="9.6875"/>
    <n v="6.6216199763610977"/>
    <n v="4.6500000000000004"/>
    <n v="0.70454545454545459"/>
    <n v="2.0833333333333335"/>
    <n v="6.6"/>
    <d v="1899-12-30T00:28:48"/>
    <n v="-16.109166666666667"/>
    <n v="17.27594486567542"/>
    <n v="-7.5884448656754202"/>
    <n v="25.899888888888892"/>
  </r>
  <r>
    <x v="126"/>
    <x v="1"/>
    <x v="1"/>
    <n v="9"/>
    <n v="22"/>
    <x v="3"/>
    <x v="2"/>
    <x v="1"/>
    <x v="2"/>
    <x v="120"/>
    <n v="5.7"/>
    <n v="113.6"/>
    <n v="13"/>
    <n v="4"/>
    <s v="Order"/>
    <n v="109.4"/>
    <n v="84.070256677426968"/>
    <n v="19.192982456140353"/>
    <n v="14.749167838145082"/>
    <n v="8.4153846153846157"/>
    <n v="0.96302816901408461"/>
    <n v="2.2807017543859649"/>
    <n v="8.7384615384615376"/>
    <d v="1899-12-30T00:26:18"/>
    <s v=""/>
    <n v="18.734097495073303"/>
    <n v="0.45888496106704935"/>
    <n v="27.115444444444449"/>
  </r>
  <r>
    <x v="127"/>
    <x v="1"/>
    <x v="1"/>
    <n v="10"/>
    <n v="23"/>
    <x v="6"/>
    <x v="1"/>
    <x v="0"/>
    <x v="4"/>
    <x v="121"/>
    <n v="2.1"/>
    <n v="51"/>
    <n v="6"/>
    <n v="3"/>
    <s v="Order"/>
    <n v="91.4"/>
    <n v="80.028372275957537"/>
    <n v="43.523809523809526"/>
    <n v="38.10874870283692"/>
    <n v="15.233333333333334"/>
    <n v="1.7921568627450981"/>
    <n v="2.8571428571428572"/>
    <n v="8.5"/>
    <d v="1899-12-30T00:21:00"/>
    <n v="21.970164490527395"/>
    <n v="27.094757647407121"/>
    <n v="16.429051876402404"/>
    <n v="24.349000000000004"/>
  </r>
  <r>
    <x v="128"/>
    <x v="1"/>
    <x v="1"/>
    <n v="10"/>
    <n v="23"/>
    <x v="0"/>
    <x v="1"/>
    <x v="1"/>
    <x v="4"/>
    <x v="122"/>
    <n v="3.9"/>
    <n v="81.48"/>
    <n v="4"/>
    <n v="3"/>
    <s v="Order"/>
    <n v="41.22"/>
    <n v="23.05215241264743"/>
    <n v="10.569230769230769"/>
    <n v="5.9108083109352387"/>
    <n v="10.305"/>
    <n v="0.50589101620029453"/>
    <n v="1.0256410256410258"/>
    <n v="20.37"/>
    <d v="1899-12-30T00:58:30"/>
    <n v="-14.740750196507557"/>
    <n v="20.101809097414456"/>
    <n v="-9.5325783281836873"/>
    <n v="24.807000000000002"/>
  </r>
  <r>
    <x v="129"/>
    <x v="1"/>
    <x v="1"/>
    <n v="11"/>
    <n v="24"/>
    <x v="6"/>
    <x v="10"/>
    <x v="0"/>
    <x v="2"/>
    <x v="123"/>
    <n v="5.9"/>
    <n v="101.4"/>
    <n v="11"/>
    <n v="2"/>
    <s v="Order"/>
    <n v="88.63"/>
    <n v="66.020528407492009"/>
    <n v="15.022033898305082"/>
    <n v="11.189920069066442"/>
    <n v="8.0572727272727267"/>
    <n v="0.87406311637080858"/>
    <n v="1.8644067796610169"/>
    <n v="9.2181818181818187"/>
    <d v="1899-12-30T00:32:11"/>
    <n v="-10.925644033082527"/>
    <n v="20.552091321007818"/>
    <n v="-5.5300574227027361"/>
    <n v="24.990222222222222"/>
  </r>
  <r>
    <x v="130"/>
    <x v="1"/>
    <x v="1"/>
    <n v="11"/>
    <n v="24"/>
    <x v="0"/>
    <x v="1"/>
    <x v="1"/>
    <x v="2"/>
    <x v="124"/>
    <n v="9.1000000000000014"/>
    <n v="166.4"/>
    <n v="16"/>
    <n v="3"/>
    <s v="Order"/>
    <n v="154.5"/>
    <n v="117.39727738665357"/>
    <n v="16.978021978021975"/>
    <n v="12.900799712819072"/>
    <n v="9.65625"/>
    <n v="0.92848557692307687"/>
    <n v="1.758241758241758"/>
    <n v="10.4"/>
    <d v="1899-12-30T00:34:08"/>
    <n v="-5.8751672882984245"/>
    <n v="23.104506448136657"/>
    <n v="-6.1264844701146828"/>
    <n v="25.094222222222221"/>
  </r>
  <r>
    <x v="131"/>
    <x v="1"/>
    <x v="1"/>
    <n v="11"/>
    <n v="24"/>
    <x v="2"/>
    <x v="10"/>
    <x v="1"/>
    <x v="4"/>
    <x v="125"/>
    <n v="6.82"/>
    <n v="182"/>
    <n v="13"/>
    <n v="2"/>
    <s v="Order"/>
    <n v="144.63999999999999"/>
    <n v="104.05889714165232"/>
    <n v="21.20821114369501"/>
    <n v="15.257902806693888"/>
    <n v="11.126153846153844"/>
    <n v="0.79472527472527466"/>
    <n v="1.9061583577712609"/>
    <n v="14"/>
    <d v="1899-12-30T00:31:29"/>
    <n v="-6.5615677160691774"/>
    <n v="21.20821114369501"/>
    <n v="0"/>
    <n v="25.716111111111108"/>
  </r>
  <r>
    <x v="132"/>
    <x v="1"/>
    <x v="1"/>
    <n v="12"/>
    <n v="25"/>
    <x v="6"/>
    <x v="2"/>
    <x v="1"/>
    <x v="4"/>
    <x v="126"/>
    <n v="6.8"/>
    <n v="163.1"/>
    <n v="10"/>
    <n v="4"/>
    <s v="Order"/>
    <n v="123.72"/>
    <n v="87.353088592326912"/>
    <n v="18.194117647058825"/>
    <n v="12.846042440048075"/>
    <n v="12.372"/>
    <n v="0.75855303494788473"/>
    <n v="1.4705882352941178"/>
    <n v="16.309999999999999"/>
    <d v="1899-12-30T00:40:48"/>
    <n v="1.0223227752639552"/>
    <n v="19.1731951408422"/>
    <n v="-0.97907749378337527"/>
    <n v="27.090777777777774"/>
  </r>
  <r>
    <x v="133"/>
    <x v="1"/>
    <x v="1"/>
    <n v="12"/>
    <n v="25"/>
    <x v="1"/>
    <x v="10"/>
    <x v="2"/>
    <x v="4"/>
    <x v="74"/>
    <n v="6.8"/>
    <n v="128.30000000000001"/>
    <n v="17"/>
    <n v="4"/>
    <s v="Order"/>
    <n v="162.41"/>
    <n v="133.8025522157912"/>
    <n v="23.883823529411764"/>
    <n v="19.67684591408694"/>
    <n v="9.5535294117647052"/>
    <n v="1.2658612626656274"/>
    <n v="2.5"/>
    <n v="7.5470588235294125"/>
    <d v="1899-12-30T00:24:00"/>
    <s v=""/>
    <n v="22.879063937501609"/>
    <n v="1.0047595919101546"/>
    <n v="25.193888888888885"/>
  </r>
  <r>
    <x v="134"/>
    <x v="1"/>
    <x v="1"/>
    <n v="13"/>
    <n v="26"/>
    <x v="5"/>
    <x v="9"/>
    <x v="2"/>
    <x v="4"/>
    <x v="127"/>
    <n v="3.53"/>
    <n v="63"/>
    <n v="5"/>
    <n v="3"/>
    <s v="Order"/>
    <n v="27.73"/>
    <n v="13.682695164418119"/>
    <n v="7.855524079320114"/>
    <n v="3.8761176103167476"/>
    <n v="5.5460000000000003"/>
    <n v="0.44015873015873014"/>
    <n v="1.41643059490085"/>
    <n v="12.6"/>
    <d v="1899-12-30T00:42:22"/>
    <n v="-18.516270792474756"/>
    <n v="14.873473218905231"/>
    <n v="-7.0179491395851166"/>
    <n v="25.210333333333331"/>
  </r>
  <r>
    <x v="135"/>
    <x v="1"/>
    <x v="1"/>
    <n v="13"/>
    <n v="26"/>
    <x v="0"/>
    <x v="1"/>
    <x v="0"/>
    <x v="2"/>
    <x v="128"/>
    <n v="3.5"/>
    <n v="137.6"/>
    <n v="9"/>
    <n v="4"/>
    <s v="Order"/>
    <n v="124.09"/>
    <n v="93.408902454348151"/>
    <n v="35.454285714285717"/>
    <n v="26.688257844099471"/>
    <n v="13.787777777777778"/>
    <n v="0.90181686046511633"/>
    <n v="2.5714285714285716"/>
    <n v="15.288888888888888"/>
    <d v="1899-12-30T00:23:20"/>
    <n v="15.674920634920639"/>
    <n v="26.982702895536416"/>
    <n v="8.471582818749301"/>
    <n v="24.00533333333334"/>
  </r>
  <r>
    <x v="136"/>
    <x v="1"/>
    <x v="1"/>
    <n v="13"/>
    <n v="26"/>
    <x v="1"/>
    <x v="1"/>
    <x v="2"/>
    <x v="2"/>
    <x v="129"/>
    <n v="6.1999999999999993"/>
    <n v="134"/>
    <n v="16"/>
    <n v="2"/>
    <s v="Order"/>
    <n v="118.68"/>
    <n v="88.801605587809973"/>
    <n v="19.14193548387097"/>
    <n v="14.322839610937095"/>
    <n v="7.4175000000000004"/>
    <n v="0.88567164179104485"/>
    <n v="2.580645161290323"/>
    <n v="8.375"/>
    <d v="1899-12-30T00:23:15"/>
    <n v="-4.7418880455407937"/>
    <n v="20.115540994623654"/>
    <n v="-0.97360551075268376"/>
    <n v="25.324000000000005"/>
  </r>
  <r>
    <x v="137"/>
    <x v="1"/>
    <x v="1"/>
    <n v="13"/>
    <n v="26"/>
    <x v="2"/>
    <x v="11"/>
    <x v="2"/>
    <x v="4"/>
    <x v="130"/>
    <n v="7.6"/>
    <n v="142.5"/>
    <n v="16"/>
    <n v="3"/>
    <s v="Order"/>
    <n v="123.57999999999998"/>
    <n v="91.806334300469544"/>
    <n v="16.260526315789473"/>
    <n v="12.079780829009151"/>
    <n v="7.723749999999999"/>
    <n v="0.86722807017543846"/>
    <n v="2.1052631578947367"/>
    <n v="8.90625"/>
    <d v="1899-12-30T00:28:30"/>
    <s v=""/>
    <n v="18.887056636155606"/>
    <n v="-2.6265303203661325"/>
    <n v="26.697111111111113"/>
  </r>
  <r>
    <x v="138"/>
    <x v="1"/>
    <x v="2"/>
    <n v="1"/>
    <n v="27"/>
    <x v="4"/>
    <x v="2"/>
    <x v="1"/>
    <x v="4"/>
    <x v="131"/>
    <n v="7.9"/>
    <n v="92.2"/>
    <n v="5"/>
    <n v="3"/>
    <s v="Order"/>
    <n v="60.870000000000005"/>
    <n v="40.311880859672236"/>
    <n v="7.7050632911392407"/>
    <n v="5.1027697290724348"/>
    <n v="12.174000000000001"/>
    <n v="0.6601952277657267"/>
    <n v="0.63291139240506322"/>
    <n v="18.440000000000001"/>
    <d v="1899-12-30T01:34:48"/>
    <s v=""/>
    <n v="20.191072811871479"/>
    <n v="-12.486009520732239"/>
    <n v="26.74411111111111"/>
  </r>
  <r>
    <x v="139"/>
    <x v="1"/>
    <x v="2"/>
    <n v="1"/>
    <n v="27"/>
    <x v="0"/>
    <x v="1"/>
    <x v="2"/>
    <x v="4"/>
    <x v="132"/>
    <n v="4.5"/>
    <n v="143"/>
    <n v="12"/>
    <n v="3"/>
    <s v="Order"/>
    <n v="110.86"/>
    <n v="78.974847754155405"/>
    <n v="24.635555555555555"/>
    <n v="17.549966167590089"/>
    <n v="9.2383333333333333"/>
    <n v="0.77524475524475522"/>
    <n v="2.6666666666666665"/>
    <n v="11.916666666666666"/>
    <d v="1899-12-30T00:22:30"/>
    <s v=""/>
    <n v="18.630277777777778"/>
    <n v="6.0052777777777777"/>
    <n v="26.350111111111108"/>
  </r>
  <r>
    <x v="140"/>
    <x v="1"/>
    <x v="2"/>
    <n v="1"/>
    <n v="27"/>
    <x v="1"/>
    <x v="7"/>
    <x v="2"/>
    <x v="2"/>
    <x v="133"/>
    <n v="9.07"/>
    <n v="166"/>
    <n v="20"/>
    <n v="5"/>
    <s v="Order"/>
    <n v="187.79"/>
    <n v="150.77646662370489"/>
    <n v="20.704520396912898"/>
    <n v="16.623645713749159"/>
    <n v="9.3895"/>
    <n v="1.1312650602409637"/>
    <n v="2.2050716648291067"/>
    <n v="8.3000000000000007"/>
    <d v="1899-12-30T00:27:13"/>
    <s v=""/>
    <n v="15.768926865123115"/>
    <n v="4.9355935317897828"/>
    <n v="28.436666666666664"/>
  </r>
  <r>
    <x v="141"/>
    <x v="1"/>
    <x v="2"/>
    <n v="2"/>
    <n v="28"/>
    <x v="4"/>
    <x v="2"/>
    <x v="2"/>
    <x v="4"/>
    <x v="134"/>
    <n v="3.28"/>
    <n v="46.1"/>
    <n v="8"/>
    <n v="1"/>
    <s v="Order"/>
    <n v="60.43"/>
    <n v="50.150940429836112"/>
    <n v="18.42378048780488"/>
    <n v="15.289920862754913"/>
    <n v="7.55375"/>
    <n v="1.3108459869848155"/>
    <n v="2.4390243902439024"/>
    <n v="5.7625000000000002"/>
    <d v="1899-12-30T00:24:36"/>
    <s v=""/>
    <n v="15.352241121095423"/>
    <n v="3.071539366709457"/>
    <n v="29.108111111111107"/>
  </r>
  <r>
    <x v="142"/>
    <x v="1"/>
    <x v="2"/>
    <n v="2"/>
    <n v="28"/>
    <x v="5"/>
    <x v="1"/>
    <x v="0"/>
    <x v="1"/>
    <x v="135"/>
    <n v="3.3"/>
    <n v="48.2"/>
    <n v="6"/>
    <n v="3"/>
    <s v="Order"/>
    <n v="67.430000000000007"/>
    <n v="56.682696935316727"/>
    <n v="20.433333333333337"/>
    <n v="17.176574828883858"/>
    <n v="11.238333333333335"/>
    <n v="1.3989626556016599"/>
    <n v="1.8181818181818183"/>
    <n v="8.0333333333333332"/>
    <d v="1899-12-30T00:33:00"/>
    <s v=""/>
    <n v="20.380241708825185"/>
    <n v="5.309162450815208E-2"/>
    <n v="29.857333333333326"/>
  </r>
  <r>
    <x v="143"/>
    <x v="1"/>
    <x v="2"/>
    <n v="2"/>
    <n v="28"/>
    <x v="6"/>
    <x v="1"/>
    <x v="1"/>
    <x v="4"/>
    <x v="136"/>
    <n v="3.3"/>
    <n v="76.800000000000011"/>
    <n v="13"/>
    <n v="3"/>
    <s v="Order"/>
    <n v="91.2"/>
    <n v="74.07566648614781"/>
    <n v="27.63636363636364"/>
    <n v="22.447171662469035"/>
    <n v="7.0153846153846153"/>
    <n v="1.1874999999999998"/>
    <n v="3.9393939393939394"/>
    <n v="5.9076923076923089"/>
    <d v="1899-12-30T00:15:14"/>
    <s v=""/>
    <n v="24.976515151515155"/>
    <n v="2.6598484848484851"/>
    <n v="30.870666666666658"/>
  </r>
  <r>
    <x v="144"/>
    <x v="1"/>
    <x v="2"/>
    <n v="2"/>
    <n v="28"/>
    <x v="0"/>
    <x v="14"/>
    <x v="1"/>
    <x v="2"/>
    <x v="117"/>
    <n v="8.75"/>
    <n v="169"/>
    <n v="18"/>
    <n v="3"/>
    <s v="Order"/>
    <n v="145.57"/>
    <n v="107.88754734582002"/>
    <n v="16.636571428571429"/>
    <n v="12.330005410950861"/>
    <n v="8.0872222222222216"/>
    <n v="0.86136094674556207"/>
    <n v="2.0571428571428569"/>
    <n v="9.3888888888888893"/>
    <d v="1899-12-30T00:29:10"/>
    <n v="4.011571428571429"/>
    <n v="19.758050348801941"/>
    <n v="-3.121478920230512"/>
    <n v="31.706777777777774"/>
  </r>
  <r>
    <x v="145"/>
    <x v="1"/>
    <x v="2"/>
    <n v="3"/>
    <n v="29"/>
    <x v="3"/>
    <x v="1"/>
    <x v="1"/>
    <x v="4"/>
    <x v="137"/>
    <n v="3.6"/>
    <n v="71.400000000000006"/>
    <n v="10"/>
    <n v="2"/>
    <s v="Order"/>
    <n v="122.56"/>
    <n v="106.63972118634054"/>
    <n v="34.044444444444444"/>
    <n v="29.622144773983482"/>
    <n v="12.256"/>
    <n v="1.7165266106442576"/>
    <n v="2.7777777777777777"/>
    <n v="7.1400000000000006"/>
    <d v="1899-12-30T00:21:36"/>
    <s v=""/>
    <n v="26.720763551233567"/>
    <n v="7.3236808932108772"/>
    <n v="33.068555555555548"/>
  </r>
  <r>
    <x v="146"/>
    <x v="1"/>
    <x v="2"/>
    <n v="3"/>
    <n v="29"/>
    <x v="5"/>
    <x v="1"/>
    <x v="1"/>
    <x v="4"/>
    <x v="138"/>
    <n v="4.7"/>
    <n v="107.30000000000001"/>
    <n v="8"/>
    <n v="2"/>
    <s v="Order"/>
    <n v="129.21"/>
    <n v="105.28498716098515"/>
    <n v="27.491489361702129"/>
    <n v="22.401061098081946"/>
    <n v="16.151250000000001"/>
    <n v="1.2041938490214352"/>
    <n v="1.7021276595744681"/>
    <n v="13.412500000000001"/>
    <d v="1899-12-30T00:35:15"/>
    <s v=""/>
    <n v="21.177052197860014"/>
    <n v="6.3144371638421148"/>
    <n v="34.504222222222218"/>
  </r>
  <r>
    <x v="147"/>
    <x v="1"/>
    <x v="2"/>
    <n v="3"/>
    <n v="29"/>
    <x v="0"/>
    <x v="2"/>
    <x v="0"/>
    <x v="2"/>
    <x v="139"/>
    <n v="5.5"/>
    <n v="144.69999999999999"/>
    <n v="11"/>
    <n v="4"/>
    <s v="Order"/>
    <n v="100.12"/>
    <n v="67.85579349668734"/>
    <n v="18.203636363636363"/>
    <n v="12.337416999397698"/>
    <n v="9.1018181818181816"/>
    <n v="0.69191430545957167"/>
    <n v="2"/>
    <n v="13.154545454545454"/>
    <d v="1899-12-30T00:30:00"/>
    <n v="-8.6866862170087984"/>
    <n v="19.277372919603788"/>
    <n v="-1.0737365559674252"/>
    <n v="35.61666666666666"/>
  </r>
  <r>
    <x v="148"/>
    <x v="1"/>
    <x v="2"/>
    <n v="3"/>
    <n v="29"/>
    <x v="1"/>
    <x v="14"/>
    <x v="1"/>
    <x v="4"/>
    <x v="140"/>
    <n v="6.2"/>
    <n v="169.5"/>
    <n v="14"/>
    <n v="3"/>
    <s v="Order"/>
    <n v="129.97"/>
    <n v="92.17606079950589"/>
    <n v="20.96290322580645"/>
    <n v="14.867106580565466"/>
    <n v="9.2835714285714293"/>
    <n v="0.76678466076696161"/>
    <n v="2.258064516129032"/>
    <n v="12.107142857142858"/>
    <d v="1899-12-30T00:26:34"/>
    <s v=""/>
    <n v="20.038561698743642"/>
    <n v="0.9243415270628077"/>
    <n v="37.060777777777773"/>
  </r>
  <r>
    <x v="149"/>
    <x v="1"/>
    <x v="2"/>
    <n v="4"/>
    <n v="30"/>
    <x v="5"/>
    <x v="2"/>
    <x v="1"/>
    <x v="4"/>
    <x v="141"/>
    <n v="4.5999999999999996"/>
    <n v="113.69999999999999"/>
    <n v="12"/>
    <n v="2"/>
    <s v="Order"/>
    <n v="136.70999999999998"/>
    <n v="111.3579593681641"/>
    <n v="29.719565217391303"/>
    <n v="24.208252036557415"/>
    <n v="11.392499999999998"/>
    <n v="1.2023746701846965"/>
    <n v="2.6086956521739131"/>
    <n v="9.4749999999999996"/>
    <d v="1899-12-30T00:23:00"/>
    <n v="2.2280758556891733"/>
    <n v="26.04195315133131"/>
    <n v="3.6776120660599929"/>
    <n v="38.579777777777771"/>
  </r>
  <r>
    <x v="150"/>
    <x v="1"/>
    <x v="2"/>
    <n v="4"/>
    <n v="30"/>
    <x v="6"/>
    <x v="2"/>
    <x v="0"/>
    <x v="4"/>
    <x v="142"/>
    <n v="5.67"/>
    <n v="125"/>
    <n v="12"/>
    <n v="2"/>
    <s v="Order"/>
    <n v="114.17"/>
    <n v="86.298363421464529"/>
    <n v="20.135802469135804"/>
    <n v="15.220169915602209"/>
    <n v="9.5141666666666662"/>
    <n v="0.91336000000000006"/>
    <n v="2.1164021164021163"/>
    <n v="10.416666666666666"/>
    <d v="1899-12-30T00:28:21"/>
    <n v="7.393866985264836"/>
    <n v="20.938868976503386"/>
    <n v="-0.80306650736758201"/>
    <n v="37.673555555555552"/>
  </r>
  <r>
    <x v="151"/>
    <x v="1"/>
    <x v="2"/>
    <n v="7"/>
    <n v="33"/>
    <x v="3"/>
    <x v="1"/>
    <x v="2"/>
    <x v="4"/>
    <x v="143"/>
    <n v="5.8"/>
    <n v="81.099999999999994"/>
    <n v="10"/>
    <n v="3"/>
    <s v="Order"/>
    <n v="56.58"/>
    <n v="38.496882187846182"/>
    <n v="9.7551724137931028"/>
    <n v="6.6373934806631354"/>
    <n v="5.6579999999999995"/>
    <n v="0.69765721331689279"/>
    <n v="1.7241379310344829"/>
    <n v="8.11"/>
    <d v="1899-12-30T00:34:48"/>
    <s v=""/>
    <n v="15.658282216918668"/>
    <n v="-5.9031098031255649"/>
    <n v="34.849999999999994"/>
  </r>
  <r>
    <x v="152"/>
    <x v="1"/>
    <x v="2"/>
    <n v="7"/>
    <n v="33"/>
    <x v="4"/>
    <x v="2"/>
    <x v="1"/>
    <x v="4"/>
    <x v="144"/>
    <n v="5.6999999999999993"/>
    <n v="77.7"/>
    <n v="12"/>
    <n v="2"/>
    <s v="Order"/>
    <n v="114.57"/>
    <n v="97.244990702782331"/>
    <n v="20.100000000000001"/>
    <n v="17.060524684698656"/>
    <n v="9.5474999999999994"/>
    <n v="1.4745173745173743"/>
    <n v="2.1052631578947372"/>
    <n v="6.4750000000000005"/>
    <d v="1899-12-30T00:28:30"/>
    <n v="12.394936708860762"/>
    <n v="17.127735570511192"/>
    <n v="2.9722644294888099"/>
    <n v="35.408111111111111"/>
  </r>
  <r>
    <x v="153"/>
    <x v="1"/>
    <x v="2"/>
    <n v="7"/>
    <n v="33"/>
    <x v="5"/>
    <x v="14"/>
    <x v="2"/>
    <x v="4"/>
    <x v="145"/>
    <n v="4.5"/>
    <n v="73"/>
    <n v="12"/>
    <n v="4"/>
    <s v="Order"/>
    <n v="100"/>
    <n v="83.722964238135276"/>
    <n v="22.222222222222221"/>
    <n v="18.605103164030062"/>
    <n v="8.3333333333333339"/>
    <n v="1.3698630136986301"/>
    <n v="2.6666666666666665"/>
    <n v="6.083333333333333"/>
    <d v="1899-12-30T00:22:30"/>
    <s v=""/>
    <n v="21.900354654253771"/>
    <n v="0.32186756796845017"/>
    <n v="36.07033333333333"/>
  </r>
  <r>
    <x v="154"/>
    <x v="1"/>
    <x v="2"/>
    <n v="8"/>
    <n v="34"/>
    <x v="4"/>
    <x v="1"/>
    <x v="0"/>
    <x v="4"/>
    <x v="146"/>
    <n v="4.7"/>
    <n v="114.9"/>
    <n v="8"/>
    <n v="2"/>
    <s v="Order"/>
    <n v="86.72"/>
    <n v="61.100391657010185"/>
    <n v="18.451063829787234"/>
    <n v="13.000083331278763"/>
    <n v="10.84"/>
    <n v="0.75474325500435158"/>
    <n v="1.7021276595744681"/>
    <n v="14.362500000000001"/>
    <d v="1899-12-30T00:35:15"/>
    <n v="-6.132574614148691"/>
    <n v="18.451063829787234"/>
    <n v="0"/>
    <n v="35.649333333333331"/>
  </r>
  <r>
    <x v="155"/>
    <x v="1"/>
    <x v="2"/>
    <n v="8"/>
    <n v="34"/>
    <x v="5"/>
    <x v="1"/>
    <x v="1"/>
    <x v="4"/>
    <x v="147"/>
    <n v="4.5999999999999996"/>
    <n v="125"/>
    <n v="10"/>
    <n v="3"/>
    <s v="Order"/>
    <n v="130.63"/>
    <n v="102.75836342146451"/>
    <n v="28.397826086956524"/>
    <n v="22.338774656840112"/>
    <n v="13.062999999999999"/>
    <n v="1.04504"/>
    <n v="2.1739130434782612"/>
    <n v="12.5"/>
    <d v="1899-12-30T00:27:36"/>
    <n v="-0.20770120259019009"/>
    <n v="23.323781261793304"/>
    <n v="5.0740448251632202"/>
    <n v="36.429333333333332"/>
  </r>
  <r>
    <x v="156"/>
    <x v="1"/>
    <x v="2"/>
    <n v="8"/>
    <n v="34"/>
    <x v="6"/>
    <x v="2"/>
    <x v="1"/>
    <x v="4"/>
    <x v="148"/>
    <n v="4.8"/>
    <n v="108.1"/>
    <n v="8"/>
    <n v="4"/>
    <s v="Order"/>
    <n v="83.82"/>
    <n v="59.716608686882509"/>
    <n v="17.462499999999999"/>
    <n v="12.440960143100524"/>
    <n v="10.477499999999999"/>
    <n v="0.77539315448658652"/>
    <n v="1.6666666666666667"/>
    <n v="13.512499999999999"/>
    <d v="1899-12-30T00:36:00"/>
    <n v="-10.173863636363642"/>
    <n v="20.801092160105405"/>
    <n v="-3.3385921601054065"/>
    <n v="37.102333333333334"/>
  </r>
  <r>
    <x v="157"/>
    <x v="1"/>
    <x v="2"/>
    <n v="8"/>
    <n v="34"/>
    <x v="1"/>
    <x v="11"/>
    <x v="0"/>
    <x v="2"/>
    <x v="149"/>
    <n v="6.6999999999999993"/>
    <n v="139"/>
    <n v="13"/>
    <n v="3"/>
    <s v="Order"/>
    <n v="127.27"/>
    <n v="96.276740124668549"/>
    <n v="18.995522388059705"/>
    <n v="14.369662705174411"/>
    <n v="9.7899999999999991"/>
    <n v="0.91561151079136682"/>
    <n v="1.9402985074626868"/>
    <n v="10.692307692307692"/>
    <d v="1899-12-30T00:30:55"/>
    <n v="1.4112105811451627"/>
    <n v="19.755357688810538"/>
    <n v="-0.75983530075083294"/>
    <n v="38.516444444444446"/>
  </r>
  <r>
    <x v="158"/>
    <x v="1"/>
    <x v="2"/>
    <n v="9"/>
    <n v="35"/>
    <x v="3"/>
    <x v="1"/>
    <x v="1"/>
    <x v="4"/>
    <x v="41"/>
    <n v="5.0999999999999996"/>
    <n v="124.19999999999999"/>
    <n v="9"/>
    <n v="2"/>
    <s v="Order"/>
    <n v="100.72"/>
    <n v="73.026741895567142"/>
    <n v="19.749019607843138"/>
    <n v="14.318968999130814"/>
    <n v="11.191111111111111"/>
    <n v="0.81095008051529793"/>
    <n v="1.7647058823529413"/>
    <n v="13.799999999999999"/>
    <d v="1899-12-30T00:34:00"/>
    <n v="-14.295424836601306"/>
    <n v="22.565375230269186"/>
    <n v="-2.8163556224260482"/>
    <n v="38.419999999999995"/>
  </r>
  <r>
    <x v="159"/>
    <x v="1"/>
    <x v="2"/>
    <n v="9"/>
    <n v="35"/>
    <x v="1"/>
    <x v="1"/>
    <x v="0"/>
    <x v="4"/>
    <x v="150"/>
    <n v="6.6999999999999993"/>
    <n v="144.77999999999997"/>
    <n v="9"/>
    <n v="4"/>
    <s v="Order"/>
    <n v="122.1"/>
    <n v="89.817955649277067"/>
    <n v="18.223880597014926"/>
    <n v="13.405665022280161"/>
    <n v="13.566666666666666"/>
    <n v="0.84334852880232092"/>
    <n v="1.3432835820895523"/>
    <n v="16.086666666666662"/>
    <d v="1899-12-30T00:44:40"/>
    <n v="0.35732667387135209"/>
    <n v="18.425763461645694"/>
    <n v="-0.20188286463076821"/>
    <n v="39.776666666666657"/>
  </r>
  <r>
    <x v="160"/>
    <x v="1"/>
    <x v="2"/>
    <n v="10"/>
    <n v="36"/>
    <x v="3"/>
    <x v="2"/>
    <x v="0"/>
    <x v="2"/>
    <x v="151"/>
    <n v="6.7"/>
    <n v="101.69999999999999"/>
    <n v="7"/>
    <n v="2"/>
    <s v="Order"/>
    <n v="79.789999999999992"/>
    <n v="57.11363647970353"/>
    <n v="11.908955223880595"/>
    <n v="8.5244233551796302"/>
    <n v="11.398571428571428"/>
    <n v="0.78456243854473939"/>
    <n v="1.044776119402985"/>
    <n v="14.528571428571427"/>
    <d v="1899-12-30T00:57:26"/>
    <n v="-2.6364993215739503"/>
    <n v="21.854789288246266"/>
    <n v="-9.9458340643656715"/>
    <n v="40.66322222222221"/>
  </r>
  <r>
    <x v="161"/>
    <x v="1"/>
    <x v="2"/>
    <n v="10"/>
    <n v="36"/>
    <x v="4"/>
    <x v="2"/>
    <x v="1"/>
    <x v="4"/>
    <x v="152"/>
    <n v="6.1"/>
    <n v="100.8"/>
    <n v="12"/>
    <n v="3"/>
    <s v="Order"/>
    <n v="118.28"/>
    <n v="95.804312263068994"/>
    <n v="19.39016393442623"/>
    <n v="15.705624961158852"/>
    <n v="9.8566666666666674"/>
    <n v="1.1734126984126985"/>
    <n v="1.9672131147540985"/>
    <n v="8.4"/>
    <d v="1899-12-30T00:30:30"/>
    <n v="5.4876322888566094"/>
    <n v="21.806363018460878"/>
    <n v="-2.4161990840346483"/>
    <n v="41.977444444444437"/>
  </r>
  <r>
    <x v="162"/>
    <x v="1"/>
    <x v="2"/>
    <n v="10"/>
    <n v="36"/>
    <x v="5"/>
    <x v="2"/>
    <x v="1"/>
    <x v="4"/>
    <x v="153"/>
    <n v="4.0999999999999996"/>
    <n v="115.1"/>
    <n v="10"/>
    <n v="2"/>
    <s v="Order"/>
    <n v="125.49"/>
    <n v="99.825797038484524"/>
    <n v="30.607317073170734"/>
    <n v="24.34775537524013"/>
    <n v="12.548999999999999"/>
    <n v="1.0902693310165075"/>
    <n v="2.4390243902439028"/>
    <n v="11.51"/>
    <d v="1899-12-30T00:24:36"/>
    <n v="2.0710235178207483"/>
    <n v="25.564780393451905"/>
    <n v="5.0425366797188289"/>
    <n v="42.356222222222215"/>
  </r>
  <r>
    <x v="163"/>
    <x v="1"/>
    <x v="2"/>
    <n v="10"/>
    <n v="36"/>
    <x v="6"/>
    <x v="2"/>
    <x v="2"/>
    <x v="2"/>
    <x v="43"/>
    <n v="5"/>
    <n v="78"/>
    <n v="11"/>
    <n v="1"/>
    <s v="Order"/>
    <n v="78.5"/>
    <n v="61.108098774993863"/>
    <n v="15.7"/>
    <n v="12.221619754998773"/>
    <n v="7.1363636363636367"/>
    <n v="1.0064102564102564"/>
    <n v="2.2000000000000002"/>
    <n v="7.0909090909090908"/>
    <d v="1899-12-30T00:27:16"/>
    <s v=""/>
    <n v="19.339270454773725"/>
    <n v="-3.639270454773726"/>
    <n v="42.770444444444443"/>
  </r>
  <r>
    <x v="164"/>
    <x v="1"/>
    <x v="2"/>
    <n v="10"/>
    <n v="36"/>
    <x v="0"/>
    <x v="19"/>
    <x v="0"/>
    <x v="2"/>
    <x v="124"/>
    <n v="5"/>
    <n v="95.7"/>
    <n v="11"/>
    <n v="3"/>
    <s v="Order"/>
    <n v="136.03"/>
    <n v="114.69147503547325"/>
    <n v="27.206"/>
    <n v="22.938295007094649"/>
    <n v="12.366363636363637"/>
    <n v="1.4214211076280041"/>
    <n v="2.2000000000000002"/>
    <n v="8.7000000000000011"/>
    <d v="1899-12-30T00:27:16"/>
    <n v="4.6590205278592371"/>
    <n v="21.674707341206283"/>
    <n v="5.531292658793717"/>
    <n v="44.281888888888886"/>
  </r>
  <r>
    <x v="165"/>
    <x v="1"/>
    <x v="2"/>
    <n v="10"/>
    <n v="36"/>
    <x v="1"/>
    <x v="10"/>
    <x v="0"/>
    <x v="4"/>
    <x v="51"/>
    <n v="8.73"/>
    <n v="162"/>
    <n v="17"/>
    <n v="5"/>
    <s v="Order"/>
    <n v="185.99"/>
    <n v="149.86835899421803"/>
    <n v="21.304696449026345"/>
    <n v="17.167051431181903"/>
    <n v="10.940588235294118"/>
    <n v="1.1480864197530865"/>
    <n v="1.9473081328751431"/>
    <n v="9.5294117647058822"/>
    <d v="1899-12-30T00:30:49"/>
    <n v="3.3785880802375452"/>
    <n v="22.045530235932333"/>
    <n v="-0.74083378690598778"/>
    <n v="46.348444444444439"/>
  </r>
  <r>
    <x v="166"/>
    <x v="1"/>
    <x v="2"/>
    <n v="11"/>
    <n v="37"/>
    <x v="3"/>
    <x v="2"/>
    <x v="1"/>
    <x v="4"/>
    <x v="154"/>
    <n v="6.3999999999999995"/>
    <n v="141.4"/>
    <n v="14"/>
    <n v="3"/>
    <s v="Order"/>
    <n v="174.1"/>
    <n v="142.57160470236067"/>
    <n v="27.203125"/>
    <n v="22.276813234743859"/>
    <n v="12.435714285714285"/>
    <n v="1.2312588401697311"/>
    <n v="2.1875"/>
    <n v="10.1"/>
    <d v="1899-12-30T00:27:26"/>
    <n v="0.30639297385620878"/>
    <n v="27.752792825445322"/>
    <n v="-0.54966782544532222"/>
    <n v="48.282888888888891"/>
  </r>
  <r>
    <x v="167"/>
    <x v="1"/>
    <x v="2"/>
    <n v="11"/>
    <n v="37"/>
    <x v="4"/>
    <x v="15"/>
    <x v="1"/>
    <x v="4"/>
    <x v="144"/>
    <n v="2.4"/>
    <n v="93"/>
    <n v="9"/>
    <n v="2"/>
    <s v="Order"/>
    <n v="110.01"/>
    <n v="89.273502385569614"/>
    <n v="45.837500000000006"/>
    <n v="37.197292660654007"/>
    <n v="12.223333333333334"/>
    <n v="1.1829032258064516"/>
    <n v="3.75"/>
    <n v="10.333333333333334"/>
    <d v="1899-12-30T00:16:00"/>
    <n v="30.105757591478181"/>
    <n v="27.742049844005351"/>
    <n v="18.095450155994655"/>
    <n v="49.505222222222223"/>
  </r>
  <r>
    <x v="168"/>
    <x v="1"/>
    <x v="2"/>
    <n v="11"/>
    <n v="37"/>
    <x v="5"/>
    <x v="1"/>
    <x v="1"/>
    <x v="4"/>
    <x v="155"/>
    <n v="7"/>
    <n v="65.5"/>
    <n v="3"/>
    <n v="1"/>
    <s v="Order"/>
    <n v="18.829999999999998"/>
    <n v="4.2252624328474084"/>
    <n v="2.69"/>
    <n v="0.60360891897820124"/>
    <n v="6.2766666666666664"/>
    <n v="0.28748091603053433"/>
    <n v="0.42857142857142855"/>
    <n v="21.833333333333332"/>
    <d v="1899-12-30T02:20:00"/>
    <n v="-26.364049434805171"/>
    <n v="17.244530305697353"/>
    <n v="-14.554530305697353"/>
    <n v="48.729666666666667"/>
  </r>
  <r>
    <x v="169"/>
    <x v="1"/>
    <x v="2"/>
    <n v="11"/>
    <n v="37"/>
    <x v="6"/>
    <x v="1"/>
    <x v="1"/>
    <x v="2"/>
    <x v="156"/>
    <n v="5.5"/>
    <n v="62.5"/>
    <n v="14"/>
    <n v="3"/>
    <s v="Order"/>
    <n v="114.77000000000001"/>
    <n v="100.83418171073227"/>
    <n v="20.867272727272731"/>
    <n v="18.333487583769504"/>
    <n v="8.1978571428571438"/>
    <n v="1.8363200000000002"/>
    <n v="2.5454545454545454"/>
    <n v="4.4642857142857144"/>
    <d v="1899-12-30T00:23:34"/>
    <n v="-1.6821590909090887"/>
    <n v="24.77561450694693"/>
    <n v="-3.908341779674199"/>
    <n v="48.288222222222231"/>
  </r>
  <r>
    <x v="170"/>
    <x v="1"/>
    <x v="2"/>
    <n v="11"/>
    <n v="37"/>
    <x v="0"/>
    <x v="1"/>
    <x v="1"/>
    <x v="2"/>
    <x v="157"/>
    <n v="2.9"/>
    <n v="156.19999999999999"/>
    <n v="10"/>
    <n v="3"/>
    <s v="Order"/>
    <n v="110.59"/>
    <n v="75.761602931462079"/>
    <n v="38.134482758620692"/>
    <n v="26.124690666021408"/>
    <n v="11.059000000000001"/>
    <n v="0.70800256081946233"/>
    <n v="3.4482758620689657"/>
    <n v="15.62"/>
    <d v="1899-12-30T00:17:24"/>
    <n v="23.503697044334977"/>
    <n v="27.690267905647875"/>
    <n v="10.444214852972816"/>
    <n v="49.51700000000001"/>
  </r>
  <r>
    <x v="171"/>
    <x v="1"/>
    <x v="2"/>
    <n v="11"/>
    <n v="37"/>
    <x v="1"/>
    <x v="12"/>
    <x v="2"/>
    <x v="2"/>
    <x v="158"/>
    <n v="4.5"/>
    <n v="125.80000000000001"/>
    <n v="13"/>
    <n v="5"/>
    <s v="Order"/>
    <n v="112.3"/>
    <n v="84.249984947361895"/>
    <n v="24.955555555555556"/>
    <n v="18.722218877191533"/>
    <n v="8.638461538461538"/>
    <n v="0.89268680445151027"/>
    <n v="2.8888888888888888"/>
    <n v="9.6769230769230781"/>
    <d v="1899-12-30T00:20:46"/>
    <n v="4.251035158642658"/>
    <n v="22.687811791383218"/>
    <n v="2.2677437641723373"/>
    <n v="49.157666666666671"/>
  </r>
  <r>
    <x v="172"/>
    <x v="1"/>
    <x v="2"/>
    <n v="11"/>
    <n v="37"/>
    <x v="2"/>
    <x v="4"/>
    <x v="2"/>
    <x v="4"/>
    <x v="138"/>
    <n v="6.1999999999999993"/>
    <n v="152.6"/>
    <n v="23"/>
    <n v="3"/>
    <s v="Order"/>
    <n v="149.79"/>
    <n v="115.76430606492389"/>
    <n v="24.159677419354839"/>
    <n v="18.671662268536114"/>
    <n v="6.5126086956521734"/>
    <n v="0.98158584534731319"/>
    <n v="3.709677419354839"/>
    <n v="6.6347826086956516"/>
    <d v="1899-12-30T00:16:10"/>
    <s v=""/>
    <n v="25.652020692468419"/>
    <n v="-1.4923432731135797"/>
    <n v="50.822000000000003"/>
  </r>
  <r>
    <x v="173"/>
    <x v="1"/>
    <x v="2"/>
    <n v="12"/>
    <n v="38"/>
    <x v="3"/>
    <x v="1"/>
    <x v="1"/>
    <x v="4"/>
    <x v="159"/>
    <n v="6.9"/>
    <n v="82.5"/>
    <n v="12"/>
    <n v="2"/>
    <s v="Order"/>
    <n v="106.19"/>
    <n v="87.794719858166587"/>
    <n v="15.389855072463767"/>
    <n v="12.723872443212548"/>
    <n v="8.8491666666666671"/>
    <n v="1.2871515151515152"/>
    <n v="1.7391304347826086"/>
    <n v="6.875"/>
    <d v="1899-12-30T00:34:30"/>
    <n v="-11.60900794496543"/>
    <n v="21.99424772969833"/>
    <n v="-6.6043926572345626"/>
    <n v="52.001888888888892"/>
  </r>
  <r>
    <x v="174"/>
    <x v="1"/>
    <x v="2"/>
    <n v="12"/>
    <n v="38"/>
    <x v="6"/>
    <x v="2"/>
    <x v="2"/>
    <x v="2"/>
    <x v="160"/>
    <n v="9.4"/>
    <n v="68"/>
    <n v="16"/>
    <n v="2"/>
    <s v="Order"/>
    <n v="168.62"/>
    <n v="153.45782970127669"/>
    <n v="17.938297872340424"/>
    <n v="16.32530103205071"/>
    <n v="10.53875"/>
    <n v="2.4797058823529414"/>
    <n v="1.7021276595744681"/>
    <n v="4.25"/>
    <d v="1899-12-30T00:35:15"/>
    <n v="2.238297872340425"/>
    <n v="19.309961720695359"/>
    <n v="-1.3716638483549346"/>
    <n v="52.500777777777778"/>
  </r>
  <r>
    <x v="175"/>
    <x v="1"/>
    <x v="2"/>
    <n v="12"/>
    <n v="38"/>
    <x v="0"/>
    <x v="2"/>
    <x v="0"/>
    <x v="2"/>
    <x v="161"/>
    <n v="5.4"/>
    <n v="71.599999999999994"/>
    <n v="6"/>
    <n v="2"/>
    <s v="Order"/>
    <n v="65.78"/>
    <n v="49.815126567814879"/>
    <n v="12.18148148148148"/>
    <n v="9.2250234384842358"/>
    <n v="10.963333333333333"/>
    <n v="0.91871508379888278"/>
    <n v="1.1111111111111109"/>
    <n v="11.933333333333332"/>
    <d v="1899-12-30T00:54:00"/>
    <n v="-11.91850483327903"/>
    <n v="19.46006301883239"/>
    <n v="-7.2785815373509095"/>
    <n v="51.42711111111111"/>
  </r>
  <r>
    <x v="176"/>
    <x v="1"/>
    <x v="2"/>
    <n v="12"/>
    <n v="38"/>
    <x v="2"/>
    <x v="2"/>
    <x v="0"/>
    <x v="4"/>
    <x v="112"/>
    <n v="7.1"/>
    <n v="124.2"/>
    <n v="11"/>
    <n v="2"/>
    <s v="Order"/>
    <n v="161.82999999999998"/>
    <n v="134.13674189556713"/>
    <n v="22.792957746478873"/>
    <n v="18.892498858530583"/>
    <n v="14.711818181818181"/>
    <n v="1.3029790660225442"/>
    <n v="1.5492957746478875"/>
    <n v="11.290909090909091"/>
    <d v="1899-12-30T00:38:44"/>
    <n v="-4.6728317272053381"/>
    <n v="23.467750621375313"/>
    <n v="-0.6747928748964398"/>
    <n v="53.225222222222214"/>
  </r>
  <r>
    <x v="177"/>
    <x v="1"/>
    <x v="2"/>
    <n v="13"/>
    <n v="39"/>
    <x v="3"/>
    <x v="2"/>
    <x v="1"/>
    <x v="4"/>
    <x v="31"/>
    <n v="6.6"/>
    <n v="80.199999999999989"/>
    <n v="8"/>
    <n v="2"/>
    <s v="Order"/>
    <n v="78.52"/>
    <n v="60.637557971211635"/>
    <n v="11.896969696969697"/>
    <n v="9.1875087835169147"/>
    <n v="9.8149999999999995"/>
    <n v="0.97905236907730686"/>
    <n v="1.2121212121212122"/>
    <n v="10.024999999999999"/>
    <d v="1899-12-30T00:49:30"/>
    <n v="-12.199641334218144"/>
    <n v="22.232296539277556"/>
    <n v="-10.335326842307859"/>
    <n v="54.097666666666669"/>
  </r>
  <r>
    <x v="178"/>
    <x v="1"/>
    <x v="2"/>
    <n v="13"/>
    <n v="39"/>
    <x v="4"/>
    <x v="2"/>
    <x v="2"/>
    <x v="4"/>
    <x v="162"/>
    <n v="2.4500000000000002"/>
    <n v="28.6"/>
    <n v="3"/>
    <n v="1"/>
    <s v="Order"/>
    <n v="35.19"/>
    <n v="28.812969550831081"/>
    <n v="14.363265306122447"/>
    <n v="11.760395735033093"/>
    <n v="11.729999999999999"/>
    <n v="1.2304195804195803"/>
    <n v="1.2244897959183672"/>
    <n v="9.5333333333333332"/>
    <d v="1899-12-30T00:49:00"/>
    <n v="-4.0605151816824332"/>
    <n v="23.655376691383267"/>
    <n v="-9.2921113852608208"/>
    <n v="54.180555555555543"/>
  </r>
  <r>
    <x v="179"/>
    <x v="1"/>
    <x v="2"/>
    <n v="13"/>
    <n v="39"/>
    <x v="5"/>
    <x v="2"/>
    <x v="2"/>
    <x v="4"/>
    <x v="163"/>
    <n v="4.3000000000000007"/>
    <n v="48.2"/>
    <n v="10"/>
    <n v="3"/>
    <s v="Order"/>
    <n v="45.85"/>
    <n v="35.102696935316722"/>
    <n v="10.662790697674417"/>
    <n v="8.1634178919341203"/>
    <n v="4.585"/>
    <n v="0.95124481327800825"/>
    <n v="2.3255813953488369"/>
    <n v="4.82"/>
    <d v="1899-12-30T00:25:48"/>
    <n v="-11.559431524547804"/>
    <n v="19.08452701313605"/>
    <n v="-8.4217363154616329"/>
    <n v="54.689999999999991"/>
  </r>
  <r>
    <x v="180"/>
    <x v="1"/>
    <x v="2"/>
    <n v="13"/>
    <n v="39"/>
    <x v="0"/>
    <x v="2"/>
    <x v="0"/>
    <x v="2"/>
    <x v="164"/>
    <n v="2.5"/>
    <n v="113.8"/>
    <n v="13"/>
    <n v="2"/>
    <s v="Order"/>
    <n v="94.03"/>
    <n v="68.655662058901299"/>
    <n v="37.612000000000002"/>
    <n v="27.46226482356052"/>
    <n v="7.233076923076923"/>
    <n v="0.82627416520210895"/>
    <n v="5.2"/>
    <n v="8.7538461538461529"/>
    <d v="1899-12-30T00:11:32"/>
    <n v="16.491639893559249"/>
    <n v="26.595370713059737"/>
    <n v="11.016629286940265"/>
    <n v="53.037333333333329"/>
  </r>
  <r>
    <x v="181"/>
    <x v="1"/>
    <x v="2"/>
    <n v="13"/>
    <n v="39"/>
    <x v="2"/>
    <x v="9"/>
    <x v="0"/>
    <x v="4"/>
    <x v="165"/>
    <n v="3.5999999999999996"/>
    <n v="88.5"/>
    <n v="6"/>
    <n v="2"/>
    <s v="Order"/>
    <n v="64.97"/>
    <n v="45.236881302396881"/>
    <n v="18.047222222222224"/>
    <n v="12.565800361776912"/>
    <n v="10.828333333333333"/>
    <n v="0.73412429378531074"/>
    <n v="1.6666666666666667"/>
    <n v="14.75"/>
    <d v="1899-12-30T00:36:00"/>
    <n v="-7.8609566757268752"/>
    <n v="18.047222222222224"/>
    <n v="0"/>
    <n v="52.38611111111112"/>
  </r>
  <r>
    <x v="182"/>
    <x v="1"/>
    <x v="3"/>
    <n v="1"/>
    <n v="40"/>
    <x v="3"/>
    <x v="10"/>
    <x v="1"/>
    <x v="4"/>
    <x v="166"/>
    <n v="6.8"/>
    <n v="104.1"/>
    <n v="16"/>
    <n v="4"/>
    <s v="Order"/>
    <n v="167.59"/>
    <n v="144.37850105739565"/>
    <n v="24.64558823529412"/>
    <n v="21.232132508440539"/>
    <n v="10.474375"/>
    <n v="1.6098943323727186"/>
    <n v="2.3529411764705883"/>
    <n v="6.5062499999999996"/>
    <d v="1899-12-30T00:25:30"/>
    <n v="5.1772549019607865"/>
    <n v="24.06211505700087"/>
    <n v="0.58347317829325007"/>
    <n v="53.5718888888889"/>
  </r>
  <r>
    <x v="183"/>
    <x v="1"/>
    <x v="3"/>
    <n v="1"/>
    <n v="40"/>
    <x v="4"/>
    <x v="1"/>
    <x v="1"/>
    <x v="4"/>
    <x v="167"/>
    <n v="4.3999999999999995"/>
    <n v="138"/>
    <n v="13"/>
    <n v="3"/>
    <s v="Order"/>
    <n v="85.92"/>
    <n v="55.149713217296835"/>
    <n v="19.527272727272731"/>
    <n v="12.534025731203828"/>
    <n v="6.609230769230769"/>
    <n v="0.62260869565217392"/>
    <n v="2.954545454545455"/>
    <n v="10.615384615384615"/>
    <d v="1899-12-30T00:20:18"/>
    <n v="2.0192727272727318"/>
    <n v="21.837681604110177"/>
    <n v="-2.310408876837446"/>
    <n v="54.526555555555568"/>
  </r>
  <r>
    <x v="184"/>
    <x v="1"/>
    <x v="3"/>
    <n v="1"/>
    <n v="40"/>
    <x v="6"/>
    <x v="1"/>
    <x v="1"/>
    <x v="2"/>
    <x v="32"/>
    <n v="6.7"/>
    <n v="108.9"/>
    <n v="10"/>
    <n v="2"/>
    <s v="Order"/>
    <n v="101.93"/>
    <n v="77.648230212779893"/>
    <n v="15.213432835820896"/>
    <n v="11.589288091459686"/>
    <n v="10.193000000000001"/>
    <n v="0.93599632690541779"/>
    <n v="1.4925373134328357"/>
    <n v="10.89"/>
    <d v="1899-12-30T00:40:12"/>
    <s v=""/>
    <n v="15.797159782482936"/>
    <n v="-0.58372694666203984"/>
    <n v="54.427333333333344"/>
  </r>
  <r>
    <x v="185"/>
    <x v="1"/>
    <x v="3"/>
    <n v="1"/>
    <n v="40"/>
    <x v="0"/>
    <x v="2"/>
    <x v="0"/>
    <x v="2"/>
    <x v="168"/>
    <n v="5.8"/>
    <n v="36.5"/>
    <n v="7"/>
    <n v="2"/>
    <s v="Order"/>
    <n v="85.460000000000008"/>
    <n v="77.321482119067653"/>
    <n v="14.734482758620691"/>
    <n v="13.331290020528906"/>
    <n v="12.20857142857143"/>
    <n v="2.341369863013699"/>
    <n v="1.2068965517241379"/>
    <n v="5.2142857142857144"/>
    <d v="1899-12-30T00:49:43"/>
    <n v="-14.919363395225455"/>
    <n v="23.899665803545115"/>
    <n v="-9.165183044924424"/>
    <n v="53.290333333333344"/>
  </r>
  <r>
    <x v="186"/>
    <x v="1"/>
    <x v="3"/>
    <n v="1"/>
    <n v="40"/>
    <x v="2"/>
    <x v="9"/>
    <x v="0"/>
    <x v="2"/>
    <x v="169"/>
    <n v="5.2"/>
    <n v="59.7"/>
    <n v="4"/>
    <n v="2"/>
    <s v="Order"/>
    <n v="45.83"/>
    <n v="32.518506370091451"/>
    <n v="8.8134615384615387"/>
    <n v="6.2535589173252788"/>
    <n v="11.4575"/>
    <n v="0.76767169179229477"/>
    <n v="0.76923076923076916"/>
    <n v="14.925000000000001"/>
    <d v="1899-12-30T01:18:00"/>
    <n v="-13.293945868945869"/>
    <n v="22.944492803640362"/>
    <n v="-14.131031265178823"/>
    <n v="53.799555555555564"/>
  </r>
  <r>
    <x v="187"/>
    <x v="1"/>
    <x v="3"/>
    <n v="2"/>
    <n v="41"/>
    <x v="3"/>
    <x v="1"/>
    <x v="2"/>
    <x v="2"/>
    <x v="120"/>
    <n v="2.2999999999999998"/>
    <n v="87.3"/>
    <n v="12"/>
    <n v="3"/>
    <s v="Order"/>
    <n v="82.9"/>
    <n v="63.434449013550832"/>
    <n v="36.04347826086957"/>
    <n v="27.580195223282974"/>
    <n v="6.9083333333333341"/>
    <n v="0.94959908361970224"/>
    <n v="5.2173913043478262"/>
    <n v="7.2749999999999995"/>
    <d v="1899-12-30T00:11:30"/>
    <n v="12.982253771073655"/>
    <n v="25.660106415887583"/>
    <n v="10.383371844981987"/>
    <n v="54.049222222222234"/>
  </r>
  <r>
    <x v="188"/>
    <x v="1"/>
    <x v="3"/>
    <n v="2"/>
    <n v="41"/>
    <x v="5"/>
    <x v="2"/>
    <x v="1"/>
    <x v="4"/>
    <x v="63"/>
    <n v="7.6"/>
    <n v="143.19999999999999"/>
    <n v="13"/>
    <n v="2"/>
    <s v="Order"/>
    <n v="132.1"/>
    <n v="100.17025313562975"/>
    <n v="17.381578947368421"/>
    <n v="13.180296465214441"/>
    <n v="10.161538461538461"/>
    <n v="0.92248603351955316"/>
    <n v="1.7105263157894737"/>
    <n v="11.015384615384615"/>
    <d v="1899-12-30T00:35:05"/>
    <n v="9.5874613003095988"/>
    <n v="17.381578947368421"/>
    <n v="0"/>
    <n v="53.754444444444459"/>
  </r>
  <r>
    <x v="189"/>
    <x v="1"/>
    <x v="3"/>
    <n v="2"/>
    <n v="41"/>
    <x v="6"/>
    <x v="1"/>
    <x v="0"/>
    <x v="4"/>
    <x v="170"/>
    <n v="6.2"/>
    <n v="125.4"/>
    <n v="14"/>
    <n v="3"/>
    <s v="Order"/>
    <n v="177.31"/>
    <n v="149.34917418441322"/>
    <n v="28.598387096774193"/>
    <n v="24.08857648135697"/>
    <n v="12.665000000000001"/>
    <n v="1.4139553429027112"/>
    <n v="2.258064516129032"/>
    <n v="8.9571428571428573"/>
    <d v="1899-12-30T00:26:34"/>
    <n v="1.75"/>
    <n v="25.855566097406705"/>
    <n v="2.7428209993674884"/>
    <n v="54.107111111111116"/>
  </r>
  <r>
    <x v="190"/>
    <x v="1"/>
    <x v="3"/>
    <n v="2"/>
    <n v="41"/>
    <x v="0"/>
    <x v="5"/>
    <x v="0"/>
    <x v="2"/>
    <x v="171"/>
    <n v="7.6"/>
    <n v="170.7"/>
    <n v="22"/>
    <n v="3"/>
    <s v="Order"/>
    <n v="208.98999999999998"/>
    <n v="170.92849308835193"/>
    <n v="27.498684210526314"/>
    <n v="22.49059119583578"/>
    <n v="9.4995454545454532"/>
    <n v="1.2243116578793205"/>
    <n v="2.8947368421052633"/>
    <n v="7.7590909090909088"/>
    <d v="1899-12-30T00:20:44"/>
    <n v="5.3045197542928939"/>
    <n v="28.332958593802513"/>
    <n v="-0.83427438327619896"/>
    <n v="56.429222222222222"/>
  </r>
  <r>
    <x v="191"/>
    <x v="1"/>
    <x v="3"/>
    <n v="2"/>
    <n v="41"/>
    <x v="1"/>
    <x v="12"/>
    <x v="2"/>
    <x v="4"/>
    <x v="171"/>
    <n v="5.9"/>
    <n v="167.9"/>
    <n v="21"/>
    <n v="5"/>
    <s v="Order"/>
    <n v="206.45999999999998"/>
    <n v="169.02281774771112"/>
    <n v="34.993220338983043"/>
    <n v="28.647935211476458"/>
    <n v="9.831428571428571"/>
    <n v="1.2296605122096484"/>
    <n v="3.5593220338983049"/>
    <n v="7.9952380952380953"/>
    <d v="1899-12-30T00:16:51"/>
    <s v=""/>
    <n v="32.706034253261159"/>
    <n v="2.2871860857218849"/>
    <n v="58.723222222222226"/>
  </r>
  <r>
    <x v="192"/>
    <x v="1"/>
    <x v="3"/>
    <n v="3"/>
    <n v="42"/>
    <x v="4"/>
    <x v="11"/>
    <x v="2"/>
    <x v="4"/>
    <x v="170"/>
    <n v="10.099999999999998"/>
    <n v="70.3"/>
    <n v="10"/>
    <n v="2"/>
    <s v="Order"/>
    <n v="73.02"/>
    <n v="57.344991588231643"/>
    <n v="7.2297029702970308"/>
    <n v="5.6777219394288769"/>
    <n v="7.3019999999999996"/>
    <n v="1.0386913229018493"/>
    <n v="0.99009900990099031"/>
    <n v="7.0299999999999994"/>
    <d v="1899-12-30T01:00:36"/>
    <n v="-21.211206120612058"/>
    <n v="15.221578115729622"/>
    <n v="-7.9918751454325916"/>
    <n v="56.737111111111126"/>
  </r>
  <r>
    <x v="193"/>
    <x v="1"/>
    <x v="3"/>
    <n v="3"/>
    <n v="42"/>
    <x v="5"/>
    <x v="2"/>
    <x v="0"/>
    <x v="4"/>
    <x v="120"/>
    <n v="9.6000000000000014"/>
    <n v="72.400000000000006"/>
    <n v="9"/>
    <n v="4"/>
    <s v="Order"/>
    <n v="90.95"/>
    <n v="74.806748093712258"/>
    <n v="9.4739583333333321"/>
    <n v="7.7923695930950254"/>
    <n v="10.105555555555556"/>
    <n v="1.2562154696132597"/>
    <n v="0.93749999999999989"/>
    <n v="8.0444444444444443"/>
    <d v="1899-12-30T01:04:00"/>
    <n v="-13.254613095238096"/>
    <n v="13.571307524875621"/>
    <n v="-4.097349191542289"/>
    <n v="57.747666666666674"/>
  </r>
  <r>
    <x v="194"/>
    <x v="1"/>
    <x v="3"/>
    <n v="3"/>
    <n v="42"/>
    <x v="0"/>
    <x v="2"/>
    <x v="0"/>
    <x v="4"/>
    <x v="172"/>
    <n v="6.18"/>
    <n v="140.39999999999998"/>
    <n v="12"/>
    <n v="4"/>
    <s v="Order"/>
    <n v="177.53"/>
    <n v="146.22457779498896"/>
    <n v="28.726537216828479"/>
    <n v="23.660934918283004"/>
    <n v="14.794166666666667"/>
    <n v="1.2644586894586898"/>
    <n v="1.941747572815534"/>
    <n v="11.699999999999998"/>
    <d v="1899-12-30T00:30:54"/>
    <n v="4.7641995091640936"/>
    <n v="24.71711727802343"/>
    <n v="4.0094199388050491"/>
    <n v="57.163666666666671"/>
  </r>
  <r>
    <x v="195"/>
    <x v="1"/>
    <x v="3"/>
    <n v="6"/>
    <n v="45"/>
    <x v="0"/>
    <x v="1"/>
    <x v="0"/>
    <x v="2"/>
    <x v="40"/>
    <n v="5.5"/>
    <n v="144"/>
    <n v="9"/>
    <n v="4"/>
    <s v="Order"/>
    <n v="95.210000000000008"/>
    <n v="63.101874661527134"/>
    <n v="17.310909090909092"/>
    <n v="11.473068120277661"/>
    <n v="10.578888888888891"/>
    <n v="0.66118055555555566"/>
    <n v="1.6363636363636365"/>
    <n v="16"/>
    <d v="1899-12-30T00:36:40"/>
    <n v="-7.8424784940463148"/>
    <n v="21.69064414780944"/>
    <n v="-4.3797350569003477"/>
    <n v="55.434000000000005"/>
  </r>
  <r>
    <x v="196"/>
    <x v="1"/>
    <x v="3"/>
    <n v="7"/>
    <n v="46"/>
    <x v="3"/>
    <x v="10"/>
    <x v="1"/>
    <x v="2"/>
    <x v="173"/>
    <n v="6.1999999999999993"/>
    <n v="112.1"/>
    <n v="11"/>
    <n v="3"/>
    <s v="Order"/>
    <n v="129.17000000000002"/>
    <n v="104.1747163163694"/>
    <n v="20.833870967741941"/>
    <n v="16.80237359941442"/>
    <n v="11.742727272727274"/>
    <n v="1.1522747546833187"/>
    <n v="1.774193548387097"/>
    <n v="10.19090909090909"/>
    <d v="1899-12-30T00:33:49"/>
    <n v="-1.2230898165717861"/>
    <n v="23.916574509696126"/>
    <n v="-3.0827035419541851"/>
    <n v="54.967555555555556"/>
  </r>
  <r>
    <x v="197"/>
    <x v="1"/>
    <x v="3"/>
    <n v="7"/>
    <n v="46"/>
    <x v="5"/>
    <x v="2"/>
    <x v="2"/>
    <x v="2"/>
    <x v="174"/>
    <n v="6.2"/>
    <n v="26.1"/>
    <n v="5"/>
    <n v="2"/>
    <s v="Order"/>
    <n v="45.09"/>
    <n v="39.270402282401797"/>
    <n v="7.2725806451612911"/>
    <n v="6.3339358520002893"/>
    <n v="9.0180000000000007"/>
    <n v="1.7275862068965517"/>
    <n v="0.80645161290322576"/>
    <n v="5.2200000000000006"/>
    <d v="1899-12-30T01:14:24"/>
    <s v=""/>
    <n v="14.047487233777559"/>
    <n v="-6.7749065886162683"/>
    <n v="54.357444444444432"/>
  </r>
  <r>
    <x v="198"/>
    <x v="1"/>
    <x v="3"/>
    <n v="7"/>
    <n v="46"/>
    <x v="6"/>
    <x v="1"/>
    <x v="1"/>
    <x v="4"/>
    <x v="175"/>
    <n v="5.5"/>
    <n v="112.9"/>
    <n v="9"/>
    <n v="2"/>
    <s v="Order"/>
    <n v="81.86"/>
    <n v="56.686337842266752"/>
    <n v="14.883636363636363"/>
    <n v="10.306606880412136"/>
    <n v="9.0955555555555563"/>
    <n v="0.72506643046944197"/>
    <n v="1.6363636363636365"/>
    <n v="12.544444444444444"/>
    <d v="1899-12-30T00:36:40"/>
    <n v="-0.32979647218453323"/>
    <n v="19.260211523840557"/>
    <n v="-4.3765751602041938"/>
    <n v="55.266999999999989"/>
  </r>
  <r>
    <x v="199"/>
    <x v="1"/>
    <x v="3"/>
    <n v="7"/>
    <n v="46"/>
    <x v="0"/>
    <x v="1"/>
    <x v="0"/>
    <x v="4"/>
    <x v="176"/>
    <n v="6.43"/>
    <n v="122.30000000000001"/>
    <n v="11"/>
    <n v="4"/>
    <s v="Order"/>
    <n v="138.39000000000001"/>
    <n v="111.12039077156089"/>
    <n v="21.522550544323487"/>
    <n v="17.281553774737308"/>
    <n v="12.580909090909092"/>
    <n v="1.1315617334423549"/>
    <n v="1.7107309486780715"/>
    <n v="11.118181818181819"/>
    <d v="1899-12-30T00:35:04"/>
    <n v="-2.062341341822659"/>
    <n v="22.483122528976669"/>
    <n v="-0.96057198465318194"/>
    <n v="56.804666666666655"/>
  </r>
  <r>
    <x v="200"/>
    <x v="1"/>
    <x v="3"/>
    <n v="8"/>
    <n v="47"/>
    <x v="6"/>
    <x v="10"/>
    <x v="0"/>
    <x v="2"/>
    <x v="177"/>
    <n v="5.2"/>
    <n v="88.600000000000009"/>
    <n v="9"/>
    <n v="4"/>
    <s v="Order"/>
    <n v="112.02999999999999"/>
    <n v="92.27458399313403"/>
    <n v="21.544230769230765"/>
    <n v="17.745112306371929"/>
    <n v="12.447777777777777"/>
    <n v="1.2644469525959365"/>
    <n v="1.7307692307692306"/>
    <n v="9.844444444444445"/>
    <d v="1899-12-30T00:34:40"/>
    <n v="-6.1791563275434278"/>
    <n v="15.912805605247465"/>
    <n v="5.6314251639833"/>
    <n v="54.703111111111106"/>
  </r>
  <r>
    <x v="201"/>
    <x v="1"/>
    <x v="3"/>
    <n v="8"/>
    <n v="47"/>
    <x v="0"/>
    <x v="1"/>
    <x v="0"/>
    <x v="2"/>
    <x v="178"/>
    <n v="8.32"/>
    <n v="212"/>
    <n v="15"/>
    <n v="4"/>
    <s v="Order"/>
    <n v="214.98"/>
    <n v="167.70970436280382"/>
    <n v="25.838942307692307"/>
    <n v="20.157416389760073"/>
    <n v="14.331999999999999"/>
    <n v="1.0140566037735848"/>
    <n v="1.8028846153846154"/>
    <n v="14.133333333333333"/>
    <d v="1899-12-30T00:33:17"/>
    <n v="2.597773978516603"/>
    <n v="22.73915602398818"/>
    <n v="3.0997862837041268"/>
    <n v="55.677666666666653"/>
  </r>
  <r>
    <x v="202"/>
    <x v="1"/>
    <x v="3"/>
    <n v="9"/>
    <n v="48"/>
    <x v="3"/>
    <x v="2"/>
    <x v="1"/>
    <x v="2"/>
    <x v="179"/>
    <n v="7.6"/>
    <n v="136.9"/>
    <n v="10"/>
    <n v="2"/>
    <s v="Order"/>
    <n v="140.76999999999998"/>
    <n v="110.24498361918792"/>
    <n v="18.522368421052629"/>
    <n v="14.505918897261569"/>
    <n v="14.076999999999998"/>
    <n v="1.0282688093498902"/>
    <n v="1.3157894736842106"/>
    <n v="13.690000000000001"/>
    <d v="1899-12-30T00:45:36"/>
    <n v="-3.1268957577371665"/>
    <n v="22.7536390170972"/>
    <n v="-4.2312705960445705"/>
    <n v="56.122666666666653"/>
  </r>
  <r>
    <x v="203"/>
    <x v="1"/>
    <x v="3"/>
    <n v="9"/>
    <n v="48"/>
    <x v="5"/>
    <x v="1"/>
    <x v="0"/>
    <x v="2"/>
    <x v="180"/>
    <n v="5.2"/>
    <n v="109.2"/>
    <n v="11"/>
    <n v="3"/>
    <s v="Order"/>
    <n v="120.16"/>
    <n v="95.811338284991407"/>
    <n v="23.107692307692307"/>
    <n v="18.425257362498346"/>
    <n v="10.923636363636364"/>
    <n v="1.1003663003663002"/>
    <n v="2.1153846153846154"/>
    <n v="9.9272727272727277"/>
    <d v="1899-12-30T00:28:22"/>
    <n v="7.0064274267399291"/>
    <n v="21.611061995023647"/>
    <n v="1.4966303126686604"/>
    <n v="57.457777777777764"/>
  </r>
  <r>
    <x v="204"/>
    <x v="1"/>
    <x v="3"/>
    <n v="9"/>
    <n v="48"/>
    <x v="0"/>
    <x v="9"/>
    <x v="0"/>
    <x v="1"/>
    <x v="110"/>
    <n v="5.8999999999999995"/>
    <n v="78.900000000000006"/>
    <n v="9"/>
    <n v="3"/>
    <s v="Order"/>
    <n v="96.42"/>
    <n v="78.82742299162841"/>
    <n v="16.342372881355935"/>
    <n v="13.360580168072612"/>
    <n v="10.713333333333333"/>
    <n v="1.2220532319391635"/>
    <n v="1.5254237288135595"/>
    <n v="8.7666666666666675"/>
    <d v="1899-12-30T00:39:20"/>
    <n v="-7.2699060161792808"/>
    <n v="22.823939422141361"/>
    <n v="-6.4815665407854262"/>
    <n v="57.17244444444443"/>
  </r>
  <r>
    <x v="205"/>
    <x v="1"/>
    <x v="3"/>
    <n v="9"/>
    <n v="48"/>
    <x v="1"/>
    <x v="15"/>
    <x v="3"/>
    <x v="4"/>
    <x v="181"/>
    <n v="5.1999999999999993"/>
    <n v="182.7"/>
    <n v="12"/>
    <n v="4"/>
    <s v="Order"/>
    <n v="108.07"/>
    <n v="67.33281597681254"/>
    <n v="20.782692307692308"/>
    <n v="12.948618457079336"/>
    <n v="9.0058333333333334"/>
    <n v="0.59151614668856045"/>
    <n v="2.3076923076923079"/>
    <n v="15.225"/>
    <d v="1899-12-30T00:26:00"/>
    <s v=""/>
    <n v="20.137597751187688"/>
    <n v="0.64509455650462044"/>
    <n v="58.373222222222203"/>
  </r>
  <r>
    <x v="206"/>
    <x v="1"/>
    <x v="3"/>
    <n v="9"/>
    <n v="48"/>
    <x v="2"/>
    <x v="2"/>
    <x v="0"/>
    <x v="4"/>
    <x v="182"/>
    <n v="4.5999999999999996"/>
    <n v="123.19999999999999"/>
    <n v="11"/>
    <n v="4"/>
    <s v="Hourly"/>
    <n v="99.02"/>
    <n v="71.549714988195433"/>
    <n v="21.526086956521741"/>
    <n v="15.554285866999008"/>
    <n v="9.0018181818181819"/>
    <n v="0.80373376623376624"/>
    <n v="2.3913043478260874"/>
    <n v="11.2"/>
    <d v="1899-12-30T00:25:05"/>
    <n v="3.8499948387629566"/>
    <n v="26.176807989040306"/>
    <n v="-4.6507210325185646"/>
    <n v="58.586888888888865"/>
  </r>
  <r>
    <x v="207"/>
    <x v="1"/>
    <x v="3"/>
    <n v="10"/>
    <n v="49"/>
    <x v="3"/>
    <x v="2"/>
    <x v="1"/>
    <x v="2"/>
    <x v="183"/>
    <n v="8.2000000000000011"/>
    <n v="64.400000000000006"/>
    <n v="5"/>
    <n v="1"/>
    <s v="Order"/>
    <n v="46.61"/>
    <n v="32.250532834738522"/>
    <n v="5.6841463414634141"/>
    <n v="3.9329918091144536"/>
    <n v="9.3219999999999992"/>
    <n v="0.72375776397515523"/>
    <n v="0.60975609756097549"/>
    <n v="12.88"/>
    <d v="1899-12-30T01:38:24"/>
    <n v="-15.183393897892092"/>
    <n v="21.442841149708883"/>
    <n v="-15.758694808245469"/>
    <n v="57.790555555555542"/>
  </r>
  <r>
    <x v="208"/>
    <x v="1"/>
    <x v="3"/>
    <n v="10"/>
    <n v="49"/>
    <x v="6"/>
    <x v="2"/>
    <x v="0"/>
    <x v="2"/>
    <x v="184"/>
    <n v="5.3000000000000007"/>
    <n v="103.7"/>
    <n v="6"/>
    <n v="3"/>
    <s v="Order"/>
    <n v="73.87"/>
    <n v="50.747690294446969"/>
    <n v="13.937735849056603"/>
    <n v="9.5750359046126334"/>
    <n v="12.311666666666667"/>
    <n v="0.71234329797492768"/>
    <n v="1.132075471698113"/>
    <n v="17.283333333333335"/>
    <d v="1899-12-30T00:53:00"/>
    <n v="-11.725932471869784"/>
    <n v="15.442748521543226"/>
    <n v="-1.5050126724866235"/>
    <n v="54.833333333333336"/>
  </r>
  <r>
    <x v="209"/>
    <x v="1"/>
    <x v="3"/>
    <n v="10"/>
    <n v="49"/>
    <x v="1"/>
    <x v="7"/>
    <x v="2"/>
    <x v="1"/>
    <x v="185"/>
    <n v="9.08"/>
    <n v="112"/>
    <n v="21"/>
    <n v="6"/>
    <s v="Order"/>
    <n v="169.07999999999998"/>
    <n v="144.10701362563219"/>
    <n v="18.621145374449338"/>
    <n v="15.870816478593854"/>
    <n v="8.0514285714285698"/>
    <n v="1.5096428571428571"/>
    <n v="2.3127753303964758"/>
    <n v="5.333333333333333"/>
    <d v="1899-12-30T00:25:57"/>
    <n v="-16.372074964533706"/>
    <n v="20.464828006373605"/>
    <n v="-1.843682631924267"/>
    <n v="54.645444444444436"/>
  </r>
  <r>
    <x v="210"/>
    <x v="1"/>
    <x v="3"/>
    <n v="11"/>
    <n v="50"/>
    <x v="3"/>
    <x v="10"/>
    <x v="1"/>
    <x v="4"/>
    <x v="186"/>
    <n v="9.1"/>
    <n v="97.8"/>
    <n v="9"/>
    <n v="2"/>
    <s v="Order"/>
    <n v="71.63"/>
    <n v="49.823231540953842"/>
    <n v="7.871428571428571"/>
    <n v="5.4750803891158073"/>
    <n v="7.9588888888888887"/>
    <n v="0.73241308793456028"/>
    <n v="0.98901098901098905"/>
    <n v="10.866666666666667"/>
    <d v="1899-12-30T01:00:40"/>
    <n v="-9.9594328883485197"/>
    <n v="22.79137036513114"/>
    <n v="-14.91994179370257"/>
    <n v="52.284555555555549"/>
  </r>
  <r>
    <x v="211"/>
    <x v="1"/>
    <x v="3"/>
    <n v="11"/>
    <n v="50"/>
    <x v="5"/>
    <x v="21"/>
    <x v="0"/>
    <x v="4"/>
    <x v="187"/>
    <n v="4.5"/>
    <n v="150.39999999999998"/>
    <n v="14"/>
    <n v="3"/>
    <s v="Hourly"/>
    <n v="165.23000000000002"/>
    <n v="131.69484686870612"/>
    <n v="36.717777777777783"/>
    <n v="29.265521526379139"/>
    <n v="11.802142857142858"/>
    <n v="1.0986037234042556"/>
    <n v="3.1111111111111112"/>
    <n v="10.742857142857142"/>
    <d v="1899-12-30T00:19:17"/>
    <n v="18.281037087912097"/>
    <n v="28.248499278499281"/>
    <n v="8.4692784992785022"/>
    <n v="52.635999999999996"/>
  </r>
  <r>
    <x v="212"/>
    <x v="1"/>
    <x v="3"/>
    <n v="11"/>
    <n v="50"/>
    <x v="6"/>
    <x v="2"/>
    <x v="0"/>
    <x v="2"/>
    <x v="188"/>
    <n v="7.2"/>
    <n v="120.1"/>
    <n v="9"/>
    <n v="3"/>
    <s v="Hourly"/>
    <n v="96.51"/>
    <n v="69.730931575343121"/>
    <n v="13.404166666666667"/>
    <n v="9.6848516076865447"/>
    <n v="10.723333333333334"/>
    <n v="0.80358034970857628"/>
    <n v="1.25"/>
    <n v="13.344444444444443"/>
    <d v="1899-12-30T00:48:00"/>
    <n v="-9.3280185362922747"/>
    <n v="20.118243620248233"/>
    <n v="-6.7140769535815661"/>
    <n v="52.479555555555557"/>
  </r>
  <r>
    <x v="213"/>
    <x v="1"/>
    <x v="3"/>
    <n v="11"/>
    <n v="50"/>
    <x v="0"/>
    <x v="2"/>
    <x v="0"/>
    <x v="1"/>
    <x v="7"/>
    <n v="4.5"/>
    <n v="96"/>
    <n v="12"/>
    <n v="2"/>
    <s v="Order"/>
    <n v="142.44999999999999"/>
    <n v="121.04458310768474"/>
    <n v="31.655555555555551"/>
    <n v="26.898796246152166"/>
    <n v="11.870833333333332"/>
    <n v="1.4838541666666665"/>
    <n v="2.6666666666666665"/>
    <n v="8"/>
    <d v="1899-12-30T00:22:30"/>
    <n v="8.9520149100427453"/>
    <n v="21.738060193229416"/>
    <n v="9.9174953623261359"/>
    <n v="52.814555555555557"/>
  </r>
  <r>
    <x v="214"/>
    <x v="1"/>
    <x v="3"/>
    <n v="11"/>
    <n v="50"/>
    <x v="2"/>
    <x v="9"/>
    <x v="3"/>
    <x v="3"/>
    <x v="189"/>
    <n v="3.1"/>
    <n v="92.1"/>
    <n v="5"/>
    <n v="1"/>
    <s v="Order"/>
    <n v="51.13"/>
    <n v="30.594178168935063"/>
    <n v="16.493548387096773"/>
    <n v="9.8690897319145368"/>
    <n v="10.226000000000001"/>
    <n v="0.55515743756786107"/>
    <n v="1.6129032258064515"/>
    <n v="18.419999999999998"/>
    <d v="1899-12-30T00:37:12"/>
    <s v=""/>
    <n v="17.838993213721295"/>
    <n v="-1.3454448266245222"/>
    <n v="50.538444444444458"/>
  </r>
  <r>
    <x v="215"/>
    <x v="1"/>
    <x v="3"/>
    <n v="12"/>
    <n v="51"/>
    <x v="3"/>
    <x v="10"/>
    <x v="2"/>
    <x v="3"/>
    <x v="190"/>
    <n v="4.8499999999999996"/>
    <n v="82.7"/>
    <n v="12"/>
    <n v="3"/>
    <s v="Order"/>
    <n v="84.9"/>
    <n v="66.460125239640931"/>
    <n v="17.505154639175259"/>
    <n v="13.703118606111532"/>
    <n v="7.0750000000000002"/>
    <n v="1.026602176541717"/>
    <n v="2.4742268041237114"/>
    <n v="6.8916666666666666"/>
    <d v="1899-12-30T00:24:15"/>
    <n v="-12.047196736157481"/>
    <n v="22.834112091769882"/>
    <n v="-5.3289574525946222"/>
    <n v="51.481777777777786"/>
  </r>
  <r>
    <x v="216"/>
    <x v="1"/>
    <x v="3"/>
    <n v="12"/>
    <n v="51"/>
    <x v="4"/>
    <x v="2"/>
    <x v="0"/>
    <x v="3"/>
    <x v="85"/>
    <n v="3.45"/>
    <n v="76.7"/>
    <n v="7"/>
    <n v="3"/>
    <s v="Hourly"/>
    <n v="85.05"/>
    <n v="67.947963795410629"/>
    <n v="24.652173913043477"/>
    <n v="19.69506196968424"/>
    <n v="12.15"/>
    <n v="1.1088657105606257"/>
    <n v="2.0289855072463765"/>
    <n v="10.957142857142857"/>
    <d v="1899-12-30T00:29:34"/>
    <n v="-4.4149829497016242"/>
    <n v="20.226870246338972"/>
    <n v="4.4253036667045045"/>
    <n v="52.426777777777787"/>
  </r>
  <r>
    <x v="217"/>
    <x v="1"/>
    <x v="3"/>
    <n v="12"/>
    <n v="51"/>
    <x v="5"/>
    <x v="2"/>
    <x v="0"/>
    <x v="3"/>
    <x v="191"/>
    <n v="5.55"/>
    <n v="114.50000000000001"/>
    <n v="12"/>
    <n v="2"/>
    <s v="Hourly"/>
    <n v="104.11"/>
    <n v="78.579580894061493"/>
    <n v="18.758558558558558"/>
    <n v="14.158483043975044"/>
    <n v="8.6758333333333333"/>
    <n v="0.90925764192139724"/>
    <n v="2.1621621621621623"/>
    <n v="9.5416666666666679"/>
    <d v="1899-12-30T00:27:45"/>
    <n v="-4.2484414032851525"/>
    <n v="20.743564993564995"/>
    <n v="-1.9850064350064365"/>
    <n v="51.710000000000008"/>
  </r>
  <r>
    <x v="218"/>
    <x v="1"/>
    <x v="3"/>
    <n v="12"/>
    <n v="51"/>
    <x v="6"/>
    <x v="7"/>
    <x v="3"/>
    <x v="6"/>
    <x v="5"/>
    <n v="8.85"/>
    <n v="196.3"/>
    <n v="16"/>
    <n v="2"/>
    <s v="Order"/>
    <n v="164.79"/>
    <n v="121.02038191706788"/>
    <n v="18.620338983050846"/>
    <n v="13.674619425657388"/>
    <n v="10.299375"/>
    <n v="0.83948038716250628"/>
    <n v="1.807909604519774"/>
    <n v="12.268750000000001"/>
    <d v="1899-12-30T00:33:11"/>
    <s v=""/>
    <n v="22.64296949152542"/>
    <n v="-4.0226305084745739"/>
    <n v="52.810111111111112"/>
  </r>
  <r>
    <x v="219"/>
    <x v="1"/>
    <x v="3"/>
    <n v="12"/>
    <n v="51"/>
    <x v="0"/>
    <x v="2"/>
    <x v="0"/>
    <x v="6"/>
    <x v="192"/>
    <n v="6.85"/>
    <n v="113.30000000000001"/>
    <n v="10"/>
    <n v="3"/>
    <s v="Hourly"/>
    <n v="135.93"/>
    <n v="110.66714860521544"/>
    <n v="19.843795620437959"/>
    <n v="16.155788117549701"/>
    <n v="13.593"/>
    <n v="1.1997352162400705"/>
    <n v="1.4598540145985401"/>
    <n v="11.330000000000002"/>
    <d v="1899-12-30T00:41:06"/>
    <n v="-3.8544133484129297"/>
    <n v="18.190631660348178"/>
    <n v="1.6531639600897812"/>
    <n v="54.320444444444448"/>
  </r>
  <r>
    <x v="220"/>
    <x v="1"/>
    <x v="3"/>
    <n v="12"/>
    <n v="51"/>
    <x v="1"/>
    <x v="9"/>
    <x v="2"/>
    <x v="0"/>
    <x v="85"/>
    <n v="0.73"/>
    <n v="15.5"/>
    <n v="1"/>
    <n v="1"/>
    <s v="Order"/>
    <n v="13.01"/>
    <n v="9.5539170642616007"/>
    <n v="17.82191780821918"/>
    <n v="13.087557622276165"/>
    <n v="13.01"/>
    <n v="0.83935483870967742"/>
    <n v="1.3698630136986301"/>
    <n v="15.5"/>
    <d v="1899-12-30T00:43:48"/>
    <n v="-8.9852650484970091"/>
    <n v="19.249617051074445"/>
    <n v="-1.4276992428552653"/>
    <n v="52.666888888888906"/>
  </r>
  <r>
    <x v="221"/>
    <x v="1"/>
    <x v="3"/>
    <n v="12"/>
    <n v="51"/>
    <x v="2"/>
    <x v="11"/>
    <x v="1"/>
    <x v="1"/>
    <x v="193"/>
    <n v="9.68"/>
    <n v="223"/>
    <n v="17"/>
    <n v="5"/>
    <s v="Hourly"/>
    <n v="148.13999999999999"/>
    <n v="98.417000343892695"/>
    <n v="15.303719008264462"/>
    <n v="10.16704549007156"/>
    <n v="8.7141176470588224"/>
    <n v="0.6643049327354259"/>
    <n v="1.7561983471074381"/>
    <n v="13.117647058823529"/>
    <d v="1899-12-30T00:34:10"/>
    <s v=""/>
    <n v="21.325506973591217"/>
    <n v="-6.0217879653267552"/>
    <n v="53.440444444444459"/>
  </r>
  <r>
    <x v="222"/>
    <x v="0"/>
    <x v="3"/>
    <n v="13"/>
    <n v="52"/>
    <x v="3"/>
    <x v="7"/>
    <x v="2"/>
    <x v="1"/>
    <x v="194"/>
    <n v="0.8"/>
    <n v="16"/>
    <n v="1"/>
    <n v="1"/>
    <s v="Order"/>
    <n v="16"/>
    <n v="12.432430517947459"/>
    <n v="20"/>
    <n v="15.540538147434324"/>
    <n v="16"/>
    <n v="1"/>
    <n v="1.25"/>
    <n v="16"/>
    <d v="1899-12-30T00:48:00"/>
    <n v="-5.5366191299469136"/>
    <n v="20.087356321839081"/>
    <n v="-8.7356321839081374E-2"/>
    <n v="53.227222222222238"/>
  </r>
  <r>
    <x v="223"/>
    <x v="0"/>
    <x v="3"/>
    <n v="13"/>
    <n v="52"/>
    <x v="4"/>
    <x v="22"/>
    <x v="0"/>
    <x v="1"/>
    <x v="85"/>
    <n v="8.6199999999999992"/>
    <n v="177"/>
    <n v="18"/>
    <n v="5"/>
    <s v="Order"/>
    <n v="140.16"/>
    <n v="100.69376260479376"/>
    <n v="16.259860788863111"/>
    <n v="11.68141097503408"/>
    <n v="7.7866666666666662"/>
    <n v="0.79186440677966097"/>
    <n v="2.0881670533642693"/>
    <n v="9.8333333333333339"/>
    <d v="1899-12-30T00:28:44"/>
    <n v="-11.335635090648118"/>
    <n v="16.259860788863111"/>
    <n v="0"/>
    <n v="54.275111111111123"/>
  </r>
  <r>
    <x v="224"/>
    <x v="1"/>
    <x v="0"/>
    <n v="1"/>
    <n v="1"/>
    <x v="4"/>
    <x v="2"/>
    <x v="3"/>
    <x v="0"/>
    <x v="195"/>
    <n v="3.93"/>
    <n v="72.400000000000006"/>
    <n v="9"/>
    <n v="3"/>
    <s v="Order"/>
    <n v="60.18"/>
    <n v="44.036748093712248"/>
    <n v="15.31297709923664"/>
    <n v="11.205279413158332"/>
    <n v="6.6866666666666665"/>
    <n v="0.83121546961325965"/>
    <n v="2.2900763358778624"/>
    <n v="8.0444444444444443"/>
    <d v="1899-12-30T00:26:12"/>
    <s v=""/>
    <n v="20.790892411846105"/>
    <n v="-5.4779153126094648"/>
    <n v="50.360333333333344"/>
  </r>
  <r>
    <x v="225"/>
    <x v="1"/>
    <x v="0"/>
    <n v="1"/>
    <n v="1"/>
    <x v="6"/>
    <x v="2"/>
    <x v="0"/>
    <x v="2"/>
    <x v="102"/>
    <n v="7.1"/>
    <n v="137.30000000000001"/>
    <n v="10"/>
    <n v="3"/>
    <s v="Order"/>
    <n v="106.49"/>
    <n v="75.875794382136618"/>
    <n v="14.998591549295774"/>
    <n v="10.686731603117835"/>
    <n v="10.648999999999999"/>
    <n v="0.77560087399854327"/>
    <n v="1.4084507042253522"/>
    <n v="13.73"/>
    <d v="1899-12-30T00:42:36"/>
    <n v="-8.1112266325224098"/>
    <n v="19.427183793387528"/>
    <n v="-4.4285922440917531"/>
    <n v="49.461444444444453"/>
  </r>
  <r>
    <x v="226"/>
    <x v="1"/>
    <x v="0"/>
    <n v="1"/>
    <n v="1"/>
    <x v="0"/>
    <x v="1"/>
    <x v="0"/>
    <x v="4"/>
    <x v="196"/>
    <n v="5.8"/>
    <n v="141"/>
    <n v="8"/>
    <n v="2"/>
    <s v="Order"/>
    <n v="112.86"/>
    <n v="81.420793939411979"/>
    <n v="19.458620689655174"/>
    <n v="14.038067920588272"/>
    <n v="14.1075"/>
    <n v="0.80042553191489363"/>
    <n v="1.3793103448275863"/>
    <n v="17.625"/>
    <d v="1899-12-30T00:43:30"/>
    <n v="0.857682738717223"/>
    <n v="19.988788031661809"/>
    <n v="-0.53016734200663507"/>
    <n v="50.715444444444451"/>
  </r>
  <r>
    <x v="227"/>
    <x v="2"/>
    <x v="0"/>
    <n v="1"/>
    <n v="1"/>
    <x v="2"/>
    <x v="3"/>
    <x v="0"/>
    <x v="1"/>
    <x v="187"/>
    <n v="8.32"/>
    <n v="135.5"/>
    <n v="15"/>
    <n v="4"/>
    <s v="Hourly"/>
    <n v="155.47"/>
    <n v="125.25714594886755"/>
    <n v="18.686298076923077"/>
    <n v="15.054945426546579"/>
    <n v="10.364666666666666"/>
    <n v="1.147380073800738"/>
    <n v="1.8028846153846154"/>
    <n v="9.0333333333333332"/>
    <d v="1899-12-30T00:33:17"/>
    <n v="-6.441722212931996"/>
    <n v="25.011850729934075"/>
    <n v="-6.3255526530109982"/>
    <n v="51.012555555555565"/>
  </r>
  <r>
    <x v="228"/>
    <x v="2"/>
    <x v="0"/>
    <n v="2"/>
    <n v="2"/>
    <x v="4"/>
    <x v="10"/>
    <x v="0"/>
    <x v="4"/>
    <x v="197"/>
    <n v="5.75"/>
    <n v="94"/>
    <n v="10"/>
    <n v="2"/>
    <s v="Order"/>
    <n v="90.85"/>
    <n v="69.890529292941324"/>
    <n v="15.799999999999999"/>
    <n v="12.154874659641969"/>
    <n v="9.0849999999999991"/>
    <n v="0.96648936170212763"/>
    <n v="1.7391304347826086"/>
    <n v="9.4"/>
    <d v="1899-12-30T00:34:30"/>
    <n v="-18.456225662584053"/>
    <n v="19.135593220338983"/>
    <n v="-3.3355932203389838"/>
    <n v="50.554222222222236"/>
  </r>
  <r>
    <x v="229"/>
    <x v="2"/>
    <x v="0"/>
    <n v="2"/>
    <n v="2"/>
    <x v="5"/>
    <x v="3"/>
    <x v="1"/>
    <x v="7"/>
    <x v="198"/>
    <n v="6.4"/>
    <n v="113"/>
    <n v="13"/>
    <n v="5"/>
    <s v="Hourly"/>
    <n v="124.46000000000001"/>
    <n v="99.264040533003936"/>
    <n v="19.446874999999999"/>
    <n v="15.510006333281865"/>
    <n v="9.573846153846155"/>
    <n v="1.1014159292035399"/>
    <n v="2.03125"/>
    <n v="8.6923076923076916"/>
    <d v="1899-12-30T00:29:32"/>
    <s v=""/>
    <n v="20.407605676328505"/>
    <n v="-0.96073067632850595"/>
    <n v="49.967000000000006"/>
  </r>
  <r>
    <x v="230"/>
    <x v="2"/>
    <x v="0"/>
    <n v="2"/>
    <n v="2"/>
    <x v="6"/>
    <x v="10"/>
    <x v="1"/>
    <x v="7"/>
    <x v="199"/>
    <n v="4.9800000000000004"/>
    <n v="113"/>
    <n v="10"/>
    <n v="3"/>
    <s v="Hourly"/>
    <n v="83.98"/>
    <n v="58.784040533003932"/>
    <n v="16.863453815261042"/>
    <n v="11.804024203414443"/>
    <n v="8.3979999999999997"/>
    <n v="0.74318584070796467"/>
    <n v="2.0080321285140559"/>
    <n v="11.3"/>
    <d v="1899-12-30T00:29:53"/>
    <s v=""/>
    <n v="17.499254197459155"/>
    <n v="-0.63580038219811286"/>
    <n v="48.577999999999996"/>
  </r>
  <r>
    <x v="231"/>
    <x v="2"/>
    <x v="0"/>
    <n v="2"/>
    <n v="2"/>
    <x v="2"/>
    <x v="1"/>
    <x v="3"/>
    <x v="1"/>
    <x v="200"/>
    <n v="5.57"/>
    <n v="114.4"/>
    <n v="9"/>
    <n v="2"/>
    <s v="Order"/>
    <n v="77.3"/>
    <n v="51.79187820332433"/>
    <n v="13.877917414721722"/>
    <n v="9.2983623345286048"/>
    <n v="8.5888888888888886"/>
    <n v="0.67569930069930062"/>
    <n v="1.6157989228007181"/>
    <n v="12.711111111111112"/>
    <d v="1899-12-30T00:37:08"/>
    <s v=""/>
    <n v="17.041251039326678"/>
    <n v="-3.1633336246049559"/>
    <n v="47.142888888888884"/>
  </r>
  <r>
    <x v="232"/>
    <x v="2"/>
    <x v="0"/>
    <n v="3"/>
    <n v="3"/>
    <x v="3"/>
    <x v="2"/>
    <x v="2"/>
    <x v="1"/>
    <x v="201"/>
    <n v="5.72"/>
    <n v="111"/>
    <n v="11"/>
    <n v="4"/>
    <s v="Order"/>
    <n v="104.72"/>
    <n v="79.969986718260486"/>
    <n v="18.307692307692307"/>
    <n v="13.9807669087868"/>
    <n v="9.52"/>
    <n v="0.94342342342342345"/>
    <n v="1.9230769230769231"/>
    <n v="10.090909090909092"/>
    <d v="1899-12-30T00:31:12"/>
    <s v=""/>
    <n v="20.098029868779264"/>
    <n v="-1.7903375610869574"/>
    <n v="47.495111111111115"/>
  </r>
  <r>
    <x v="233"/>
    <x v="2"/>
    <x v="0"/>
    <n v="3"/>
    <n v="3"/>
    <x v="4"/>
    <x v="1"/>
    <x v="3"/>
    <x v="2"/>
    <x v="202"/>
    <n v="5.5"/>
    <n v="128"/>
    <n v="9"/>
    <n v="4"/>
    <s v="Order"/>
    <n v="92.65"/>
    <n v="64.10944414357968"/>
    <n v="16.845454545454547"/>
    <n v="11.656262571559942"/>
    <n v="10.294444444444444"/>
    <n v="0.72382812500000004"/>
    <n v="1.6363636363636365"/>
    <n v="14.222222222222221"/>
    <d v="1899-12-30T00:36:40"/>
    <n v="1.5324774462179072"/>
    <n v="24.309841019700176"/>
    <n v="-7.4643864742456287"/>
    <n v="47.513999999999996"/>
  </r>
  <r>
    <x v="234"/>
    <x v="2"/>
    <x v="0"/>
    <n v="3"/>
    <n v="3"/>
    <x v="5"/>
    <x v="1"/>
    <x v="2"/>
    <x v="7"/>
    <x v="203"/>
    <n v="0.45"/>
    <n v="9"/>
    <n v="1"/>
    <n v="1"/>
    <s v="Order"/>
    <n v="7.5"/>
    <n v="5.4932421663454454"/>
    <n v="16.666666666666668"/>
    <n v="12.20720481410099"/>
    <n v="7.5"/>
    <n v="0.83333333333333337"/>
    <n v="2.2222222222222223"/>
    <n v="9"/>
    <d v="1899-12-30T00:27:00"/>
    <s v=""/>
    <n v="18.097907324364723"/>
    <n v="-1.431240657698055"/>
    <n v="47.597333333333324"/>
  </r>
  <r>
    <x v="235"/>
    <x v="2"/>
    <x v="0"/>
    <n v="3"/>
    <n v="3"/>
    <x v="6"/>
    <x v="2"/>
    <x v="3"/>
    <x v="4"/>
    <x v="204"/>
    <n v="6.23"/>
    <n v="122"/>
    <n v="8"/>
    <n v="3"/>
    <s v="Order"/>
    <n v="79.02000000000001"/>
    <n v="51.817282699349384"/>
    <n v="12.68378812199037"/>
    <n v="8.3173808506178784"/>
    <n v="9.8775000000000013"/>
    <n v="0.64770491803278696"/>
    <n v="1.2841091492776886"/>
    <n v="15.25"/>
    <d v="1899-12-30T00:46:44"/>
    <s v=""/>
    <n v="16.934665145332534"/>
    <n v="-4.2508770233421647"/>
    <n v="46.50277777777778"/>
  </r>
  <r>
    <x v="236"/>
    <x v="2"/>
    <x v="0"/>
    <n v="3"/>
    <n v="3"/>
    <x v="0"/>
    <x v="2"/>
    <x v="2"/>
    <x v="7"/>
    <x v="205"/>
    <n v="9.07"/>
    <n v="109"/>
    <n v="21"/>
    <n v="2"/>
    <s v="Order"/>
    <n v="208.07"/>
    <n v="183.76593290351707"/>
    <n v="22.940463065049613"/>
    <n v="20.260852580321618"/>
    <n v="9.9080952380952372"/>
    <n v="1.9088990825688072"/>
    <n v="2.3153252480705624"/>
    <n v="5.1904761904761907"/>
    <d v="1899-12-30T00:25:55"/>
    <s v=""/>
    <n v="26.311622557568853"/>
    <n v="-3.3711594925192401"/>
    <n v="48.81466666666666"/>
  </r>
  <r>
    <x v="237"/>
    <x v="2"/>
    <x v="0"/>
    <n v="4"/>
    <n v="4"/>
    <x v="3"/>
    <x v="10"/>
    <x v="3"/>
    <x v="7"/>
    <x v="77"/>
    <n v="6.15"/>
    <n v="141"/>
    <n v="10"/>
    <n v="3"/>
    <s v="Order"/>
    <n v="93.289999999999992"/>
    <n v="61.850793939411972"/>
    <n v="15.169105691056908"/>
    <n v="10.057039664945036"/>
    <n v="9.3289999999999988"/>
    <n v="0.66163120567375877"/>
    <n v="1.6260162601626016"/>
    <n v="14.1"/>
    <d v="1899-12-30T00:36:54"/>
    <s v=""/>
    <n v="17.564907579101099"/>
    <n v="-2.3958018880441916"/>
    <n v="49.851222222222219"/>
  </r>
  <r>
    <x v="238"/>
    <x v="2"/>
    <x v="0"/>
    <n v="4"/>
    <n v="4"/>
    <x v="6"/>
    <x v="10"/>
    <x v="2"/>
    <x v="6"/>
    <x v="2"/>
    <n v="6.52"/>
    <n v="82"/>
    <n v="14"/>
    <n v="5"/>
    <s v="Order"/>
    <n v="129.25"/>
    <n v="110.96620640448073"/>
    <n v="19.823619631901842"/>
    <n v="17.019356810503179"/>
    <n v="9.2321428571428577"/>
    <n v="1.5762195121951219"/>
    <n v="2.147239263803681"/>
    <n v="5.8571428571428568"/>
    <d v="1899-12-30T00:27:57"/>
    <n v="1.5911196319018401"/>
    <n v="21.955737464529733"/>
    <n v="-2.1321178326278911"/>
    <n v="51.287333333333329"/>
  </r>
  <r>
    <x v="239"/>
    <x v="2"/>
    <x v="0"/>
    <n v="4"/>
    <n v="4"/>
    <x v="1"/>
    <x v="2"/>
    <x v="3"/>
    <x v="3"/>
    <x v="20"/>
    <n v="7.9"/>
    <n v="194"/>
    <n v="13"/>
    <n v="4"/>
    <s v="Order"/>
    <n v="148.47999999999999"/>
    <n v="105.22322003011293"/>
    <n v="18.794936708860757"/>
    <n v="13.319394940520622"/>
    <n v="11.421538461538461"/>
    <n v="0.76536082474226796"/>
    <n v="1.6455696202531644"/>
    <n v="14.923076923076923"/>
    <d v="1899-12-30T00:36:28"/>
    <s v=""/>
    <n v="22.487593350400246"/>
    <n v="-3.6926566415394895"/>
    <n v="52.937111111111101"/>
  </r>
  <r>
    <x v="240"/>
    <x v="2"/>
    <x v="0"/>
    <n v="5"/>
    <n v="5"/>
    <x v="5"/>
    <x v="2"/>
    <x v="3"/>
    <x v="6"/>
    <x v="206"/>
    <n v="2.52"/>
    <n v="60"/>
    <n v="6"/>
    <n v="2"/>
    <s v="Order"/>
    <n v="43.54"/>
    <n v="30.16161444230297"/>
    <n v="17.277777777777779"/>
    <n v="11.968894619961496"/>
    <n v="7.2566666666666668"/>
    <n v="0.72566666666666668"/>
    <n v="2.3809523809523809"/>
    <n v="10"/>
    <d v="1899-12-30T00:25:12"/>
    <s v=""/>
    <n v="15.690709617180207"/>
    <n v="1.5870681605975712"/>
    <n v="53.420888888888882"/>
  </r>
  <r>
    <x v="241"/>
    <x v="2"/>
    <x v="0"/>
    <n v="5"/>
    <n v="5"/>
    <x v="6"/>
    <x v="10"/>
    <x v="2"/>
    <x v="1"/>
    <x v="4"/>
    <n v="6.28"/>
    <n v="83"/>
    <n v="13"/>
    <n v="4"/>
    <s v="Order"/>
    <n v="130.32"/>
    <n v="111.81323331185243"/>
    <n v="20.751592356687897"/>
    <n v="17.804654985963762"/>
    <n v="10.024615384615384"/>
    <n v="1.5701204819277108"/>
    <n v="2.0700636942675157"/>
    <n v="6.384615384615385"/>
    <d v="1899-12-30T00:28:59"/>
    <n v="1.7235325407369757"/>
    <n v="19.482607323854786"/>
    <n v="1.2689850328331111"/>
    <n v="54.868888888888875"/>
  </r>
  <r>
    <x v="242"/>
    <x v="2"/>
    <x v="0"/>
    <n v="5"/>
    <n v="5"/>
    <x v="0"/>
    <x v="9"/>
    <x v="3"/>
    <x v="1"/>
    <x v="25"/>
    <n v="5.88"/>
    <n v="116"/>
    <n v="11"/>
    <n v="2"/>
    <s v="Order"/>
    <n v="83.08"/>
    <n v="57.215121255119072"/>
    <n v="14.129251700680273"/>
    <n v="9.7304627984896381"/>
    <n v="7.5527272727272727"/>
    <n v="0.71620689655172409"/>
    <n v="1.870748299319728"/>
    <n v="10.545454545454545"/>
    <d v="1899-12-30T00:32:04"/>
    <s v=""/>
    <n v="15.426890001283532"/>
    <n v="-1.2976383006032588"/>
    <n v="55.791999999999987"/>
  </r>
  <r>
    <x v="243"/>
    <x v="2"/>
    <x v="0"/>
    <n v="5"/>
    <n v="5"/>
    <x v="1"/>
    <x v="2"/>
    <x v="0"/>
    <x v="4"/>
    <x v="27"/>
    <n v="5.33"/>
    <n v="118"/>
    <n v="11"/>
    <n v="4"/>
    <s v="Hourly"/>
    <n v="97.110000000000014"/>
    <n v="70.799175069862514"/>
    <n v="18.219512195121954"/>
    <n v="13.283147292657132"/>
    <n v="8.8281818181818199"/>
    <n v="0.82296610169491535"/>
    <n v="2.0637898686679175"/>
    <n v="10.727272727272727"/>
    <d v="1899-12-30T00:29:04"/>
    <n v="-10.236508955587187"/>
    <n v="19.039721119304218"/>
    <n v="-0.8202089241822641"/>
    <n v="56.870999999999981"/>
  </r>
  <r>
    <x v="244"/>
    <x v="2"/>
    <x v="0"/>
    <n v="6"/>
    <n v="6"/>
    <x v="4"/>
    <x v="10"/>
    <x v="0"/>
    <x v="3"/>
    <x v="92"/>
    <n v="5.43"/>
    <n v="110"/>
    <n v="11"/>
    <n v="2"/>
    <s v="Order"/>
    <n v="198.9"/>
    <n v="174.37295981088877"/>
    <n v="36.629834254143653"/>
    <n v="32.112883943073442"/>
    <n v="18.081818181818182"/>
    <n v="1.8081818181818183"/>
    <n v="2.0257826887661143"/>
    <n v="10"/>
    <d v="1899-12-30T00:29:37"/>
    <n v="6.9876650072056172"/>
    <n v="23.735051355259746"/>
    <n v="12.894782898883907"/>
    <n v="59.080999999999982"/>
  </r>
  <r>
    <x v="245"/>
    <x v="2"/>
    <x v="0"/>
    <n v="6"/>
    <n v="6"/>
    <x v="5"/>
    <x v="2"/>
    <x v="2"/>
    <x v="1"/>
    <x v="207"/>
    <n v="4.47"/>
    <n v="53"/>
    <n v="11"/>
    <n v="4"/>
    <s v="Order"/>
    <n v="106.4"/>
    <n v="94.582426090700963"/>
    <n v="23.803131991051458"/>
    <n v="21.159379438635565"/>
    <n v="9.6727272727272737"/>
    <n v="2.0075471698113208"/>
    <n v="2.4608501118568236"/>
    <n v="4.8181818181818183"/>
    <d v="1899-12-30T00:24:23"/>
    <n v="7.1364653243847904"/>
    <n v="21.938596739633184"/>
    <n v="1.8645352514182747"/>
    <n v="60.263222222222197"/>
  </r>
  <r>
    <x v="246"/>
    <x v="2"/>
    <x v="0"/>
    <n v="7"/>
    <n v="7"/>
    <x v="4"/>
    <x v="2"/>
    <x v="2"/>
    <x v="0"/>
    <x v="208"/>
    <n v="5.38"/>
    <n v="78"/>
    <n v="12"/>
    <n v="4"/>
    <s v="Order"/>
    <n v="126.11"/>
    <n v="108.71809877499386"/>
    <n v="23.440520446096656"/>
    <n v="20.207825051114103"/>
    <n v="10.509166666666667"/>
    <n v="1.6167948717948717"/>
    <n v="2.2304832713754648"/>
    <n v="6.5"/>
    <d v="1899-12-30T00:26:54"/>
    <n v="3.773853779429988"/>
    <n v="27.074867409256267"/>
    <n v="-3.6343469631596115"/>
    <n v="58.670333333333303"/>
  </r>
  <r>
    <x v="247"/>
    <x v="2"/>
    <x v="0"/>
    <n v="7"/>
    <n v="7"/>
    <x v="5"/>
    <x v="2"/>
    <x v="0"/>
    <x v="0"/>
    <x v="77"/>
    <n v="4.2300000000000004"/>
    <n v="102"/>
    <n v="8"/>
    <n v="2"/>
    <s v="Order"/>
    <n v="100.95"/>
    <n v="78.206744551915051"/>
    <n v="23.865248226950353"/>
    <n v="18.488592092651309"/>
    <n v="12.61875"/>
    <n v="0.98970588235294121"/>
    <n v="1.8912529550827422"/>
    <n v="12.75"/>
    <d v="1899-12-30T00:31:44"/>
    <n v="-9.8796157584720099"/>
    <n v="30.479921410772477"/>
    <n v="-6.6146731838221235"/>
    <n v="58.882444444444417"/>
  </r>
  <r>
    <x v="248"/>
    <x v="2"/>
    <x v="0"/>
    <n v="7"/>
    <n v="7"/>
    <x v="6"/>
    <x v="1"/>
    <x v="2"/>
    <x v="4"/>
    <x v="209"/>
    <n v="3.22"/>
    <n v="49"/>
    <n v="9"/>
    <n v="1"/>
    <s v="Order"/>
    <n v="75.209999999999994"/>
    <n v="64.284318461214085"/>
    <n v="23.357142857142854"/>
    <n v="19.964074056277664"/>
    <n v="8.3566666666666656"/>
    <n v="1.5348979591836733"/>
    <n v="2.7950310559006208"/>
    <n v="5.4444444444444446"/>
    <d v="1899-12-30T00:21:28"/>
    <n v="3.7545721942796071"/>
    <n v="22.876360126360126"/>
    <n v="0.48078273078272815"/>
    <n v="58.180444444444412"/>
  </r>
  <r>
    <x v="249"/>
    <x v="2"/>
    <x v="0"/>
    <n v="7"/>
    <n v="7"/>
    <x v="0"/>
    <x v="2"/>
    <x v="2"/>
    <x v="0"/>
    <x v="210"/>
    <n v="6.45"/>
    <n v="94"/>
    <n v="19"/>
    <n v="3"/>
    <s v="Order"/>
    <n v="133.4"/>
    <n v="112.44052929294133"/>
    <n v="20.68217054263566"/>
    <n v="17.432640200456021"/>
    <n v="7.0210526315789474"/>
    <n v="1.4191489361702128"/>
    <n v="2.945736434108527"/>
    <n v="4.9473684210526319"/>
    <d v="1899-12-30T00:20:22"/>
    <n v="-2.258292522413953"/>
    <n v="19.487580024714472"/>
    <n v="1.1945905179211884"/>
    <n v="59.662666666666631"/>
  </r>
  <r>
    <x v="250"/>
    <x v="2"/>
    <x v="0"/>
    <n v="7"/>
    <n v="7"/>
    <x v="1"/>
    <x v="14"/>
    <x v="0"/>
    <x v="2"/>
    <x v="211"/>
    <n v="4.13"/>
    <n v="104"/>
    <n v="10"/>
    <n v="2"/>
    <s v="Order"/>
    <n v="118.03"/>
    <n v="94.840798366658476"/>
    <n v="28.578692493946733"/>
    <n v="22.963873696527475"/>
    <n v="11.803000000000001"/>
    <n v="1.1349038461538461"/>
    <n v="2.4213075060532687"/>
    <n v="10.4"/>
    <d v="1899-12-30T00:24:47"/>
    <n v="1.4022349626859913"/>
    <n v="22.316988072985641"/>
    <n v="6.2617044209610917"/>
    <n v="60.974111111111071"/>
  </r>
  <r>
    <x v="251"/>
    <x v="2"/>
    <x v="0"/>
    <n v="7"/>
    <n v="7"/>
    <x v="2"/>
    <x v="1"/>
    <x v="2"/>
    <x v="1"/>
    <x v="105"/>
    <n v="4.7699999999999996"/>
    <n v="62"/>
    <n v="11"/>
    <n v="2"/>
    <s v="Order"/>
    <n v="105.67"/>
    <n v="91.845668257046412"/>
    <n v="22.153039832285117"/>
    <n v="19.254857076948934"/>
    <n v="9.6063636363636373"/>
    <n v="1.7043548387096774"/>
    <n v="2.3060796645702308"/>
    <n v="5.6363636363636367"/>
    <d v="1899-12-30T00:26:01"/>
    <n v="18.459422811008523"/>
    <n v="22.500463167053098"/>
    <n v="-0.34742333476798137"/>
    <n v="62.148222222222181"/>
  </r>
  <r>
    <x v="252"/>
    <x v="2"/>
    <x v="0"/>
    <n v="8"/>
    <n v="8"/>
    <x v="4"/>
    <x v="2"/>
    <x v="0"/>
    <x v="1"/>
    <x v="69"/>
    <n v="5.03"/>
    <n v="70.8"/>
    <n v="14"/>
    <n v="2"/>
    <s v="Order"/>
    <n v="194.62"/>
    <n v="178.8335050419175"/>
    <n v="38.691848906560637"/>
    <n v="35.553380724039265"/>
    <n v="13.901428571428571"/>
    <n v="2.7488700564971755"/>
    <n v="2.7833001988071571"/>
    <n v="5.0571428571428569"/>
    <d v="1899-12-30T00:21:33"/>
    <n v="7.6521466581814757"/>
    <n v="25.107199243055533"/>
    <n v="13.584649663505104"/>
    <n v="64.31066666666662"/>
  </r>
  <r>
    <x v="253"/>
    <x v="2"/>
    <x v="0"/>
    <n v="8"/>
    <n v="8"/>
    <x v="5"/>
    <x v="2"/>
    <x v="0"/>
    <x v="4"/>
    <x v="18"/>
    <n v="4.32"/>
    <n v="92"/>
    <n v="11"/>
    <n v="3"/>
    <s v="Order"/>
    <n v="103.23"/>
    <n v="82.716475478197893"/>
    <n v="23.895833333333332"/>
    <n v="19.147332286619882"/>
    <n v="9.3845454545454547"/>
    <n v="1.1220652173913044"/>
    <n v="2.5462962962962963"/>
    <n v="8.3636363636363633"/>
    <d v="1899-12-30T00:23:34"/>
    <n v="-7.3791267124710309"/>
    <n v="18.266708612975393"/>
    <n v="5.6291247203579395"/>
    <n v="64.212888888888841"/>
  </r>
  <r>
    <x v="254"/>
    <x v="2"/>
    <x v="0"/>
    <n v="8"/>
    <n v="8"/>
    <x v="6"/>
    <x v="1"/>
    <x v="2"/>
    <x v="7"/>
    <x v="17"/>
    <n v="5.12"/>
    <n v="102"/>
    <n v="10"/>
    <n v="3"/>
    <s v="Order"/>
    <n v="105.27000000000001"/>
    <n v="82.526744551915058"/>
    <n v="20.560546875"/>
    <n v="16.118504795295909"/>
    <n v="10.527000000000001"/>
    <n v="1.0320588235294119"/>
    <n v="1.953125"/>
    <n v="10.199999999999999"/>
    <d v="1899-12-30T00:30:43"/>
    <n v="1.9333163566848555E-2"/>
    <n v="21.236984459688347"/>
    <n v="-0.67643758468834747"/>
    <n v="62.993888888888854"/>
  </r>
  <r>
    <x v="255"/>
    <x v="2"/>
    <x v="0"/>
    <n v="8"/>
    <n v="8"/>
    <x v="0"/>
    <x v="9"/>
    <x v="2"/>
    <x v="2"/>
    <x v="190"/>
    <n v="6.03"/>
    <n v="116"/>
    <n v="12"/>
    <n v="4"/>
    <s v="Order"/>
    <n v="107.77"/>
    <n v="81.90512125511907"/>
    <n v="17.872305140961856"/>
    <n v="13.582938848278452"/>
    <n v="8.980833333333333"/>
    <n v="0.92905172413793102"/>
    <n v="1.9900497512437809"/>
    <n v="9.6666666666666661"/>
    <d v="1899-12-30T00:30:09"/>
    <n v="-3.9390116628807803"/>
    <n v="27.384712072751245"/>
    <n v="-9.5124069317893891"/>
    <n v="64.191333333333304"/>
  </r>
  <r>
    <x v="256"/>
    <x v="2"/>
    <x v="0"/>
    <n v="9"/>
    <n v="9"/>
    <x v="6"/>
    <x v="1"/>
    <x v="2"/>
    <x v="6"/>
    <x v="212"/>
    <n v="4.17"/>
    <n v="45.6"/>
    <n v="12"/>
    <n v="1"/>
    <s v="Order"/>
    <n v="116.25"/>
    <n v="106.08242697615026"/>
    <n v="27.877697841726619"/>
    <n v="25.439430929532438"/>
    <n v="9.6875"/>
    <n v="2.549342105263158"/>
    <n v="2.8776978417266186"/>
    <n v="3.8000000000000003"/>
    <d v="1899-12-30T00:20:51"/>
    <n v="7.3326174975800988"/>
    <n v="23.055098920863308"/>
    <n v="4.8225989208633102"/>
    <n v="61.512444444444434"/>
  </r>
  <r>
    <x v="257"/>
    <x v="2"/>
    <x v="0"/>
    <n v="9"/>
    <n v="9"/>
    <x v="0"/>
    <x v="9"/>
    <x v="2"/>
    <x v="3"/>
    <x v="213"/>
    <n v="3.13"/>
    <n v="58"/>
    <n v="8"/>
    <n v="2"/>
    <s v="Order"/>
    <n v="54.75"/>
    <n v="41.817560627559537"/>
    <n v="17.492012779552716"/>
    <n v="13.360243011999852"/>
    <n v="6.84375"/>
    <n v="0.94396551724137934"/>
    <n v="2.5559105431309903"/>
    <n v="7.25"/>
    <d v="1899-12-30T00:23:29"/>
    <n v="-3.0063001366629933"/>
    <n v="21.568295546402865"/>
    <n v="-4.0762827668501487"/>
    <n v="60.919999999999995"/>
  </r>
  <r>
    <x v="258"/>
    <x v="2"/>
    <x v="0"/>
    <n v="9"/>
    <n v="9"/>
    <x v="2"/>
    <x v="3"/>
    <x v="0"/>
    <x v="3"/>
    <x v="214"/>
    <n v="7.68"/>
    <n v="128"/>
    <n v="21"/>
    <n v="3"/>
    <s v="Order"/>
    <n v="277.88"/>
    <n v="249.33944414357967"/>
    <n v="36.182291666666664"/>
    <n v="32.466073456195268"/>
    <n v="13.232380952380952"/>
    <n v="2.1709375"/>
    <n v="2.734375"/>
    <n v="6.0952380952380949"/>
    <d v="1899-12-30T00:21:57"/>
    <n v="12.66470193004459"/>
    <n v="27.871502575489643"/>
    <n v="8.3107890911770212"/>
    <n v="62.389444444444443"/>
  </r>
  <r>
    <x v="259"/>
    <x v="2"/>
    <x v="0"/>
    <n v="10"/>
    <n v="10"/>
    <x v="4"/>
    <x v="1"/>
    <x v="0"/>
    <x v="6"/>
    <x v="25"/>
    <n v="5.15"/>
    <n v="92"/>
    <n v="9"/>
    <n v="2"/>
    <s v="Order"/>
    <n v="125.47"/>
    <n v="104.95647547819789"/>
    <n v="24.363106796116504"/>
    <n v="20.379898151106385"/>
    <n v="13.941111111111111"/>
    <n v="1.3638043478260868"/>
    <n v="1.7475728155339805"/>
    <n v="10.222222222222221"/>
    <d v="1899-12-30T00:34:20"/>
    <n v="-7.9519532286262375"/>
    <n v="20.790663442097699"/>
    <n v="3.5724433540188052"/>
    <n v="63.783555555555559"/>
  </r>
  <r>
    <x v="260"/>
    <x v="2"/>
    <x v="0"/>
    <n v="10"/>
    <n v="10"/>
    <x v="5"/>
    <x v="10"/>
    <x v="3"/>
    <x v="6"/>
    <x v="215"/>
    <n v="4.3499999999999996"/>
    <n v="96"/>
    <n v="8"/>
    <n v="2"/>
    <s v="Order"/>
    <n v="75.75"/>
    <n v="54.344583107684755"/>
    <n v="17.413793103448278"/>
    <n v="12.493007610962014"/>
    <n v="9.46875"/>
    <n v="0.7890625"/>
    <n v="1.8390804597701151"/>
    <n v="12"/>
    <d v="1899-12-30T00:32:38"/>
    <n v="0.13601532567049901"/>
    <n v="17.413793103448278"/>
    <n v="0"/>
    <n v="63.804444444444464"/>
  </r>
  <r>
    <x v="261"/>
    <x v="2"/>
    <x v="0"/>
    <n v="10"/>
    <n v="10"/>
    <x v="0"/>
    <x v="10"/>
    <x v="2"/>
    <x v="6"/>
    <x v="20"/>
    <n v="1.17"/>
    <n v="22"/>
    <n v="3"/>
    <n v="2"/>
    <s v="Order"/>
    <n v="40.93"/>
    <n v="36.024591962177752"/>
    <n v="34.982905982905983"/>
    <n v="30.790249540322865"/>
    <n v="13.643333333333333"/>
    <n v="1.8604545454545454"/>
    <n v="2.5641025641025643"/>
    <n v="7.333333333333333"/>
    <d v="1899-12-30T00:23:24"/>
    <n v="15.23616810085602"/>
    <n v="31.220108445914899"/>
    <n v="3.7627975369910835"/>
    <n v="62.380555555555567"/>
  </r>
  <r>
    <x v="262"/>
    <x v="2"/>
    <x v="0"/>
    <n v="10"/>
    <n v="10"/>
    <x v="1"/>
    <x v="17"/>
    <x v="0"/>
    <x v="0"/>
    <x v="216"/>
    <n v="5.72"/>
    <n v="124"/>
    <n v="7"/>
    <n v="2"/>
    <s v="Order"/>
    <n v="156.65"/>
    <n v="129.00133651409283"/>
    <n v="27.38636363636364"/>
    <n v="22.552681208757487"/>
    <n v="22.37857142857143"/>
    <n v="1.2633064516129033"/>
    <n v="1.2237762237762237"/>
    <n v="17.714285714285715"/>
    <d v="1899-12-30T00:49:02"/>
    <n v="5.4102220360011444E-2"/>
    <n v="30.543878208019763"/>
    <n v="-3.1575145716561224"/>
    <n v="64.121111111111119"/>
  </r>
  <r>
    <x v="263"/>
    <x v="2"/>
    <x v="0"/>
    <n v="11"/>
    <n v="11"/>
    <x v="4"/>
    <x v="1"/>
    <x v="0"/>
    <x v="4"/>
    <x v="217"/>
    <n v="4.22"/>
    <n v="78"/>
    <n v="8"/>
    <n v="1"/>
    <s v="Order"/>
    <n v="68"/>
    <n v="50.608098774993863"/>
    <n v="16.113744075829384"/>
    <n v="11.992440468008025"/>
    <n v="8.5"/>
    <n v="0.87179487179487181"/>
    <n v="1.8957345971563981"/>
    <n v="9.75"/>
    <d v="1899-12-30T00:31:39"/>
    <n v="-15.06532263053818"/>
    <n v="32.707806934860422"/>
    <n v="-16.594062859031038"/>
    <n v="62.244888888888902"/>
  </r>
  <r>
    <x v="264"/>
    <x v="2"/>
    <x v="0"/>
    <n v="11"/>
    <n v="11"/>
    <x v="6"/>
    <x v="10"/>
    <x v="1"/>
    <x v="2"/>
    <x v="218"/>
    <n v="2.4300000000000002"/>
    <n v="59.2"/>
    <n v="5"/>
    <n v="2"/>
    <s v="Order"/>
    <n v="58.83"/>
    <n v="45.629992916405598"/>
    <n v="24.209876543209873"/>
    <n v="18.777774862718353"/>
    <n v="11.766"/>
    <n v="0.99374999999999991"/>
    <n v="2.0576131687242798"/>
    <n v="11.84"/>
    <d v="1899-12-30T00:29:10"/>
    <n v="7.3464227279488306"/>
    <n v="21.339386458777209"/>
    <n v="2.8704900844326637"/>
    <n v="60.243444444444464"/>
  </r>
  <r>
    <x v="265"/>
    <x v="2"/>
    <x v="0"/>
    <n v="11"/>
    <n v="11"/>
    <x v="0"/>
    <x v="9"/>
    <x v="2"/>
    <x v="3"/>
    <x v="219"/>
    <n v="3.63"/>
    <n v="49"/>
    <n v="9"/>
    <n v="2"/>
    <s v="Order"/>
    <n v="64.08"/>
    <n v="53.154318461214089"/>
    <n v="17.652892561983471"/>
    <n v="14.643062936973578"/>
    <n v="7.12"/>
    <n v="1.3077551020408162"/>
    <n v="2.4793388429752068"/>
    <n v="5.4444444444444446"/>
    <d v="1899-12-30T00:24:12"/>
    <n v="-5.1410789402376942"/>
    <n v="20.505198983639957"/>
    <n v="-2.8523064216564862"/>
    <n v="60.95544444444446"/>
  </r>
  <r>
    <x v="266"/>
    <x v="2"/>
    <x v="0"/>
    <n v="11"/>
    <n v="11"/>
    <x v="1"/>
    <x v="10"/>
    <x v="0"/>
    <x v="4"/>
    <x v="220"/>
    <n v="6.2"/>
    <n v="112"/>
    <n v="11"/>
    <n v="3"/>
    <s v="Order"/>
    <n v="122.45"/>
    <n v="97.47701362563221"/>
    <n v="19.75"/>
    <n v="15.722098971876163"/>
    <n v="11.131818181818183"/>
    <n v="1.0933035714285715"/>
    <n v="1.7741935483870968"/>
    <n v="10.181818181818182"/>
    <d v="1899-12-30T00:33:49"/>
    <n v="-7.5876716380396303"/>
    <n v="24.294742211193824"/>
    <n v="-4.5447422111938245"/>
    <n v="61.747888888888902"/>
  </r>
  <r>
    <x v="267"/>
    <x v="2"/>
    <x v="0"/>
    <n v="12"/>
    <n v="12"/>
    <x v="4"/>
    <x v="2"/>
    <x v="0"/>
    <x v="6"/>
    <x v="221"/>
    <n v="3.02"/>
    <n v="75"/>
    <n v="3"/>
    <n v="2"/>
    <s v="Order"/>
    <n v="60.42"/>
    <n v="43.697018052878718"/>
    <n v="20.006622516556291"/>
    <n v="14.469211275787655"/>
    <n v="20.14"/>
    <n v="0.80559999999999998"/>
    <n v="0.99337748344370858"/>
    <n v="25"/>
    <d v="1899-12-30T01:00:24"/>
    <n v="-9.2892788609939991"/>
    <n v="23.708191000470212"/>
    <n v="-3.7015684839139205"/>
    <n v="59.374111111111119"/>
  </r>
  <r>
    <x v="268"/>
    <x v="2"/>
    <x v="0"/>
    <n v="12"/>
    <n v="12"/>
    <x v="5"/>
    <x v="1"/>
    <x v="2"/>
    <x v="2"/>
    <x v="179"/>
    <n v="4.1500000000000004"/>
    <n v="73"/>
    <n v="13"/>
    <n v="4"/>
    <s v="Order"/>
    <n v="85.960000000000008"/>
    <n v="69.682964238135284"/>
    <n v="20.713253012048192"/>
    <n v="16.791075720032598"/>
    <n v="6.6123076923076933"/>
    <n v="1.1775342465753427"/>
    <n v="3.1325301204819276"/>
    <n v="5.615384615384615"/>
    <d v="1899-12-30T00:19:09"/>
    <n v="0.47835368318912685"/>
    <n v="26.505470302261681"/>
    <n v="-5.7922172902134896"/>
    <n v="58.498222222222225"/>
  </r>
  <r>
    <x v="269"/>
    <x v="2"/>
    <x v="0"/>
    <n v="12"/>
    <n v="12"/>
    <x v="6"/>
    <x v="2"/>
    <x v="0"/>
    <x v="4"/>
    <x v="217"/>
    <n v="5.12"/>
    <n v="116.7"/>
    <n v="4"/>
    <n v="2"/>
    <s v="Order"/>
    <n v="70.19"/>
    <n v="44.169040090279275"/>
    <n v="13.708984375"/>
    <n v="8.6267656426326713"/>
    <n v="17.547499999999999"/>
    <n v="0.60145672664952865"/>
    <n v="0.78125"/>
    <n v="29.175000000000001"/>
    <d v="1899-12-30T01:16:48"/>
    <n v="-6.6970915959773798"/>
    <n v="13.708984375"/>
    <n v="0"/>
    <n v="57.767777777777773"/>
  </r>
  <r>
    <x v="270"/>
    <x v="2"/>
    <x v="0"/>
    <n v="12"/>
    <n v="12"/>
    <x v="0"/>
    <x v="2"/>
    <x v="2"/>
    <x v="0"/>
    <x v="103"/>
    <n v="3.85"/>
    <n v="54"/>
    <n v="8"/>
    <n v="1"/>
    <s v="Order"/>
    <n v="51.5"/>
    <n v="39.459452998072678"/>
    <n v="13.376623376623376"/>
    <n v="10.249208570927967"/>
    <n v="6.4375"/>
    <n v="0.95370370370370372"/>
    <n v="2.0779220779220777"/>
    <n v="6.75"/>
    <d v="1899-12-30T00:28:53"/>
    <n v="-8.5605016355581736"/>
    <n v="24.852884451271549"/>
    <n v="-11.476261074648173"/>
    <n v="58.195444444444448"/>
  </r>
  <r>
    <x v="271"/>
    <x v="2"/>
    <x v="0"/>
    <n v="12"/>
    <n v="12"/>
    <x v="1"/>
    <x v="1"/>
    <x v="0"/>
    <x v="3"/>
    <x v="222"/>
    <n v="6.23"/>
    <n v="145"/>
    <n v="9"/>
    <n v="3"/>
    <s v="Order"/>
    <n v="94.91"/>
    <n v="62.578901568898843"/>
    <n v="15.234349919743176"/>
    <n v="10.044767507046362"/>
    <n v="10.545555555555556"/>
    <n v="0.65455172413793106"/>
    <n v="1.4446227929373996"/>
    <n v="16.111111111111111"/>
    <d v="1899-12-30T00:41:32"/>
    <n v="-11.413533387565581"/>
    <n v="21.037978186413866"/>
    <n v="-5.8036282666706906"/>
    <n v="57.603999999999999"/>
  </r>
  <r>
    <x v="272"/>
    <x v="2"/>
    <x v="0"/>
    <n v="13"/>
    <n v="13"/>
    <x v="6"/>
    <x v="14"/>
    <x v="1"/>
    <x v="4"/>
    <x v="25"/>
    <n v="4.97"/>
    <n v="61"/>
    <n v="10"/>
    <n v="2"/>
    <s v="Order"/>
    <n v="98.240000000000009"/>
    <n v="84.6386413496747"/>
    <n v="19.766599597585515"/>
    <n v="17.029907716232334"/>
    <n v="9.8240000000000016"/>
    <n v="1.6104918032786886"/>
    <n v="2.0120724346076462"/>
    <n v="6.1"/>
    <d v="1899-12-30T00:29:49"/>
    <n v="-0.77006558164994132"/>
    <n v="22.100489612644736"/>
    <n v="-2.3338900150592217"/>
    <n v="56.960444444444441"/>
  </r>
  <r>
    <x v="273"/>
    <x v="2"/>
    <x v="0"/>
    <n v="13"/>
    <n v="13"/>
    <x v="0"/>
    <x v="14"/>
    <x v="0"/>
    <x v="3"/>
    <x v="223"/>
    <n v="3.18"/>
    <n v="51"/>
    <n v="8"/>
    <n v="2"/>
    <s v="Order"/>
    <n v="65.75"/>
    <n v="54.378372275957524"/>
    <n v="20.676100628930815"/>
    <n v="17.100117067911171"/>
    <n v="8.21875"/>
    <n v="1.2892156862745099"/>
    <n v="2.5157232704402515"/>
    <n v="6.375"/>
    <d v="1899-12-30T00:23:51"/>
    <n v="1.8607419933135567"/>
    <n v="21.587544461558959"/>
    <n v="-0.91144383262814443"/>
    <n v="57.690999999999995"/>
  </r>
  <r>
    <x v="274"/>
    <x v="2"/>
    <x v="0"/>
    <n v="13"/>
    <n v="13"/>
    <x v="1"/>
    <x v="14"/>
    <x v="0"/>
    <x v="0"/>
    <x v="224"/>
    <n v="4.03"/>
    <n v="81"/>
    <n v="8"/>
    <n v="2"/>
    <s v="Order"/>
    <n v="116.67"/>
    <n v="98.609179497109011"/>
    <n v="28.950372208436722"/>
    <n v="24.468779031540695"/>
    <n v="14.58375"/>
    <n v="1.4403703703703703"/>
    <n v="1.9851116625310172"/>
    <n v="10.125"/>
    <d v="1899-12-30T00:30:14"/>
    <n v="3.253616683425097"/>
    <n v="30.297774755848877"/>
    <n v="-1.3474025474121554"/>
    <n v="58.987333333333332"/>
  </r>
  <r>
    <x v="275"/>
    <x v="2"/>
    <x v="0"/>
    <n v="13"/>
    <n v="13"/>
    <x v="2"/>
    <x v="9"/>
    <x v="1"/>
    <x v="1"/>
    <x v="225"/>
    <n v="4.5999999999999996"/>
    <n v="77"/>
    <n v="10"/>
    <n v="3"/>
    <s v="Order"/>
    <n v="114.53"/>
    <n v="97.361071867622144"/>
    <n v="24.897826086956524"/>
    <n v="21.165450406004815"/>
    <n v="11.452999999999999"/>
    <n v="1.4874025974025975"/>
    <n v="2.1739130434782612"/>
    <n v="7.7"/>
    <d v="1899-12-30T00:27:36"/>
    <n v="9.9769476976902247"/>
    <n v="24.684581833287179"/>
    <n v="0.21324425366934463"/>
    <n v="60.259888888888881"/>
  </r>
  <r>
    <x v="276"/>
    <x v="2"/>
    <x v="1"/>
    <n v="1"/>
    <n v="14"/>
    <x v="5"/>
    <x v="2"/>
    <x v="1"/>
    <x v="0"/>
    <x v="226"/>
    <n v="4.7300000000000004"/>
    <n v="71.8"/>
    <n v="10"/>
    <n v="3"/>
    <s v="Order"/>
    <n v="66.98"/>
    <n v="50.970531949289224"/>
    <n v="14.160676532769555"/>
    <n v="10.776010982936411"/>
    <n v="6.6980000000000004"/>
    <n v="0.93286908077994435"/>
    <n v="2.1141649048625792"/>
    <n v="7.18"/>
    <d v="1899-12-30T00:28:23"/>
    <n v="-7.5472182040725482"/>
    <n v="15.580338266384778"/>
    <n v="-1.4196617336152233"/>
    <n v="59.1522222222222"/>
  </r>
  <r>
    <x v="277"/>
    <x v="2"/>
    <x v="1"/>
    <n v="1"/>
    <n v="14"/>
    <x v="6"/>
    <x v="1"/>
    <x v="2"/>
    <x v="3"/>
    <x v="227"/>
    <n v="4.92"/>
    <n v="80"/>
    <n v="11"/>
    <n v="3"/>
    <s v="Order"/>
    <n v="103.39"/>
    <n v="85.55215258973729"/>
    <n v="21.014227642276424"/>
    <n v="17.388648900353108"/>
    <n v="9.3990909090909085"/>
    <n v="1.2923750000000001"/>
    <n v="2.2357723577235773"/>
    <n v="7.2727272727272725"/>
    <d v="1899-12-30T00:26:50"/>
    <n v="3.244996873045654"/>
    <n v="20.685685249709643"/>
    <n v="0.32854239256678142"/>
    <n v="59.046999999999983"/>
  </r>
  <r>
    <x v="278"/>
    <x v="2"/>
    <x v="1"/>
    <n v="1"/>
    <n v="14"/>
    <x v="0"/>
    <x v="2"/>
    <x v="1"/>
    <x v="0"/>
    <x v="21"/>
    <n v="8.9499999999999993"/>
    <n v="166"/>
    <n v="18"/>
    <n v="4"/>
    <s v="Order"/>
    <n v="206.46000000000004"/>
    <n v="169.44646662370491"/>
    <n v="23.068156424581012"/>
    <n v="18.932566103207254"/>
    <n v="11.470000000000002"/>
    <n v="1.2437349397590363"/>
    <n v="2.011173184357542"/>
    <n v="9.2222222222222214"/>
    <d v="1899-12-30T00:29:50"/>
    <n v="1.0542767708746723"/>
    <n v="30.149780691629349"/>
    <n v="-7.0816242670483369"/>
    <n v="61.340999999999987"/>
  </r>
  <r>
    <x v="279"/>
    <x v="2"/>
    <x v="1"/>
    <n v="1"/>
    <n v="14"/>
    <x v="1"/>
    <x v="9"/>
    <x v="1"/>
    <x v="1"/>
    <x v="90"/>
    <n v="4.58"/>
    <n v="81"/>
    <n v="10"/>
    <n v="3"/>
    <s v="Order"/>
    <n v="78.900000000000006"/>
    <n v="60.839179497109015"/>
    <n v="17.227074235807862"/>
    <n v="13.28366364565699"/>
    <n v="7.8900000000000006"/>
    <n v="0.97407407407407409"/>
    <n v="2.1834061135371177"/>
    <n v="8.1"/>
    <d v="1899-12-30T00:27:29"/>
    <n v="-1.4571916372080089"/>
    <n v="21.691133638317044"/>
    <n v="-4.4640594025091822"/>
    <n v="60.490222222222208"/>
  </r>
  <r>
    <x v="280"/>
    <x v="2"/>
    <x v="1"/>
    <n v="2"/>
    <n v="15"/>
    <x v="4"/>
    <x v="2"/>
    <x v="0"/>
    <x v="7"/>
    <x v="228"/>
    <n v="1.9"/>
    <n v="36.4"/>
    <n v="3"/>
    <n v="1"/>
    <s v="Order"/>
    <n v="25.5"/>
    <n v="17.38377942833047"/>
    <n v="13.421052631578949"/>
    <n v="9.1493575938581433"/>
    <n v="8.5"/>
    <n v="0.70054945054945061"/>
    <n v="1.5789473684210527"/>
    <n v="12.133333333333333"/>
    <d v="1899-12-30T00:38:00"/>
    <n v="-9.9697503562828587"/>
    <n v="21.082970919354722"/>
    <n v="-7.661918287775773"/>
    <n v="58.381222222222206"/>
  </r>
  <r>
    <x v="281"/>
    <x v="2"/>
    <x v="1"/>
    <n v="3"/>
    <n v="16"/>
    <x v="6"/>
    <x v="1"/>
    <x v="0"/>
    <x v="2"/>
    <x v="229"/>
    <n v="4.3"/>
    <n v="105.8"/>
    <n v="8"/>
    <n v="4"/>
    <s v="Order"/>
    <n v="104.67"/>
    <n v="81.079446799927581"/>
    <n v="24.34186046511628"/>
    <n v="18.855685302308739"/>
    <n v="13.08375"/>
    <n v="0.98931947069943293"/>
    <n v="1.8604651162790697"/>
    <n v="13.225"/>
    <d v="1899-12-30T00:32:15"/>
    <n v="0.21512320590909439"/>
    <n v="20.870675779631931"/>
    <n v="3.4711846854843493"/>
    <n v="52.285999999999987"/>
  </r>
  <r>
    <x v="282"/>
    <x v="2"/>
    <x v="1"/>
    <n v="3"/>
    <n v="16"/>
    <x v="1"/>
    <x v="15"/>
    <x v="0"/>
    <x v="4"/>
    <x v="230"/>
    <n v="5.62"/>
    <n v="101"/>
    <n v="13"/>
    <n v="4"/>
    <s v="Order"/>
    <n v="131.49"/>
    <n v="108.96971764454335"/>
    <n v="23.396797153024913"/>
    <n v="19.389629474118035"/>
    <n v="10.114615384615385"/>
    <n v="1.3018811881188119"/>
    <n v="2.3131672597864767"/>
    <n v="7.7692307692307692"/>
    <d v="1899-12-30T00:25:56"/>
    <n v="-4.1090104413442319"/>
    <n v="24.77708469395462"/>
    <n v="-1.3802875409297073"/>
    <n v="53.746999999999986"/>
  </r>
  <r>
    <x v="283"/>
    <x v="2"/>
    <x v="1"/>
    <n v="4"/>
    <n v="17"/>
    <x v="5"/>
    <x v="2"/>
    <x v="0"/>
    <x v="1"/>
    <x v="231"/>
    <n v="4.8499999999999996"/>
    <n v="110.8"/>
    <n v="10"/>
    <n v="2"/>
    <s v="Order"/>
    <n v="91.19"/>
    <n v="66.48458133678615"/>
    <n v="18.802061855670104"/>
    <n v="13.70816110036828"/>
    <n v="9.1189999999999998"/>
    <n v="0.82301444043321303"/>
    <n v="2.061855670103093"/>
    <n v="11.08"/>
    <d v="1899-12-30T00:29:06"/>
    <n v="-12.163715183827865"/>
    <n v="29.968200278941691"/>
    <n v="-11.166138423271587"/>
    <n v="52.287555555555535"/>
  </r>
  <r>
    <x v="284"/>
    <x v="2"/>
    <x v="1"/>
    <n v="4"/>
    <n v="17"/>
    <x v="6"/>
    <x v="2"/>
    <x v="0"/>
    <x v="1"/>
    <x v="181"/>
    <n v="5.6"/>
    <n v="128"/>
    <n v="14"/>
    <n v="3"/>
    <s v="Order"/>
    <n v="134.42000000000002"/>
    <n v="105.87944414357969"/>
    <n v="24.003571428571433"/>
    <n v="18.907043597067801"/>
    <n v="9.6014285714285723"/>
    <n v="1.0501562500000001"/>
    <n v="2.5"/>
    <n v="9.1428571428571423"/>
    <d v="1899-12-30T00:24:00"/>
    <n v="-0.15389771719419088"/>
    <n v="20.958704774337935"/>
    <n v="3.0448666542334983"/>
    <n v="53.781111111111095"/>
  </r>
  <r>
    <x v="285"/>
    <x v="2"/>
    <x v="1"/>
    <n v="4"/>
    <n v="17"/>
    <x v="0"/>
    <x v="9"/>
    <x v="0"/>
    <x v="1"/>
    <x v="232"/>
    <n v="2.8"/>
    <n v="65"/>
    <n v="7"/>
    <n v="2"/>
    <s v="Order"/>
    <n v="76.42"/>
    <n v="61.926748979161552"/>
    <n v="27.292857142857144"/>
    <n v="22.116696063986272"/>
    <n v="10.917142857142858"/>
    <n v="1.1756923076923078"/>
    <n v="2.5"/>
    <n v="9.2857142857142865"/>
    <d v="1899-12-30T00:24:00"/>
    <n v="-0.32396825396825335"/>
    <n v="27.058394201331158"/>
    <n v="0.23446294152598668"/>
    <n v="52.98044444444443"/>
  </r>
  <r>
    <x v="286"/>
    <x v="2"/>
    <x v="1"/>
    <n v="4"/>
    <n v="17"/>
    <x v="1"/>
    <x v="7"/>
    <x v="0"/>
    <x v="4"/>
    <x v="225"/>
    <n v="6.2"/>
    <n v="138"/>
    <n v="15"/>
    <n v="4"/>
    <s v="Order"/>
    <n v="161"/>
    <n v="130.22971321729682"/>
    <n v="25.967741935483872"/>
    <n v="21.004792454402711"/>
    <n v="10.733333333333333"/>
    <n v="1.1666666666666667"/>
    <n v="2.4193548387096775"/>
    <n v="9.1999999999999993"/>
    <d v="1899-12-30T00:24:48"/>
    <n v="-0.95106416726466847"/>
    <n v="23.513308240547271"/>
    <n v="2.4544336949366006"/>
    <n v="54.769333333333321"/>
  </r>
  <r>
    <x v="287"/>
    <x v="2"/>
    <x v="1"/>
    <n v="4"/>
    <n v="17"/>
    <x v="2"/>
    <x v="1"/>
    <x v="3"/>
    <x v="4"/>
    <x v="80"/>
    <n v="4.3"/>
    <n v="82"/>
    <n v="9"/>
    <n v="3"/>
    <s v="Order"/>
    <n v="99.08"/>
    <n v="80.796206404480728"/>
    <n v="23.041860465116279"/>
    <n v="18.789815442902494"/>
    <n v="11.008888888888889"/>
    <n v="1.2082926829268292"/>
    <n v="2.0930232558139537"/>
    <n v="9.1111111111111107"/>
    <d v="1899-12-30T00:28:40"/>
    <s v=""/>
    <n v="18.958528045340856"/>
    <n v="4.0833324197754237"/>
    <n v="55.87022222222221"/>
  </r>
  <r>
    <x v="288"/>
    <x v="2"/>
    <x v="1"/>
    <n v="5"/>
    <n v="18"/>
    <x v="5"/>
    <x v="2"/>
    <x v="1"/>
    <x v="4"/>
    <x v="233"/>
    <n v="4.97"/>
    <n v="100"/>
    <n v="12"/>
    <n v="4"/>
    <s v="Order"/>
    <n v="121.06"/>
    <n v="98.762690737171624"/>
    <n v="24.358148893360163"/>
    <n v="19.871768759994293"/>
    <n v="10.088333333333333"/>
    <n v="1.2106000000000001"/>
    <n v="2.4144869215291753"/>
    <n v="8.3333333333333339"/>
    <d v="1899-12-30T00:24:51"/>
    <n v="6.4238632585543343"/>
    <n v="22.36763015414142"/>
    <n v="1.9905187392187429"/>
    <n v="55.283555555555552"/>
  </r>
  <r>
    <x v="289"/>
    <x v="2"/>
    <x v="1"/>
    <n v="5"/>
    <n v="18"/>
    <x v="6"/>
    <x v="1"/>
    <x v="3"/>
    <x v="2"/>
    <x v="122"/>
    <n v="3.12"/>
    <n v="78"/>
    <n v="4"/>
    <n v="2"/>
    <s v="Order"/>
    <n v="42.45"/>
    <n v="25.058098774993866"/>
    <n v="13.605769230769232"/>
    <n v="8.0314419150621355"/>
    <n v="10.612500000000001"/>
    <n v="0.5442307692307693"/>
    <n v="1.2820512820512819"/>
    <n v="19.5"/>
    <d v="1899-12-30T00:46:48"/>
    <s v=""/>
    <n v="19.452916652940207"/>
    <n v="-5.8471474221709752"/>
    <n v="54.832111111111104"/>
  </r>
  <r>
    <x v="290"/>
    <x v="2"/>
    <x v="1"/>
    <n v="5"/>
    <n v="18"/>
    <x v="0"/>
    <x v="1"/>
    <x v="0"/>
    <x v="1"/>
    <x v="171"/>
    <n v="3.43"/>
    <n v="63"/>
    <n v="9"/>
    <n v="3"/>
    <s v="Order"/>
    <n v="116.42"/>
    <n v="102.37269516441812"/>
    <n v="33.941690962099123"/>
    <n v="29.846266811783707"/>
    <n v="12.935555555555556"/>
    <n v="1.847936507936508"/>
    <n v="2.6239067055393583"/>
    <n v="7"/>
    <d v="1899-12-30T00:22:52"/>
    <n v="6.4328549832631445"/>
    <n v="28.304790435178003"/>
    <n v="5.6369005269211208"/>
    <n v="55.046666666666667"/>
  </r>
  <r>
    <x v="291"/>
    <x v="2"/>
    <x v="1"/>
    <n v="5"/>
    <n v="18"/>
    <x v="1"/>
    <x v="1"/>
    <x v="0"/>
    <x v="4"/>
    <x v="234"/>
    <n v="1.1299999999999999"/>
    <n v="26"/>
    <n v="3"/>
    <n v="2"/>
    <s v="Order"/>
    <n v="37.67"/>
    <n v="31.87269959166462"/>
    <n v="33.336283185840713"/>
    <n v="28.205928842181084"/>
    <n v="12.556666666666667"/>
    <n v="1.4488461538461539"/>
    <n v="2.6548672566371683"/>
    <n v="8.6666666666666661"/>
    <d v="1899-12-30T00:22:36"/>
    <n v="6.5363601040002557"/>
    <n v="25.165112615762578"/>
    <n v="8.1711705700781359"/>
    <n v="55.465222222222224"/>
  </r>
  <r>
    <x v="292"/>
    <x v="2"/>
    <x v="1"/>
    <n v="5"/>
    <n v="18"/>
    <x v="2"/>
    <x v="2"/>
    <x v="3"/>
    <x v="4"/>
    <x v="29"/>
    <n v="4.32"/>
    <n v="90"/>
    <n v="8"/>
    <n v="3"/>
    <s v="Order"/>
    <n v="67.78"/>
    <n v="47.712421663454457"/>
    <n v="15.689814814814815"/>
    <n v="11.044542051725568"/>
    <n v="8.4725000000000001"/>
    <n v="0.75311111111111118"/>
    <n v="1.8518518518518516"/>
    <n v="11.25"/>
    <d v="1899-12-30T00:32:24"/>
    <n v="-7.3520456503014646"/>
    <n v="19.246597619330164"/>
    <n v="-3.5567828045153487"/>
    <n v="56.218333333333327"/>
  </r>
  <r>
    <x v="293"/>
    <x v="2"/>
    <x v="1"/>
    <n v="6"/>
    <n v="19"/>
    <x v="4"/>
    <x v="2"/>
    <x v="3"/>
    <x v="4"/>
    <x v="182"/>
    <n v="5.28"/>
    <n v="130.5"/>
    <n v="9"/>
    <n v="2"/>
    <s v="Order"/>
    <n v="80.819999999999993"/>
    <n v="51.722011412008953"/>
    <n v="15.30681818181818"/>
    <n v="9.7958354946986645"/>
    <n v="8.9799999999999986"/>
    <n v="0.61931034482758618"/>
    <n v="1.7045454545454544"/>
    <n v="14.5"/>
    <d v="1899-12-30T00:35:12"/>
    <s v=""/>
    <n v="18.163573021829258"/>
    <n v="-2.856754840011078"/>
    <n v="53.7241111111111"/>
  </r>
  <r>
    <x v="294"/>
    <x v="2"/>
    <x v="1"/>
    <n v="6"/>
    <n v="19"/>
    <x v="5"/>
    <x v="2"/>
    <x v="1"/>
    <x v="4"/>
    <x v="235"/>
    <n v="5.63"/>
    <n v="93"/>
    <n v="16"/>
    <n v="3"/>
    <s v="Order"/>
    <n v="109.32"/>
    <n v="88.583502385569602"/>
    <n v="19.417406749555948"/>
    <n v="15.734192253209521"/>
    <n v="6.8324999999999996"/>
    <n v="1.1754838709677418"/>
    <n v="2.8419182948490231"/>
    <n v="5.8125"/>
    <d v="1899-12-30T00:21:07"/>
    <n v="-0.65816663810132425"/>
    <n v="24.426643904418047"/>
    <n v="-5.0092371548620989"/>
    <n v="54.938777777777766"/>
  </r>
  <r>
    <x v="295"/>
    <x v="2"/>
    <x v="1"/>
    <n v="6"/>
    <n v="19"/>
    <x v="6"/>
    <x v="1"/>
    <x v="0"/>
    <x v="4"/>
    <x v="236"/>
    <n v="3.32"/>
    <n v="63"/>
    <n v="8"/>
    <n v="2"/>
    <s v="Order"/>
    <n v="69.290000000000006"/>
    <n v="55.242695164418123"/>
    <n v="20.870481927710845"/>
    <n v="16.639366013378954"/>
    <n v="8.6612500000000008"/>
    <n v="1.0998412698412698"/>
    <n v="2.4096385542168677"/>
    <n v="7.875"/>
    <d v="1899-12-30T00:24:54"/>
    <n v="-3.2677500034055065"/>
    <n v="21.385404996263951"/>
    <n v="-0.51492306855310588"/>
    <n v="55.708666666666652"/>
  </r>
  <r>
    <x v="296"/>
    <x v="2"/>
    <x v="1"/>
    <n v="6"/>
    <n v="19"/>
    <x v="0"/>
    <x v="1"/>
    <x v="1"/>
    <x v="2"/>
    <x v="237"/>
    <n v="7.35"/>
    <n v="155"/>
    <n v="15"/>
    <n v="2"/>
    <s v="Order"/>
    <n v="154.94"/>
    <n v="120.379170642616"/>
    <n v="21.080272108843538"/>
    <n v="16.378118454777688"/>
    <n v="10.329333333333333"/>
    <n v="0.99961290322580643"/>
    <n v="2.0408163265306123"/>
    <n v="10.333333333333334"/>
    <d v="1899-12-30T00:29:24"/>
    <n v="-1.0653921412221372"/>
    <n v="15.596737876437123"/>
    <n v="5.4835342324064147"/>
    <n v="57.430222222222206"/>
  </r>
  <r>
    <x v="297"/>
    <x v="2"/>
    <x v="1"/>
    <n v="6"/>
    <n v="19"/>
    <x v="2"/>
    <x v="10"/>
    <x v="1"/>
    <x v="2"/>
    <x v="162"/>
    <n v="3.93"/>
    <n v="75"/>
    <n v="7"/>
    <n v="2"/>
    <s v="Order"/>
    <n v="73.87"/>
    <n v="57.147018052878721"/>
    <n v="18.796437659033078"/>
    <n v="14.541225967653618"/>
    <n v="10.552857142857144"/>
    <n v="0.98493333333333344"/>
    <n v="1.7811704834605597"/>
    <n v="10.714285714285714"/>
    <d v="1899-12-30T00:33:41"/>
    <n v="-7.3329492717138152"/>
    <n v="22.364407354106703"/>
    <n v="-3.567969695073625"/>
    <n v="58.250999999999983"/>
  </r>
  <r>
    <x v="298"/>
    <x v="2"/>
    <x v="1"/>
    <n v="7"/>
    <n v="20"/>
    <x v="5"/>
    <x v="10"/>
    <x v="0"/>
    <x v="2"/>
    <x v="238"/>
    <n v="4.43"/>
    <n v="111"/>
    <n v="6"/>
    <n v="2"/>
    <s v="Order"/>
    <n v="79.960000000000008"/>
    <n v="55.209986718260502"/>
    <n v="18.049661399548537"/>
    <n v="12.462750952203274"/>
    <n v="13.326666666666668"/>
    <n v="0.72036036036036044"/>
    <n v="1.3544018058690745"/>
    <n v="18.5"/>
    <d v="1899-12-30T00:44:18"/>
    <n v="-9.8751868439924664"/>
    <n v="24.268423200414826"/>
    <n v="-6.2187618008662895"/>
    <n v="55.780888888888875"/>
  </r>
  <r>
    <x v="299"/>
    <x v="2"/>
    <x v="1"/>
    <n v="7"/>
    <n v="20"/>
    <x v="0"/>
    <x v="1"/>
    <x v="0"/>
    <x v="2"/>
    <x v="239"/>
    <n v="6.35"/>
    <n v="147"/>
    <n v="13"/>
    <n v="3"/>
    <s v="Hourly"/>
    <n v="127.80000000000001"/>
    <n v="95.022955383642284"/>
    <n v="20.125984251968507"/>
    <n v="14.964244942305871"/>
    <n v="9.8307692307692314"/>
    <n v="0.86938775510204092"/>
    <n v="2.0472440944881889"/>
    <n v="11.307692307692308"/>
    <d v="1899-12-30T00:29:18"/>
    <n v="-8.9910654726832568"/>
    <n v="26.162300455424486"/>
    <n v="-6.0363162034559785"/>
    <n v="54.407222222222217"/>
  </r>
  <r>
    <x v="300"/>
    <x v="2"/>
    <x v="1"/>
    <n v="8"/>
    <n v="21"/>
    <x v="6"/>
    <x v="1"/>
    <x v="1"/>
    <x v="2"/>
    <x v="240"/>
    <n v="3.7"/>
    <n v="87"/>
    <n v="7"/>
    <n v="3"/>
    <s v="Order"/>
    <n v="59.27"/>
    <n v="39.871340941339312"/>
    <n v="16.018918918918921"/>
    <n v="10.776038092253868"/>
    <n v="8.4671428571428571"/>
    <n v="0.68126436781609201"/>
    <n v="1.8918918918918919"/>
    <n v="12.428571428571429"/>
    <d v="1899-12-30T00:31:43"/>
    <n v="-1.6640373405079245"/>
    <n v="19.770465325238188"/>
    <n v="-3.7515464063192674"/>
    <n v="48.215111111111128"/>
  </r>
  <r>
    <x v="301"/>
    <x v="2"/>
    <x v="1"/>
    <n v="8"/>
    <n v="21"/>
    <x v="2"/>
    <x v="10"/>
    <x v="1"/>
    <x v="2"/>
    <x v="241"/>
    <n v="2.2799999999999998"/>
    <n v="46.9"/>
    <n v="3"/>
    <n v="1"/>
    <s v="Order"/>
    <n v="19.8"/>
    <n v="9.3425619557334905"/>
    <n v="8.6842105263157912"/>
    <n v="4.0976148928655665"/>
    <n v="6.6000000000000005"/>
    <n v="0.42217484008528788"/>
    <n v="1.3157894736842106"/>
    <n v="15.633333333333333"/>
    <d v="1899-12-30T00:45:36"/>
    <n v="-15.978586550088338"/>
    <n v="18.720893141945773"/>
    <n v="-10.036682615629982"/>
    <n v="48.435111111111127"/>
  </r>
  <r>
    <x v="302"/>
    <x v="2"/>
    <x v="1"/>
    <n v="9"/>
    <n v="22"/>
    <x v="3"/>
    <x v="2"/>
    <x v="3"/>
    <x v="2"/>
    <x v="168"/>
    <n v="4.4000000000000004"/>
    <n v="106"/>
    <n v="8"/>
    <n v="3"/>
    <s v="Order"/>
    <n v="90.36"/>
    <n v="66.724852181401914"/>
    <n v="20.536363636363635"/>
    <n v="15.164739132136797"/>
    <n v="11.295"/>
    <n v="0.85245283018867923"/>
    <n v="1.8181818181818181"/>
    <n v="13.25"/>
    <d v="1899-12-30T00:33:00"/>
    <s v=""/>
    <n v="18.734097495073303"/>
    <n v="1.8022661412903318"/>
    <n v="49.439111111111124"/>
  </r>
  <r>
    <x v="303"/>
    <x v="2"/>
    <x v="1"/>
    <n v="9"/>
    <n v="22"/>
    <x v="5"/>
    <x v="2"/>
    <x v="1"/>
    <x v="4"/>
    <x v="242"/>
    <n v="4.63"/>
    <n v="92"/>
    <n v="11"/>
    <n v="3"/>
    <s v="Order"/>
    <n v="100.25999999999999"/>
    <n v="79.74647547819788"/>
    <n v="21.654427645788335"/>
    <n v="17.223860794427189"/>
    <n v="9.1145454545454534"/>
    <n v="1.0897826086956521"/>
    <n v="2.3758099352051838"/>
    <n v="8.3636363636363633"/>
    <d v="1899-12-30T00:25:15"/>
    <n v="1.7433959176563931"/>
    <n v="21.882177824775361"/>
    <n v="-0.22775017898702643"/>
    <n v="49.261444444444464"/>
  </r>
  <r>
    <x v="304"/>
    <x v="2"/>
    <x v="1"/>
    <n v="9"/>
    <n v="22"/>
    <x v="0"/>
    <x v="5"/>
    <x v="0"/>
    <x v="2"/>
    <x v="243"/>
    <n v="7.85"/>
    <n v="167"/>
    <n v="15"/>
    <n v="3"/>
    <s v="Hourly"/>
    <n v="182.65"/>
    <n v="145.4134935310766"/>
    <n v="23.267515923566879"/>
    <n v="18.524011914786829"/>
    <n v="12.176666666666668"/>
    <n v="1.0937125748502994"/>
    <n v="1.910828025477707"/>
    <n v="11.133333333333333"/>
    <d v="1899-12-30T00:31:24"/>
    <n v="-4.051320706548232"/>
    <n v="22.313396922264502"/>
    <n v="0.95411900130237726"/>
    <n v="50.682555555555567"/>
  </r>
  <r>
    <x v="305"/>
    <x v="2"/>
    <x v="1"/>
    <n v="10"/>
    <n v="23"/>
    <x v="5"/>
    <x v="2"/>
    <x v="1"/>
    <x v="4"/>
    <x v="244"/>
    <n v="3.97"/>
    <n v="81"/>
    <n v="5"/>
    <n v="1"/>
    <s v="Order"/>
    <n v="52.38"/>
    <n v="34.319179497109012"/>
    <n v="13.193954659949622"/>
    <n v="8.6446295962491213"/>
    <n v="10.476000000000001"/>
    <n v="0.64666666666666672"/>
    <n v="1.2594458438287153"/>
    <n v="16.2"/>
    <d v="1899-12-30T00:47:38"/>
    <n v="-7.0657562517135979"/>
    <n v="18.692679503627101"/>
    <n v="-5.4987248436774792"/>
    <n v="45.94122222222223"/>
  </r>
  <r>
    <x v="306"/>
    <x v="2"/>
    <x v="1"/>
    <n v="10"/>
    <n v="23"/>
    <x v="6"/>
    <x v="2"/>
    <x v="0"/>
    <x v="4"/>
    <x v="47"/>
    <n v="4.87"/>
    <n v="64"/>
    <n v="13"/>
    <n v="1"/>
    <s v="Order"/>
    <n v="108"/>
    <n v="93.729722071789837"/>
    <n v="22.17659137577002"/>
    <n v="19.246349501394217"/>
    <n v="8.3076923076923084"/>
    <n v="1.6875"/>
    <n v="2.6694045174537986"/>
    <n v="4.9230769230769234"/>
    <d v="1899-12-30T00:22:29"/>
    <n v="-1.5985572216346071"/>
    <n v="27.094757647407121"/>
    <n v="-4.9181662716371015"/>
    <n v="46.686444444444454"/>
  </r>
  <r>
    <x v="307"/>
    <x v="2"/>
    <x v="1"/>
    <n v="10"/>
    <n v="23"/>
    <x v="0"/>
    <x v="2"/>
    <x v="0"/>
    <x v="4"/>
    <x v="245"/>
    <n v="5.08"/>
    <n v="118"/>
    <n v="9"/>
    <n v="2"/>
    <s v="Order"/>
    <n v="113.58"/>
    <n v="87.269175069862513"/>
    <n v="22.358267716535433"/>
    <n v="17.178971470445376"/>
    <n v="12.62"/>
    <n v="0.96254237288135591"/>
    <n v="1.7716535433070866"/>
    <n v="13.111111111111111"/>
    <d v="1899-12-30T00:33:52"/>
    <n v="-4.2853487958216405"/>
    <n v="20.101809097414456"/>
    <n v="2.256458619120977"/>
    <n v="46.20788888888891"/>
  </r>
  <r>
    <x v="308"/>
    <x v="2"/>
    <x v="1"/>
    <n v="11"/>
    <n v="24"/>
    <x v="0"/>
    <x v="2"/>
    <x v="0"/>
    <x v="5"/>
    <x v="246"/>
    <n v="5.43"/>
    <n v="112"/>
    <n v="10"/>
    <n v="3"/>
    <s v="Hourly"/>
    <n v="112.88"/>
    <n v="87.907013625632203"/>
    <n v="20.788213627992633"/>
    <n v="16.189136947630242"/>
    <n v="11.288"/>
    <n v="1.0078571428571428"/>
    <n v="1.8416206261510131"/>
    <n v="11.2"/>
    <d v="1899-12-30T00:32:35"/>
    <n v="-5.2432101992470663"/>
    <n v="23.104506448136657"/>
    <n v="-2.3162928201440245"/>
    <n v="43.980333333333355"/>
  </r>
  <r>
    <x v="309"/>
    <x v="2"/>
    <x v="1"/>
    <n v="11"/>
    <n v="24"/>
    <x v="1"/>
    <x v="2"/>
    <x v="0"/>
    <x v="1"/>
    <x v="247"/>
    <n v="4.2"/>
    <n v="81"/>
    <n v="14"/>
    <n v="3"/>
    <s v="Order"/>
    <n v="118.8"/>
    <n v="100.73917949710901"/>
    <n v="28.285714285714285"/>
    <n v="23.985518927883096"/>
    <n v="8.4857142857142858"/>
    <n v="1.4666666666666666"/>
    <n v="3.333333333333333"/>
    <n v="5.7857142857142856"/>
    <d v="1899-12-30T00:18:00"/>
    <n v="0.75952897009602083"/>
    <n v="22.337827564977648"/>
    <n v="5.947886720736637"/>
    <n v="45.300333333333356"/>
  </r>
  <r>
    <x v="310"/>
    <x v="2"/>
    <x v="1"/>
    <n v="13"/>
    <n v="26"/>
    <x v="4"/>
    <x v="10"/>
    <x v="3"/>
    <x v="1"/>
    <x v="147"/>
    <n v="5.45"/>
    <n v="120"/>
    <n v="10"/>
    <n v="4"/>
    <s v="Order"/>
    <n v="105.32"/>
    <n v="78.563228884605934"/>
    <n v="19.324770642201834"/>
    <n v="14.415271354973566"/>
    <n v="10.532"/>
    <n v="0.8776666666666666"/>
    <n v="1.8348623853211008"/>
    <n v="12"/>
    <d v="1899-12-30T00:32:42"/>
    <n v="4.0179524603836541"/>
    <n v="20.492635020175374"/>
    <n v="-1.1678643779735403"/>
    <n v="42.437444444444466"/>
  </r>
  <r>
    <x v="311"/>
    <x v="2"/>
    <x v="1"/>
    <n v="13"/>
    <n v="26"/>
    <x v="5"/>
    <x v="9"/>
    <x v="1"/>
    <x v="5"/>
    <x v="248"/>
    <n v="4.07"/>
    <n v="93"/>
    <n v="7"/>
    <n v="2"/>
    <s v="Order"/>
    <n v="61.18"/>
    <n v="40.443502385569602"/>
    <n v="15.031941031941031"/>
    <n v="9.9369784731129229"/>
    <n v="8.74"/>
    <n v="0.65784946236559139"/>
    <n v="1.7199017199017197"/>
    <n v="13.285714285714286"/>
    <d v="1899-12-30T00:34:53"/>
    <n v="-4.050143837769923"/>
    <n v="14.873473218905231"/>
    <n v="0.15846781303580038"/>
    <n v="42.025666666666673"/>
  </r>
  <r>
    <x v="312"/>
    <x v="2"/>
    <x v="1"/>
    <n v="13"/>
    <n v="26"/>
    <x v="0"/>
    <x v="10"/>
    <x v="3"/>
    <x v="4"/>
    <x v="248"/>
    <n v="5.07"/>
    <n v="114"/>
    <n v="8"/>
    <n v="3"/>
    <s v="Order"/>
    <n v="109.46000000000001"/>
    <n v="84.041067440375656"/>
    <n v="21.589743589743591"/>
    <n v="16.576147424137208"/>
    <n v="13.682500000000001"/>
    <n v="0.96017543859649135"/>
    <n v="1.5779092702169624"/>
    <n v="14.25"/>
    <d v="1899-12-30T00:38:02"/>
    <s v=""/>
    <n v="26.982702895536416"/>
    <n v="-5.3929593057928251"/>
    <n v="41.215000000000011"/>
  </r>
  <r>
    <x v="313"/>
    <x v="2"/>
    <x v="2"/>
    <n v="2"/>
    <n v="28"/>
    <x v="5"/>
    <x v="2"/>
    <x v="1"/>
    <x v="8"/>
    <x v="46"/>
    <n v="5.93"/>
    <n v="109"/>
    <n v="13"/>
    <n v="3"/>
    <s v="Order"/>
    <n v="120.53999999999999"/>
    <n v="96.235932903517053"/>
    <n v="20.327150084317033"/>
    <n v="16.228656476141158"/>
    <n v="9.2723076923076917"/>
    <n v="1.1058715596330275"/>
    <n v="2.1922428330522767"/>
    <n v="8.384615384615385"/>
    <d v="1899-12-30T00:27:22"/>
    <n v="-3.4540894635271044"/>
    <n v="20.380241708825185"/>
    <n v="-5.309162450815208E-2"/>
    <n v="35.934777777777782"/>
  </r>
  <r>
    <x v="314"/>
    <x v="2"/>
    <x v="2"/>
    <n v="2"/>
    <n v="28"/>
    <x v="0"/>
    <x v="2"/>
    <x v="1"/>
    <x v="8"/>
    <x v="64"/>
    <n v="7.85"/>
    <n v="140.80000000000001"/>
    <n v="11"/>
    <n v="2"/>
    <s v="Order"/>
    <n v="175.13"/>
    <n v="143.73538855793763"/>
    <n v="22.309554140127389"/>
    <n v="18.310240580628999"/>
    <n v="15.92090909090909"/>
    <n v="1.2438210227272726"/>
    <n v="1.4012738853503186"/>
    <n v="12.8"/>
    <d v="1899-12-30T00:42:49"/>
    <n v="-0.15579725560331781"/>
    <n v="19.758050348801941"/>
    <n v="2.5515037913254481"/>
    <n v="37.880666666666677"/>
  </r>
  <r>
    <x v="315"/>
    <x v="2"/>
    <x v="2"/>
    <n v="2"/>
    <n v="28"/>
    <x v="1"/>
    <x v="2"/>
    <x v="3"/>
    <x v="8"/>
    <x v="147"/>
    <n v="5.38"/>
    <n v="116"/>
    <n v="12"/>
    <n v="3"/>
    <s v="Order"/>
    <n v="97.22999999999999"/>
    <n v="71.365121255119064"/>
    <n v="18.072490706319702"/>
    <n v="13.264892426602056"/>
    <n v="8.1024999999999991"/>
    <n v="0.83818965517241373"/>
    <n v="2.2304832713754648"/>
    <n v="9.6666666666666661"/>
    <d v="1899-12-30T00:26:54"/>
    <s v=""/>
    <n v="18.072490706319702"/>
    <n v="0"/>
    <n v="38.961000000000006"/>
  </r>
  <r>
    <x v="316"/>
    <x v="2"/>
    <x v="2"/>
    <n v="2"/>
    <n v="28"/>
    <x v="2"/>
    <x v="2"/>
    <x v="2"/>
    <x v="9"/>
    <x v="64"/>
    <n v="4.95"/>
    <n v="81"/>
    <n v="11"/>
    <n v="4"/>
    <s v="Order"/>
    <n v="86.87"/>
    <n v="68.809179497109014"/>
    <n v="17.549494949494949"/>
    <n v="13.900844342850306"/>
    <n v="7.8972727272727274"/>
    <n v="1.0724691358024692"/>
    <n v="2.2222222222222223"/>
    <n v="7.3636363636363633"/>
    <d v="1899-12-30T00:27:00"/>
    <n v="-6.6101824698598897"/>
    <n v="17.549494949494949"/>
    <n v="0"/>
    <n v="39.926222222222229"/>
  </r>
  <r>
    <x v="317"/>
    <x v="2"/>
    <x v="2"/>
    <n v="3"/>
    <n v="29"/>
    <x v="4"/>
    <x v="2"/>
    <x v="1"/>
    <x v="2"/>
    <x v="249"/>
    <n v="5.98"/>
    <n v="115"/>
    <n v="12"/>
    <n v="3"/>
    <s v="Order"/>
    <n v="112.93"/>
    <n v="87.288094347747375"/>
    <n v="18.884615384615383"/>
    <n v="14.596671295609928"/>
    <n v="9.4108333333333345"/>
    <n v="0.9820000000000001"/>
    <n v="2.0066889632107023"/>
    <n v="9.5833333333333339"/>
    <d v="1899-12-30T00:29:54"/>
    <n v="-4.3735664217759869"/>
    <n v="21.063307692307692"/>
    <n v="-2.1786923076923088"/>
    <n v="41.181000000000004"/>
  </r>
  <r>
    <x v="318"/>
    <x v="2"/>
    <x v="2"/>
    <n v="3"/>
    <n v="29"/>
    <x v="5"/>
    <x v="2"/>
    <x v="1"/>
    <x v="8"/>
    <x v="250"/>
    <n v="5.6"/>
    <n v="129"/>
    <n v="12"/>
    <n v="3"/>
    <s v="Order"/>
    <n v="103.98"/>
    <n v="75.216471050951384"/>
    <n v="18.567857142857143"/>
    <n v="13.43151268766989"/>
    <n v="8.6650000000000009"/>
    <n v="0.80604651162790697"/>
    <n v="2.1428571428571428"/>
    <n v="10.75"/>
    <d v="1899-12-30T00:28:00"/>
    <n v="-4.6377008277324769"/>
    <n v="21.177052197860014"/>
    <n v="-2.6091950550028713"/>
    <n v="41.173333333333332"/>
  </r>
  <r>
    <x v="319"/>
    <x v="2"/>
    <x v="2"/>
    <n v="3"/>
    <n v="29"/>
    <x v="6"/>
    <x v="2"/>
    <x v="3"/>
    <x v="8"/>
    <x v="251"/>
    <n v="5.05"/>
    <n v="117"/>
    <n v="8"/>
    <n v="1"/>
    <s v="Order"/>
    <n v="64.75"/>
    <n v="38.662148162490794"/>
    <n v="12.821782178217822"/>
    <n v="7.6558709232655042"/>
    <n v="8.09375"/>
    <n v="0.55341880341880345"/>
    <n v="1.5841584158415842"/>
    <n v="14.625"/>
    <d v="1899-12-30T00:37:53"/>
    <s v=""/>
    <n v="17.497399025616847"/>
    <n v="-4.6756168473990254"/>
    <n v="41.892777777777773"/>
  </r>
  <r>
    <x v="320"/>
    <x v="2"/>
    <x v="2"/>
    <n v="3"/>
    <n v="29"/>
    <x v="0"/>
    <x v="2"/>
    <x v="1"/>
    <x v="1"/>
    <x v="252"/>
    <n v="6.6"/>
    <n v="147.19999999999999"/>
    <n v="13"/>
    <n v="3"/>
    <s v="Order"/>
    <n v="113.83"/>
    <n v="81.00836076511662"/>
    <n v="17.246969696969696"/>
    <n v="12.273994055320701"/>
    <n v="8.7561538461538468"/>
    <n v="0.77330163043478262"/>
    <n v="1.9696969696969697"/>
    <n v="11.323076923076922"/>
    <d v="1899-12-30T00:30:28"/>
    <n v="-5.1794323848601813"/>
    <n v="19.277372919603788"/>
    <n v="-2.0304032226340922"/>
    <n v="41.696555555555555"/>
  </r>
  <r>
    <x v="321"/>
    <x v="2"/>
    <x v="2"/>
    <n v="3"/>
    <n v="29"/>
    <x v="1"/>
    <x v="6"/>
    <x v="2"/>
    <x v="9"/>
    <x v="248"/>
    <n v="6.95"/>
    <n v="95"/>
    <n v="16"/>
    <n v="2"/>
    <s v="Order"/>
    <n v="123.79"/>
    <n v="102.60755620031304"/>
    <n v="17.811510791366906"/>
    <n v="14.763677151124178"/>
    <n v="7.7368750000000004"/>
    <n v="1.3030526315789475"/>
    <n v="2.3021582733812949"/>
    <n v="5.9375"/>
    <d v="1899-12-30T00:26:04"/>
    <n v="-5.0185271848673203"/>
    <n v="20.038561698743642"/>
    <n v="-2.2270509073767357"/>
    <n v="43.072000000000003"/>
  </r>
  <r>
    <x v="322"/>
    <x v="2"/>
    <x v="2"/>
    <n v="3"/>
    <n v="29"/>
    <x v="2"/>
    <x v="21"/>
    <x v="0"/>
    <x v="4"/>
    <x v="250"/>
    <n v="2.65"/>
    <n v="62"/>
    <n v="5"/>
    <n v="3"/>
    <s v="Order"/>
    <n v="58.629999999999995"/>
    <n v="44.805668257046399"/>
    <n v="22.124528301886791"/>
    <n v="16.90779934228166"/>
    <n v="11.725999999999999"/>
    <n v="0.9456451612903225"/>
    <n v="1.8867924528301887"/>
    <n v="12.4"/>
    <d v="1899-12-30T00:31:48"/>
    <n v="-1.8184114271305916"/>
    <n v="22.124528301886791"/>
    <n v="0"/>
    <n v="43.723444444444446"/>
  </r>
  <r>
    <x v="323"/>
    <x v="2"/>
    <x v="2"/>
    <n v="4"/>
    <n v="30"/>
    <x v="3"/>
    <x v="2"/>
    <x v="1"/>
    <x v="8"/>
    <x v="253"/>
    <n v="7.18"/>
    <n v="156.1"/>
    <n v="14"/>
    <n v="3"/>
    <s v="Order"/>
    <n v="163.4"/>
    <n v="128.59390024072491"/>
    <n v="22.757660167130922"/>
    <n v="17.910013961103747"/>
    <n v="11.671428571428573"/>
    <n v="1.0467648942985266"/>
    <n v="1.9498607242339834"/>
    <n v="11.15"/>
    <d v="1899-12-30T00:30:46"/>
    <n v="1.100977402786711"/>
    <n v="21.493139294091776"/>
    <n v="1.264520873039146"/>
    <n v="45.539000000000001"/>
  </r>
  <r>
    <x v="324"/>
    <x v="2"/>
    <x v="2"/>
    <n v="4"/>
    <n v="30"/>
    <x v="4"/>
    <x v="2"/>
    <x v="1"/>
    <x v="2"/>
    <x v="252"/>
    <n v="5.88"/>
    <n v="123"/>
    <n v="9"/>
    <n v="3"/>
    <s v="Order"/>
    <n v="115.79"/>
    <n v="88.364309606721093"/>
    <n v="19.692176870748302"/>
    <n v="15.027943810666853"/>
    <n v="12.865555555555556"/>
    <n v="0.94138211382113823"/>
    <n v="1.5306122448979591"/>
    <n v="13.666666666666666"/>
    <d v="1899-12-30T00:39:12"/>
    <n v="-2.6912916512878731"/>
    <n v="19.176198587306246"/>
    <n v="0.5159782834420561"/>
    <n v="45.812333333333342"/>
  </r>
  <r>
    <x v="325"/>
    <x v="2"/>
    <x v="2"/>
    <n v="4"/>
    <n v="30"/>
    <x v="1"/>
    <x v="11"/>
    <x v="2"/>
    <x v="9"/>
    <x v="250"/>
    <n v="8.92"/>
    <n v="171"/>
    <n v="19"/>
    <n v="5"/>
    <s v="Order"/>
    <n v="193.75"/>
    <n v="155.62160116056347"/>
    <n v="21.720852017937219"/>
    <n v="17.446367843112498"/>
    <n v="10.197368421052632"/>
    <n v="1.1330409356725146"/>
    <n v="2.1300448430493275"/>
    <n v="9"/>
    <d v="1899-12-30T00:28:10"/>
    <n v="0.56365643665876419"/>
    <n v="18.936657968408081"/>
    <n v="2.7841940495291375"/>
    <n v="42.73266666666666"/>
  </r>
  <r>
    <x v="326"/>
    <x v="2"/>
    <x v="2"/>
    <n v="5"/>
    <n v="31"/>
    <x v="3"/>
    <x v="10"/>
    <x v="1"/>
    <x v="2"/>
    <x v="251"/>
    <n v="3.43"/>
    <n v="78.8"/>
    <n v="6"/>
    <n v="2"/>
    <s v="Order"/>
    <n v="50.69"/>
    <n v="33.119720300891231"/>
    <n v="14.778425655976674"/>
    <n v="9.6558951314551695"/>
    <n v="8.4483333333333324"/>
    <n v="0.64327411167512694"/>
    <n v="1.749271137026239"/>
    <n v="13.133333333333333"/>
    <d v="1899-12-30T00:34:18"/>
    <n v="-7.0617533421653196"/>
    <n v="21.130380645893315"/>
    <n v="-6.3519549899166403"/>
    <n v="43.295888888888882"/>
  </r>
  <r>
    <x v="327"/>
    <x v="2"/>
    <x v="2"/>
    <n v="5"/>
    <n v="31"/>
    <x v="1"/>
    <x v="12"/>
    <x v="2"/>
    <x v="4"/>
    <x v="247"/>
    <n v="8.57"/>
    <n v="116"/>
    <n v="19"/>
    <n v="4"/>
    <s v="Order"/>
    <n v="198.07999999999998"/>
    <n v="172.21512125511907"/>
    <n v="23.113185530921818"/>
    <n v="20.095113331985889"/>
    <n v="10.425263157894737"/>
    <n v="1.7075862068965515"/>
    <n v="2.2170361726954493"/>
    <n v="6.1052631578947372"/>
    <d v="1899-12-30T00:27:04"/>
    <n v="1.8150758404786735"/>
    <n v="22.885934984497997"/>
    <n v="0.22725054642382148"/>
    <n v="41.214777777777776"/>
  </r>
  <r>
    <x v="328"/>
    <x v="2"/>
    <x v="2"/>
    <n v="6"/>
    <n v="32"/>
    <x v="3"/>
    <x v="10"/>
    <x v="1"/>
    <x v="8"/>
    <x v="146"/>
    <n v="5.53"/>
    <n v="113"/>
    <n v="9"/>
    <n v="3"/>
    <s v="Order"/>
    <n v="104.9"/>
    <n v="79.704040533003933"/>
    <n v="18.969258589511753"/>
    <n v="14.413027221158034"/>
    <n v="11.655555555555557"/>
    <n v="0.92831858407079648"/>
    <n v="1.6274864376130198"/>
    <n v="12.555555555555555"/>
    <d v="1899-12-30T00:36:52"/>
    <n v="-1.8620985026066208"/>
    <n v="21.616253226379811"/>
    <n v="-2.6469946368680581"/>
    <n v="41.48233333333333"/>
  </r>
  <r>
    <x v="329"/>
    <x v="2"/>
    <x v="2"/>
    <n v="6"/>
    <n v="32"/>
    <x v="5"/>
    <x v="1"/>
    <x v="3"/>
    <x v="2"/>
    <x v="64"/>
    <n v="4.45"/>
    <n v="109"/>
    <n v="8"/>
    <n v="3"/>
    <s v="Order"/>
    <n v="66.69"/>
    <n v="42.385932903517059"/>
    <n v="14.986516853932583"/>
    <n v="9.5249287423633842"/>
    <n v="8.3362499999999997"/>
    <n v="0.61183486238532103"/>
    <n v="1.797752808988764"/>
    <n v="13.625"/>
    <d v="1899-12-30T00:33:23"/>
    <s v=""/>
    <n v="15.763025868826759"/>
    <n v="-0.77650901489417556"/>
    <n v="40.238777777777777"/>
  </r>
  <r>
    <x v="330"/>
    <x v="2"/>
    <x v="2"/>
    <n v="6"/>
    <n v="32"/>
    <x v="0"/>
    <x v="2"/>
    <x v="0"/>
    <x v="10"/>
    <x v="230"/>
    <n v="4.28"/>
    <n v="85"/>
    <n v="11"/>
    <n v="1"/>
    <s v="Order"/>
    <n v="73.69"/>
    <n v="54.737287126595874"/>
    <n v="17.217289719626166"/>
    <n v="12.789085777242025"/>
    <n v="6.6990909090909092"/>
    <n v="0.86694117647058822"/>
    <n v="2.570093457943925"/>
    <n v="7.7272727272727275"/>
    <d v="1899-12-30T00:23:21"/>
    <n v="-7.2013983655264369"/>
    <n v="17.967106899099438"/>
    <n v="-0.74981717947327198"/>
    <n v="39.335999999999999"/>
  </r>
  <r>
    <x v="331"/>
    <x v="2"/>
    <x v="2"/>
    <n v="6"/>
    <n v="32"/>
    <x v="1"/>
    <x v="7"/>
    <x v="2"/>
    <x v="2"/>
    <x v="252"/>
    <n v="9.2200000000000006"/>
    <n v="162"/>
    <n v="18"/>
    <n v="3"/>
    <s v="Order"/>
    <n v="191.78"/>
    <n v="155.65835899421802"/>
    <n v="20.800433839479393"/>
    <n v="16.882685357290455"/>
    <n v="10.654444444444444"/>
    <n v="1.1838271604938271"/>
    <n v="1.9522776572668112"/>
    <n v="9"/>
    <d v="1899-12-30T00:30:44"/>
    <n v="-0.86069101905948742"/>
    <n v="19.537625371175935"/>
    <n v="1.2628084683034579"/>
    <n v="40.646111111111111"/>
  </r>
  <r>
    <x v="332"/>
    <x v="2"/>
    <x v="2"/>
    <n v="6"/>
    <n v="32"/>
    <x v="2"/>
    <x v="7"/>
    <x v="2"/>
    <x v="2"/>
    <x v="251"/>
    <n v="4.05"/>
    <n v="68"/>
    <n v="7"/>
    <n v="3"/>
    <s v="Order"/>
    <n v="78.960000000000008"/>
    <n v="63.797829701276711"/>
    <n v="19.4962962962963"/>
    <n v="15.752550543525114"/>
    <n v="11.280000000000001"/>
    <n v="1.1611764705882355"/>
    <n v="1.7283950617283952"/>
    <n v="9.7142857142857135"/>
    <d v="1899-12-30T00:34:43"/>
    <n v="-1.3582898881285956"/>
    <n v="22.915748241573912"/>
    <n v="-3.4194519452776113"/>
    <n v="41.523444444444443"/>
  </r>
  <r>
    <x v="333"/>
    <x v="2"/>
    <x v="2"/>
    <n v="7"/>
    <n v="33"/>
    <x v="3"/>
    <x v="10"/>
    <x v="3"/>
    <x v="2"/>
    <x v="176"/>
    <n v="5.48"/>
    <n v="132"/>
    <n v="9"/>
    <n v="2"/>
    <s v="Hourly"/>
    <n v="85.910000000000011"/>
    <n v="56.477551773066544"/>
    <n v="15.677007299270073"/>
    <n v="10.30612258632601"/>
    <n v="9.5455555555555573"/>
    <n v="0.65083333333333337"/>
    <n v="1.6423357664233575"/>
    <n v="14.666666666666666"/>
    <d v="1899-12-30T00:36:32"/>
    <s v=""/>
    <n v="15.658282216918668"/>
    <n v="1.8725082351405575E-2"/>
    <n v="42.478000000000002"/>
  </r>
  <r>
    <x v="334"/>
    <x v="2"/>
    <x v="2"/>
    <n v="7"/>
    <n v="33"/>
    <x v="4"/>
    <x v="10"/>
    <x v="0"/>
    <x v="4"/>
    <x v="146"/>
    <n v="4.97"/>
    <n v="124"/>
    <n v="9"/>
    <n v="3"/>
    <s v="Order"/>
    <n v="106.41999999999999"/>
    <n v="78.771336514092795"/>
    <n v="21.412474849094565"/>
    <n v="15.849363483720886"/>
    <n v="11.824444444444444"/>
    <n v="0.85822580645161284"/>
    <n v="1.8108651911468814"/>
    <n v="13.777777777777779"/>
    <d v="1899-12-30T00:33:08"/>
    <n v="-1.1269720567917965"/>
    <n v="17.127735570511192"/>
    <n v="4.2847392785833733"/>
    <n v="42.771999999999998"/>
  </r>
  <r>
    <x v="335"/>
    <x v="2"/>
    <x v="2"/>
    <n v="7"/>
    <n v="33"/>
    <x v="6"/>
    <x v="9"/>
    <x v="1"/>
    <x v="5"/>
    <x v="252"/>
    <n v="2.92"/>
    <n v="69"/>
    <n v="5"/>
    <n v="2"/>
    <s v="Order"/>
    <n v="57.32"/>
    <n v="41.934856608648417"/>
    <n v="19.63013698630137"/>
    <n v="14.361252263235759"/>
    <n v="11.464"/>
    <n v="0.83072463768115945"/>
    <n v="1.7123287671232876"/>
    <n v="13.8"/>
    <d v="1899-12-30T00:35:02"/>
    <n v="-2.3585751349107511"/>
    <n v="17.47428262633742"/>
    <n v="2.1558543599639499"/>
    <n v="41.988888888888901"/>
  </r>
  <r>
    <x v="336"/>
    <x v="2"/>
    <x v="2"/>
    <n v="7"/>
    <n v="33"/>
    <x v="0"/>
    <x v="2"/>
    <x v="0"/>
    <x v="2"/>
    <x v="252"/>
    <n v="3.27"/>
    <n v="67"/>
    <n v="5"/>
    <n v="2"/>
    <s v="Hourly"/>
    <n v="51.76"/>
    <n v="36.820802793904981"/>
    <n v="15.82874617737003"/>
    <n v="11.260184340643725"/>
    <n v="10.352"/>
    <n v="0.77253731343283583"/>
    <n v="1.5290519877675841"/>
    <n v="13.4"/>
    <d v="1899-12-30T00:39:14"/>
    <n v="-7.3897088468615006"/>
    <n v="19.306427700229733"/>
    <n v="-3.4776815228597027"/>
    <n v="42.564000000000014"/>
  </r>
  <r>
    <x v="337"/>
    <x v="2"/>
    <x v="2"/>
    <n v="8"/>
    <n v="34"/>
    <x v="5"/>
    <x v="2"/>
    <x v="1"/>
    <x v="5"/>
    <x v="230"/>
    <n v="5.57"/>
    <n v="95"/>
    <n v="14"/>
    <n v="2"/>
    <s v="Order"/>
    <n v="131.44"/>
    <n v="110.25755620031303"/>
    <n v="23.597845601436266"/>
    <n v="19.794893393233938"/>
    <n v="9.3885714285714279"/>
    <n v="1.383578947368421"/>
    <n v="2.5134649910233393"/>
    <n v="6.7857142857142856"/>
    <d v="1899-12-30T00:23:52"/>
    <n v="1.0548163205227148"/>
    <n v="23.323781261793304"/>
    <n v="0.27406433964296184"/>
    <n v="43.365888888888904"/>
  </r>
  <r>
    <x v="338"/>
    <x v="2"/>
    <x v="2"/>
    <n v="8"/>
    <n v="34"/>
    <x v="6"/>
    <x v="9"/>
    <x v="1"/>
    <x v="5"/>
    <x v="230"/>
    <n v="4.0199999999999996"/>
    <n v="88"/>
    <n v="11"/>
    <n v="2"/>
    <s v="Hourly"/>
    <n v="97.8"/>
    <n v="78.178367848711019"/>
    <n v="24.328358208955226"/>
    <n v="19.447355186246526"/>
    <n v="8.8909090909090907"/>
    <n v="1.1113636363636363"/>
    <n v="2.7363184079601992"/>
    <n v="8"/>
    <d v="1899-12-30T00:21:56"/>
    <n v="2.9292898714707931"/>
    <n v="20.801092160105405"/>
    <n v="3.5272660488498211"/>
    <n v="44.45255555555557"/>
  </r>
  <r>
    <x v="339"/>
    <x v="2"/>
    <x v="2"/>
    <n v="8"/>
    <n v="34"/>
    <x v="0"/>
    <x v="10"/>
    <x v="3"/>
    <x v="5"/>
    <x v="176"/>
    <n v="5.6"/>
    <n v="133"/>
    <n v="12"/>
    <n v="4"/>
    <s v="Hourly"/>
    <n v="110.04999999999998"/>
    <n v="80.394578680438229"/>
    <n v="19.651785714285712"/>
    <n v="14.356174764363971"/>
    <n v="9.1708333333333325"/>
    <n v="0.82744360902255631"/>
    <n v="2.1428571428571428"/>
    <n v="11.083333333333334"/>
    <d v="1899-12-30T00:28:00"/>
    <s v=""/>
    <n v="25.991327331647295"/>
    <n v="-6.3395416173615828"/>
    <n v="45.675333333333349"/>
  </r>
  <r>
    <x v="340"/>
    <x v="2"/>
    <x v="2"/>
    <n v="8"/>
    <n v="34"/>
    <x v="1"/>
    <x v="10"/>
    <x v="2"/>
    <x v="5"/>
    <x v="146"/>
    <n v="5.37"/>
    <n v="64"/>
    <n v="15"/>
    <n v="2"/>
    <s v="Hourly"/>
    <n v="104.25"/>
    <n v="89.979722071789837"/>
    <n v="19.41340782122905"/>
    <n v="16.756000385808164"/>
    <n v="6.95"/>
    <n v="1.62890625"/>
    <n v="2.7932960893854748"/>
    <n v="4.2666666666666666"/>
    <d v="1899-12-30T00:21:29"/>
    <n v="-2.1042685341332472"/>
    <n v="19.755357688810538"/>
    <n v="-0.34194986758148715"/>
    <n v="46.613666666666681"/>
  </r>
  <r>
    <x v="341"/>
    <x v="2"/>
    <x v="2"/>
    <n v="8"/>
    <n v="34"/>
    <x v="2"/>
    <x v="10"/>
    <x v="2"/>
    <x v="2"/>
    <x v="251"/>
    <n v="1.38"/>
    <n v="29"/>
    <n v="2"/>
    <n v="1"/>
    <s v="Hourly"/>
    <n v="20.39"/>
    <n v="13.923780313779769"/>
    <n v="14.775362318840582"/>
    <n v="10.089695879550558"/>
    <n v="10.195"/>
    <n v="0.70310344827586213"/>
    <n v="1.4492753623188408"/>
    <n v="14.5"/>
    <d v="1899-12-30T00:41:24"/>
    <n v="-5.6264605695414502"/>
    <n v="20.818424402663531"/>
    <n v="-6.0430620838229494"/>
    <n v="45.836222222222233"/>
  </r>
  <r>
    <x v="342"/>
    <x v="2"/>
    <x v="2"/>
    <n v="9"/>
    <n v="35"/>
    <x v="5"/>
    <x v="1"/>
    <x v="0"/>
    <x v="2"/>
    <x v="252"/>
    <n v="4.0199999999999996"/>
    <n v="104"/>
    <n v="8"/>
    <n v="1"/>
    <s v="Hourly"/>
    <n v="82.61"/>
    <n v="59.420798366658481"/>
    <n v="20.549751243781095"/>
    <n v="14.78129312603445"/>
    <n v="10.32625"/>
    <n v="0.7943269230769231"/>
    <n v="1.9900497512437814"/>
    <n v="13"/>
    <d v="1899-12-30T00:30:09"/>
    <n v="0.11641791044775829"/>
    <n v="24.84553283501565"/>
    <n v="-4.2957815912345545"/>
    <n v="45.640111111111118"/>
  </r>
  <r>
    <x v="343"/>
    <x v="2"/>
    <x v="2"/>
    <n v="9"/>
    <n v="35"/>
    <x v="6"/>
    <x v="2"/>
    <x v="1"/>
    <x v="5"/>
    <x v="146"/>
    <n v="3.25"/>
    <n v="67"/>
    <n v="6"/>
    <n v="3"/>
    <s v="Order"/>
    <n v="55.68"/>
    <n v="40.740802793904983"/>
    <n v="17.132307692307691"/>
    <n v="12.535631628893841"/>
    <n v="9.2799999999999994"/>
    <n v="0.83104477611940297"/>
    <n v="1.8461538461538463"/>
    <n v="11.166666666666666"/>
    <d v="1899-12-30T00:32:30"/>
    <n v="-4.8526186194708991"/>
    <n v="18.697475216463797"/>
    <n v="-1.5651675241561058"/>
    <n v="44.229333333333344"/>
  </r>
  <r>
    <x v="344"/>
    <x v="2"/>
    <x v="2"/>
    <n v="9"/>
    <n v="35"/>
    <x v="0"/>
    <x v="10"/>
    <x v="0"/>
    <x v="4"/>
    <x v="230"/>
    <n v="7.03"/>
    <n v="117"/>
    <n v="13"/>
    <n v="5"/>
    <s v="Order"/>
    <n v="173.74"/>
    <n v="147.65214816249079"/>
    <n v="24.714082503556188"/>
    <n v="21.003150520980196"/>
    <n v="13.364615384615385"/>
    <n v="1.4849572649572651"/>
    <n v="1.8492176386913228"/>
    <n v="9"/>
    <d v="1899-12-30T00:32:27"/>
    <n v="2.5513001717334447"/>
    <n v="23.151453859227949"/>
    <n v="1.5626286443282389"/>
    <n v="46.159777777777791"/>
  </r>
  <r>
    <x v="345"/>
    <x v="2"/>
    <x v="2"/>
    <n v="9"/>
    <n v="35"/>
    <x v="1"/>
    <x v="3"/>
    <x v="1"/>
    <x v="9"/>
    <x v="64"/>
    <n v="8.0299999999999994"/>
    <n v="181"/>
    <n v="16"/>
    <n v="5"/>
    <s v="Order"/>
    <n v="149.58000000000001"/>
    <n v="109.22187023428063"/>
    <n v="18.627646326276466"/>
    <n v="13.601727301902944"/>
    <n v="9.3487500000000008"/>
    <n v="0.82640883977900559"/>
    <n v="1.9925280199252804"/>
    <n v="11.3125"/>
    <d v="1899-12-30T00:30:07"/>
    <n v="-2.3352568995299841"/>
    <n v="18.425763461645694"/>
    <n v="0.20188286463077176"/>
    <n v="47.82177777777779"/>
  </r>
  <r>
    <x v="346"/>
    <x v="2"/>
    <x v="2"/>
    <n v="10"/>
    <n v="36"/>
    <x v="4"/>
    <x v="10"/>
    <x v="0"/>
    <x v="1"/>
    <x v="64"/>
    <n v="3.82"/>
    <n v="71"/>
    <n v="12"/>
    <n v="3"/>
    <s v="Order"/>
    <n v="80.94"/>
    <n v="65.108910423391848"/>
    <n v="21.188481675392669"/>
    <n v="17.044217388322473"/>
    <n v="6.7450000000000001"/>
    <n v="1.1399999999999999"/>
    <n v="3.1413612565445028"/>
    <n v="5.916666666666667"/>
    <d v="1899-12-30T00:19:06"/>
    <n v="-1.0692222162957421"/>
    <n v="21.806363018460878"/>
    <n v="-0.61788134306820908"/>
    <n v="48.139111111111113"/>
  </r>
  <r>
    <x v="347"/>
    <x v="2"/>
    <x v="2"/>
    <n v="10"/>
    <n v="36"/>
    <x v="5"/>
    <x v="2"/>
    <x v="1"/>
    <x v="8"/>
    <x v="64"/>
    <n v="5.17"/>
    <n v="98"/>
    <n v="10"/>
    <n v="3"/>
    <s v="Order"/>
    <n v="106.1"/>
    <n v="84.248636922428176"/>
    <n v="20.522243713733076"/>
    <n v="16.295674453080885"/>
    <n v="10.61"/>
    <n v="1.0826530612244898"/>
    <n v="1.9342359767891684"/>
    <n v="9.8000000000000007"/>
    <d v="1899-12-30T00:31:01"/>
    <n v="-2.1526376072458149"/>
    <n v="25.564780393451905"/>
    <n v="-5.0425366797188289"/>
    <n v="48.118000000000009"/>
  </r>
  <r>
    <x v="348"/>
    <x v="2"/>
    <x v="2"/>
    <n v="10"/>
    <n v="36"/>
    <x v="6"/>
    <x v="10"/>
    <x v="1"/>
    <x v="2"/>
    <x v="247"/>
    <n v="7.45"/>
    <n v="111"/>
    <n v="15"/>
    <n v="3"/>
    <s v="Order"/>
    <n v="152.05000000000001"/>
    <n v="127.2999867182605"/>
    <n v="20.409395973154364"/>
    <n v="17.087246539363825"/>
    <n v="10.136666666666667"/>
    <n v="1.3698198198198199"/>
    <n v="2.0134228187919461"/>
    <n v="7.4"/>
    <d v="1899-12-30T00:29:48"/>
    <n v="-0.76676056871241016"/>
    <n v="19.339270454773725"/>
    <n v="1.0701255183806389"/>
    <n v="48.545444444444456"/>
  </r>
  <r>
    <x v="349"/>
    <x v="2"/>
    <x v="2"/>
    <n v="10"/>
    <n v="36"/>
    <x v="0"/>
    <x v="7"/>
    <x v="2"/>
    <x v="2"/>
    <x v="252"/>
    <n v="3.87"/>
    <n v="75"/>
    <n v="8"/>
    <n v="2"/>
    <s v="Hourly"/>
    <n v="63.02"/>
    <n v="46.297018052878713"/>
    <n v="16.284237726098191"/>
    <n v="11.963053760433775"/>
    <n v="7.8775000000000004"/>
    <n v="0.84026666666666672"/>
    <n v="2.0671834625322996"/>
    <n v="9.375"/>
    <d v="1899-12-30T00:29:02"/>
    <n v="-8.3513178294573649"/>
    <n v="21.674707341206283"/>
    <n v="-5.390469615108092"/>
    <n v="49.245666666666686"/>
  </r>
  <r>
    <x v="350"/>
    <x v="2"/>
    <x v="2"/>
    <n v="10"/>
    <n v="36"/>
    <x v="1"/>
    <x v="7"/>
    <x v="0"/>
    <x v="2"/>
    <x v="176"/>
    <n v="7.38"/>
    <n v="177"/>
    <n v="18"/>
    <n v="6"/>
    <s v="Hourly"/>
    <n v="173.91"/>
    <n v="134.44376260479376"/>
    <n v="23.565040650406505"/>
    <n v="18.217312006069616"/>
    <n v="9.6616666666666671"/>
    <n v="0.98254237288135593"/>
    <n v="2.4390243902439024"/>
    <n v="9.8333333333333339"/>
    <d v="1899-12-30T00:24:36"/>
    <n v="5.1562768415837716"/>
    <n v="22.045530235932333"/>
    <n v="1.5195104144741727"/>
    <n v="51.178000000000011"/>
  </r>
  <r>
    <x v="351"/>
    <x v="2"/>
    <x v="2"/>
    <n v="11"/>
    <n v="37"/>
    <x v="5"/>
    <x v="10"/>
    <x v="0"/>
    <x v="8"/>
    <x v="253"/>
    <n v="4.75"/>
    <n v="119"/>
    <n v="10"/>
    <n v="3"/>
    <s v="Order"/>
    <n v="145.09"/>
    <n v="118.55620197723422"/>
    <n v="30.545263157894738"/>
    <n v="24.959200416259836"/>
    <n v="14.509"/>
    <n v="1.2192436974789915"/>
    <n v="2.1052631578947367"/>
    <n v="11.9"/>
    <d v="1899-12-30T00:28:30"/>
    <n v="10.053720869337521"/>
    <n v="17.244530305697353"/>
    <n v="13.300732852197385"/>
    <n v="52.790111111111131"/>
  </r>
  <r>
    <x v="352"/>
    <x v="2"/>
    <x v="2"/>
    <n v="11"/>
    <n v="37"/>
    <x v="6"/>
    <x v="10"/>
    <x v="1"/>
    <x v="8"/>
    <x v="250"/>
    <n v="5.38"/>
    <n v="107"/>
    <n v="13"/>
    <n v="2"/>
    <s v="Order"/>
    <n v="134.89999999999998"/>
    <n v="111.04187908877361"/>
    <n v="25.07434944237918"/>
    <n v="20.639754477467214"/>
    <n v="10.376923076923076"/>
    <n v="1.2607476635514017"/>
    <n v="2.4163568773234201"/>
    <n v="8.2307692307692299"/>
    <d v="1899-12-30T00:24:50"/>
    <n v="4.0077301246141772"/>
    <n v="24.77561450694693"/>
    <n v="0.29873493543225038"/>
    <n v="53.034777777777791"/>
  </r>
  <r>
    <x v="353"/>
    <x v="2"/>
    <x v="2"/>
    <n v="11"/>
    <n v="37"/>
    <x v="0"/>
    <x v="1"/>
    <x v="0"/>
    <x v="10"/>
    <x v="251"/>
    <n v="5.2"/>
    <n v="84"/>
    <n v="11"/>
    <n v="2"/>
    <s v="Order"/>
    <n v="140.01999999999998"/>
    <n v="121.29026021922414"/>
    <n v="26.926923076923071"/>
    <n v="23.325050042158487"/>
    <n v="12.729090909090907"/>
    <n v="1.6669047619047617"/>
    <n v="2.1153846153846154"/>
    <n v="7.6363636363636367"/>
    <d v="1899-12-30T00:28:22"/>
    <n v="4.4452282236336451"/>
    <n v="27.690267905647875"/>
    <n v="-0.76334482872480436"/>
    <n v="53.270555555555561"/>
  </r>
  <r>
    <x v="354"/>
    <x v="2"/>
    <x v="2"/>
    <n v="11"/>
    <n v="37"/>
    <x v="2"/>
    <x v="1"/>
    <x v="1"/>
    <x v="8"/>
    <x v="247"/>
    <n v="4.6500000000000004"/>
    <n v="111"/>
    <n v="8"/>
    <n v="2"/>
    <s v="Order"/>
    <n v="115.17999999999999"/>
    <n v="90.429986718260494"/>
    <n v="24.769892473118276"/>
    <n v="19.447308971668921"/>
    <n v="14.397499999999999"/>
    <n v="1.0376576576576575"/>
    <n v="1.7204301075268815"/>
    <n v="13.875"/>
    <d v="1899-12-30T00:34:53"/>
    <s v=""/>
    <n v="25.652020692468419"/>
    <n v="-0.88212821935014318"/>
    <n v="54.550333333333342"/>
  </r>
  <r>
    <x v="355"/>
    <x v="2"/>
    <x v="2"/>
    <n v="12"/>
    <n v="38"/>
    <x v="3"/>
    <x v="2"/>
    <x v="0"/>
    <x v="4"/>
    <x v="64"/>
    <n v="4.58"/>
    <n v="124"/>
    <n v="10"/>
    <n v="3"/>
    <s v="Order"/>
    <n v="116.56"/>
    <n v="88.91133651409281"/>
    <n v="25.449781659388645"/>
    <n v="19.412955570762623"/>
    <n v="11.656000000000001"/>
    <n v="0.94000000000000006"/>
    <n v="2.1834061135371177"/>
    <n v="12.4"/>
    <d v="1899-12-30T00:27:29"/>
    <n v="12.222576774721075"/>
    <n v="21.99424772969833"/>
    <n v="3.4555339296903149"/>
    <n v="55.845444444444453"/>
  </r>
  <r>
    <x v="356"/>
    <x v="2"/>
    <x v="2"/>
    <n v="12"/>
    <n v="38"/>
    <x v="5"/>
    <x v="2"/>
    <x v="0"/>
    <x v="5"/>
    <x v="176"/>
    <n v="3.55"/>
    <n v="79"/>
    <n v="8"/>
    <n v="1"/>
    <s v="Order"/>
    <n v="90"/>
    <n v="72.385125682365583"/>
    <n v="25.35211267605634"/>
    <n v="20.390176248553686"/>
    <n v="11.25"/>
    <n v="1.139240506329114"/>
    <n v="2.2535211267605635"/>
    <n v="9.875"/>
    <d v="1899-12-30T00:26:38"/>
    <n v="1.5093300977199533"/>
    <n v="24.018463214819"/>
    <n v="1.3336494612373393"/>
    <n v="56.845444444444453"/>
  </r>
  <r>
    <x v="357"/>
    <x v="2"/>
    <x v="2"/>
    <n v="12"/>
    <n v="38"/>
    <x v="6"/>
    <x v="1"/>
    <x v="0"/>
    <x v="2"/>
    <x v="230"/>
    <n v="0.9"/>
    <n v="22"/>
    <n v="1"/>
    <n v="1"/>
    <s v="Order"/>
    <n v="21.98"/>
    <n v="17.074591962177756"/>
    <n v="24.422222222222221"/>
    <n v="18.971768846864173"/>
    <n v="21.98"/>
    <n v="0.99909090909090914"/>
    <n v="1.1111111111111112"/>
    <n v="22"/>
    <d v="1899-12-30T00:54:00"/>
    <n v="7.9833532457188348"/>
    <n v="19.309961720695359"/>
    <n v="5.1122605015268618"/>
    <n v="57.089666666666673"/>
  </r>
  <r>
    <x v="358"/>
    <x v="2"/>
    <x v="2"/>
    <n v="12"/>
    <n v="38"/>
    <x v="1"/>
    <x v="3"/>
    <x v="0"/>
    <x v="4"/>
    <x v="230"/>
    <n v="5.17"/>
    <n v="109"/>
    <n v="10"/>
    <n v="4"/>
    <s v="Hourly"/>
    <n v="104.97000000000001"/>
    <n v="80.665932903517074"/>
    <n v="20.303675048355903"/>
    <n v="15.602694952324386"/>
    <n v="10.497000000000002"/>
    <n v="0.96302752293577998"/>
    <n v="1.9342359767891684"/>
    <n v="10.9"/>
    <d v="1899-12-30T00:31:01"/>
    <n v="1.250376634335197"/>
    <n v="20.303675048355903"/>
    <n v="0"/>
    <n v="58.256000000000007"/>
  </r>
  <r>
    <x v="359"/>
    <x v="2"/>
    <x v="2"/>
    <n v="13"/>
    <n v="39"/>
    <x v="4"/>
    <x v="2"/>
    <x v="3"/>
    <x v="2"/>
    <x v="254"/>
    <n v="3.72"/>
    <n v="87"/>
    <n v="6"/>
    <n v="2"/>
    <s v="Order"/>
    <n v="54.95"/>
    <n v="35.551340941339305"/>
    <n v="14.771505376344086"/>
    <n v="9.5568120810051891"/>
    <n v="9.1583333333333332"/>
    <n v="0.63160919540229887"/>
    <n v="1.6129032258064515"/>
    <n v="14.5"/>
    <d v="1899-12-30T00:37:12"/>
    <s v=""/>
    <n v="23.655376691383267"/>
    <n v="-8.8838713150391815"/>
    <n v="57.016555555555584"/>
  </r>
  <r>
    <x v="360"/>
    <x v="2"/>
    <x v="2"/>
    <n v="13"/>
    <n v="39"/>
    <x v="6"/>
    <x v="2"/>
    <x v="1"/>
    <x v="1"/>
    <x v="254"/>
    <n v="2.5499999999999998"/>
    <n v="71"/>
    <n v="5"/>
    <n v="1"/>
    <s v="Order"/>
    <n v="46.19"/>
    <n v="30.358910423391848"/>
    <n v="18.113725490196078"/>
    <n v="11.905455067996805"/>
    <n v="9.2379999999999995"/>
    <n v="0.65056338028169014"/>
    <n v="1.9607843137254903"/>
    <n v="14.2"/>
    <d v="1899-12-30T00:30:36"/>
    <n v="-3.4538600931456962"/>
    <n v="18.113725490196078"/>
    <n v="0"/>
    <n v="56.313555555555567"/>
  </r>
  <r>
    <x v="361"/>
    <x v="2"/>
    <x v="2"/>
    <n v="13"/>
    <n v="39"/>
    <x v="0"/>
    <x v="10"/>
    <x v="0"/>
    <x v="2"/>
    <x v="255"/>
    <n v="0.63"/>
    <n v="14"/>
    <n v="1"/>
    <n v="1"/>
    <s v="Order"/>
    <n v="11.5"/>
    <n v="8.3783767032040259"/>
    <n v="18.253968253968253"/>
    <n v="13.29901064000639"/>
    <n v="11.5"/>
    <n v="0.8214285714285714"/>
    <n v="1.5873015873015872"/>
    <n v="14"/>
    <d v="1899-12-30T00:37:48"/>
    <n v="-4.7216408463915762"/>
    <n v="26.595370713059737"/>
    <n v="-8.3414024590914835"/>
    <n v="56.441333333333347"/>
  </r>
  <r>
    <x v="362"/>
    <x v="2"/>
    <x v="2"/>
    <n v="13"/>
    <n v="39"/>
    <x v="1"/>
    <x v="7"/>
    <x v="2"/>
    <x v="2"/>
    <x v="256"/>
    <n v="9.42"/>
    <n v="126"/>
    <n v="26"/>
    <n v="5"/>
    <s v="Order"/>
    <n v="213.76000000000002"/>
    <n v="185.66539032883625"/>
    <n v="22.692144373673038"/>
    <n v="19.709701733422108"/>
    <n v="8.2215384615384615"/>
    <n v="1.6965079365079367"/>
    <n v="2.7600849256900211"/>
    <n v="4.8461538461538458"/>
    <d v="1899-12-30T00:21:44"/>
    <n v="1.4750778089012044"/>
    <n v="26.218122565395614"/>
    <n v="-3.5259781917225759"/>
    <n v="58.816444444444457"/>
  </r>
  <r>
    <x v="363"/>
    <x v="2"/>
    <x v="3"/>
    <n v="1"/>
    <n v="40"/>
    <x v="3"/>
    <x v="1"/>
    <x v="0"/>
    <x v="2"/>
    <x v="255"/>
    <n v="2.92"/>
    <n v="75"/>
    <n v="5"/>
    <n v="2"/>
    <s v="Order"/>
    <n v="70.97"/>
    <n v="54.247018052878715"/>
    <n v="24.304794520547944"/>
    <n v="18.577745908520107"/>
    <n v="14.193999999999999"/>
    <n v="0.9462666666666667"/>
    <n v="1.7123287671232876"/>
    <n v="15"/>
    <d v="1899-12-30T00:35:02"/>
    <n v="1.160148428415436"/>
    <n v="24.06211505700087"/>
    <n v="0.24267946354707348"/>
    <n v="59.605000000000018"/>
  </r>
  <r>
    <x v="364"/>
    <x v="2"/>
    <x v="3"/>
    <n v="1"/>
    <n v="40"/>
    <x v="4"/>
    <x v="9"/>
    <x v="2"/>
    <x v="2"/>
    <x v="257"/>
    <n v="3.5"/>
    <n v="63"/>
    <n v="8"/>
    <n v="3"/>
    <s v="Hourly"/>
    <n v="60.169999999999995"/>
    <n v="46.122695164418111"/>
    <n v="17.19142857142857"/>
    <n v="13.177912904119461"/>
    <n v="7.5212499999999993"/>
    <n v="0.95507936507936497"/>
    <n v="2.2857142857142856"/>
    <n v="7.875"/>
    <d v="1899-12-30T00:26:15"/>
    <n v="-0.64387745917449024"/>
    <n v="21.837681604110177"/>
    <n v="-4.6462530326816065"/>
    <n v="60.273555555555575"/>
  </r>
  <r>
    <x v="365"/>
    <x v="2"/>
    <x v="3"/>
    <n v="1"/>
    <n v="40"/>
    <x v="5"/>
    <x v="10"/>
    <x v="0"/>
    <x v="2"/>
    <x v="254"/>
    <n v="3.18"/>
    <n v="81"/>
    <n v="7"/>
    <n v="2"/>
    <s v="Hourly"/>
    <n v="61.66"/>
    <n v="43.599179497109006"/>
    <n v="19.389937106918236"/>
    <n v="13.710433804122328"/>
    <n v="8.8085714285714278"/>
    <n v="0.76123456790123456"/>
    <n v="2.2012578616352201"/>
    <n v="11.571428571428571"/>
    <d v="1899-12-30T00:27:15"/>
    <n v="-2.7673745742684446"/>
    <n v="22.445740158397388"/>
    <n v="-3.0558030514791525"/>
    <n v="60.958666666666687"/>
  </r>
  <r>
    <x v="366"/>
    <x v="2"/>
    <x v="3"/>
    <n v="1"/>
    <n v="40"/>
    <x v="6"/>
    <x v="2"/>
    <x v="1"/>
    <x v="1"/>
    <x v="258"/>
    <n v="1.25"/>
    <n v="48"/>
    <n v="2"/>
    <n v="2"/>
    <s v="Order"/>
    <n v="24.990000000000002"/>
    <n v="14.287291553842378"/>
    <n v="19.992000000000001"/>
    <n v="11.429833243073903"/>
    <n v="12.495000000000001"/>
    <n v="0.520625"/>
    <n v="1.6"/>
    <n v="24"/>
    <d v="1899-12-30T00:37:30"/>
    <n v="4.9434654002713714"/>
    <n v="15.797159782482936"/>
    <n v="4.1948402175170649"/>
    <n v="61.236333333333349"/>
  </r>
  <r>
    <x v="367"/>
    <x v="2"/>
    <x v="3"/>
    <n v="1"/>
    <n v="40"/>
    <x v="0"/>
    <x v="1"/>
    <x v="0"/>
    <x v="1"/>
    <x v="257"/>
    <n v="6.72"/>
    <n v="145"/>
    <n v="14"/>
    <n v="4"/>
    <s v="Hourly"/>
    <n v="156.98000000000002"/>
    <n v="124.64890156889886"/>
    <n v="23.360119047619051"/>
    <n v="18.548943685848045"/>
    <n v="11.212857142857144"/>
    <n v="1.0826206896551724"/>
    <n v="2.0833333333333335"/>
    <n v="10.357142857142858"/>
    <d v="1899-12-30T00:28:48"/>
    <n v="4.7351413609455051E-2"/>
    <n v="23.899665803545115"/>
    <n v="-0.53954675592606449"/>
    <n v="62.980555555555576"/>
  </r>
  <r>
    <x v="368"/>
    <x v="2"/>
    <x v="3"/>
    <n v="2"/>
    <n v="41"/>
    <x v="3"/>
    <x v="2"/>
    <x v="2"/>
    <x v="2"/>
    <x v="247"/>
    <n v="5.22"/>
    <n v="106"/>
    <n v="10"/>
    <n v="3"/>
    <s v="Hourly"/>
    <n v="77.8"/>
    <n v="54.164852181401912"/>
    <n v="14.904214559386974"/>
    <n v="10.376408463870099"/>
    <n v="7.7799999999999994"/>
    <n v="0.73396226415094334"/>
    <n v="1.9157088122605366"/>
    <n v="10.6"/>
    <d v="1899-12-30T00:31:19"/>
    <n v="-9.2482497880732115"/>
    <n v="25.660106415887583"/>
    <n v="-10.755891856500609"/>
    <n v="63.84500000000002"/>
  </r>
  <r>
    <x v="369"/>
    <x v="2"/>
    <x v="3"/>
    <n v="2"/>
    <n v="41"/>
    <x v="6"/>
    <x v="1"/>
    <x v="0"/>
    <x v="5"/>
    <x v="254"/>
    <n v="4.08"/>
    <n v="88"/>
    <n v="9"/>
    <n v="2"/>
    <s v="Order"/>
    <n v="94.3"/>
    <n v="74.678367848711019"/>
    <n v="23.112745098039216"/>
    <n v="18.303521531546817"/>
    <n v="10.477777777777778"/>
    <n v="1.071590909090909"/>
    <n v="2.2058823529411766"/>
    <n v="9.7777777777777786"/>
    <d v="1899-12-30T00:27:12"/>
    <n v="2.2461636023387292"/>
    <n v="25.855566097406705"/>
    <n v="-2.7428209993674884"/>
    <n v="61.607555555555578"/>
  </r>
  <r>
    <x v="370"/>
    <x v="2"/>
    <x v="3"/>
    <n v="2"/>
    <n v="41"/>
    <x v="0"/>
    <x v="2"/>
    <x v="0"/>
    <x v="1"/>
    <x v="254"/>
    <n v="1.8"/>
    <n v="35"/>
    <n v="5"/>
    <n v="1"/>
    <s v="Hourly"/>
    <n v="47.39"/>
    <n v="39.585941758010065"/>
    <n v="26.327777777777776"/>
    <n v="21.992189865561148"/>
    <n v="9.4779999999999998"/>
    <n v="1.3540000000000001"/>
    <n v="2.7777777777777777"/>
    <n v="7"/>
    <d v="1899-12-30T00:21:36"/>
    <n v="3.0107054698036855"/>
    <n v="28.332958593802513"/>
    <n v="-2.0051808160247369"/>
    <n v="61.05377777777781"/>
  </r>
  <r>
    <x v="371"/>
    <x v="2"/>
    <x v="3"/>
    <n v="3"/>
    <n v="42"/>
    <x v="3"/>
    <x v="2"/>
    <x v="0"/>
    <x v="2"/>
    <x v="81"/>
    <n v="4.37"/>
    <n v="69"/>
    <n v="10"/>
    <n v="2"/>
    <s v="Order"/>
    <n v="121.93"/>
    <n v="106.54485660864842"/>
    <n v="27.901601830663616"/>
    <n v="24.380974052322291"/>
    <n v="12.193000000000001"/>
    <n v="1.7671014492753625"/>
    <n v="2.2883295194508007"/>
    <n v="6.9"/>
    <d v="1899-12-30T00:26:13"/>
    <n v="4.52492605284802"/>
    <n v="24.193893597623301"/>
    <n v="3.7077082330403144"/>
    <n v="60.18855555555556"/>
  </r>
  <r>
    <x v="372"/>
    <x v="2"/>
    <x v="3"/>
    <n v="3"/>
    <n v="42"/>
    <x v="4"/>
    <x v="2"/>
    <x v="0"/>
    <x v="5"/>
    <x v="258"/>
    <n v="3.87"/>
    <n v="48"/>
    <n v="7"/>
    <n v="2"/>
    <s v="Order"/>
    <n v="62.44"/>
    <n v="51.737291553842375"/>
    <n v="16.134366925064597"/>
    <n v="13.368809187039373"/>
    <n v="8.92"/>
    <n v="1.3008333333333333"/>
    <n v="1.8087855297157622"/>
    <n v="6.8571428571428568"/>
    <d v="1899-12-30T00:33:10"/>
    <n v="-8.627220181784601"/>
    <n v="15.221578115729622"/>
    <n v="0.91278880933497497"/>
    <n v="59.727000000000004"/>
  </r>
  <r>
    <x v="373"/>
    <x v="2"/>
    <x v="3"/>
    <n v="3"/>
    <n v="42"/>
    <x v="0"/>
    <x v="2"/>
    <x v="3"/>
    <x v="2"/>
    <x v="259"/>
    <n v="5.67"/>
    <n v="127"/>
    <n v="11"/>
    <n v="1"/>
    <s v="Hourly"/>
    <n v="135.33000000000001"/>
    <n v="107.01241723620797"/>
    <n v="23.867724867724871"/>
    <n v="18.873442193334739"/>
    <n v="12.302727272727275"/>
    <n v="1.0655905511811024"/>
    <n v="1.9400352733686068"/>
    <n v="11.545454545454545"/>
    <d v="1899-12-30T00:30:56"/>
    <s v=""/>
    <n v="24.71711727802343"/>
    <n v="-0.8493924102985595"/>
    <n v="57.870999999999995"/>
  </r>
  <r>
    <x v="374"/>
    <x v="2"/>
    <x v="3"/>
    <n v="3"/>
    <n v="42"/>
    <x v="2"/>
    <x v="1"/>
    <x v="0"/>
    <x v="5"/>
    <x v="259"/>
    <n v="1.68"/>
    <n v="33"/>
    <n v="4"/>
    <n v="1"/>
    <s v="Order"/>
    <n v="50.75"/>
    <n v="43.391887943266632"/>
    <n v="30.208333333333336"/>
    <n v="25.828504728134902"/>
    <n v="12.6875"/>
    <n v="1.5378787878787878"/>
    <n v="2.3809523809523809"/>
    <n v="8.25"/>
    <d v="1899-12-30T00:25:12"/>
    <n v="11.569742505883813"/>
    <n v="25.972257118927978"/>
    <n v="4.2360762144053581"/>
    <n v="55.967888888888893"/>
  </r>
  <r>
    <x v="375"/>
    <x v="2"/>
    <x v="3"/>
    <n v="4"/>
    <n v="43"/>
    <x v="4"/>
    <x v="2"/>
    <x v="1"/>
    <x v="5"/>
    <x v="81"/>
    <n v="5.42"/>
    <n v="92"/>
    <n v="15"/>
    <n v="1"/>
    <s v="Order"/>
    <n v="126.25"/>
    <n v="105.73647547819789"/>
    <n v="23.293357933579337"/>
    <n v="19.508574811475626"/>
    <n v="8.4166666666666661"/>
    <n v="1.3722826086956521"/>
    <n v="2.7675276752767526"/>
    <n v="6.1333333333333337"/>
    <d v="1899-12-30T00:21:41"/>
    <n v="4.7757215699429736"/>
    <n v="22.257518733367181"/>
    <n v="1.0358392002121555"/>
    <n v="56.084111111111106"/>
  </r>
  <r>
    <x v="376"/>
    <x v="2"/>
    <x v="3"/>
    <n v="4"/>
    <n v="43"/>
    <x v="5"/>
    <x v="1"/>
    <x v="0"/>
    <x v="5"/>
    <x v="259"/>
    <n v="4.5"/>
    <n v="111"/>
    <n v="9"/>
    <n v="4"/>
    <s v="Order"/>
    <n v="115.52000000000001"/>
    <n v="90.769986718260498"/>
    <n v="25.671111111111113"/>
    <n v="20.171108159613443"/>
    <n v="12.835555555555556"/>
    <n v="1.0407207207207207"/>
    <n v="2"/>
    <n v="12.333333333333334"/>
    <d v="1899-12-30T00:30:00"/>
    <n v="3.9750285256358424"/>
    <n v="25.671111111111113"/>
    <n v="0"/>
    <n v="57.367666666666665"/>
  </r>
  <r>
    <x v="377"/>
    <x v="2"/>
    <x v="3"/>
    <n v="5"/>
    <n v="44"/>
    <x v="3"/>
    <x v="1"/>
    <x v="0"/>
    <x v="1"/>
    <x v="260"/>
    <n v="3.28"/>
    <n v="54"/>
    <n v="9"/>
    <n v="3"/>
    <s v="Order"/>
    <n v="93.95"/>
    <n v="81.90945299807268"/>
    <n v="28.64329268292683"/>
    <n v="24.972394206729476"/>
    <n v="10.43888888888889"/>
    <n v="1.7398148148148149"/>
    <n v="2.7439024390243905"/>
    <n v="6"/>
    <d v="1899-12-30T00:21:52"/>
    <n v="4.5124625629699011"/>
    <n v="23.348653143428958"/>
    <n v="5.2946395394978722"/>
    <n v="55.695555555555558"/>
  </r>
  <r>
    <x v="378"/>
    <x v="2"/>
    <x v="3"/>
    <n v="5"/>
    <n v="44"/>
    <x v="4"/>
    <x v="1"/>
    <x v="0"/>
    <x v="5"/>
    <x v="33"/>
    <n v="3.33"/>
    <n v="64"/>
    <n v="10"/>
    <n v="2"/>
    <s v="Order"/>
    <n v="89.179999999999993"/>
    <n v="74.90972207178983"/>
    <n v="26.780780780780777"/>
    <n v="22.495412033570521"/>
    <n v="8.9179999999999993"/>
    <n v="1.3934374999999999"/>
    <n v="3.0030030030030028"/>
    <n v="6.4"/>
    <d v="1899-12-30T00:19:59"/>
    <n v="3.7446377102884973"/>
    <n v="21.655685828705042"/>
    <n v="5.1250949520757345"/>
    <n v="56.686444444444454"/>
  </r>
  <r>
    <x v="379"/>
    <x v="2"/>
    <x v="3"/>
    <n v="5"/>
    <n v="44"/>
    <x v="5"/>
    <x v="10"/>
    <x v="3"/>
    <x v="2"/>
    <x v="257"/>
    <n v="3.52"/>
    <n v="94"/>
    <n v="6"/>
    <n v="1"/>
    <s v="Order"/>
    <n v="50.75"/>
    <n v="29.790529292941322"/>
    <n v="14.417613636363637"/>
    <n v="8.4632185491310565"/>
    <n v="8.4583333333333339"/>
    <n v="0.53989361702127658"/>
    <n v="1.7045454545454546"/>
    <n v="15.666666666666666"/>
    <d v="1899-12-30T00:35:12"/>
    <s v=""/>
    <n v="26.418192488621589"/>
    <n v="-12.000578852257952"/>
    <n v="57.250333333333337"/>
  </r>
  <r>
    <x v="380"/>
    <x v="2"/>
    <x v="3"/>
    <n v="5"/>
    <n v="44"/>
    <x v="1"/>
    <x v="3"/>
    <x v="0"/>
    <x v="2"/>
    <x v="230"/>
    <n v="6.63"/>
    <n v="126"/>
    <n v="10"/>
    <n v="5"/>
    <s v="Order"/>
    <n v="147.19999999999999"/>
    <n v="119.10539032883622"/>
    <n v="22.202111613876319"/>
    <n v="17.964613925917984"/>
    <n v="14.719999999999999"/>
    <n v="1.1682539682539681"/>
    <n v="1.5082956259426847"/>
    <n v="12.6"/>
    <d v="1899-12-30T00:39:47"/>
    <n v="5.1783020900667935"/>
    <n v="20.061507532095767"/>
    <n v="2.1406040817805518"/>
    <n v="56.684999999999995"/>
  </r>
  <r>
    <x v="381"/>
    <x v="2"/>
    <x v="3"/>
    <n v="5"/>
    <n v="44"/>
    <x v="2"/>
    <x v="21"/>
    <x v="0"/>
    <x v="5"/>
    <x v="220"/>
    <n v="5.33"/>
    <n v="126"/>
    <n v="12"/>
    <n v="3"/>
    <s v="Order"/>
    <n v="163.95999999999998"/>
    <n v="135.86539032883621"/>
    <n v="30.761726078799246"/>
    <n v="25.490692369387656"/>
    <n v="13.663333333333332"/>
    <n v="1.3012698412698411"/>
    <n v="2.2514071294559099"/>
    <n v="10.5"/>
    <d v="1899-12-30T00:26:39"/>
    <n v="9.8091867501729624"/>
    <n v="25.478956891064474"/>
    <n v="5.2827691877347718"/>
    <n v="57.341222222222214"/>
  </r>
  <r>
    <x v="382"/>
    <x v="2"/>
    <x v="3"/>
    <n v="6"/>
    <n v="45"/>
    <x v="3"/>
    <x v="9"/>
    <x v="0"/>
    <x v="5"/>
    <x v="261"/>
    <n v="4.4800000000000004"/>
    <n v="98"/>
    <n v="10"/>
    <n v="1"/>
    <s v="Order"/>
    <n v="128.74"/>
    <n v="106.88863692242819"/>
    <n v="28.736607142857142"/>
    <n v="23.859070741613433"/>
    <n v="12.874000000000001"/>
    <n v="1.3136734693877552"/>
    <n v="2.2321428571428568"/>
    <n v="9.8000000000000007"/>
    <d v="1899-12-30T00:26:53"/>
    <n v="3.9611395139045094"/>
    <n v="23.702445636735508"/>
    <n v="5.0341615061216345"/>
    <n v="58.771666666666654"/>
  </r>
  <r>
    <x v="383"/>
    <x v="2"/>
    <x v="3"/>
    <n v="6"/>
    <n v="45"/>
    <x v="4"/>
    <x v="1"/>
    <x v="0"/>
    <x v="5"/>
    <x v="261"/>
    <n v="3.97"/>
    <n v="88"/>
    <n v="10"/>
    <n v="2"/>
    <s v="Hourly"/>
    <n v="93.91"/>
    <n v="74.288367848711019"/>
    <n v="23.65491183879093"/>
    <n v="18.712435226375572"/>
    <n v="9.391"/>
    <n v="1.0671590909090909"/>
    <n v="2.5188916876574305"/>
    <n v="8.8000000000000007"/>
    <d v="1899-12-30T00:23:49"/>
    <n v="-5.3375167494316145E-3"/>
    <n v="24.067332496186882"/>
    <n v="-0.41242065739595191"/>
    <n v="59.074111111111101"/>
  </r>
  <r>
    <x v="384"/>
    <x v="2"/>
    <x v="3"/>
    <n v="6"/>
    <n v="45"/>
    <x v="5"/>
    <x v="2"/>
    <x v="0"/>
    <x v="2"/>
    <x v="261"/>
    <n v="4.12"/>
    <n v="99"/>
    <n v="10"/>
    <n v="2"/>
    <s v="Hourly"/>
    <n v="99.39"/>
    <n v="77.315663829799902"/>
    <n v="24.123786407766989"/>
    <n v="18.765937822766965"/>
    <n v="9.9390000000000001"/>
    <n v="1.0039393939393939"/>
    <n v="2.4271844660194173"/>
    <n v="9.9"/>
    <d v="1899-12-30T00:24:43"/>
    <n v="1.8598426043437399"/>
    <n v="24.123786407766989"/>
    <n v="0"/>
    <n v="60.178444444444438"/>
  </r>
  <r>
    <x v="385"/>
    <x v="2"/>
    <x v="3"/>
    <n v="6"/>
    <n v="45"/>
    <x v="0"/>
    <x v="9"/>
    <x v="0"/>
    <x v="2"/>
    <x v="260"/>
    <n v="4.67"/>
    <n v="119"/>
    <n v="9"/>
    <n v="2"/>
    <s v="Order"/>
    <n v="116.17"/>
    <n v="89.636201977234222"/>
    <n v="24.875802997858674"/>
    <n v="19.194047532598336"/>
    <n v="12.907777777777778"/>
    <n v="0.97621848739495798"/>
    <n v="1.9271948608137046"/>
    <n v="13.222222222222221"/>
    <d v="1899-12-30T00:31:08"/>
    <n v="1.3078385674009425"/>
    <n v="21.69064414780944"/>
    <n v="3.185158850049234"/>
    <n v="58.519555555555549"/>
  </r>
  <r>
    <x v="386"/>
    <x v="2"/>
    <x v="3"/>
    <n v="7"/>
    <n v="46"/>
    <x v="3"/>
    <x v="2"/>
    <x v="0"/>
    <x v="5"/>
    <x v="262"/>
    <n v="4.03"/>
    <n v="103"/>
    <n v="8"/>
    <n v="2"/>
    <s v="Order"/>
    <n v="98.53"/>
    <n v="75.56377145928677"/>
    <n v="24.449131513647643"/>
    <n v="18.750315498582324"/>
    <n v="12.31625"/>
    <n v="0.95660194174757285"/>
    <n v="1.9851116625310172"/>
    <n v="12.875"/>
    <d v="1899-12-30T00:30:14"/>
    <n v="-0.8214785545430523"/>
    <n v="23.916574509696126"/>
    <n v="0.53255700395151706"/>
    <n v="56.599999999999987"/>
  </r>
  <r>
    <x v="387"/>
    <x v="2"/>
    <x v="3"/>
    <n v="7"/>
    <n v="46"/>
    <x v="5"/>
    <x v="1"/>
    <x v="0"/>
    <x v="2"/>
    <x v="263"/>
    <n v="5.18"/>
    <n v="128"/>
    <n v="9"/>
    <n v="2"/>
    <s v="Hourly"/>
    <n v="107.86000000000001"/>
    <n v="79.319444143579688"/>
    <n v="20.822393822393828"/>
    <n v="15.312634004552065"/>
    <n v="11.984444444444446"/>
    <n v="0.84265625000000011"/>
    <n v="1.7374517374517375"/>
    <n v="14.222222222222221"/>
    <d v="1899-12-30T00:34:32"/>
    <n v="-1.6740303065723907"/>
    <n v="14.047487233777559"/>
    <n v="6.7749065886162683"/>
    <n v="57.161555555555537"/>
  </r>
  <r>
    <x v="388"/>
    <x v="2"/>
    <x v="3"/>
    <n v="7"/>
    <n v="46"/>
    <x v="0"/>
    <x v="2"/>
    <x v="2"/>
    <x v="5"/>
    <x v="264"/>
    <n v="6.3"/>
    <n v="117"/>
    <n v="15"/>
    <n v="2"/>
    <s v="Hourly"/>
    <n v="138.36000000000001"/>
    <n v="112.27214816249081"/>
    <n v="21.961904761904766"/>
    <n v="17.820975898808065"/>
    <n v="9.2240000000000002"/>
    <n v="1.1825641025641027"/>
    <n v="2.3809523809523809"/>
    <n v="7.8"/>
    <d v="1899-12-30T00:25:12"/>
    <n v="-1.5961597542242671"/>
    <n v="22.483122528976669"/>
    <n v="-0.52121776707190293"/>
    <n v="58.123777777777754"/>
  </r>
  <r>
    <x v="389"/>
    <x v="2"/>
    <x v="3"/>
    <n v="7"/>
    <n v="46"/>
    <x v="1"/>
    <x v="2"/>
    <x v="1"/>
    <x v="1"/>
    <x v="1"/>
    <n v="5.42"/>
    <n v="110"/>
    <n v="13"/>
    <n v="2"/>
    <s v="Order"/>
    <n v="113.5"/>
    <n v="88.972959810888781"/>
    <n v="20.940959409594097"/>
    <n v="16.4156752418614"/>
    <n v="8.7307692307692299"/>
    <n v="1.0318181818181817"/>
    <n v="2.3985239852398523"/>
    <n v="8.4615384615384617"/>
    <d v="1899-12-30T00:25:01"/>
    <n v="-3.445997112145033"/>
    <n v="19.625391333956259"/>
    <n v="1.3155680756378381"/>
    <n v="59.38488888888886"/>
  </r>
  <r>
    <x v="390"/>
    <x v="2"/>
    <x v="3"/>
    <n v="7"/>
    <n v="46"/>
    <x v="2"/>
    <x v="3"/>
    <x v="0"/>
    <x v="2"/>
    <x v="265"/>
    <n v="6.2"/>
    <n v="119"/>
    <n v="16"/>
    <n v="2"/>
    <s v="Hourly"/>
    <n v="159.19"/>
    <n v="132.65620197723422"/>
    <n v="25.675806451612903"/>
    <n v="21.396161609231324"/>
    <n v="9.9493749999999999"/>
    <n v="1.3377310924369747"/>
    <n v="2.5806451612903225"/>
    <n v="7.4375"/>
    <d v="1899-12-30T00:23:15"/>
    <n v="3.0884026646244571"/>
    <n v="23.328185483870968"/>
    <n v="2.3476209677419355"/>
    <n v="61.153666666666638"/>
  </r>
  <r>
    <x v="391"/>
    <x v="2"/>
    <x v="3"/>
    <n v="8"/>
    <n v="47"/>
    <x v="3"/>
    <x v="10"/>
    <x v="3"/>
    <x v="1"/>
    <x v="266"/>
    <n v="5.07"/>
    <n v="115"/>
    <n v="10"/>
    <n v="3"/>
    <s v="Order"/>
    <n v="144.07"/>
    <n v="118.42809434774736"/>
    <n v="28.416173570019723"/>
    <n v="23.358598490679952"/>
    <n v="14.407"/>
    <n v="1.2527826086956522"/>
    <n v="1.972386587771203"/>
    <n v="11.5"/>
    <d v="1899-12-30T00:30:25"/>
    <s v=""/>
    <n v="25.390434083182001"/>
    <n v="3.0257394868377219"/>
    <n v="62.75444444444441"/>
  </r>
  <r>
    <x v="392"/>
    <x v="2"/>
    <x v="3"/>
    <n v="8"/>
    <n v="47"/>
    <x v="4"/>
    <x v="2"/>
    <x v="0"/>
    <x v="2"/>
    <x v="261"/>
    <n v="3.57"/>
    <n v="65.3"/>
    <n v="8"/>
    <n v="2"/>
    <s v="Hourly"/>
    <n v="81.62"/>
    <n v="67.059857051373072"/>
    <n v="22.86274509803922"/>
    <n v="18.784273683858004"/>
    <n v="10.202500000000001"/>
    <n v="1.2499234303215927"/>
    <n v="2.2408963585434174"/>
    <n v="8.1624999999999996"/>
    <d v="1899-12-30T00:26:47"/>
    <n v="-0.79674175510836776"/>
    <n v="23.298678975611001"/>
    <n v="-0.43593387757178093"/>
    <n v="62.200888888888855"/>
  </r>
  <r>
    <x v="393"/>
    <x v="2"/>
    <x v="3"/>
    <n v="8"/>
    <n v="47"/>
    <x v="6"/>
    <x v="10"/>
    <x v="2"/>
    <x v="2"/>
    <x v="262"/>
    <n v="2.15"/>
    <n v="22"/>
    <n v="5"/>
    <n v="2"/>
    <s v="Hourly"/>
    <n v="27.400000000000002"/>
    <n v="22.494591962177758"/>
    <n v="12.744186046511629"/>
    <n v="10.462600912640818"/>
    <n v="5.48"/>
    <n v="1.2454545454545456"/>
    <n v="2.3255813953488373"/>
    <n v="4.4000000000000004"/>
    <d v="1899-12-30T00:25:48"/>
    <s v=""/>
    <n v="15.912805605247465"/>
    <n v="-3.1686195587358359"/>
    <n v="60.195888888888859"/>
  </r>
  <r>
    <x v="394"/>
    <x v="2"/>
    <x v="3"/>
    <n v="8"/>
    <n v="47"/>
    <x v="0"/>
    <x v="2"/>
    <x v="0"/>
    <x v="5"/>
    <x v="258"/>
    <n v="0.87"/>
    <n v="17"/>
    <n v="2"/>
    <n v="1"/>
    <s v="Order"/>
    <n v="16.77"/>
    <n v="12.979457425319175"/>
    <n v="19.275862068965516"/>
    <n v="14.918916580826638"/>
    <n v="8.3849999999999998"/>
    <n v="0.9864705882352941"/>
    <n v="2.2988505747126435"/>
    <n v="8.5"/>
    <d v="1899-12-30T00:26:06"/>
    <n v="-4.3927053282153636"/>
    <n v="22.73915602398818"/>
    <n v="-3.4632939550226638"/>
    <n v="59.223888888888865"/>
  </r>
  <r>
    <x v="395"/>
    <x v="2"/>
    <x v="3"/>
    <n v="9"/>
    <n v="48"/>
    <x v="3"/>
    <x v="2"/>
    <x v="3"/>
    <x v="2"/>
    <x v="265"/>
    <n v="5.05"/>
    <n v="137"/>
    <n v="10"/>
    <n v="2"/>
    <s v="Hourly"/>
    <n v="113.41"/>
    <n v="82.86268630992511"/>
    <n v="22.457425742574259"/>
    <n v="16.408452734638637"/>
    <n v="11.340999999999999"/>
    <n v="0.82781021897810214"/>
    <n v="1.9801980198019802"/>
    <n v="13.7"/>
    <d v="1899-12-30T00:30:18"/>
    <n v="-5.9587478274454639"/>
    <n v="22.7536390170972"/>
    <n v="-0.29621327452294111"/>
    <n v="60.257444444444417"/>
  </r>
  <r>
    <x v="396"/>
    <x v="2"/>
    <x v="3"/>
    <n v="9"/>
    <n v="48"/>
    <x v="4"/>
    <x v="1"/>
    <x v="2"/>
    <x v="5"/>
    <x v="266"/>
    <n v="4.0199999999999996"/>
    <n v="71"/>
    <n v="9"/>
    <n v="2"/>
    <s v="Hourly"/>
    <n v="73.5"/>
    <n v="57.66891042339185"/>
    <n v="18.28358208955224"/>
    <n v="14.345500105321356"/>
    <n v="8.1666666666666661"/>
    <n v="1.0352112676056338"/>
    <n v="2.238805970149254"/>
    <n v="7.8888888888888893"/>
    <d v="1899-12-30T00:26:48"/>
    <n v="0.66290187867400974"/>
    <n v="21.690654681139755"/>
    <n v="-3.4070725915875144"/>
    <n v="60.156222222222198"/>
  </r>
  <r>
    <x v="397"/>
    <x v="2"/>
    <x v="3"/>
    <n v="9"/>
    <n v="48"/>
    <x v="5"/>
    <x v="10"/>
    <x v="0"/>
    <x v="4"/>
    <x v="267"/>
    <n v="1.83"/>
    <n v="38"/>
    <n v="3"/>
    <n v="1"/>
    <s v="Order"/>
    <n v="32.18"/>
    <n v="23.707022480125215"/>
    <n v="17.584699453551913"/>
    <n v="12.954657092964597"/>
    <n v="10.726666666666667"/>
    <n v="0.84684210526315784"/>
    <n v="1.639344262295082"/>
    <n v="12.666666666666666"/>
    <d v="1899-12-30T00:36:36"/>
    <n v="-4.7257213080173734"/>
    <n v="21.611061995023647"/>
    <n v="-4.0263625414717339"/>
    <n v="59.895111111111085"/>
  </r>
  <r>
    <x v="398"/>
    <x v="2"/>
    <x v="3"/>
    <n v="9"/>
    <n v="48"/>
    <x v="0"/>
    <x v="2"/>
    <x v="0"/>
    <x v="2"/>
    <x v="268"/>
    <n v="6.55"/>
    <n v="158"/>
    <n v="15"/>
    <n v="3"/>
    <s v="Order"/>
    <n v="178.75"/>
    <n v="143.52025136473117"/>
    <n v="27.290076335877863"/>
    <n v="21.911488757974226"/>
    <n v="11.916666666666666"/>
    <n v="1.1313291139240507"/>
    <n v="2.2900763358778629"/>
    <n v="10.533333333333333"/>
    <d v="1899-12-30T00:26:12"/>
    <n v="3.9352736049980805"/>
    <n v="22.823939422141361"/>
    <n v="4.4661369137365021"/>
    <n v="58.288777777777767"/>
  </r>
  <r>
    <x v="399"/>
    <x v="2"/>
    <x v="3"/>
    <n v="10"/>
    <n v="49"/>
    <x v="3"/>
    <x v="2"/>
    <x v="0"/>
    <x v="5"/>
    <x v="264"/>
    <n v="4.13"/>
    <n v="108"/>
    <n v="9"/>
    <n v="3"/>
    <s v="Order"/>
    <n v="112.21000000000001"/>
    <n v="88.128905996145363"/>
    <n v="27.16949152542373"/>
    <n v="21.338718158872968"/>
    <n v="12.467777777777778"/>
    <n v="1.0389814814814815"/>
    <n v="2.179176755447942"/>
    <n v="12"/>
    <d v="1899-12-30T00:27:32"/>
    <n v="1.9901568521822632"/>
    <n v="21.442841149708883"/>
    <n v="5.726650375714847"/>
    <n v="58.636222222222216"/>
  </r>
  <r>
    <x v="400"/>
    <x v="2"/>
    <x v="3"/>
    <n v="10"/>
    <n v="49"/>
    <x v="4"/>
    <x v="10"/>
    <x v="0"/>
    <x v="2"/>
    <x v="266"/>
    <n v="4.97"/>
    <n v="142"/>
    <n v="8"/>
    <n v="2"/>
    <s v="Order"/>
    <n v="153.41"/>
    <n v="121.7478208467837"/>
    <n v="30.867203219315897"/>
    <n v="24.496543429936359"/>
    <n v="19.17625"/>
    <n v="1.0803521126760562"/>
    <n v="1.6096579476861168"/>
    <n v="17.75"/>
    <d v="1899-12-30T00:37:17"/>
    <n v="7.3073090855568559"/>
    <n v="25.405428055549038"/>
    <n v="5.461775163766859"/>
    <n v="59.161888888888875"/>
  </r>
  <r>
    <x v="401"/>
    <x v="2"/>
    <x v="3"/>
    <n v="10"/>
    <n v="49"/>
    <x v="6"/>
    <x v="10"/>
    <x v="1"/>
    <x v="1"/>
    <x v="267"/>
    <n v="4.0199999999999996"/>
    <n v="99"/>
    <n v="8"/>
    <n v="2"/>
    <s v="Hourly"/>
    <n v="68.13"/>
    <n v="46.055663829799897"/>
    <n v="16.947761194029852"/>
    <n v="11.456632793482562"/>
    <n v="8.5162499999999994"/>
    <n v="0.68818181818181812"/>
    <n v="1.9900497512437814"/>
    <n v="12.375"/>
    <d v="1899-12-30T00:30:09"/>
    <n v="0.25140479421076734"/>
    <n v="15.442748521543226"/>
    <n v="1.5050126724866253"/>
    <n v="57.529222222222216"/>
  </r>
  <r>
    <x v="402"/>
    <x v="2"/>
    <x v="3"/>
    <n v="11"/>
    <n v="50"/>
    <x v="5"/>
    <x v="10"/>
    <x v="1"/>
    <x v="2"/>
    <x v="269"/>
    <n v="3.85"/>
    <n v="80"/>
    <n v="7"/>
    <n v="2"/>
    <s v="Hourly"/>
    <n v="76.150000000000006"/>
    <n v="58.312152589737295"/>
    <n v="19.779220779220779"/>
    <n v="15.146013659672024"/>
    <n v="10.87857142857143"/>
    <n v="0.95187500000000003"/>
    <n v="1.8181818181818181"/>
    <n v="11.428571428571429"/>
    <d v="1899-12-30T00:33:00"/>
    <n v="7.1913724820071572"/>
    <n v="28.248499278499281"/>
    <n v="-8.4692784992785022"/>
    <n v="53.332000000000001"/>
  </r>
  <r>
    <x v="403"/>
    <x v="2"/>
    <x v="3"/>
    <n v="11"/>
    <n v="50"/>
    <x v="6"/>
    <x v="2"/>
    <x v="0"/>
    <x v="2"/>
    <x v="270"/>
    <n v="4.25"/>
    <n v="102"/>
    <n v="9"/>
    <n v="2"/>
    <s v="Order"/>
    <n v="112.88"/>
    <n v="90.136744551915044"/>
    <n v="26.56"/>
    <n v="21.208645776921188"/>
    <n v="12.542222222222222"/>
    <n v="1.1066666666666667"/>
    <n v="2.1176470588235294"/>
    <n v="11.333333333333334"/>
    <d v="1899-12-30T00:28:20"/>
    <n v="5.319057903909723"/>
    <n v="20.118243620248233"/>
    <n v="6.4417563797517658"/>
    <n v="53.030444444444434"/>
  </r>
  <r>
    <x v="404"/>
    <x v="2"/>
    <x v="3"/>
    <n v="11"/>
    <n v="50"/>
    <x v="0"/>
    <x v="2"/>
    <x v="1"/>
    <x v="1"/>
    <x v="201"/>
    <n v="3.08"/>
    <n v="74"/>
    <n v="6"/>
    <n v="2"/>
    <s v="Order"/>
    <n v="54.339999999999996"/>
    <n v="37.839991145506993"/>
    <n v="17.642857142857142"/>
    <n v="12.285711410878893"/>
    <n v="9.0566666666666666"/>
    <n v="0.73432432432432426"/>
    <n v="1.948051948051948"/>
    <n v="12.333333333333334"/>
    <d v="1899-12-30T00:30:48"/>
    <n v="-0.45611859070409366"/>
    <n v="21.738060193229416"/>
    <n v="-4.0952030503722732"/>
    <n v="53.634222222222213"/>
  </r>
  <r>
    <x v="405"/>
    <x v="2"/>
    <x v="3"/>
    <n v="11"/>
    <n v="50"/>
    <x v="1"/>
    <x v="2"/>
    <x v="2"/>
    <x v="1"/>
    <x v="263"/>
    <n v="2.25"/>
    <n v="36"/>
    <n v="7"/>
    <n v="1"/>
    <s v="Hourly"/>
    <n v="38.44"/>
    <n v="30.412968665381779"/>
    <n v="17.084444444444443"/>
    <n v="13.516874962391903"/>
    <n v="5.4914285714285711"/>
    <n v="1.0677777777777777"/>
    <n v="3.1111111111111112"/>
    <n v="5.1428571428571432"/>
    <d v="1899-12-30T00:19:17"/>
    <n v="-6.7276500627727422"/>
    <n v="19.857741987961607"/>
    <n v="-2.7732975435171632"/>
    <n v="52.781555555555556"/>
  </r>
  <r>
    <x v="406"/>
    <x v="2"/>
    <x v="3"/>
    <n v="12"/>
    <n v="51"/>
    <x v="6"/>
    <x v="10"/>
    <x v="0"/>
    <x v="1"/>
    <x v="265"/>
    <n v="6.25"/>
    <n v="144"/>
    <n v="12"/>
    <n v="4"/>
    <s v="Order"/>
    <n v="166.66"/>
    <n v="134.55187466152711"/>
    <n v="26.665599999999998"/>
    <n v="21.528299945844338"/>
    <n v="13.888333333333334"/>
    <n v="1.1573611111111111"/>
    <n v="1.92"/>
    <n v="12"/>
    <d v="1899-12-30T00:31:15"/>
    <n v="4.6647924890654764"/>
    <n v="22.64296949152542"/>
    <n v="4.0226305084745775"/>
    <n v="52.094000000000001"/>
  </r>
  <r>
    <x v="407"/>
    <x v="2"/>
    <x v="3"/>
    <n v="12"/>
    <n v="51"/>
    <x v="1"/>
    <x v="2"/>
    <x v="3"/>
    <x v="2"/>
    <x v="263"/>
    <n v="3.13"/>
    <n v="65"/>
    <n v="6"/>
    <n v="2"/>
    <s v="Hourly"/>
    <n v="64.72"/>
    <n v="50.226748979161549"/>
    <n v="20.677316293929714"/>
    <n v="16.04688465787909"/>
    <n v="10.786666666666667"/>
    <n v="0.99569230769230765"/>
    <n v="1.9169329073482428"/>
    <n v="10.833333333333334"/>
    <d v="1899-12-30T00:31:18"/>
    <n v="-0.10537601376259431"/>
    <n v="19.249617051074445"/>
    <n v="1.4276992428552688"/>
    <n v="51.646777777777771"/>
  </r>
  <r>
    <x v="408"/>
    <x v="1"/>
    <x v="3"/>
    <n v="13"/>
    <n v="52"/>
    <x v="3"/>
    <x v="1"/>
    <x v="0"/>
    <x v="10"/>
    <x v="81"/>
    <n v="4.3499999999999996"/>
    <n v="65"/>
    <n v="8"/>
    <n v="3"/>
    <s v="Hourly"/>
    <n v="87.759999999999991"/>
    <n v="73.266748979161548"/>
    <n v="20.174712643678159"/>
    <n v="16.842930799807252"/>
    <n v="10.969999999999999"/>
    <n v="1.350153846153846"/>
    <n v="1.8390804597701151"/>
    <n v="8.125"/>
    <d v="1899-12-30T00:32:38"/>
    <n v="-5.2036377147815323"/>
    <n v="20.087356321839081"/>
    <n v="8.7356321839077822E-2"/>
    <n v="52.01133333333334"/>
  </r>
  <r>
    <x v="409"/>
    <x v="1"/>
    <x v="3"/>
    <n v="13"/>
    <n v="52"/>
    <x v="0"/>
    <x v="1"/>
    <x v="0"/>
    <x v="2"/>
    <x v="268"/>
    <n v="4.9000000000000004"/>
    <n v="92"/>
    <n v="10"/>
    <n v="3"/>
    <s v="Order"/>
    <n v="123.04"/>
    <n v="102.5264754781979"/>
    <n v="25.110204081632652"/>
    <n v="20.923770505754671"/>
    <n v="12.304"/>
    <n v="1.337391304347826"/>
    <n v="2.0408163265306123"/>
    <n v="9.1999999999999993"/>
    <d v="1899-12-30T00:29:24"/>
    <n v="1.4930497770863305"/>
    <n v="25.110204081632652"/>
    <n v="0"/>
    <n v="50.362333333333353"/>
  </r>
  <r>
    <x v="410"/>
    <x v="1"/>
    <x v="3"/>
    <n v="13"/>
    <n v="52"/>
    <x v="1"/>
    <x v="1"/>
    <x v="0"/>
    <x v="1"/>
    <x v="1"/>
    <n v="3.82"/>
    <n v="75"/>
    <n v="7"/>
    <n v="2"/>
    <s v="Hourly"/>
    <n v="83.1"/>
    <n v="66.377018052878711"/>
    <n v="21.753926701570681"/>
    <n v="17.376182736355684"/>
    <n v="11.87142857142857"/>
    <n v="1.1079999999999999"/>
    <n v="1.8324607329842932"/>
    <n v="10.714285714285714"/>
    <d v="1899-12-30T00:32:45"/>
    <n v="2.1409661327277583"/>
    <n v="21.753926701570681"/>
    <n v="0"/>
    <n v="51.285666666666685"/>
  </r>
  <r>
    <x v="411"/>
    <x v="1"/>
    <x v="3"/>
    <n v="13"/>
    <n v="52"/>
    <x v="2"/>
    <x v="21"/>
    <x v="0"/>
    <x v="5"/>
    <x v="264"/>
    <n v="1.43"/>
    <n v="30"/>
    <n v="2"/>
    <n v="2"/>
    <s v="Order"/>
    <n v="26.08"/>
    <n v="19.390807221151483"/>
    <n v="18.237762237762237"/>
    <n v="13.560005049756283"/>
    <n v="13.04"/>
    <n v="0.86933333333333329"/>
    <n v="1.3986013986013988"/>
    <n v="15"/>
    <d v="1899-12-30T00:42:54"/>
    <n v="-4.7908419298868488"/>
    <n v="18.237762237762237"/>
    <n v="0"/>
    <n v="50.786888888888917"/>
  </r>
  <r>
    <x v="412"/>
    <x v="2"/>
    <x v="0"/>
    <n v="1"/>
    <n v="1"/>
    <x v="5"/>
    <x v="2"/>
    <x v="0"/>
    <x v="11"/>
    <x v="262"/>
    <n v="4.25"/>
    <n v="80"/>
    <n v="8"/>
    <n v="3"/>
    <s v="Order"/>
    <n v="99.559999999999988"/>
    <n v="81.722152589737277"/>
    <n v="23.425882352941173"/>
    <n v="19.228741785820535"/>
    <n v="12.444999999999999"/>
    <n v="1.2444999999999999"/>
    <n v="1.8823529411764706"/>
    <n v="10"/>
    <d v="1899-12-30T00:31:53"/>
    <n v="-6.3732523503689862"/>
    <n v="24.079876660341554"/>
    <n v="-0.65399430740038156"/>
    <n v="50.261777777777802"/>
  </r>
  <r>
    <x v="413"/>
    <x v="2"/>
    <x v="0"/>
    <n v="1"/>
    <n v="1"/>
    <x v="0"/>
    <x v="2"/>
    <x v="0"/>
    <x v="11"/>
    <x v="261"/>
    <n v="6.8"/>
    <n v="150"/>
    <n v="14"/>
    <n v="4"/>
    <s v="Order"/>
    <n v="178.29"/>
    <n v="144.84403610575743"/>
    <n v="26.219117647058823"/>
    <n v="21.300593544964329"/>
    <n v="12.734999999999999"/>
    <n v="1.1885999999999999"/>
    <n v="2.0588235294117649"/>
    <n v="10.714285714285714"/>
    <d v="1899-12-30T00:29:09"/>
    <n v="7.0316106127788558"/>
    <n v="19.988788031661809"/>
    <n v="6.2303296153970145"/>
    <n v="50.498555555555562"/>
  </r>
  <r>
    <x v="414"/>
    <x v="3"/>
    <x v="0"/>
    <n v="1"/>
    <n v="1"/>
    <x v="3"/>
    <x v="9"/>
    <x v="1"/>
    <x v="5"/>
    <x v="201"/>
    <n v="3.35"/>
    <n v="83"/>
    <n v="7"/>
    <n v="3"/>
    <s v="Order"/>
    <n v="62"/>
    <n v="43.493233311852443"/>
    <n v="18.507462686567163"/>
    <n v="12.983054719955952"/>
    <n v="8.8571428571428577"/>
    <n v="0.74698795180722888"/>
    <n v="2.08955223880597"/>
    <n v="11.857142857142858"/>
    <d v="1899-12-30T00:28:43"/>
    <n v="6.9493231516834406"/>
    <n v="22.603731343283581"/>
    <n v="-4.0962686567164184"/>
    <n v="50.323000000000008"/>
  </r>
  <r>
    <x v="415"/>
    <x v="3"/>
    <x v="0"/>
    <n v="1"/>
    <n v="1"/>
    <x v="4"/>
    <x v="10"/>
    <x v="1"/>
    <x v="2"/>
    <x v="265"/>
    <n v="3.55"/>
    <n v="91"/>
    <n v="7"/>
    <n v="2"/>
    <s v="Order"/>
    <n v="83.03"/>
    <n v="62.73944857082617"/>
    <n v="23.388732394366198"/>
    <n v="17.673084104458077"/>
    <n v="11.861428571428572"/>
    <n v="0.91241758241758242"/>
    <n v="1.971830985915493"/>
    <n v="13"/>
    <d v="1899-12-30T00:30:26"/>
    <n v="12.548463937990359"/>
    <n v="20.790892411846105"/>
    <n v="2.5978399825200924"/>
    <n v="51.245555555555562"/>
  </r>
  <r>
    <x v="416"/>
    <x v="3"/>
    <x v="0"/>
    <n v="1"/>
    <n v="1"/>
    <x v="5"/>
    <x v="10"/>
    <x v="0"/>
    <x v="5"/>
    <x v="263"/>
    <n v="3.72"/>
    <n v="58"/>
    <n v="9"/>
    <n v="2"/>
    <s v="Order"/>
    <n v="92.01"/>
    <n v="79.077560627559549"/>
    <n v="24.733870967741936"/>
    <n v="21.257408770849342"/>
    <n v="10.223333333333334"/>
    <n v="1.5863793103448276"/>
    <n v="2.4193548387096775"/>
    <n v="6.4444444444444446"/>
    <d v="1899-12-30T00:24:48"/>
    <n v="-4.0030550105067242"/>
    <n v="24.079876660341554"/>
    <n v="0.65399430740038156"/>
    <n v="51.220111111111116"/>
  </r>
  <r>
    <x v="417"/>
    <x v="3"/>
    <x v="0"/>
    <n v="1"/>
    <n v="1"/>
    <x v="0"/>
    <x v="14"/>
    <x v="0"/>
    <x v="2"/>
    <x v="268"/>
    <n v="2.63"/>
    <n v="57"/>
    <n v="4"/>
    <n v="1"/>
    <s v="Order"/>
    <n v="44"/>
    <n v="31.290533720187824"/>
    <n v="16.730038022813687"/>
    <n v="11.897541338474458"/>
    <n v="11"/>
    <n v="0.77192982456140347"/>
    <n v="1.5209125475285172"/>
    <n v="14.25"/>
    <d v="1899-12-30T00:39:27"/>
    <n v="-3.6294041135960917"/>
    <n v="19.988788031661809"/>
    <n v="-3.2587500088481214"/>
    <n v="51.182444444444442"/>
  </r>
  <r>
    <x v="418"/>
    <x v="3"/>
    <x v="0"/>
    <n v="1"/>
    <n v="1"/>
    <x v="1"/>
    <x v="3"/>
    <x v="1"/>
    <x v="5"/>
    <x v="268"/>
    <n v="5.32"/>
    <n v="122"/>
    <n v="10"/>
    <n v="4"/>
    <s v="Hourly"/>
    <n v="135.41"/>
    <n v="108.20728269934938"/>
    <n v="25.453007518796991"/>
    <n v="20.339714793110783"/>
    <n v="13.541"/>
    <n v="1.1099180327868852"/>
    <n v="1.8796992481203008"/>
    <n v="12.2"/>
    <d v="1899-12-30T00:31:55"/>
    <n v="9.8697141954661589"/>
    <n v="24.897417163760267"/>
    <n v="0.55559035503672405"/>
    <n v="52.686999999999998"/>
  </r>
  <r>
    <x v="419"/>
    <x v="3"/>
    <x v="0"/>
    <n v="1"/>
    <n v="1"/>
    <x v="2"/>
    <x v="6"/>
    <x v="0"/>
    <x v="6"/>
    <x v="271"/>
    <n v="3.9"/>
    <n v="72"/>
    <n v="7"/>
    <n v="2"/>
    <s v="Order"/>
    <n v="92.73"/>
    <n v="76.67593733076356"/>
    <n v="23.776923076923079"/>
    <n v="19.660496751477837"/>
    <n v="13.247142857142858"/>
    <n v="1.2879166666666668"/>
    <n v="1.7948717948717949"/>
    <n v="10.285714285714286"/>
    <d v="1899-12-30T00:33:26"/>
    <n v="-2.2736070457079158"/>
    <n v="25.011850729934075"/>
    <n v="-1.2349276530109954"/>
    <n v="52.362555555555545"/>
  </r>
  <r>
    <x v="420"/>
    <x v="3"/>
    <x v="0"/>
    <n v="2"/>
    <n v="2"/>
    <x v="3"/>
    <x v="2"/>
    <x v="0"/>
    <x v="2"/>
    <x v="201"/>
    <n v="2.9"/>
    <n v="64"/>
    <n v="6"/>
    <n v="3"/>
    <s v="Hourly"/>
    <n v="76.84"/>
    <n v="62.56972207178984"/>
    <n v="26.496551724137934"/>
    <n v="21.57576623165167"/>
    <n v="12.806666666666667"/>
    <n v="1.2006250000000001"/>
    <n v="2.0689655172413794"/>
    <n v="10.666666666666666"/>
    <d v="1899-12-30T00:29:00"/>
    <n v="0.44798277807112186"/>
    <n v="26.496551724137934"/>
    <n v="0"/>
    <n v="52.522555555555556"/>
  </r>
  <r>
    <x v="421"/>
    <x v="3"/>
    <x v="0"/>
    <n v="2"/>
    <n v="2"/>
    <x v="4"/>
    <x v="2"/>
    <x v="0"/>
    <x v="3"/>
    <x v="263"/>
    <n v="2.95"/>
    <n v="78"/>
    <n v="5"/>
    <n v="2"/>
    <s v="Hourly"/>
    <n v="66.290000000000006"/>
    <n v="48.898098774993869"/>
    <n v="22.471186440677968"/>
    <n v="16.575626703387751"/>
    <n v="13.258000000000001"/>
    <n v="0.84987179487179498"/>
    <n v="1.6949152542372881"/>
    <n v="15.6"/>
    <d v="1899-12-30T00:35:24"/>
    <n v="-5.7925728412063222"/>
    <n v="19.135593220338983"/>
    <n v="3.3355932203389855"/>
    <n v="53.25911111111111"/>
  </r>
  <r>
    <x v="422"/>
    <x v="3"/>
    <x v="0"/>
    <n v="2"/>
    <n v="2"/>
    <x v="5"/>
    <x v="1"/>
    <x v="0"/>
    <x v="1"/>
    <x v="262"/>
    <n v="0.75"/>
    <n v="9"/>
    <n v="2"/>
    <n v="1"/>
    <s v="Hourly"/>
    <n v="19.37"/>
    <n v="17.363242166345447"/>
    <n v="25.826666666666668"/>
    <n v="23.150989555127264"/>
    <n v="9.6850000000000005"/>
    <n v="2.1522222222222225"/>
    <n v="2.6666666666666665"/>
    <n v="4.5"/>
    <d v="1899-12-30T00:22:30"/>
    <n v="-2.338394310081032"/>
    <n v="20.407605676328505"/>
    <n v="5.4190609903381635"/>
    <n v="53.474333333333327"/>
  </r>
  <r>
    <x v="423"/>
    <x v="3"/>
    <x v="0"/>
    <n v="2"/>
    <n v="2"/>
    <x v="6"/>
    <x v="2"/>
    <x v="3"/>
    <x v="5"/>
    <x v="261"/>
    <n v="3.27"/>
    <n v="77"/>
    <n v="5"/>
    <n v="2"/>
    <s v="Order"/>
    <n v="72.16"/>
    <n v="54.991071867622139"/>
    <n v="22.067278287461772"/>
    <n v="16.816841549731542"/>
    <n v="14.431999999999999"/>
    <n v="0.93714285714285706"/>
    <n v="1.5290519877675841"/>
    <n v="15.4"/>
    <d v="1899-12-30T00:39:14"/>
    <n v="9.383490165471402"/>
    <n v="17.499254197459155"/>
    <n v="4.5680240900026163"/>
    <n v="52.772444444444439"/>
  </r>
  <r>
    <x v="424"/>
    <x v="3"/>
    <x v="0"/>
    <n v="2"/>
    <n v="2"/>
    <x v="1"/>
    <x v="10"/>
    <x v="2"/>
    <x v="2"/>
    <x v="265"/>
    <n v="2.1"/>
    <n v="46"/>
    <n v="6"/>
    <n v="1"/>
    <s v="Hourly"/>
    <n v="56.12"/>
    <n v="45.863237739098942"/>
    <n v="26.723809523809521"/>
    <n v="21.839637018618543"/>
    <n v="9.3533333333333335"/>
    <n v="1.22"/>
    <n v="2.8571428571428572"/>
    <n v="7.666666666666667"/>
    <d v="1899-12-30T00:21:00"/>
    <n v="10.252737294469355"/>
    <n v="24.347155499367886"/>
    <n v="2.3766540244416348"/>
    <n v="52.832111111111097"/>
  </r>
  <r>
    <x v="425"/>
    <x v="3"/>
    <x v="0"/>
    <n v="2"/>
    <n v="2"/>
    <x v="2"/>
    <x v="2"/>
    <x v="0"/>
    <x v="2"/>
    <x v="266"/>
    <n v="3.1"/>
    <n v="81"/>
    <n v="7"/>
    <n v="3"/>
    <s v="Hourly"/>
    <n v="85.51"/>
    <n v="67.449179497109014"/>
    <n v="27.583870967741937"/>
    <n v="21.7577998377771"/>
    <n v="12.215714285714286"/>
    <n v="1.0556790123456792"/>
    <n v="2.258064516129032"/>
    <n v="11.571428571428571"/>
    <d v="1899-12-30T00:26:34"/>
    <n v="1.9122753527289298"/>
    <n v="17.041251039326678"/>
    <n v="10.54261992841526"/>
    <n v="53.782222222222209"/>
  </r>
  <r>
    <x v="426"/>
    <x v="3"/>
    <x v="0"/>
    <n v="3"/>
    <n v="3"/>
    <x v="3"/>
    <x v="2"/>
    <x v="0"/>
    <x v="2"/>
    <x v="268"/>
    <n v="3.57"/>
    <n v="86"/>
    <n v="8"/>
    <n v="4"/>
    <s v="Hourly"/>
    <n v="82.2"/>
    <n v="63.024314033967599"/>
    <n v="23.025210084033617"/>
    <n v="17.65386947730185"/>
    <n v="10.275"/>
    <n v="0.95581395348837217"/>
    <n v="2.2408963585434174"/>
    <n v="10.75"/>
    <d v="1899-12-30T00:26:47"/>
    <n v="-3.0681571398403058"/>
    <n v="20.098029868779264"/>
    <n v="2.9271802152543529"/>
    <n v="53.292777777777765"/>
  </r>
  <r>
    <x v="427"/>
    <x v="3"/>
    <x v="0"/>
    <n v="3"/>
    <n v="3"/>
    <x v="4"/>
    <x v="10"/>
    <x v="0"/>
    <x v="6"/>
    <x v="201"/>
    <n v="4.97"/>
    <n v="117"/>
    <n v="9"/>
    <n v="3"/>
    <s v="Order"/>
    <n v="177.49"/>
    <n v="151.40214816249079"/>
    <n v="35.712273641851112"/>
    <n v="30.463208885813039"/>
    <n v="19.721111111111114"/>
    <n v="1.517008547008547"/>
    <n v="1.8108651911468814"/>
    <n v="13"/>
    <d v="1899-12-30T00:33:08"/>
    <n v="8.0277716440874549"/>
    <n v="24.309841019700176"/>
    <n v="11.402432622150936"/>
    <n v="53.981333333333332"/>
  </r>
  <r>
    <x v="428"/>
    <x v="3"/>
    <x v="0"/>
    <n v="3"/>
    <n v="3"/>
    <x v="1"/>
    <x v="10"/>
    <x v="0"/>
    <x v="3"/>
    <x v="270"/>
    <n v="5.08"/>
    <n v="134"/>
    <n v="12"/>
    <n v="3"/>
    <s v="Hourly"/>
    <n v="97.4"/>
    <n v="67.521605587809972"/>
    <n v="19.173228346456693"/>
    <n v="13.291654643269679"/>
    <n v="8.1166666666666671"/>
    <n v="0.72686567164179106"/>
    <n v="2.3622047244094486"/>
    <n v="11.166666666666666"/>
    <d v="1899-12-30T00:25:24"/>
    <n v="-6.7738053849722455"/>
    <n v="22.144434801112787"/>
    <n v="-2.9712064546560946"/>
    <n v="55.063555555555546"/>
  </r>
  <r>
    <x v="429"/>
    <x v="3"/>
    <x v="0"/>
    <n v="4"/>
    <n v="4"/>
    <x v="3"/>
    <x v="2"/>
    <x v="0"/>
    <x v="1"/>
    <x v="263"/>
    <n v="4.88"/>
    <n v="116"/>
    <n v="9"/>
    <n v="5"/>
    <s v="Hourly"/>
    <n v="98.320000000000007"/>
    <n v="72.455121255119082"/>
    <n v="20.147540983606561"/>
    <n v="14.847360912934239"/>
    <n v="10.924444444444445"/>
    <n v="0.84758620689655184"/>
    <n v="1.8442622950819672"/>
    <n v="12.888888888888889"/>
    <d v="1899-12-30T00:32:32"/>
    <n v="-5.6669028639182457"/>
    <n v="17.564907579101099"/>
    <n v="2.5826334045054615"/>
    <n v="54.121222222222208"/>
  </r>
  <r>
    <x v="430"/>
    <x v="3"/>
    <x v="0"/>
    <n v="4"/>
    <n v="4"/>
    <x v="4"/>
    <x v="2"/>
    <x v="0"/>
    <x v="2"/>
    <x v="265"/>
    <n v="2.27"/>
    <n v="69"/>
    <n v="5"/>
    <n v="2"/>
    <s v="Hourly"/>
    <n v="42.34"/>
    <n v="26.95485660864842"/>
    <n v="18.651982378854626"/>
    <n v="11.874386171210757"/>
    <n v="8.468"/>
    <n v="0.6136231884057971"/>
    <n v="2.2026431718061672"/>
    <n v="13.8"/>
    <d v="1899-12-30T00:27:14"/>
    <n v="-9.7623170410988038"/>
    <n v="17.237755895309665"/>
    <n v="1.4142264835449616"/>
    <n v="54.027777777777764"/>
  </r>
  <r>
    <x v="431"/>
    <x v="3"/>
    <x v="0"/>
    <n v="4"/>
    <n v="4"/>
    <x v="6"/>
    <x v="2"/>
    <x v="0"/>
    <x v="5"/>
    <x v="267"/>
    <n v="3.87"/>
    <n v="77"/>
    <n v="6"/>
    <n v="3"/>
    <s v="Order"/>
    <n v="93.22"/>
    <n v="76.051071867622142"/>
    <n v="24.087855297157621"/>
    <n v="19.651439759075487"/>
    <n v="15.536666666666667"/>
    <n v="1.2106493506493505"/>
    <n v="1.5503875968992247"/>
    <n v="12.833333333333334"/>
    <d v="1899-12-30T00:38:42"/>
    <n v="5.356052225174583"/>
    <n v="21.955737464529733"/>
    <n v="2.1321178326278876"/>
    <n v="55.063555555555546"/>
  </r>
  <r>
    <x v="432"/>
    <x v="3"/>
    <x v="0"/>
    <n v="4"/>
    <n v="4"/>
    <x v="0"/>
    <x v="2"/>
    <x v="2"/>
    <x v="5"/>
    <x v="263"/>
    <n v="5.43"/>
    <n v="116"/>
    <n v="12"/>
    <n v="4"/>
    <s v="Hourly"/>
    <n v="96.81"/>
    <n v="70.945121255119076"/>
    <n v="17.828729281767956"/>
    <n v="13.065399862821193"/>
    <n v="8.0675000000000008"/>
    <n v="0.83456896551724136"/>
    <n v="2.2099447513812156"/>
    <n v="9.6666666666666661"/>
    <d v="1899-12-30T00:27:09"/>
    <n v="-2.885466925333855"/>
    <n v="16.768241380446604"/>
    <n v="1.060487901321352"/>
    <n v="54.503666666666668"/>
  </r>
  <r>
    <x v="433"/>
    <x v="3"/>
    <x v="0"/>
    <n v="4"/>
    <n v="4"/>
    <x v="1"/>
    <x v="15"/>
    <x v="0"/>
    <x v="5"/>
    <x v="263"/>
    <n v="4.47"/>
    <n v="126"/>
    <n v="8"/>
    <n v="2"/>
    <s v="Order"/>
    <n v="110.72"/>
    <n v="82.625390328836232"/>
    <n v="24.769574944071589"/>
    <n v="18.48442736663003"/>
    <n v="13.84"/>
    <n v="0.87873015873015869"/>
    <n v="1.789709172259508"/>
    <n v="15.75"/>
    <d v="1899-12-30T00:33:32"/>
    <n v="-0.69361554557361771"/>
    <n v="22.487593350400246"/>
    <n v="2.2819815936713432"/>
    <n v="53.912111111111116"/>
  </r>
  <r>
    <x v="434"/>
    <x v="3"/>
    <x v="0"/>
    <n v="5"/>
    <n v="5"/>
    <x v="4"/>
    <x v="9"/>
    <x v="0"/>
    <x v="2"/>
    <x v="272"/>
    <n v="4.75"/>
    <n v="128"/>
    <n v="10"/>
    <n v="3"/>
    <s v="Order"/>
    <n v="171.26999999999998"/>
    <n v="142.72944414357966"/>
    <n v="36.056842105263151"/>
    <n v="30.048304030227296"/>
    <n v="17.126999999999999"/>
    <n v="1.3380468749999999"/>
    <n v="2.1052631578947367"/>
    <n v="12.8"/>
    <d v="1899-12-30T00:28:30"/>
    <n v="8.4560691054012871"/>
    <n v="27.034416256468504"/>
    <n v="9.0224258487946472"/>
    <n v="52.236888888888906"/>
  </r>
  <r>
    <x v="435"/>
    <x v="3"/>
    <x v="0"/>
    <n v="5"/>
    <n v="5"/>
    <x v="5"/>
    <x v="2"/>
    <x v="3"/>
    <x v="5"/>
    <x v="201"/>
    <n v="3.57"/>
    <n v="96"/>
    <n v="6"/>
    <n v="3"/>
    <s v="Hourly"/>
    <n v="50.35"/>
    <n v="28.944583107684753"/>
    <n v="14.103641456582634"/>
    <n v="8.1077263606960095"/>
    <n v="8.3916666666666675"/>
    <n v="0.52447916666666672"/>
    <n v="1.680672268907563"/>
    <n v="16"/>
    <d v="1899-12-30T00:35:42"/>
    <n v="-3.2421439840303936"/>
    <n v="15.690709617180207"/>
    <n v="-1.5870681605975729"/>
    <n v="52.796333333333351"/>
  </r>
  <r>
    <x v="436"/>
    <x v="3"/>
    <x v="0"/>
    <n v="5"/>
    <n v="5"/>
    <x v="6"/>
    <x v="2"/>
    <x v="2"/>
    <x v="3"/>
    <x v="263"/>
    <n v="3.23"/>
    <n v="71"/>
    <n v="9"/>
    <n v="2"/>
    <s v="Hourly"/>
    <n v="58.83"/>
    <n v="42.998910423391848"/>
    <n v="18.213622291021672"/>
    <n v="13.312356168232771"/>
    <n v="6.5366666666666662"/>
    <n v="0.82859154929577461"/>
    <n v="2.7863777089783284"/>
    <n v="7.8888888888888893"/>
    <d v="1899-12-30T00:21:32"/>
    <n v="-3.5535609693881973"/>
    <n v="19.482607323854786"/>
    <n v="-1.2689850328331147"/>
    <n v="52.15922222222224"/>
  </r>
  <r>
    <x v="437"/>
    <x v="3"/>
    <x v="0"/>
    <n v="5"/>
    <n v="5"/>
    <x v="0"/>
    <x v="1"/>
    <x v="2"/>
    <x v="5"/>
    <x v="261"/>
    <n v="5.3"/>
    <n v="89"/>
    <n v="12"/>
    <n v="4"/>
    <s v="Hourly"/>
    <n v="88.64"/>
    <n v="68.795394756082743"/>
    <n v="16.724528301886792"/>
    <n v="12.980263161525047"/>
    <n v="7.3866666666666667"/>
    <n v="0.99595505617977531"/>
    <n v="2.2641509433962264"/>
    <n v="7.416666666666667"/>
    <d v="1899-12-30T00:26:30"/>
    <n v="-3.6289845395482843"/>
    <n v="15.426890001283532"/>
    <n v="1.2976383006032606"/>
    <n v="53.144111111111137"/>
  </r>
  <r>
    <x v="438"/>
    <x v="3"/>
    <x v="0"/>
    <n v="6"/>
    <n v="6"/>
    <x v="3"/>
    <x v="2"/>
    <x v="2"/>
    <x v="5"/>
    <x v="266"/>
    <n v="2.3199999999999998"/>
    <n v="36"/>
    <n v="5"/>
    <n v="1"/>
    <s v="Hourly"/>
    <n v="39.82"/>
    <n v="31.792968665381782"/>
    <n v="17.163793103448278"/>
    <n v="13.703865804043872"/>
    <n v="7.9640000000000004"/>
    <n v="1.106111111111111"/>
    <n v="2.1551724137931036"/>
    <n v="7.2"/>
    <d v="1899-12-30T00:27:50"/>
    <n v="-1.143899204244029"/>
    <n v="16.370667853439272"/>
    <n v="0.79312525000900536"/>
    <n v="52.491777777777791"/>
  </r>
  <r>
    <x v="439"/>
    <x v="3"/>
    <x v="0"/>
    <n v="6"/>
    <n v="6"/>
    <x v="5"/>
    <x v="2"/>
    <x v="0"/>
    <x v="2"/>
    <x v="1"/>
    <n v="2.37"/>
    <n v="52"/>
    <n v="5"/>
    <n v="1"/>
    <s v="Hourly"/>
    <n v="54.54"/>
    <n v="42.945399183329243"/>
    <n v="23.0126582278481"/>
    <n v="18.120421596341451"/>
    <n v="10.907999999999999"/>
    <n v="1.0488461538461538"/>
    <n v="2.109704641350211"/>
    <n v="10.4"/>
    <d v="1899-12-30T00:28:26"/>
    <n v="-4.8601034601394701"/>
    <n v="21.938596739633184"/>
    <n v="1.074061488214916"/>
    <n v="51.899333333333338"/>
  </r>
  <r>
    <x v="440"/>
    <x v="3"/>
    <x v="0"/>
    <n v="6"/>
    <n v="6"/>
    <x v="6"/>
    <x v="10"/>
    <x v="2"/>
    <x v="2"/>
    <x v="261"/>
    <n v="5.45"/>
    <n v="104"/>
    <n v="13"/>
    <n v="3"/>
    <s v="Order"/>
    <n v="118.72999999999999"/>
    <n v="95.540798366658464"/>
    <n v="21.785321100917429"/>
    <n v="17.530421718652928"/>
    <n v="9.1330769230769224"/>
    <n v="1.1416346153846153"/>
    <n v="2.3853211009174311"/>
    <n v="8"/>
    <d v="1899-12-30T00:25:09"/>
    <n v="0.52578940756301762"/>
    <n v="20.232614280015955"/>
    <n v="1.5527068209014736"/>
    <n v="51.681222222222218"/>
  </r>
  <r>
    <x v="441"/>
    <x v="3"/>
    <x v="0"/>
    <n v="6"/>
    <n v="6"/>
    <x v="0"/>
    <x v="1"/>
    <x v="2"/>
    <x v="1"/>
    <x v="261"/>
    <n v="5.83"/>
    <n v="117"/>
    <n v="13"/>
    <n v="3"/>
    <s v="Order"/>
    <n v="120.59"/>
    <n v="94.502148162490798"/>
    <n v="20.684391080617495"/>
    <n v="16.209630902657082"/>
    <n v="9.2761538461538464"/>
    <n v="1.0306837606837607"/>
    <n v="2.229845626072041"/>
    <n v="9"/>
    <d v="1899-12-30T00:26:54"/>
    <n v="0.73409874357667348"/>
    <n v="16.078306651419858"/>
    <n v="4.6060844291976366"/>
    <n v="51.76"/>
  </r>
  <r>
    <x v="442"/>
    <x v="3"/>
    <x v="0"/>
    <n v="6"/>
    <n v="6"/>
    <x v="1"/>
    <x v="1"/>
    <x v="0"/>
    <x v="2"/>
    <x v="264"/>
    <n v="3.13"/>
    <n v="62"/>
    <n v="8"/>
    <n v="2"/>
    <s v="Order"/>
    <n v="69.02"/>
    <n v="55.1956682570464"/>
    <n v="22.051118210862619"/>
    <n v="17.634398804168178"/>
    <n v="8.6274999999999995"/>
    <n v="1.1132258064516127"/>
    <n v="2.5559105431309903"/>
    <n v="7.75"/>
    <d v="1899-12-30T00:23:29"/>
    <n v="-3.3658312424110122"/>
    <n v="22.051118210862619"/>
    <n v="0"/>
    <n v="50.758111111111106"/>
  </r>
  <r>
    <x v="443"/>
    <x v="3"/>
    <x v="0"/>
    <n v="7"/>
    <n v="7"/>
    <x v="4"/>
    <x v="2"/>
    <x v="0"/>
    <x v="2"/>
    <x v="266"/>
    <n v="4.1500000000000004"/>
    <n v="92"/>
    <n v="10"/>
    <n v="3"/>
    <s v="Order"/>
    <n v="100.53999999999999"/>
    <n v="80.026475478197881"/>
    <n v="24.226506024096381"/>
    <n v="19.283488067035631"/>
    <n v="10.053999999999998"/>
    <n v="1.0928260869565216"/>
    <n v="2.4096385542168672"/>
    <n v="9.1999999999999993"/>
    <d v="1899-12-30T00:24:54"/>
    <n v="-4.0247338300271238"/>
    <n v="27.074867409256267"/>
    <n v="-2.8483613851598868"/>
    <n v="49.367555555555555"/>
  </r>
  <r>
    <x v="444"/>
    <x v="3"/>
    <x v="0"/>
    <n v="7"/>
    <n v="7"/>
    <x v="5"/>
    <x v="2"/>
    <x v="0"/>
    <x v="2"/>
    <x v="269"/>
    <n v="5.18"/>
    <n v="90"/>
    <n v="14"/>
    <n v="3"/>
    <s v="Order"/>
    <n v="192.15"/>
    <n v="172.08242166345445"/>
    <n v="37.094594594594597"/>
    <n v="33.22054472267461"/>
    <n v="13.725"/>
    <n v="2.1350000000000002"/>
    <n v="2.7027027027027026"/>
    <n v="6.4285714285714288"/>
    <d v="1899-12-30T00:22:12"/>
    <n v="9.7618444021780775"/>
    <n v="30.479921410772477"/>
    <n v="6.61467318382212"/>
    <n v="51.19811111111111"/>
  </r>
  <r>
    <x v="445"/>
    <x v="3"/>
    <x v="0"/>
    <n v="7"/>
    <n v="7"/>
    <x v="0"/>
    <x v="2"/>
    <x v="2"/>
    <x v="2"/>
    <x v="268"/>
    <n v="4.4800000000000004"/>
    <n v="51"/>
    <n v="15"/>
    <n v="4"/>
    <s v="Order"/>
    <n v="81.539999999999992"/>
    <n v="70.168372275957523"/>
    <n v="18.200892857142854"/>
    <n v="15.662583097311945"/>
    <n v="5.4359999999999991"/>
    <n v="1.5988235294117645"/>
    <n v="3.3482142857142856"/>
    <n v="3.4"/>
    <d v="1899-12-30T00:17:55"/>
    <n v="-1.8228093542556358"/>
    <n v="19.487580024714472"/>
    <n v="-1.2866871675716176"/>
    <n v="51.917777777777772"/>
  </r>
  <r>
    <x v="446"/>
    <x v="3"/>
    <x v="0"/>
    <n v="7"/>
    <n v="7"/>
    <x v="1"/>
    <x v="14"/>
    <x v="0"/>
    <x v="7"/>
    <x v="269"/>
    <n v="4.88"/>
    <n v="120"/>
    <n v="11"/>
    <n v="3"/>
    <s v="Order"/>
    <n v="132.19"/>
    <n v="105.43322888460594"/>
    <n v="27.08811475409836"/>
    <n v="21.605169853402856"/>
    <n v="12.017272727272728"/>
    <n v="1.1015833333333334"/>
    <n v="2.2540983606557377"/>
    <n v="10.909090909090908"/>
    <d v="1899-12-30T00:26:37"/>
    <n v="1.8815297534754158"/>
    <n v="22.316988072985641"/>
    <n v="4.7711266811127189"/>
    <n v="53.386555555555546"/>
  </r>
  <r>
    <x v="447"/>
    <x v="3"/>
    <x v="0"/>
    <n v="7"/>
    <n v="7"/>
    <x v="2"/>
    <x v="4"/>
    <x v="3"/>
    <x v="12"/>
    <x v="266"/>
    <n v="3.02"/>
    <n v="83"/>
    <n v="6"/>
    <n v="1"/>
    <s v="Hourly"/>
    <n v="52.45"/>
    <n v="33.943233311852445"/>
    <n v="17.367549668874172"/>
    <n v="11.239481229090213"/>
    <n v="8.7416666666666671"/>
    <n v="0.63192771084337351"/>
    <n v="1.9867549668874172"/>
    <n v="13.833333333333334"/>
    <d v="1899-12-30T00:30:12"/>
    <n v="3.4896322541524505"/>
    <n v="22.500463167053098"/>
    <n v="-5.1329134981789259"/>
    <n v="52.709222222222209"/>
  </r>
  <r>
    <x v="448"/>
    <x v="3"/>
    <x v="0"/>
    <n v="8"/>
    <n v="8"/>
    <x v="3"/>
    <x v="2"/>
    <x v="0"/>
    <x v="2"/>
    <x v="271"/>
    <n v="4.18"/>
    <n v="98"/>
    <n v="10"/>
    <n v="3"/>
    <s v="Order"/>
    <n v="112.49000000000001"/>
    <n v="90.638636922428191"/>
    <n v="26.911483253588521"/>
    <n v="21.68388443120292"/>
    <n v="11.249000000000001"/>
    <n v="1.1478571428571429"/>
    <n v="2.3923444976076556"/>
    <n v="9.8000000000000007"/>
    <d v="1899-12-30T00:25:05"/>
    <n v="1.5692813113902346"/>
    <n v="27.049491626794261"/>
    <n v="-0.13800837320573933"/>
    <n v="53.142444444444429"/>
  </r>
  <r>
    <x v="449"/>
    <x v="3"/>
    <x v="0"/>
    <n v="8"/>
    <n v="8"/>
    <x v="4"/>
    <x v="2"/>
    <x v="2"/>
    <x v="2"/>
    <x v="201"/>
    <n v="2.4500000000000002"/>
    <n v="45"/>
    <n v="6"/>
    <n v="2"/>
    <s v="Hourly"/>
    <n v="39.32"/>
    <n v="29.286210831727228"/>
    <n v="16.048979591836734"/>
    <n v="11.953555441521317"/>
    <n v="6.5533333333333337"/>
    <n v="0.87377777777777776"/>
    <n v="2.4489795918367343"/>
    <n v="7.5"/>
    <d v="1899-12-30T00:24:30"/>
    <n v="-5.5046139645449301"/>
    <n v="25.107199243055533"/>
    <n v="-9.0582196512187991"/>
    <n v="53.22177777777776"/>
  </r>
  <r>
    <x v="450"/>
    <x v="3"/>
    <x v="0"/>
    <n v="8"/>
    <n v="8"/>
    <x v="5"/>
    <x v="2"/>
    <x v="2"/>
    <x v="2"/>
    <x v="266"/>
    <n v="2.98"/>
    <n v="66"/>
    <n v="5"/>
    <n v="2"/>
    <s v="Hourly"/>
    <n v="37.660000000000004"/>
    <n v="22.94377588653327"/>
    <n v="12.637583892617451"/>
    <n v="7.6992536531990838"/>
    <n v="7.5320000000000009"/>
    <n v="0.57060606060606067"/>
    <n v="1.6778523489932886"/>
    <n v="13.2"/>
    <d v="1899-12-30T00:35:46"/>
    <n v="-7.7567666639713213"/>
    <n v="18.266708612975393"/>
    <n v="-5.6291247203579413"/>
    <n v="53.640222222222199"/>
  </r>
  <r>
    <x v="451"/>
    <x v="3"/>
    <x v="0"/>
    <n v="8"/>
    <n v="8"/>
    <x v="6"/>
    <x v="2"/>
    <x v="2"/>
    <x v="5"/>
    <x v="1"/>
    <n v="4.58"/>
    <n v="68"/>
    <n v="10"/>
    <n v="4"/>
    <s v="Order"/>
    <n v="105.34"/>
    <n v="90.177829701276707"/>
    <n v="23"/>
    <n v="19.689482467527665"/>
    <n v="10.534000000000001"/>
    <n v="1.5491176470588235"/>
    <n v="2.1834061135371177"/>
    <n v="6.8"/>
    <d v="1899-12-30T00:27:29"/>
    <n v="1.6747446307002107"/>
    <n v="21.236984459688347"/>
    <n v="1.7630155403116525"/>
    <n v="52.824555555555534"/>
  </r>
  <r>
    <x v="452"/>
    <x v="3"/>
    <x v="0"/>
    <n v="8"/>
    <n v="8"/>
    <x v="1"/>
    <x v="10"/>
    <x v="0"/>
    <x v="2"/>
    <x v="273"/>
    <n v="3.25"/>
    <n v="74"/>
    <n v="10"/>
    <n v="3"/>
    <s v="Order"/>
    <n v="106.38"/>
    <n v="89.879991145506992"/>
    <n v="32.732307692307693"/>
    <n v="27.655381890925227"/>
    <n v="10.638"/>
    <n v="1.4375675675675674"/>
    <n v="3.0769230769230771"/>
    <n v="7.4"/>
    <d v="1899-12-30T00:19:30"/>
    <n v="7.4150444708920773"/>
    <n v="29.384048741661168"/>
    <n v="3.3482589506465246"/>
    <n v="54.006555555555536"/>
  </r>
  <r>
    <x v="453"/>
    <x v="3"/>
    <x v="0"/>
    <n v="9"/>
    <n v="9"/>
    <x v="4"/>
    <x v="1"/>
    <x v="0"/>
    <x v="11"/>
    <x v="264"/>
    <n v="4.12"/>
    <n v="89"/>
    <n v="10"/>
    <n v="2"/>
    <s v="Order"/>
    <n v="124.55"/>
    <n v="104.70539475608274"/>
    <n v="30.230582524271842"/>
    <n v="25.413930766039499"/>
    <n v="12.455"/>
    <n v="1.399438202247191"/>
    <n v="2.4271844660194173"/>
    <n v="8.9"/>
    <d v="1899-12-30T00:24:43"/>
    <n v="2.2668236580074215"/>
    <n v="30.230582524271842"/>
    <n v="0"/>
    <n v="52.439111111111096"/>
  </r>
  <r>
    <x v="454"/>
    <x v="3"/>
    <x v="0"/>
    <n v="9"/>
    <n v="9"/>
    <x v="5"/>
    <x v="1"/>
    <x v="0"/>
    <x v="4"/>
    <x v="33"/>
    <n v="3.08"/>
    <n v="62"/>
    <n v="8"/>
    <n v="3"/>
    <s v="Order"/>
    <n v="72.38"/>
    <n v="58.555668257046399"/>
    <n v="23.499999999999996"/>
    <n v="19.011580602937141"/>
    <n v="9.0474999999999994"/>
    <n v="1.1674193548387095"/>
    <n v="2.5974025974025974"/>
    <n v="7.75"/>
    <d v="1899-12-30T00:23:06"/>
    <n v="-4.8089346326343296"/>
    <n v="24.066190476190474"/>
    <n v="-0.56619047619047791"/>
    <n v="52.486333333333327"/>
  </r>
  <r>
    <x v="455"/>
    <x v="3"/>
    <x v="0"/>
    <n v="9"/>
    <n v="9"/>
    <x v="0"/>
    <x v="2"/>
    <x v="0"/>
    <x v="2"/>
    <x v="1"/>
    <n v="3.32"/>
    <n v="75"/>
    <n v="6"/>
    <n v="1"/>
    <s v="Order"/>
    <n v="85.14"/>
    <n v="68.417018052878717"/>
    <n v="25.644578313253014"/>
    <n v="20.607535558096"/>
    <n v="14.19"/>
    <n v="1.1352"/>
    <n v="1.8072289156626506"/>
    <n v="12.5"/>
    <d v="1899-12-30T00:33:12"/>
    <n v="5.8036224787855346"/>
    <n v="21.568295546402865"/>
    <n v="4.0762827668501487"/>
    <n v="53.432333333333332"/>
  </r>
  <r>
    <x v="456"/>
    <x v="3"/>
    <x v="0"/>
    <n v="9"/>
    <n v="9"/>
    <x v="1"/>
    <x v="1"/>
    <x v="0"/>
    <x v="4"/>
    <x v="274"/>
    <n v="4.4800000000000004"/>
    <n v="100"/>
    <n v="9"/>
    <n v="4"/>
    <s v="Order"/>
    <n v="129.13999999999999"/>
    <n v="106.84269073717161"/>
    <n v="28.825892857142851"/>
    <n v="23.84881489669009"/>
    <n v="14.348888888888887"/>
    <n v="1.2913999999999999"/>
    <n v="2.0089285714285712"/>
    <n v="11.111111111111111"/>
    <d v="1899-12-30T00:29:52"/>
    <n v="3.096682720677677"/>
    <n v="23.647241099883558"/>
    <n v="5.1786517572592921"/>
    <n v="54.867222222222225"/>
  </r>
  <r>
    <x v="457"/>
    <x v="3"/>
    <x v="0"/>
    <n v="9"/>
    <n v="9"/>
    <x v="2"/>
    <x v="10"/>
    <x v="2"/>
    <x v="4"/>
    <x v="267"/>
    <n v="3.77"/>
    <n v="66"/>
    <n v="9"/>
    <n v="2"/>
    <s v="Order"/>
    <n v="79.36"/>
    <n v="64.643775886533263"/>
    <n v="21.050397877984086"/>
    <n v="17.146890155579115"/>
    <n v="8.8177777777777777"/>
    <n v="1.2024242424242424"/>
    <n v="2.3872679045092839"/>
    <n v="7.333333333333333"/>
    <d v="1899-12-30T00:25:08"/>
    <n v="8.12706945120323"/>
    <n v="27.871502575489643"/>
    <n v="-6.8211046975055574"/>
    <n v="55.748999999999995"/>
  </r>
  <r>
    <x v="458"/>
    <x v="3"/>
    <x v="0"/>
    <n v="10"/>
    <n v="10"/>
    <x v="4"/>
    <x v="2"/>
    <x v="0"/>
    <x v="4"/>
    <x v="262"/>
    <n v="3.45"/>
    <n v="80"/>
    <n v="8"/>
    <n v="3"/>
    <s v="Order"/>
    <n v="65.319999999999993"/>
    <n v="47.482152589737282"/>
    <n v="18.93333333333333"/>
    <n v="13.762942779633994"/>
    <n v="8.1649999999999991"/>
    <n v="0.81649999999999989"/>
    <n v="2.318840579710145"/>
    <n v="10"/>
    <d v="1899-12-30T00:25:53"/>
    <n v="-9.1815471101315858"/>
    <n v="20.790663442097699"/>
    <n v="-1.8573301087643692"/>
    <n v="55.628666666666668"/>
  </r>
  <r>
    <x v="459"/>
    <x v="3"/>
    <x v="0"/>
    <n v="10"/>
    <n v="10"/>
    <x v="1"/>
    <x v="4"/>
    <x v="0"/>
    <x v="5"/>
    <x v="267"/>
    <n v="7.55"/>
    <n v="192"/>
    <n v="17"/>
    <n v="5"/>
    <s v="Order"/>
    <n v="221.82"/>
    <n v="179.0091662153695"/>
    <n v="29.380132450331125"/>
    <n v="23.709823339784041"/>
    <n v="13.048235294117646"/>
    <n v="1.1553125"/>
    <n v="2.2516556291390728"/>
    <n v="11.294117647058824"/>
    <d v="1899-12-30T00:26:39"/>
    <n v="3.4879390127776517"/>
    <n v="30.543878208019763"/>
    <n v="-1.1637457576886376"/>
    <n v="55.80822222222222"/>
  </r>
  <r>
    <x v="460"/>
    <x v="3"/>
    <x v="0"/>
    <n v="11"/>
    <n v="11"/>
    <x v="3"/>
    <x v="2"/>
    <x v="0"/>
    <x v="1"/>
    <x v="261"/>
    <n v="4.03"/>
    <n v="81"/>
    <n v="10"/>
    <n v="2"/>
    <s v="Order"/>
    <n v="96.69"/>
    <n v="78.629179497109007"/>
    <n v="23.992555831265506"/>
    <n v="19.510962654369479"/>
    <n v="9.6690000000000005"/>
    <n v="1.1937037037037037"/>
    <n v="2.4813895781637716"/>
    <n v="8.1"/>
    <d v="1899-12-30T00:24:11"/>
    <n v="-1.4703600579628002"/>
    <n v="26.303037502761384"/>
    <n v="-2.3104816714958787"/>
    <n v="56.882555555555548"/>
  </r>
  <r>
    <x v="461"/>
    <x v="3"/>
    <x v="0"/>
    <n v="11"/>
    <n v="11"/>
    <x v="5"/>
    <x v="2"/>
    <x v="0"/>
    <x v="5"/>
    <x v="81"/>
    <n v="4.2300000000000004"/>
    <n v="69"/>
    <n v="9"/>
    <n v="3"/>
    <s v="Order"/>
    <n v="114.52"/>
    <n v="99.13485660864842"/>
    <n v="27.073286052009454"/>
    <n v="23.43613631410128"/>
    <n v="12.724444444444444"/>
    <n v="1.6597101449275362"/>
    <n v="2.1276595744680851"/>
    <n v="7.666666666666667"/>
    <d v="1899-12-30T00:28:12"/>
    <n v="-0.79847270493084466"/>
    <n v="24.713285343418189"/>
    <n v="2.3600007085912651"/>
    <n v="56.30322222222221"/>
  </r>
  <r>
    <x v="462"/>
    <x v="3"/>
    <x v="0"/>
    <n v="11"/>
    <n v="11"/>
    <x v="6"/>
    <x v="2"/>
    <x v="1"/>
    <x v="1"/>
    <x v="274"/>
    <n v="4.1500000000000004"/>
    <n v="109.8"/>
    <n v="6"/>
    <n v="3"/>
    <s v="Order"/>
    <n v="76"/>
    <n v="51.517554429414432"/>
    <n v="18.31325301204819"/>
    <n v="12.413868537208296"/>
    <n v="12.666666666666666"/>
    <n v="0.69216757741347912"/>
    <n v="1.4457831325301203"/>
    <n v="18.3"/>
    <d v="1899-12-30T00:41:30"/>
    <n v="-1.9667236399706169"/>
    <n v="21.339386458777209"/>
    <n v="-3.0261334467290197"/>
    <n v="57.147666666666659"/>
  </r>
  <r>
    <x v="463"/>
    <x v="3"/>
    <x v="0"/>
    <n v="11"/>
    <n v="11"/>
    <x v="0"/>
    <x v="2"/>
    <x v="2"/>
    <x v="5"/>
    <x v="267"/>
    <n v="3.77"/>
    <n v="59"/>
    <n v="12"/>
    <n v="4"/>
    <s v="Order"/>
    <n v="91.05"/>
    <n v="77.894587534931247"/>
    <n v="24.151193633952253"/>
    <n v="20.661694306347812"/>
    <n v="7.5874999999999995"/>
    <n v="1.5432203389830508"/>
    <n v="3.183023872679045"/>
    <n v="4.916666666666667"/>
    <d v="1899-12-30T00:18:51"/>
    <n v="4.2932013638497288"/>
    <n v="20.505198983639957"/>
    <n v="3.6459946503122964"/>
    <n v="57.440222222222211"/>
  </r>
  <r>
    <x v="464"/>
    <x v="3"/>
    <x v="0"/>
    <n v="11"/>
    <n v="11"/>
    <x v="1"/>
    <x v="12"/>
    <x v="0"/>
    <x v="13"/>
    <x v="81"/>
    <n v="4.03"/>
    <n v="94"/>
    <n v="6"/>
    <n v="2"/>
    <s v="Order"/>
    <n v="84.15"/>
    <n v="63.190529292941328"/>
    <n v="20.88089330024814"/>
    <n v="15.680032082615714"/>
    <n v="14.025"/>
    <n v="0.89521276595744692"/>
    <n v="1.4888337468982629"/>
    <n v="15.666666666666666"/>
    <d v="1899-12-30T00:40:18"/>
    <n v="-5.1856970879442166"/>
    <n v="24.294742211193824"/>
    <n v="-3.4138489109456849"/>
    <n v="58.375222222222206"/>
  </r>
  <r>
    <x v="465"/>
    <x v="3"/>
    <x v="0"/>
    <n v="12"/>
    <n v="12"/>
    <x v="4"/>
    <x v="9"/>
    <x v="0"/>
    <x v="2"/>
    <x v="261"/>
    <n v="3.38"/>
    <n v="79"/>
    <n v="8"/>
    <n v="1"/>
    <s v="Order"/>
    <n v="114.44"/>
    <n v="96.825125682365581"/>
    <n v="33.857988165680474"/>
    <n v="28.646486888273841"/>
    <n v="14.305"/>
    <n v="1.4486075949367088"/>
    <n v="2.3668639053254439"/>
    <n v="9.875"/>
    <d v="1899-12-30T00:25:21"/>
    <n v="6.316954416598783"/>
    <n v="23.708191000470212"/>
    <n v="10.149797165210263"/>
    <n v="58.671666666666653"/>
  </r>
  <r>
    <x v="466"/>
    <x v="3"/>
    <x v="0"/>
    <n v="13"/>
    <n v="13"/>
    <x v="3"/>
    <x v="9"/>
    <x v="0"/>
    <x v="2"/>
    <x v="267"/>
    <n v="3.25"/>
    <n v="71"/>
    <n v="6"/>
    <n v="3"/>
    <s v="Hourly"/>
    <n v="101.97999999999999"/>
    <n v="86.14891042339184"/>
    <n v="31.378461538461536"/>
    <n v="26.507357053351335"/>
    <n v="16.996666666666666"/>
    <n v="1.4363380281690139"/>
    <n v="1.8461538461538463"/>
    <n v="11.833333333333334"/>
    <d v="1899-12-30T00:32:30"/>
    <n v="6.0205713676591444"/>
    <n v="28.889867756914999"/>
    <n v="2.4885937815465375"/>
    <n v="57.224555555555547"/>
  </r>
  <r>
    <x v="467"/>
    <x v="3"/>
    <x v="0"/>
    <n v="13"/>
    <n v="13"/>
    <x v="4"/>
    <x v="2"/>
    <x v="0"/>
    <x v="11"/>
    <x v="267"/>
    <n v="2.75"/>
    <n v="51"/>
    <n v="7"/>
    <n v="1"/>
    <s v="Order"/>
    <n v="69.17"/>
    <n v="57.798372275957526"/>
    <n v="25.152727272727272"/>
    <n v="21.01758991853001"/>
    <n v="9.8814285714285717"/>
    <n v="1.3562745098039215"/>
    <n v="2.5454545454545454"/>
    <n v="7.2857142857142856"/>
    <d v="1899-12-30T00:23:34"/>
    <n v="-2.7598920302719954"/>
    <n v="23.049833024118737"/>
    <n v="2.1028942486085356"/>
    <n v="56.886888888888876"/>
  </r>
  <r>
    <x v="468"/>
    <x v="3"/>
    <x v="0"/>
    <n v="13"/>
    <n v="13"/>
    <x v="5"/>
    <x v="1"/>
    <x v="0"/>
    <x v="4"/>
    <x v="245"/>
    <n v="3.32"/>
    <n v="77"/>
    <n v="7"/>
    <n v="2"/>
    <s v="Order"/>
    <n v="126.36"/>
    <n v="109.19107186762214"/>
    <n v="38.060240963855421"/>
    <n v="32.888877068560888"/>
    <n v="18.05142857142857"/>
    <n v="1.6410389610389611"/>
    <n v="2.1084337349397591"/>
    <n v="11"/>
    <d v="1899-12-30T00:28:27"/>
    <n v="10.255021598992695"/>
    <n v="32.352077622229814"/>
    <n v="5.7081633416256068"/>
    <n v="58.290888888888873"/>
  </r>
  <r>
    <x v="469"/>
    <x v="3"/>
    <x v="0"/>
    <n v="13"/>
    <n v="13"/>
    <x v="0"/>
    <x v="1"/>
    <x v="1"/>
    <x v="5"/>
    <x v="220"/>
    <n v="5.23"/>
    <n v="136"/>
    <n v="9"/>
    <n v="1"/>
    <s v="Order"/>
    <n v="155.94"/>
    <n v="125.6156594025534"/>
    <n v="29.81644359464627"/>
    <n v="24.01829051674061"/>
    <n v="17.326666666666668"/>
    <n v="1.1466176470588234"/>
    <n v="1.7208413001912044"/>
    <n v="15.111111111111111"/>
    <d v="1899-12-30T00:34:52"/>
    <n v="6.9539337400022667"/>
    <n v="21.587544461558959"/>
    <n v="8.2288991330873102"/>
    <n v="58.042555555555545"/>
  </r>
  <r>
    <x v="470"/>
    <x v="3"/>
    <x v="1"/>
    <n v="1"/>
    <n v="14"/>
    <x v="3"/>
    <x v="2"/>
    <x v="2"/>
    <x v="1"/>
    <x v="260"/>
    <n v="4.53"/>
    <n v="87"/>
    <n v="7"/>
    <n v="2"/>
    <s v="Order"/>
    <n v="68.83"/>
    <n v="49.4313409413393"/>
    <n v="15.194260485651213"/>
    <n v="10.911995792790131"/>
    <n v="9.8328571428571419"/>
    <n v="0.79114942528735632"/>
    <n v="1.5452538631346577"/>
    <n v="12.428571428571429"/>
    <d v="1899-12-30T00:38:50"/>
    <n v="5.294260485651213"/>
    <n v="15.194260485651213"/>
    <n v="0"/>
    <n v="57.195888888888867"/>
  </r>
  <r>
    <x v="471"/>
    <x v="3"/>
    <x v="1"/>
    <n v="1"/>
    <n v="14"/>
    <x v="4"/>
    <x v="1"/>
    <x v="0"/>
    <x v="2"/>
    <x v="245"/>
    <n v="3.9"/>
    <n v="52"/>
    <n v="12"/>
    <n v="3"/>
    <s v="Order"/>
    <n v="81.7"/>
    <n v="70.10539918332924"/>
    <n v="20.948717948717949"/>
    <n v="17.97574338034083"/>
    <n v="6.8083333333333336"/>
    <n v="1.5711538461538461"/>
    <n v="3.0769230769230771"/>
    <n v="4.333333333333333"/>
    <d v="1899-12-30T00:19:30"/>
    <n v="5.0352549926856227E-2"/>
    <n v="27.133182503770737"/>
    <n v="-6.1844645550527879"/>
    <n v="57.081333333333319"/>
  </r>
  <r>
    <x v="472"/>
    <x v="3"/>
    <x v="1"/>
    <n v="1"/>
    <n v="14"/>
    <x v="5"/>
    <x v="14"/>
    <x v="2"/>
    <x v="6"/>
    <x v="262"/>
    <n v="2.25"/>
    <n v="28"/>
    <n v="5"/>
    <n v="2"/>
    <s v="Order"/>
    <n v="38.25"/>
    <n v="32.006753406408052"/>
    <n v="17"/>
    <n v="14.225223736181356"/>
    <n v="7.65"/>
    <n v="1.3660714285714286"/>
    <n v="2.2222222222222223"/>
    <n v="5.6"/>
    <d v="1899-12-30T00:27:00"/>
    <n v="-0.11365947555749045"/>
    <n v="15.580338266384778"/>
    <n v="1.4196617336152215"/>
    <n v="57.506333333333323"/>
  </r>
  <r>
    <x v="473"/>
    <x v="3"/>
    <x v="1"/>
    <n v="1"/>
    <n v="14"/>
    <x v="0"/>
    <x v="1"/>
    <x v="0"/>
    <x v="13"/>
    <x v="267"/>
    <n v="6.05"/>
    <n v="141"/>
    <n v="14"/>
    <n v="1"/>
    <s v="Order"/>
    <n v="225.25"/>
    <n v="193.81079393941198"/>
    <n v="37.231404958677686"/>
    <n v="32.03484197345653"/>
    <n v="16.089285714285715"/>
    <n v="1.5975177304964538"/>
    <n v="2.3140495867768598"/>
    <n v="10.071428571428571"/>
    <d v="1899-12-30T00:25:56"/>
    <n v="11.855382406343871"/>
    <n v="30.149780691629349"/>
    <n v="7.0816242670483369"/>
    <n v="58.015666666666654"/>
  </r>
  <r>
    <x v="474"/>
    <x v="3"/>
    <x v="1"/>
    <n v="1"/>
    <n v="14"/>
    <x v="1"/>
    <x v="2"/>
    <x v="2"/>
    <x v="5"/>
    <x v="267"/>
    <n v="3.6"/>
    <n v="55"/>
    <n v="8"/>
    <n v="3"/>
    <s v="Order"/>
    <n v="65.900000000000006"/>
    <n v="53.636479905444396"/>
    <n v="18.305555555555557"/>
    <n v="14.899022195956777"/>
    <n v="8.2375000000000007"/>
    <n v="1.1981818181818182"/>
    <n v="2.2222222222222223"/>
    <n v="6.875"/>
    <d v="1899-12-30T00:27:00"/>
    <n v="-3.2073239510858116"/>
    <n v="21.691133638317044"/>
    <n v="-3.3855780827614872"/>
    <n v="57.717555555555535"/>
  </r>
  <r>
    <x v="475"/>
    <x v="3"/>
    <x v="1"/>
    <n v="2"/>
    <n v="15"/>
    <x v="3"/>
    <x v="2"/>
    <x v="1"/>
    <x v="1"/>
    <x v="220"/>
    <n v="4.42"/>
    <n v="102"/>
    <n v="8"/>
    <n v="3"/>
    <s v="Order"/>
    <n v="89.75"/>
    <n v="67.006744551915048"/>
    <n v="20.305429864253394"/>
    <n v="15.159896957446843"/>
    <n v="11.21875"/>
    <n v="0.87990196078431371"/>
    <n v="1.8099547511312217"/>
    <n v="12.75"/>
    <d v="1899-12-30T00:33:09"/>
    <n v="1.1124474081130415"/>
    <n v="22.041942574403119"/>
    <n v="-1.7365127101497251"/>
    <n v="57.124444444444435"/>
  </r>
  <r>
    <x v="476"/>
    <x v="3"/>
    <x v="1"/>
    <n v="2"/>
    <n v="15"/>
    <x v="4"/>
    <x v="1"/>
    <x v="0"/>
    <x v="2"/>
    <x v="81"/>
    <n v="3.98"/>
    <n v="113"/>
    <n v="9"/>
    <n v="4"/>
    <s v="Order"/>
    <n v="105.11"/>
    <n v="79.914040533003927"/>
    <n v="26.409547738693469"/>
    <n v="20.078904656533648"/>
    <n v="11.678888888888888"/>
    <n v="0.9301769911504425"/>
    <n v="2.2613065326633164"/>
    <n v="12.555555555555555"/>
    <d v="1899-12-30T00:26:32"/>
    <n v="5.5011118299170043"/>
    <n v="21.082970919354722"/>
    <n v="5.3265768193387473"/>
    <n v="58.077111111111094"/>
  </r>
  <r>
    <x v="477"/>
    <x v="3"/>
    <x v="1"/>
    <n v="2"/>
    <n v="15"/>
    <x v="0"/>
    <x v="2"/>
    <x v="0"/>
    <x v="11"/>
    <x v="259"/>
    <n v="7.7"/>
    <n v="163"/>
    <n v="14"/>
    <n v="3"/>
    <s v="Order"/>
    <n v="178"/>
    <n v="141.65538590158974"/>
    <n v="23.116883116883116"/>
    <n v="18.396803363842825"/>
    <n v="12.714285714285714"/>
    <n v="1.0920245398773005"/>
    <n v="1.8181818181818181"/>
    <n v="11.642857142857142"/>
    <d v="1899-12-30T00:33:00"/>
    <n v="-3.5764041472666825"/>
    <n v="19.73987012987013"/>
    <n v="3.3770129870129857"/>
    <n v="58.629555555555541"/>
  </r>
  <r>
    <x v="478"/>
    <x v="3"/>
    <x v="1"/>
    <n v="2"/>
    <n v="15"/>
    <x v="1"/>
    <x v="1"/>
    <x v="3"/>
    <x v="5"/>
    <x v="260"/>
    <n v="3.42"/>
    <n v="83"/>
    <n v="13"/>
    <n v="5"/>
    <s v="Order"/>
    <n v="74.75"/>
    <n v="56.243233311852443"/>
    <n v="21.85672514619883"/>
    <n v="16.445389857266797"/>
    <n v="5.75"/>
    <n v="0.9006024096385542"/>
    <n v="3.801169590643275"/>
    <n v="6.384615384615385"/>
    <d v="1899-12-30T00:15:47"/>
    <s v=""/>
    <n v="27.152961642707922"/>
    <n v="-5.296236496509092"/>
    <n v="58.51"/>
  </r>
  <r>
    <x v="479"/>
    <x v="3"/>
    <x v="1"/>
    <n v="3"/>
    <n v="16"/>
    <x v="4"/>
    <x v="1"/>
    <x v="0"/>
    <x v="5"/>
    <x v="259"/>
    <n v="5.75"/>
    <n v="126"/>
    <n v="8"/>
    <n v="3"/>
    <s v="Order"/>
    <n v="91.28"/>
    <n v="63.185390328836235"/>
    <n v="15.874782608695652"/>
    <n v="10.988763535449779"/>
    <n v="11.41"/>
    <n v="0.72444444444444445"/>
    <n v="1.3913043478260869"/>
    <n v="15.75"/>
    <d v="1899-12-30T00:43:08"/>
    <n v="-5.9505052717336486"/>
    <n v="16.999891304347827"/>
    <n v="-1.125108695652175"/>
    <n v="56.638777777777783"/>
  </r>
  <r>
    <x v="480"/>
    <x v="3"/>
    <x v="1"/>
    <n v="3"/>
    <n v="16"/>
    <x v="5"/>
    <x v="2"/>
    <x v="3"/>
    <x v="2"/>
    <x v="259"/>
    <n v="3.42"/>
    <n v="93"/>
    <n v="4"/>
    <n v="3"/>
    <s v="Order"/>
    <n v="50.44"/>
    <n v="29.703502385569603"/>
    <n v="14.748538011695906"/>
    <n v="8.6852346156636262"/>
    <n v="12.61"/>
    <n v="0.54236559139784946"/>
    <n v="1.1695906432748537"/>
    <n v="23.25"/>
    <d v="1899-12-30T00:51:18"/>
    <s v=""/>
    <n v="18.663094763423707"/>
    <n v="-3.914556751727801"/>
    <n v="57.199222222222225"/>
  </r>
  <r>
    <x v="481"/>
    <x v="3"/>
    <x v="1"/>
    <n v="3"/>
    <n v="16"/>
    <x v="0"/>
    <x v="2"/>
    <x v="0"/>
    <x v="5"/>
    <x v="260"/>
    <n v="4.0199999999999996"/>
    <n v="75"/>
    <n v="6"/>
    <n v="1"/>
    <s v="Order"/>
    <n v="74.75"/>
    <n v="58.027018052878717"/>
    <n v="18.594527363184081"/>
    <n v="14.434581605193712"/>
    <n v="12.458333333333334"/>
    <n v="0.9966666666666667"/>
    <n v="1.4925373134328359"/>
    <n v="12.5"/>
    <d v="1899-12-30T00:40:12"/>
    <n v="-7.7411194862390502"/>
    <n v="19.08828752450929"/>
    <n v="-0.49376016132520917"/>
    <n v="56.947555555555553"/>
  </r>
  <r>
    <x v="482"/>
    <x v="3"/>
    <x v="1"/>
    <n v="3"/>
    <n v="16"/>
    <x v="1"/>
    <x v="10"/>
    <x v="0"/>
    <x v="5"/>
    <x v="33"/>
    <n v="5.28"/>
    <n v="102"/>
    <n v="10"/>
    <n v="4"/>
    <s v="Order"/>
    <n v="104.72"/>
    <n v="81.976744551915047"/>
    <n v="19.833333333333332"/>
    <n v="15.525898589377849"/>
    <n v="10.472"/>
    <n v="1.0266666666666666"/>
    <n v="1.8939393939393938"/>
    <n v="10.199999999999999"/>
    <d v="1899-12-30T00:31:41"/>
    <n v="-7.7688048792945317"/>
    <n v="24.77708469395462"/>
    <n v="-4.9437513606212882"/>
    <n v="58.111111111111114"/>
  </r>
  <r>
    <x v="483"/>
    <x v="3"/>
    <x v="1"/>
    <n v="3"/>
    <n v="16"/>
    <x v="2"/>
    <x v="10"/>
    <x v="0"/>
    <x v="2"/>
    <x v="33"/>
    <n v="4.8499999999999996"/>
    <n v="111"/>
    <n v="10"/>
    <n v="3"/>
    <s v="Order"/>
    <n v="128.66"/>
    <n v="103.90998671826048"/>
    <n v="26.527835051546393"/>
    <n v="21.424739529538247"/>
    <n v="12.866"/>
    <n v="1.159099099099099"/>
    <n v="2.061855670103093"/>
    <n v="11.1"/>
    <d v="1899-12-30T00:29:06"/>
    <n v="9.8812185101930083"/>
    <n v="21.420832419390219"/>
    <n v="5.1070026321561741"/>
    <n v="58.448222222222221"/>
  </r>
  <r>
    <x v="484"/>
    <x v="3"/>
    <x v="1"/>
    <n v="4"/>
    <n v="17"/>
    <x v="3"/>
    <x v="9"/>
    <x v="0"/>
    <x v="2"/>
    <x v="260"/>
    <n v="3.22"/>
    <n v="60"/>
    <n v="9"/>
    <n v="2"/>
    <s v="Order"/>
    <n v="57"/>
    <n v="43.62161444230297"/>
    <n v="17.701863354037265"/>
    <n v="13.547085230528872"/>
    <n v="6.333333333333333"/>
    <n v="0.95"/>
    <n v="2.7950310559006208"/>
    <n v="6.666666666666667"/>
    <d v="1899-12-30T00:21:28"/>
    <n v="-1.6822669891699462"/>
    <n v="19.811569974890972"/>
    <n v="-2.1097066208537072"/>
    <n v="58.611111111111114"/>
  </r>
  <r>
    <x v="485"/>
    <x v="3"/>
    <x v="1"/>
    <n v="4"/>
    <n v="17"/>
    <x v="4"/>
    <x v="9"/>
    <x v="2"/>
    <x v="2"/>
    <x v="33"/>
    <n v="4.2"/>
    <n v="81"/>
    <n v="11"/>
    <n v="3"/>
    <s v="Order"/>
    <n v="72.8"/>
    <n v="54.739179497109006"/>
    <n v="17.333333333333332"/>
    <n v="13.033137975502143"/>
    <n v="6.6181818181818182"/>
    <n v="0.89876543209876536"/>
    <n v="2.6190476190476191"/>
    <n v="7.3636363636363633"/>
    <d v="1899-12-30T00:22:55"/>
    <n v="1.4958333333333336"/>
    <n v="16.253252032520326"/>
    <n v="1.0800813008130064"/>
    <n v="59.42"/>
  </r>
  <r>
    <x v="486"/>
    <x v="3"/>
    <x v="1"/>
    <n v="4"/>
    <n v="17"/>
    <x v="6"/>
    <x v="1"/>
    <x v="2"/>
    <x v="2"/>
    <x v="260"/>
    <n v="3.83"/>
    <n v="85"/>
    <n v="6"/>
    <n v="2"/>
    <s v="Order"/>
    <n v="68.61"/>
    <n v="49.657287126595875"/>
    <n v="17.913838120104437"/>
    <n v="12.965349119215633"/>
    <n v="11.435"/>
    <n v="0.80717647058823527"/>
    <n v="1.566579634464752"/>
    <n v="14.166666666666666"/>
    <d v="1899-12-30T00:38:18"/>
    <n v="-0.93705827347488579"/>
    <n v="20.958704774337935"/>
    <n v="-3.0448666542334983"/>
    <n v="58.070888888888881"/>
  </r>
  <r>
    <x v="487"/>
    <x v="3"/>
    <x v="1"/>
    <n v="4"/>
    <n v="17"/>
    <x v="0"/>
    <x v="2"/>
    <x v="0"/>
    <x v="2"/>
    <x v="258"/>
    <n v="5.08"/>
    <n v="109"/>
    <n v="14"/>
    <n v="4"/>
    <s v="Order"/>
    <n v="120.7"/>
    <n v="96.395932903517064"/>
    <n v="23.759842519685041"/>
    <n v="18.97557734321202"/>
    <n v="8.6214285714285719"/>
    <n v="1.1073394495412845"/>
    <n v="2.7559055118110236"/>
    <n v="7.7857142857142856"/>
    <d v="1899-12-30T00:21:46"/>
    <n v="-1.8720661946254467"/>
    <n v="27.058394201331158"/>
    <n v="-3.2985516816461171"/>
    <n v="58.181777777777775"/>
  </r>
  <r>
    <x v="488"/>
    <x v="3"/>
    <x v="1"/>
    <n v="4"/>
    <n v="17"/>
    <x v="1"/>
    <x v="2"/>
    <x v="0"/>
    <x v="2"/>
    <x v="259"/>
    <n v="4.9000000000000004"/>
    <n v="116"/>
    <n v="12"/>
    <n v="4"/>
    <s v="Order"/>
    <n v="121.16"/>
    <n v="95.295121255119071"/>
    <n v="24.726530612244897"/>
    <n v="19.447983929616136"/>
    <n v="10.096666666666666"/>
    <n v="1.0444827586206897"/>
    <n v="2.4489795918367343"/>
    <n v="9.6666666666666661"/>
    <d v="1899-12-30T00:24:30"/>
    <n v="-2.1693526113561887"/>
    <n v="23.513308240547271"/>
    <n v="1.2132223716976256"/>
    <n v="59.527999999999992"/>
  </r>
  <r>
    <x v="489"/>
    <x v="3"/>
    <x v="1"/>
    <n v="4"/>
    <n v="17"/>
    <x v="2"/>
    <x v="2"/>
    <x v="3"/>
    <x v="13"/>
    <x v="81"/>
    <n v="3.75"/>
    <n v="90"/>
    <n v="7"/>
    <n v="3"/>
    <s v="Order"/>
    <n v="51.269999999999996"/>
    <n v="31.202421663454452"/>
    <n v="13.671999999999999"/>
    <n v="8.3206457769211877"/>
    <n v="7.3242857142857138"/>
    <n v="0.56966666666666665"/>
    <n v="1.8666666666666667"/>
    <n v="12.857142857142858"/>
    <d v="1899-12-30T00:32:09"/>
    <n v="-5.6938376399655493"/>
    <n v="18.958528045340856"/>
    <n v="-5.286528045340857"/>
    <n v="60.097666666666669"/>
  </r>
  <r>
    <x v="490"/>
    <x v="3"/>
    <x v="1"/>
    <n v="5"/>
    <n v="18"/>
    <x v="4"/>
    <x v="1"/>
    <x v="0"/>
    <x v="4"/>
    <x v="260"/>
    <n v="4.03"/>
    <n v="99"/>
    <n v="10"/>
    <n v="4"/>
    <s v="Order"/>
    <n v="84.6"/>
    <n v="62.525663829799896"/>
    <n v="20.992555831265506"/>
    <n v="15.515053059503696"/>
    <n v="8.4599999999999991"/>
    <n v="0.8545454545454545"/>
    <n v="2.4813895781637716"/>
    <n v="9.9"/>
    <d v="1899-12-30T00:24:11"/>
    <n v="1.7340132512440931E-2"/>
    <n v="21.091386611284925"/>
    <n v="-9.8830780019419251E-2"/>
    <n v="58.57522222222223"/>
  </r>
  <r>
    <x v="491"/>
    <x v="3"/>
    <x v="1"/>
    <n v="5"/>
    <n v="18"/>
    <x v="5"/>
    <x v="2"/>
    <x v="0"/>
    <x v="2"/>
    <x v="259"/>
    <n v="5.3"/>
    <n v="91"/>
    <n v="12"/>
    <n v="4"/>
    <s v="Order"/>
    <n v="115.41"/>
    <n v="95.119448570826165"/>
    <n v="21.775471698113208"/>
    <n v="17.94706576808041"/>
    <n v="9.6174999999999997"/>
    <n v="1.2682417582417582"/>
    <n v="2.2641509433962264"/>
    <n v="7.583333333333333"/>
    <d v="1899-12-30T00:26:30"/>
    <n v="-4.1743391766292994"/>
    <n v="22.36763015414142"/>
    <n v="-0.59215845602821204"/>
    <n v="59.203888888888891"/>
  </r>
  <r>
    <x v="492"/>
    <x v="3"/>
    <x v="1"/>
    <n v="5"/>
    <n v="18"/>
    <x v="6"/>
    <x v="2"/>
    <x v="3"/>
    <x v="5"/>
    <x v="260"/>
    <n v="5"/>
    <n v="119"/>
    <n v="13"/>
    <n v="3"/>
    <s v="Order"/>
    <n v="107.63"/>
    <n v="81.096201977234216"/>
    <n v="21.526"/>
    <n v="16.219240395446842"/>
    <n v="8.2792307692307681"/>
    <n v="0.90445378151260503"/>
    <n v="2.6"/>
    <n v="9.1538461538461533"/>
    <d v="1899-12-30T00:23:05"/>
    <n v="7.9202307692307681"/>
    <n v="19.452916652940207"/>
    <n v="2.0730833470597929"/>
    <n v="59.414888888888889"/>
  </r>
  <r>
    <x v="493"/>
    <x v="3"/>
    <x v="1"/>
    <n v="5"/>
    <n v="18"/>
    <x v="0"/>
    <x v="1"/>
    <x v="2"/>
    <x v="2"/>
    <x v="254"/>
    <n v="5.45"/>
    <n v="91"/>
    <n v="15"/>
    <n v="3"/>
    <s v="Order"/>
    <n v="123.54"/>
    <n v="103.24944857082617"/>
    <n v="22.667889908256882"/>
    <n v="18.944852948775445"/>
    <n v="8.2360000000000007"/>
    <n v="1.3575824175824176"/>
    <n v="2.7522935779816513"/>
    <n v="6.0666666666666664"/>
    <d v="1899-12-30T00:21:48"/>
    <n v="4.9258065749235485"/>
    <n v="28.304790435178003"/>
    <n v="-5.6369005269211208"/>
    <n v="60.787555555555556"/>
  </r>
  <r>
    <x v="494"/>
    <x v="3"/>
    <x v="1"/>
    <n v="5"/>
    <n v="18"/>
    <x v="1"/>
    <x v="14"/>
    <x v="0"/>
    <x v="5"/>
    <x v="259"/>
    <n v="3.63"/>
    <n v="103"/>
    <n v="8"/>
    <n v="2"/>
    <s v="Hourly"/>
    <n v="73.050000000000011"/>
    <n v="50.08377145928678"/>
    <n v="20.123966942148765"/>
    <n v="13.797182220189196"/>
    <n v="9.1312500000000014"/>
    <n v="0.70922330097087394"/>
    <n v="2.2038567493112948"/>
    <n v="12.875"/>
    <d v="1899-12-30T00:27:14"/>
    <n v="-6.591136897172639"/>
    <n v="25.165112615762578"/>
    <n v="-5.0411456736138121"/>
    <n v="61.599222222222224"/>
  </r>
  <r>
    <x v="495"/>
    <x v="3"/>
    <x v="1"/>
    <n v="5"/>
    <n v="18"/>
    <x v="2"/>
    <x v="1"/>
    <x v="0"/>
    <x v="4"/>
    <x v="245"/>
    <n v="4.97"/>
    <n v="88"/>
    <n v="10"/>
    <n v="3"/>
    <s v="Order"/>
    <n v="141.63"/>
    <n v="122.00836784871102"/>
    <n v="28.496981891348089"/>
    <n v="24.548967373986123"/>
    <n v="14.163"/>
    <n v="1.6094318181818181"/>
    <n v="2.0120724346076462"/>
    <n v="8.8000000000000007"/>
    <d v="1899-12-30T00:29:49"/>
    <n v="8.5566258465970328"/>
    <n v="19.246597619330164"/>
    <n v="9.250384272017925"/>
    <n v="62.730444444444451"/>
  </r>
  <r>
    <x v="496"/>
    <x v="3"/>
    <x v="1"/>
    <n v="6"/>
    <n v="19"/>
    <x v="3"/>
    <x v="1"/>
    <x v="0"/>
    <x v="2"/>
    <x v="230"/>
    <n v="5.22"/>
    <n v="114"/>
    <n v="13"/>
    <n v="3"/>
    <s v="Order"/>
    <n v="133.05000000000001"/>
    <n v="107.63106744037566"/>
    <n v="25.488505747126439"/>
    <n v="20.618978436853574"/>
    <n v="10.234615384615385"/>
    <n v="1.1671052631578949"/>
    <n v="2.4904214559386975"/>
    <n v="8.7692307692307701"/>
    <d v="1899-12-30T00:24:06"/>
    <n v="6.4408288017532165"/>
    <n v="20.570186793111567"/>
    <n v="4.9183189540148717"/>
    <n v="64.208777777777783"/>
  </r>
  <r>
    <x v="497"/>
    <x v="3"/>
    <x v="1"/>
    <n v="6"/>
    <n v="19"/>
    <x v="4"/>
    <x v="2"/>
    <x v="1"/>
    <x v="2"/>
    <x v="257"/>
    <n v="3.73"/>
    <n v="104"/>
    <n v="7"/>
    <n v="3"/>
    <s v="Order"/>
    <n v="75.02"/>
    <n v="51.830798366658478"/>
    <n v="20.112600536193028"/>
    <n v="13.895656398567956"/>
    <n v="10.717142857142857"/>
    <n v="0.72134615384615386"/>
    <n v="1.8766756032171581"/>
    <n v="14.857142857142858"/>
    <d v="1899-12-30T00:31:58"/>
    <s v=""/>
    <n v="18.163573021829258"/>
    <n v="1.9490275143637703"/>
    <n v="64.436333333333351"/>
  </r>
  <r>
    <x v="498"/>
    <x v="3"/>
    <x v="1"/>
    <n v="6"/>
    <n v="19"/>
    <x v="6"/>
    <x v="9"/>
    <x v="0"/>
    <x v="2"/>
    <x v="81"/>
    <n v="4.2"/>
    <n v="78"/>
    <n v="8"/>
    <n v="3"/>
    <s v="Order"/>
    <n v="91.550000000000011"/>
    <n v="74.158098774993874"/>
    <n v="21.797619047619051"/>
    <n v="17.656690184522351"/>
    <n v="11.443750000000001"/>
    <n v="1.1737179487179488"/>
    <n v="1.9047619047619047"/>
    <n v="9.75"/>
    <d v="1899-12-30T00:31:30"/>
    <n v="-1.8176738276221158"/>
    <n v="21.385404996263951"/>
    <n v="0.41221405135510025"/>
    <n v="62.794444444444466"/>
  </r>
  <r>
    <x v="499"/>
    <x v="3"/>
    <x v="1"/>
    <n v="7"/>
    <n v="20"/>
    <x v="3"/>
    <x v="2"/>
    <x v="0"/>
    <x v="2"/>
    <x v="255"/>
    <n v="5.32"/>
    <n v="115"/>
    <n v="13"/>
    <n v="2"/>
    <s v="Order"/>
    <n v="143.83000000000001"/>
    <n v="118.18809434774738"/>
    <n v="27.035714285714288"/>
    <n v="22.21580720822319"/>
    <n v="11.063846153846155"/>
    <n v="1.2506956521739132"/>
    <n v="2.4436090225563909"/>
    <n v="8.8461538461538467"/>
    <d v="1899-12-30T00:24:33"/>
    <n v="6.9145658733821946"/>
    <n v="25.030869708994711"/>
    <n v="2.0048445767195773"/>
    <n v="62.508555555555567"/>
  </r>
  <r>
    <x v="500"/>
    <x v="3"/>
    <x v="1"/>
    <n v="7"/>
    <n v="20"/>
    <x v="4"/>
    <x v="2"/>
    <x v="0"/>
    <x v="13"/>
    <x v="247"/>
    <n v="6.35"/>
    <n v="130"/>
    <n v="16"/>
    <n v="3"/>
    <s v="Order"/>
    <n v="142.47999999999999"/>
    <n v="113.49349795832309"/>
    <n v="22.437795275590553"/>
    <n v="17.87299180446033"/>
    <n v="8.9049999999999994"/>
    <n v="1.0959999999999999"/>
    <n v="2.5196850393700787"/>
    <n v="8.125"/>
    <d v="1899-12-30T00:23:49"/>
    <n v="1.4604120602734341"/>
    <n v="25.982298093143498"/>
    <n v="-3.5445028175529458"/>
    <n v="61.956666666666678"/>
  </r>
  <r>
    <x v="501"/>
    <x v="3"/>
    <x v="1"/>
    <n v="7"/>
    <n v="20"/>
    <x v="5"/>
    <x v="9"/>
    <x v="0"/>
    <x v="1"/>
    <x v="230"/>
    <n v="5.35"/>
    <n v="105"/>
    <n v="15"/>
    <n v="3"/>
    <s v="Order"/>
    <n v="125.15"/>
    <n v="101.7378252740302"/>
    <n v="23.392523364485985"/>
    <n v="19.016415939071067"/>
    <n v="8.3433333333333337"/>
    <n v="1.191904761904762"/>
    <n v="2.8037383177570097"/>
    <n v="7"/>
    <d v="1899-12-30T00:21:24"/>
    <n v="-1.8615643141516358"/>
    <n v="24.268423200414826"/>
    <n v="-0.87589983592884124"/>
    <n v="63.347222222222236"/>
  </r>
  <r>
    <x v="502"/>
    <x v="3"/>
    <x v="1"/>
    <n v="7"/>
    <n v="20"/>
    <x v="6"/>
    <x v="2"/>
    <x v="0"/>
    <x v="2"/>
    <x v="176"/>
    <n v="5.62"/>
    <n v="155"/>
    <n v="11"/>
    <n v="4"/>
    <s v="Order"/>
    <n v="129.67000000000002"/>
    <n v="95.109170642616021"/>
    <n v="23.072953736654807"/>
    <n v="16.923339971995734"/>
    <n v="11.788181818181819"/>
    <n v="0.83658064516129038"/>
    <n v="1.9572953736654803"/>
    <n v="14.090909090909092"/>
    <d v="1899-12-30T00:30:39"/>
    <n v="-0.37709606334798806"/>
    <n v="19.305707637558172"/>
    <n v="3.767246099096635"/>
    <n v="63.882000000000012"/>
  </r>
  <r>
    <x v="503"/>
    <x v="3"/>
    <x v="1"/>
    <n v="7"/>
    <n v="20"/>
    <x v="0"/>
    <x v="1"/>
    <x v="1"/>
    <x v="1"/>
    <x v="256"/>
    <n v="6.28"/>
    <n v="121"/>
    <n v="17"/>
    <n v="3"/>
    <s v="Order"/>
    <n v="151.49"/>
    <n v="124.51025579197767"/>
    <n v="24.122611464968152"/>
    <n v="19.826473852225742"/>
    <n v="8.9111764705882361"/>
    <n v="1.2519834710743802"/>
    <n v="2.7070063694267517"/>
    <n v="7.117647058823529"/>
    <d v="1899-12-30T00:22:10"/>
    <n v="2.095324119482715"/>
    <n v="26.162300455424486"/>
    <n v="-2.0396889904563338"/>
    <n v="64.096444444444444"/>
  </r>
  <r>
    <x v="504"/>
    <x v="3"/>
    <x v="1"/>
    <n v="8"/>
    <n v="21"/>
    <x v="3"/>
    <x v="12"/>
    <x v="0"/>
    <x v="12"/>
    <x v="252"/>
    <n v="1.58"/>
    <n v="31"/>
    <n v="4"/>
    <n v="1"/>
    <s v="Order"/>
    <n v="22"/>
    <n v="15.087834128523202"/>
    <n v="13.924050632911392"/>
    <n v="9.5492621066602545"/>
    <n v="5.5"/>
    <n v="0.70967741935483875"/>
    <n v="2.5316455696202529"/>
    <n v="7.75"/>
    <d v="1899-12-30T00:23:42"/>
    <n v="-7.184892904189585"/>
    <n v="15.443940210072718"/>
    <n v="-1.5198895771613259"/>
    <n v="62.071333333333335"/>
  </r>
  <r>
    <x v="505"/>
    <x v="3"/>
    <x v="1"/>
    <n v="8"/>
    <n v="21"/>
    <x v="5"/>
    <x v="9"/>
    <x v="0"/>
    <x v="1"/>
    <x v="251"/>
    <n v="5.22"/>
    <n v="158"/>
    <n v="9"/>
    <n v="3"/>
    <s v="Order"/>
    <n v="105.4"/>
    <n v="70.170251364731172"/>
    <n v="20.191570881226056"/>
    <n v="13.442576889795244"/>
    <n v="11.711111111111112"/>
    <n v="0.66708860759493671"/>
    <n v="1.7241379310344829"/>
    <n v="17.555555555555557"/>
    <d v="1899-12-30T00:34:48"/>
    <n v="-4.7965790382470459"/>
    <n v="19.565184981657026"/>
    <n v="0.6263858995690299"/>
    <n v="61.653555555555549"/>
  </r>
  <r>
    <x v="506"/>
    <x v="3"/>
    <x v="1"/>
    <n v="8"/>
    <n v="21"/>
    <x v="6"/>
    <x v="2"/>
    <x v="0"/>
    <x v="2"/>
    <x v="64"/>
    <n v="3.67"/>
    <n v="77"/>
    <n v="10"/>
    <n v="1"/>
    <s v="Order"/>
    <n v="72.94"/>
    <n v="55.77107186762214"/>
    <n v="19.87465940054496"/>
    <n v="15.196477348125924"/>
    <n v="7.2939999999999996"/>
    <n v="0.94727272727272727"/>
    <n v="2.7247956403269757"/>
    <n v="7.7"/>
    <d v="1899-12-30T00:22:01"/>
    <n v="-3.5439657275121697"/>
    <n v="19.770465325238188"/>
    <n v="0.10419407530677205"/>
    <n v="62.463999999999992"/>
  </r>
  <r>
    <x v="507"/>
    <x v="3"/>
    <x v="1"/>
    <n v="8"/>
    <n v="21"/>
    <x v="0"/>
    <x v="2"/>
    <x v="0"/>
    <x v="2"/>
    <x v="252"/>
    <n v="4.45"/>
    <n v="111"/>
    <n v="8"/>
    <n v="4"/>
    <s v="Order"/>
    <n v="72.19"/>
    <n v="47.439986718260492"/>
    <n v="16.222471910112358"/>
    <n v="10.660671172642807"/>
    <n v="9.0237499999999997"/>
    <n v="0.65036036036036038"/>
    <n v="1.797752808988764"/>
    <n v="13.875"/>
    <d v="1899-12-30T00:33:23"/>
    <n v="-9.2534312879793426"/>
    <n v="17.27594486567542"/>
    <n v="-1.0534729555630626"/>
    <n v="62.084111111111099"/>
  </r>
  <r>
    <x v="508"/>
    <x v="3"/>
    <x v="1"/>
    <n v="9"/>
    <n v="22"/>
    <x v="3"/>
    <x v="10"/>
    <x v="3"/>
    <x v="1"/>
    <x v="250"/>
    <n v="6.37"/>
    <n v="172"/>
    <n v="10"/>
    <n v="4"/>
    <s v="Hourly"/>
    <n v="93.49"/>
    <n v="55.13862806793518"/>
    <n v="14.676609105180532"/>
    <n v="8.6559855679647058"/>
    <n v="9.3490000000000002"/>
    <n v="0.5435465116279069"/>
    <n v="1.5698587127158556"/>
    <n v="17.2"/>
    <d v="1899-12-30T00:38:13"/>
    <n v="-5.8597545311831034"/>
    <n v="18.734097495073303"/>
    <n v="-4.0574883898927716"/>
    <n v="61.738999999999983"/>
  </r>
  <r>
    <x v="509"/>
    <x v="3"/>
    <x v="1"/>
    <n v="9"/>
    <n v="22"/>
    <x v="4"/>
    <x v="10"/>
    <x v="0"/>
    <x v="1"/>
    <x v="250"/>
    <n v="6.1"/>
    <n v="164"/>
    <n v="11"/>
    <n v="5"/>
    <s v="Order"/>
    <n v="121.22"/>
    <n v="84.652412808961458"/>
    <n v="19.872131147540983"/>
    <n v="13.877444722780568"/>
    <n v="11.02"/>
    <n v="0.73914634146341462"/>
    <n v="1.8032786885245902"/>
    <n v="14.909090909090908"/>
    <d v="1899-12-30T00:33:16"/>
    <n v="-1.2675200744731825"/>
    <n v="20.188057605643003"/>
    <n v="-0.31592645810201958"/>
    <n v="62.281666666666652"/>
  </r>
  <r>
    <x v="510"/>
    <x v="3"/>
    <x v="1"/>
    <n v="9"/>
    <n v="22"/>
    <x v="5"/>
    <x v="1"/>
    <x v="0"/>
    <x v="2"/>
    <x v="64"/>
    <n v="2.97"/>
    <n v="58"/>
    <n v="7"/>
    <n v="2"/>
    <s v="Order"/>
    <n v="48.230000000000004"/>
    <n v="35.297560627559541"/>
    <n v="16.239057239057239"/>
    <n v="11.884700547999845"/>
    <n v="6.8900000000000006"/>
    <n v="0.8315517241379311"/>
    <n v="2.3569023569023568"/>
    <n v="8.2857142857142865"/>
    <d v="1899-12-30T00:25:27"/>
    <n v="-8.1495203006349826"/>
    <n v="21.882177824775361"/>
    <n v="-5.6431205857181226"/>
    <n v="62.817555555555536"/>
  </r>
  <r>
    <x v="511"/>
    <x v="3"/>
    <x v="1"/>
    <n v="9"/>
    <n v="22"/>
    <x v="6"/>
    <x v="1"/>
    <x v="0"/>
    <x v="12"/>
    <x v="247"/>
    <n v="5.53"/>
    <n v="127"/>
    <n v="11"/>
    <n v="4"/>
    <s v="Order"/>
    <n v="155.93000000000004"/>
    <n v="127.61241723620799"/>
    <n v="28.197106690777581"/>
    <n v="23.076386480326942"/>
    <n v="14.175454545454549"/>
    <n v="1.2277952755905515"/>
    <n v="1.9891500904159132"/>
    <n v="11.545454545454545"/>
    <d v="1899-12-30T00:30:10"/>
    <n v="5.0510943109906208"/>
    <n v="23.93154089725601"/>
    <n v="4.2655657935215707"/>
    <n v="63.604111111111088"/>
  </r>
  <r>
    <x v="512"/>
    <x v="3"/>
    <x v="1"/>
    <n v="9"/>
    <n v="22"/>
    <x v="0"/>
    <x v="1"/>
    <x v="0"/>
    <x v="2"/>
    <x v="176"/>
    <n v="5.9"/>
    <n v="126"/>
    <n v="13"/>
    <n v="3"/>
    <s v="Order"/>
    <n v="131.13"/>
    <n v="103.03539032883623"/>
    <n v="22.225423728813556"/>
    <n v="17.463625479463765"/>
    <n v="10.086923076923076"/>
    <n v="1.0407142857142857"/>
    <n v="2.2033898305084745"/>
    <n v="9.6923076923076916"/>
    <d v="1899-12-30T00:27:14"/>
    <n v="-2.5386770625105015"/>
    <n v="22.313396922264502"/>
    <n v="-8.7973193450945786E-2"/>
    <n v="63.626222222222211"/>
  </r>
  <r>
    <x v="513"/>
    <x v="3"/>
    <x v="1"/>
    <n v="9"/>
    <n v="22"/>
    <x v="1"/>
    <x v="7"/>
    <x v="1"/>
    <x v="1"/>
    <x v="254"/>
    <n v="5.05"/>
    <n v="142"/>
    <n v="8"/>
    <n v="2"/>
    <s v="Order"/>
    <n v="152.71999999999997"/>
    <n v="121.05782084678367"/>
    <n v="30.241584158415836"/>
    <n v="23.971845712234391"/>
    <n v="19.089999999999996"/>
    <n v="1.0754929577464787"/>
    <n v="1.5841584158415842"/>
    <n v="17.75"/>
    <d v="1899-12-30T00:37:53"/>
    <n v="11.921616194701969"/>
    <n v="26.586309320587226"/>
    <n v="3.6552748378286104"/>
    <n v="64.441333333333304"/>
  </r>
  <r>
    <x v="514"/>
    <x v="3"/>
    <x v="1"/>
    <n v="9"/>
    <n v="22"/>
    <x v="2"/>
    <x v="1"/>
    <x v="2"/>
    <x v="2"/>
    <x v="46"/>
    <n v="5.25"/>
    <n v="93"/>
    <n v="12"/>
    <n v="2"/>
    <s v="Order"/>
    <n v="94.56"/>
    <n v="73.823502385569611"/>
    <n v="18.011428571428571"/>
    <n v="14.06161950201326"/>
    <n v="7.88"/>
    <n v="1.0167741935483872"/>
    <n v="2.2857142857142856"/>
    <n v="7.75"/>
    <d v="1899-12-30T00:26:15"/>
    <n v="1.7509022556390974"/>
    <n v="18.334880952380949"/>
    <n v="-0.3234523809523786"/>
    <n v="65.491999999999976"/>
  </r>
  <r>
    <x v="515"/>
    <x v="3"/>
    <x v="1"/>
    <n v="10"/>
    <n v="23"/>
    <x v="3"/>
    <x v="2"/>
    <x v="0"/>
    <x v="2"/>
    <x v="176"/>
    <n v="5.33"/>
    <n v="139"/>
    <n v="10"/>
    <n v="1"/>
    <s v="Order"/>
    <n v="96"/>
    <n v="65.006740124668553"/>
    <n v="18.011257035647279"/>
    <n v="12.196386514947196"/>
    <n v="9.6"/>
    <n v="0.69064748201438853"/>
    <n v="1.876172607879925"/>
    <n v="13.9"/>
    <d v="1899-12-30T00:31:59"/>
    <n v="-2.1995748884299999"/>
    <n v="22.182309988289532"/>
    <n v="-4.1710529526422526"/>
    <n v="65.832888888888874"/>
  </r>
  <r>
    <x v="516"/>
    <x v="3"/>
    <x v="1"/>
    <n v="10"/>
    <n v="23"/>
    <x v="4"/>
    <x v="2"/>
    <x v="0"/>
    <x v="2"/>
    <x v="176"/>
    <n v="4.2300000000000004"/>
    <n v="120"/>
    <n v="10"/>
    <n v="2"/>
    <s v="Order"/>
    <n v="104.53999999999999"/>
    <n v="77.783228884605933"/>
    <n v="24.71394799054373"/>
    <n v="18.388470185486035"/>
    <n v="10.453999999999999"/>
    <n v="0.87116666666666664"/>
    <n v="2.3640661938534278"/>
    <n v="12"/>
    <d v="1899-12-30T00:25:23"/>
    <n v="3.7010487759768793"/>
    <n v="25.132141780506764"/>
    <n v="-0.41819378996303413"/>
    <n v="66.99444444444444"/>
  </r>
  <r>
    <x v="517"/>
    <x v="3"/>
    <x v="1"/>
    <n v="10"/>
    <n v="23"/>
    <x v="5"/>
    <x v="2"/>
    <x v="1"/>
    <x v="1"/>
    <x v="176"/>
    <n v="5.6"/>
    <n v="121"/>
    <n v="13"/>
    <n v="3"/>
    <s v="Order"/>
    <n v="113.09"/>
    <n v="86.110255791977664"/>
    <n v="20.19464285714286"/>
    <n v="15.376831391424584"/>
    <n v="8.6992307692307698"/>
    <n v="0.93462809917355372"/>
    <n v="2.3214285714285716"/>
    <n v="9.3076923076923084"/>
    <d v="1899-12-30T00:25:51"/>
    <n v="1.69114996425618"/>
    <n v="18.692679503627101"/>
    <n v="1.5019633535157588"/>
    <n v="68.250999999999991"/>
  </r>
  <r>
    <x v="518"/>
    <x v="3"/>
    <x v="1"/>
    <n v="10"/>
    <n v="23"/>
    <x v="6"/>
    <x v="10"/>
    <x v="1"/>
    <x v="11"/>
    <x v="255"/>
    <n v="6.13"/>
    <n v="119"/>
    <n v="10"/>
    <n v="1"/>
    <s v="Order"/>
    <n v="139.02000000000001"/>
    <n v="112.48620197723423"/>
    <n v="22.678629690048943"/>
    <n v="18.350114515046368"/>
    <n v="13.902000000000001"/>
    <n v="1.168235294117647"/>
    <n v="1.6313213703099512"/>
    <n v="11.9"/>
    <d v="1899-12-30T00:36:47"/>
    <n v="5.5503525441247383"/>
    <n v="27.094757647407121"/>
    <n v="-4.416127957358178"/>
    <n v="69.795666666666662"/>
  </r>
  <r>
    <x v="519"/>
    <x v="3"/>
    <x v="1"/>
    <n v="10"/>
    <n v="23"/>
    <x v="0"/>
    <x v="1"/>
    <x v="0"/>
    <x v="1"/>
    <x v="247"/>
    <n v="6.08"/>
    <n v="165"/>
    <n v="13"/>
    <n v="2"/>
    <s v="Order"/>
    <n v="143.56"/>
    <n v="106.76943971633318"/>
    <n v="23.611842105263158"/>
    <n v="17.560763111239009"/>
    <n v="11.043076923076923"/>
    <n v="0.87006060606060609"/>
    <n v="2.138157894736842"/>
    <n v="12.692307692307692"/>
    <d v="1899-12-30T00:28:04"/>
    <n v="-0.97092461016729104"/>
    <n v="20.101809097414456"/>
    <n v="3.5100330078487012"/>
    <n v="68.926111111111112"/>
  </r>
  <r>
    <x v="520"/>
    <x v="3"/>
    <x v="1"/>
    <n v="10"/>
    <n v="23"/>
    <x v="1"/>
    <x v="12"/>
    <x v="0"/>
    <x v="2"/>
    <x v="230"/>
    <n v="7.35"/>
    <n v="153"/>
    <n v="17"/>
    <n v="4"/>
    <s v="Hourly"/>
    <n v="136.09"/>
    <n v="101.97511682787257"/>
    <n v="18.515646258503402"/>
    <n v="13.874165554812596"/>
    <n v="8.0052941176470593"/>
    <n v="0.88947712418300651"/>
    <n v="2.3129251700680271"/>
    <n v="9"/>
    <d v="1899-12-30T00:25:56"/>
    <n v="-7.6924470502662601"/>
    <n v="20.809749427409155"/>
    <n v="-2.2941031689057532"/>
    <n v="70.438222222222223"/>
  </r>
  <r>
    <x v="521"/>
    <x v="3"/>
    <x v="1"/>
    <n v="10"/>
    <n v="23"/>
    <x v="2"/>
    <x v="7"/>
    <x v="1"/>
    <x v="1"/>
    <x v="257"/>
    <n v="6.62"/>
    <n v="155"/>
    <n v="13"/>
    <n v="2"/>
    <s v="Order"/>
    <n v="174.07"/>
    <n v="139.509170642616"/>
    <n v="26.294561933534741"/>
    <n v="21.073892846316618"/>
    <n v="13.389999999999999"/>
    <n v="1.123032258064516"/>
    <n v="1.9637462235649545"/>
    <n v="11.923076923076923"/>
    <d v="1899-12-30T00:30:33"/>
    <n v="4.2948626154786673"/>
    <n v="26.294561933534741"/>
    <n v="0"/>
    <n v="71.298000000000002"/>
  </r>
  <r>
    <x v="522"/>
    <x v="3"/>
    <x v="1"/>
    <n v="11"/>
    <n v="24"/>
    <x v="3"/>
    <x v="2"/>
    <x v="1"/>
    <x v="2"/>
    <x v="146"/>
    <n v="5.16"/>
    <n v="111"/>
    <n v="8"/>
    <n v="4"/>
    <s v="Order"/>
    <n v="130.76999999999998"/>
    <n v="106.01998671826047"/>
    <n v="25.34302325581395"/>
    <n v="20.546509053926446"/>
    <n v="16.346249999999998"/>
    <n v="1.178108108108108"/>
    <n v="1.5503875968992247"/>
    <n v="13.875"/>
    <d v="1899-12-30T00:38:42"/>
    <n v="5.5938170956170765"/>
    <n v="18.7884790163058"/>
    <n v="6.5545442395081501"/>
    <n v="72.751000000000005"/>
  </r>
  <r>
    <x v="523"/>
    <x v="3"/>
    <x v="1"/>
    <n v="11"/>
    <n v="24"/>
    <x v="4"/>
    <x v="9"/>
    <x v="0"/>
    <x v="5"/>
    <x v="176"/>
    <n v="5.12"/>
    <n v="124"/>
    <n v="9"/>
    <n v="3"/>
    <s v="Order"/>
    <n v="100.4"/>
    <n v="72.751336514092813"/>
    <n v="19.609375"/>
    <n v="14.209245412908752"/>
    <n v="11.155555555555557"/>
    <n v="0.80967741935483872"/>
    <n v="1.7578125"/>
    <n v="13.777777777777779"/>
    <d v="1899-12-30T00:34:08"/>
    <n v="-1.7399831942011126"/>
    <n v="22.483161614441418"/>
    <n v="-2.8737866144414177"/>
    <n v="72.594111111111104"/>
  </r>
  <r>
    <x v="524"/>
    <x v="3"/>
    <x v="1"/>
    <n v="11"/>
    <n v="24"/>
    <x v="5"/>
    <x v="2"/>
    <x v="0"/>
    <x v="5"/>
    <x v="247"/>
    <n v="5.72"/>
    <n v="104"/>
    <n v="12"/>
    <n v="1"/>
    <s v="Order"/>
    <n v="104.98"/>
    <n v="81.790798366658493"/>
    <n v="18.353146853146853"/>
    <n v="14.299090623541694"/>
    <n v="8.7483333333333331"/>
    <n v="1.009423076923077"/>
    <n v="2.0979020979020979"/>
    <n v="8.6666666666666661"/>
    <d v="1899-12-30T00:28:36"/>
    <n v="-5.1299284309192608"/>
    <n v="18.353146853146853"/>
    <n v="0"/>
    <n v="72.916111111111093"/>
  </r>
  <r>
    <x v="525"/>
    <x v="3"/>
    <x v="1"/>
    <n v="11"/>
    <n v="24"/>
    <x v="6"/>
    <x v="10"/>
    <x v="0"/>
    <x v="2"/>
    <x v="252"/>
    <n v="5.8"/>
    <n v="123"/>
    <n v="14"/>
    <n v="3"/>
    <s v="Order"/>
    <n v="134"/>
    <n v="106.57430960672109"/>
    <n v="23.103448275862071"/>
    <n v="18.374880966676049"/>
    <n v="9.5714285714285712"/>
    <n v="1.089430894308943"/>
    <n v="2.4137931034482758"/>
    <n v="8.7857142857142865"/>
    <d v="1899-12-30T00:24:51"/>
    <n v="-0.40335655470993359"/>
    <n v="20.552091321007818"/>
    <n v="2.5513569548542527"/>
    <n v="73.393333333333331"/>
  </r>
  <r>
    <x v="526"/>
    <x v="3"/>
    <x v="1"/>
    <n v="11"/>
    <n v="24"/>
    <x v="0"/>
    <x v="2"/>
    <x v="0"/>
    <x v="10"/>
    <x v="251"/>
    <n v="7.62"/>
    <n v="185"/>
    <n v="17"/>
    <n v="4"/>
    <s v="Order"/>
    <n v="206.79"/>
    <n v="165.53997786376749"/>
    <n v="27.137795275590548"/>
    <n v="21.724406543801507"/>
    <n v="12.164117647058823"/>
    <n v="1.1177837837837838"/>
    <n v="2.2309711286089238"/>
    <n v="10.882352941176471"/>
    <d v="1899-12-30T00:26:54"/>
    <n v="2.6197568675045844"/>
    <n v="23.104506448136657"/>
    <n v="4.0332888274538909"/>
    <n v="74.756"/>
  </r>
  <r>
    <x v="527"/>
    <x v="3"/>
    <x v="1"/>
    <n v="11"/>
    <n v="24"/>
    <x v="1"/>
    <x v="15"/>
    <x v="0"/>
    <x v="2"/>
    <x v="230"/>
    <n v="5.93"/>
    <n v="174"/>
    <n v="11"/>
    <n v="3"/>
    <s v="Hourly"/>
    <n v="142.88"/>
    <n v="104.0826818826786"/>
    <n v="24.094435075885329"/>
    <n v="17.551885646320169"/>
    <n v="12.989090909090908"/>
    <n v="0.82114942528735635"/>
    <n v="1.854974704890388"/>
    <n v="15.818181818181818"/>
    <d v="1899-12-30T00:32:21"/>
    <n v="-1.5641977292938876"/>
    <n v="22.337827564977648"/>
    <n v="1.7566075109076813"/>
    <n v="76.343555555555554"/>
  </r>
  <r>
    <x v="528"/>
    <x v="3"/>
    <x v="1"/>
    <n v="12"/>
    <n v="25"/>
    <x v="3"/>
    <x v="1"/>
    <x v="1"/>
    <x v="1"/>
    <x v="230"/>
    <n v="5.38"/>
    <n v="104"/>
    <n v="11"/>
    <n v="2"/>
    <s v="Order"/>
    <n v="117.83000000000001"/>
    <n v="94.640798366658487"/>
    <n v="21.901486988847587"/>
    <n v="17.59122646220418"/>
    <n v="10.711818181818183"/>
    <n v="1.1329807692307694"/>
    <n v="2.0446096654275094"/>
    <n v="9.454545454545455"/>
    <d v="1899-12-30T00:29:21"/>
    <n v="0.28767513011168688"/>
    <n v="19.273030658110066"/>
    <n v="2.6284563307375208"/>
    <n v="76.381222222222235"/>
  </r>
  <r>
    <x v="529"/>
    <x v="3"/>
    <x v="1"/>
    <n v="12"/>
    <n v="25"/>
    <x v="4"/>
    <x v="2"/>
    <x v="0"/>
    <x v="2"/>
    <x v="137"/>
    <n v="5.28"/>
    <n v="122"/>
    <n v="14"/>
    <n v="3"/>
    <s v="Order"/>
    <n v="116.97"/>
    <n v="89.76728269934938"/>
    <n v="22.15340909090909"/>
    <n v="17.001379299119201"/>
    <n v="8.3550000000000004"/>
    <n v="0.95877049180327867"/>
    <n v="2.6515151515151514"/>
    <n v="8.7142857142857135"/>
    <d v="1899-12-30T00:22:38"/>
    <n v="0.94904949622473822"/>
    <n v="22.15340909090909"/>
    <n v="0"/>
    <n v="77.680888888888902"/>
  </r>
  <r>
    <x v="530"/>
    <x v="3"/>
    <x v="1"/>
    <n v="12"/>
    <n v="25"/>
    <x v="5"/>
    <x v="2"/>
    <x v="0"/>
    <x v="2"/>
    <x v="249"/>
    <n v="5.85"/>
    <n v="122"/>
    <n v="12"/>
    <n v="2"/>
    <s v="Order"/>
    <n v="138.86000000000001"/>
    <n v="111.65728269934939"/>
    <n v="23.736752136752141"/>
    <n v="19.086714991341779"/>
    <n v="11.571666666666667"/>
    <n v="1.1381967213114754"/>
    <n v="2.0512820512820515"/>
    <n v="10.166666666666666"/>
    <d v="1899-12-30T00:29:15"/>
    <n v="0.76666969577795285"/>
    <n v="23.736752136752141"/>
    <n v="0"/>
    <n v="79.223777777777798"/>
  </r>
  <r>
    <x v="531"/>
    <x v="3"/>
    <x v="1"/>
    <n v="12"/>
    <n v="25"/>
    <x v="6"/>
    <x v="10"/>
    <x v="0"/>
    <x v="10"/>
    <x v="249"/>
    <n v="5.55"/>
    <n v="102"/>
    <n v="12"/>
    <n v="2"/>
    <s v="Order"/>
    <n v="142.94"/>
    <n v="120.19674455191505"/>
    <n v="25.754954954954954"/>
    <n v="21.657071090435146"/>
    <n v="11.911666666666667"/>
    <n v="1.4013725490196078"/>
    <n v="2.1621621621621623"/>
    <n v="8.5"/>
    <d v="1899-12-30T00:27:45"/>
    <n v="2.2750405613636104"/>
    <n v="19.1731951408422"/>
    <n v="6.581759814112754"/>
    <n v="80.812000000000012"/>
  </r>
  <r>
    <x v="532"/>
    <x v="3"/>
    <x v="1"/>
    <n v="12"/>
    <n v="25"/>
    <x v="0"/>
    <x v="10"/>
    <x v="0"/>
    <x v="5"/>
    <x v="250"/>
    <n v="4.7699999999999996"/>
    <n v="117"/>
    <n v="11"/>
    <n v="3"/>
    <s v="Order"/>
    <n v="113.5"/>
    <n v="87.412148162490794"/>
    <n v="23.794549266247383"/>
    <n v="18.325397937629099"/>
    <n v="10.318181818181818"/>
    <n v="0.97008547008547008"/>
    <n v="2.3060796645702308"/>
    <n v="10.636363636363637"/>
    <d v="1899-12-30T00:26:01"/>
    <n v="-0.88722394605762034"/>
    <n v="23.794549266247383"/>
    <n v="0"/>
    <n v="82.073111111111118"/>
  </r>
  <r>
    <x v="533"/>
    <x v="3"/>
    <x v="1"/>
    <n v="12"/>
    <n v="25"/>
    <x v="2"/>
    <x v="11"/>
    <x v="1"/>
    <x v="1"/>
    <x v="251"/>
    <n v="5.18"/>
    <n v="95"/>
    <n v="8"/>
    <n v="2"/>
    <s v="Order"/>
    <n v="88.88"/>
    <n v="67.697556200313031"/>
    <n v="17.158301158301157"/>
    <n v="13.069026293496725"/>
    <n v="11.11"/>
    <n v="0.93557894736842095"/>
    <n v="1.5444015444015444"/>
    <n v="11.875"/>
    <d v="1899-12-30T00:38:51"/>
    <n v="-5.4549499619661539"/>
    <n v="24.167933971299817"/>
    <n v="-7.0096328129986603"/>
    <n v="81.927555555555571"/>
  </r>
  <r>
    <x v="534"/>
    <x v="3"/>
    <x v="2"/>
    <n v="1"/>
    <n v="27"/>
    <x v="3"/>
    <x v="1"/>
    <x v="2"/>
    <x v="12"/>
    <x v="251"/>
    <n v="5.0199999999999996"/>
    <n v="92"/>
    <n v="14"/>
    <n v="3"/>
    <s v="Order"/>
    <n v="116.5"/>
    <n v="95.986475478197889"/>
    <n v="23.207171314741039"/>
    <n v="19.120811848246593"/>
    <n v="8.3214285714285712"/>
    <n v="1.2663043478260869"/>
    <n v="2.7888446215139444"/>
    <n v="6.5714285714285712"/>
    <d v="1899-12-30T00:21:31"/>
    <n v="13.451998900947936"/>
    <n v="29.873712776014589"/>
    <n v="-6.6665414612735496"/>
    <n v="77.64422222222224"/>
  </r>
  <r>
    <x v="535"/>
    <x v="3"/>
    <x v="2"/>
    <n v="1"/>
    <n v="27"/>
    <x v="4"/>
    <x v="2"/>
    <x v="1"/>
    <x v="2"/>
    <x v="46"/>
    <n v="5.48"/>
    <n v="104"/>
    <n v="12"/>
    <n v="2"/>
    <s v="Order"/>
    <n v="153.74"/>
    <n v="130.55079836665848"/>
    <n v="28.054744525547445"/>
    <n v="23.823138388076362"/>
    <n v="12.811666666666667"/>
    <n v="1.4782692307692309"/>
    <n v="2.1897810218978102"/>
    <n v="8.6666666666666661"/>
    <d v="1899-12-30T00:27:24"/>
    <n v="6.1198246120592472"/>
    <n v="20.191072811871479"/>
    <n v="7.8636717136759664"/>
    <n v="78.927444444444461"/>
  </r>
  <r>
    <x v="536"/>
    <x v="3"/>
    <x v="2"/>
    <n v="1"/>
    <n v="27"/>
    <x v="5"/>
    <x v="2"/>
    <x v="0"/>
    <x v="2"/>
    <x v="250"/>
    <n v="5.3"/>
    <n v="109"/>
    <n v="14"/>
    <n v="2"/>
    <s v="Order"/>
    <n v="130.79"/>
    <n v="106.48593290351705"/>
    <n v="24.677358490566036"/>
    <n v="20.091685453493785"/>
    <n v="9.3421428571428571"/>
    <n v="1.1999082568807338"/>
    <n v="2.6415094339622645"/>
    <n v="7.7857142857142856"/>
    <d v="1899-12-30T00:22:43"/>
    <n v="0.45724338779966089"/>
    <n v="28.967873876155501"/>
    <n v="-4.2905153855894653"/>
    <n v="80.380666666666684"/>
  </r>
  <r>
    <x v="537"/>
    <x v="3"/>
    <x v="2"/>
    <n v="1"/>
    <n v="27"/>
    <x v="6"/>
    <x v="15"/>
    <x v="1"/>
    <x v="2"/>
    <x v="146"/>
    <n v="5.98"/>
    <n v="131"/>
    <n v="10"/>
    <n v="2"/>
    <s v="Order"/>
    <n v="165.93"/>
    <n v="136.72052486569481"/>
    <n v="27.747491638795985"/>
    <n v="22.862964024363681"/>
    <n v="16.593"/>
    <n v="1.2666412213740459"/>
    <n v="1.6722408026755851"/>
    <n v="13.1"/>
    <d v="1899-12-30T00:35:53"/>
    <n v="6.5636682880259549"/>
    <n v="25.47052001294638"/>
    <n v="2.2769716258496047"/>
    <n v="79.721555555555554"/>
  </r>
  <r>
    <x v="538"/>
    <x v="3"/>
    <x v="2"/>
    <n v="2"/>
    <n v="28"/>
    <x v="4"/>
    <x v="2"/>
    <x v="1"/>
    <x v="2"/>
    <x v="251"/>
    <n v="2.2799999999999998"/>
    <n v="62"/>
    <n v="3"/>
    <n v="2"/>
    <s v="Order"/>
    <n v="28"/>
    <n v="14.175668257046404"/>
    <n v="12.280701754385966"/>
    <n v="6.2173983583536865"/>
    <n v="9.3333333333333339"/>
    <n v="0.45161290322580644"/>
    <n v="1.3157894736842106"/>
    <n v="20.666666666666668"/>
    <d v="1899-12-30T00:45:36"/>
    <n v="-10.528478817967837"/>
    <n v="15.352241121095423"/>
    <n v="-3.071539366709457"/>
    <n v="77.135333333333321"/>
  </r>
  <r>
    <x v="539"/>
    <x v="3"/>
    <x v="2"/>
    <n v="2"/>
    <n v="28"/>
    <x v="6"/>
    <x v="1"/>
    <x v="0"/>
    <x v="1"/>
    <x v="253"/>
    <n v="0.6"/>
    <n v="19"/>
    <n v="1"/>
    <n v="1"/>
    <s v="Order"/>
    <n v="13.39"/>
    <n v="9.153511240062608"/>
    <n v="22.31666666666667"/>
    <n v="15.255852066771014"/>
    <n v="13.39"/>
    <n v="0.70473684210526322"/>
    <n v="1.6666666666666667"/>
    <n v="19"/>
    <d v="1899-12-30T00:36:00"/>
    <n v="3.2166799415903391"/>
    <n v="24.976515151515155"/>
    <n v="-2.6598484848484851"/>
    <n v="75.306333333333328"/>
  </r>
  <r>
    <x v="540"/>
    <x v="3"/>
    <x v="2"/>
    <n v="2"/>
    <n v="28"/>
    <x v="0"/>
    <x v="2"/>
    <x v="1"/>
    <x v="1"/>
    <x v="253"/>
    <n v="6.28"/>
    <n v="134"/>
    <n v="12"/>
    <n v="3"/>
    <s v="Order"/>
    <n v="127.66"/>
    <n v="97.781605587809963"/>
    <n v="20.328025477707005"/>
    <n v="15.570319361116235"/>
    <n v="10.638333333333334"/>
    <n v="0.9526865671641791"/>
    <n v="1.910828025477707"/>
    <n v="11.166666666666666"/>
    <d v="1899-12-30T00:31:24"/>
    <n v="-1.0624901271508378"/>
    <n v="19.758050348801941"/>
    <n v="0.56997512890506385"/>
    <n v="75.894222222222211"/>
  </r>
  <r>
    <x v="541"/>
    <x v="3"/>
    <x v="2"/>
    <n v="3"/>
    <n v="29"/>
    <x v="3"/>
    <x v="10"/>
    <x v="1"/>
    <x v="2"/>
    <x v="251"/>
    <n v="6.17"/>
    <n v="136"/>
    <n v="12"/>
    <n v="1"/>
    <s v="Order"/>
    <n v="119.68"/>
    <n v="89.355659402553414"/>
    <n v="19.397082658022693"/>
    <n v="14.482278671402499"/>
    <n v="9.9733333333333345"/>
    <n v="0.88"/>
    <n v="1.9448946515397083"/>
    <n v="11.333333333333334"/>
    <d v="1899-12-30T00:30:51"/>
    <n v="-1.2015121212698538"/>
    <n v="26.720763551233567"/>
    <n v="-7.3236808932108737"/>
    <n v="76.209777777777774"/>
  </r>
  <r>
    <x v="542"/>
    <x v="3"/>
    <x v="2"/>
    <n v="3"/>
    <n v="29"/>
    <x v="4"/>
    <x v="10"/>
    <x v="0"/>
    <x v="12"/>
    <x v="249"/>
    <n v="5"/>
    <n v="110"/>
    <n v="10"/>
    <n v="2"/>
    <s v="Order"/>
    <n v="116.21000000000001"/>
    <n v="91.682959810888789"/>
    <n v="23.242000000000001"/>
    <n v="18.336591962177756"/>
    <n v="11.621"/>
    <n v="1.0564545454545455"/>
    <n v="2"/>
    <n v="11"/>
    <d v="1899-12-30T00:30:00"/>
    <n v="1.198140551570738"/>
    <n v="21.063307692307692"/>
    <n v="2.1786923076923088"/>
    <n v="76.940555555555548"/>
  </r>
  <r>
    <x v="543"/>
    <x v="3"/>
    <x v="2"/>
    <n v="3"/>
    <n v="29"/>
    <x v="5"/>
    <x v="2"/>
    <x v="2"/>
    <x v="1"/>
    <x v="253"/>
    <n v="3.37"/>
    <n v="76"/>
    <n v="8"/>
    <n v="2"/>
    <s v="Order"/>
    <n v="58.879999999999995"/>
    <n v="41.934044960250425"/>
    <n v="17.471810089020771"/>
    <n v="12.443336783457099"/>
    <n v="7.3599999999999994"/>
    <n v="0.77473684210526306"/>
    <n v="2.3738872403560829"/>
    <n v="9.5"/>
    <d v="1899-12-30T00:25:17"/>
    <n v="1.0293036290724515"/>
    <n v="21.177052197860014"/>
    <n v="-3.7052421088392435"/>
    <n v="77.594777777777765"/>
  </r>
  <r>
    <x v="544"/>
    <x v="3"/>
    <x v="2"/>
    <n v="3"/>
    <n v="29"/>
    <x v="6"/>
    <x v="10"/>
    <x v="1"/>
    <x v="1"/>
    <x v="253"/>
    <n v="6.3"/>
    <n v="146"/>
    <n v="10"/>
    <n v="3"/>
    <s v="Order"/>
    <n v="139.69"/>
    <n v="107.13592847627055"/>
    <n v="22.173015873015874"/>
    <n v="17.005702932741357"/>
    <n v="13.968999999999999"/>
    <n v="0.95678082191780822"/>
    <n v="1.5873015873015874"/>
    <n v="14.6"/>
    <d v="1899-12-30T00:37:48"/>
    <n v="0.33282569344324742"/>
    <n v="17.497399025616847"/>
    <n v="4.6756168473990272"/>
    <n v="78.316333333333318"/>
  </r>
  <r>
    <x v="545"/>
    <x v="3"/>
    <x v="2"/>
    <n v="3"/>
    <n v="29"/>
    <x v="0"/>
    <x v="2"/>
    <x v="0"/>
    <x v="1"/>
    <x v="253"/>
    <n v="7.23"/>
    <n v="158"/>
    <n v="16"/>
    <n v="4"/>
    <s v="Order"/>
    <n v="147.6"/>
    <n v="112.37025136473116"/>
    <n v="20.414937759336098"/>
    <n v="15.542220105771944"/>
    <n v="9.2249999999999996"/>
    <n v="0.9341772151898734"/>
    <n v="2.2130013831258641"/>
    <n v="9.875"/>
    <d v="1899-12-30T00:27:07"/>
    <n v="-2.0885072563845739"/>
    <n v="19.277372919603788"/>
    <n v="1.1375648397323097"/>
    <n v="78.792777777777772"/>
  </r>
  <r>
    <x v="546"/>
    <x v="3"/>
    <x v="2"/>
    <n v="3"/>
    <n v="29"/>
    <x v="1"/>
    <x v="11"/>
    <x v="3"/>
    <x v="2"/>
    <x v="253"/>
    <n v="6.92"/>
    <n v="170"/>
    <n v="12"/>
    <n v="4"/>
    <s v="Order"/>
    <n v="156.67000000000002"/>
    <n v="118.76457425319177"/>
    <n v="22.640173410404628"/>
    <n v="17.162510730230025"/>
    <n v="13.055833333333334"/>
    <n v="0.92158823529411771"/>
    <n v="1.7341040462427746"/>
    <n v="14.166666666666666"/>
    <d v="1899-12-30T00:34:36"/>
    <n v="4.5676827040849268"/>
    <n v="20.038561698743642"/>
    <n v="2.6016117116609863"/>
    <n v="79.103999999999999"/>
  </r>
  <r>
    <x v="547"/>
    <x v="3"/>
    <x v="2"/>
    <n v="4"/>
    <n v="30"/>
    <x v="3"/>
    <x v="2"/>
    <x v="1"/>
    <x v="2"/>
    <x v="252"/>
    <n v="6.08"/>
    <n v="137"/>
    <n v="12"/>
    <n v="4"/>
    <s v="Order"/>
    <n v="122.99"/>
    <n v="92.442686309925108"/>
    <n v="20.22861842105263"/>
    <n v="15.204389195711366"/>
    <n v="10.249166666666666"/>
    <n v="0.89773722627737218"/>
    <n v="1.9736842105263157"/>
    <n v="11.416666666666666"/>
    <d v="1899-12-30T00:30:24"/>
    <n v="-0.23647501143215521"/>
    <n v="21.493139294091776"/>
    <n v="-1.264520873039146"/>
    <n v="79.028333333333322"/>
  </r>
  <r>
    <x v="548"/>
    <x v="3"/>
    <x v="2"/>
    <n v="4"/>
    <n v="30"/>
    <x v="4"/>
    <x v="2"/>
    <x v="0"/>
    <x v="13"/>
    <x v="252"/>
    <n v="4.87"/>
    <n v="96"/>
    <n v="9"/>
    <n v="4"/>
    <s v="Order"/>
    <n v="91.11"/>
    <n v="69.704583107684755"/>
    <n v="18.708418891170432"/>
    <n v="14.313056079606726"/>
    <n v="10.123333333333333"/>
    <n v="0.94906250000000003"/>
    <n v="1.8480492813141682"/>
    <n v="10.666666666666666"/>
    <d v="1899-12-30T00:32:28"/>
    <n v="-3.5351306491872876"/>
    <n v="19.176198587306246"/>
    <n v="-0.46777969613581405"/>
    <n v="80.040666666666652"/>
  </r>
  <r>
    <x v="549"/>
    <x v="3"/>
    <x v="2"/>
    <n v="4"/>
    <n v="30"/>
    <x v="5"/>
    <x v="2"/>
    <x v="0"/>
    <x v="5"/>
    <x v="124"/>
    <n v="6.45"/>
    <n v="142"/>
    <n v="16"/>
    <n v="3"/>
    <s v="Order"/>
    <n v="144.25"/>
    <n v="112.5878208467837"/>
    <n v="22.364341085271317"/>
    <n v="17.455476100276542"/>
    <n v="9.015625"/>
    <n v="1.0158450704225352"/>
    <n v="2.4806201550387597"/>
    <n v="8.875"/>
    <d v="1899-12-30T00:24:11"/>
    <n v="-1.9472226950549896"/>
    <n v="26.04195315133131"/>
    <n v="-3.6776120660599929"/>
    <n v="80.881111111111096"/>
  </r>
  <r>
    <x v="550"/>
    <x v="3"/>
    <x v="2"/>
    <n v="4"/>
    <n v="30"/>
    <x v="0"/>
    <x v="2"/>
    <x v="1"/>
    <x v="2"/>
    <x v="253"/>
    <n v="8.6999999999999993"/>
    <n v="230"/>
    <n v="14"/>
    <n v="3"/>
    <s v="Order"/>
    <n v="180.29999999999998"/>
    <n v="129.01618869549469"/>
    <n v="20.724137931034484"/>
    <n v="14.829446976493644"/>
    <n v="12.878571428571428"/>
    <n v="0.78391304347826074"/>
    <n v="1.6091954022988506"/>
    <n v="16.428571428571427"/>
    <d v="1899-12-30T00:37:17"/>
    <n v="-0.48929598596488333"/>
    <n v="20.724137931034484"/>
    <n v="0"/>
    <n v="80.197111111111113"/>
  </r>
  <r>
    <x v="551"/>
    <x v="3"/>
    <x v="2"/>
    <n v="4"/>
    <n v="30"/>
    <x v="1"/>
    <x v="15"/>
    <x v="2"/>
    <x v="2"/>
    <x v="253"/>
    <n v="5.45"/>
    <n v="87"/>
    <n v="17"/>
    <n v="2"/>
    <s v="Order"/>
    <n v="128.94999999999999"/>
    <n v="109.55134094133929"/>
    <n v="23.660550458715594"/>
    <n v="20.101163475475097"/>
    <n v="7.5852941176470585"/>
    <n v="1.4821839080459769"/>
    <n v="3.1192660550458715"/>
    <n v="5.117647058823529"/>
    <d v="1899-12-30T00:19:14"/>
    <n v="2.2590991678311099"/>
    <n v="18.936657968408081"/>
    <n v="4.723892490307513"/>
    <n v="81.060222222222222"/>
  </r>
  <r>
    <x v="552"/>
    <x v="3"/>
    <x v="2"/>
    <n v="5"/>
    <n v="31"/>
    <x v="3"/>
    <x v="2"/>
    <x v="1"/>
    <x v="13"/>
    <x v="247"/>
    <n v="5.83"/>
    <n v="121"/>
    <n v="11"/>
    <n v="3"/>
    <s v="Order"/>
    <n v="174.51"/>
    <n v="147.53025579197765"/>
    <n v="29.933104631217837"/>
    <n v="25.30536119931006"/>
    <n v="15.864545454545453"/>
    <n v="1.4422314049586775"/>
    <n v="1.8867924528301887"/>
    <n v="11"/>
    <d v="1899-12-30T00:31:48"/>
    <n v="9.4916586998762682"/>
    <n v="21.130380645893315"/>
    <n v="8.8027239853245227"/>
    <n v="82.059222222222232"/>
  </r>
  <r>
    <x v="553"/>
    <x v="3"/>
    <x v="2"/>
    <n v="5"/>
    <n v="31"/>
    <x v="4"/>
    <x v="1"/>
    <x v="0"/>
    <x v="1"/>
    <x v="251"/>
    <n v="4.9000000000000004"/>
    <n v="93"/>
    <n v="14"/>
    <n v="2"/>
    <s v="Order"/>
    <n v="133.75"/>
    <n v="113.01350238556961"/>
    <n v="27.295918367346935"/>
    <n v="23.063980078687674"/>
    <n v="9.5535714285714288"/>
    <n v="1.4381720430107527"/>
    <n v="2.8571428571428568"/>
    <n v="6.6428571428571432"/>
    <d v="1899-12-30T00:21:00"/>
    <n v="5.5573874911588312"/>
    <n v="27.295918367346935"/>
    <n v="0"/>
    <n v="82.263000000000005"/>
  </r>
  <r>
    <x v="554"/>
    <x v="3"/>
    <x v="2"/>
    <n v="5"/>
    <n v="31"/>
    <x v="5"/>
    <x v="9"/>
    <x v="0"/>
    <x v="1"/>
    <x v="250"/>
    <n v="2.93"/>
    <n v="82"/>
    <n v="5"/>
    <n v="1"/>
    <s v="Order"/>
    <n v="42.74"/>
    <n v="24.456206404480728"/>
    <n v="14.58703071672355"/>
    <n v="8.3468281243961524"/>
    <n v="8.548"/>
    <n v="0.52121951219512197"/>
    <n v="1.7064846416382251"/>
    <n v="16.399999999999999"/>
    <d v="1899-12-30T00:35:10"/>
    <n v="-9.3999959477602566"/>
    <n v="17.567500598214174"/>
    <n v="-2.9804698814906239"/>
    <n v="81.542000000000002"/>
  </r>
  <r>
    <x v="555"/>
    <x v="3"/>
    <x v="2"/>
    <n v="5"/>
    <n v="31"/>
    <x v="6"/>
    <x v="1"/>
    <x v="2"/>
    <x v="2"/>
    <x v="275"/>
    <n v="4.7699999999999996"/>
    <n v="73"/>
    <n v="14"/>
    <n v="3"/>
    <s v="Order"/>
    <n v="85.84"/>
    <n v="69.56296423813528"/>
    <n v="17.995807127882603"/>
    <n v="14.583430657889997"/>
    <n v="6.1314285714285717"/>
    <n v="1.1758904109589041"/>
    <n v="2.9350104821802936"/>
    <n v="5.2142857142857144"/>
    <d v="1899-12-30T00:20:27"/>
    <n v="1.1766581917123915"/>
    <n v="18.58249317868167"/>
    <n v="-0.58668605079906655"/>
    <n v="81.123111111111115"/>
  </r>
  <r>
    <x v="556"/>
    <x v="3"/>
    <x v="2"/>
    <n v="5"/>
    <n v="31"/>
    <x v="1"/>
    <x v="3"/>
    <x v="2"/>
    <x v="12"/>
    <x v="249"/>
    <n v="7.62"/>
    <n v="123"/>
    <n v="18"/>
    <n v="2"/>
    <s v="Order"/>
    <n v="167.98000000000002"/>
    <n v="140.55430960672112"/>
    <n v="22.044619422572179"/>
    <n v="18.445447454950276"/>
    <n v="9.3322222222222226"/>
    <n v="1.3656910569105694"/>
    <n v="2.3622047244094486"/>
    <n v="6.833333333333333"/>
    <d v="1899-12-30T00:25:24"/>
    <n v="0.39215711303979361"/>
    <n v="22.885934984497997"/>
    <n v="-0.84131556192581769"/>
    <n v="80.604222222222234"/>
  </r>
  <r>
    <x v="557"/>
    <x v="3"/>
    <x v="2"/>
    <n v="5"/>
    <n v="31"/>
    <x v="2"/>
    <x v="11"/>
    <x v="3"/>
    <x v="12"/>
    <x v="46"/>
    <n v="6.18"/>
    <n v="164"/>
    <n v="12"/>
    <n v="2"/>
    <s v="Order"/>
    <n v="119.69"/>
    <n v="83.122412808961457"/>
    <n v="19.367313915857604"/>
    <n v="13.450228609864315"/>
    <n v="9.9741666666666671"/>
    <n v="0.72981707317073174"/>
    <n v="1.941747572815534"/>
    <n v="13.666666666666666"/>
    <d v="1899-12-30T00:30:54"/>
    <s v=""/>
    <n v="16.999446431613013"/>
    <n v="2.3678674842445915"/>
    <n v="80.455777777777797"/>
  </r>
  <r>
    <x v="558"/>
    <x v="3"/>
    <x v="2"/>
    <n v="6"/>
    <n v="32"/>
    <x v="4"/>
    <x v="10"/>
    <x v="1"/>
    <x v="1"/>
    <x v="247"/>
    <n v="6.52"/>
    <n v="119"/>
    <n v="14"/>
    <n v="3"/>
    <s v="Order"/>
    <n v="145.14000000000001"/>
    <n v="118.60620197723424"/>
    <n v="22.260736196319023"/>
    <n v="18.191135272581938"/>
    <n v="10.367142857142857"/>
    <n v="1.2196638655462186"/>
    <n v="2.147239263803681"/>
    <n v="8.5"/>
    <d v="1899-12-30T00:27:57"/>
    <n v="0.76761547621119774"/>
    <n v="22.260736196319023"/>
    <n v="0"/>
    <n v="81.234888888888904"/>
  </r>
  <r>
    <x v="559"/>
    <x v="3"/>
    <x v="2"/>
    <n v="6"/>
    <n v="32"/>
    <x v="0"/>
    <x v="10"/>
    <x v="1"/>
    <x v="11"/>
    <x v="252"/>
    <n v="7.78"/>
    <n v="129"/>
    <n v="19"/>
    <n v="4"/>
    <s v="Order"/>
    <n v="157.57000000000002"/>
    <n v="128.80647105095142"/>
    <n v="20.253213367609256"/>
    <n v="16.55610167750018"/>
    <n v="8.2931578947368436"/>
    <n v="1.2214728682170544"/>
    <n v="2.442159383033419"/>
    <n v="6.7894736842105265"/>
    <d v="1899-12-30T00:24:34"/>
    <n v="-0.8903211228236998"/>
    <n v="17.967106899099438"/>
    <n v="2.2861064685098178"/>
    <n v="81.968444444444444"/>
  </r>
  <r>
    <x v="560"/>
    <x v="3"/>
    <x v="2"/>
    <n v="6"/>
    <n v="32"/>
    <x v="1"/>
    <x v="2"/>
    <x v="2"/>
    <x v="2"/>
    <x v="253"/>
    <n v="7.63"/>
    <n v="119"/>
    <n v="17"/>
    <n v="4"/>
    <s v="Order"/>
    <n v="130.59"/>
    <n v="104.05620197723422"/>
    <n v="17.115334207077328"/>
    <n v="13.637772211957303"/>
    <n v="7.6817647058823528"/>
    <n v="1.0973949579831932"/>
    <n v="2.2280471821756227"/>
    <n v="7"/>
    <d v="1899-12-30T00:26:56"/>
    <n v="-4.5763438137590349"/>
    <n v="19.537625371175935"/>
    <n v="-2.4222911640986062"/>
    <n v="83.419444444444451"/>
  </r>
  <r>
    <x v="561"/>
    <x v="3"/>
    <x v="2"/>
    <n v="6"/>
    <n v="32"/>
    <x v="2"/>
    <x v="10"/>
    <x v="1"/>
    <x v="1"/>
    <x v="64"/>
    <n v="6.45"/>
    <n v="163"/>
    <n v="13"/>
    <n v="2"/>
    <s v="Order"/>
    <n v="171.04000000000002"/>
    <n v="134.69538590158976"/>
    <n v="26.517829457364343"/>
    <n v="20.883005566137946"/>
    <n v="13.156923076923078"/>
    <n v="1.0493251533742332"/>
    <n v="2.0155038759689923"/>
    <n v="12.538461538461538"/>
    <d v="1899-12-30T00:29:46"/>
    <n v="1.747936984246067"/>
    <n v="22.915748241573912"/>
    <n v="3.6020812157904309"/>
    <n v="83.721777777777774"/>
  </r>
  <r>
    <x v="562"/>
    <x v="3"/>
    <x v="2"/>
    <n v="7"/>
    <n v="33"/>
    <x v="3"/>
    <x v="10"/>
    <x v="1"/>
    <x v="2"/>
    <x v="64"/>
    <n v="6.45"/>
    <n v="104"/>
    <n v="14"/>
    <n v="4"/>
    <s v="Order"/>
    <n v="133.61000000000001"/>
    <n v="110.42079836665849"/>
    <n v="20.714728682170545"/>
    <n v="17.119503622737749"/>
    <n v="9.543571428571429"/>
    <n v="1.2847115384615386"/>
    <n v="2.1705426356589146"/>
    <n v="7.4285714285714288"/>
    <d v="1899-12-30T00:27:39"/>
    <n v="-0.58959531279614197"/>
    <n v="15.658282216918668"/>
    <n v="5.0564464652518772"/>
    <n v="83.623222222222225"/>
  </r>
  <r>
    <x v="563"/>
    <x v="3"/>
    <x v="2"/>
    <n v="7"/>
    <n v="33"/>
    <x v="4"/>
    <x v="2"/>
    <x v="2"/>
    <x v="2"/>
    <x v="251"/>
    <n v="3.77"/>
    <n v="99"/>
    <n v="6"/>
    <n v="1"/>
    <s v="Order"/>
    <n v="39.75"/>
    <n v="17.675663829799902"/>
    <n v="10.543766578249336"/>
    <n v="4.6885049946418835"/>
    <n v="6.625"/>
    <n v="0.40151515151515149"/>
    <n v="1.5915119363395225"/>
    <n v="16.5"/>
    <d v="1899-12-30T00:37:42"/>
    <n v="-5.8497563187143271"/>
    <n v="17.127735570511192"/>
    <n v="-6.5839689922618554"/>
    <n v="82.674333333333337"/>
  </r>
  <r>
    <x v="564"/>
    <x v="3"/>
    <x v="2"/>
    <n v="7"/>
    <n v="33"/>
    <x v="5"/>
    <x v="10"/>
    <x v="1"/>
    <x v="1"/>
    <x v="176"/>
    <n v="7.1"/>
    <n v="137"/>
    <n v="14"/>
    <n v="4"/>
    <s v="Order"/>
    <n v="159.01"/>
    <n v="128.46268630992512"/>
    <n v="22.395774647887325"/>
    <n v="18.093336099989454"/>
    <n v="11.357857142857142"/>
    <n v="1.1606569343065694"/>
    <n v="1.971830985915493"/>
    <n v="9.7857142857142865"/>
    <d v="1899-12-30T00:30:26"/>
    <n v="-3.992471673091913E-2"/>
    <n v="21.900354654253771"/>
    <n v="0.49541999363355416"/>
    <n v="83.000333333333344"/>
  </r>
  <r>
    <x v="565"/>
    <x v="3"/>
    <x v="2"/>
    <n v="7"/>
    <n v="33"/>
    <x v="6"/>
    <x v="10"/>
    <x v="2"/>
    <x v="11"/>
    <x v="146"/>
    <n v="6.3"/>
    <n v="92"/>
    <n v="18"/>
    <n v="2"/>
    <s v="Order"/>
    <n v="110.67"/>
    <n v="90.156475478197891"/>
    <n v="17.566666666666666"/>
    <n v="14.310551663206015"/>
    <n v="6.1483333333333334"/>
    <n v="1.2029347826086956"/>
    <n v="2.8571428571428572"/>
    <n v="5.1111111111111107"/>
    <d v="1899-12-30T00:21:00"/>
    <n v="0.35529833325898963"/>
    <n v="17.47428262633742"/>
    <n v="9.2384040329246631E-2"/>
    <n v="82.546777777777791"/>
  </r>
  <r>
    <x v="566"/>
    <x v="3"/>
    <x v="2"/>
    <n v="7"/>
    <n v="33"/>
    <x v="0"/>
    <x v="2"/>
    <x v="1"/>
    <x v="11"/>
    <x v="230"/>
    <n v="6.57"/>
    <n v="140"/>
    <n v="15"/>
    <n v="4"/>
    <s v="Hourly"/>
    <n v="141.51000000000002"/>
    <n v="110.29376703204028"/>
    <n v="21.538812785388131"/>
    <n v="16.787483566520589"/>
    <n v="9.4340000000000011"/>
    <n v="1.0107857142857144"/>
    <n v="2.2831050228310503"/>
    <n v="9.3333333333333339"/>
    <d v="1899-12-30T00:26:17"/>
    <n v="0.50656843530813944"/>
    <n v="19.306427700229733"/>
    <n v="2.2323850851583984"/>
    <n v="84.119111111111124"/>
  </r>
  <r>
    <x v="567"/>
    <x v="3"/>
    <x v="2"/>
    <n v="7"/>
    <n v="33"/>
    <x v="1"/>
    <x v="2"/>
    <x v="1"/>
    <x v="1"/>
    <x v="230"/>
    <n v="6.35"/>
    <n v="131"/>
    <n v="17"/>
    <n v="2"/>
    <s v="Order"/>
    <n v="165.45"/>
    <n v="136.24052486569479"/>
    <n v="26.055118110236219"/>
    <n v="21.455200766251149"/>
    <n v="9.7323529411764707"/>
    <n v="1.2629770992366411"/>
    <n v="2.6771653543307088"/>
    <n v="7.7058823529411766"/>
    <d v="1899-12-30T00:22:25"/>
    <n v="6.259843334194759"/>
    <n v="21.324966967805693"/>
    <n v="4.7301511424305254"/>
    <n v="85.957444444444462"/>
  </r>
  <r>
    <x v="568"/>
    <x v="3"/>
    <x v="2"/>
    <n v="7"/>
    <n v="33"/>
    <x v="2"/>
    <x v="8"/>
    <x v="1"/>
    <x v="1"/>
    <x v="146"/>
    <n v="4.1500000000000004"/>
    <n v="64"/>
    <n v="11"/>
    <n v="1"/>
    <s v="Hourly"/>
    <n v="76.099999999999994"/>
    <n v="61.829722071789831"/>
    <n v="18.337349397590359"/>
    <n v="14.898728210069837"/>
    <n v="6.918181818181818"/>
    <n v="1.1890624999999999"/>
    <n v="2.6506024096385539"/>
    <n v="5.8181818181818183"/>
    <d v="1899-12-30T00:22:38"/>
    <n v="-7.3065115676509507"/>
    <n v="20.923641586212398"/>
    <n v="-2.5862921886220391"/>
    <n v="86.558555555555557"/>
  </r>
  <r>
    <x v="569"/>
    <x v="3"/>
    <x v="2"/>
    <n v="8"/>
    <n v="34"/>
    <x v="5"/>
    <x v="2"/>
    <x v="1"/>
    <x v="2"/>
    <x v="247"/>
    <n v="6.02"/>
    <n v="136"/>
    <n v="12"/>
    <n v="3"/>
    <s v="Order"/>
    <n v="143.61000000000001"/>
    <n v="113.28565940255342"/>
    <n v="23.855481727574755"/>
    <n v="18.818215847600236"/>
    <n v="11.967500000000001"/>
    <n v="1.0559558823529414"/>
    <n v="1.9933554817275749"/>
    <n v="11.333333333333334"/>
    <d v="1899-12-30T00:30:06"/>
    <n v="1.4237748346296044"/>
    <n v="23.323781261793304"/>
    <n v="0.53170046578145147"/>
    <n v="86.172666666666657"/>
  </r>
  <r>
    <x v="570"/>
    <x v="3"/>
    <x v="2"/>
    <n v="8"/>
    <n v="34"/>
    <x v="6"/>
    <x v="1"/>
    <x v="1"/>
    <x v="1"/>
    <x v="146"/>
    <n v="6.22"/>
    <n v="112"/>
    <n v="15"/>
    <n v="4"/>
    <s v="Order"/>
    <n v="145.18"/>
    <n v="120.20701362563221"/>
    <n v="23.34083601286174"/>
    <n v="19.325886434989101"/>
    <n v="9.6786666666666665"/>
    <n v="1.2962500000000001"/>
    <n v="2.4115755627009645"/>
    <n v="7.4666666666666668"/>
    <d v="1899-12-30T00:24:53"/>
    <n v="1.4703889520669975"/>
    <n v="20.801092160105405"/>
    <n v="2.5397438527563345"/>
    <n v="86.98366666666665"/>
  </r>
  <r>
    <x v="571"/>
    <x v="3"/>
    <x v="2"/>
    <n v="8"/>
    <n v="34"/>
    <x v="0"/>
    <x v="10"/>
    <x v="1"/>
    <x v="1"/>
    <x v="146"/>
    <n v="7.52"/>
    <n v="163"/>
    <n v="16"/>
    <n v="2"/>
    <s v="Order"/>
    <n v="234.59"/>
    <n v="198.24538590158974"/>
    <n v="31.195478723404257"/>
    <n v="26.36241833797736"/>
    <n v="14.661875"/>
    <n v="1.4392024539877302"/>
    <n v="2.1276595744680851"/>
    <n v="10.1875"/>
    <d v="1899-12-30T00:28:12"/>
    <n v="10.106948991623362"/>
    <n v="25.991327331647295"/>
    <n v="5.2041513917569624"/>
    <n v="89.590222222222209"/>
  </r>
  <r>
    <x v="572"/>
    <x v="3"/>
    <x v="2"/>
    <n v="8"/>
    <n v="34"/>
    <x v="1"/>
    <x v="15"/>
    <x v="1"/>
    <x v="1"/>
    <x v="176"/>
    <n v="6.93"/>
    <n v="131"/>
    <n v="16"/>
    <n v="4"/>
    <s v="Order"/>
    <n v="144.54000000000002"/>
    <n v="115.33052486569484"/>
    <n v="20.857142857142861"/>
    <n v="16.642211380331148"/>
    <n v="9.0337500000000013"/>
    <n v="1.1033587786259544"/>
    <n v="2.3088023088023091"/>
    <n v="8.1875"/>
    <d v="1899-12-30T00:25:59"/>
    <n v="-1.0247463636301859"/>
    <n v="19.755357688810538"/>
    <n v="1.1017851683323237"/>
    <n v="91.196222222222218"/>
  </r>
  <r>
    <x v="573"/>
    <x v="3"/>
    <x v="2"/>
    <n v="8"/>
    <n v="34"/>
    <x v="2"/>
    <x v="2"/>
    <x v="1"/>
    <x v="13"/>
    <x v="64"/>
    <n v="5.92"/>
    <n v="144"/>
    <n v="15"/>
    <n v="2"/>
    <s v="Order"/>
    <n v="159.01999999999998"/>
    <n v="126.91187466152711"/>
    <n v="26.861486486486484"/>
    <n v="21.437816665798497"/>
    <n v="10.601333333333333"/>
    <n v="1.1043055555555554"/>
    <n v="2.5337837837837838"/>
    <n v="9.6"/>
    <d v="1899-12-30T00:23:41"/>
    <n v="3.653129377128824"/>
    <n v="20.818424402663531"/>
    <n v="6.043062083822953"/>
    <n v="91.924333333333323"/>
  </r>
  <r>
    <x v="574"/>
    <x v="3"/>
    <x v="2"/>
    <n v="9"/>
    <n v="35"/>
    <x v="3"/>
    <x v="2"/>
    <x v="1"/>
    <x v="11"/>
    <x v="230"/>
    <n v="5.7"/>
    <n v="145"/>
    <n v="13"/>
    <n v="2"/>
    <s v="Order"/>
    <n v="147.57"/>
    <n v="115.23890156889884"/>
    <n v="25.889473684210525"/>
    <n v="20.217351152438393"/>
    <n v="11.35153846153846"/>
    <n v="1.0177241379310344"/>
    <n v="2.2807017543859649"/>
    <n v="11.153846153846153"/>
    <d v="1899-12-30T00:26:18"/>
    <n v="4.634282631976852"/>
    <n v="22.565375230269186"/>
    <n v="3.324098453941339"/>
    <n v="92.217111111111095"/>
  </r>
  <r>
    <x v="575"/>
    <x v="3"/>
    <x v="2"/>
    <n v="9"/>
    <n v="35"/>
    <x v="4"/>
    <x v="2"/>
    <x v="1"/>
    <x v="2"/>
    <x v="146"/>
    <n v="5.47"/>
    <n v="90"/>
    <n v="11"/>
    <n v="1"/>
    <s v="Order"/>
    <n v="106.47"/>
    <n v="86.402421663454447"/>
    <n v="19.46435100548446"/>
    <n v="15.795689517998985"/>
    <n v="9.6790909090909096"/>
    <n v="1.1830000000000001"/>
    <n v="2.0109689213893969"/>
    <n v="8.1818181818181817"/>
    <d v="1899-12-30T00:29:50"/>
    <n v="-2.1140603230912767"/>
    <n v="19.46435100548446"/>
    <n v="0"/>
    <n v="92.86422222222221"/>
  </r>
  <r>
    <x v="576"/>
    <x v="3"/>
    <x v="2"/>
    <n v="9"/>
    <n v="35"/>
    <x v="5"/>
    <x v="10"/>
    <x v="0"/>
    <x v="2"/>
    <x v="230"/>
    <n v="2.73"/>
    <n v="50"/>
    <n v="8"/>
    <n v="2"/>
    <s v="Order"/>
    <n v="62.17"/>
    <n v="51.021345368585813"/>
    <n v="22.772893772893774"/>
    <n v="18.689137497650481"/>
    <n v="7.7712500000000002"/>
    <n v="1.2434000000000001"/>
    <n v="2.9304029304029302"/>
    <n v="6.25"/>
    <d v="1899-12-30T00:20:29"/>
    <n v="0.1287236723757168"/>
    <n v="24.84553283501565"/>
    <n v="-2.0726390621218762"/>
    <n v="91.822444444444429"/>
  </r>
  <r>
    <x v="577"/>
    <x v="3"/>
    <x v="2"/>
    <n v="10"/>
    <n v="36"/>
    <x v="3"/>
    <x v="3"/>
    <x v="1"/>
    <x v="2"/>
    <x v="247"/>
    <n v="6.78"/>
    <n v="103"/>
    <n v="17"/>
    <n v="3"/>
    <s v="Order"/>
    <n v="196.91"/>
    <n v="173.94377145928675"/>
    <n v="29.04277286135693"/>
    <n v="25.65542351906884"/>
    <n v="11.582941176470587"/>
    <n v="1.911747572815534"/>
    <n v="2.5073746312684366"/>
    <n v="6.0588235294117645"/>
    <d v="1899-12-30T00:23:56"/>
    <n v="7.4310985297404208"/>
    <n v="21.854789288246266"/>
    <n v="7.1879835731106638"/>
    <n v="87.577555555555534"/>
  </r>
  <r>
    <x v="578"/>
    <x v="3"/>
    <x v="2"/>
    <n v="10"/>
    <n v="36"/>
    <x v="6"/>
    <x v="14"/>
    <x v="2"/>
    <x v="2"/>
    <x v="176"/>
    <n v="3.58"/>
    <n v="46"/>
    <n v="8"/>
    <n v="3"/>
    <s v="Order"/>
    <n v="80.3"/>
    <n v="70.043237739098942"/>
    <n v="22.430167597765362"/>
    <n v="19.565150206452216"/>
    <n v="10.0375"/>
    <n v="1.7456521739130435"/>
    <n v="2.2346368715083798"/>
    <n v="5.75"/>
    <d v="1899-12-30T00:26:51"/>
    <n v="5.1299746810429383"/>
    <n v="19.339270454773725"/>
    <n v="3.0908971429916363"/>
    <n v="84.073444444444434"/>
  </r>
  <r>
    <x v="579"/>
    <x v="3"/>
    <x v="2"/>
    <n v="10"/>
    <n v="36"/>
    <x v="0"/>
    <x v="2"/>
    <x v="1"/>
    <x v="1"/>
    <x v="254"/>
    <n v="6.05"/>
    <n v="109"/>
    <n v="13"/>
    <n v="2"/>
    <s v="Hourly"/>
    <n v="130.28"/>
    <n v="105.97593290351706"/>
    <n v="21.533884297520661"/>
    <n v="17.516683124548276"/>
    <n v="10.021538461538462"/>
    <n v="1.1952293577981652"/>
    <n v="2.1487603305785123"/>
    <n v="8.384615384615385"/>
    <d v="1899-12-30T00:27:55"/>
    <n v="-0.56534033342257217"/>
    <n v="21.674707341206283"/>
    <n v="-0.14082304368562149"/>
    <n v="84.00888888888889"/>
  </r>
  <r>
    <x v="580"/>
    <x v="3"/>
    <x v="2"/>
    <n v="10"/>
    <n v="36"/>
    <x v="1"/>
    <x v="8"/>
    <x v="1"/>
    <x v="13"/>
    <x v="247"/>
    <n v="3.95"/>
    <n v="104"/>
    <n v="7"/>
    <n v="2"/>
    <s v="Order"/>
    <n v="81.210000000000008"/>
    <n v="58.020798366658489"/>
    <n v="20.559493670886077"/>
    <n v="14.688809713078099"/>
    <n v="11.601428571428572"/>
    <n v="0.78086538461538468"/>
    <n v="1.7721518987341771"/>
    <n v="14.857142857142858"/>
    <d v="1899-12-30T00:33:51"/>
    <n v="-1.0662089589794235"/>
    <n v="22.045530235932333"/>
    <n v="-1.4860365650462555"/>
    <n v="82.9771111111111"/>
  </r>
  <r>
    <x v="581"/>
    <x v="3"/>
    <x v="2"/>
    <n v="11"/>
    <n v="37"/>
    <x v="3"/>
    <x v="1"/>
    <x v="0"/>
    <x v="1"/>
    <x v="247"/>
    <n v="5.8"/>
    <n v="133"/>
    <n v="16"/>
    <n v="3"/>
    <s v="Order"/>
    <n v="203.74"/>
    <n v="174.08457868043826"/>
    <n v="35.127586206896552"/>
    <n v="30.014582531110044"/>
    <n v="12.733750000000001"/>
    <n v="1.5318796992481203"/>
    <n v="2.7586206896551726"/>
    <n v="8.3125"/>
    <d v="1899-12-30T00:21:45"/>
    <n v="17.826189063988625"/>
    <n v="27.752792825445322"/>
    <n v="7.3747933814512301"/>
    <n v="82.672333333333341"/>
  </r>
  <r>
    <x v="582"/>
    <x v="3"/>
    <x v="2"/>
    <n v="11"/>
    <n v="37"/>
    <x v="4"/>
    <x v="2"/>
    <x v="0"/>
    <x v="2"/>
    <x v="254"/>
    <n v="5.3"/>
    <n v="119"/>
    <n v="10"/>
    <n v="1"/>
    <s v="Order"/>
    <n v="96.5"/>
    <n v="69.966201977234221"/>
    <n v="18.20754716981132"/>
    <n v="13.201170184383816"/>
    <n v="9.65"/>
    <n v="0.81092436974789917"/>
    <n v="1.8867924528301887"/>
    <n v="11.9"/>
    <d v="1899-12-30T00:31:48"/>
    <n v="-4.2256571427716381"/>
    <n v="27.742049844005351"/>
    <n v="-9.5345026741940302"/>
    <n v="82.578111111111113"/>
  </r>
  <r>
    <x v="583"/>
    <x v="3"/>
    <x v="2"/>
    <n v="11"/>
    <n v="37"/>
    <x v="5"/>
    <x v="10"/>
    <x v="0"/>
    <x v="2"/>
    <x v="230"/>
    <n v="5.98"/>
    <n v="119"/>
    <n v="13"/>
    <n v="2"/>
    <s v="Order"/>
    <n v="110.62"/>
    <n v="84.086201977234225"/>
    <n v="18.498327759197323"/>
    <n v="14.061237788835154"/>
    <n v="8.5092307692307703"/>
    <n v="0.92957983193277316"/>
    <n v="2.1739130434782608"/>
    <n v="9.1538461538461533"/>
    <d v="1899-12-30T00:27:36"/>
    <n v="-4.1619328003676976"/>
    <n v="17.244530305697353"/>
    <n v="1.2537974534999705"/>
    <n v="82.318333333333342"/>
  </r>
  <r>
    <x v="584"/>
    <x v="3"/>
    <x v="2"/>
    <n v="11"/>
    <n v="37"/>
    <x v="6"/>
    <x v="2"/>
    <x v="2"/>
    <x v="2"/>
    <x v="176"/>
    <n v="6.2"/>
    <n v="101"/>
    <n v="19"/>
    <n v="4"/>
    <s v="Hourly"/>
    <n v="154.49"/>
    <n v="131.96971764454335"/>
    <n v="24.917741935483871"/>
    <n v="21.285438329765057"/>
    <n v="8.1310526315789478"/>
    <n v="1.5296039603960396"/>
    <n v="3.064516129032258"/>
    <n v="5.3157894736842106"/>
    <d v="1899-12-30T00:19:35"/>
    <n v="6.5915540825528609"/>
    <n v="24.77561450694693"/>
    <n v="0.14212742853694138"/>
    <n v="81.737222222222215"/>
  </r>
  <r>
    <x v="585"/>
    <x v="3"/>
    <x v="2"/>
    <n v="11"/>
    <n v="37"/>
    <x v="0"/>
    <x v="1"/>
    <x v="2"/>
    <x v="2"/>
    <x v="251"/>
    <n v="7.1"/>
    <n v="147"/>
    <n v="14"/>
    <n v="3"/>
    <s v="Order"/>
    <n v="172.95"/>
    <n v="140.17295538364226"/>
    <n v="24.359154929577464"/>
    <n v="19.74266977234398"/>
    <n v="12.353571428571428"/>
    <n v="1.176530612244898"/>
    <n v="1.971830985915493"/>
    <n v="10.5"/>
    <d v="1899-12-30T00:30:26"/>
    <n v="3.8992582887505911"/>
    <n v="27.690267905647875"/>
    <n v="-3.3311129760704112"/>
    <n v="82.071333333333328"/>
  </r>
  <r>
    <x v="586"/>
    <x v="3"/>
    <x v="2"/>
    <n v="11"/>
    <n v="37"/>
    <x v="1"/>
    <x v="15"/>
    <x v="2"/>
    <x v="2"/>
    <x v="146"/>
    <n v="5.88"/>
    <n v="122"/>
    <n v="14"/>
    <n v="3"/>
    <s v="Hourly"/>
    <n v="120.07"/>
    <n v="92.867282699349374"/>
    <n v="20.420068027210885"/>
    <n v="15.793755561113839"/>
    <n v="8.5764285714285702"/>
    <n v="0.98418032786885246"/>
    <n v="2.3809523809523809"/>
    <n v="8.7142857142857135"/>
    <d v="1899-12-30T00:25:12"/>
    <n v="-0.85557873782920169"/>
    <n v="22.687811791383218"/>
    <n v="-2.2677437641723337"/>
    <n v="83.405444444444441"/>
  </r>
  <r>
    <x v="587"/>
    <x v="3"/>
    <x v="2"/>
    <n v="11"/>
    <n v="37"/>
    <x v="2"/>
    <x v="5"/>
    <x v="0"/>
    <x v="12"/>
    <x v="253"/>
    <n v="4.58"/>
    <n v="101"/>
    <n v="11"/>
    <n v="1"/>
    <s v="Hourly"/>
    <n v="93.35"/>
    <n v="70.829717644543337"/>
    <n v="20.382096069868993"/>
    <n v="15.465003852520379"/>
    <n v="8.4863636363636363"/>
    <n v="0.92425742574257419"/>
    <n v="2.4017467248908297"/>
    <n v="9.1818181818181817"/>
    <d v="1899-12-30T00:24:59"/>
    <n v="-3.1971613737222704"/>
    <n v="25.652020692468419"/>
    <n v="-5.2699246225994258"/>
    <n v="83.13344444444445"/>
  </r>
  <r>
    <x v="588"/>
    <x v="3"/>
    <x v="2"/>
    <n v="12"/>
    <n v="38"/>
    <x v="0"/>
    <x v="2"/>
    <x v="1"/>
    <x v="14"/>
    <x v="254"/>
    <n v="7.13"/>
    <n v="141"/>
    <n v="18"/>
    <n v="3"/>
    <s v="Order"/>
    <n v="188.85"/>
    <n v="157.41079393941197"/>
    <n v="26.486676016830295"/>
    <n v="22.077250201881064"/>
    <n v="10.491666666666667"/>
    <n v="1.3393617021276596"/>
    <n v="2.5245441795231418"/>
    <n v="7.833333333333333"/>
    <d v="1899-12-30T00:23:46"/>
    <n v="4.4388459616527491"/>
    <n v="19.46006301883239"/>
    <n v="7.0266129979979048"/>
    <n v="79.539888888888896"/>
  </r>
  <r>
    <x v="589"/>
    <x v="3"/>
    <x v="2"/>
    <n v="12"/>
    <n v="38"/>
    <x v="2"/>
    <x v="6"/>
    <x v="0"/>
    <x v="1"/>
    <x v="176"/>
    <n v="2.5499999999999998"/>
    <n v="34"/>
    <n v="5"/>
    <n v="2"/>
    <s v="Order"/>
    <n v="68.429999999999993"/>
    <n v="60.848914850638344"/>
    <n v="26.835294117647059"/>
    <n v="23.862319549269941"/>
    <n v="13.685999999999998"/>
    <n v="2.012647058823529"/>
    <n v="1.9607843137254903"/>
    <n v="6.8"/>
    <d v="1899-12-30T00:30:36"/>
    <n v="3.7888969030095083"/>
    <n v="23.467750621375313"/>
    <n v="3.3675434962717468"/>
    <n v="79.312666666666686"/>
  </r>
  <r>
    <x v="590"/>
    <x v="3"/>
    <x v="2"/>
    <n v="13"/>
    <n v="39"/>
    <x v="3"/>
    <x v="2"/>
    <x v="1"/>
    <x v="2"/>
    <x v="257"/>
    <n v="4.97"/>
    <n v="118"/>
    <n v="11"/>
    <n v="3"/>
    <s v="Order"/>
    <n v="138.38999999999999"/>
    <n v="112.07917506986249"/>
    <n v="27.845070422535208"/>
    <n v="22.55114186516348"/>
    <n v="12.58090909090909"/>
    <n v="1.1727966101694913"/>
    <n v="2.2132796780684107"/>
    <n v="10.727272727272727"/>
    <d v="1899-12-30T00:27:07"/>
    <n v="5.7026033387943826"/>
    <n v="22.232296539277556"/>
    <n v="5.6127738832576526"/>
    <n v="80.850333333333353"/>
  </r>
  <r>
    <x v="591"/>
    <x v="3"/>
    <x v="2"/>
    <n v="13"/>
    <n v="39"/>
    <x v="4"/>
    <x v="2"/>
    <x v="0"/>
    <x v="2"/>
    <x v="256"/>
    <n v="3.98"/>
    <n v="120"/>
    <n v="9"/>
    <n v="2"/>
    <s v="Order"/>
    <n v="120.03999999999999"/>
    <n v="93.283228884605933"/>
    <n v="30.1608040201005"/>
    <n v="23.437997207187422"/>
    <n v="13.337777777777777"/>
    <n v="1.0003333333333333"/>
    <n v="2.2613065326633164"/>
    <n v="13.333333333333334"/>
    <d v="1899-12-30T00:26:32"/>
    <n v="8.1971171678254997"/>
    <n v="23.655376691383267"/>
    <n v="6.5054273287172322"/>
    <n v="82.184111111111122"/>
  </r>
  <r>
    <x v="592"/>
    <x v="3"/>
    <x v="2"/>
    <n v="13"/>
    <n v="39"/>
    <x v="5"/>
    <x v="2"/>
    <x v="0"/>
    <x v="5"/>
    <x v="256"/>
    <n v="5.3"/>
    <n v="104"/>
    <n v="13"/>
    <n v="3"/>
    <s v="Order"/>
    <n v="130.22"/>
    <n v="107.03079836665847"/>
    <n v="24.569811320754717"/>
    <n v="20.194490257860089"/>
    <n v="10.016923076923076"/>
    <n v="1.2521153846153845"/>
    <n v="2.4528301886792452"/>
    <n v="8"/>
    <d v="1899-12-30T00:24:28"/>
    <n v="2.3719877390083255"/>
    <n v="19.08452701313605"/>
    <n v="5.4852843076186666"/>
    <n v="83.631000000000014"/>
  </r>
  <r>
    <x v="593"/>
    <x v="3"/>
    <x v="2"/>
    <n v="13"/>
    <n v="39"/>
    <x v="0"/>
    <x v="1"/>
    <x v="1"/>
    <x v="2"/>
    <x v="247"/>
    <n v="8.18"/>
    <n v="166"/>
    <n v="23"/>
    <n v="3"/>
    <s v="Order"/>
    <n v="237.01999999999998"/>
    <n v="200.00646662370485"/>
    <n v="28.975550122249388"/>
    <n v="24.450668291406462"/>
    <n v="10.305217391304348"/>
    <n v="1.4278313253012047"/>
    <n v="2.8117359413202934"/>
    <n v="7.2173913043478262"/>
    <d v="1899-12-30T00:21:20"/>
    <n v="6.5578162369341158"/>
    <n v="26.595370713059737"/>
    <n v="2.3801794091896511"/>
    <n v="86.264555555555575"/>
  </r>
  <r>
    <x v="594"/>
    <x v="3"/>
    <x v="3"/>
    <n v="1"/>
    <n v="40"/>
    <x v="3"/>
    <x v="10"/>
    <x v="1"/>
    <x v="1"/>
    <x v="257"/>
    <n v="5.32"/>
    <n v="101"/>
    <n v="12"/>
    <n v="2"/>
    <s v="Order"/>
    <n v="98.1"/>
    <n v="75.579717644543337"/>
    <n v="18.439849624060148"/>
    <n v="14.206713842959273"/>
    <n v="8.1749999999999989"/>
    <n v="0.97128712871287126"/>
    <n v="2.255639097744361"/>
    <n v="8.4166666666666661"/>
    <d v="1899-12-30T00:26:36"/>
    <n v="2.2688936456744813"/>
    <n v="24.06211505700087"/>
    <n v="-5.622265432940722"/>
    <n v="84.351888888888894"/>
  </r>
  <r>
    <x v="595"/>
    <x v="3"/>
    <x v="3"/>
    <n v="1"/>
    <n v="40"/>
    <x v="4"/>
    <x v="10"/>
    <x v="3"/>
    <x v="2"/>
    <x v="259"/>
    <n v="4.55"/>
    <n v="101"/>
    <n v="6"/>
    <n v="3"/>
    <s v="Order"/>
    <n v="58.59"/>
    <n v="36.069717644543339"/>
    <n v="12.876923076923077"/>
    <n v="7.9274104713282068"/>
    <n v="9.7650000000000006"/>
    <n v="0.58009900990099017"/>
    <n v="1.3186813186813187"/>
    <n v="16.833333333333332"/>
    <d v="1899-12-30T00:45:30"/>
    <s v=""/>
    <n v="21.837681604110177"/>
    <n v="-8.9607585271870995"/>
    <n v="83.549666666666681"/>
  </r>
  <r>
    <x v="596"/>
    <x v="3"/>
    <x v="3"/>
    <n v="1"/>
    <n v="40"/>
    <x v="1"/>
    <x v="1"/>
    <x v="1"/>
    <x v="13"/>
    <x v="105"/>
    <n v="6.75"/>
    <n v="173"/>
    <n v="15"/>
    <n v="3"/>
    <s v="Order"/>
    <n v="144.54"/>
    <n v="105.96565497530689"/>
    <n v="21.41333333333333"/>
    <n v="15.698615551897317"/>
    <n v="9.6359999999999992"/>
    <n v="0.83549132947976879"/>
    <n v="2.2222222222222223"/>
    <n v="11.533333333333333"/>
    <d v="1899-12-30T00:27:00"/>
    <n v="-1.250624632333281"/>
    <n v="19.21857142857143"/>
    <n v="2.1947619047619007"/>
    <n v="83.312000000000012"/>
  </r>
  <r>
    <x v="597"/>
    <x v="3"/>
    <x v="3"/>
    <n v="1"/>
    <n v="40"/>
    <x v="2"/>
    <x v="21"/>
    <x v="0"/>
    <x v="5"/>
    <x v="257"/>
    <n v="5.9"/>
    <n v="138"/>
    <n v="10"/>
    <n v="3"/>
    <s v="Order"/>
    <n v="149.30000000000001"/>
    <n v="118.52971321729684"/>
    <n v="25.305084745762713"/>
    <n v="20.089781901236751"/>
    <n v="14.930000000000001"/>
    <n v="1.0818840579710145"/>
    <n v="1.6949152542372881"/>
    <n v="13.8"/>
    <d v="1899-12-30T00:35:24"/>
    <n v="2.875335819349484"/>
    <n v="22.944492803640362"/>
    <n v="2.3605919421223511"/>
    <n v="84.970888888888894"/>
  </r>
  <r>
    <x v="598"/>
    <x v="3"/>
    <x v="3"/>
    <n v="2"/>
    <n v="41"/>
    <x v="3"/>
    <x v="2"/>
    <x v="0"/>
    <x v="11"/>
    <x v="259"/>
    <n v="6.13"/>
    <n v="138"/>
    <n v="14"/>
    <n v="3"/>
    <s v="Order"/>
    <n v="159.58000000000001"/>
    <n v="128.80971321729686"/>
    <n v="26.0326264274062"/>
    <n v="21.013003787487254"/>
    <n v="11.398571428571429"/>
    <n v="1.156376811594203"/>
    <n v="2.2838499184339316"/>
    <n v="9.8571428571428577"/>
    <d v="1899-12-30T00:26:16"/>
    <n v="1.1273340430175551"/>
    <n v="25.660106415887583"/>
    <n v="0.37252001151861691"/>
    <n v="86.432888888888897"/>
  </r>
  <r>
    <x v="599"/>
    <x v="3"/>
    <x v="3"/>
    <n v="2"/>
    <n v="41"/>
    <x v="1"/>
    <x v="4"/>
    <x v="1"/>
    <x v="1"/>
    <x v="254"/>
    <n v="3.82"/>
    <n v="66"/>
    <n v="6"/>
    <n v="2"/>
    <s v="Order"/>
    <n v="116.2"/>
    <n v="101.48377588653327"/>
    <n v="30.41884816753927"/>
    <n v="26.566433478150071"/>
    <n v="19.366666666666667"/>
    <n v="1.7606060606060607"/>
    <n v="1.5706806282722514"/>
    <n v="11"/>
    <d v="1899-12-30T00:38:12"/>
    <n v="8.1717650793170868"/>
    <n v="32.706034253261159"/>
    <n v="-2.2871860857218884"/>
    <n v="86.156777777777791"/>
  </r>
  <r>
    <x v="600"/>
    <x v="3"/>
    <x v="3"/>
    <n v="3"/>
    <n v="42"/>
    <x v="3"/>
    <x v="2"/>
    <x v="0"/>
    <x v="13"/>
    <x v="245"/>
    <n v="4"/>
    <n v="85"/>
    <n v="10"/>
    <n v="3"/>
    <s v="Order"/>
    <n v="116.7"/>
    <n v="97.747287126595879"/>
    <n v="29.175000000000001"/>
    <n v="24.43682178164897"/>
    <n v="11.67"/>
    <n v="1.3729411764705883"/>
    <n v="2.5"/>
    <n v="8.5"/>
    <d v="1899-12-30T00:24:00"/>
    <n v="4.1757631120265621"/>
    <n v="24.193893597623301"/>
    <n v="4.9811064023766995"/>
    <n v="84.832444444444462"/>
  </r>
  <r>
    <x v="601"/>
    <x v="3"/>
    <x v="3"/>
    <n v="3"/>
    <n v="42"/>
    <x v="5"/>
    <x v="9"/>
    <x v="2"/>
    <x v="2"/>
    <x v="220"/>
    <n v="3.35"/>
    <n v="68"/>
    <n v="7"/>
    <n v="2"/>
    <s v="Order"/>
    <n v="59.19"/>
    <n v="44.027829701276701"/>
    <n v="17.66865671641791"/>
    <n v="13.142635731724388"/>
    <n v="8.4557142857142846"/>
    <n v="0.87044117647058816"/>
    <n v="2.08955223880597"/>
    <n v="9.7142857142857135"/>
    <d v="1899-12-30T00:28:43"/>
    <n v="10.396076071256619"/>
    <n v="13.571307524875621"/>
    <n v="4.097349191542289"/>
    <n v="83.283777777777772"/>
  </r>
  <r>
    <x v="602"/>
    <x v="3"/>
    <x v="3"/>
    <n v="3"/>
    <n v="42"/>
    <x v="6"/>
    <x v="9"/>
    <x v="2"/>
    <x v="2"/>
    <x v="259"/>
    <n v="4.18"/>
    <n v="81"/>
    <n v="8"/>
    <n v="3"/>
    <s v="Order"/>
    <n v="53.82"/>
    <n v="35.75917949710901"/>
    <n v="12.875598086124404"/>
    <n v="8.5548276308873241"/>
    <n v="6.7275"/>
    <n v="0.66444444444444439"/>
    <n v="1.9138755980861246"/>
    <n v="10.125"/>
    <d v="1899-12-30T00:31:21"/>
    <n v="0.13141203961277448"/>
    <n v="12.875598086124404"/>
    <n v="0"/>
    <n v="82.24177777777777"/>
  </r>
  <r>
    <x v="603"/>
    <x v="3"/>
    <x v="3"/>
    <n v="3"/>
    <n v="42"/>
    <x v="0"/>
    <x v="9"/>
    <x v="0"/>
    <x v="2"/>
    <x v="258"/>
    <n v="6.5"/>
    <n v="102"/>
    <n v="16"/>
    <n v="4"/>
    <s v="Hourly"/>
    <n v="150.51999999999998"/>
    <n v="127.77674455191503"/>
    <n v="23.156923076923075"/>
    <n v="19.65796070029462"/>
    <n v="9.4074999999999989"/>
    <n v="1.4756862745098038"/>
    <n v="2.4615384615384617"/>
    <n v="6.375"/>
    <d v="1899-12-30T00:24:23"/>
    <n v="-0.55354683869114396"/>
    <n v="24.71711727802343"/>
    <n v="-1.5601942011003551"/>
    <n v="82.173444444444428"/>
  </r>
  <r>
    <x v="604"/>
    <x v="3"/>
    <x v="3"/>
    <n v="3"/>
    <n v="42"/>
    <x v="1"/>
    <x v="23"/>
    <x v="0"/>
    <x v="2"/>
    <x v="256"/>
    <n v="1.52"/>
    <n v="33"/>
    <n v="4"/>
    <n v="1"/>
    <s v="Hourly"/>
    <n v="38.71"/>
    <n v="31.351887943266632"/>
    <n v="25.467105263157894"/>
    <n v="20.626242067938573"/>
    <n v="9.6775000000000002"/>
    <n v="1.1730303030303031"/>
    <n v="2.6315789473684212"/>
    <n v="8.25"/>
    <d v="1899-12-30T00:22:48"/>
    <n v="5.1404893167390533"/>
    <n v="25.467105263157894"/>
    <n v="0"/>
    <n v="82.603555555555545"/>
  </r>
  <r>
    <x v="605"/>
    <x v="3"/>
    <x v="3"/>
    <n v="3"/>
    <n v="42"/>
    <x v="2"/>
    <x v="18"/>
    <x v="2"/>
    <x v="2"/>
    <x v="257"/>
    <n v="3.98"/>
    <n v="71"/>
    <n v="11"/>
    <n v="1"/>
    <s v="Hourly"/>
    <n v="86.51"/>
    <n v="70.678910423391855"/>
    <n v="21.736180904522616"/>
    <n v="17.758520206882377"/>
    <n v="7.8645454545454552"/>
    <n v="1.2184507042253523"/>
    <n v="2.7638190954773871"/>
    <n v="6.4545454545454541"/>
    <d v="1899-12-30T00:21:43"/>
    <n v="1.3328978807868097"/>
    <n v="25.972257118927978"/>
    <n v="-4.2360762144053616"/>
    <n v="82.198222222222213"/>
  </r>
  <r>
    <x v="606"/>
    <x v="3"/>
    <x v="3"/>
    <n v="4"/>
    <n v="43"/>
    <x v="3"/>
    <x v="1"/>
    <x v="3"/>
    <x v="2"/>
    <x v="266"/>
    <n v="4.93"/>
    <n v="146"/>
    <n v="7"/>
    <n v="2"/>
    <s v="Order"/>
    <n v="87.43"/>
    <n v="54.875928476270566"/>
    <n v="17.7342799188641"/>
    <n v="11.131019974902753"/>
    <n v="12.49"/>
    <n v="0.59883561643835626"/>
    <n v="1.4198782961460448"/>
    <n v="20.857142857142858"/>
    <d v="1899-12-30T00:42:15"/>
    <n v="-7.7025197374328904"/>
    <n v="19.130731392710466"/>
    <n v="-1.3964514738463656"/>
    <n v="82.157333333333341"/>
  </r>
  <r>
    <x v="607"/>
    <x v="3"/>
    <x v="3"/>
    <n v="4"/>
    <n v="43"/>
    <x v="4"/>
    <x v="1"/>
    <x v="0"/>
    <x v="11"/>
    <x v="81"/>
    <n v="4.55"/>
    <n v="55"/>
    <n v="11"/>
    <n v="1"/>
    <s v="Order"/>
    <n v="100.80000000000001"/>
    <n v="88.536479905444395"/>
    <n v="22.153846153846157"/>
    <n v="19.458567012185583"/>
    <n v="9.163636363636364"/>
    <n v="1.832727272727273"/>
    <n v="2.4175824175824179"/>
    <n v="5"/>
    <d v="1899-12-30T00:24:49"/>
    <n v="-2.217971211641423"/>
    <n v="22.257518733367181"/>
    <n v="-0.10367257952102449"/>
    <n v="81.674555555555571"/>
  </r>
  <r>
    <x v="608"/>
    <x v="3"/>
    <x v="3"/>
    <n v="4"/>
    <n v="43"/>
    <x v="0"/>
    <x v="9"/>
    <x v="0"/>
    <x v="2"/>
    <x v="33"/>
    <n v="5.23"/>
    <n v="104"/>
    <n v="11"/>
    <n v="1"/>
    <s v="Hourly"/>
    <n v="105.94"/>
    <n v="82.750798366658472"/>
    <n v="20.256214149139577"/>
    <n v="15.822332383682307"/>
    <n v="9.6309090909090909"/>
    <n v="1.0186538461538461"/>
    <n v="2.1032504780114722"/>
    <n v="9.454545454545455"/>
    <d v="1899-12-30T00:28:32"/>
    <n v="-3.4216941877281037"/>
    <n v="20.256214149139577"/>
    <n v="0"/>
    <n v="79.415555555555557"/>
  </r>
  <r>
    <x v="609"/>
    <x v="3"/>
    <x v="3"/>
    <n v="4"/>
    <n v="43"/>
    <x v="2"/>
    <x v="1"/>
    <x v="0"/>
    <x v="13"/>
    <x v="220"/>
    <n v="4.63"/>
    <n v="93"/>
    <n v="14"/>
    <n v="2"/>
    <s v="Order"/>
    <n v="110.34"/>
    <n v="89.603502385569612"/>
    <n v="23.831533477321816"/>
    <n v="19.352808290619787"/>
    <n v="7.8814285714285717"/>
    <n v="1.1864516129032259"/>
    <n v="3.0237580993520519"/>
    <n v="6.6428571428571432"/>
    <d v="1899-12-30T00:19:51"/>
    <n v="1.0823027932030875"/>
    <n v="24.648174146068314"/>
    <n v="-0.81664066874649777"/>
    <n v="78.702555555555563"/>
  </r>
  <r>
    <x v="610"/>
    <x v="3"/>
    <x v="3"/>
    <n v="5"/>
    <n v="44"/>
    <x v="3"/>
    <x v="2"/>
    <x v="0"/>
    <x v="2"/>
    <x v="274"/>
    <n v="1.42"/>
    <n v="28"/>
    <n v="2"/>
    <n v="2"/>
    <s v="Order"/>
    <n v="30.26"/>
    <n v="24.016753406408053"/>
    <n v="21.30985915492958"/>
    <n v="16.913206624231023"/>
    <n v="15.13"/>
    <n v="1.0807142857142857"/>
    <n v="1.4084507042253522"/>
    <n v="14"/>
    <d v="1899-12-30T00:42:36"/>
    <n v="-4.0105902801228268"/>
    <n v="23.348653143428958"/>
    <n v="-2.0387939884993784"/>
    <n v="77.552666666666681"/>
  </r>
  <r>
    <x v="611"/>
    <x v="3"/>
    <x v="3"/>
    <n v="5"/>
    <n v="44"/>
    <x v="4"/>
    <x v="2"/>
    <x v="1"/>
    <x v="5"/>
    <x v="81"/>
    <n v="4.9800000000000004"/>
    <n v="126"/>
    <n v="8"/>
    <n v="1"/>
    <s v="Order"/>
    <n v="61.53"/>
    <n v="33.435390328836235"/>
    <n v="12.355421686746988"/>
    <n v="6.7139338009711311"/>
    <n v="7.6912500000000001"/>
    <n v="0.48833333333333334"/>
    <n v="1.6064257028112447"/>
    <n v="15.75"/>
    <d v="1899-12-30T00:37:21"/>
    <n v="-7.7541218668703653"/>
    <n v="21.655685828705042"/>
    <n v="-9.3002641419580545"/>
    <n v="77.76144444444445"/>
  </r>
  <r>
    <x v="612"/>
    <x v="3"/>
    <x v="3"/>
    <n v="5"/>
    <n v="44"/>
    <x v="5"/>
    <x v="10"/>
    <x v="0"/>
    <x v="11"/>
    <x v="259"/>
    <n v="4.0199999999999996"/>
    <n v="74"/>
    <n v="10"/>
    <n v="1"/>
    <s v="Hourly"/>
    <n v="117.5"/>
    <n v="100.999991145507"/>
    <n v="29.228855721393039"/>
    <n v="25.124375906842538"/>
    <n v="11.75"/>
    <n v="1.5878378378378379"/>
    <n v="2.4875621890547266"/>
    <n v="7.4"/>
    <d v="1899-12-30T00:24:07"/>
    <n v="7.391007090625493"/>
    <n v="26.418192488621589"/>
    <n v="2.81066323277145"/>
    <n v="78.113222222222234"/>
  </r>
  <r>
    <x v="613"/>
    <x v="3"/>
    <x v="3"/>
    <n v="5"/>
    <n v="44"/>
    <x v="0"/>
    <x v="1"/>
    <x v="0"/>
    <x v="2"/>
    <x v="255"/>
    <n v="6.88"/>
    <n v="172"/>
    <n v="17"/>
    <n v="2"/>
    <s v="Order"/>
    <n v="223.74"/>
    <n v="185.3886280679352"/>
    <n v="32.520348837209305"/>
    <n v="26.94602152150221"/>
    <n v="13.161176470588236"/>
    <n v="1.3008139534883723"/>
    <n v="2.4709302325581395"/>
    <n v="10.117647058823529"/>
    <d v="1899-12-30T00:24:17"/>
    <n v="9.0325346218820748"/>
    <n v="32.520348837209305"/>
    <n v="0"/>
    <n v="78.732777777777784"/>
  </r>
  <r>
    <x v="614"/>
    <x v="3"/>
    <x v="3"/>
    <n v="5"/>
    <n v="44"/>
    <x v="1"/>
    <x v="11"/>
    <x v="1"/>
    <x v="2"/>
    <x v="267"/>
    <n v="6.3"/>
    <n v="128"/>
    <n v="13"/>
    <n v="2"/>
    <s v="Order"/>
    <n v="100.36"/>
    <n v="71.819444143579673"/>
    <n v="15.93015873015873"/>
    <n v="11.39991176882217"/>
    <n v="7.72"/>
    <n v="0.7840625"/>
    <n v="2.0634920634920637"/>
    <n v="9.8461538461538467"/>
    <d v="1899-12-30T00:29:05"/>
    <n v="-8.3598656278927237"/>
    <n v="20.061507532095767"/>
    <n v="-4.1313488019370368"/>
    <n v="78.518000000000001"/>
  </r>
  <r>
    <x v="615"/>
    <x v="3"/>
    <x v="3"/>
    <n v="5"/>
    <n v="44"/>
    <x v="2"/>
    <x v="10"/>
    <x v="0"/>
    <x v="2"/>
    <x v="274"/>
    <n v="6.13"/>
    <n v="121"/>
    <n v="16"/>
    <n v="2"/>
    <s v="Hourly"/>
    <n v="175.5"/>
    <n v="148.52025579197766"/>
    <n v="28.62969004893964"/>
    <n v="24.228426719735346"/>
    <n v="10.96875"/>
    <n v="1.4504132231404958"/>
    <n v="2.6101141924959217"/>
    <n v="7.5625"/>
    <d v="1899-12-30T00:22:59"/>
    <n v="5.7722290855006051"/>
    <n v="25.478956891064474"/>
    <n v="3.1507331578751661"/>
    <n v="80.468000000000004"/>
  </r>
  <r>
    <x v="616"/>
    <x v="3"/>
    <x v="3"/>
    <n v="6"/>
    <n v="45"/>
    <x v="3"/>
    <x v="2"/>
    <x v="0"/>
    <x v="13"/>
    <x v="264"/>
    <n v="5.35"/>
    <n v="87"/>
    <n v="11"/>
    <n v="3"/>
    <s v="Order"/>
    <n v="127.31"/>
    <n v="107.9113409413393"/>
    <n v="23.796261682242992"/>
    <n v="20.170344101184916"/>
    <n v="11.573636363636364"/>
    <n v="1.4633333333333334"/>
    <n v="2.0560747663551404"/>
    <n v="7.9090909090909092"/>
    <d v="1899-12-30T00:29:11"/>
    <n v="-1.2377170185149282"/>
    <n v="23.702445636735508"/>
    <n v="9.3816045507484347E-2"/>
    <n v="80.269888888888872"/>
  </r>
  <r>
    <x v="617"/>
    <x v="3"/>
    <x v="3"/>
    <n v="6"/>
    <n v="45"/>
    <x v="4"/>
    <x v="1"/>
    <x v="0"/>
    <x v="2"/>
    <x v="81"/>
    <n v="5.07"/>
    <n v="87"/>
    <n v="11"/>
    <n v="3"/>
    <s v="Order"/>
    <n v="160.63999999999999"/>
    <n v="141.2413409413393"/>
    <n v="31.684418145956602"/>
    <n v="27.858252651151734"/>
    <n v="14.603636363636362"/>
    <n v="1.8464367816091953"/>
    <n v="2.1696252465483234"/>
    <n v="7.9090909090909092"/>
    <d v="1899-12-30T00:27:39"/>
    <n v="7.5343979016331666"/>
    <n v="24.067332496186882"/>
    <n v="7.6170856497697201"/>
    <n v="82.054777777777772"/>
  </r>
  <r>
    <x v="618"/>
    <x v="3"/>
    <x v="3"/>
    <n v="6"/>
    <n v="45"/>
    <x v="6"/>
    <x v="2"/>
    <x v="0"/>
    <x v="2"/>
    <x v="245"/>
    <n v="2.58"/>
    <n v="28"/>
    <n v="3"/>
    <n v="1"/>
    <s v="Order"/>
    <n v="77.56"/>
    <n v="71.316753406408054"/>
    <n v="30.062015503875969"/>
    <n v="27.642152483103896"/>
    <n v="25.853333333333335"/>
    <n v="2.77"/>
    <n v="1.1627906976744187"/>
    <n v="9.3333333333333339"/>
    <d v="1899-12-30T00:51:36"/>
    <n v="7.478108931808265"/>
    <n v="30.062015503875969"/>
    <n v="0"/>
    <n v="81.165777777777777"/>
  </r>
  <r>
    <x v="619"/>
    <x v="3"/>
    <x v="3"/>
    <n v="7"/>
    <n v="46"/>
    <x v="3"/>
    <x v="9"/>
    <x v="0"/>
    <x v="5"/>
    <x v="258"/>
    <n v="5.03"/>
    <n v="88"/>
    <n v="15"/>
    <n v="2"/>
    <s v="Order"/>
    <n v="143.59"/>
    <n v="123.96836784871103"/>
    <n v="28.546719681908549"/>
    <n v="24.645798777079726"/>
    <n v="9.5726666666666667"/>
    <n v="1.6317045454545456"/>
    <n v="2.982107355864811"/>
    <n v="5.8666666666666663"/>
    <d v="1899-12-30T00:20:07"/>
    <n v="3.5952554490516242"/>
    <n v="23.916574509696126"/>
    <n v="4.6301451722124227"/>
    <n v="77.483555555555554"/>
  </r>
  <r>
    <x v="620"/>
    <x v="3"/>
    <x v="3"/>
    <n v="7"/>
    <n v="46"/>
    <x v="4"/>
    <x v="14"/>
    <x v="0"/>
    <x v="2"/>
    <x v="263"/>
    <n v="4.67"/>
    <n v="71"/>
    <n v="12"/>
    <n v="2"/>
    <s v="Order"/>
    <n v="89.41"/>
    <n v="73.578910423391847"/>
    <n v="19.14561027837259"/>
    <n v="15.755655336914742"/>
    <n v="7.4508333333333328"/>
    <n v="1.2592957746478872"/>
    <n v="2.5695931477516059"/>
    <n v="5.916666666666667"/>
    <d v="1899-12-30T00:23:21"/>
    <n v="-5.6893552297356784"/>
    <n v="27.181628668598059"/>
    <n v="-8.0360183902254683"/>
    <n v="76.7102222222222"/>
  </r>
  <r>
    <x v="621"/>
    <x v="3"/>
    <x v="3"/>
    <n v="7"/>
    <n v="46"/>
    <x v="0"/>
    <x v="2"/>
    <x v="0"/>
    <x v="1"/>
    <x v="33"/>
    <n v="6.27"/>
    <n v="114"/>
    <n v="17"/>
    <n v="3"/>
    <s v="Order"/>
    <n v="150.26"/>
    <n v="124.84106744037564"/>
    <n v="23.964912280701753"/>
    <n v="19.910856051096594"/>
    <n v="8.8388235294117639"/>
    <n v="1.3180701754385964"/>
    <n v="2.7113237639553431"/>
    <n v="6.7058823529411766"/>
    <d v="1899-12-30T00:22:08"/>
    <n v="1.7015063280965137E-3"/>
    <n v="22.483122528976669"/>
    <n v="1.4817897517250849"/>
    <n v="73.73944444444443"/>
  </r>
  <r>
    <x v="622"/>
    <x v="3"/>
    <x v="3"/>
    <n v="7"/>
    <n v="46"/>
    <x v="1"/>
    <x v="2"/>
    <x v="2"/>
    <x v="2"/>
    <x v="245"/>
    <n v="8"/>
    <n v="116"/>
    <n v="20"/>
    <n v="5"/>
    <s v="Order"/>
    <n v="174.28"/>
    <n v="148.41512125511909"/>
    <n v="21.785"/>
    <n v="18.551890156889886"/>
    <n v="8.7140000000000004"/>
    <n v="1.5024137931034482"/>
    <n v="2.5"/>
    <n v="5.8"/>
    <d v="1899-12-30T00:24:00"/>
    <n v="-0.34518199152400086"/>
    <n v="19.625391333956259"/>
    <n v="2.1596086660437415"/>
    <n v="74.830333333333314"/>
  </r>
  <r>
    <x v="623"/>
    <x v="3"/>
    <x v="3"/>
    <n v="8"/>
    <n v="47"/>
    <x v="3"/>
    <x v="9"/>
    <x v="0"/>
    <x v="5"/>
    <x v="33"/>
    <n v="3.02"/>
    <n v="59"/>
    <n v="5"/>
    <n v="2"/>
    <s v="Order"/>
    <n v="68.75"/>
    <n v="55.59458753493125"/>
    <n v="22.764900662251655"/>
    <n v="18.408803819513658"/>
    <n v="13.75"/>
    <n v="1.1652542372881356"/>
    <n v="1.6556291390728477"/>
    <n v="11.8"/>
    <d v="1899-12-30T00:36:14"/>
    <n v="-2.4112670361709938"/>
    <n v="25.390434083182001"/>
    <n v="-2.6255334209303456"/>
    <n v="75.594222222222214"/>
  </r>
  <r>
    <x v="624"/>
    <x v="3"/>
    <x v="3"/>
    <n v="8"/>
    <n v="47"/>
    <x v="6"/>
    <x v="9"/>
    <x v="0"/>
    <x v="11"/>
    <x v="220"/>
    <n v="0.6"/>
    <n v="19"/>
    <n v="1"/>
    <n v="1"/>
    <s v="Order"/>
    <n v="8.07"/>
    <n v="3.8335112400626077"/>
    <n v="13.450000000000001"/>
    <n v="6.3891854001043464"/>
    <n v="8.07"/>
    <n v="0.42473684210526319"/>
    <n v="1.6666666666666667"/>
    <n v="19"/>
    <d v="1899-12-30T00:36:00"/>
    <n v="-9.964807564490842"/>
    <n v="15.912805605247465"/>
    <n v="-2.4628056052474641"/>
    <n v="69.86855555555556"/>
  </r>
  <r>
    <x v="625"/>
    <x v="3"/>
    <x v="3"/>
    <n v="8"/>
    <n v="47"/>
    <x v="0"/>
    <x v="1"/>
    <x v="0"/>
    <x v="14"/>
    <x v="245"/>
    <n v="3.83"/>
    <n v="85"/>
    <n v="8"/>
    <n v="3"/>
    <s v="Order"/>
    <n v="105.69999999999999"/>
    <n v="86.747287126595864"/>
    <n v="27.597911227154043"/>
    <n v="22.649422226265237"/>
    <n v="13.212499999999999"/>
    <n v="1.2435294117647058"/>
    <n v="2.0887728459530024"/>
    <n v="10.625"/>
    <d v="1899-12-30T00:28:44"/>
    <n v="3.6346153774639802"/>
    <n v="22.73915602398818"/>
    <n v="4.8587552031658632"/>
    <n v="69.436999999999998"/>
  </r>
  <r>
    <x v="626"/>
    <x v="3"/>
    <x v="3"/>
    <n v="9"/>
    <n v="48"/>
    <x v="3"/>
    <x v="2"/>
    <x v="0"/>
    <x v="2"/>
    <x v="261"/>
    <n v="3"/>
    <n v="52"/>
    <n v="6"/>
    <n v="3"/>
    <s v="Order"/>
    <n v="64.39"/>
    <n v="52.795399183329238"/>
    <n v="21.463333333333335"/>
    <n v="17.598466394443079"/>
    <n v="10.731666666666667"/>
    <n v="1.2382692307692307"/>
    <n v="2"/>
    <n v="8.6666666666666661"/>
    <d v="1899-12-30T00:30:00"/>
    <n v="-3.5709951276674907"/>
    <n v="22.7536390170972"/>
    <n v="-1.2903056837638651"/>
    <n v="65.562888888888892"/>
  </r>
  <r>
    <x v="627"/>
    <x v="3"/>
    <x v="3"/>
    <n v="9"/>
    <n v="48"/>
    <x v="5"/>
    <x v="1"/>
    <x v="0"/>
    <x v="2"/>
    <x v="263"/>
    <n v="2.77"/>
    <n v="56"/>
    <n v="6"/>
    <n v="2"/>
    <s v="Hourly"/>
    <n v="66.87"/>
    <n v="54.383506812816108"/>
    <n v="24.140794223826717"/>
    <n v="19.633034950475128"/>
    <n v="11.145000000000001"/>
    <n v="1.194107142857143"/>
    <n v="2.1660649819494586"/>
    <n v="9.3333333333333339"/>
    <d v="1899-12-30T00:27:42"/>
    <n v="1.6310358575477615"/>
    <n v="21.611061995023647"/>
    <n v="2.5297322288030699"/>
    <n v="65.615111111111119"/>
  </r>
  <r>
    <x v="628"/>
    <x v="3"/>
    <x v="3"/>
    <n v="9"/>
    <n v="48"/>
    <x v="0"/>
    <x v="10"/>
    <x v="3"/>
    <x v="2"/>
    <x v="261"/>
    <n v="5.97"/>
    <n v="116"/>
    <n v="11"/>
    <n v="3"/>
    <s v="Hourly"/>
    <n v="150.29000000000002"/>
    <n v="124.42512125511909"/>
    <n v="25.174204355108881"/>
    <n v="20.841728853453784"/>
    <n v="13.662727272727274"/>
    <n v="1.2956034482758623"/>
    <n v="1.8425460636515913"/>
    <n v="10.545454545454545"/>
    <d v="1899-12-30T00:32:34"/>
    <n v="1.30647948738401"/>
    <n v="22.823939422141361"/>
    <n v="2.3502649329675194"/>
    <n v="67.285000000000011"/>
  </r>
  <r>
    <x v="629"/>
    <x v="3"/>
    <x v="3"/>
    <n v="10"/>
    <n v="49"/>
    <x v="3"/>
    <x v="1"/>
    <x v="0"/>
    <x v="1"/>
    <x v="265"/>
    <n v="2.23"/>
    <n v="57"/>
    <n v="10"/>
    <n v="2"/>
    <s v="Order"/>
    <n v="66.58"/>
    <n v="53.870533720187822"/>
    <n v="29.856502242152466"/>
    <n v="24.157190009052837"/>
    <n v="6.6579999999999995"/>
    <n v="1.1680701754385965"/>
    <n v="4.4843049327354256"/>
    <n v="5.7"/>
    <d v="1899-12-30T00:13:23"/>
    <n v="5.0205623993553914"/>
    <n v="21.442841149708883"/>
    <n v="8.4136610924435828"/>
    <n v="65.836888888888907"/>
  </r>
  <r>
    <x v="630"/>
    <x v="3"/>
    <x v="3"/>
    <n v="10"/>
    <n v="49"/>
    <x v="4"/>
    <x v="23"/>
    <x v="0"/>
    <x v="13"/>
    <x v="266"/>
    <n v="1.23"/>
    <n v="14"/>
    <n v="3"/>
    <n v="1"/>
    <s v="Order"/>
    <n v="26"/>
    <n v="22.878376703204026"/>
    <n v="21.13821138211382"/>
    <n v="18.6003062627675"/>
    <n v="8.6666666666666661"/>
    <n v="1.8571428571428572"/>
    <n v="2.4390243902439024"/>
    <n v="4.666666666666667"/>
    <d v="1899-12-30T00:24:36"/>
    <n v="-3.2226411901831433"/>
    <n v="25.405428055549038"/>
    <n v="-4.2672166734352182"/>
    <n v="66.125777777777799"/>
  </r>
  <r>
    <x v="631"/>
    <x v="3"/>
    <x v="3"/>
    <n v="10"/>
    <n v="49"/>
    <x v="5"/>
    <x v="8"/>
    <x v="0"/>
    <x v="6"/>
    <x v="263"/>
    <n v="3.27"/>
    <n v="68"/>
    <n v="12"/>
    <n v="3"/>
    <s v="Order"/>
    <n v="92.76"/>
    <n v="77.597829701276709"/>
    <n v="28.366972477064223"/>
    <n v="23.730223150237524"/>
    <n v="7.73"/>
    <n v="1.3641176470588237"/>
    <n v="3.6697247706422016"/>
    <n v="5.666666666666667"/>
    <d v="1899-12-30T00:16:21"/>
    <n v="5.7212944559896215"/>
    <n v="22.342390348121153"/>
    <n v="6.0245821289430701"/>
    <n v="66.264222222222244"/>
  </r>
  <r>
    <x v="632"/>
    <x v="3"/>
    <x v="3"/>
    <n v="10"/>
    <n v="49"/>
    <x v="0"/>
    <x v="8"/>
    <x v="0"/>
    <x v="2"/>
    <x v="271"/>
    <n v="2.02"/>
    <n v="55"/>
    <n v="4"/>
    <n v="1"/>
    <s v="Order"/>
    <n v="44.5"/>
    <n v="32.236479905444391"/>
    <n v="22.029702970297031"/>
    <n v="15.958653418536827"/>
    <n v="11.125"/>
    <n v="0.80909090909090908"/>
    <n v="1.9801980198019802"/>
    <n v="13.75"/>
    <d v="1899-12-30T00:30:18"/>
    <n v="-2.1066698021294101"/>
    <n v="20.150712464611388"/>
    <n v="1.8789905056856426"/>
    <n v="64.408777777777786"/>
  </r>
  <r>
    <x v="633"/>
    <x v="3"/>
    <x v="3"/>
    <n v="11"/>
    <n v="50"/>
    <x v="3"/>
    <x v="14"/>
    <x v="0"/>
    <x v="3"/>
    <x v="265"/>
    <n v="1.85"/>
    <n v="32"/>
    <n v="6"/>
    <n v="2"/>
    <s v="Hourly"/>
    <n v="58.88"/>
    <n v="51.744861035894921"/>
    <n v="31.827027027027025"/>
    <n v="27.970195154537794"/>
    <n v="9.8133333333333344"/>
    <n v="1.84"/>
    <n v="3.243243243243243"/>
    <n v="5.333333333333333"/>
    <d v="1899-12-30T00:18:30"/>
    <n v="6.7268470579480883"/>
    <n v="22.79137036513114"/>
    <n v="9.0356566618958851"/>
    <n v="61.727000000000011"/>
  </r>
  <r>
    <x v="634"/>
    <x v="3"/>
    <x v="3"/>
    <n v="11"/>
    <n v="50"/>
    <x v="6"/>
    <x v="18"/>
    <x v="0"/>
    <x v="2"/>
    <x v="263"/>
    <n v="2.12"/>
    <n v="19"/>
    <n v="3"/>
    <n v="2"/>
    <s v="Order"/>
    <n v="36.19"/>
    <n v="31.953511240062603"/>
    <n v="17.070754716981131"/>
    <n v="15.072410962293681"/>
    <n v="12.063333333333333"/>
    <n v="1.9047368421052631"/>
    <n v="1.4150943396226414"/>
    <n v="6.333333333333333"/>
    <d v="1899-12-30T00:42:24"/>
    <n v="-5.347572091060627"/>
    <n v="20.118243620248233"/>
    <n v="-3.0474889032671015"/>
    <n v="57.26177777777778"/>
  </r>
  <r>
    <x v="635"/>
    <x v="4"/>
    <x v="0"/>
    <n v="1"/>
    <n v="1"/>
    <x v="6"/>
    <x v="2"/>
    <x v="2"/>
    <x v="13"/>
    <x v="263"/>
    <n v="2.75"/>
    <n v="38"/>
    <n v="5"/>
    <n v="3"/>
    <s v="Order"/>
    <n v="61.47"/>
    <n v="52.99702248012521"/>
    <n v="22.352727272727272"/>
    <n v="19.271644538227349"/>
    <n v="12.294"/>
    <n v="1.6176315789473683"/>
    <n v="1.8181818181818181"/>
    <n v="7.6"/>
    <d v="1899-12-30T00:33:00"/>
    <n v="0.84138916668301533"/>
    <n v="19.427183793387528"/>
    <n v="2.9255434793397441"/>
    <n v="44.021888888888888"/>
  </r>
  <r>
    <x v="636"/>
    <x v="4"/>
    <x v="0"/>
    <n v="1"/>
    <n v="1"/>
    <x v="0"/>
    <x v="9"/>
    <x v="2"/>
    <x v="2"/>
    <x v="266"/>
    <n v="1.73"/>
    <n v="27"/>
    <n v="4"/>
    <n v="2"/>
    <s v="Order"/>
    <n v="30.52"/>
    <n v="24.499726499036335"/>
    <n v="17.641618497109828"/>
    <n v="14.161691617940079"/>
    <n v="7.63"/>
    <n v="1.1303703703703702"/>
    <n v="2.3121387283236996"/>
    <n v="6.75"/>
    <d v="1899-12-30T00:25:57"/>
    <n v="-2.5741405533135051"/>
    <n v="19.988788031661809"/>
    <n v="-2.3471695345519805"/>
    <n v="42.754999999999995"/>
  </r>
  <r>
    <x v="637"/>
    <x v="4"/>
    <x v="0"/>
    <n v="1"/>
    <n v="1"/>
    <x v="2"/>
    <x v="1"/>
    <x v="0"/>
    <x v="2"/>
    <x v="276"/>
    <n v="2.85"/>
    <n v="62"/>
    <n v="4"/>
    <n v="1"/>
    <s v="Order"/>
    <n v="74.41"/>
    <n v="60.5856682570464"/>
    <n v="26.10877192982456"/>
    <n v="21.258129212998735"/>
    <n v="18.602499999999999"/>
    <n v="1.2001612903225807"/>
    <n v="1.4035087719298245"/>
    <n v="15.5"/>
    <d v="1899-12-30T00:42:45"/>
    <n v="0.16399412156455995"/>
    <n v="25.011850729934075"/>
    <n v="1.0969211998904846"/>
    <n v="40.149777777777771"/>
  </r>
  <r>
    <x v="638"/>
    <x v="4"/>
    <x v="0"/>
    <n v="2"/>
    <n v="2"/>
    <x v="5"/>
    <x v="1"/>
    <x v="0"/>
    <x v="5"/>
    <x v="270"/>
    <n v="1.38"/>
    <n v="50"/>
    <n v="1"/>
    <n v="1"/>
    <s v="Order"/>
    <n v="22.01"/>
    <n v="10.861345368585811"/>
    <n v="15.949275362318843"/>
    <n v="7.8705401221636313"/>
    <n v="22.01"/>
    <n v="0.44020000000000004"/>
    <n v="0.7246376811594204"/>
    <n v="50"/>
    <d v="1899-12-30T01:22:48"/>
    <n v="-12.644791817851011"/>
    <n v="20.407605676328505"/>
    <n v="-4.4583303140096611"/>
    <n v="40.394333333333329"/>
  </r>
  <r>
    <x v="639"/>
    <x v="4"/>
    <x v="0"/>
    <n v="2"/>
    <n v="2"/>
    <x v="6"/>
    <x v="2"/>
    <x v="2"/>
    <x v="2"/>
    <x v="86"/>
    <n v="2.0699999999999998"/>
    <n v="23"/>
    <n v="2"/>
    <n v="2"/>
    <s v="Order"/>
    <n v="13.52"/>
    <n v="8.3916188695494718"/>
    <n v="6.5314009661835755"/>
    <n v="4.053922159202644"/>
    <n v="6.76"/>
    <n v="0.58782608695652172"/>
    <n v="0.96618357487922713"/>
    <n v="11.5"/>
    <d v="1899-12-30T01:02:06"/>
    <n v="-15.064076056528982"/>
    <n v="17.499254197459155"/>
    <n v="-10.96785323127558"/>
    <n v="40.544555555555554"/>
  </r>
  <r>
    <x v="640"/>
    <x v="4"/>
    <x v="0"/>
    <n v="2"/>
    <n v="2"/>
    <x v="1"/>
    <x v="15"/>
    <x v="1"/>
    <x v="3"/>
    <x v="201"/>
    <n v="6.78"/>
    <n v="116"/>
    <n v="16"/>
    <n v="2"/>
    <s v="Order"/>
    <n v="148.96"/>
    <n v="123.09512125511908"/>
    <n v="21.970501474926255"/>
    <n v="18.155622603999863"/>
    <n v="9.31"/>
    <n v="1.2841379310344829"/>
    <n v="2.359882005899705"/>
    <n v="7.25"/>
    <d v="1899-12-30T00:25:26"/>
    <n v="3.0973034197733718"/>
    <n v="24.347155499367886"/>
    <n v="-2.3766540244416312"/>
    <n v="40.908555555555559"/>
  </r>
  <r>
    <x v="641"/>
    <x v="4"/>
    <x v="0"/>
    <n v="3"/>
    <n v="3"/>
    <x v="3"/>
    <x v="2"/>
    <x v="1"/>
    <x v="3"/>
    <x v="263"/>
    <n v="4.38"/>
    <n v="68"/>
    <n v="7"/>
    <n v="2"/>
    <s v="Order"/>
    <n v="83.05"/>
    <n v="67.887829701276701"/>
    <n v="18.961187214611872"/>
    <n v="15.499504498008379"/>
    <n v="11.864285714285714"/>
    <n v="1.2213235294117646"/>
    <n v="1.5981735159817352"/>
    <n v="9.7142857142857135"/>
    <d v="1899-12-30T00:37:33"/>
    <n v="3.9283861038864298"/>
    <n v="20.098029868779264"/>
    <n v="-1.1368426541673919"/>
    <n v="40.534666666666674"/>
  </r>
  <r>
    <x v="642"/>
    <x v="4"/>
    <x v="0"/>
    <n v="3"/>
    <n v="3"/>
    <x v="6"/>
    <x v="10"/>
    <x v="2"/>
    <x v="2"/>
    <x v="270"/>
    <n v="4.1500000000000004"/>
    <n v="40"/>
    <n v="8"/>
    <n v="3"/>
    <s v="Order"/>
    <n v="87.92"/>
    <n v="79.001076294868653"/>
    <n v="21.185542168674697"/>
    <n v="19.036403926474371"/>
    <n v="10.99"/>
    <n v="2.198"/>
    <n v="1.9277108433734937"/>
    <n v="5"/>
    <d v="1899-12-30T00:31:08"/>
    <n v="0.95952660564659098"/>
    <n v="16.934665145332534"/>
    <n v="4.2508770233421629"/>
    <n v="38.583444444444439"/>
  </r>
  <r>
    <x v="643"/>
    <x v="4"/>
    <x v="0"/>
    <n v="3"/>
    <n v="3"/>
    <x v="0"/>
    <x v="9"/>
    <x v="2"/>
    <x v="2"/>
    <x v="268"/>
    <n v="5.47"/>
    <n v="110"/>
    <n v="9"/>
    <n v="3"/>
    <s v="Order"/>
    <n v="99.85"/>
    <n v="75.322959810888776"/>
    <n v="18.254113345521024"/>
    <n v="13.770193749705443"/>
    <n v="11.094444444444443"/>
    <n v="0.90772727272727272"/>
    <n v="1.6453382084095065"/>
    <n v="12.222222222222221"/>
    <d v="1899-12-30T00:36:28"/>
    <n v="-1.7636348931089643"/>
    <n v="26.311622557568853"/>
    <n v="-8.0575092120478295"/>
    <n v="39.262777777777771"/>
  </r>
  <r>
    <x v="644"/>
    <x v="4"/>
    <x v="0"/>
    <n v="3"/>
    <n v="3"/>
    <x v="1"/>
    <x v="14"/>
    <x v="0"/>
    <x v="14"/>
    <x v="262"/>
    <n v="4.4000000000000004"/>
    <n v="106"/>
    <n v="8"/>
    <n v="4"/>
    <s v="Order"/>
    <n v="91.160000000000011"/>
    <n v="67.524852181401926"/>
    <n v="20.718181818181819"/>
    <n v="15.346557313954982"/>
    <n v="11.395000000000001"/>
    <n v="0.8600000000000001"/>
    <n v="1.8181818181818181"/>
    <n v="13.25"/>
    <d v="1899-12-30T00:33:00"/>
    <n v="-5.1014706134417622"/>
    <n v="22.144434801112787"/>
    <n v="-1.4262529829309685"/>
    <n v="39.31444444444444"/>
  </r>
  <r>
    <x v="645"/>
    <x v="4"/>
    <x v="0"/>
    <n v="3"/>
    <n v="3"/>
    <x v="2"/>
    <x v="18"/>
    <x v="1"/>
    <x v="6"/>
    <x v="1"/>
    <n v="3.53"/>
    <n v="73"/>
    <n v="7"/>
    <n v="2"/>
    <s v="Order"/>
    <n v="90.899999999999991"/>
    <n v="74.622964238135268"/>
    <n v="25.75070821529745"/>
    <n v="21.139649925817359"/>
    <n v="12.985714285714284"/>
    <n v="1.2452054794520546"/>
    <n v="1.9830028328611899"/>
    <n v="10.428571428571429"/>
    <d v="1899-12-30T00:30:15"/>
    <n v="8.8344402864931055"/>
    <n v="16.540912777473199"/>
    <n v="9.2097954378242513"/>
    <n v="39.353000000000002"/>
  </r>
  <r>
    <x v="646"/>
    <x v="4"/>
    <x v="0"/>
    <n v="4"/>
    <n v="4"/>
    <x v="4"/>
    <x v="14"/>
    <x v="1"/>
    <x v="2"/>
    <x v="277"/>
    <n v="1.7"/>
    <n v="47"/>
    <n v="2"/>
    <n v="1"/>
    <s v="Order"/>
    <n v="26.9"/>
    <n v="16.42026464647066"/>
    <n v="15.823529411764705"/>
    <n v="9.6589792038062701"/>
    <n v="13.45"/>
    <n v="0.57234042553191489"/>
    <n v="1.1764705882352942"/>
    <n v="23.5"/>
    <d v="1899-12-30T00:51:00"/>
    <n v="-1.2909710136063151"/>
    <n v="17.237755895309665"/>
    <n v="-1.4142264835449598"/>
    <n v="38.531888888888886"/>
  </r>
  <r>
    <x v="647"/>
    <x v="4"/>
    <x v="0"/>
    <n v="4"/>
    <n v="4"/>
    <x v="5"/>
    <x v="2"/>
    <x v="0"/>
    <x v="2"/>
    <x v="277"/>
    <n v="2.35"/>
    <n v="57"/>
    <n v="5"/>
    <n v="2"/>
    <s v="Order"/>
    <n v="46.31"/>
    <n v="33.600533720187826"/>
    <n v="19.706382978723404"/>
    <n v="14.298099455399074"/>
    <n v="9.2620000000000005"/>
    <n v="0.81245614035087721"/>
    <n v="2.1276595744680851"/>
    <n v="11.4"/>
    <d v="1899-12-30T00:28:12"/>
    <n v="-7.984484785885666"/>
    <n v="19.706382978723404"/>
    <n v="0"/>
    <n v="39.04644444444444"/>
  </r>
  <r>
    <x v="648"/>
    <x v="4"/>
    <x v="0"/>
    <n v="4"/>
    <n v="4"/>
    <x v="0"/>
    <x v="14"/>
    <x v="2"/>
    <x v="2"/>
    <x v="271"/>
    <n v="5.03"/>
    <n v="67"/>
    <n v="9"/>
    <n v="3"/>
    <s v="Order"/>
    <n v="79.010000000000005"/>
    <n v="64.070802793904988"/>
    <n v="15.707753479125248"/>
    <n v="12.737734153857851"/>
    <n v="8.7788888888888899"/>
    <n v="1.1792537313432836"/>
    <n v="1.7892644135188867"/>
    <n v="7.4444444444444446"/>
    <d v="1899-12-30T00:33:32"/>
    <n v="-4.1840208385683866"/>
    <n v="16.768241380446604"/>
    <n v="-1.0604879013213555"/>
    <n v="38.747222222222227"/>
  </r>
  <r>
    <x v="649"/>
    <x v="4"/>
    <x v="0"/>
    <n v="4"/>
    <n v="4"/>
    <x v="2"/>
    <x v="8"/>
    <x v="0"/>
    <x v="2"/>
    <x v="266"/>
    <n v="2.5"/>
    <n v="71"/>
    <n v="5"/>
    <n v="2"/>
    <s v="Order"/>
    <n v="45.46"/>
    <n v="29.628910423391851"/>
    <n v="18.184000000000001"/>
    <n v="11.85156416935674"/>
    <n v="9.0920000000000005"/>
    <n v="0.64028169014084513"/>
    <n v="2"/>
    <n v="14.2"/>
    <d v="1899-12-30T00:30:00"/>
    <n v="-7.7812770734555698"/>
    <n v="18.184000000000001"/>
    <n v="0"/>
    <n v="37.690111111111115"/>
  </r>
  <r>
    <x v="650"/>
    <x v="4"/>
    <x v="0"/>
    <n v="5"/>
    <n v="5"/>
    <x v="4"/>
    <x v="1"/>
    <x v="3"/>
    <x v="2"/>
    <x v="277"/>
    <n v="4.17"/>
    <n v="130"/>
    <n v="6"/>
    <n v="4"/>
    <s v="Order"/>
    <n v="75.11"/>
    <n v="46.1234979583231"/>
    <n v="18.01199040767386"/>
    <n v="11.060790877295707"/>
    <n v="12.518333333333333"/>
    <n v="0.57776923076923081"/>
    <n v="1.4388489208633093"/>
    <n v="21.666666666666668"/>
    <d v="1899-12-30T00:41:42"/>
    <n v="1.9327745853282643"/>
    <n v="27.034416256468504"/>
    <n v="-9.0224258487946436"/>
    <n v="36.535444444444458"/>
  </r>
  <r>
    <x v="651"/>
    <x v="4"/>
    <x v="0"/>
    <n v="5"/>
    <n v="5"/>
    <x v="1"/>
    <x v="3"/>
    <x v="0"/>
    <x v="12"/>
    <x v="269"/>
    <n v="2"/>
    <n v="54"/>
    <n v="3"/>
    <n v="1"/>
    <s v="Order"/>
    <n v="49.75"/>
    <n v="37.709452998072678"/>
    <n v="24.875"/>
    <n v="18.854726499036339"/>
    <n v="16.583333333333332"/>
    <n v="0.92129629629629628"/>
    <n v="1.5"/>
    <n v="18"/>
    <d v="1899-12-30T00:40:00"/>
    <n v="-0.71276740373986414"/>
    <n v="19.039721119304218"/>
    <n v="5.8352788806957818"/>
    <n v="31.537111111111116"/>
  </r>
  <r>
    <x v="652"/>
    <x v="4"/>
    <x v="0"/>
    <n v="6"/>
    <n v="6"/>
    <x v="3"/>
    <x v="10"/>
    <x v="3"/>
    <x v="3"/>
    <x v="263"/>
    <n v="2.82"/>
    <n v="68"/>
    <n v="5"/>
    <n v="1"/>
    <s v="Order"/>
    <n v="57.5"/>
    <n v="42.337829701276704"/>
    <n v="20.390070921985817"/>
    <n v="15.013414787686775"/>
    <n v="11.5"/>
    <n v="0.84558823529411764"/>
    <n v="1.773049645390071"/>
    <n v="13.6"/>
    <d v="1899-12-30T00:33:50"/>
    <n v="5.2209652309289094"/>
    <n v="16.370667853439272"/>
    <n v="4.0194030685465449"/>
    <n v="28.976555555555564"/>
  </r>
  <r>
    <x v="653"/>
    <x v="4"/>
    <x v="0"/>
    <n v="6"/>
    <n v="6"/>
    <x v="5"/>
    <x v="1"/>
    <x v="1"/>
    <x v="2"/>
    <x v="270"/>
    <n v="2.7"/>
    <n v="69"/>
    <n v="5"/>
    <n v="2"/>
    <s v="Order"/>
    <n v="51.3"/>
    <n v="35.914856608648414"/>
    <n v="18.999999999999996"/>
    <n v="13.301798743943856"/>
    <n v="10.26"/>
    <n v="0.74347826086956514"/>
    <n v="1.8518518518518516"/>
    <n v="13.8"/>
    <d v="1899-12-30T00:32:24"/>
    <n v="-0.44687500000000213"/>
    <n v="21.938596739633184"/>
    <n v="-2.9385967396331871"/>
    <n v="28.684777777777786"/>
  </r>
  <r>
    <x v="654"/>
    <x v="4"/>
    <x v="0"/>
    <n v="6"/>
    <n v="6"/>
    <x v="6"/>
    <x v="10"/>
    <x v="2"/>
    <x v="6"/>
    <x v="273"/>
    <n v="1.1499999999999999"/>
    <n v="21"/>
    <n v="4"/>
    <n v="2"/>
    <s v="Order"/>
    <n v="19.04"/>
    <n v="14.357565054806038"/>
    <n v="16.556521739130435"/>
    <n v="12.484839178092209"/>
    <n v="4.76"/>
    <n v="0.90666666666666662"/>
    <n v="3.4782608695652177"/>
    <n v="5.25"/>
    <d v="1899-12-30T00:17:15"/>
    <n v="-3.74945437436822"/>
    <n v="20.232614280015955"/>
    <n v="-3.6760925408855201"/>
    <n v="28.896333333333338"/>
  </r>
  <r>
    <x v="655"/>
    <x v="4"/>
    <x v="0"/>
    <n v="6"/>
    <n v="6"/>
    <x v="0"/>
    <x v="8"/>
    <x v="2"/>
    <x v="5"/>
    <x v="201"/>
    <n v="3.6"/>
    <n v="65"/>
    <n v="6"/>
    <n v="2"/>
    <s v="Order"/>
    <n v="41.3"/>
    <n v="26.806748979161547"/>
    <n v="11.472222222222221"/>
    <n v="7.4463191608782076"/>
    <n v="6.8833333333333329"/>
    <n v="0.63538461538461533"/>
    <n v="1.6666666666666665"/>
    <n v="10.833333333333334"/>
    <d v="1899-12-30T00:36:00"/>
    <n v="-8.1406173729001878"/>
    <n v="16.078306651419858"/>
    <n v="-4.6060844291976366"/>
    <n v="29.355222222222231"/>
  </r>
  <r>
    <x v="656"/>
    <x v="4"/>
    <x v="0"/>
    <n v="6"/>
    <n v="6"/>
    <x v="2"/>
    <x v="21"/>
    <x v="0"/>
    <x v="1"/>
    <x v="269"/>
    <n v="3.6"/>
    <n v="77"/>
    <n v="6"/>
    <n v="2"/>
    <s v="Order"/>
    <n v="95.12"/>
    <n v="77.951071867622147"/>
    <n v="26.422222222222224"/>
    <n v="21.653075518783929"/>
    <n v="15.853333333333333"/>
    <n v="1.2353246753246754"/>
    <n v="1.6666666666666665"/>
    <n v="12.833333333333334"/>
    <d v="1899-12-30T00:36:00"/>
    <n v="1.3215314902617159"/>
    <n v="20.128703703703703"/>
    <n v="6.2935185185185212"/>
    <n v="28.816666666666681"/>
  </r>
  <r>
    <x v="657"/>
    <x v="4"/>
    <x v="0"/>
    <n v="7"/>
    <n v="7"/>
    <x v="3"/>
    <x v="10"/>
    <x v="0"/>
    <x v="2"/>
    <x v="271"/>
    <n v="3.75"/>
    <n v="75"/>
    <n v="8"/>
    <n v="4"/>
    <s v="Order"/>
    <n v="106.43"/>
    <n v="89.707018052878723"/>
    <n v="28.381333333333334"/>
    <n v="23.92187148076766"/>
    <n v="13.303750000000001"/>
    <n v="1.4190666666666667"/>
    <n v="2.1333333333333333"/>
    <n v="9.375"/>
    <d v="1899-12-30T00:28:08"/>
    <n v="2.6220717380203347"/>
    <n v="28.381333333333334"/>
    <n v="0"/>
    <n v="29.005777777777784"/>
  </r>
  <r>
    <x v="658"/>
    <x v="4"/>
    <x v="0"/>
    <n v="7"/>
    <n v="7"/>
    <x v="6"/>
    <x v="10"/>
    <x v="2"/>
    <x v="5"/>
    <x v="201"/>
    <n v="4.07"/>
    <n v="26"/>
    <n v="5"/>
    <n v="1"/>
    <s v="Order"/>
    <n v="91.15"/>
    <n v="85.352699591664631"/>
    <n v="22.395577395577394"/>
    <n v="20.971179260851258"/>
    <n v="18.23"/>
    <n v="3.5057692307692312"/>
    <n v="1.2285012285012284"/>
    <n v="5.2"/>
    <d v="1899-12-30T00:48:50"/>
    <n v="2.3780208493378332"/>
    <n v="22.876360126360126"/>
    <n v="-0.4807827307827317"/>
    <n v="28.349000000000004"/>
  </r>
  <r>
    <x v="659"/>
    <x v="4"/>
    <x v="0"/>
    <n v="7"/>
    <n v="7"/>
    <x v="1"/>
    <x v="8"/>
    <x v="3"/>
    <x v="3"/>
    <x v="201"/>
    <n v="3.2"/>
    <n v="106"/>
    <n v="6"/>
    <n v="1"/>
    <s v="Hourly"/>
    <n v="64.260000000000005"/>
    <n v="40.62485218140192"/>
    <n v="20.081250000000001"/>
    <n v="12.695266306688099"/>
    <n v="10.71"/>
    <n v="0.60622641509433972"/>
    <n v="1.875"/>
    <n v="17.666666666666668"/>
    <d v="1899-12-30T00:32:00"/>
    <n v="1.2863132911392441"/>
    <n v="22.316988072985641"/>
    <n v="-2.2357380729856402"/>
    <n v="27.126555555555555"/>
  </r>
  <r>
    <x v="660"/>
    <x v="4"/>
    <x v="0"/>
    <n v="8"/>
    <n v="8"/>
    <x v="4"/>
    <x v="2"/>
    <x v="0"/>
    <x v="2"/>
    <x v="278"/>
    <n v="5.2"/>
    <n v="103"/>
    <n v="10"/>
    <n v="3"/>
    <s v="Order"/>
    <n v="107.02"/>
    <n v="84.053771459286764"/>
    <n v="20.580769230769228"/>
    <n v="16.164186819093608"/>
    <n v="10.702"/>
    <n v="1.0390291262135922"/>
    <n v="1.9230769230769229"/>
    <n v="10.3"/>
    <d v="1899-12-30T00:31:12"/>
    <n v="-7.1785227372149265"/>
    <n v="25.107199243055533"/>
    <n v="-4.5264300122863048"/>
    <n v="27.551777777777776"/>
  </r>
  <r>
    <x v="661"/>
    <x v="4"/>
    <x v="0"/>
    <n v="8"/>
    <n v="8"/>
    <x v="6"/>
    <x v="1"/>
    <x v="3"/>
    <x v="1"/>
    <x v="265"/>
    <n v="4.92"/>
    <n v="118"/>
    <n v="9"/>
    <n v="3"/>
    <s v="Order"/>
    <n v="99.14"/>
    <n v="72.829175069862515"/>
    <n v="20.150406504065042"/>
    <n v="14.802677859728155"/>
    <n v="11.015555555555556"/>
    <n v="0.84016949152542375"/>
    <n v="1.8292682926829269"/>
    <n v="13.111111111111111"/>
    <d v="1899-12-30T00:32:48"/>
    <n v="2.7748732993389709"/>
    <n v="21.236984459688347"/>
    <n v="-1.0865779556233051"/>
    <n v="27.389222222222223"/>
  </r>
  <r>
    <x v="662"/>
    <x v="4"/>
    <x v="0"/>
    <n v="8"/>
    <n v="8"/>
    <x v="0"/>
    <x v="2"/>
    <x v="1"/>
    <x v="2"/>
    <x v="268"/>
    <n v="8.6199999999999992"/>
    <n v="159"/>
    <n v="20"/>
    <n v="3"/>
    <s v="Order"/>
    <n v="208.86"/>
    <n v="173.40727827210287"/>
    <n v="24.229698375870072"/>
    <n v="20.116853627854162"/>
    <n v="10.443000000000001"/>
    <n v="1.3135849056603774"/>
    <n v="2.3201856148491879"/>
    <n v="7.95"/>
    <d v="1899-12-30T00:25:52"/>
    <n v="-2.3598226774385722E-2"/>
    <n v="27.384712072751245"/>
    <n v="-3.1550136968811735"/>
    <n v="29.709888888888891"/>
  </r>
  <r>
    <x v="663"/>
    <x v="4"/>
    <x v="0"/>
    <n v="8"/>
    <n v="8"/>
    <x v="1"/>
    <x v="11"/>
    <x v="0"/>
    <x v="12"/>
    <x v="1"/>
    <n v="5.6"/>
    <n v="66"/>
    <n v="11"/>
    <n v="3"/>
    <s v="Order"/>
    <n v="156.59"/>
    <n v="141.87377588653328"/>
    <n v="27.962500000000002"/>
    <n v="25.334602836880943"/>
    <n v="14.235454545454546"/>
    <n v="2.3725757575757576"/>
    <n v="1.9642857142857144"/>
    <n v="6"/>
    <d v="1899-12-30T00:30:33"/>
    <n v="2.405722483379261"/>
    <n v="29.384048741661168"/>
    <n v="-1.4215487416611658"/>
    <n v="31.449777777777783"/>
  </r>
  <r>
    <x v="664"/>
    <x v="4"/>
    <x v="0"/>
    <n v="9"/>
    <n v="9"/>
    <x v="3"/>
    <x v="2"/>
    <x v="0"/>
    <x v="5"/>
    <x v="267"/>
    <n v="3.73"/>
    <n v="66"/>
    <n v="8"/>
    <n v="3"/>
    <s v="Order"/>
    <n v="85.3"/>
    <n v="70.58377588653326"/>
    <n v="22.868632707774797"/>
    <n v="18.923264312743502"/>
    <n v="10.6625"/>
    <n v="1.2924242424242425"/>
    <n v="2.1447721179624666"/>
    <n v="8.25"/>
    <d v="1899-12-30T00:27:59"/>
    <n v="-3.0545083711644736"/>
    <n v="22.868632707774797"/>
    <n v="0"/>
    <n v="31.682111111111116"/>
  </r>
  <r>
    <x v="665"/>
    <x v="4"/>
    <x v="0"/>
    <n v="9"/>
    <n v="9"/>
    <x v="5"/>
    <x v="2"/>
    <x v="3"/>
    <x v="2"/>
    <x v="261"/>
    <n v="5.25"/>
    <n v="137"/>
    <n v="8"/>
    <n v="3"/>
    <s v="Order"/>
    <n v="129.32"/>
    <n v="98.772686309925106"/>
    <n v="24.632380952380952"/>
    <n v="18.813845011414305"/>
    <n v="16.164999999999999"/>
    <n v="0.943941605839416"/>
    <n v="1.5238095238095237"/>
    <n v="17.125"/>
    <d v="1899-12-30T00:39:23"/>
    <n v="8.3673101731113881"/>
    <n v="24.066190476190474"/>
    <n v="0.56619047619047791"/>
    <n v="32.376000000000005"/>
  </r>
  <r>
    <x v="666"/>
    <x v="4"/>
    <x v="0"/>
    <n v="9"/>
    <n v="9"/>
    <x v="1"/>
    <x v="7"/>
    <x v="0"/>
    <x v="3"/>
    <x v="273"/>
    <n v="5.3"/>
    <n v="108"/>
    <n v="12"/>
    <n v="3"/>
    <s v="Order"/>
    <n v="143.5"/>
    <n v="119.41890599614536"/>
    <n v="27.075471698113208"/>
    <n v="22.531869055876484"/>
    <n v="11.958333333333334"/>
    <n v="1.3287037037037037"/>
    <n v="2.2641509433962264"/>
    <n v="9"/>
    <d v="1899-12-30T00:26:30"/>
    <n v="1.4184557446849979"/>
    <n v="23.647241099883558"/>
    <n v="3.4282305982296499"/>
    <n v="32.300555555555562"/>
  </r>
  <r>
    <x v="667"/>
    <x v="4"/>
    <x v="0"/>
    <n v="10"/>
    <n v="10"/>
    <x v="3"/>
    <x v="1"/>
    <x v="0"/>
    <x v="2"/>
    <x v="269"/>
    <n v="5.23"/>
    <n v="125"/>
    <n v="13"/>
    <n v="4"/>
    <s v="Order"/>
    <n v="143.87"/>
    <n v="115.99836342146452"/>
    <n v="27.508604206500955"/>
    <n v="22.179419392249429"/>
    <n v="11.066923076923077"/>
    <n v="1.15096"/>
    <n v="2.4856596558317396"/>
    <n v="9.615384615384615"/>
    <d v="1899-12-30T00:24:08"/>
    <n v="1.7651400905713608"/>
    <n v="24.199959675578484"/>
    <n v="3.3086445309224715"/>
    <n v="32.870444444444445"/>
  </r>
  <r>
    <x v="668"/>
    <x v="4"/>
    <x v="0"/>
    <n v="10"/>
    <n v="10"/>
    <x v="4"/>
    <x v="2"/>
    <x v="0"/>
    <x v="5"/>
    <x v="267"/>
    <n v="4.5199999999999996"/>
    <n v="95"/>
    <n v="8"/>
    <n v="1"/>
    <s v="Order"/>
    <n v="89.25"/>
    <n v="68.067556200313035"/>
    <n v="19.745575221238941"/>
    <n v="15.059193849626778"/>
    <n v="11.15625"/>
    <n v="0.93947368421052635"/>
    <n v="1.7699115044247788"/>
    <n v="11.875"/>
    <d v="1899-12-30T00:33:54"/>
    <n v="-7.6358997605760059"/>
    <n v="20.790663442097699"/>
    <n v="-1.0450882208587586"/>
    <n v="32.83144444444445"/>
  </r>
  <r>
    <x v="669"/>
    <x v="4"/>
    <x v="0"/>
    <n v="10"/>
    <n v="10"/>
    <x v="1"/>
    <x v="11"/>
    <x v="0"/>
    <x v="5"/>
    <x v="265"/>
    <n v="6.85"/>
    <n v="134"/>
    <n v="13"/>
    <n v="2"/>
    <s v="Order"/>
    <n v="147.78"/>
    <n v="117.90160558780997"/>
    <n v="21.573722627737226"/>
    <n v="17.211913224497806"/>
    <n v="11.367692307692307"/>
    <n v="1.1028358208955225"/>
    <n v="1.8978102189781023"/>
    <n v="10.307692307692308"/>
    <d v="1899-12-30T00:31:37"/>
    <n v="-4.1400315554783838"/>
    <n v="30.543878208019763"/>
    <n v="-8.9701555802825368"/>
    <n v="33.979000000000006"/>
  </r>
  <r>
    <x v="670"/>
    <x v="4"/>
    <x v="0"/>
    <n v="10"/>
    <n v="10"/>
    <x v="2"/>
    <x v="24"/>
    <x v="0"/>
    <x v="5"/>
    <x v="267"/>
    <n v="1.03"/>
    <n v="29"/>
    <n v="2"/>
    <n v="2"/>
    <s v="Order"/>
    <n v="13.66"/>
    <n v="7.1937803137797696"/>
    <n v="13.262135922330097"/>
    <n v="6.9842527318250189"/>
    <n v="6.83"/>
    <n v="0.4710344827586207"/>
    <n v="1.941747572815534"/>
    <n v="14.5"/>
    <d v="1899-12-30T00:30:54"/>
    <n v="-11.970707958656581"/>
    <n v="13.262135922330097"/>
    <n v="0"/>
    <n v="33.476555555555557"/>
  </r>
  <r>
    <x v="671"/>
    <x v="4"/>
    <x v="0"/>
    <n v="11"/>
    <n v="11"/>
    <x v="3"/>
    <x v="1"/>
    <x v="0"/>
    <x v="1"/>
    <x v="262"/>
    <n v="4.4800000000000004"/>
    <n v="71"/>
    <n v="8"/>
    <n v="2"/>
    <s v="Order"/>
    <n v="105.51"/>
    <n v="89.678910423391855"/>
    <n v="23.551339285714285"/>
    <n v="20.017613933792823"/>
    <n v="13.188750000000001"/>
    <n v="1.4860563380281691"/>
    <n v="1.7857142857142856"/>
    <n v="8.875"/>
    <d v="1899-12-30T00:33:36"/>
    <n v="-2.2901881685803858"/>
    <n v="26.303037502761384"/>
    <n v="-2.7516982170470996"/>
    <n v="34.648888888888898"/>
  </r>
  <r>
    <x v="672"/>
    <x v="4"/>
    <x v="0"/>
    <n v="11"/>
    <n v="11"/>
    <x v="5"/>
    <x v="10"/>
    <x v="0"/>
    <x v="2"/>
    <x v="261"/>
    <n v="2.52"/>
    <n v="33"/>
    <n v="6"/>
    <n v="2"/>
    <s v="Order"/>
    <n v="54.72"/>
    <n v="47.36188794326663"/>
    <n v="21.714285714285715"/>
    <n v="18.794399977486759"/>
    <n v="9.1199999999999992"/>
    <n v="1.6581818181818182"/>
    <n v="2.3809523809523809"/>
    <n v="5.5"/>
    <d v="1899-12-30T00:25:12"/>
    <n v="-5.444283064597645"/>
    <n v="24.713285343418189"/>
    <n v="-2.9989996291324736"/>
    <n v="34.854777777777784"/>
  </r>
  <r>
    <x v="673"/>
    <x v="4"/>
    <x v="0"/>
    <n v="11"/>
    <n v="11"/>
    <x v="6"/>
    <x v="1"/>
    <x v="0"/>
    <x v="2"/>
    <x v="263"/>
    <n v="5.03"/>
    <n v="127"/>
    <n v="9"/>
    <n v="3"/>
    <s v="Order"/>
    <n v="108.12"/>
    <n v="79.802417236207958"/>
    <n v="21.495029821073558"/>
    <n v="15.865291697059236"/>
    <n v="12.013333333333334"/>
    <n v="0.85133858267716545"/>
    <n v="1.7892644135188867"/>
    <n v="14.111111111111111"/>
    <d v="1899-12-30T00:33:32"/>
    <n v="1.6920163040556062"/>
    <n v="21.339386458777209"/>
    <n v="0.1556433622963489"/>
    <n v="36.056111111111115"/>
  </r>
  <r>
    <x v="674"/>
    <x v="4"/>
    <x v="0"/>
    <n v="11"/>
    <n v="11"/>
    <x v="2"/>
    <x v="7"/>
    <x v="3"/>
    <x v="1"/>
    <x v="258"/>
    <n v="8.1300000000000008"/>
    <n v="205"/>
    <n v="17"/>
    <n v="4"/>
    <s v="Order"/>
    <n v="289.48999999999995"/>
    <n v="243.78051601120177"/>
    <n v="35.60762607626075"/>
    <n v="29.985303322411038"/>
    <n v="17.028823529411763"/>
    <n v="1.4121463414634143"/>
    <n v="2.0910209102091017"/>
    <n v="12.058823529411764"/>
    <d v="1899-12-30T00:28:42"/>
    <n v="19.984892534462801"/>
    <n v="35.60762607626075"/>
    <n v="0"/>
    <n v="39.272666666666666"/>
  </r>
  <r>
    <x v="675"/>
    <x v="4"/>
    <x v="0"/>
    <n v="12"/>
    <n v="12"/>
    <x v="3"/>
    <x v="1"/>
    <x v="0"/>
    <x v="14"/>
    <x v="220"/>
    <n v="2.78"/>
    <n v="39"/>
    <n v="7"/>
    <n v="1"/>
    <s v="Order"/>
    <n v="43.5"/>
    <n v="34.804049387496931"/>
    <n v="15.647482014388491"/>
    <n v="12.519442225718322"/>
    <n v="6.2142857142857144"/>
    <n v="1.1153846153846154"/>
    <n v="2.5179856115107917"/>
    <n v="5.5714285714285712"/>
    <d v="1899-12-30T00:23:50"/>
    <n v="-10.073509220507212"/>
    <n v="22.127564587674119"/>
    <n v="-6.4800825732856282"/>
    <n v="39.756"/>
  </r>
  <r>
    <x v="676"/>
    <x v="4"/>
    <x v="0"/>
    <n v="12"/>
    <n v="12"/>
    <x v="4"/>
    <x v="2"/>
    <x v="0"/>
    <x v="2"/>
    <x v="220"/>
    <n v="4.87"/>
    <n v="92"/>
    <n v="11"/>
    <n v="3"/>
    <s v="Order"/>
    <n v="105.92"/>
    <n v="85.406475478197891"/>
    <n v="21.749486652977414"/>
    <n v="17.537263958562196"/>
    <n v="9.6290909090909089"/>
    <n v="1.1513043478260869"/>
    <n v="2.2587268993839835"/>
    <n v="8.3636363636363633"/>
    <d v="1899-12-30T00:26:34"/>
    <n v="-5.2501933408087318"/>
    <n v="23.708191000470212"/>
    <n v="-1.9587043474927981"/>
    <n v="40.93288888888889"/>
  </r>
  <r>
    <x v="677"/>
    <x v="4"/>
    <x v="0"/>
    <n v="12"/>
    <n v="12"/>
    <x v="5"/>
    <x v="2"/>
    <x v="0"/>
    <x v="2"/>
    <x v="245"/>
    <n v="3.42"/>
    <n v="80"/>
    <n v="6"/>
    <n v="1"/>
    <s v="Order"/>
    <n v="60.75"/>
    <n v="42.912152589737289"/>
    <n v="17.763157894736842"/>
    <n v="12.547413037934881"/>
    <n v="10.125"/>
    <n v="0.75937500000000002"/>
    <n v="1.7543859649122808"/>
    <n v="13.333333333333334"/>
    <d v="1899-12-30T00:34:12"/>
    <n v="-9.0551431926091652"/>
    <n v="26.505470302261681"/>
    <n v="-8.7423124075248388"/>
    <n v="41.607888888888887"/>
  </r>
  <r>
    <x v="678"/>
    <x v="4"/>
    <x v="0"/>
    <n v="12"/>
    <n v="12"/>
    <x v="0"/>
    <x v="1"/>
    <x v="3"/>
    <x v="13"/>
    <x v="267"/>
    <n v="6.82"/>
    <n v="152"/>
    <n v="13"/>
    <n v="2"/>
    <s v="Hourly"/>
    <n v="184.51"/>
    <n v="150.61808992050084"/>
    <n v="27.054252199413487"/>
    <n v="22.084763917961997"/>
    <n v="14.193076923076923"/>
    <n v="1.2138815789473683"/>
    <n v="1.9061583577712609"/>
    <n v="11.692307692307692"/>
    <d v="1899-12-30T00:31:29"/>
    <n v="12.925000498733214"/>
    <n v="24.852884451271549"/>
    <n v="2.2013677481419371"/>
    <n v="43.658000000000001"/>
  </r>
  <r>
    <x v="679"/>
    <x v="4"/>
    <x v="0"/>
    <n v="12"/>
    <n v="12"/>
    <x v="1"/>
    <x v="4"/>
    <x v="2"/>
    <x v="12"/>
    <x v="256"/>
    <n v="2.9"/>
    <n v="32"/>
    <n v="10"/>
    <n v="2"/>
    <s v="Order"/>
    <n v="65.55"/>
    <n v="58.414861035894916"/>
    <n v="22.603448275862068"/>
    <n v="20.143055529618938"/>
    <n v="6.5549999999999997"/>
    <n v="2.0484374999999999"/>
    <n v="3.4482758620689657"/>
    <n v="3.2"/>
    <d v="1899-12-30T00:17:24"/>
    <n v="2.7147969483654499"/>
    <n v="21.037978186413866"/>
    <n v="1.5654700894482012"/>
    <n v="44.38633333333334"/>
  </r>
  <r>
    <x v="680"/>
    <x v="4"/>
    <x v="0"/>
    <n v="12"/>
    <n v="12"/>
    <x v="2"/>
    <x v="1"/>
    <x v="0"/>
    <x v="2"/>
    <x v="266"/>
    <n v="4.43"/>
    <n v="130"/>
    <n v="8"/>
    <n v="2"/>
    <s v="Order"/>
    <n v="81.539999999999992"/>
    <n v="52.553497958323092"/>
    <n v="18.406320541760721"/>
    <n v="11.86309208991492"/>
    <n v="10.192499999999999"/>
    <n v="0.62723076923076915"/>
    <n v="1.8058690744920995"/>
    <n v="16.25"/>
    <d v="1899-12-30T00:33:14"/>
    <n v="-5.7382771611662697"/>
    <n v="23.040660270880359"/>
    <n v="-4.6343397291196382"/>
    <n v="45.292333333333339"/>
  </r>
  <r>
    <x v="681"/>
    <x v="4"/>
    <x v="0"/>
    <n v="13"/>
    <n v="13"/>
    <x v="3"/>
    <x v="2"/>
    <x v="2"/>
    <x v="3"/>
    <x v="266"/>
    <n v="5.08"/>
    <n v="73"/>
    <n v="11"/>
    <n v="3"/>
    <s v="Hourly"/>
    <n v="108.54"/>
    <n v="92.262964238135282"/>
    <n v="21.366141732283467"/>
    <n v="18.162000834278597"/>
    <n v="9.8672727272727272"/>
    <n v="1.4868493150684932"/>
    <n v="2.1653543307086616"/>
    <n v="6.6363636363636367"/>
    <d v="1899-12-30T00:27:43"/>
    <n v="3.6303990267131745"/>
    <n v="28.889867756914999"/>
    <n v="-7.5237260246315323"/>
    <n v="46.498333333333335"/>
  </r>
  <r>
    <x v="682"/>
    <x v="4"/>
    <x v="0"/>
    <n v="13"/>
    <n v="13"/>
    <x v="4"/>
    <x v="2"/>
    <x v="2"/>
    <x v="5"/>
    <x v="264"/>
    <n v="2.4500000000000002"/>
    <n v="59"/>
    <n v="4"/>
    <n v="3"/>
    <s v="Order"/>
    <n v="51.32"/>
    <n v="38.164587534931258"/>
    <n v="20.946938775510201"/>
    <n v="15.577382667318879"/>
    <n v="12.83"/>
    <n v="0.86983050847457632"/>
    <n v="1.6326530612244896"/>
    <n v="14.75"/>
    <d v="1899-12-30T00:36:45"/>
    <n v="1.2282165406435155"/>
    <n v="23.049833024118737"/>
    <n v="-2.1028942486085356"/>
    <n v="47.068555555555555"/>
  </r>
  <r>
    <x v="683"/>
    <x v="4"/>
    <x v="0"/>
    <n v="13"/>
    <n v="13"/>
    <x v="0"/>
    <x v="2"/>
    <x v="2"/>
    <x v="1"/>
    <x v="245"/>
    <n v="3.98"/>
    <n v="68"/>
    <n v="9"/>
    <n v="2"/>
    <s v="Order"/>
    <n v="68.489999999999995"/>
    <n v="53.327829701276698"/>
    <n v="17.208542713567837"/>
    <n v="13.398952186250426"/>
    <n v="7.6099999999999994"/>
    <n v="1.0072058823529411"/>
    <n v="2.2613065326633164"/>
    <n v="7.5555555555555554"/>
    <d v="1899-12-30T00:26:32"/>
    <n v="-1.8955082957483107"/>
    <n v="21.587544461558959"/>
    <n v="-4.3790017479911221"/>
    <n v="47.829555555555551"/>
  </r>
  <r>
    <x v="684"/>
    <x v="4"/>
    <x v="0"/>
    <n v="13"/>
    <n v="13"/>
    <x v="2"/>
    <x v="2"/>
    <x v="0"/>
    <x v="7"/>
    <x v="263"/>
    <n v="6.28"/>
    <n v="115"/>
    <n v="11"/>
    <n v="3"/>
    <s v="Order"/>
    <n v="153.68"/>
    <n v="128.03809434774737"/>
    <n v="24.471337579617835"/>
    <n v="20.388231584036205"/>
    <n v="13.970909090909091"/>
    <n v="1.3363478260869566"/>
    <n v="1.7515923566878979"/>
    <n v="10.454545454545455"/>
    <d v="1899-12-30T00:34:15"/>
    <n v="0.80492964012136525"/>
    <n v="24.684581833287179"/>
    <n v="-0.21324425366934463"/>
    <n v="49.537111111111116"/>
  </r>
  <r>
    <x v="685"/>
    <x v="4"/>
    <x v="1"/>
    <n v="2"/>
    <n v="15"/>
    <x v="3"/>
    <x v="10"/>
    <x v="0"/>
    <x v="13"/>
    <x v="262"/>
    <n v="4.92"/>
    <n v="105"/>
    <n v="9"/>
    <n v="2"/>
    <s v="Order"/>
    <n v="116.99"/>
    <n v="93.577825274030189"/>
    <n v="23.778455284552845"/>
    <n v="19.019883185778493"/>
    <n v="12.998888888888889"/>
    <n v="1.1141904761904762"/>
    <n v="1.8292682926829269"/>
    <n v="11.666666666666666"/>
    <d v="1899-12-30T00:32:48"/>
    <n v="3.8120205703011223"/>
    <n v="22.041942574403119"/>
    <n v="1.7365127101497251"/>
    <n v="48.988111111111124"/>
  </r>
  <r>
    <x v="686"/>
    <x v="4"/>
    <x v="1"/>
    <n v="2"/>
    <n v="15"/>
    <x v="4"/>
    <x v="1"/>
    <x v="3"/>
    <x v="6"/>
    <x v="263"/>
    <n v="5.57"/>
    <n v="119"/>
    <n v="11"/>
    <n v="1"/>
    <s v="Order"/>
    <n v="130.44"/>
    <n v="103.90620197723422"/>
    <n v="23.41831238779174"/>
    <n v="18.654614358569876"/>
    <n v="11.858181818181817"/>
    <n v="1.0961344537815125"/>
    <n v="1.9748653500897666"/>
    <n v="10.818181818181818"/>
    <d v="1899-12-30T00:30:23"/>
    <n v="6.1025179757817334"/>
    <n v="21.082970919354722"/>
    <n v="2.3353414684370186"/>
    <n v="50.192888888888888"/>
  </r>
  <r>
    <x v="687"/>
    <x v="4"/>
    <x v="1"/>
    <n v="2"/>
    <n v="15"/>
    <x v="0"/>
    <x v="2"/>
    <x v="3"/>
    <x v="5"/>
    <x v="264"/>
    <n v="3.5"/>
    <n v="104"/>
    <n v="6"/>
    <n v="1"/>
    <s v="Hourly"/>
    <n v="57.27"/>
    <n v="34.080798366658485"/>
    <n v="16.362857142857145"/>
    <n v="9.7373709619024247"/>
    <n v="9.5449999999999999"/>
    <n v="0.55067307692307699"/>
    <n v="1.7142857142857142"/>
    <n v="17.333333333333332"/>
    <d v="1899-12-30T00:35:00"/>
    <n v="-5.2268864468864464"/>
    <n v="19.73987012987013"/>
    <n v="-3.3770129870129857"/>
    <n v="49.023888888888884"/>
  </r>
  <r>
    <x v="688"/>
    <x v="4"/>
    <x v="1"/>
    <n v="2"/>
    <n v="15"/>
    <x v="1"/>
    <x v="9"/>
    <x v="3"/>
    <x v="1"/>
    <x v="267"/>
    <n v="5.0199999999999996"/>
    <n v="101"/>
    <n v="11"/>
    <n v="2"/>
    <s v="Hourly"/>
    <n v="113.41"/>
    <n v="90.889717644543339"/>
    <n v="22.591633466135459"/>
    <n v="18.105521443136126"/>
    <n v="10.31"/>
    <n v="1.1228712871287128"/>
    <n v="2.1912350597609564"/>
    <n v="9.1818181818181817"/>
    <d v="1899-12-30T00:27:23"/>
    <n v="0.73490831993662908"/>
    <n v="27.152961642707922"/>
    <n v="-4.5613281765724629"/>
    <n v="50.283999999999992"/>
  </r>
  <r>
    <x v="689"/>
    <x v="4"/>
    <x v="1"/>
    <n v="3"/>
    <n v="16"/>
    <x v="3"/>
    <x v="1"/>
    <x v="0"/>
    <x v="2"/>
    <x v="256"/>
    <n v="4.9800000000000004"/>
    <n v="135"/>
    <n v="10"/>
    <n v="3"/>
    <s v="Order"/>
    <n v="148.73000000000002"/>
    <n v="118.62863249518171"/>
    <n v="29.865461847389561"/>
    <n v="23.821010541201144"/>
    <n v="14.873000000000001"/>
    <n v="1.1017037037037039"/>
    <n v="2.0080321285140559"/>
    <n v="13.5"/>
    <d v="1899-12-30T00:29:53"/>
    <n v="9.5178250761077265"/>
    <n v="29.865461847389561"/>
    <n v="0"/>
    <n v="51.013777777777776"/>
  </r>
  <r>
    <x v="690"/>
    <x v="4"/>
    <x v="1"/>
    <n v="3"/>
    <n v="16"/>
    <x v="5"/>
    <x v="2"/>
    <x v="2"/>
    <x v="1"/>
    <x v="264"/>
    <n v="5.28"/>
    <n v="108"/>
    <n v="12"/>
    <n v="3"/>
    <s v="Hourly"/>
    <n v="119.21"/>
    <n v="95.128905996145335"/>
    <n v="22.577651515151512"/>
    <n v="18.016838256845706"/>
    <n v="9.9341666666666661"/>
    <n v="1.1037962962962962"/>
    <n v="2.2727272727272725"/>
    <n v="9"/>
    <d v="1899-12-30T00:26:24"/>
    <n v="5.5018785314465184"/>
    <n v="18.663094763423707"/>
    <n v="3.9145567517278046"/>
    <n v="51.361444444444444"/>
  </r>
  <r>
    <x v="691"/>
    <x v="4"/>
    <x v="1"/>
    <n v="3"/>
    <n v="16"/>
    <x v="6"/>
    <x v="14"/>
    <x v="2"/>
    <x v="2"/>
    <x v="81"/>
    <n v="3.93"/>
    <n v="81"/>
    <n v="10"/>
    <n v="2"/>
    <s v="Order"/>
    <n v="68.38"/>
    <n v="50.319179497109005"/>
    <n v="17.399491094147582"/>
    <n v="12.803862467457762"/>
    <n v="6.8379999999999992"/>
    <n v="0.84419753086419747"/>
    <n v="2.5445292620865141"/>
    <n v="8.1"/>
    <d v="1899-12-30T00:23:35"/>
    <n v="-1.2171407310630187"/>
    <n v="20.870675779631931"/>
    <n v="-3.4711846854843493"/>
    <n v="51.011777777777773"/>
  </r>
  <r>
    <x v="692"/>
    <x v="4"/>
    <x v="1"/>
    <n v="4"/>
    <n v="17"/>
    <x v="3"/>
    <x v="1"/>
    <x v="0"/>
    <x v="14"/>
    <x v="260"/>
    <n v="4.7"/>
    <n v="137"/>
    <n v="11"/>
    <n v="3"/>
    <s v="Hourly"/>
    <n v="103.03"/>
    <n v="72.482686309925114"/>
    <n v="21.921276595744679"/>
    <n v="15.421848151047897"/>
    <n v="9.3663636363636371"/>
    <n v="0.75204379562043799"/>
    <n v="2.3404255319148937"/>
    <n v="12.454545454545455"/>
    <d v="1899-12-30T00:25:38"/>
    <n v="0.70838299936214"/>
    <n v="19.811569974890972"/>
    <n v="2.1097066208537072"/>
    <n v="49.834777777777781"/>
  </r>
  <r>
    <x v="693"/>
    <x v="4"/>
    <x v="1"/>
    <n v="4"/>
    <n v="17"/>
    <x v="4"/>
    <x v="8"/>
    <x v="2"/>
    <x v="5"/>
    <x v="257"/>
    <n v="4.0999999999999996"/>
    <n v="94"/>
    <n v="7"/>
    <n v="1"/>
    <s v="Order"/>
    <n v="62.21"/>
    <n v="41.250529292941323"/>
    <n v="15.173170731707319"/>
    <n v="10.061104705595445"/>
    <n v="8.887142857142857"/>
    <n v="0.66180851063829793"/>
    <n v="1.7073170731707319"/>
    <n v="13.428571428571429"/>
    <d v="1899-12-30T00:35:09"/>
    <n v="-1.4122459349593477"/>
    <n v="16.253252032520326"/>
    <n v="-1.0800813008130064"/>
    <n v="50.011444444444429"/>
  </r>
  <r>
    <x v="694"/>
    <x v="4"/>
    <x v="1"/>
    <n v="4"/>
    <n v="17"/>
    <x v="5"/>
    <x v="1"/>
    <x v="0"/>
    <x v="2"/>
    <x v="257"/>
    <n v="5.33"/>
    <n v="144"/>
    <n v="11"/>
    <n v="3"/>
    <s v="Order"/>
    <n v="147.32999999999998"/>
    <n v="115.22187466152711"/>
    <n v="27.641651031894931"/>
    <n v="21.617612506853117"/>
    <n v="13.393636363636363"/>
    <n v="1.0231249999999998"/>
    <n v="2.0637898686679175"/>
    <n v="13.090909090909092"/>
    <d v="1899-12-30T00:29:04"/>
    <n v="4.6018713458500216"/>
    <n v="29.968200278941691"/>
    <n v="-2.3265492470467599"/>
    <n v="51.648444444444429"/>
  </r>
  <r>
    <x v="695"/>
    <x v="4"/>
    <x v="1"/>
    <n v="4"/>
    <n v="17"/>
    <x v="0"/>
    <x v="1"/>
    <x v="2"/>
    <x v="14"/>
    <x v="256"/>
    <n v="4.5199999999999996"/>
    <n v="59"/>
    <n v="9"/>
    <n v="2"/>
    <s v="Order"/>
    <n v="70.13"/>
    <n v="56.974587534931246"/>
    <n v="15.515486725663717"/>
    <n v="12.604997242241428"/>
    <n v="7.7922222222222217"/>
    <n v="1.1886440677966101"/>
    <n v="1.9911504424778763"/>
    <n v="6.5555555555555554"/>
    <d v="1899-12-30T00:30:08"/>
    <n v="-3.868532132644134"/>
    <n v="27.058394201331158"/>
    <n v="-11.542907475667441"/>
    <n v="51.549777777777763"/>
  </r>
  <r>
    <x v="696"/>
    <x v="4"/>
    <x v="1"/>
    <n v="4"/>
    <n v="17"/>
    <x v="1"/>
    <x v="3"/>
    <x v="3"/>
    <x v="14"/>
    <x v="258"/>
    <n v="4.5999999999999996"/>
    <n v="115"/>
    <n v="7"/>
    <n v="3"/>
    <s v="Hourly"/>
    <n v="91.289999999999992"/>
    <n v="65.64809434774736"/>
    <n v="19.845652173913042"/>
    <n v="14.271324858205949"/>
    <n v="13.04142857142857"/>
    <n v="0.79382608695652168"/>
    <n v="1.5217391304347827"/>
    <n v="16.428571428571427"/>
    <d v="1899-12-30T00:39:26"/>
    <n v="-2.3785271322541028"/>
    <n v="23.513308240547271"/>
    <n v="-3.6676560666342297"/>
    <n v="52.058999999999983"/>
  </r>
  <r>
    <x v="697"/>
    <x v="4"/>
    <x v="1"/>
    <n v="4"/>
    <n v="17"/>
    <x v="2"/>
    <x v="3"/>
    <x v="3"/>
    <x v="14"/>
    <x v="264"/>
    <n v="4.5999999999999996"/>
    <n v="108"/>
    <n v="9"/>
    <n v="2"/>
    <s v="Order"/>
    <n v="80.69"/>
    <n v="56.608905996145346"/>
    <n v="17.541304347826088"/>
    <n v="12.306283912205512"/>
    <n v="8.9655555555555555"/>
    <n v="0.74712962962962959"/>
    <n v="1.956521739130435"/>
    <n v="12"/>
    <d v="1899-12-30T00:30:40"/>
    <n v="7.341258784905591E-2"/>
    <n v="18.958528045340856"/>
    <n v="-1.4172236975147676"/>
    <n v="52.955555555555534"/>
  </r>
  <r>
    <x v="698"/>
    <x v="4"/>
    <x v="1"/>
    <n v="5"/>
    <n v="18"/>
    <x v="3"/>
    <x v="14"/>
    <x v="1"/>
    <x v="2"/>
    <x v="247"/>
    <n v="7.02"/>
    <n v="172"/>
    <n v="13"/>
    <n v="4"/>
    <s v="Order"/>
    <n v="148.66"/>
    <n v="110.30862806793519"/>
    <n v="21.176638176638178"/>
    <n v="15.713479781757151"/>
    <n v="11.435384615384615"/>
    <n v="0.8643023255813953"/>
    <n v="1.8518518518518519"/>
    <n v="13.23076923076923"/>
    <d v="1899-12-30T00:32:24"/>
    <n v="-0.50909246462564539"/>
    <n v="21.176638176638178"/>
    <n v="0"/>
    <n v="53.772777777777762"/>
  </r>
  <r>
    <x v="699"/>
    <x v="4"/>
    <x v="1"/>
    <n v="5"/>
    <n v="18"/>
    <x v="4"/>
    <x v="2"/>
    <x v="0"/>
    <x v="2"/>
    <x v="230"/>
    <n v="5.52"/>
    <n v="134"/>
    <n v="11"/>
    <n v="2"/>
    <s v="Order"/>
    <n v="116.97"/>
    <n v="87.091605587809966"/>
    <n v="21.190217391304348"/>
    <n v="15.777464780400358"/>
    <n v="10.633636363636363"/>
    <n v="0.87291044776119397"/>
    <n v="1.992753623188406"/>
    <n v="12.181818181818182"/>
    <d v="1899-12-30T00:30:07"/>
    <n v="-8.7146010781907535E-2"/>
    <n v="21.091386611284925"/>
    <n v="9.8830780019422804E-2"/>
    <n v="55.072444444444429"/>
  </r>
  <r>
    <x v="700"/>
    <x v="4"/>
    <x v="1"/>
    <n v="5"/>
    <n v="18"/>
    <x v="5"/>
    <x v="8"/>
    <x v="0"/>
    <x v="2"/>
    <x v="259"/>
    <n v="4.08"/>
    <n v="94"/>
    <n v="8"/>
    <n v="2"/>
    <s v="Hourly"/>
    <n v="85.16"/>
    <n v="64.200529292941326"/>
    <n v="20.872549019607842"/>
    <n v="15.735423846309148"/>
    <n v="10.645"/>
    <n v="0.90595744680851065"/>
    <n v="1.9607843137254901"/>
    <n v="11.75"/>
    <d v="1899-12-30T00:30:36"/>
    <n v="-2.550719945257903"/>
    <n v="22.36763015414142"/>
    <n v="-1.4950811345335779"/>
    <n v="56.018666666666647"/>
  </r>
  <r>
    <x v="701"/>
    <x v="4"/>
    <x v="1"/>
    <n v="5"/>
    <n v="18"/>
    <x v="6"/>
    <x v="14"/>
    <x v="0"/>
    <x v="2"/>
    <x v="259"/>
    <n v="4.67"/>
    <n v="97"/>
    <n v="9"/>
    <n v="3"/>
    <s v="Order"/>
    <n v="108.47"/>
    <n v="86.84161001505646"/>
    <n v="23.226980728051391"/>
    <n v="18.595633836200527"/>
    <n v="12.052222222222222"/>
    <n v="1.1182474226804124"/>
    <n v="1.9271948608137046"/>
    <n v="10.777777777777779"/>
    <d v="1899-12-30T00:31:08"/>
    <n v="-0.39512370062517732"/>
    <n v="19.452916652940207"/>
    <n v="3.774064075111184"/>
    <n v="57.223888888888872"/>
  </r>
  <r>
    <x v="702"/>
    <x v="4"/>
    <x v="1"/>
    <n v="5"/>
    <n v="18"/>
    <x v="1"/>
    <x v="6"/>
    <x v="0"/>
    <x v="13"/>
    <x v="64"/>
    <n v="3.42"/>
    <n v="67"/>
    <n v="5"/>
    <n v="2"/>
    <s v="Order"/>
    <n v="75.36"/>
    <n v="60.420802793904983"/>
    <n v="22.035087719298247"/>
    <n v="17.666901401726605"/>
    <n v="15.071999999999999"/>
    <n v="1.1247761194029851"/>
    <n v="1.4619883040935673"/>
    <n v="13.4"/>
    <d v="1899-12-30T00:41:02"/>
    <n v="-3.5192652372613757"/>
    <n v="25.165112615762578"/>
    <n v="-3.1300248964643309"/>
    <n v="57.508444444444436"/>
  </r>
  <r>
    <x v="703"/>
    <x v="4"/>
    <x v="1"/>
    <n v="5"/>
    <n v="18"/>
    <x v="2"/>
    <x v="5"/>
    <x v="0"/>
    <x v="14"/>
    <x v="256"/>
    <n v="4.22"/>
    <n v="94"/>
    <n v="9"/>
    <n v="2"/>
    <s v="Order"/>
    <n v="88.98"/>
    <n v="68.020529292941319"/>
    <n v="21.085308056872041"/>
    <n v="16.118608837189885"/>
    <n v="9.8866666666666667"/>
    <n v="0.94659574468085106"/>
    <n v="2.1327014218009479"/>
    <n v="10.444444444444445"/>
    <d v="1899-12-30T00:28:08"/>
    <n v="-0.99420444952827225"/>
    <n v="19.246597619330164"/>
    <n v="1.8387104375418772"/>
    <n v="57.85822222222221"/>
  </r>
  <r>
    <x v="704"/>
    <x v="4"/>
    <x v="1"/>
    <n v="6"/>
    <n v="19"/>
    <x v="3"/>
    <x v="10"/>
    <x v="1"/>
    <x v="11"/>
    <x v="33"/>
    <n v="6.85"/>
    <n v="211"/>
    <n v="12"/>
    <n v="1"/>
    <s v="Order"/>
    <n v="119.77"/>
    <n v="72.722677455432105"/>
    <n v="17.484671532846715"/>
    <n v="10.61644926356673"/>
    <n v="9.980833333333333"/>
    <n v="0.56763033175355448"/>
    <n v="1.7518248175182483"/>
    <n v="17.583333333333332"/>
    <d v="1899-12-30T00:34:15"/>
    <n v="-4.0992406154919792"/>
    <n v="20.570186793111567"/>
    <n v="-3.0855152602648523"/>
    <n v="59.188999999999993"/>
  </r>
  <r>
    <x v="705"/>
    <x v="4"/>
    <x v="1"/>
    <n v="6"/>
    <n v="19"/>
    <x v="4"/>
    <x v="2"/>
    <x v="0"/>
    <x v="4"/>
    <x v="258"/>
    <n v="4.7699999999999996"/>
    <n v="103"/>
    <n v="10"/>
    <n v="2"/>
    <s v="Hourly"/>
    <n v="100.12"/>
    <n v="77.153771459286773"/>
    <n v="20.989517819706503"/>
    <n v="16.174794855196389"/>
    <n v="10.012"/>
    <n v="0.97203883495145638"/>
    <n v="2.0964360587002098"/>
    <n v="10.3"/>
    <d v="1899-12-30T00:28:37"/>
    <n v="-0.28162086732390179"/>
    <n v="18.163573021829258"/>
    <n v="2.825944797877245"/>
    <n v="59.731444444444435"/>
  </r>
  <r>
    <x v="706"/>
    <x v="4"/>
    <x v="1"/>
    <n v="6"/>
    <n v="19"/>
    <x v="5"/>
    <x v="9"/>
    <x v="0"/>
    <x v="14"/>
    <x v="256"/>
    <n v="5.55"/>
    <n v="134"/>
    <n v="11"/>
    <n v="4"/>
    <s v="Order"/>
    <n v="106.02000000000001"/>
    <n v="76.141605587809977"/>
    <n v="19.102702702702704"/>
    <n v="13.719208214019815"/>
    <n v="9.6381818181818186"/>
    <n v="0.79119402985074638"/>
    <n v="1.9819819819819819"/>
    <n v="12.181818181818182"/>
    <d v="1899-12-30T00:30:16"/>
    <n v="-4.1243570356047421"/>
    <n v="24.426643904418047"/>
    <n v="-5.3239412017153427"/>
    <n v="60.697888888888883"/>
  </r>
  <r>
    <x v="707"/>
    <x v="4"/>
    <x v="1"/>
    <n v="6"/>
    <n v="19"/>
    <x v="6"/>
    <x v="9"/>
    <x v="0"/>
    <x v="13"/>
    <x v="257"/>
    <n v="5.8"/>
    <n v="155"/>
    <n v="13"/>
    <n v="2"/>
    <s v="Order"/>
    <n v="149.07"/>
    <n v="114.509170642616"/>
    <n v="25.701724137931034"/>
    <n v="19.74296045562345"/>
    <n v="11.466923076923077"/>
    <n v="0.96174193548387088"/>
    <n v="2.2413793103448278"/>
    <n v="11.923076923076923"/>
    <d v="1899-12-30T00:26:46"/>
    <n v="2.1028622798794778"/>
    <n v="21.385404996263951"/>
    <n v="4.3163191416670834"/>
    <n v="61.895333333333319"/>
  </r>
  <r>
    <x v="708"/>
    <x v="4"/>
    <x v="1"/>
    <n v="6"/>
    <n v="19"/>
    <x v="1"/>
    <x v="1"/>
    <x v="2"/>
    <x v="2"/>
    <x v="255"/>
    <n v="4.68"/>
    <n v="106"/>
    <n v="6"/>
    <n v="2"/>
    <s v="Order"/>
    <n v="96.08"/>
    <n v="72.444852181401913"/>
    <n v="20.529914529914532"/>
    <n v="15.479669269530325"/>
    <n v="16.013333333333332"/>
    <n v="0.90641509433962264"/>
    <n v="1.2820512820512822"/>
    <n v="17.666666666666668"/>
    <d v="1899-12-30T00:46:48"/>
    <n v="8.6143006968434577E-2"/>
    <n v="21.645085470085469"/>
    <n v="-1.1151709401709375"/>
    <n v="61.905999999999992"/>
  </r>
  <r>
    <x v="709"/>
    <x v="4"/>
    <x v="1"/>
    <n v="6"/>
    <n v="19"/>
    <x v="2"/>
    <x v="4"/>
    <x v="0"/>
    <x v="2"/>
    <x v="255"/>
    <n v="4.88"/>
    <n v="76"/>
    <n v="10"/>
    <n v="2"/>
    <s v="Order"/>
    <n v="126.55"/>
    <n v="109.60404496025043"/>
    <n v="25.932377049180328"/>
    <n v="22.459845278739845"/>
    <n v="12.654999999999999"/>
    <n v="1.6651315789473684"/>
    <n v="2.0491803278688523"/>
    <n v="7.6"/>
    <d v="1899-12-30T00:29:17"/>
    <n v="4.0517054326856687"/>
    <n v="22.364407354106703"/>
    <n v="3.567969695073625"/>
    <n v="62.129555555555555"/>
  </r>
  <r>
    <x v="710"/>
    <x v="4"/>
    <x v="1"/>
    <n v="7"/>
    <n v="20"/>
    <x v="3"/>
    <x v="2"/>
    <x v="0"/>
    <x v="2"/>
    <x v="257"/>
    <n v="3.2"/>
    <n v="54"/>
    <n v="6"/>
    <n v="1"/>
    <s v="Order"/>
    <n v="71.73"/>
    <n v="59.689452998072682"/>
    <n v="22.415624999999999"/>
    <n v="18.652954061897713"/>
    <n v="11.955"/>
    <n v="1.3283333333333334"/>
    <n v="1.875"/>
    <n v="9"/>
    <d v="1899-12-30T00:32:00"/>
    <n v="1.1436994870039499"/>
    <n v="25.030869708994711"/>
    <n v="-2.6152447089947124"/>
    <n v="62.926555555555552"/>
  </r>
  <r>
    <x v="711"/>
    <x v="4"/>
    <x v="1"/>
    <n v="7"/>
    <n v="20"/>
    <x v="4"/>
    <x v="9"/>
    <x v="0"/>
    <x v="2"/>
    <x v="257"/>
    <n v="4.53"/>
    <n v="96"/>
    <n v="12"/>
    <n v="3"/>
    <s v="Order"/>
    <n v="120.34"/>
    <n v="98.934583107684759"/>
    <n v="26.565121412803531"/>
    <n v="21.839863820680961"/>
    <n v="10.028333333333334"/>
    <n v="1.2535416666666668"/>
    <n v="2.6490066225165561"/>
    <n v="8"/>
    <d v="1899-12-30T00:22:39"/>
    <n v="5.3127574502613868"/>
    <n v="25.982298093143498"/>
    <n v="0.58282331966003298"/>
    <n v="64.263666666666666"/>
  </r>
  <r>
    <x v="712"/>
    <x v="4"/>
    <x v="1"/>
    <n v="7"/>
    <n v="20"/>
    <x v="5"/>
    <x v="9"/>
    <x v="0"/>
    <x v="2"/>
    <x v="230"/>
    <n v="4.78"/>
    <n v="101"/>
    <n v="12"/>
    <n v="2"/>
    <s v="Order"/>
    <n v="117.02"/>
    <n v="94.499717644543324"/>
    <n v="24.481171548117153"/>
    <n v="19.769815406808227"/>
    <n v="9.7516666666666669"/>
    <n v="1.1586138613861385"/>
    <n v="2.510460251046025"/>
    <n v="8.4166666666666661"/>
    <d v="1899-12-30T00:23:54"/>
    <n v="1.548708740924333"/>
    <n v="24.268423200414826"/>
    <n v="0.21274834770232687"/>
    <n v="64.551111111111112"/>
  </r>
  <r>
    <x v="713"/>
    <x v="4"/>
    <x v="1"/>
    <n v="7"/>
    <n v="20"/>
    <x v="0"/>
    <x v="2"/>
    <x v="0"/>
    <x v="1"/>
    <x v="146"/>
    <n v="7.08"/>
    <n v="159"/>
    <n v="17"/>
    <n v="1"/>
    <s v="Order"/>
    <n v="151.47"/>
    <n v="116.01727827210287"/>
    <n v="21.39406779661017"/>
    <n v="16.386621224873288"/>
    <n v="8.91"/>
    <n v="0.95264150943396231"/>
    <n v="2.4011299435028248"/>
    <n v="9.3529411764705888"/>
    <d v="1899-12-30T00:24:59"/>
    <n v="-3.2355157718090908"/>
    <n v="26.162300455424486"/>
    <n v="-4.7682326588143162"/>
    <n v="65.52011111111112"/>
  </r>
  <r>
    <x v="714"/>
    <x v="4"/>
    <x v="1"/>
    <n v="7"/>
    <n v="20"/>
    <x v="1"/>
    <x v="10"/>
    <x v="2"/>
    <x v="14"/>
    <x v="258"/>
    <n v="5.53"/>
    <n v="91"/>
    <n v="15"/>
    <n v="2"/>
    <s v="Order"/>
    <n v="134.81"/>
    <n v="114.51944857082617"/>
    <n v="24.377938517179022"/>
    <n v="20.708761043549035"/>
    <n v="8.9873333333333338"/>
    <n v="1.4814285714285715"/>
    <n v="2.7124773960216997"/>
    <n v="6.0666666666666664"/>
    <d v="1899-12-30T00:22:07"/>
    <n v="3.9126312424908143"/>
    <n v="24.377938517179022"/>
    <n v="0"/>
    <n v="67.018000000000015"/>
  </r>
  <r>
    <x v="715"/>
    <x v="4"/>
    <x v="1"/>
    <n v="8"/>
    <n v="21"/>
    <x v="4"/>
    <x v="2"/>
    <x v="0"/>
    <x v="5"/>
    <x v="259"/>
    <n v="5.0999999999999996"/>
    <n v="104"/>
    <n v="9"/>
    <n v="2"/>
    <s v="Order"/>
    <n v="109.16"/>
    <n v="85.970798366658471"/>
    <n v="21.403921568627453"/>
    <n v="16.857019287580094"/>
    <n v="12.128888888888888"/>
    <n v="1.0496153846153846"/>
    <n v="1.7647058823529413"/>
    <n v="11.555555555555555"/>
    <d v="1899-12-30T00:34:00"/>
    <n v="-0.1804897345560299"/>
    <n v="21.403921568627453"/>
    <n v="0"/>
    <n v="67.041777777777796"/>
  </r>
  <r>
    <x v="716"/>
    <x v="4"/>
    <x v="1"/>
    <n v="8"/>
    <n v="21"/>
    <x v="5"/>
    <x v="9"/>
    <x v="3"/>
    <x v="5"/>
    <x v="81"/>
    <n v="5.0199999999999996"/>
    <n v="142"/>
    <n v="8"/>
    <n v="2"/>
    <s v="Hourly"/>
    <n v="85.78"/>
    <n v="54.117820846783701"/>
    <n v="17.08764940239044"/>
    <n v="10.78044239975771"/>
    <n v="10.7225"/>
    <n v="0.60408450704225358"/>
    <n v="1.5936254980079683"/>
    <n v="17.75"/>
    <d v="1899-12-30T00:37:39"/>
    <n v="2.3391113906945336"/>
    <n v="19.565184981657026"/>
    <n v="-2.4775355792665863"/>
    <n v="66.893333333333345"/>
  </r>
  <r>
    <x v="717"/>
    <x v="4"/>
    <x v="1"/>
    <n v="8"/>
    <n v="21"/>
    <x v="6"/>
    <x v="2"/>
    <x v="0"/>
    <x v="5"/>
    <x v="33"/>
    <n v="5.53"/>
    <n v="162"/>
    <n v="7"/>
    <n v="2"/>
    <s v="Order"/>
    <n v="119.87"/>
    <n v="83.748358994218023"/>
    <n v="21.67631103074141"/>
    <n v="15.144368715048467"/>
    <n v="17.124285714285715"/>
    <n v="0.7399382716049383"/>
    <n v="1.2658227848101264"/>
    <n v="23.142857142857142"/>
    <d v="1899-12-30T00:47:24"/>
    <n v="-2.039376509525674"/>
    <n v="19.770465325238188"/>
    <n v="1.9058457055032214"/>
    <n v="65.904555555555561"/>
  </r>
  <r>
    <x v="718"/>
    <x v="4"/>
    <x v="1"/>
    <n v="9"/>
    <n v="22"/>
    <x v="3"/>
    <x v="22"/>
    <x v="0"/>
    <x v="1"/>
    <x v="64"/>
    <n v="5.75"/>
    <n v="143"/>
    <n v="10"/>
    <n v="3"/>
    <s v="Order"/>
    <n v="118.05"/>
    <n v="86.164847754155403"/>
    <n v="20.530434782608694"/>
    <n v="14.985190913766157"/>
    <n v="11.805"/>
    <n v="0.8255244755244755"/>
    <n v="1.7391304347826086"/>
    <n v="14.3"/>
    <d v="1899-12-30T00:34:30"/>
    <n v="-0.82946761400304325"/>
    <n v="18.734097495073303"/>
    <n v="1.7963372875353905"/>
    <n v="64.528555555555556"/>
  </r>
  <r>
    <x v="719"/>
    <x v="4"/>
    <x v="1"/>
    <n v="9"/>
    <n v="22"/>
    <x v="4"/>
    <x v="9"/>
    <x v="0"/>
    <x v="1"/>
    <x v="252"/>
    <n v="5.0199999999999996"/>
    <n v="120"/>
    <n v="7"/>
    <n v="2"/>
    <s v="Order"/>
    <n v="102.93"/>
    <n v="76.173228884605948"/>
    <n v="20.503984063745023"/>
    <n v="15.173949977013137"/>
    <n v="14.704285714285716"/>
    <n v="0.85775000000000001"/>
    <n v="1.3944223107569722"/>
    <n v="17.142857142857142"/>
    <d v="1899-12-30T00:43:02"/>
    <n v="-1.0698101962292839"/>
    <n v="20.188057605643003"/>
    <n v="0.31592645810201958"/>
    <n v="64.23533333333333"/>
  </r>
  <r>
    <x v="720"/>
    <x v="4"/>
    <x v="1"/>
    <n v="9"/>
    <n v="22"/>
    <x v="5"/>
    <x v="14"/>
    <x v="1"/>
    <x v="2"/>
    <x v="64"/>
    <n v="5.77"/>
    <n v="147"/>
    <n v="11"/>
    <n v="2"/>
    <s v="Order"/>
    <n v="134.23000000000002"/>
    <n v="101.45295538364229"/>
    <n v="23.26343154246101"/>
    <n v="17.582834555223968"/>
    <n v="12.202727272727275"/>
    <n v="0.91312925170068038"/>
    <n v="1.906412478336222"/>
    <n v="13.363636363636363"/>
    <d v="1899-12-30T00:31:28"/>
    <n v="4.5485449040423056"/>
    <n v="21.882177824775361"/>
    <n v="1.3812537176856488"/>
    <n v="65.72677777777777"/>
  </r>
  <r>
    <x v="721"/>
    <x v="4"/>
    <x v="1"/>
    <n v="9"/>
    <n v="22"/>
    <x v="6"/>
    <x v="9"/>
    <x v="0"/>
    <x v="1"/>
    <x v="252"/>
    <n v="4.82"/>
    <n v="108"/>
    <n v="7"/>
    <n v="1"/>
    <s v="Order"/>
    <n v="94.79"/>
    <n v="70.708905996145347"/>
    <n v="19.665975103734439"/>
    <n v="14.669897509573723"/>
    <n v="13.541428571428572"/>
    <n v="0.87768518518518523"/>
    <n v="1.4522821576763485"/>
    <n v="15.428571428571429"/>
    <d v="1899-12-30T00:41:19"/>
    <n v="-3.9423768307681364"/>
    <n v="23.93154089725601"/>
    <n v="-4.2655657935215707"/>
    <n v="66.78"/>
  </r>
  <r>
    <x v="722"/>
    <x v="4"/>
    <x v="1"/>
    <n v="9"/>
    <n v="22"/>
    <x v="0"/>
    <x v="1"/>
    <x v="0"/>
    <x v="1"/>
    <x v="176"/>
    <n v="6.73"/>
    <n v="127"/>
    <n v="14"/>
    <n v="2"/>
    <s v="Order"/>
    <n v="144.34"/>
    <n v="116.02241723620796"/>
    <n v="21.447251114413074"/>
    <n v="17.239586513552446"/>
    <n v="10.31"/>
    <n v="1.1365354330708661"/>
    <n v="2.0802377414561661"/>
    <n v="9.0714285714285712"/>
    <d v="1899-12-30T00:28:51"/>
    <n v="-3.0025815777945688"/>
    <n v="22.313396922264502"/>
    <n v="-0.86614580785142792"/>
    <n v="66.789333333333332"/>
  </r>
  <r>
    <x v="723"/>
    <x v="4"/>
    <x v="1"/>
    <n v="9"/>
    <n v="22"/>
    <x v="2"/>
    <x v="1"/>
    <x v="0"/>
    <x v="1"/>
    <x v="257"/>
    <n v="3.6"/>
    <n v="64"/>
    <n v="9"/>
    <n v="3"/>
    <s v="Hourly"/>
    <n v="67.169999999999987"/>
    <n v="52.899722071789824"/>
    <n v="18.658333333333328"/>
    <n v="14.694367242163839"/>
    <n v="7.463333333333332"/>
    <n v="1.0495312499999998"/>
    <n v="2.5"/>
    <n v="7.1111111111111107"/>
    <d v="1899-12-30T00:24:00"/>
    <n v="-3.8976225219422744"/>
    <n v="18.334880952380949"/>
    <n v="0.3234523809523786"/>
    <n v="65.937111111111122"/>
  </r>
  <r>
    <x v="724"/>
    <x v="4"/>
    <x v="1"/>
    <n v="10"/>
    <n v="23"/>
    <x v="3"/>
    <x v="1"/>
    <x v="0"/>
    <x v="1"/>
    <x v="254"/>
    <n v="4.03"/>
    <n v="101"/>
    <n v="7"/>
    <n v="1"/>
    <s v="Hourly"/>
    <n v="101.22"/>
    <n v="78.699717644543341"/>
    <n v="25.116625310173696"/>
    <n v="19.528465916760133"/>
    <n v="14.459999999999999"/>
    <n v="1.0021782178217822"/>
    <n v="1.7369727047146402"/>
    <n v="14.428571428571429"/>
    <d v="1899-12-30T00:34:33"/>
    <n v="3.8159706002764651"/>
    <n v="22.182309988289532"/>
    <n v="2.9343153218841636"/>
    <n v="66.070111111111132"/>
  </r>
  <r>
    <x v="725"/>
    <x v="4"/>
    <x v="1"/>
    <n v="10"/>
    <n v="23"/>
    <x v="4"/>
    <x v="9"/>
    <x v="0"/>
    <x v="12"/>
    <x v="176"/>
    <n v="4.47"/>
    <n v="110"/>
    <n v="7"/>
    <n v="2"/>
    <s v="Hourly"/>
    <n v="114.21000000000001"/>
    <n v="89.682959810888789"/>
    <n v="25.550335570469802"/>
    <n v="20.063301971116061"/>
    <n v="16.315714285714286"/>
    <n v="1.0382727272727272"/>
    <n v="1.5659955257270695"/>
    <n v="15.714285714285714"/>
    <d v="1899-12-30T00:38:19"/>
    <n v="4.0359752102860114"/>
    <n v="25.132141780506764"/>
    <n v="0.41819378996303769"/>
    <n v="67.339111111111123"/>
  </r>
  <r>
    <x v="726"/>
    <x v="4"/>
    <x v="1"/>
    <n v="10"/>
    <n v="23"/>
    <x v="5"/>
    <x v="1"/>
    <x v="2"/>
    <x v="12"/>
    <x v="250"/>
    <n v="4.83"/>
    <n v="76"/>
    <n v="12"/>
    <n v="2"/>
    <s v="Order"/>
    <n v="109.59"/>
    <n v="92.644044960250426"/>
    <n v="22.689440993788821"/>
    <n v="19.180961689492843"/>
    <n v="9.1325000000000003"/>
    <n v="1.4419736842105264"/>
    <n v="2.4844720496894408"/>
    <n v="6.333333333333333"/>
    <d v="1899-12-30T00:24:09"/>
    <n v="4.2381983772221972"/>
    <n v="18.692679503627101"/>
    <n v="3.9967614901617203"/>
    <n v="68.556777777777796"/>
  </r>
  <r>
    <x v="727"/>
    <x v="4"/>
    <x v="1"/>
    <n v="10"/>
    <n v="23"/>
    <x v="0"/>
    <x v="1"/>
    <x v="2"/>
    <x v="14"/>
    <x v="146"/>
    <n v="4.97"/>
    <n v="74"/>
    <n v="14"/>
    <n v="2"/>
    <s v="Order"/>
    <n v="90.32"/>
    <n v="73.819991145506989"/>
    <n v="18.173038229376257"/>
    <n v="14.853116930685511"/>
    <n v="6.4514285714285711"/>
    <n v="1.2205405405405405"/>
    <n v="2.8169014084507045"/>
    <n v="5.2857142857142856"/>
    <d v="1899-12-30T00:21:18"/>
    <n v="-0.24384759577056059"/>
    <n v="20.101809097414456"/>
    <n v="-1.9287708680381996"/>
    <n v="67.918333333333337"/>
  </r>
  <r>
    <x v="728"/>
    <x v="4"/>
    <x v="1"/>
    <n v="10"/>
    <n v="23"/>
    <x v="1"/>
    <x v="6"/>
    <x v="0"/>
    <x v="2"/>
    <x v="146"/>
    <n v="5.97"/>
    <n v="146"/>
    <n v="13"/>
    <n v="2"/>
    <s v="Order"/>
    <n v="137.93"/>
    <n v="105.37592847627056"/>
    <n v="23.103852596314908"/>
    <n v="17.650909292507631"/>
    <n v="10.610000000000001"/>
    <n v="0.9447260273972603"/>
    <n v="2.1775544388609718"/>
    <n v="11.23076923076923"/>
    <d v="1899-12-30T00:27:33"/>
    <n v="-2.2305462829158778"/>
    <n v="20.809749427409155"/>
    <n v="2.2941031689057532"/>
    <n v="69.299111111111117"/>
  </r>
  <r>
    <x v="729"/>
    <x v="4"/>
    <x v="1"/>
    <n v="11"/>
    <n v="24"/>
    <x v="3"/>
    <x v="9"/>
    <x v="2"/>
    <x v="5"/>
    <x v="254"/>
    <n v="5.8"/>
    <n v="92"/>
    <n v="15"/>
    <n v="1"/>
    <s v="Order"/>
    <n v="122.51"/>
    <n v="101.99647547819789"/>
    <n v="21.122413793103451"/>
    <n v="17.585599220378949"/>
    <n v="8.1673333333333336"/>
    <n v="1.3316304347826087"/>
    <n v="2.5862068965517242"/>
    <n v="6.1333333333333337"/>
    <d v="1899-12-30T00:23:12"/>
    <n v="8.5752835502778453"/>
    <n v="18.7884790163058"/>
    <n v="2.3339347767976513"/>
    <n v="69.488000000000014"/>
  </r>
  <r>
    <x v="730"/>
    <x v="4"/>
    <x v="1"/>
    <n v="11"/>
    <n v="24"/>
    <x v="4"/>
    <x v="1"/>
    <x v="0"/>
    <x v="11"/>
    <x v="257"/>
    <n v="3.67"/>
    <n v="80"/>
    <n v="8"/>
    <n v="2"/>
    <s v="Order"/>
    <n v="93.06"/>
    <n v="75.222152589737291"/>
    <n v="25.356948228882835"/>
    <n v="20.496499343252669"/>
    <n v="11.6325"/>
    <n v="1.1632500000000001"/>
    <n v="2.1798365122615806"/>
    <n v="10"/>
    <d v="1899-12-30T00:27:32"/>
    <n v="3.6301681207892535"/>
    <n v="22.483161614441418"/>
    <n v="2.8737866144414177"/>
    <n v="69.914000000000016"/>
  </r>
  <r>
    <x v="731"/>
    <x v="4"/>
    <x v="1"/>
    <n v="11"/>
    <n v="24"/>
    <x v="6"/>
    <x v="1"/>
    <x v="0"/>
    <x v="2"/>
    <x v="252"/>
    <n v="6.82"/>
    <n v="167"/>
    <n v="12"/>
    <n v="2"/>
    <s v="Hourly"/>
    <n v="160.48000000000002"/>
    <n v="123.24349353107661"/>
    <n v="23.530791788856305"/>
    <n v="18.070893479630001"/>
    <n v="13.373333333333335"/>
    <n v="0.96095808383233539"/>
    <n v="1.7595307917888563"/>
    <n v="13.916666666666666"/>
    <d v="1899-12-30T00:34:06"/>
    <n v="0.11955869589213464"/>
    <n v="20.552091321007818"/>
    <n v="2.978700467848487"/>
    <n v="70.495777777777803"/>
  </r>
  <r>
    <x v="732"/>
    <x v="4"/>
    <x v="1"/>
    <n v="11"/>
    <n v="24"/>
    <x v="0"/>
    <x v="1"/>
    <x v="2"/>
    <x v="2"/>
    <x v="146"/>
    <n v="3.93"/>
    <n v="64"/>
    <n v="6"/>
    <n v="2"/>
    <s v="Hourly"/>
    <n v="108.13000000000001"/>
    <n v="93.859722071789847"/>
    <n v="27.513994910941477"/>
    <n v="23.88288093429767"/>
    <n v="18.021666666666668"/>
    <n v="1.6895312500000002"/>
    <n v="1.5267175572519083"/>
    <n v="10.666666666666666"/>
    <d v="1899-12-30T00:39:18"/>
    <n v="9.1458786049487699"/>
    <n v="23.104506448136657"/>
    <n v="4.4094884628048199"/>
    <n v="71.697222222222251"/>
  </r>
  <r>
    <x v="733"/>
    <x v="4"/>
    <x v="1"/>
    <n v="12"/>
    <n v="25"/>
    <x v="3"/>
    <x v="2"/>
    <x v="0"/>
    <x v="12"/>
    <x v="230"/>
    <n v="5.23"/>
    <n v="131"/>
    <n v="9"/>
    <n v="3"/>
    <s v="Order"/>
    <n v="118.6"/>
    <n v="89.390524865694815"/>
    <n v="22.676864244741871"/>
    <n v="17.091878559406272"/>
    <n v="13.177777777777777"/>
    <n v="0.90534351145038161"/>
    <n v="1.7208413001912044"/>
    <n v="14.555555555555555"/>
    <d v="1899-12-30T00:34:52"/>
    <n v="1.1218114948262112"/>
    <n v="19.273030658110066"/>
    <n v="3.403833586631805"/>
    <n v="68.13822222222224"/>
  </r>
  <r>
    <x v="734"/>
    <x v="4"/>
    <x v="1"/>
    <n v="12"/>
    <n v="25"/>
    <x v="6"/>
    <x v="1"/>
    <x v="3"/>
    <x v="12"/>
    <x v="252"/>
    <n v="3.12"/>
    <n v="86"/>
    <n v="5"/>
    <n v="2"/>
    <s v="Order"/>
    <n v="42.34"/>
    <n v="23.164314033967596"/>
    <n v="13.570512820512821"/>
    <n v="7.4244596262716653"/>
    <n v="8.468"/>
    <n v="0.49232558139534888"/>
    <n v="1.6025641025641024"/>
    <n v="17.2"/>
    <d v="1899-12-30T00:37:26"/>
    <n v="-3.9953717948717937"/>
    <n v="19.1731951408422"/>
    <n v="-5.6026823203293787"/>
    <n v="65.883555555555574"/>
  </r>
  <r>
    <x v="735"/>
    <x v="4"/>
    <x v="1"/>
    <n v="12"/>
    <n v="25"/>
    <x v="1"/>
    <x v="7"/>
    <x v="0"/>
    <x v="2"/>
    <x v="253"/>
    <n v="7.63"/>
    <n v="174"/>
    <n v="13"/>
    <n v="2"/>
    <s v="Order"/>
    <n v="185.62"/>
    <n v="146.82268188267861"/>
    <n v="24.327653997378768"/>
    <n v="19.242815449892348"/>
    <n v="14.278461538461539"/>
    <n v="1.0667816091954023"/>
    <n v="1.7038007863695936"/>
    <n v="13.384615384615385"/>
    <d v="1899-12-30T00:35:13"/>
    <n v="-0.87553627697461067"/>
    <n v="22.879063937501609"/>
    <n v="1.4485900598771586"/>
    <n v="66.311666666666682"/>
  </r>
  <r>
    <x v="736"/>
    <x v="4"/>
    <x v="1"/>
    <n v="12"/>
    <n v="25"/>
    <x v="2"/>
    <x v="22"/>
    <x v="0"/>
    <x v="5"/>
    <x v="137"/>
    <n v="5.0199999999999996"/>
    <n v="148"/>
    <n v="9"/>
    <n v="2"/>
    <s v="Order"/>
    <n v="85.88"/>
    <n v="52.879982291013988"/>
    <n v="17.107569721115539"/>
    <n v="10.533861014146213"/>
    <n v="9.5422222222222217"/>
    <n v="0.58027027027027023"/>
    <n v="1.7928286852589643"/>
    <n v="16.444444444444443"/>
    <d v="1899-12-30T00:33:28"/>
    <n v="-4.8915829167397398"/>
    <n v="24.167933971299817"/>
    <n v="-7.0603642501842785"/>
    <n v="66.059888888888906"/>
  </r>
  <r>
    <x v="737"/>
    <x v="4"/>
    <x v="1"/>
    <n v="13"/>
    <n v="26"/>
    <x v="3"/>
    <x v="13"/>
    <x v="0"/>
    <x v="2"/>
    <x v="253"/>
    <n v="4.63"/>
    <n v="129"/>
    <n v="7"/>
    <n v="2"/>
    <s v="Order"/>
    <n v="77.539999999999992"/>
    <n v="48.776471050951379"/>
    <n v="16.747300215982719"/>
    <n v="10.534874957008938"/>
    <n v="11.077142857142857"/>
    <n v="0.60108527131782941"/>
    <n v="1.5118790496760259"/>
    <n v="18.428571428571427"/>
    <d v="1899-12-30T00:39:41"/>
    <n v="-4.877865752359579"/>
    <n v="16.747300215982719"/>
    <n v="0"/>
    <n v="66.351222222222248"/>
  </r>
  <r>
    <x v="738"/>
    <x v="4"/>
    <x v="1"/>
    <n v="13"/>
    <n v="26"/>
    <x v="4"/>
    <x v="10"/>
    <x v="1"/>
    <x v="2"/>
    <x v="251"/>
    <n v="5.53"/>
    <n v="147"/>
    <n v="9"/>
    <n v="1"/>
    <s v="Hourly"/>
    <n v="132"/>
    <n v="99.222955383642272"/>
    <n v="23.869801084990957"/>
    <n v="17.942668242973287"/>
    <n v="14.666666666666666"/>
    <n v="0.89795918367346939"/>
    <n v="1.6274864376130198"/>
    <n v="16.333333333333332"/>
    <d v="1899-12-30T00:36:52"/>
    <n v="3.757200548797929"/>
    <n v="20.492635020175374"/>
    <n v="3.377166064815583"/>
    <n v="67.817888888888916"/>
  </r>
  <r>
    <x v="739"/>
    <x v="4"/>
    <x v="1"/>
    <n v="13"/>
    <n v="26"/>
    <x v="5"/>
    <x v="8"/>
    <x v="2"/>
    <x v="2"/>
    <x v="279"/>
    <n v="3.52"/>
    <n v="75"/>
    <n v="9"/>
    <n v="2"/>
    <s v="Hourly"/>
    <n v="76.5"/>
    <n v="59.777018052878717"/>
    <n v="21.732954545454547"/>
    <n v="16.982107401385999"/>
    <n v="8.5"/>
    <n v="1.02"/>
    <n v="2.5568181818181817"/>
    <n v="8.3333333333333339"/>
    <d v="1899-12-30T00:23:28"/>
    <n v="2.4340722534434818"/>
    <n v="14.873473218905231"/>
    <n v="6.8594813265493162"/>
    <n v="68.667888888888911"/>
  </r>
  <r>
    <x v="740"/>
    <x v="4"/>
    <x v="1"/>
    <n v="13"/>
    <n v="26"/>
    <x v="0"/>
    <x v="9"/>
    <x v="1"/>
    <x v="1"/>
    <x v="230"/>
    <n v="9.07"/>
    <n v="196"/>
    <n v="17"/>
    <n v="2"/>
    <s v="Hourly"/>
    <n v="216.81"/>
    <n v="173.10727384485637"/>
    <n v="23.904079382579933"/>
    <n v="19.085697226555276"/>
    <n v="12.753529411764706"/>
    <n v="1.1061734693877552"/>
    <n v="1.8743109151047408"/>
    <n v="11.529411764705882"/>
    <d v="1899-12-30T00:32:01"/>
    <n v="1.6672596251462259"/>
    <n v="26.982702895536416"/>
    <n v="-3.078623512956483"/>
    <n v="70.315888888888921"/>
  </r>
  <r>
    <x v="741"/>
    <x v="4"/>
    <x v="1"/>
    <n v="13"/>
    <n v="26"/>
    <x v="1"/>
    <x v="9"/>
    <x v="1"/>
    <x v="11"/>
    <x v="257"/>
    <n v="1.28"/>
    <n v="36"/>
    <n v="2"/>
    <n v="1"/>
    <s v="Hourly"/>
    <n v="25.87"/>
    <n v="17.842968665381783"/>
    <n v="20.2109375"/>
    <n v="13.939819269829517"/>
    <n v="12.935"/>
    <n v="0.71861111111111109"/>
    <n v="1.5625"/>
    <n v="18"/>
    <d v="1899-12-30T00:38:24"/>
    <n v="-0.49335370265426093"/>
    <n v="20.115540994623654"/>
    <n v="9.5396505376346141E-2"/>
    <n v="68.895777777777809"/>
  </r>
  <r>
    <x v="742"/>
    <x v="4"/>
    <x v="1"/>
    <n v="13"/>
    <n v="26"/>
    <x v="2"/>
    <x v="20"/>
    <x v="0"/>
    <x v="5"/>
    <x v="250"/>
    <n v="3.68"/>
    <n v="89"/>
    <n v="7"/>
    <n v="3"/>
    <s v="Order"/>
    <n v="79.17"/>
    <n v="59.325394756082744"/>
    <n v="21.513586956521738"/>
    <n v="16.121031183718138"/>
    <n v="11.31"/>
    <n v="0.88955056179775283"/>
    <n v="1.9021739130434783"/>
    <n v="12.714285714285714"/>
    <d v="1899-12-30T00:31:33"/>
    <n v="0.12588218325892697"/>
    <n v="18.887056636155606"/>
    <n v="2.6265303203661325"/>
    <n v="69.775444444444474"/>
  </r>
  <r>
    <x v="743"/>
    <x v="4"/>
    <x v="2"/>
    <n v="1"/>
    <n v="27"/>
    <x v="3"/>
    <x v="9"/>
    <x v="1"/>
    <x v="2"/>
    <x v="252"/>
    <n v="4.72"/>
    <n v="108"/>
    <n v="11"/>
    <n v="3"/>
    <s v="Hourly"/>
    <n v="172.47"/>
    <n v="148.38890599614535"/>
    <n v="36.540254237288138"/>
    <n v="31.43832754155622"/>
    <n v="15.67909090909091"/>
    <n v="1.5969444444444445"/>
    <n v="2.3305084745762712"/>
    <n v="9.8181818181818183"/>
    <d v="1899-12-30T00:25:45"/>
    <n v="14.017613597627687"/>
    <n v="29.873712776014589"/>
    <n v="6.6665414612735496"/>
    <n v="71.691777777777816"/>
  </r>
  <r>
    <x v="744"/>
    <x v="4"/>
    <x v="2"/>
    <n v="1"/>
    <n v="27"/>
    <x v="4"/>
    <x v="9"/>
    <x v="0"/>
    <x v="1"/>
    <x v="253"/>
    <n v="5.13"/>
    <n v="150"/>
    <n v="8"/>
    <n v="3"/>
    <s v="Hourly"/>
    <n v="98.33"/>
    <n v="64.884036105757417"/>
    <n v="19.167641325536064"/>
    <n v="12.64796025453361"/>
    <n v="12.29125"/>
    <n v="0.6555333333333333"/>
    <n v="1.5594541910331385"/>
    <n v="18.75"/>
    <d v="1899-12-30T00:38:29"/>
    <n v="-3.615757243521486"/>
    <n v="20.191072811871479"/>
    <n v="-1.023431486335415"/>
    <n v="72.784333333333365"/>
  </r>
  <r>
    <x v="745"/>
    <x v="4"/>
    <x v="2"/>
    <n v="1"/>
    <n v="27"/>
    <x v="5"/>
    <x v="14"/>
    <x v="0"/>
    <x v="2"/>
    <x v="249"/>
    <n v="2.98"/>
    <n v="61"/>
    <n v="9"/>
    <n v="3"/>
    <s v="Order"/>
    <n v="99.11"/>
    <n v="85.50864134967469"/>
    <n v="33.258389261744966"/>
    <n v="28.694174949555265"/>
    <n v="11.012222222222222"/>
    <n v="1.6247540983606557"/>
    <n v="3.0201342281879193"/>
    <n v="6.7777777777777777"/>
    <d v="1899-12-30T00:19:52"/>
    <n v="10.823366906097743"/>
    <n v="28.967873876155501"/>
    <n v="4.2905153855894653"/>
    <n v="73.885555555555584"/>
  </r>
  <r>
    <x v="746"/>
    <x v="4"/>
    <x v="2"/>
    <n v="1"/>
    <n v="27"/>
    <x v="6"/>
    <x v="18"/>
    <x v="2"/>
    <x v="2"/>
    <x v="176"/>
    <n v="2.17"/>
    <n v="57"/>
    <n v="3"/>
    <n v="2"/>
    <s v="Hourly"/>
    <n v="50.33"/>
    <n v="37.620533720187822"/>
    <n v="23.193548387096776"/>
    <n v="17.336651483957521"/>
    <n v="16.776666666666667"/>
    <n v="0.88298245614035087"/>
    <n v="1.3824884792626728"/>
    <n v="19"/>
    <d v="1899-12-30T00:43:24"/>
    <n v="3.768768187073622"/>
    <n v="25.47052001294638"/>
    <n v="-2.2769716258496047"/>
    <n v="74.444777777777801"/>
  </r>
  <r>
    <x v="747"/>
    <x v="4"/>
    <x v="2"/>
    <n v="2"/>
    <n v="28"/>
    <x v="3"/>
    <x v="17"/>
    <x v="1"/>
    <x v="1"/>
    <x v="137"/>
    <n v="4.93"/>
    <n v="84"/>
    <n v="10"/>
    <n v="2"/>
    <s v="Order"/>
    <n v="126.22"/>
    <n v="107.49026021922415"/>
    <n v="25.60243407707911"/>
    <n v="21.803298218909568"/>
    <n v="12.622"/>
    <n v="1.5026190476190475"/>
    <n v="2.028397565922921"/>
    <n v="8.4"/>
    <d v="1899-12-30T00:29:35"/>
    <n v="2.2036925875669269"/>
    <n v="25.60243407707911"/>
    <n v="0"/>
    <n v="73.098000000000027"/>
  </r>
  <r>
    <x v="748"/>
    <x v="4"/>
    <x v="2"/>
    <n v="3"/>
    <n v="29"/>
    <x v="0"/>
    <x v="9"/>
    <x v="1"/>
    <x v="2"/>
    <x v="46"/>
    <n v="5.37"/>
    <n v="131"/>
    <n v="10"/>
    <n v="2"/>
    <s v="Order"/>
    <n v="114.08"/>
    <n v="84.870524865694819"/>
    <n v="21.243947858472996"/>
    <n v="15.80456701409587"/>
    <n v="11.407999999999999"/>
    <n v="0.87083969465648858"/>
    <n v="1.8621973929236499"/>
    <n v="13.1"/>
    <d v="1899-12-30T00:32:13"/>
    <n v="-1.6782334296833632"/>
    <n v="19.277372919603788"/>
    <n v="1.9665749388692078"/>
    <n v="68.732222222222234"/>
  </r>
  <r>
    <x v="749"/>
    <x v="4"/>
    <x v="2"/>
    <n v="3"/>
    <n v="29"/>
    <x v="1"/>
    <x v="14"/>
    <x v="2"/>
    <x v="2"/>
    <x v="250"/>
    <n v="8.2200000000000006"/>
    <n v="198"/>
    <n v="9"/>
    <n v="3"/>
    <s v="Order"/>
    <n v="154.04"/>
    <n v="109.8913276595998"/>
    <n v="18.739659367396591"/>
    <n v="13.36877465445253"/>
    <n v="17.115555555555556"/>
    <n v="0.77797979797979799"/>
    <n v="1.0948905109489051"/>
    <n v="22"/>
    <d v="1899-12-30T00:54:48"/>
    <n v="-2.4646891694910629"/>
    <n v="20.038561698743642"/>
    <n v="-1.2989023313470511"/>
    <n v="70.443777777777782"/>
  </r>
  <r>
    <x v="750"/>
    <x v="4"/>
    <x v="2"/>
    <n v="4"/>
    <n v="30"/>
    <x v="4"/>
    <x v="14"/>
    <x v="0"/>
    <x v="1"/>
    <x v="252"/>
    <n v="5"/>
    <n v="96"/>
    <n v="9"/>
    <n v="2"/>
    <s v="Order"/>
    <n v="95.64"/>
    <n v="74.234583107684756"/>
    <n v="19.128"/>
    <n v="14.846916621536952"/>
    <n v="10.626666666666667"/>
    <n v="0.99624999999999997"/>
    <n v="1.8"/>
    <n v="10.666666666666666"/>
    <d v="1899-12-30T00:33:20"/>
    <n v="-3.3266933651010504"/>
    <n v="19.176198587306246"/>
    <n v="-4.8198587306245599E-2"/>
    <n v="68.033444444444456"/>
  </r>
  <r>
    <x v="751"/>
    <x v="4"/>
    <x v="2"/>
    <n v="4"/>
    <n v="30"/>
    <x v="6"/>
    <x v="1"/>
    <x v="1"/>
    <x v="2"/>
    <x v="124"/>
    <n v="9.92"/>
    <n v="256"/>
    <n v="21"/>
    <n v="2"/>
    <s v="Hourly"/>
    <n v="215.68"/>
    <n v="158.59888828715935"/>
    <n v="21.741935483870968"/>
    <n v="15.987791157979773"/>
    <n v="10.270476190476192"/>
    <n v="0.84250000000000003"/>
    <n v="2.116935483870968"/>
    <n v="12.19047619047619"/>
    <d v="1899-12-30T00:28:21"/>
    <n v="-0.25104398959602392"/>
    <n v="20.938868976503386"/>
    <n v="0.80306650736758201"/>
    <n v="69.65066666666668"/>
  </r>
  <r>
    <x v="752"/>
    <x v="4"/>
    <x v="2"/>
    <n v="5"/>
    <n v="31"/>
    <x v="3"/>
    <x v="17"/>
    <x v="1"/>
    <x v="1"/>
    <x v="249"/>
    <n v="6.18"/>
    <n v="119"/>
    <n v="13"/>
    <n v="2"/>
    <s v="Order"/>
    <n v="115.44"/>
    <n v="88.906201977234218"/>
    <n v="18.679611650485437"/>
    <n v="14.386116824795181"/>
    <n v="8.879999999999999"/>
    <n v="0.97008403361344531"/>
    <n v="2.1035598705501619"/>
    <n v="9.1538461538461533"/>
    <d v="1899-12-30T00:28:31"/>
    <n v="-4.8487588147659757"/>
    <n v="21.130380645893315"/>
    <n v="-2.4507689954078771"/>
    <n v="66.071000000000012"/>
  </r>
  <r>
    <x v="753"/>
    <x v="4"/>
    <x v="2"/>
    <n v="5"/>
    <n v="31"/>
    <x v="5"/>
    <x v="1"/>
    <x v="0"/>
    <x v="1"/>
    <x v="249"/>
    <n v="5.42"/>
    <n v="134"/>
    <n v="10"/>
    <n v="3"/>
    <s v="Order"/>
    <n v="111.37"/>
    <n v="81.491605587809971"/>
    <n v="20.547970479704798"/>
    <n v="15.035351584466785"/>
    <n v="11.137"/>
    <n v="0.8311194029850747"/>
    <n v="1.8450184501845019"/>
    <n v="13.4"/>
    <d v="1899-12-30T00:32:31"/>
    <n v="-2.8709943219513079"/>
    <n v="17.567500598214174"/>
    <n v="2.9804698814906239"/>
    <n v="65.157000000000011"/>
  </r>
  <r>
    <x v="754"/>
    <x v="4"/>
    <x v="2"/>
    <n v="5"/>
    <n v="31"/>
    <x v="6"/>
    <x v="1"/>
    <x v="2"/>
    <x v="14"/>
    <x v="247"/>
    <n v="5.97"/>
    <n v="142"/>
    <n v="12"/>
    <n v="3"/>
    <s v="Order"/>
    <n v="114.44"/>
    <n v="82.777820846783698"/>
    <n v="19.169179229480736"/>
    <n v="13.865631632627085"/>
    <n v="9.5366666666666671"/>
    <n v="0.80591549295774645"/>
    <n v="2.0100502512562817"/>
    <n v="11.833333333333334"/>
    <d v="1899-12-30T00:29:51"/>
    <n v="-0.7939964258386496"/>
    <n v="18.58249317868167"/>
    <n v="0.58668605079906655"/>
    <n v="66.428555555555562"/>
  </r>
  <r>
    <x v="755"/>
    <x v="4"/>
    <x v="2"/>
    <n v="5"/>
    <n v="31"/>
    <x v="0"/>
    <x v="1"/>
    <x v="0"/>
    <x v="1"/>
    <x v="252"/>
    <n v="6.45"/>
    <n v="153"/>
    <n v="13"/>
    <n v="4"/>
    <s v="Order"/>
    <n v="152.66"/>
    <n v="118.54511682787256"/>
    <n v="23.668217054263565"/>
    <n v="18.379087880290321"/>
    <n v="11.743076923076924"/>
    <n v="0.99777777777777776"/>
    <n v="2.0155038759689923"/>
    <n v="11.76923076923077"/>
    <d v="1899-12-30T00:29:46"/>
    <n v="1.3546363345778509"/>
    <n v="23.668217054263565"/>
    <n v="0"/>
    <n v="67.287444444444446"/>
  </r>
  <r>
    <x v="756"/>
    <x v="4"/>
    <x v="2"/>
    <n v="6"/>
    <n v="32"/>
    <x v="3"/>
    <x v="2"/>
    <x v="0"/>
    <x v="1"/>
    <x v="253"/>
    <n v="5.85"/>
    <n v="138"/>
    <n v="11"/>
    <n v="2"/>
    <s v="Order"/>
    <n v="141.94"/>
    <n v="111.16971321729683"/>
    <n v="24.263247863247866"/>
    <n v="19.003369780734502"/>
    <n v="12.903636363636364"/>
    <n v="1.028550724637681"/>
    <n v="1.8803418803418805"/>
    <n v="12.545454545454545"/>
    <d v="1899-12-30T00:31:55"/>
    <n v="2.5053034543427835"/>
    <n v="21.616253226379811"/>
    <n v="2.6469946368680546"/>
    <n v="65.432666666666648"/>
  </r>
  <r>
    <x v="757"/>
    <x v="4"/>
    <x v="2"/>
    <n v="6"/>
    <n v="32"/>
    <x v="5"/>
    <x v="9"/>
    <x v="2"/>
    <x v="2"/>
    <x v="252"/>
    <n v="4.3"/>
    <n v="88"/>
    <n v="6"/>
    <n v="3"/>
    <s v="Order"/>
    <n v="71.12"/>
    <n v="51.498367848711027"/>
    <n v="16.539534883720933"/>
    <n v="11.976364615979309"/>
    <n v="11.853333333333333"/>
    <n v="0.80818181818181822"/>
    <n v="1.3953488372093024"/>
    <n v="14.666666666666666"/>
    <d v="1899-12-30T00:43:00"/>
    <n v="-0.24607278591820503"/>
    <n v="15.763025868826759"/>
    <n v="0.77650901489417379"/>
    <n v="63.388555555555548"/>
  </r>
  <r>
    <x v="758"/>
    <x v="4"/>
    <x v="2"/>
    <n v="6"/>
    <n v="32"/>
    <x v="0"/>
    <x v="8"/>
    <x v="0"/>
    <x v="12"/>
    <x v="252"/>
    <n v="3.18"/>
    <n v="45.8"/>
    <n v="6"/>
    <n v="2"/>
    <s v="Order"/>
    <n v="52.25"/>
    <n v="42.037832357624602"/>
    <n v="16.430817610062892"/>
    <n v="13.219444137617799"/>
    <n v="8.7083333333333339"/>
    <n v="1.1408296943231442"/>
    <n v="1.8867924528301885"/>
    <n v="7.6333333333333329"/>
    <d v="1899-12-30T00:31:48"/>
    <n v="-5.9956494708376411"/>
    <n v="17.967106899099438"/>
    <n v="-1.5362892890365458"/>
    <n v="62.901555555555539"/>
  </r>
  <r>
    <x v="759"/>
    <x v="4"/>
    <x v="2"/>
    <n v="6"/>
    <n v="32"/>
    <x v="1"/>
    <x v="10"/>
    <x v="0"/>
    <x v="2"/>
    <x v="250"/>
    <n v="6.57"/>
    <n v="128"/>
    <n v="13"/>
    <n v="3"/>
    <s v="Hourly"/>
    <n v="135.98000000000002"/>
    <n v="107.43944414357969"/>
    <n v="20.697108066971083"/>
    <n v="16.353035638292191"/>
    <n v="10.46"/>
    <n v="1.0623437500000001"/>
    <n v="1.9786910197869101"/>
    <n v="9.8461538461538467"/>
    <d v="1899-12-30T00:30:19"/>
    <n v="1.5048789158020242"/>
    <n v="19.537625371175935"/>
    <n v="1.1594826957951483"/>
    <n v="63.006333333333309"/>
  </r>
  <r>
    <x v="760"/>
    <x v="4"/>
    <x v="2"/>
    <n v="6"/>
    <n v="32"/>
    <x v="2"/>
    <x v="10"/>
    <x v="2"/>
    <x v="2"/>
    <x v="249"/>
    <n v="6.22"/>
    <n v="112"/>
    <n v="11"/>
    <n v="3"/>
    <s v="Order"/>
    <n v="141.4"/>
    <n v="116.42701362563221"/>
    <n v="22.733118971061096"/>
    <n v="18.718169393188461"/>
    <n v="12.854545454545455"/>
    <n v="1.2625"/>
    <n v="1.7684887459807075"/>
    <n v="10.181818181818182"/>
    <d v="1899-12-30T00:33:56"/>
    <n v="3.7379112250644262"/>
    <n v="22.915748241573912"/>
    <n v="-0.18262927051281608"/>
    <n v="63.78044444444442"/>
  </r>
  <r>
    <x v="761"/>
    <x v="4"/>
    <x v="2"/>
    <n v="7"/>
    <n v="33"/>
    <x v="3"/>
    <x v="1"/>
    <x v="2"/>
    <x v="2"/>
    <x v="275"/>
    <n v="5.08"/>
    <n v="96"/>
    <n v="10"/>
    <n v="3"/>
    <s v="Order"/>
    <n v="83.75"/>
    <n v="62.344583107684755"/>
    <n v="16.486220472440944"/>
    <n v="12.272555729859203"/>
    <n v="8.375"/>
    <n v="0.87239583333333337"/>
    <n v="1.9685039370078741"/>
    <n v="9.6"/>
    <d v="1899-12-30T00:30:29"/>
    <n v="5.0486081738725375E-3"/>
    <n v="15.658282216918668"/>
    <n v="0.82793825552227673"/>
    <n v="63.373888888888864"/>
  </r>
  <r>
    <x v="762"/>
    <x v="4"/>
    <x v="2"/>
    <n v="7"/>
    <n v="33"/>
    <x v="4"/>
    <x v="2"/>
    <x v="2"/>
    <x v="2"/>
    <x v="280"/>
    <n v="5.85"/>
    <n v="140"/>
    <n v="8"/>
    <n v="2"/>
    <s v="Order"/>
    <n v="96.26"/>
    <n v="65.043767032040265"/>
    <n v="16.454700854700857"/>
    <n v="11.118592655049618"/>
    <n v="12.032500000000001"/>
    <n v="0.68757142857142861"/>
    <n v="1.3675213675213675"/>
    <n v="17.5"/>
    <d v="1899-12-30T00:43:53"/>
    <n v="2.0110967306419685"/>
    <n v="17.127735570511192"/>
    <n v="-0.67303471581033492"/>
    <n v="63.143222222222214"/>
  </r>
  <r>
    <x v="763"/>
    <x v="4"/>
    <x v="2"/>
    <n v="7"/>
    <n v="33"/>
    <x v="5"/>
    <x v="8"/>
    <x v="0"/>
    <x v="1"/>
    <x v="251"/>
    <n v="3.13"/>
    <n v="54"/>
    <n v="6"/>
    <n v="2"/>
    <s v="Order"/>
    <n v="65.989999999999995"/>
    <n v="53.949452998072672"/>
    <n v="21.083067092651756"/>
    <n v="17.236246964240472"/>
    <n v="10.998333333333333"/>
    <n v="1.222037037037037"/>
    <n v="1.9169329073482428"/>
    <n v="9"/>
    <d v="1899-12-30T00:31:18"/>
    <n v="-2.0966481821750769"/>
    <n v="21.900354654253771"/>
    <n v="-0.81728756160201499"/>
    <n v="63.876444444444438"/>
  </r>
  <r>
    <x v="764"/>
    <x v="4"/>
    <x v="2"/>
    <n v="7"/>
    <n v="33"/>
    <x v="6"/>
    <x v="8"/>
    <x v="2"/>
    <x v="1"/>
    <x v="137"/>
    <n v="4.07"/>
    <n v="82"/>
    <n v="9"/>
    <n v="4"/>
    <s v="Order"/>
    <n v="61.97"/>
    <n v="43.686206404480728"/>
    <n v="15.226044226044225"/>
    <n v="10.733711647292562"/>
    <n v="6.8855555555555554"/>
    <n v="0.75573170731707318"/>
    <n v="2.2113022113022112"/>
    <n v="9.1111111111111107"/>
    <d v="1899-12-30T00:27:08"/>
    <n v="-4.6378818760453289"/>
    <n v="17.47428262633742"/>
    <n v="-2.2482384002931948"/>
    <n v="62.881999999999984"/>
  </r>
  <r>
    <x v="765"/>
    <x v="4"/>
    <x v="2"/>
    <n v="7"/>
    <n v="33"/>
    <x v="0"/>
    <x v="1"/>
    <x v="0"/>
    <x v="2"/>
    <x v="253"/>
    <n v="6.38"/>
    <n v="145"/>
    <n v="13"/>
    <n v="1"/>
    <s v="Order"/>
    <n v="131.12"/>
    <n v="98.788901568898851"/>
    <n v="20.551724137931036"/>
    <n v="15.484153850924585"/>
    <n v="10.086153846153847"/>
    <n v="0.9042758620689656"/>
    <n v="2.0376175548589344"/>
    <n v="11.153846153846153"/>
    <d v="1899-12-30T00:29:27"/>
    <n v="-1.4135391375204485"/>
    <n v="19.306427700229733"/>
    <n v="1.2452964377013025"/>
    <n v="62.840999999999966"/>
  </r>
  <r>
    <x v="766"/>
    <x v="4"/>
    <x v="2"/>
    <n v="7"/>
    <n v="33"/>
    <x v="1"/>
    <x v="20"/>
    <x v="1"/>
    <x v="1"/>
    <x v="253"/>
    <n v="7.33"/>
    <n v="172"/>
    <n v="15"/>
    <n v="1"/>
    <s v="Order"/>
    <n v="121.64"/>
    <n v="83.288628067935178"/>
    <n v="16.594815825375171"/>
    <n v="11.362705057017077"/>
    <n v="8.1093333333333337"/>
    <n v="0.70720930232558143"/>
    <n v="2.0463847203274215"/>
    <n v="11.466666666666667"/>
    <d v="1899-12-30T00:29:19"/>
    <n v="-4.8176450126944417"/>
    <n v="21.324966967805693"/>
    <n v="-4.7301511424305218"/>
    <n v="64.192555555555529"/>
  </r>
  <r>
    <x v="767"/>
    <x v="4"/>
    <x v="2"/>
    <n v="7"/>
    <n v="33"/>
    <x v="2"/>
    <x v="6"/>
    <x v="1"/>
    <x v="1"/>
    <x v="137"/>
    <n v="3.02"/>
    <n v="56"/>
    <n v="6"/>
    <n v="3"/>
    <s v="Order"/>
    <n v="71"/>
    <n v="58.513506812816104"/>
    <n v="23.509933774834437"/>
    <n v="19.375333381727188"/>
    <n v="11.833333333333334"/>
    <n v="1.2678571428571428"/>
    <n v="1.9867549668874172"/>
    <n v="9.3333333333333339"/>
    <d v="1899-12-30T00:30:12"/>
    <n v="-0.61170567880542848"/>
    <n v="20.923641586212398"/>
    <n v="2.5862921886220391"/>
    <n v="64.981444444444406"/>
  </r>
  <r>
    <x v="768"/>
    <x v="4"/>
    <x v="2"/>
    <n v="8"/>
    <n v="34"/>
    <x v="3"/>
    <x v="9"/>
    <x v="1"/>
    <x v="2"/>
    <x v="146"/>
    <n v="5.13"/>
    <n v="114"/>
    <n v="10"/>
    <n v="3"/>
    <s v="Hourly"/>
    <n v="133.47"/>
    <n v="108.05106744037565"/>
    <n v="26.017543859649123"/>
    <n v="21.06258624568726"/>
    <n v="13.347"/>
    <n v="1.1707894736842106"/>
    <n v="1.9493177387914231"/>
    <n v="11.4"/>
    <d v="1899-12-30T00:30:47"/>
    <n v="2.7585488841069292"/>
    <n v="26.017543859649123"/>
    <n v="0"/>
    <n v="65.251555555555527"/>
  </r>
  <r>
    <x v="769"/>
    <x v="4"/>
    <x v="2"/>
    <n v="8"/>
    <n v="34"/>
    <x v="5"/>
    <x v="9"/>
    <x v="1"/>
    <x v="2"/>
    <x v="247"/>
    <n v="7.05"/>
    <n v="155"/>
    <n v="15"/>
    <n v="2"/>
    <s v="Order"/>
    <n v="122.98"/>
    <n v="88.41917064261601"/>
    <n v="17.443971631205674"/>
    <n v="12.541726332285959"/>
    <n v="8.1986666666666661"/>
    <n v="0.79341935483870973"/>
    <n v="2.1276595744680851"/>
    <n v="10.333333333333334"/>
    <d v="1899-12-30T00:28:12"/>
    <n v="-5.1171693376148966"/>
    <n v="23.323781261793304"/>
    <n v="-5.87980963058763"/>
    <n v="64.33299999999997"/>
  </r>
  <r>
    <x v="770"/>
    <x v="4"/>
    <x v="2"/>
    <n v="8"/>
    <n v="34"/>
    <x v="6"/>
    <x v="2"/>
    <x v="2"/>
    <x v="2"/>
    <x v="64"/>
    <n v="6.88"/>
    <n v="168"/>
    <n v="11"/>
    <n v="2"/>
    <s v="Order"/>
    <n v="124.34"/>
    <n v="86.880520438448315"/>
    <n v="18.072674418604652"/>
    <n v="12.627982621867488"/>
    <n v="11.303636363636365"/>
    <n v="0.74011904761904768"/>
    <n v="1.5988372093023255"/>
    <n v="15.272727272727273"/>
    <d v="1899-12-30T00:37:32"/>
    <n v="-1.2759314750354207"/>
    <n v="20.801092160105405"/>
    <n v="-2.7284177415007527"/>
    <n v="65.714555555555535"/>
  </r>
  <r>
    <x v="771"/>
    <x v="4"/>
    <x v="2"/>
    <n v="8"/>
    <n v="34"/>
    <x v="0"/>
    <x v="14"/>
    <x v="0"/>
    <x v="2"/>
    <x v="253"/>
    <n v="6.55"/>
    <n v="177"/>
    <n v="13"/>
    <n v="3"/>
    <s v="Order"/>
    <n v="177.68"/>
    <n v="138.21376260479377"/>
    <n v="27.126717557251911"/>
    <n v="21.101337802258591"/>
    <n v="13.667692307692308"/>
    <n v="1.0038418079096045"/>
    <n v="1.9847328244274809"/>
    <n v="13.615384615384615"/>
    <d v="1899-12-30T00:30:14"/>
    <n v="5.2624213630518888"/>
    <n v="25.991327331647295"/>
    <n v="1.1353902256046169"/>
    <n v="67.688777777777759"/>
  </r>
  <r>
    <x v="772"/>
    <x v="4"/>
    <x v="2"/>
    <n v="9"/>
    <n v="35"/>
    <x v="3"/>
    <x v="2"/>
    <x v="1"/>
    <x v="1"/>
    <x v="230"/>
    <n v="6.42"/>
    <n v="129"/>
    <n v="14"/>
    <n v="3"/>
    <s v="Order"/>
    <n v="141.60999999999999"/>
    <n v="112.84647105095138"/>
    <n v="22.057632398753892"/>
    <n v="17.577331939400526"/>
    <n v="10.114999999999998"/>
    <n v="1.097751937984496"/>
    <n v="2.180685358255452"/>
    <n v="9.2142857142857135"/>
    <d v="1899-12-30T00:27:31"/>
    <n v="-1.3465493601623493"/>
    <n v="22.565375230269186"/>
    <n v="-0.50774283151529431"/>
    <n v="66.806888888888864"/>
  </r>
  <r>
    <x v="773"/>
    <x v="4"/>
    <x v="2"/>
    <n v="9"/>
    <n v="35"/>
    <x v="5"/>
    <x v="10"/>
    <x v="0"/>
    <x v="13"/>
    <x v="254"/>
    <n v="6.45"/>
    <n v="150"/>
    <n v="14"/>
    <n v="2"/>
    <s v="Order"/>
    <n v="201.32999999999998"/>
    <n v="167.88403610575742"/>
    <n v="31.213953488372091"/>
    <n v="26.028532729574792"/>
    <n v="14.380714285714285"/>
    <n v="1.3421999999999998"/>
    <n v="2.1705426356589146"/>
    <n v="10.714285714285714"/>
    <d v="1899-12-30T00:27:39"/>
    <n v="8.1955188429433434"/>
    <n v="24.84553283501565"/>
    <n v="6.3684206533564414"/>
    <n v="66.499222222222215"/>
  </r>
  <r>
    <x v="774"/>
    <x v="4"/>
    <x v="2"/>
    <n v="9"/>
    <n v="35"/>
    <x v="6"/>
    <x v="14"/>
    <x v="0"/>
    <x v="2"/>
    <x v="230"/>
    <n v="6.13"/>
    <n v="154"/>
    <n v="12"/>
    <n v="2"/>
    <s v="Order"/>
    <n v="124.21000000000001"/>
    <n v="89.872143735244293"/>
    <n v="20.262642740619903"/>
    <n v="14.66103486708716"/>
    <n v="10.350833333333334"/>
    <n v="0.80655844155844159"/>
    <n v="1.9575856443719413"/>
    <n v="12.833333333333334"/>
    <d v="1899-12-30T00:30:39"/>
    <n v="0.35848603014598979"/>
    <n v="18.697475216463797"/>
    <n v="1.5651675241561058"/>
    <n v="66.275555555555542"/>
  </r>
  <r>
    <x v="775"/>
    <x v="4"/>
    <x v="2"/>
    <n v="9"/>
    <n v="35"/>
    <x v="0"/>
    <x v="9"/>
    <x v="0"/>
    <x v="5"/>
    <x v="254"/>
    <n v="6.98"/>
    <n v="208"/>
    <n v="12"/>
    <n v="2"/>
    <s v="Order"/>
    <n v="150.69"/>
    <n v="104.31159673331696"/>
    <n v="21.58882521489971"/>
    <n v="14.944354832853431"/>
    <n v="12.557499999999999"/>
    <n v="0.72447115384615379"/>
    <n v="1.7191977077363896"/>
    <n v="17.333333333333332"/>
    <d v="1899-12-30T00:34:54"/>
    <n v="-0.62629907017043962"/>
    <n v="23.151453859227949"/>
    <n v="-1.5626286443282389"/>
    <n v="67.949888888888879"/>
  </r>
  <r>
    <x v="776"/>
    <x v="4"/>
    <x v="2"/>
    <n v="9"/>
    <n v="35"/>
    <x v="2"/>
    <x v="14"/>
    <x v="0"/>
    <x v="2"/>
    <x v="252"/>
    <n v="0.97"/>
    <n v="28"/>
    <n v="1"/>
    <n v="1"/>
    <s v="Order"/>
    <n v="21.04"/>
    <n v="14.796753406408051"/>
    <n v="21.690721649484537"/>
    <n v="15.254384955059846"/>
    <n v="21.04"/>
    <n v="0.75142857142857145"/>
    <n v="1.0309278350515465"/>
    <n v="28"/>
    <d v="1899-12-30T00:58:12"/>
    <n v="-1.8969465512972299"/>
    <n v="21.690721649484537"/>
    <n v="0"/>
    <n v="66.312666666666644"/>
  </r>
  <r>
    <x v="777"/>
    <x v="4"/>
    <x v="2"/>
    <n v="10"/>
    <n v="36"/>
    <x v="3"/>
    <x v="1"/>
    <x v="0"/>
    <x v="2"/>
    <x v="252"/>
    <n v="6.28"/>
    <n v="175"/>
    <n v="10"/>
    <n v="2"/>
    <s v="Hourly"/>
    <n v="200.47"/>
    <n v="161.44970879005032"/>
    <n v="31.921974522292992"/>
    <n v="25.708552355103553"/>
    <n v="20.047000000000001"/>
    <n v="1.1455428571428572"/>
    <n v="1.592356687898089"/>
    <n v="17.5"/>
    <d v="1899-12-30T00:37:41"/>
    <n v="9.6629694225193532"/>
    <n v="21.854789288246266"/>
    <n v="10.067185234046725"/>
    <n v="67.271111111111111"/>
  </r>
  <r>
    <x v="778"/>
    <x v="4"/>
    <x v="2"/>
    <n v="10"/>
    <n v="36"/>
    <x v="4"/>
    <x v="3"/>
    <x v="1"/>
    <x v="2"/>
    <x v="230"/>
    <n v="4.5199999999999996"/>
    <n v="101"/>
    <n v="9"/>
    <n v="2"/>
    <s v="Order"/>
    <n v="105.39"/>
    <n v="82.869717644543329"/>
    <n v="23.31637168141593"/>
    <n v="18.334008328438792"/>
    <n v="11.71"/>
    <n v="1.0434653465346535"/>
    <n v="1.9911504424778763"/>
    <n v="11.222222222222221"/>
    <d v="1899-12-30T00:30:08"/>
    <n v="1.9493663851493217"/>
    <n v="21.806363018460878"/>
    <n v="1.5100086629550518"/>
    <n v="67.224444444444444"/>
  </r>
  <r>
    <x v="779"/>
    <x v="4"/>
    <x v="2"/>
    <n v="10"/>
    <n v="36"/>
    <x v="6"/>
    <x v="1"/>
    <x v="2"/>
    <x v="5"/>
    <x v="176"/>
    <n v="1.37"/>
    <n v="49"/>
    <n v="2"/>
    <n v="2"/>
    <s v="Order"/>
    <n v="25.78"/>
    <n v="14.854318461214094"/>
    <n v="18.817518248175183"/>
    <n v="10.842568219864301"/>
    <n v="12.89"/>
    <n v="0.52612244897959182"/>
    <n v="1.4598540145985401"/>
    <n v="24.5"/>
    <d v="1899-12-30T00:41:06"/>
    <n v="-0.40349449796134707"/>
    <n v="19.339270454773725"/>
    <n v="-0.52175220659854205"/>
    <n v="66.507333333333321"/>
  </r>
  <r>
    <x v="780"/>
    <x v="4"/>
    <x v="2"/>
    <n v="10"/>
    <n v="36"/>
    <x v="1"/>
    <x v="9"/>
    <x v="2"/>
    <x v="5"/>
    <x v="254"/>
    <n v="6.92"/>
    <n v="130"/>
    <n v="18"/>
    <n v="2"/>
    <s v="Hourly"/>
    <n v="157.45000000000002"/>
    <n v="128.46349795832313"/>
    <n v="22.752890173410407"/>
    <n v="18.564089300335713"/>
    <n v="8.7472222222222236"/>
    <n v="1.2111538461538462"/>
    <n v="2.601156069364162"/>
    <n v="7.2222222222222223"/>
    <d v="1899-12-30T00:23:04"/>
    <n v="1.7381331110989926"/>
    <n v="22.045530235932333"/>
    <n v="0.70735993747807413"/>
    <n v="66.72422222222221"/>
  </r>
  <r>
    <x v="781"/>
    <x v="4"/>
    <x v="2"/>
    <n v="10"/>
    <n v="36"/>
    <x v="2"/>
    <x v="12"/>
    <x v="0"/>
    <x v="1"/>
    <x v="254"/>
    <n v="2.27"/>
    <n v="37"/>
    <n v="7"/>
    <n v="1"/>
    <s v="Order"/>
    <n v="48.61"/>
    <n v="40.359995572753498"/>
    <n v="21.41409691629956"/>
    <n v="17.779733732490527"/>
    <n v="6.944285714285714"/>
    <n v="1.3137837837837838"/>
    <n v="3.0837004405286343"/>
    <n v="5.2857142857142856"/>
    <d v="1899-12-30T00:19:27"/>
    <n v="-1.9364529655700551"/>
    <n v="21.41409691629956"/>
    <n v="0"/>
    <n v="65.903111111111102"/>
  </r>
  <r>
    <x v="782"/>
    <x v="4"/>
    <x v="2"/>
    <n v="11"/>
    <n v="37"/>
    <x v="3"/>
    <x v="1"/>
    <x v="1"/>
    <x v="2"/>
    <x v="254"/>
    <n v="5.53"/>
    <n v="119"/>
    <n v="10"/>
    <n v="4"/>
    <s v="Order"/>
    <n v="115.72999999999999"/>
    <n v="89.19620197723421"/>
    <n v="20.927667269439418"/>
    <n v="16.12951211161559"/>
    <n v="11.572999999999999"/>
    <n v="0.97252100840336131"/>
    <n v="1.8083182640144664"/>
    <n v="11.9"/>
    <d v="1899-12-30T00:33:11"/>
    <n v="-2.4091870214687034"/>
    <n v="27.752792825445322"/>
    <n v="-6.8251255560059043"/>
    <n v="66.154999999999973"/>
  </r>
  <r>
    <x v="783"/>
    <x v="4"/>
    <x v="2"/>
    <n v="11"/>
    <n v="37"/>
    <x v="4"/>
    <x v="1"/>
    <x v="0"/>
    <x v="2"/>
    <x v="247"/>
    <n v="5.08"/>
    <n v="135"/>
    <n v="7"/>
    <n v="1"/>
    <s v="Order"/>
    <n v="97.44"/>
    <n v="67.338632495181685"/>
    <n v="19.181102362204722"/>
    <n v="13.255636317949151"/>
    <n v="13.92"/>
    <n v="0.72177777777777774"/>
    <n v="1.3779527559055118"/>
    <n v="19.285714285714285"/>
    <d v="1899-12-30T00:43:33"/>
    <n v="-2.996366555804574"/>
    <n v="27.742049844005351"/>
    <n v="-8.5609474818006284"/>
    <n v="67.237666666666641"/>
  </r>
  <r>
    <x v="784"/>
    <x v="4"/>
    <x v="2"/>
    <n v="11"/>
    <n v="37"/>
    <x v="6"/>
    <x v="14"/>
    <x v="1"/>
    <x v="1"/>
    <x v="64"/>
    <n v="5.43"/>
    <n v="138"/>
    <n v="11"/>
    <n v="3"/>
    <s v="Order"/>
    <n v="153.36000000000001"/>
    <n v="122.58971321729685"/>
    <n v="28.243093922651937"/>
    <n v="22.576374441491133"/>
    <n v="13.941818181818183"/>
    <n v="1.1113043478260871"/>
    <n v="2.0257826887661143"/>
    <n v="12.545454545454545"/>
    <d v="1899-12-30T00:29:37"/>
    <n v="6.2694255253077138"/>
    <n v="24.77561450694693"/>
    <n v="3.4674794157050073"/>
    <n v="65.957111111111075"/>
  </r>
  <r>
    <x v="785"/>
    <x v="4"/>
    <x v="2"/>
    <n v="11"/>
    <n v="37"/>
    <x v="0"/>
    <x v="9"/>
    <x v="2"/>
    <x v="2"/>
    <x v="176"/>
    <n v="8.33"/>
    <n v="168"/>
    <n v="16"/>
    <n v="3"/>
    <s v="Order"/>
    <n v="184.43"/>
    <n v="146.97052043844832"/>
    <n v="22.140456182472988"/>
    <n v="17.643519860558023"/>
    <n v="11.526875"/>
    <n v="1.0977976190476191"/>
    <n v="1.9207683073229291"/>
    <n v="10.5"/>
    <d v="1899-12-30T00:31:14"/>
    <n v="0.3808067787292515"/>
    <n v="27.690267905647875"/>
    <n v="-5.5498117231748871"/>
    <n v="68.006333333333302"/>
  </r>
  <r>
    <x v="786"/>
    <x v="4"/>
    <x v="2"/>
    <n v="11"/>
    <n v="37"/>
    <x v="2"/>
    <x v="10"/>
    <x v="1"/>
    <x v="2"/>
    <x v="230"/>
    <n v="5.12"/>
    <n v="149"/>
    <n v="6"/>
    <n v="3"/>
    <s v="Order"/>
    <n v="95.47999999999999"/>
    <n v="62.257009198385703"/>
    <n v="18.648437499999996"/>
    <n v="12.159572109059708"/>
    <n v="15.913333333333332"/>
    <n v="0.64080536912751673"/>
    <n v="1.171875"/>
    <n v="24.833333333333332"/>
    <d v="1899-12-30T00:51:12"/>
    <n v="-5.3508608178787824"/>
    <n v="25.652020692468419"/>
    <n v="-7.0035831924684224"/>
    <n v="67.749444444444407"/>
  </r>
  <r>
    <x v="787"/>
    <x v="4"/>
    <x v="2"/>
    <n v="12"/>
    <n v="38"/>
    <x v="3"/>
    <x v="9"/>
    <x v="1"/>
    <x v="2"/>
    <x v="254"/>
    <n v="5.73"/>
    <n v="97"/>
    <n v="14"/>
    <n v="3"/>
    <s v="Hourly"/>
    <n v="144.07"/>
    <n v="122.44161001505645"/>
    <n v="25.143106457242581"/>
    <n v="21.36851832723498"/>
    <n v="10.290714285714285"/>
    <n v="1.4852577319587628"/>
    <n v="2.4432809773123907"/>
    <n v="6.9285714285714288"/>
    <d v="1899-12-30T00:24:33"/>
    <n v="1.9209753578329689"/>
    <n v="21.99424772969833"/>
    <n v="3.1488587275442512"/>
    <n v="69.350222222222186"/>
  </r>
  <r>
    <x v="788"/>
    <x v="4"/>
    <x v="2"/>
    <n v="12"/>
    <n v="38"/>
    <x v="5"/>
    <x v="14"/>
    <x v="2"/>
    <x v="2"/>
    <x v="230"/>
    <n v="6.98"/>
    <n v="129"/>
    <n v="14"/>
    <n v="2"/>
    <s v="Order"/>
    <n v="158.34"/>
    <n v="129.5764710509514"/>
    <n v="22.684813753581661"/>
    <n v="18.56396433394719"/>
    <n v="11.31"/>
    <n v="1.2274418604651163"/>
    <n v="2.005730659025788"/>
    <n v="9.2142857142857135"/>
    <d v="1899-12-30T00:29:55"/>
    <n v="5.9607242804220739"/>
    <n v="24.018463214819"/>
    <n v="-1.3336494612373393"/>
    <n v="70.639111111111077"/>
  </r>
  <r>
    <x v="789"/>
    <x v="4"/>
    <x v="2"/>
    <n v="12"/>
    <n v="38"/>
    <x v="6"/>
    <x v="9"/>
    <x v="1"/>
    <x v="2"/>
    <x v="247"/>
    <n v="5.75"/>
    <n v="129"/>
    <n v="12"/>
    <n v="3"/>
    <s v="Order"/>
    <n v="127.28999999999999"/>
    <n v="98.526471050951386"/>
    <n v="22.137391304347826"/>
    <n v="17.135038443643719"/>
    <n v="10.6075"/>
    <n v="0.9867441860465116"/>
    <n v="2.0869565217391304"/>
    <n v="10.75"/>
    <d v="1899-12-30T00:28:45"/>
    <n v="-0.28409320194694843"/>
    <n v="19.309961720695359"/>
    <n v="2.8274295836524672"/>
    <n v="72.053444444444409"/>
  </r>
  <r>
    <x v="790"/>
    <x v="4"/>
    <x v="2"/>
    <n v="12"/>
    <n v="38"/>
    <x v="0"/>
    <x v="14"/>
    <x v="1"/>
    <x v="2"/>
    <x v="146"/>
    <n v="5.07"/>
    <n v="116"/>
    <n v="9"/>
    <n v="1"/>
    <s v="Order"/>
    <n v="99.94"/>
    <n v="74.075121255119072"/>
    <n v="19.712031558185402"/>
    <n v="14.610477565112243"/>
    <n v="11.104444444444445"/>
    <n v="0.86155172413793102"/>
    <n v="1.7751479289940828"/>
    <n v="12.888888888888889"/>
    <d v="1899-12-30T00:33:48"/>
    <n v="-3.0902759135650015"/>
    <n v="19.46006301883239"/>
    <n v="0.25196853935301178"/>
    <n v="71.101444444444411"/>
  </r>
  <r>
    <x v="791"/>
    <x v="4"/>
    <x v="2"/>
    <n v="12"/>
    <n v="38"/>
    <x v="2"/>
    <x v="9"/>
    <x v="0"/>
    <x v="2"/>
    <x v="254"/>
    <n v="4"/>
    <n v="92"/>
    <n v="7"/>
    <n v="2"/>
    <s v="Order"/>
    <n v="83.1"/>
    <n v="62.586475478197883"/>
    <n v="20.774999999999999"/>
    <n v="15.646618869549471"/>
    <n v="11.87142857142857"/>
    <n v="0.90326086956521734"/>
    <n v="1.75"/>
    <n v="13.142857142857142"/>
    <d v="1899-12-30T00:34:17"/>
    <n v="-2.3603884412507234"/>
    <n v="23.467750621375313"/>
    <n v="-2.6927506213753141"/>
    <n v="70.208999999999975"/>
  </r>
  <r>
    <x v="792"/>
    <x v="4"/>
    <x v="2"/>
    <n v="13"/>
    <n v="39"/>
    <x v="3"/>
    <x v="9"/>
    <x v="1"/>
    <x v="2"/>
    <x v="254"/>
    <n v="5.98"/>
    <n v="125"/>
    <n v="9"/>
    <n v="3"/>
    <s v="Hourly"/>
    <n v="161.19"/>
    <n v="133.31836342146451"/>
    <n v="26.954849498327757"/>
    <n v="22.29404070593052"/>
    <n v="17.91"/>
    <n v="1.28952"/>
    <n v="1.5050167224080266"/>
    <n v="13.888888888888889"/>
    <d v="1899-12-30T00:39:52"/>
    <n v="3.6454013371984644"/>
    <n v="22.232296539277556"/>
    <n v="4.7225529590502013"/>
    <n v="70.533333333333303"/>
  </r>
  <r>
    <x v="793"/>
    <x v="4"/>
    <x v="2"/>
    <n v="13"/>
    <n v="39"/>
    <x v="4"/>
    <x v="14"/>
    <x v="2"/>
    <x v="11"/>
    <x v="247"/>
    <n v="0.83819444444444446"/>
    <n v="21.6"/>
    <n v="2"/>
    <n v="1"/>
    <s v="Hourly"/>
    <n v="29.61"/>
    <n v="24.79378119922907"/>
    <n v="35.325932062966032"/>
    <n v="29.579987511922006"/>
    <n v="14.805"/>
    <n v="1.3708333333333331"/>
    <n v="2.3860811930405963"/>
    <n v="10.8"/>
    <d v="1899-12-30T00:25:09"/>
    <n v="20.379553756246651"/>
    <n v="23.655376691383267"/>
    <n v="11.670555371582765"/>
    <n v="70.012333333333302"/>
  </r>
  <r>
    <x v="794"/>
    <x v="4"/>
    <x v="2"/>
    <n v="13"/>
    <n v="39"/>
    <x v="5"/>
    <x v="14"/>
    <x v="0"/>
    <x v="5"/>
    <x v="257"/>
    <n v="7.15"/>
    <n v="143"/>
    <n v="12"/>
    <n v="3"/>
    <s v="Order"/>
    <n v="157.44999999999999"/>
    <n v="125.56484775415541"/>
    <n v="22.02097902097902"/>
    <n v="17.561517168413342"/>
    <n v="13.120833333333332"/>
    <n v="1.101048951048951"/>
    <n v="1.6783216783216783"/>
    <n v="11.916666666666666"/>
    <d v="1899-12-30T00:35:45"/>
    <n v="-1.5828498275171121"/>
    <n v="19.08452701313605"/>
    <n v="2.9364520078429699"/>
    <n v="71.761777777777738"/>
  </r>
  <r>
    <x v="795"/>
    <x v="4"/>
    <x v="2"/>
    <n v="13"/>
    <n v="39"/>
    <x v="0"/>
    <x v="18"/>
    <x v="0"/>
    <x v="1"/>
    <x v="252"/>
    <n v="5.63"/>
    <n v="155"/>
    <n v="9"/>
    <n v="2"/>
    <s v="Order"/>
    <n v="121.27"/>
    <n v="86.709170642616002"/>
    <n v="21.539964476021314"/>
    <n v="15.401273648777265"/>
    <n v="13.474444444444444"/>
    <n v="0.78238709677419349"/>
    <n v="1.5985790408525755"/>
    <n v="17.222222222222221"/>
    <d v="1899-12-30T00:37:32"/>
    <n v="-0.63601611716318374"/>
    <n v="26.595370713059737"/>
    <n v="-5.0554062370384223"/>
    <n v="70.412777777777748"/>
  </r>
  <r>
    <x v="796"/>
    <x v="4"/>
    <x v="2"/>
    <n v="13"/>
    <n v="39"/>
    <x v="1"/>
    <x v="15"/>
    <x v="0"/>
    <x v="2"/>
    <x v="230"/>
    <n v="7.47"/>
    <n v="197"/>
    <n v="16"/>
    <n v="3"/>
    <s v="Hourly"/>
    <n v="234.46000000000004"/>
    <n v="190.53430075222812"/>
    <n v="31.386880856760381"/>
    <n v="25.506599832962266"/>
    <n v="14.653750000000002"/>
    <n v="1.1901522842639596"/>
    <n v="2.14190093708166"/>
    <n v="12.3125"/>
    <d v="1899-12-30T00:28:01"/>
    <n v="12.044163814011117"/>
    <n v="26.218122565395614"/>
    <n v="5.1687582913647674"/>
    <n v="72.138222222222197"/>
  </r>
  <r>
    <x v="797"/>
    <x v="4"/>
    <x v="3"/>
    <n v="1"/>
    <n v="40"/>
    <x v="3"/>
    <x v="1"/>
    <x v="0"/>
    <x v="2"/>
    <x v="64"/>
    <n v="3.95"/>
    <n v="105"/>
    <n v="9"/>
    <n v="3"/>
    <s v="Order"/>
    <n v="113.99"/>
    <n v="90.577825274030189"/>
    <n v="28.858227848101262"/>
    <n v="22.931095006083591"/>
    <n v="12.665555555555555"/>
    <n v="1.0856190476190475"/>
    <n v="2.2784810126582276"/>
    <n v="11.666666666666666"/>
    <d v="1899-12-30T00:26:20"/>
    <n v="3.4217055261249172"/>
    <n v="24.06211505700087"/>
    <n v="4.7961127911003913"/>
    <n v="70.395888888888862"/>
  </r>
  <r>
    <x v="798"/>
    <x v="4"/>
    <x v="3"/>
    <n v="1"/>
    <n v="40"/>
    <x v="4"/>
    <x v="14"/>
    <x v="0"/>
    <x v="2"/>
    <x v="247"/>
    <n v="0.98"/>
    <n v="27"/>
    <n v="1"/>
    <n v="1"/>
    <s v="Order"/>
    <n v="37"/>
    <n v="30.979726499036339"/>
    <n v="37.755102040816325"/>
    <n v="31.611965815343204"/>
    <n v="37"/>
    <n v="1.3703703703703705"/>
    <n v="1.0204081632653061"/>
    <n v="27"/>
    <d v="1899-12-30T00:58:48"/>
    <n v="13.642144944687296"/>
    <n v="21.837681604110177"/>
    <n v="15.917420436706148"/>
    <n v="69.70577777777774"/>
  </r>
  <r>
    <x v="799"/>
    <x v="4"/>
    <x v="3"/>
    <n v="1"/>
    <n v="40"/>
    <x v="5"/>
    <x v="9"/>
    <x v="0"/>
    <x v="2"/>
    <x v="247"/>
    <n v="6.48"/>
    <n v="191"/>
    <n v="7"/>
    <n v="3"/>
    <s v="Hourly"/>
    <n v="165.25"/>
    <n v="122.66213930799779"/>
    <n v="25.501543209876541"/>
    <n v="18.929342485802128"/>
    <n v="23.607142857142858"/>
    <n v="0.86518324607329844"/>
    <n v="1.0802469135802468"/>
    <n v="27.285714285714285"/>
    <d v="1899-12-30T00:55:33"/>
    <n v="2.4157656152642772"/>
    <n v="22.445740158397388"/>
    <n v="3.0558030514791525"/>
    <n v="70.982666666666631"/>
  </r>
  <r>
    <x v="800"/>
    <x v="4"/>
    <x v="3"/>
    <n v="1"/>
    <n v="40"/>
    <x v="6"/>
    <x v="9"/>
    <x v="3"/>
    <x v="2"/>
    <x v="256"/>
    <n v="2.58"/>
    <n v="68"/>
    <n v="2"/>
    <n v="2"/>
    <s v="Order"/>
    <n v="31.44"/>
    <n v="16.277829701276701"/>
    <n v="12.186046511627907"/>
    <n v="6.3092363183243023"/>
    <n v="15.72"/>
    <n v="0.46235294117647063"/>
    <n v="0.77519379844961234"/>
    <n v="34"/>
    <d v="1899-12-30T01:17:24"/>
    <n v="-6.434292471422939"/>
    <n v="15.797159782482936"/>
    <n v="-3.6111132708550286"/>
    <n v="71.331999999999965"/>
  </r>
  <r>
    <x v="801"/>
    <x v="4"/>
    <x v="3"/>
    <n v="1"/>
    <n v="40"/>
    <x v="0"/>
    <x v="1"/>
    <x v="0"/>
    <x v="2"/>
    <x v="247"/>
    <n v="7.28"/>
    <n v="175"/>
    <n v="11"/>
    <n v="3"/>
    <s v="Order"/>
    <n v="244.64"/>
    <n v="205.61970879005031"/>
    <n v="33.604395604395599"/>
    <n v="28.24446549313878"/>
    <n v="22.24"/>
    <n v="1.3979428571428572"/>
    <n v="1.5109890109890109"/>
    <n v="15.909090909090908"/>
    <d v="1899-12-30T00:39:43"/>
    <n v="9.5637805502477633"/>
    <n v="23.899665803545115"/>
    <n v="9.7047298008504832"/>
    <n v="74.050222222222189"/>
  </r>
  <r>
    <x v="802"/>
    <x v="4"/>
    <x v="3"/>
    <n v="1"/>
    <n v="40"/>
    <x v="2"/>
    <x v="14"/>
    <x v="1"/>
    <x v="2"/>
    <x v="247"/>
    <n v="4.42"/>
    <n v="70"/>
    <n v="10"/>
    <n v="2"/>
    <s v="Order"/>
    <n v="153.44"/>
    <n v="137.83188351602013"/>
    <n v="34.71493212669683"/>
    <n v="31.18368405339822"/>
    <n v="15.343999999999999"/>
    <n v="2.1920000000000002"/>
    <n v="2.2624434389140271"/>
    <n v="7"/>
    <d v="1899-12-30T00:26:31"/>
    <n v="19.411213118432368"/>
    <n v="22.944492803640362"/>
    <n v="11.770439323056468"/>
    <n v="74.35266666666665"/>
  </r>
  <r>
    <x v="803"/>
    <x v="4"/>
    <x v="3"/>
    <n v="2"/>
    <n v="41"/>
    <x v="4"/>
    <x v="9"/>
    <x v="0"/>
    <x v="2"/>
    <x v="176"/>
    <n v="5.92"/>
    <n v="130"/>
    <n v="15"/>
    <n v="3"/>
    <s v="Order"/>
    <n v="136.77000000000001"/>
    <n v="107.78349795832311"/>
    <n v="23.103040540540544"/>
    <n v="18.206671952419445"/>
    <n v="9.1180000000000003"/>
    <n v="1.0520769230769231"/>
    <n v="2.5337837837837838"/>
    <n v="8.6666666666666661"/>
    <d v="1899-12-30T00:23:41"/>
    <n v="-1.984355480209004"/>
    <n v="23.103040540540544"/>
    <n v="0"/>
    <n v="75.872333333333316"/>
  </r>
  <r>
    <x v="804"/>
    <x v="4"/>
    <x v="3"/>
    <n v="2"/>
    <n v="41"/>
    <x v="0"/>
    <x v="14"/>
    <x v="0"/>
    <x v="2"/>
    <x v="33"/>
    <n v="5.22"/>
    <n v="137"/>
    <n v="11"/>
    <n v="3"/>
    <s v="Order"/>
    <n v="162.72"/>
    <n v="132.17268630992513"/>
    <n v="31.172413793103448"/>
    <n v="25.320437990407115"/>
    <n v="14.792727272727273"/>
    <n v="1.1877372262773722"/>
    <n v="2.1072796934865901"/>
    <n v="12.454545454545455"/>
    <d v="1899-12-30T00:28:28"/>
    <n v="6.7159821932926711"/>
    <n v="28.332958593802513"/>
    <n v="2.8394551993009358"/>
    <n v="77.680333333333323"/>
  </r>
  <r>
    <x v="805"/>
    <x v="4"/>
    <x v="3"/>
    <n v="3"/>
    <n v="42"/>
    <x v="3"/>
    <x v="14"/>
    <x v="0"/>
    <x v="5"/>
    <x v="33"/>
    <n v="3.47"/>
    <n v="50"/>
    <n v="9"/>
    <n v="1"/>
    <s v="Hourly"/>
    <n v="71.75"/>
    <n v="60.601345368585811"/>
    <n v="20.677233429394811"/>
    <n v="17.464364659534816"/>
    <n v="7.9722222222222223"/>
    <n v="1.4350000000000001"/>
    <n v="2.5936599423631121"/>
    <n v="5.5555555555555554"/>
    <d v="1899-12-30T00:23:08"/>
    <n v="-4.9222272509684331"/>
    <n v="24.193893597623301"/>
    <n v="-3.5166601682284906"/>
    <n v="78.47755555555554"/>
  </r>
  <r>
    <x v="806"/>
    <x v="4"/>
    <x v="3"/>
    <n v="3"/>
    <n v="42"/>
    <x v="4"/>
    <x v="2"/>
    <x v="0"/>
    <x v="13"/>
    <x v="258"/>
    <n v="6.02"/>
    <n v="106"/>
    <n v="18"/>
    <n v="1"/>
    <s v="Order"/>
    <n v="134.25"/>
    <n v="110.61485218140191"/>
    <n v="22.300664451827245"/>
    <n v="18.374560163023574"/>
    <n v="7.458333333333333"/>
    <n v="1.2665094339622642"/>
    <n v="2.9900332225913622"/>
    <n v="5.8888888888888893"/>
    <d v="1899-12-30T00:20:04"/>
    <n v="-2.6544412035750362"/>
    <n v="15.221578115729622"/>
    <n v="7.0790863360976228"/>
    <n v="79.969222222222214"/>
  </r>
  <r>
    <x v="807"/>
    <x v="4"/>
    <x v="3"/>
    <n v="3"/>
    <n v="42"/>
    <x v="0"/>
    <x v="1"/>
    <x v="0"/>
    <x v="2"/>
    <x v="259"/>
    <n v="6.48"/>
    <n v="136"/>
    <n v="11"/>
    <n v="2"/>
    <s v="Order"/>
    <n v="149.80000000000001"/>
    <n v="119.47565940255342"/>
    <n v="23.117283950617285"/>
    <n v="18.437601759653305"/>
    <n v="13.618181818181819"/>
    <n v="1.1014705882352942"/>
    <n v="1.6975308641975309"/>
    <n v="12.363636363636363"/>
    <d v="1899-12-30T00:35:21"/>
    <n v="-1.6189802405806901"/>
    <n v="24.71711727802343"/>
    <n v="-1.5998333274061451"/>
    <n v="78.654555555555561"/>
  </r>
  <r>
    <x v="808"/>
    <x v="4"/>
    <x v="3"/>
    <n v="4"/>
    <n v="43"/>
    <x v="3"/>
    <x v="1"/>
    <x v="0"/>
    <x v="4"/>
    <x v="256"/>
    <n v="6.07"/>
    <n v="118"/>
    <n v="12"/>
    <n v="2"/>
    <s v="Order"/>
    <n v="124.6"/>
    <n v="98.289175069862495"/>
    <n v="20.527182866556835"/>
    <n v="16.19261533276153"/>
    <n v="10.383333333333333"/>
    <n v="1.0559322033898304"/>
    <n v="1.9769357495881383"/>
    <n v="9.8333333333333339"/>
    <d v="1899-12-30T00:30:21"/>
    <n v="-4.848540211489663"/>
    <n v="19.130731392710466"/>
    <n v="1.3964514738463691"/>
    <n v="78.976333333333329"/>
  </r>
  <r>
    <x v="809"/>
    <x v="4"/>
    <x v="3"/>
    <n v="4"/>
    <n v="43"/>
    <x v="4"/>
    <x v="2"/>
    <x v="0"/>
    <x v="2"/>
    <x v="258"/>
    <n v="7.1"/>
    <n v="147"/>
    <n v="15"/>
    <n v="3"/>
    <s v="Order"/>
    <n v="151.41"/>
    <n v="118.63295538364227"/>
    <n v="21.325352112676057"/>
    <n v="16.708866955442573"/>
    <n v="10.093999999999999"/>
    <n v="1.03"/>
    <n v="2.1126760563380285"/>
    <n v="9.8000000000000007"/>
    <d v="1899-12-30T00:28:24"/>
    <n v="-3.4638509675027827"/>
    <n v="22.257518733367181"/>
    <n v="-0.93216662069112388"/>
    <n v="80.658666666666662"/>
  </r>
  <r>
    <x v="810"/>
    <x v="4"/>
    <x v="3"/>
    <n v="4"/>
    <n v="43"/>
    <x v="1"/>
    <x v="25"/>
    <x v="2"/>
    <x v="5"/>
    <x v="260"/>
    <n v="4.67"/>
    <n v="86"/>
    <n v="11"/>
    <n v="3"/>
    <s v="Order"/>
    <n v="62.790000000000006"/>
    <n v="43.614314033967602"/>
    <n v="13.44539614561028"/>
    <n v="9.3392535404641546"/>
    <n v="5.7081818181818189"/>
    <n v="0.7301162790697675"/>
    <n v="2.3554603854389722"/>
    <n v="7.8181818181818183"/>
    <d v="1899-12-30T00:25:28"/>
    <n v="-8.6157494476089216"/>
    <n v="13.44539614561028"/>
    <n v="0"/>
    <n v="78.959888888888898"/>
  </r>
  <r>
    <x v="811"/>
    <x v="4"/>
    <x v="3"/>
    <n v="5"/>
    <n v="44"/>
    <x v="3"/>
    <x v="1"/>
    <x v="0"/>
    <x v="1"/>
    <x v="220"/>
    <n v="6.07"/>
    <n v="139"/>
    <n v="14"/>
    <n v="1"/>
    <s v="Order"/>
    <n v="138.85"/>
    <n v="107.85674012466855"/>
    <n v="22.874794069192749"/>
    <n v="17.768820448874553"/>
    <n v="9.9178571428571427"/>
    <n v="0.99892086330935248"/>
    <n v="2.3064250411861615"/>
    <n v="9.9285714285714288"/>
    <d v="1899-12-30T00:26:01"/>
    <n v="-2.2901229127020244"/>
    <n v="23.348653143428958"/>
    <n v="-0.47385907423620921"/>
    <n v="79.22"/>
  </r>
  <r>
    <x v="812"/>
    <x v="4"/>
    <x v="3"/>
    <n v="5"/>
    <n v="44"/>
    <x v="4"/>
    <x v="1"/>
    <x v="0"/>
    <x v="2"/>
    <x v="260"/>
    <n v="5.38"/>
    <n v="141"/>
    <n v="8"/>
    <n v="3"/>
    <s v="Order"/>
    <n v="138.97"/>
    <n v="107.53079393941198"/>
    <n v="25.830855018587361"/>
    <n v="19.987136419965051"/>
    <n v="17.37125"/>
    <n v="0.98560283687943262"/>
    <n v="1.4869888475836432"/>
    <n v="17.625"/>
    <d v="1899-12-30T00:40:21"/>
    <n v="1.2454078776733901"/>
    <n v="21.655685828705042"/>
    <n v="4.1751691898823182"/>
    <n v="79.526666666666671"/>
  </r>
  <r>
    <x v="813"/>
    <x v="4"/>
    <x v="3"/>
    <n v="5"/>
    <n v="44"/>
    <x v="5"/>
    <x v="1"/>
    <x v="0"/>
    <x v="5"/>
    <x v="264"/>
    <n v="5.92"/>
    <n v="165"/>
    <n v="13"/>
    <n v="3"/>
    <s v="Order"/>
    <n v="210.79999999999998"/>
    <n v="174.00943971633316"/>
    <n v="35.608108108108105"/>
    <n v="29.393486438569791"/>
    <n v="16.215384615384615"/>
    <n v="1.2775757575757574"/>
    <n v="2.1959459459459461"/>
    <n v="12.692307692307692"/>
    <d v="1899-12-30T00:27:19"/>
    <n v="12.349775826691246"/>
    <n v="26.418192488621589"/>
    <n v="9.1899156194865164"/>
    <n v="80.597333333333353"/>
  </r>
  <r>
    <x v="814"/>
    <x v="4"/>
    <x v="3"/>
    <n v="5"/>
    <n v="44"/>
    <x v="1"/>
    <x v="14"/>
    <x v="1"/>
    <x v="2"/>
    <x v="264"/>
    <n v="5.55"/>
    <n v="182"/>
    <n v="9"/>
    <n v="2"/>
    <s v="Hourly"/>
    <n v="122.39"/>
    <n v="81.808897141652352"/>
    <n v="22.052252252252252"/>
    <n v="14.740341827324748"/>
    <n v="13.598888888888888"/>
    <n v="0.6724725274725275"/>
    <n v="1.6216216216216217"/>
    <n v="20.222222222222221"/>
    <d v="1899-12-30T00:37:00"/>
    <n v="-0.56579898022065578"/>
    <n v="20.061507532095767"/>
    <n v="1.990744720156485"/>
    <n v="80.261000000000024"/>
  </r>
  <r>
    <x v="815"/>
    <x v="4"/>
    <x v="3"/>
    <n v="5"/>
    <n v="44"/>
    <x v="2"/>
    <x v="21"/>
    <x v="2"/>
    <x v="2"/>
    <x v="267"/>
    <n v="1.1000000000000001"/>
    <n v="16"/>
    <n v="3"/>
    <n v="1"/>
    <s v="Order"/>
    <n v="18.75"/>
    <n v="15.182430517947459"/>
    <n v="17.045454545454543"/>
    <n v="13.802209561770416"/>
    <n v="6.25"/>
    <n v="1.171875"/>
    <n v="2.7272727272727271"/>
    <n v="5.333333333333333"/>
    <d v="1899-12-30T00:22:00"/>
    <n v="-3.6910529484779673"/>
    <n v="25.478956891064474"/>
    <n v="-8.4335023456099307"/>
    <n v="78.89222222222223"/>
  </r>
  <r>
    <x v="816"/>
    <x v="4"/>
    <x v="3"/>
    <n v="6"/>
    <n v="45"/>
    <x v="3"/>
    <x v="14"/>
    <x v="0"/>
    <x v="14"/>
    <x v="81"/>
    <n v="2.35"/>
    <n v="46"/>
    <n v="5"/>
    <n v="1"/>
    <s v="Hourly"/>
    <n v="43.65"/>
    <n v="33.393237739098943"/>
    <n v="18.574468085106382"/>
    <n v="14.20988839961657"/>
    <n v="8.73"/>
    <n v="0.94891304347826089"/>
    <n v="2.1276595744680851"/>
    <n v="9.1999999999999993"/>
    <d v="1899-12-30T00:28:12"/>
    <n v="-6.4950271087591389"/>
    <n v="23.702445636735508"/>
    <n v="-5.1279775516291259"/>
    <n v="79.37722222222223"/>
  </r>
  <r>
    <x v="817"/>
    <x v="4"/>
    <x v="3"/>
    <n v="6"/>
    <n v="45"/>
    <x v="4"/>
    <x v="9"/>
    <x v="0"/>
    <x v="2"/>
    <x v="220"/>
    <n v="5.25"/>
    <n v="111"/>
    <n v="12"/>
    <n v="3"/>
    <s v="Order"/>
    <n v="94.57"/>
    <n v="69.819986718260481"/>
    <n v="18.013333333333332"/>
    <n v="13.299045089192472"/>
    <n v="7.8808333333333325"/>
    <n v="0.85198198198198194"/>
    <n v="2.2857142857142856"/>
    <n v="9.25"/>
    <d v="1899-12-30T00:26:15"/>
    <n v="-6.6413031341180506"/>
    <n v="24.067332496186882"/>
    <n v="-6.0539991628535503"/>
    <n v="79.637777777777785"/>
  </r>
  <r>
    <x v="818"/>
    <x v="4"/>
    <x v="3"/>
    <n v="6"/>
    <n v="45"/>
    <x v="0"/>
    <x v="11"/>
    <x v="0"/>
    <x v="12"/>
    <x v="264"/>
    <n v="2.1800000000000002"/>
    <n v="66"/>
    <n v="4"/>
    <n v="2"/>
    <s v="Hourly"/>
    <n v="32.53"/>
    <n v="17.813775886533268"/>
    <n v="14.922018348623853"/>
    <n v="8.1714568286849847"/>
    <n v="8.1325000000000003"/>
    <n v="0.49287878787878792"/>
    <n v="1.8348623853211008"/>
    <n v="16.5"/>
    <d v="1899-12-30T00:32:42"/>
    <n v="-9.7494866329508962"/>
    <n v="21.69064414780944"/>
    <n v="-6.7686257991855872"/>
    <n v="77.907777777777795"/>
  </r>
  <r>
    <x v="819"/>
    <x v="4"/>
    <x v="3"/>
    <n v="6"/>
    <n v="45"/>
    <x v="1"/>
    <x v="9"/>
    <x v="2"/>
    <x v="2"/>
    <x v="245"/>
    <n v="6.3330000000000002"/>
    <n v="101"/>
    <n v="17"/>
    <n v="4"/>
    <s v="Order"/>
    <n v="122.97"/>
    <n v="100.44971764454334"/>
    <n v="19.417337754618664"/>
    <n v="15.861316539482605"/>
    <n v="7.2335294117647058"/>
    <n v="1.2175247524752475"/>
    <n v="2.684351807989894"/>
    <n v="5.9411764705882355"/>
    <d v="1899-12-30T00:22:21"/>
    <n v="-1.2078495973323804"/>
    <n v="19.417337754618664"/>
    <n v="0"/>
    <n v="77.703000000000017"/>
  </r>
  <r>
    <x v="820"/>
    <x v="4"/>
    <x v="3"/>
    <n v="7"/>
    <n v="46"/>
    <x v="3"/>
    <x v="7"/>
    <x v="0"/>
    <x v="11"/>
    <x v="245"/>
    <n v="2.57"/>
    <n v="62"/>
    <n v="5"/>
    <n v="1"/>
    <s v="Hourly"/>
    <n v="56.12"/>
    <n v="42.295668257046401"/>
    <n v="21.836575875486382"/>
    <n v="16.45745846577681"/>
    <n v="11.224"/>
    <n v="0.90516129032258064"/>
    <n v="1.945525291828794"/>
    <n v="12.4"/>
    <d v="1899-12-30T00:30:50"/>
    <n v="-2.973118234028771"/>
    <n v="23.916574509696126"/>
    <n v="-2.0799986342097441"/>
    <n v="76.326444444444462"/>
  </r>
  <r>
    <x v="821"/>
    <x v="4"/>
    <x v="3"/>
    <n v="7"/>
    <n v="46"/>
    <x v="6"/>
    <x v="1"/>
    <x v="0"/>
    <x v="13"/>
    <x v="261"/>
    <n v="4.32"/>
    <n v="94"/>
    <n v="7"/>
    <n v="2"/>
    <s v="Order"/>
    <n v="69.33"/>
    <n v="48.37052929294132"/>
    <n v="16.048611111111111"/>
    <n v="11.196881780773452"/>
    <n v="9.9042857142857148"/>
    <n v="0.73755319148936171"/>
    <n v="1.6203703703703702"/>
    <n v="13.428571428571429"/>
    <d v="1899-12-30T00:37:02"/>
    <n v="-5.8835727795614972"/>
    <n v="19.260211523840557"/>
    <n v="-3.211600412729446"/>
    <n v="74.218111111111128"/>
  </r>
  <r>
    <x v="822"/>
    <x v="4"/>
    <x v="3"/>
    <n v="7"/>
    <n v="46"/>
    <x v="1"/>
    <x v="16"/>
    <x v="2"/>
    <x v="2"/>
    <x v="1"/>
    <n v="2.33"/>
    <n v="49"/>
    <n v="5"/>
    <n v="1"/>
    <s v="Hourly"/>
    <n v="37.630000000000003"/>
    <n v="26.704318461214093"/>
    <n v="16.150214592274679"/>
    <n v="11.461080884641241"/>
    <n v="7.5260000000000007"/>
    <n v="0.76795918367346949"/>
    <n v="2.1459227467811157"/>
    <n v="9.8000000000000007"/>
    <d v="1899-12-30T00:27:58"/>
    <n v="-4.3024228172003127"/>
    <n v="19.625391333956259"/>
    <n v="-3.4751767416815795"/>
    <n v="72.495777777777803"/>
  </r>
  <r>
    <x v="823"/>
    <x v="4"/>
    <x v="3"/>
    <n v="7"/>
    <n v="46"/>
    <x v="2"/>
    <x v="15"/>
    <x v="1"/>
    <x v="5"/>
    <x v="261"/>
    <n v="6"/>
    <n v="124"/>
    <n v="13"/>
    <n v="4"/>
    <s v="Hourly"/>
    <n v="137.79"/>
    <n v="110.1413365140928"/>
    <n v="22.965"/>
    <n v="18.356889419015467"/>
    <n v="10.599230769230768"/>
    <n v="1.1112096774193547"/>
    <n v="2.1666666666666665"/>
    <n v="9.5384615384615383"/>
    <d v="1899-12-30T00:27:42"/>
    <n v="-2.0443255674806444"/>
    <n v="23.328185483870968"/>
    <n v="-0.36318548387096783"/>
    <n v="72.543777777777791"/>
  </r>
  <r>
    <x v="824"/>
    <x v="4"/>
    <x v="3"/>
    <n v="8"/>
    <n v="47"/>
    <x v="3"/>
    <x v="9"/>
    <x v="0"/>
    <x v="5"/>
    <x v="263"/>
    <n v="3.65"/>
    <n v="94"/>
    <n v="6"/>
    <n v="2"/>
    <s v="Order"/>
    <n v="112.83000000000001"/>
    <n v="91.870529292941342"/>
    <n v="30.912328767123292"/>
    <n v="25.170008025463382"/>
    <n v="18.805000000000003"/>
    <n v="1.2003191489361704"/>
    <n v="1.6438356164383563"/>
    <n v="15.666666666666666"/>
    <d v="1899-12-30T00:36:30"/>
    <n v="6.2169853589169399"/>
    <n v="25.390434083182001"/>
    <n v="5.5218946839412908"/>
    <n v="73.797444444444466"/>
  </r>
  <r>
    <x v="825"/>
    <x v="4"/>
    <x v="3"/>
    <n v="8"/>
    <n v="47"/>
    <x v="4"/>
    <x v="14"/>
    <x v="0"/>
    <x v="2"/>
    <x v="261"/>
    <n v="2.57"/>
    <n v="50"/>
    <n v="7"/>
    <n v="2"/>
    <s v="Order"/>
    <n v="75.88"/>
    <n v="64.731345368585806"/>
    <n v="29.525291828793776"/>
    <n v="25.187293917737669"/>
    <n v="10.84"/>
    <n v="1.5175999999999998"/>
    <n v="2.7237354085603114"/>
    <n v="7.1428571428571432"/>
    <d v="1899-12-30T00:22:02"/>
    <n v="5.2201976315591345"/>
    <n v="23.298678975611001"/>
    <n v="6.2266128531827754"/>
    <n v="73.274111111111125"/>
  </r>
  <r>
    <x v="826"/>
    <x v="4"/>
    <x v="3"/>
    <n v="8"/>
    <n v="47"/>
    <x v="0"/>
    <x v="1"/>
    <x v="2"/>
    <x v="2"/>
    <x v="266"/>
    <n v="0.4"/>
    <n v="10"/>
    <n v="1"/>
    <n v="1"/>
    <s v="Hourly"/>
    <n v="6.97"/>
    <n v="4.7402690737171618"/>
    <n v="17.424999999999997"/>
    <n v="11.850672684292904"/>
    <n v="6.97"/>
    <n v="0.69699999999999995"/>
    <n v="2.5"/>
    <n v="10"/>
    <d v="1899-12-30T00:24:00"/>
    <n v="-5.334984639016902"/>
    <n v="22.73915602398818"/>
    <n v="-5.3141560239881827"/>
    <n v="69.995777777777789"/>
  </r>
  <r>
    <x v="827"/>
    <x v="4"/>
    <x v="3"/>
    <n v="8"/>
    <n v="47"/>
    <x v="2"/>
    <x v="19"/>
    <x v="0"/>
    <x v="1"/>
    <x v="262"/>
    <n v="4.1500000000000004"/>
    <n v="132"/>
    <n v="6"/>
    <n v="1"/>
    <s v="Hourly"/>
    <n v="56.65"/>
    <n v="27.217551773066532"/>
    <n v="13.650602409638553"/>
    <n v="6.5584462103774772"/>
    <n v="9.4416666666666664"/>
    <n v="0.42916666666666664"/>
    <n v="1.4457831325301203"/>
    <n v="22"/>
    <d v="1899-12-30T00:41:30"/>
    <n v="-9.7316066524823572"/>
    <n v="16.126771793054569"/>
    <n v="-2.4761693834160159"/>
    <n v="69.051777777777772"/>
  </r>
  <r>
    <x v="828"/>
    <x v="4"/>
    <x v="3"/>
    <n v="9"/>
    <n v="48"/>
    <x v="4"/>
    <x v="2"/>
    <x v="0"/>
    <x v="13"/>
    <x v="260"/>
    <n v="4.4000000000000004"/>
    <n v="63"/>
    <n v="9"/>
    <n v="3"/>
    <s v="Order"/>
    <n v="110.42999999999999"/>
    <n v="96.382695164418109"/>
    <n v="25.097727272727269"/>
    <n v="21.905157991913207"/>
    <n v="12.27"/>
    <n v="1.7528571428571427"/>
    <n v="2.0454545454545454"/>
    <n v="7"/>
    <d v="1899-12-30T00:29:20"/>
    <n v="0.53162319391466895"/>
    <n v="21.690654681139755"/>
    <n v="3.4070725915875144"/>
    <n v="68.041777777777781"/>
  </r>
  <r>
    <x v="829"/>
    <x v="4"/>
    <x v="3"/>
    <n v="9"/>
    <n v="48"/>
    <x v="0"/>
    <x v="4"/>
    <x v="3"/>
    <x v="2"/>
    <x v="1"/>
    <n v="8.26"/>
    <n v="185"/>
    <n v="17"/>
    <n v="3"/>
    <s v="Order"/>
    <n v="185.76"/>
    <n v="144.50997786376749"/>
    <n v="22.489104116222759"/>
    <n v="17.495154705056596"/>
    <n v="10.927058823529411"/>
    <n v="1.004108108108108"/>
    <n v="2.0581113801452786"/>
    <n v="10.882352941176471"/>
    <d v="1899-12-30T00:29:09"/>
    <n v="-2.0318604951941168"/>
    <n v="22.823939422141361"/>
    <n v="-0.33483530591860244"/>
    <n v="67.051333333333332"/>
  </r>
  <r>
    <x v="830"/>
    <x v="4"/>
    <x v="3"/>
    <n v="9"/>
    <n v="48"/>
    <x v="1"/>
    <x v="21"/>
    <x v="0"/>
    <x v="2"/>
    <x v="266"/>
    <n v="5.47"/>
    <n v="140"/>
    <n v="6"/>
    <n v="2"/>
    <s v="Order"/>
    <n v="83.38"/>
    <n v="52.163767032040255"/>
    <n v="15.243144424131627"/>
    <n v="9.5363376658208878"/>
    <n v="13.896666666666667"/>
    <n v="0.59557142857142853"/>
    <n v="1.0968921389396711"/>
    <n v="23.333333333333332"/>
    <d v="1899-12-30T00:54:42"/>
    <n v="-6.3685938514719762"/>
    <n v="20.137597751187688"/>
    <n v="-4.8944533270560608"/>
    <n v="67.744"/>
  </r>
  <r>
    <x v="831"/>
    <x v="4"/>
    <x v="3"/>
    <n v="9"/>
    <n v="48"/>
    <x v="2"/>
    <x v="2"/>
    <x v="0"/>
    <x v="4"/>
    <x v="264"/>
    <n v="6.03"/>
    <n v="123"/>
    <n v="18"/>
    <n v="3"/>
    <s v="Order"/>
    <n v="185.89"/>
    <n v="158.46430960672109"/>
    <n v="30.82752902155887"/>
    <n v="26.279321659489401"/>
    <n v="10.327222222222222"/>
    <n v="1.51130081300813"/>
    <n v="2.9850746268656714"/>
    <n v="6.833333333333333"/>
    <d v="1899-12-30T00:20:06"/>
    <n v="8.2562871804781537"/>
    <n v="26.176807989040306"/>
    <n v="4.6507210325185646"/>
    <n v="67.582000000000008"/>
  </r>
  <r>
    <x v="832"/>
    <x v="4"/>
    <x v="3"/>
    <n v="10"/>
    <n v="49"/>
    <x v="4"/>
    <x v="8"/>
    <x v="1"/>
    <x v="3"/>
    <x v="201"/>
    <n v="4.5999999999999996"/>
    <n v="124"/>
    <n v="7"/>
    <n v="2"/>
    <s v="Order"/>
    <n v="111.37"/>
    <n v="83.721336514092812"/>
    <n v="24.210869565217394"/>
    <n v="18.200290546541918"/>
    <n v="15.91"/>
    <n v="0.89814516129032262"/>
    <n v="1.5217391304347827"/>
    <n v="17.714285714285715"/>
    <d v="1899-12-30T00:39:26"/>
    <n v="6.0398564783176312"/>
    <n v="25.405428055549038"/>
    <n v="-1.1945584903316444"/>
    <n v="67.648444444444436"/>
  </r>
  <r>
    <x v="833"/>
    <x v="4"/>
    <x v="3"/>
    <n v="10"/>
    <n v="49"/>
    <x v="5"/>
    <x v="9"/>
    <x v="3"/>
    <x v="5"/>
    <x v="266"/>
    <n v="3.65"/>
    <n v="111"/>
    <n v="5"/>
    <n v="2"/>
    <s v="Order"/>
    <n v="59.56"/>
    <n v="34.809986718260497"/>
    <n v="16.317808219178083"/>
    <n v="9.5369826625371221"/>
    <n v="11.912000000000001"/>
    <n v="0.53657657657657665"/>
    <n v="1.3698630136986301"/>
    <n v="22.2"/>
    <d v="1899-12-30T00:43:48"/>
    <n v="1.9001945828144464"/>
    <n v="22.342390348121153"/>
    <n v="-6.0245821289430701"/>
    <n v="68.023777777777781"/>
  </r>
  <r>
    <x v="834"/>
    <x v="4"/>
    <x v="3"/>
    <n v="10"/>
    <n v="49"/>
    <x v="1"/>
    <x v="4"/>
    <x v="1"/>
    <x v="15"/>
    <x v="201"/>
    <n v="6.58"/>
    <n v="148"/>
    <n v="13"/>
    <n v="2"/>
    <s v="Order"/>
    <n v="146.79"/>
    <n v="113.78998229101398"/>
    <n v="22.308510638297872"/>
    <n v="17.293310378573555"/>
    <n v="11.291538461538462"/>
    <n v="0.99182432432432432"/>
    <n v="1.9756838905775076"/>
    <n v="11.384615384615385"/>
    <d v="1899-12-30T00:30:22"/>
    <n v="-0.21524076413826165"/>
    <n v="20.464828006373605"/>
    <n v="1.843682631924267"/>
    <n v="67.365222222222215"/>
  </r>
  <r>
    <x v="835"/>
    <x v="4"/>
    <x v="3"/>
    <n v="10"/>
    <n v="49"/>
    <x v="2"/>
    <x v="21"/>
    <x v="0"/>
    <x v="5"/>
    <x v="1"/>
    <n v="8.7200000000000006"/>
    <n v="201"/>
    <n v="14"/>
    <n v="1"/>
    <s v="Order"/>
    <n v="201.02"/>
    <n v="156.20240838171497"/>
    <n v="23.052752293577981"/>
    <n v="17.91312022726089"/>
    <n v="14.358571428571429"/>
    <n v="1.0000995024875623"/>
    <n v="1.6055045871559632"/>
    <n v="14.357142857142858"/>
    <d v="1899-12-30T00:37:22"/>
    <n v="-0.15358856138566779"/>
    <n v="23.052752293577981"/>
    <n v="0"/>
    <n v="68.312888888888892"/>
  </r>
  <r>
    <x v="836"/>
    <x v="4"/>
    <x v="3"/>
    <n v="11"/>
    <n v="50"/>
    <x v="3"/>
    <x v="4"/>
    <x v="2"/>
    <x v="12"/>
    <x v="273"/>
    <n v="5.8"/>
    <n v="112"/>
    <n v="14"/>
    <n v="3"/>
    <s v="Hourly"/>
    <n v="156.88"/>
    <n v="131.9070136256322"/>
    <n v="27.048275862068966"/>
    <n v="22.742588556143485"/>
    <n v="11.205714285714285"/>
    <n v="1.4007142857142856"/>
    <n v="2.4137931034482758"/>
    <n v="8"/>
    <d v="1899-12-30T00:24:51"/>
    <n v="4.7454614722234219"/>
    <n v="22.79137036513114"/>
    <n v="4.2569054969378257"/>
    <n v="68.973333333333343"/>
  </r>
  <r>
    <x v="837"/>
    <x v="4"/>
    <x v="3"/>
    <n v="11"/>
    <n v="50"/>
    <x v="4"/>
    <x v="24"/>
    <x v="0"/>
    <x v="12"/>
    <x v="269"/>
    <n v="7.5"/>
    <n v="181"/>
    <n v="10"/>
    <n v="2"/>
    <s v="Order"/>
    <n v="131.70999999999998"/>
    <n v="91.351870234280597"/>
    <n v="17.56133333333333"/>
    <n v="12.180249364570747"/>
    <n v="13.170999999999998"/>
    <n v="0.72767955801104967"/>
    <n v="1.3333333333333333"/>
    <n v="18.100000000000001"/>
    <d v="1899-12-30T00:45:00"/>
    <n v="-7.0300861356656839"/>
    <n v="23.001121212121209"/>
    <n v="-5.4397878787878788"/>
    <n v="70.436777777777777"/>
  </r>
  <r>
    <x v="838"/>
    <x v="4"/>
    <x v="3"/>
    <n v="11"/>
    <n v="50"/>
    <x v="6"/>
    <x v="20"/>
    <x v="2"/>
    <x v="15"/>
    <x v="266"/>
    <n v="6.78"/>
    <n v="159"/>
    <n v="19"/>
    <n v="1"/>
    <s v="Order"/>
    <n v="158.91"/>
    <n v="123.45727827210287"/>
    <n v="23.438053097345133"/>
    <n v="18.209038093230511"/>
    <n v="8.3636842105263156"/>
    <n v="0.99943396226415093"/>
    <n v="2.8023598820058995"/>
    <n v="8.3684210526315788"/>
    <d v="1899-12-30T00:21:25"/>
    <n v="10.628161031027116"/>
    <n v="20.118243620248233"/>
    <n v="3.3198094770969"/>
    <n v="68.449222222222232"/>
  </r>
  <r>
    <x v="839"/>
    <x v="4"/>
    <x v="3"/>
    <n v="11"/>
    <n v="50"/>
    <x v="0"/>
    <x v="19"/>
    <x v="0"/>
    <x v="1"/>
    <x v="201"/>
    <n v="5.58"/>
    <n v="105"/>
    <n v="10"/>
    <n v="2"/>
    <s v="Order"/>
    <n v="110.08"/>
    <n v="86.667825274030193"/>
    <n v="19.727598566308242"/>
    <n v="15.531868328679247"/>
    <n v="11.007999999999999"/>
    <n v="1.0483809523809524"/>
    <n v="1.7921146953405018"/>
    <n v="10.5"/>
    <d v="1899-12-30T00:33:29"/>
    <n v="-4.568926160153012"/>
    <n v="21.738060193229416"/>
    <n v="-2.0104616269211739"/>
    <n v="69.672333333333341"/>
  </r>
  <r>
    <x v="840"/>
    <x v="4"/>
    <x v="3"/>
    <n v="11"/>
    <n v="50"/>
    <x v="1"/>
    <x v="11"/>
    <x v="2"/>
    <x v="13"/>
    <x v="1"/>
    <n v="6.83"/>
    <n v="147"/>
    <n v="14"/>
    <n v="2"/>
    <s v="Order"/>
    <n v="154.57"/>
    <n v="121.79295538364227"/>
    <n v="22.63103953147877"/>
    <n v="17.832057889259481"/>
    <n v="11.040714285714285"/>
    <n v="1.0514965986394558"/>
    <n v="2.0497803806734991"/>
    <n v="10.5"/>
    <d v="1899-12-30T00:29:16"/>
    <n v="2.7162049741538183"/>
    <n v="19.857741987961607"/>
    <n v="2.7732975435171632"/>
    <n v="70.328888888888898"/>
  </r>
  <r>
    <x v="841"/>
    <x v="4"/>
    <x v="3"/>
    <n v="11"/>
    <n v="50"/>
    <x v="2"/>
    <x v="22"/>
    <x v="3"/>
    <x v="5"/>
    <x v="201"/>
    <n v="3.47"/>
    <n v="96"/>
    <n v="6"/>
    <n v="2"/>
    <s v="Hourly"/>
    <n v="66.569999999999993"/>
    <n v="45.164583107684749"/>
    <n v="19.184438040345817"/>
    <n v="13.015730002214625"/>
    <n v="11.094999999999999"/>
    <n v="0.69343749999999993"/>
    <n v="1.7291066282420748"/>
    <n v="16"/>
    <d v="1899-12-30T00:34:42"/>
    <n v="2.6908896532490445"/>
    <n v="17.838993213721295"/>
    <n v="1.3454448266245222"/>
    <n v="69.467777777777783"/>
  </r>
  <r>
    <x v="842"/>
    <x v="4"/>
    <x v="3"/>
    <n v="12"/>
    <n v="51"/>
    <x v="3"/>
    <x v="9"/>
    <x v="0"/>
    <x v="2"/>
    <x v="271"/>
    <n v="4.17"/>
    <n v="103"/>
    <n v="7"/>
    <n v="2"/>
    <s v="Order"/>
    <n v="117.44"/>
    <n v="94.473771459286766"/>
    <n v="28.163069544364507"/>
    <n v="22.655580685680281"/>
    <n v="16.777142857142856"/>
    <n v="1.1401941747572815"/>
    <n v="1.6786570743405276"/>
    <n v="14.714285714285714"/>
    <d v="1899-12-30T00:35:45"/>
    <n v="3.2374674191612307"/>
    <n v="22.834112091769882"/>
    <n v="5.3289574525946257"/>
    <n v="70.772666666666666"/>
  </r>
  <r>
    <x v="843"/>
    <x v="4"/>
    <x v="3"/>
    <n v="12"/>
    <n v="51"/>
    <x v="4"/>
    <x v="9"/>
    <x v="2"/>
    <x v="2"/>
    <x v="265"/>
    <n v="3.83"/>
    <n v="58"/>
    <n v="9"/>
    <n v="4"/>
    <s v="Hourly"/>
    <n v="60.52"/>
    <n v="47.58756062755954"/>
    <n v="15.801566579634466"/>
    <n v="12.424950555498574"/>
    <n v="6.7244444444444449"/>
    <n v="1.0434482758620691"/>
    <n v="2.3498694516971277"/>
    <n v="6.4444444444444446"/>
    <d v="1899-12-30T00:25:32"/>
    <n v="-1.9848391009122661"/>
    <n v="20.226870246338972"/>
    <n v="-4.4253036667045063"/>
    <n v="69.685777777777787"/>
  </r>
  <r>
    <x v="844"/>
    <x v="4"/>
    <x v="3"/>
    <n v="12"/>
    <n v="51"/>
    <x v="0"/>
    <x v="18"/>
    <x v="3"/>
    <x v="5"/>
    <x v="264"/>
    <n v="3.87"/>
    <n v="111"/>
    <n v="6"/>
    <n v="1"/>
    <s v="Order"/>
    <n v="64"/>
    <n v="39.249986718260494"/>
    <n v="16.537467700258397"/>
    <n v="10.142115431075062"/>
    <n v="10.666666666666666"/>
    <n v="0.57657657657657657"/>
    <n v="1.5503875968992247"/>
    <n v="18.5"/>
    <d v="1899-12-30T00:38:42"/>
    <n v="-7.3062100794271068"/>
    <n v="18.190631660348178"/>
    <n v="-1.6531639600897812"/>
    <n v="67.872111111111124"/>
  </r>
  <r>
    <x v="845"/>
    <x v="4"/>
    <x v="3"/>
    <n v="12"/>
    <n v="51"/>
    <x v="2"/>
    <x v="2"/>
    <x v="1"/>
    <x v="2"/>
    <x v="266"/>
    <n v="5.73"/>
    <n v="151"/>
    <n v="9"/>
    <n v="3"/>
    <s v="Order"/>
    <n v="156.69999999999999"/>
    <n v="123.03106301312913"/>
    <n v="27.347294938917972"/>
    <n v="21.471389705607177"/>
    <n v="17.411111111111111"/>
    <n v="1.0377483443708608"/>
    <n v="1.5706806282722512"/>
    <n v="16.777777777777779"/>
    <d v="1899-12-30T00:38:12"/>
    <n v="3.0194112272642073"/>
    <n v="21.325506973591217"/>
    <n v="6.0217879653267552"/>
    <n v="66.898888888888891"/>
  </r>
  <r>
    <x v="846"/>
    <x v="4"/>
    <x v="0"/>
    <n v="1"/>
    <n v="1"/>
    <x v="4"/>
    <x v="18"/>
    <x v="0"/>
    <x v="1"/>
    <x v="281"/>
    <n v="4.6500000000000004"/>
    <n v="100"/>
    <n v="7"/>
    <n v="3"/>
    <s v="Order"/>
    <n v="110.07"/>
    <n v="87.772690737171615"/>
    <n v="23.670967741935481"/>
    <n v="18.875847470359485"/>
    <n v="15.724285714285713"/>
    <n v="1.1007"/>
    <n v="1.5053763440860215"/>
    <n v="14.285714285714286"/>
    <d v="1899-12-30T00:39:51"/>
    <n v="-3.0787030451454882"/>
    <n v="20.790892411846105"/>
    <n v="2.880075330089376"/>
    <n v="58.577111111111087"/>
  </r>
  <r>
    <x v="847"/>
    <x v="5"/>
    <x v="0"/>
    <n v="1"/>
    <n v="1"/>
    <x v="6"/>
    <x v="21"/>
    <x v="2"/>
    <x v="3"/>
    <x v="265"/>
    <n v="0.43"/>
    <n v="11"/>
    <n v="1"/>
    <n v="1"/>
    <s v="Order"/>
    <n v="9"/>
    <n v="6.5472959810888778"/>
    <n v="20.930232558139537"/>
    <n v="15.226269723462506"/>
    <n v="9"/>
    <n v="0.81818181818181823"/>
    <n v="2.3255813953488373"/>
    <n v="11"/>
    <d v="1899-12-30T00:25:48"/>
    <n v="0.7428173798044142"/>
    <n v="19.427183793387528"/>
    <n v="1.503048764752009"/>
    <n v="55.609555555555545"/>
  </r>
  <r>
    <x v="848"/>
    <x v="5"/>
    <x v="0"/>
    <n v="1"/>
    <n v="1"/>
    <x v="1"/>
    <x v="13"/>
    <x v="0"/>
    <x v="1"/>
    <x v="271"/>
    <n v="4.83"/>
    <n v="137"/>
    <n v="9"/>
    <n v="2"/>
    <s v="Order"/>
    <n v="155.03"/>
    <n v="124.48268630992511"/>
    <n v="32.097308488612839"/>
    <n v="25.772812900605615"/>
    <n v="17.225555555555555"/>
    <n v="1.1316058394160584"/>
    <n v="1.8633540372670807"/>
    <n v="15.222222222222221"/>
    <d v="1899-12-30T00:32:12"/>
    <n v="6.5427862883002454"/>
    <n v="24.897417163760267"/>
    <n v="7.1998913248525724"/>
    <n v="55.627222222222201"/>
  </r>
  <r>
    <x v="849"/>
    <x v="5"/>
    <x v="0"/>
    <n v="1"/>
    <n v="1"/>
    <x v="2"/>
    <x v="23"/>
    <x v="0"/>
    <x v="5"/>
    <x v="273"/>
    <n v="1.22"/>
    <n v="37"/>
    <n v="2"/>
    <n v="2"/>
    <s v="Order"/>
    <n v="38.4"/>
    <n v="30.149995572753497"/>
    <n v="31.475409836065573"/>
    <n v="24.713111125207785"/>
    <n v="19.2"/>
    <n v="1.0378378378378379"/>
    <n v="1.639344262295082"/>
    <n v="18.5"/>
    <d v="1899-12-30T00:36:36"/>
    <n v="7.7470842319443811"/>
    <n v="25.011850729934075"/>
    <n v="6.4635591061314983"/>
    <n v="56.053888888888864"/>
  </r>
  <r>
    <x v="850"/>
    <x v="5"/>
    <x v="0"/>
    <n v="2"/>
    <n v="2"/>
    <x v="6"/>
    <x v="13"/>
    <x v="2"/>
    <x v="2"/>
    <x v="261"/>
    <n v="1.72"/>
    <n v="33"/>
    <n v="2"/>
    <n v="1"/>
    <s v="Order"/>
    <n v="42.2"/>
    <n v="34.841887943266634"/>
    <n v="24.534883720930235"/>
    <n v="20.256911594922464"/>
    <n v="21.1"/>
    <n v="1.2787878787878788"/>
    <n v="1.1627906976744187"/>
    <n v="16.5"/>
    <d v="1899-12-30T00:51:36"/>
    <n v="4.2979473839414837"/>
    <n v="17.499254197459155"/>
    <n v="7.0356295234710799"/>
    <n v="53.195111111111096"/>
  </r>
  <r>
    <x v="851"/>
    <x v="5"/>
    <x v="0"/>
    <n v="3"/>
    <n v="3"/>
    <x v="5"/>
    <x v="18"/>
    <x v="2"/>
    <x v="14"/>
    <x v="274"/>
    <n v="2.23"/>
    <n v="38"/>
    <n v="6"/>
    <n v="2"/>
    <s v="Hourly"/>
    <n v="43.55"/>
    <n v="35.077022480125208"/>
    <n v="19.529147982062778"/>
    <n v="15.72960649332969"/>
    <n v="7.2583333333333329"/>
    <n v="1.1460526315789472"/>
    <n v="2.6905829596412558"/>
    <n v="6.333333333333333"/>
    <d v="1899-12-30T00:22:18"/>
    <n v="1.0739890914668351"/>
    <n v="18.097907324364723"/>
    <n v="1.431240657698055"/>
    <n v="51.390111111111111"/>
  </r>
  <r>
    <x v="852"/>
    <x v="5"/>
    <x v="0"/>
    <n v="3"/>
    <n v="3"/>
    <x v="0"/>
    <x v="8"/>
    <x v="0"/>
    <x v="2"/>
    <x v="273"/>
    <n v="4.12"/>
    <n v="100"/>
    <n v="8"/>
    <n v="3"/>
    <s v="Order"/>
    <n v="155.48999999999998"/>
    <n v="133.1926907371716"/>
    <n v="37.740291262135919"/>
    <n v="32.328322994459128"/>
    <n v="19.436249999999998"/>
    <n v="1.5548999999999997"/>
    <n v="1.941747572815534"/>
    <n v="12.5"/>
    <d v="1899-12-30T00:30:54"/>
    <n v="17.173882617820247"/>
    <n v="26.311622557568853"/>
    <n v="11.428668704567066"/>
    <n v="51.453333333333326"/>
  </r>
  <r>
    <x v="853"/>
    <x v="5"/>
    <x v="0"/>
    <n v="3"/>
    <n v="3"/>
    <x v="1"/>
    <x v="7"/>
    <x v="2"/>
    <x v="3"/>
    <x v="268"/>
    <n v="4.2699999999999996"/>
    <n v="72"/>
    <n v="11"/>
    <n v="2"/>
    <s v="Hourly"/>
    <n v="131.44999999999999"/>
    <n v="115.39593733076356"/>
    <n v="30.784543325526933"/>
    <n v="27.024809679335732"/>
    <n v="11.95"/>
    <n v="1.8256944444444443"/>
    <n v="2.5761124121779861"/>
    <n v="6.5454545454545459"/>
    <d v="1899-12-30T00:23:17"/>
    <n v="10.217192760938953"/>
    <n v="22.144434801112787"/>
    <n v="8.6401085244141456"/>
    <n v="52.913888888888877"/>
  </r>
  <r>
    <x v="854"/>
    <x v="5"/>
    <x v="0"/>
    <n v="3"/>
    <n v="3"/>
    <x v="2"/>
    <x v="7"/>
    <x v="0"/>
    <x v="5"/>
    <x v="266"/>
    <n v="1.63"/>
    <n v="45"/>
    <n v="3"/>
    <n v="1"/>
    <s v="Hourly"/>
    <n v="22.93"/>
    <n v="12.896210831727227"/>
    <n v="14.067484662576687"/>
    <n v="7.9117857863357228"/>
    <n v="7.6433333333333335"/>
    <n v="0.50955555555555554"/>
    <n v="1.8404907975460123"/>
    <n v="15"/>
    <d v="1899-12-30T00:32:36"/>
    <n v="-10.214204100969104"/>
    <n v="16.540912777473199"/>
    <n v="-2.473428114896512"/>
    <n v="51.784222222222212"/>
  </r>
  <r>
    <x v="855"/>
    <x v="5"/>
    <x v="0"/>
    <n v="4"/>
    <n v="4"/>
    <x v="3"/>
    <x v="22"/>
    <x v="1"/>
    <x v="5"/>
    <x v="266"/>
    <n v="4.47"/>
    <n v="90"/>
    <n v="6"/>
    <n v="2"/>
    <s v="Hourly"/>
    <n v="77.680000000000007"/>
    <n v="57.612421663454462"/>
    <n v="17.378076062639824"/>
    <n v="12.888684935895853"/>
    <n v="12.946666666666667"/>
    <n v="0.86311111111111116"/>
    <n v="1.3422818791946309"/>
    <n v="15"/>
    <d v="1899-12-30T00:44:42"/>
    <n v="1.0358129172855719"/>
    <n v="17.564907579101099"/>
    <n v="-0.18683151646127527"/>
    <n v="50.965000000000003"/>
  </r>
  <r>
    <x v="856"/>
    <x v="5"/>
    <x v="0"/>
    <n v="4"/>
    <n v="4"/>
    <x v="1"/>
    <x v="9"/>
    <x v="0"/>
    <x v="2"/>
    <x v="270"/>
    <n v="4.62"/>
    <n v="94"/>
    <n v="8"/>
    <n v="3"/>
    <s v="Order"/>
    <n v="110.41"/>
    <n v="89.450529292941326"/>
    <n v="23.898268398268396"/>
    <n v="19.361586427043576"/>
    <n v="13.80125"/>
    <n v="1.1745744680851062"/>
    <n v="1.7316017316017316"/>
    <n v="11.75"/>
    <d v="1899-12-30T00:34:39"/>
    <n v="-1.8985792201293918"/>
    <n v="22.487593350400246"/>
    <n v="1.4106750478681498"/>
    <n v="51.494111111111117"/>
  </r>
  <r>
    <x v="857"/>
    <x v="5"/>
    <x v="0"/>
    <n v="5"/>
    <n v="5"/>
    <x v="3"/>
    <x v="25"/>
    <x v="0"/>
    <x v="3"/>
    <x v="277"/>
    <n v="0.85"/>
    <n v="24"/>
    <n v="2"/>
    <n v="1"/>
    <s v="Order"/>
    <n v="21.84"/>
    <n v="16.488645776921189"/>
    <n v="25.694117647058825"/>
    <n v="19.39840679637787"/>
    <n v="10.92"/>
    <n v="0.91"/>
    <n v="2.3529411764705883"/>
    <n v="12"/>
    <d v="1899-12-30T00:25:30"/>
    <n v="0.47680187318848155"/>
    <n v="23.522058823529413"/>
    <n v="2.1720588235294116"/>
    <n v="48.649888888888896"/>
  </r>
  <r>
    <x v="858"/>
    <x v="5"/>
    <x v="0"/>
    <n v="5"/>
    <n v="5"/>
    <x v="2"/>
    <x v="14"/>
    <x v="0"/>
    <x v="2"/>
    <x v="269"/>
    <n v="4.4800000000000004"/>
    <n v="119"/>
    <n v="7"/>
    <n v="2"/>
    <s v="Order"/>
    <n v="141.75"/>
    <n v="115.21620197723422"/>
    <n v="31.640624999999996"/>
    <n v="25.717902227061206"/>
    <n v="20.25"/>
    <n v="1.1911764705882353"/>
    <n v="1.5624999999999998"/>
    <n v="17"/>
    <d v="1899-12-30T00:38:24"/>
    <n v="8.0398831765188099"/>
    <n v="17.667121010638297"/>
    <n v="13.973503989361699"/>
    <n v="45.829444444444441"/>
  </r>
  <r>
    <x v="859"/>
    <x v="5"/>
    <x v="0"/>
    <n v="7"/>
    <n v="7"/>
    <x v="0"/>
    <x v="18"/>
    <x v="1"/>
    <x v="2"/>
    <x v="268"/>
    <n v="4.33"/>
    <n v="131"/>
    <n v="7"/>
    <n v="3"/>
    <s v="Hourly"/>
    <n v="84.78"/>
    <n v="55.570524865694821"/>
    <n v="19.579676674364897"/>
    <n v="12.833839460899497"/>
    <n v="12.111428571428572"/>
    <n v="0.64717557251908397"/>
    <n v="1.6166281755196306"/>
    <n v="18.714285714285715"/>
    <d v="1899-12-30T00:37:07"/>
    <n v="-4.6696868904838276"/>
    <n v="19.487580024714472"/>
    <n v="9.2096649650425633E-2"/>
    <n v="42.180888888888887"/>
  </r>
  <r>
    <x v="860"/>
    <x v="5"/>
    <x v="0"/>
    <n v="7"/>
    <n v="7"/>
    <x v="1"/>
    <x v="25"/>
    <x v="0"/>
    <x v="2"/>
    <x v="265"/>
    <n v="3.5"/>
    <n v="109"/>
    <n v="3"/>
    <n v="1"/>
    <s v="Order"/>
    <n v="60.17"/>
    <n v="35.865932903517063"/>
    <n v="17.19142857142857"/>
    <n v="10.247409401004875"/>
    <n v="20.056666666666668"/>
    <n v="0.55201834862385324"/>
    <n v="0.8571428571428571"/>
    <n v="36.333333333333336"/>
    <d v="1899-12-30T01:10:00"/>
    <n v="-8.537612646250313"/>
    <n v="22.316988072985641"/>
    <n v="-5.1255595015570705"/>
    <n v="41.318444444444445"/>
  </r>
  <r>
    <x v="861"/>
    <x v="5"/>
    <x v="0"/>
    <n v="8"/>
    <n v="8"/>
    <x v="0"/>
    <x v="18"/>
    <x v="0"/>
    <x v="6"/>
    <x v="1"/>
    <n v="4.22"/>
    <n v="77"/>
    <n v="9"/>
    <n v="2"/>
    <s v="Order"/>
    <n v="169.02"/>
    <n v="151.85107186762215"/>
    <n v="40.052132701421804"/>
    <n v="35.983666319341744"/>
    <n v="18.78"/>
    <n v="2.1950649350649352"/>
    <n v="2.1327014218009479"/>
    <n v="8.5555555555555554"/>
    <d v="1899-12-30T00:28:08"/>
    <n v="17.577514877348328"/>
    <n v="27.384712072751245"/>
    <n v="12.667420628670559"/>
    <n v="41.022222222222226"/>
  </r>
  <r>
    <x v="862"/>
    <x v="5"/>
    <x v="0"/>
    <n v="8"/>
    <n v="8"/>
    <x v="1"/>
    <x v="3"/>
    <x v="0"/>
    <x v="2"/>
    <x v="201"/>
    <n v="4.9800000000000004"/>
    <n v="122"/>
    <n v="10"/>
    <n v="1"/>
    <s v="Order"/>
    <n v="197.22"/>
    <n v="170.01728269934938"/>
    <n v="39.602409638554214"/>
    <n v="34.140016606295056"/>
    <n v="19.722000000000001"/>
    <n v="1.6165573770491803"/>
    <n v="2.0080321285140559"/>
    <n v="12.2"/>
    <d v="1899-12-30T00:29:53"/>
    <n v="14.167768856952929"/>
    <n v="29.384048741661168"/>
    <n v="10.218360896893046"/>
    <n v="42.584111111111106"/>
  </r>
  <r>
    <x v="863"/>
    <x v="5"/>
    <x v="0"/>
    <n v="10"/>
    <n v="10"/>
    <x v="3"/>
    <x v="18"/>
    <x v="0"/>
    <x v="2"/>
    <x v="273"/>
    <n v="4.87"/>
    <n v="111"/>
    <n v="10"/>
    <n v="1"/>
    <s v="Order"/>
    <n v="127.19"/>
    <n v="102.43998671826049"/>
    <n v="26.117043121149898"/>
    <n v="21.034904870279359"/>
    <n v="12.718999999999999"/>
    <n v="1.1458558558558558"/>
    <n v="2.0533880903490758"/>
    <n v="11.1"/>
    <d v="1899-12-30T00:29:13"/>
    <n v="0.87702249617533923"/>
    <n v="24.199959675578484"/>
    <n v="1.9170834455714143"/>
    <n v="36.47699999999999"/>
  </r>
  <r>
    <x v="864"/>
    <x v="5"/>
    <x v="0"/>
    <n v="10"/>
    <n v="10"/>
    <x v="4"/>
    <x v="16"/>
    <x v="2"/>
    <x v="6"/>
    <x v="265"/>
    <n v="2.33"/>
    <n v="23"/>
    <n v="8"/>
    <n v="1"/>
    <s v="Order"/>
    <n v="49.5"/>
    <n v="44.371618869549472"/>
    <n v="21.244635193133046"/>
    <n v="19.043613248733678"/>
    <n v="6.1875"/>
    <n v="2.152173913043478"/>
    <n v="3.4334763948497855"/>
    <n v="2.875"/>
    <d v="1899-12-30T00:17:29"/>
    <n v="1.2188588231054815"/>
    <n v="20.790663442097699"/>
    <n v="0.45397175103534693"/>
    <n v="36.365222222222215"/>
  </r>
  <r>
    <x v="865"/>
    <x v="5"/>
    <x v="0"/>
    <n v="10"/>
    <n v="10"/>
    <x v="0"/>
    <x v="18"/>
    <x v="0"/>
    <x v="13"/>
    <x v="1"/>
    <n v="3.1"/>
    <n v="70"/>
    <n v="7"/>
    <n v="2"/>
    <s v="Hourly"/>
    <n v="80.22"/>
    <n v="64.611883516020129"/>
    <n v="25.877419354838707"/>
    <n v="20.842543069683913"/>
    <n v="11.459999999999999"/>
    <n v="1.1459999999999999"/>
    <n v="2.258064516129032"/>
    <n v="10"/>
    <d v="1899-12-30T00:26:34"/>
    <n v="1.6450500430303983"/>
    <n v="31.220108445914899"/>
    <n v="-5.3426890910761919"/>
    <n v="35.62555555555555"/>
  </r>
  <r>
    <x v="866"/>
    <x v="5"/>
    <x v="0"/>
    <n v="11"/>
    <n v="11"/>
    <x v="4"/>
    <x v="14"/>
    <x v="1"/>
    <x v="1"/>
    <x v="33"/>
    <n v="4.05"/>
    <n v="74"/>
    <n v="6"/>
    <n v="2"/>
    <s v="Order"/>
    <n v="134.34"/>
    <n v="117.839991145507"/>
    <n v="33.170370370370371"/>
    <n v="29.096294110001729"/>
    <n v="22.39"/>
    <n v="1.8154054054054054"/>
    <n v="1.4814814814814816"/>
    <n v="12.333333333333334"/>
    <d v="1899-12-30T00:40:30"/>
    <n v="16.486193616201458"/>
    <n v="32.707806934860422"/>
    <n v="0.46256343550994927"/>
    <n v="31.678111111111107"/>
  </r>
  <r>
    <x v="867"/>
    <x v="5"/>
    <x v="0"/>
    <n v="11"/>
    <n v="11"/>
    <x v="0"/>
    <x v="18"/>
    <x v="0"/>
    <x v="5"/>
    <x v="263"/>
    <n v="3.97"/>
    <n v="124"/>
    <n v="6"/>
    <n v="3"/>
    <s v="Hourly"/>
    <n v="96.46"/>
    <n v="68.811336514092801"/>
    <n v="24.297229219143574"/>
    <n v="17.332830356194659"/>
    <n v="16.076666666666664"/>
    <n v="0.77790322580645155"/>
    <n v="1.5113350125944585"/>
    <n v="20.666666666666668"/>
    <d v="1899-12-30T00:39:42"/>
    <n v="-8.4690096576590435E-2"/>
    <n v="20.505198983639957"/>
    <n v="3.7920302355036171"/>
    <n v="28.043666666666663"/>
  </r>
  <r>
    <x v="868"/>
    <x v="5"/>
    <x v="0"/>
    <n v="12"/>
    <n v="12"/>
    <x v="4"/>
    <x v="23"/>
    <x v="0"/>
    <x v="2"/>
    <x v="263"/>
    <n v="3.75"/>
    <n v="105"/>
    <n v="4"/>
    <n v="2"/>
    <s v="Order"/>
    <n v="72.069999999999993"/>
    <n v="48.657825274030188"/>
    <n v="19.218666666666664"/>
    <n v="12.975420073074718"/>
    <n v="18.017499999999998"/>
    <n v="0.68638095238095231"/>
    <n v="1.0666666666666667"/>
    <n v="26.25"/>
    <d v="1899-12-30T00:56:15"/>
    <n v="-7.3910630729076914"/>
    <n v="23.708191000470212"/>
    <n v="-4.4895243338035478"/>
    <n v="26.127444444444446"/>
  </r>
  <r>
    <x v="869"/>
    <x v="5"/>
    <x v="0"/>
    <n v="13"/>
    <n v="13"/>
    <x v="5"/>
    <x v="9"/>
    <x v="0"/>
    <x v="2"/>
    <x v="274"/>
    <n v="4.75"/>
    <n v="102"/>
    <n v="7"/>
    <n v="3"/>
    <s v="Order"/>
    <n v="114.73"/>
    <n v="91.986744551915052"/>
    <n v="24.153684210526318"/>
    <n v="19.365630431982115"/>
    <n v="16.39"/>
    <n v="1.1248039215686274"/>
    <n v="1.4736842105263157"/>
    <n v="14.571428571428571"/>
    <d v="1899-12-30T00:40:43"/>
    <n v="-2.1319613949015022"/>
    <n v="32.352077622229814"/>
    <n v="-8.1983934117034956"/>
    <n v="24.95"/>
  </r>
  <r>
    <x v="870"/>
    <x v="5"/>
    <x v="0"/>
    <n v="13"/>
    <n v="13"/>
    <x v="6"/>
    <x v="8"/>
    <x v="0"/>
    <x v="13"/>
    <x v="220"/>
    <n v="4.38"/>
    <n v="105"/>
    <n v="8"/>
    <n v="2"/>
    <s v="Hourly"/>
    <n v="99.3"/>
    <n v="75.887825274030192"/>
    <n v="22.671232876712327"/>
    <n v="17.325987505486346"/>
    <n v="12.4125"/>
    <n v="0.94571428571428573"/>
    <n v="1.8264840182648403"/>
    <n v="13.125"/>
    <d v="1899-12-30T00:32:51"/>
    <n v="2.5862166423517721"/>
    <n v="22.100489612644736"/>
    <n v="0.57074326406759113"/>
    <n v="26.053333333333335"/>
  </r>
  <r>
    <x v="871"/>
    <x v="5"/>
    <x v="1"/>
    <n v="3"/>
    <n v="16"/>
    <x v="4"/>
    <x v="23"/>
    <x v="0"/>
    <x v="11"/>
    <x v="259"/>
    <n v="3.12"/>
    <n v="47"/>
    <n v="8"/>
    <n v="1"/>
    <s v="Hourly"/>
    <n v="56.55"/>
    <n v="46.070264646470662"/>
    <n v="18.125"/>
    <n v="14.766110463612391"/>
    <n v="7.0687499999999996"/>
    <n v="1.2031914893617022"/>
    <n v="2.5641025641025639"/>
    <n v="5.875"/>
    <d v="1899-12-30T00:23:24"/>
    <n v="-3.7832885141330443"/>
    <n v="16.999891304347827"/>
    <n v="1.1251086956521732"/>
    <n v="22.256666666666664"/>
  </r>
  <r>
    <x v="872"/>
    <x v="5"/>
    <x v="1"/>
    <n v="4"/>
    <n v="17"/>
    <x v="5"/>
    <x v="14"/>
    <x v="2"/>
    <x v="5"/>
    <x v="264"/>
    <n v="4.7300000000000004"/>
    <n v="72"/>
    <n v="9"/>
    <n v="2"/>
    <s v="Order"/>
    <n v="205.57"/>
    <n v="189.51593733076356"/>
    <n v="43.460887949260034"/>
    <n v="40.066794361683627"/>
    <n v="22.841111111111111"/>
    <n v="2.8551388888888889"/>
    <n v="1.9027484143763211"/>
    <n v="8"/>
    <d v="1899-12-30T00:31:32"/>
    <n v="23.756326948341723"/>
    <n v="29.968200278941691"/>
    <n v="13.492687670318343"/>
    <n v="20.234666666666666"/>
  </r>
  <r>
    <x v="873"/>
    <x v="5"/>
    <x v="1"/>
    <n v="4"/>
    <n v="17"/>
    <x v="0"/>
    <x v="18"/>
    <x v="2"/>
    <x v="5"/>
    <x v="245"/>
    <n v="7.17"/>
    <n v="107"/>
    <n v="18"/>
    <n v="3"/>
    <s v="Order"/>
    <n v="325.67999999999995"/>
    <n v="301.82187908877358"/>
    <n v="45.422594142259406"/>
    <n v="42.095101686021422"/>
    <n v="18.09333333333333"/>
    <n v="3.043738317757009"/>
    <n v="2.510460251046025"/>
    <n v="5.9444444444444446"/>
    <d v="1899-12-30T00:23:54"/>
    <n v="25.530164735441904"/>
    <n v="27.058394201331158"/>
    <n v="18.364199940928248"/>
    <n v="22.626555555555555"/>
  </r>
  <r>
    <x v="874"/>
    <x v="5"/>
    <x v="1"/>
    <n v="5"/>
    <n v="18"/>
    <x v="5"/>
    <x v="18"/>
    <x v="2"/>
    <x v="14"/>
    <x v="260"/>
    <n v="5.47"/>
    <n v="87"/>
    <n v="13"/>
    <n v="2"/>
    <s v="Order"/>
    <n v="122.88"/>
    <n v="103.4813409413393"/>
    <n v="22.46435100548446"/>
    <n v="18.917978234248501"/>
    <n v="9.4523076923076914"/>
    <n v="1.4124137931034482"/>
    <n v="2.376599634369287"/>
    <n v="6.6923076923076925"/>
    <d v="1899-12-30T00:25:15"/>
    <n v="-0.63397098805409513"/>
    <n v="22.36763015414142"/>
    <n v="9.6720851343039982E-2"/>
    <n v="23.749222222222219"/>
  </r>
  <r>
    <x v="875"/>
    <x v="5"/>
    <x v="1"/>
    <n v="6"/>
    <n v="19"/>
    <x v="3"/>
    <x v="18"/>
    <x v="0"/>
    <x v="2"/>
    <x v="247"/>
    <n v="3.75"/>
    <n v="73"/>
    <n v="7"/>
    <n v="3"/>
    <s v="Order"/>
    <n v="57.730000000000004"/>
    <n v="41.45296423813528"/>
    <n v="15.394666666666668"/>
    <n v="11.054123796836075"/>
    <n v="8.2471428571428582"/>
    <n v="0.7908219178082192"/>
    <n v="1.8666666666666667"/>
    <n v="10.428571428571429"/>
    <d v="1899-12-30T00:32:09"/>
    <n v="-5.9435660221250668"/>
    <n v="20.570186793111567"/>
    <n v="-5.1755201264448996"/>
    <n v="22.815666666666669"/>
  </r>
  <r>
    <x v="876"/>
    <x v="5"/>
    <x v="1"/>
    <n v="6"/>
    <n v="19"/>
    <x v="0"/>
    <x v="3"/>
    <x v="0"/>
    <x v="13"/>
    <x v="259"/>
    <n v="1.8"/>
    <n v="59"/>
    <n v="2"/>
    <n v="2"/>
    <s v="Order"/>
    <n v="18.939999999999998"/>
    <n v="5.7845875349312514"/>
    <n v="10.52222222222222"/>
    <n v="3.2136597416284731"/>
    <n v="9.4699999999999989"/>
    <n v="0.32101694915254231"/>
    <n v="1.1111111111111112"/>
    <n v="29.5"/>
    <d v="1899-12-30T00:54:00"/>
    <n v="-13.769579860627813"/>
    <n v="15.596737876437123"/>
    <n v="-5.0745156542149026"/>
    <n v="23.026111111111113"/>
  </r>
  <r>
    <x v="877"/>
    <x v="5"/>
    <x v="1"/>
    <n v="7"/>
    <n v="20"/>
    <x v="3"/>
    <x v="13"/>
    <x v="0"/>
    <x v="2"/>
    <x v="259"/>
    <n v="3.15"/>
    <n v="81"/>
    <n v="6"/>
    <n v="3"/>
    <s v="Order"/>
    <n v="80.77000000000001"/>
    <n v="62.70917949710902"/>
    <n v="25.641269841269846"/>
    <n v="19.907676030828259"/>
    <n v="13.461666666666668"/>
    <n v="0.99716049382716065"/>
    <n v="1.9047619047619049"/>
    <n v="13.5"/>
    <d v="1899-12-30T00:31:30"/>
    <n v="4.6332352648183921"/>
    <n v="25.030869708994711"/>
    <n v="0.61040013227513512"/>
    <n v="23.923555555555559"/>
  </r>
  <r>
    <x v="878"/>
    <x v="5"/>
    <x v="1"/>
    <n v="7"/>
    <n v="20"/>
    <x v="4"/>
    <x v="8"/>
    <x v="0"/>
    <x v="5"/>
    <x v="259"/>
    <n v="3.57"/>
    <n v="100"/>
    <n v="6"/>
    <n v="2"/>
    <s v="Order"/>
    <n v="103.33"/>
    <n v="81.03269073717162"/>
    <n v="28.943977591036415"/>
    <n v="22.69823269948785"/>
    <n v="17.221666666666668"/>
    <n v="1.0332999999999999"/>
    <n v="1.680672268907563"/>
    <n v="16.666666666666668"/>
    <d v="1899-12-30T00:35:42"/>
    <n v="7.2158456728144671"/>
    <n v="25.982298093143498"/>
    <n v="2.9616794978929164"/>
    <n v="25.071666666666669"/>
  </r>
  <r>
    <x v="879"/>
    <x v="5"/>
    <x v="1"/>
    <n v="7"/>
    <n v="20"/>
    <x v="2"/>
    <x v="1"/>
    <x v="1"/>
    <x v="2"/>
    <x v="251"/>
    <n v="6.37"/>
    <n v="113"/>
    <n v="12"/>
    <n v="3"/>
    <s v="Order"/>
    <n v="153.65"/>
    <n v="128.45404053300393"/>
    <n v="24.12087912087912"/>
    <n v="20.165469471429187"/>
    <n v="12.804166666666667"/>
    <n v="1.3597345132743364"/>
    <n v="1.8838304552590266"/>
    <n v="9.4166666666666661"/>
    <d v="1899-12-30T00:31:51"/>
    <n v="2.1894967458575785"/>
    <n v="24.12087912087912"/>
    <n v="0"/>
    <n v="25.168333333333333"/>
  </r>
  <r>
    <x v="880"/>
    <x v="5"/>
    <x v="1"/>
    <n v="8"/>
    <n v="21"/>
    <x v="5"/>
    <x v="1"/>
    <x v="2"/>
    <x v="2"/>
    <x v="137"/>
    <n v="5.0199999999999996"/>
    <n v="102"/>
    <n v="10"/>
    <n v="3"/>
    <s v="Order"/>
    <n v="107.50999999999999"/>
    <n v="84.766744551915039"/>
    <n v="21.416334661354583"/>
    <n v="16.88580568763248"/>
    <n v="10.750999999999999"/>
    <n v="1.0540196078431372"/>
    <n v="1.9920318725099604"/>
    <n v="10.199999999999999"/>
    <d v="1899-12-30T00:30:07"/>
    <n v="-1.6027409586772094"/>
    <n v="19.565184981657026"/>
    <n v="1.8511496796975564"/>
    <n v="26.362888888888886"/>
  </r>
  <r>
    <x v="881"/>
    <x v="5"/>
    <x v="1"/>
    <n v="8"/>
    <n v="21"/>
    <x v="0"/>
    <x v="23"/>
    <x v="2"/>
    <x v="2"/>
    <x v="245"/>
    <n v="6.23"/>
    <n v="144"/>
    <n v="9"/>
    <n v="1"/>
    <s v="Order"/>
    <n v="125.25"/>
    <n v="93.141874661527126"/>
    <n v="20.104333868378809"/>
    <n v="14.950541679217837"/>
    <n v="13.916666666666666"/>
    <n v="0.86979166666666663"/>
    <n v="1.4446227929373996"/>
    <n v="16"/>
    <d v="1899-12-30T00:41:32"/>
    <n v="-3.4352619292161073"/>
    <n v="17.27594486567542"/>
    <n v="2.8283890027033891"/>
    <n v="23.6852222222222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">
  <r>
    <d v="2021-01-01T00:00:00"/>
    <x v="0"/>
    <x v="0"/>
    <n v="1"/>
    <s v="QTR1"/>
    <s v="Friday"/>
    <s v=""/>
    <s v="Rain / Snow Mix"/>
    <n v="29.5"/>
    <s v="Brunswick/Bath/Freeport"/>
    <n v="28.21"/>
    <n v="4.333333333333333"/>
    <n v="10.341184263267598"/>
    <n v="1"/>
    <n v="6.5100000000000007"/>
    <s v=""/>
    <n v="28.21"/>
    <n v="2.727927409649137"/>
    <n v="10.341184263267598"/>
    <n v="0.23076923076923078"/>
    <n v="1"/>
    <d v="1899-12-30T04:20:00"/>
    <s v="Order"/>
    <n v="19.988788031661809"/>
    <n v="-13.478788031661807"/>
    <n v="0.31344444444444447"/>
    <n v="28.21"/>
    <n v="0"/>
  </r>
  <r>
    <d v="2021-01-02T00:00:00"/>
    <x v="0"/>
    <x v="0"/>
    <n v="1"/>
    <s v="QTR1"/>
    <s v="Saturday"/>
    <s v=""/>
    <s v="Rain / Snow Mix"/>
    <n v="32"/>
    <s v="Portland"/>
    <n v="53.14"/>
    <n v="3.1000000000000005"/>
    <n v="57.189545807727626"/>
    <n v="4"/>
    <n v="17.141935483870967"/>
    <s v=""/>
    <n v="13.285"/>
    <n v="0.9291908031348548"/>
    <n v="14.297386451931906"/>
    <n v="1.290322580645161"/>
    <n v="1"/>
    <d v="1899-12-30T00:46:30"/>
    <s v="Order"/>
    <n v="21.29747150133398"/>
    <n v="-4.1555360174630138"/>
    <n v="0.90388888888888885"/>
    <n v="40.674999999999997"/>
    <n v="12.465000000000003"/>
  </r>
  <r>
    <d v="2021-01-08T00:00:00"/>
    <x v="0"/>
    <x v="1"/>
    <n v="2"/>
    <s v="QTR1"/>
    <s v="Friday"/>
    <s v=""/>
    <s v="Partially Cloudy"/>
    <n v="26.6"/>
    <s v="Portland"/>
    <n v="12.04"/>
    <n v="2.0499999999999998"/>
    <n v="28.594772903863813"/>
    <n v="2"/>
    <n v="5.873170731707317"/>
    <s v=""/>
    <n v="6.02"/>
    <n v="0.42105597552667107"/>
    <n v="14.297386451931906"/>
    <n v="0.97560975609756106"/>
    <n v="1"/>
    <d v="1899-12-30T01:01:30"/>
    <s v="Order"/>
    <n v="5.873170731707317"/>
    <n v="0"/>
    <n v="1.0376666666666665"/>
    <n v="31.129999999999995"/>
    <n v="-19.089999999999996"/>
  </r>
  <r>
    <d v="2021-01-10T00:00:00"/>
    <x v="0"/>
    <x v="1"/>
    <n v="2"/>
    <s v="QTR1"/>
    <s v="Sunday"/>
    <s v=""/>
    <s v="Partially Cloudy"/>
    <n v="34.200000000000003"/>
    <s v="Portland"/>
    <n v="63.93"/>
    <n v="6.6166666666666671"/>
    <n v="71.48693225965954"/>
    <n v="5"/>
    <n v="9.6619647355163725"/>
    <s v=""/>
    <n v="12.786"/>
    <n v="0.89428931944917212"/>
    <n v="14.297386451931908"/>
    <n v="0.75566750629722912"/>
    <n v="1"/>
    <d v="1899-12-30T01:19:24"/>
    <s v="Order"/>
    <n v="17.041251039326678"/>
    <n v="-7.3792863038103054"/>
    <n v="1.748"/>
    <n v="39.33"/>
    <n v="24.6"/>
  </r>
  <r>
    <d v="2021-01-17T00:00:00"/>
    <x v="0"/>
    <x v="2"/>
    <n v="3"/>
    <s v="QTR1"/>
    <s v="Sunday"/>
    <s v=""/>
    <s v="Partially Cloudy"/>
    <n v="32.4"/>
    <s v="Portland"/>
    <n v="35.950000000000003"/>
    <n v="3.6666666666666661"/>
    <n v="28.594772903863813"/>
    <n v="2"/>
    <n v="9.8045454545454565"/>
    <n v="0.14258071902908398"/>
    <n v="17.975000000000001"/>
    <n v="1.2572227840684242"/>
    <n v="14.297386451931906"/>
    <n v="0.54545454545454553"/>
    <n v="1"/>
    <d v="1899-12-30T01:50:00"/>
    <s v="Order"/>
    <n v="17.777626834921453"/>
    <n v="-7.9730813803759961"/>
    <n v="2.147444444444444"/>
    <n v="41.265000000000001"/>
    <n v="-5.3149999999999977"/>
  </r>
  <r>
    <d v="2021-01-30T00:00:00"/>
    <x v="0"/>
    <x v="3"/>
    <n v="5"/>
    <s v="QTR1"/>
    <s v="Saturday"/>
    <s v=""/>
    <s v="Clear"/>
    <n v="29.1"/>
    <s v="Portland"/>
    <n v="100.51"/>
    <n v="7.1666666666666661"/>
    <n v="100.08170516352334"/>
    <n v="7"/>
    <n v="14.024651162790699"/>
    <n v="-3.1172843210802679"/>
    <n v="14.358571428571429"/>
    <n v="1.0042794518316498"/>
    <n v="14.297386451931905"/>
    <n v="0.9767441860465117"/>
    <n v="1"/>
    <d v="1899-12-30T01:01:26"/>
    <s v="Order"/>
    <n v="19.039721119304218"/>
    <n v="-5.0150699565135195"/>
    <n v="3.2642222222222221"/>
    <n v="53.107500000000002"/>
    <n v="47.402500000000003"/>
  </r>
  <r>
    <d v="2021-01-31T00:00:00"/>
    <x v="0"/>
    <x v="3"/>
    <n v="5"/>
    <s v="QTR1"/>
    <s v="Sunday"/>
    <s v=""/>
    <s v="Partially Cloudy"/>
    <n v="17.600000000000001"/>
    <s v="Lewiston"/>
    <n v="8.68"/>
    <n v="2.35"/>
    <n v="7.89235576923077"/>
    <n v="1"/>
    <n v="3.6936170212765953"/>
    <s v=""/>
    <n v="8.68"/>
    <n v="1.0997983686746546"/>
    <n v="7.89235576923077"/>
    <n v="0.42553191489361702"/>
    <n v="1"/>
    <d v="1899-12-30T02:21:00"/>
    <s v="Order"/>
    <n v="3.6936170212765953"/>
    <n v="0"/>
    <n v="3.3606666666666665"/>
    <n v="52.267499999999998"/>
    <n v="-43.587499999999999"/>
  </r>
  <r>
    <d v="2021-02-01T00:00:00"/>
    <x v="0"/>
    <x v="4"/>
    <n v="6"/>
    <s v="QTR1"/>
    <s v="Monday"/>
    <s v=""/>
    <s v="Rain / Snow Mix"/>
    <n v="21.2"/>
    <s v="Portland"/>
    <n v="24.85"/>
    <n v="2.15"/>
    <n v="28.594772903863813"/>
    <n v="2"/>
    <n v="11.558139534883722"/>
    <s v=""/>
    <n v="12.425000000000001"/>
    <n v="0.86903994948818752"/>
    <n v="14.297386451931906"/>
    <n v="0.93023255813953487"/>
    <n v="1"/>
    <d v="1899-12-30T01:04:30"/>
    <s v="Order"/>
    <n v="16.370667853439272"/>
    <n v="-4.8125283185555503"/>
    <n v="3.6367777777777777"/>
    <n v="42.497500000000002"/>
    <n v="-17.647500000000001"/>
  </r>
  <r>
    <d v="2021-02-02T00:00:00"/>
    <x v="0"/>
    <x v="4"/>
    <n v="6"/>
    <s v="QTR1"/>
    <s v="Tuesday"/>
    <s v=""/>
    <s v="Rain / Snow Mix"/>
    <n v="31.9"/>
    <s v="Portland"/>
    <n v="53.84"/>
    <n v="4.9666666666666668"/>
    <n v="71.48693225965954"/>
    <n v="5"/>
    <n v="10.840268456375838"/>
    <s v=""/>
    <n v="10.768000000000001"/>
    <n v="0.75314464193873665"/>
    <n v="14.297386451931908"/>
    <n v="1.006711409395973"/>
    <n v="1"/>
    <d v="1899-12-30T00:59:36"/>
    <s v="Order"/>
    <n v="23.735051355259746"/>
    <n v="-12.894782898883907"/>
    <n v="4.2349999999999994"/>
    <n v="46.97"/>
    <n v="6.8700000000000045"/>
  </r>
  <r>
    <d v="2021-02-07T00:00:00"/>
    <x v="0"/>
    <x v="4"/>
    <n v="6"/>
    <s v="QTR1"/>
    <s v="Sunday"/>
    <s v=""/>
    <s v="Light Snow"/>
    <n v="16.3"/>
    <s v="Portland"/>
    <n v="74.709999999999994"/>
    <n v="5.4"/>
    <n v="85.784318711591439"/>
    <n v="6"/>
    <n v="13.835185185185184"/>
    <n v="4.1019300901542692"/>
    <n v="12.451666666666666"/>
    <n v="0.87090509223692125"/>
    <n v="14.297386451931906"/>
    <n v="1.1111111111111109"/>
    <n v="1"/>
    <d v="1899-12-30T00:54:00"/>
    <s v="Order"/>
    <n v="20.128703703703703"/>
    <n v="-6.2935185185185194"/>
    <n v="5.0651111111111105"/>
    <n v="40.519999999999996"/>
    <n v="34.19"/>
  </r>
  <r>
    <d v="2021-02-14T00:00:00"/>
    <x v="0"/>
    <x v="5"/>
    <n v="7"/>
    <s v="QTR1"/>
    <s v="Sunday"/>
    <s v=""/>
    <s v="Partially Cloudy"/>
    <n v="29.5"/>
    <s v="Brunswick/Bath/Freeport"/>
    <n v="174.88"/>
    <n v="6.25"/>
    <n v="82.729474106140785"/>
    <n v="8"/>
    <n v="27.980799999999999"/>
    <s v=""/>
    <n v="21.86"/>
    <n v="2.1138778154884843"/>
    <n v="10.341184263267598"/>
    <n v="1.28"/>
    <n v="1"/>
    <d v="1899-12-30T00:46:53"/>
    <s v="Order"/>
    <n v="22.500463167053098"/>
    <n v="5.4803368329469002"/>
    <n v="7.0082222222222219"/>
    <n v="82.07"/>
    <n v="92.81"/>
  </r>
  <r>
    <d v="2021-02-20T00:00:00"/>
    <x v="0"/>
    <x v="6"/>
    <n v="8"/>
    <s v="QTR1"/>
    <s v="Saturday"/>
    <s v=""/>
    <s v="Clear"/>
    <n v="26.4"/>
    <s v="Brunswick/Bath/Freeport"/>
    <n v="89.93"/>
    <n v="5.2166666666666668"/>
    <n v="103.41184263267598"/>
    <n v="10"/>
    <n v="17.238977635782749"/>
    <s v=""/>
    <n v="8.9930000000000003"/>
    <n v="0.86962960634437048"/>
    <n v="10.341184263267598"/>
    <n v="1.9169329073482428"/>
    <n v="1"/>
    <d v="1899-12-30T00:31:18"/>
    <s v="Order"/>
    <n v="25.977928442696818"/>
    <n v="-8.7389508069140689"/>
    <n v="8.0074444444444453"/>
    <n v="98.34"/>
    <n v="-8.4099999999999966"/>
  </r>
  <r>
    <d v="2021-02-21T00:00:00"/>
    <x v="0"/>
    <x v="6"/>
    <n v="8"/>
    <s v="QTR1"/>
    <s v="Sunday"/>
    <s v=""/>
    <s v="Rain / Snow Mix"/>
    <n v="36.1"/>
    <s v="Brunswick/Bath/Freeport"/>
    <n v="90.75"/>
    <n v="4.5999999999999996"/>
    <n v="124.09421115921117"/>
    <n v="12"/>
    <n v="19.728260869565219"/>
    <n v="-8.2525391304347799"/>
    <n v="7.5625"/>
    <n v="0.73129922139211634"/>
    <n v="10.341184263267598"/>
    <n v="2.6086956521739131"/>
    <n v="1"/>
    <d v="1899-12-30T00:23:00"/>
    <s v="Order"/>
    <n v="19.728260869565219"/>
    <n v="0"/>
    <n v="9.0157777777777781"/>
    <n v="107.5675"/>
    <n v="-16.817499999999995"/>
  </r>
  <r>
    <d v="2021-02-27T00:00:00"/>
    <x v="0"/>
    <x v="7"/>
    <n v="9"/>
    <s v="QTR1"/>
    <s v="Saturday"/>
    <s v=""/>
    <s v="Clear"/>
    <n v="41.8"/>
    <s v="Lewiston"/>
    <n v="55.9"/>
    <n v="3.7166666666666668"/>
    <n v="63.13884615384616"/>
    <n v="8"/>
    <n v="15.040358744394618"/>
    <s v=""/>
    <n v="6.9874999999999998"/>
    <n v="0.88535035727121536"/>
    <n v="7.89235576923077"/>
    <n v="2.1524663677130045"/>
    <n v="1"/>
    <d v="1899-12-30T00:27:53"/>
    <s v="Order"/>
    <n v="23.647241099883558"/>
    <n v="-8.6068823554889402"/>
    <n v="9.6368888888888886"/>
    <n v="102.86499999999999"/>
    <n v="-46.964999999999996"/>
  </r>
  <r>
    <d v="2021-03-01T00:00:00"/>
    <x v="0"/>
    <x v="8"/>
    <n v="10"/>
    <s v="QTR1"/>
    <s v="Monday"/>
    <s v=""/>
    <s v="Partially Cloudy"/>
    <n v="5.5"/>
    <s v="Brunswick/Bath/Freeport"/>
    <n v="37.5"/>
    <n v="1.8666666666666667"/>
    <n v="41.364737053070392"/>
    <n v="4"/>
    <n v="20.089285714285715"/>
    <s v=""/>
    <n v="9.375"/>
    <n v="0.90656928271749948"/>
    <n v="10.341184263267598"/>
    <n v="2.1428571428571428"/>
    <n v="1"/>
    <d v="1899-12-30T00:28:00"/>
    <s v="Order"/>
    <n v="23.56093186038801"/>
    <n v="-3.4716461461022945"/>
    <n v="10.053555555555556"/>
    <n v="68.52000000000001"/>
    <n v="-31.02000000000001"/>
  </r>
  <r>
    <d v="2021-03-02T00:00:00"/>
    <x v="0"/>
    <x v="8"/>
    <n v="10"/>
    <s v="QTR1"/>
    <s v="Tuesday"/>
    <s v=""/>
    <s v="Partially Cloudy"/>
    <n v="28.6"/>
    <s v="Lewiston"/>
    <n v="29.5"/>
    <n v="1.5"/>
    <n v="31.56942307692308"/>
    <n v="4"/>
    <n v="19.666666666666668"/>
    <s v=""/>
    <n v="7.375"/>
    <n v="0.93444849872990532"/>
    <n v="7.89235576923077"/>
    <n v="2.6666666666666665"/>
    <n v="1"/>
    <d v="1899-12-30T00:22:30"/>
    <s v="Order"/>
    <n v="20.677170504338861"/>
    <n v="-1.0105038376721929"/>
    <n v="10.381333333333334"/>
    <n v="53.412500000000001"/>
    <n v="-23.912500000000001"/>
  </r>
  <r>
    <d v="2021-03-05T00:00:00"/>
    <x v="0"/>
    <x v="8"/>
    <n v="10"/>
    <s v="QTR1"/>
    <s v="Friday"/>
    <s v=""/>
    <s v="Partially Cloudy"/>
    <n v="20.6"/>
    <s v="Portland"/>
    <n v="142.68"/>
    <n v="4.3499999999999996"/>
    <n v="100.08170516352334"/>
    <n v="7"/>
    <n v="32.800000000000004"/>
    <n v="26.926829268292686"/>
    <n v="20.382857142857144"/>
    <n v="1.4256351824429387"/>
    <n v="14.297386451931905"/>
    <n v="1.6091954022988506"/>
    <n v="1"/>
    <d v="1899-12-30T00:37:17"/>
    <s v="Order"/>
    <n v="33.891452991452994"/>
    <n v="-1.0914529914529894"/>
    <n v="11.966666666666667"/>
    <n v="66.39500000000001"/>
    <n v="76.284999999999997"/>
  </r>
  <r>
    <d v="2021-03-06T00:00:00"/>
    <x v="0"/>
    <x v="8"/>
    <n v="10"/>
    <s v="QTR1"/>
    <s v="Saturday"/>
    <s v=""/>
    <s v="Clear"/>
    <n v="25.3"/>
    <s v="Brunswick/Bath/Freeport"/>
    <n v="31.05"/>
    <n v="0.70833333333333326"/>
    <n v="20.682368526535196"/>
    <n v="2"/>
    <n v="43.835294117647067"/>
    <n v="26.596316481864317"/>
    <n v="15.525"/>
    <n v="1.5012787321801793"/>
    <n v="10.341184263267598"/>
    <n v="2.8235294117647061"/>
    <n v="2"/>
    <d v="1899-12-30T00:21:15"/>
    <s v="Order"/>
    <n v="30.543878208019763"/>
    <n v="13.291415909627304"/>
    <n v="12.311666666666666"/>
    <n v="60.182500000000005"/>
    <n v="-29.132500000000004"/>
  </r>
  <r>
    <d v="2021-03-09T00:00:00"/>
    <x v="0"/>
    <x v="9"/>
    <n v="11"/>
    <s v="QTR1"/>
    <s v="Tuesday"/>
    <s v=""/>
    <s v="Clear"/>
    <n v="40"/>
    <s v="Brunswick/Bath/Freeport"/>
    <n v="70.41"/>
    <n v="1.4416666666666664"/>
    <n v="41.364737053070392"/>
    <n v="4"/>
    <n v="48.839306358381506"/>
    <s v=""/>
    <n v="17.602499999999999"/>
    <n v="1.7021744852303771"/>
    <n v="10.341184263267598"/>
    <n v="2.7745664739884397"/>
    <n v="2"/>
    <d v="1899-12-30T00:21:37"/>
    <s v="Order"/>
    <n v="32.476525217105447"/>
    <n v="16.362781141276059"/>
    <n v="13.094000000000001"/>
    <n v="68.41"/>
    <n v="2"/>
  </r>
  <r>
    <d v="2021-03-10T00:00:00"/>
    <x v="0"/>
    <x v="9"/>
    <n v="11"/>
    <s v="QTR1"/>
    <s v="Wednesday"/>
    <s v=""/>
    <s v="Clear"/>
    <n v="56.3"/>
    <s v="Brunswick/Bath/Freeport"/>
    <n v="41.620000000000005"/>
    <n v="1.6416666666666666"/>
    <n v="41.364737053070392"/>
    <n v="4"/>
    <n v="25.352284263959394"/>
    <s v=""/>
    <n v="10.405000000000001"/>
    <n v="1.0061710279120621"/>
    <n v="10.341184263267598"/>
    <n v="2.436548223350254"/>
    <n v="2"/>
    <d v="1899-12-30T00:24:38"/>
    <s v="Order"/>
    <n v="24.713285343418189"/>
    <n v="0.638998920541205"/>
    <n v="13.556444444444443"/>
    <n v="71.44"/>
    <n v="-29.819999999999993"/>
  </r>
  <r>
    <d v="2021-03-12T00:00:00"/>
    <x v="0"/>
    <x v="9"/>
    <n v="11"/>
    <s v="QTR1"/>
    <s v="Friday"/>
    <s v=""/>
    <s v="Partially Cloudy"/>
    <n v="32.299999999999997"/>
    <s v="Brunswick/Bath/Freeport"/>
    <n v="40.86"/>
    <n v="2.5666666666666664"/>
    <n v="51.705921316337992"/>
    <n v="5"/>
    <n v="15.919480519480521"/>
    <n v="9.4094805194805211"/>
    <n v="8.1720000000000006"/>
    <n v="0.79023831235918995"/>
    <n v="10.341184263267598"/>
    <n v="1.9480519480519483"/>
    <n v="2"/>
    <d v="1899-12-30T00:30:48"/>
    <s v="Order"/>
    <n v="19.241188905138749"/>
    <n v="-3.3217083856582281"/>
    <n v="14.010444444444442"/>
    <n v="45.984999999999999"/>
    <n v="-5.125"/>
  </r>
  <r>
    <d v="2021-03-15T00:00:00"/>
    <x v="0"/>
    <x v="10"/>
    <n v="12"/>
    <s v="QTR1"/>
    <s v="Monday"/>
    <s v=""/>
    <s v="Clear"/>
    <n v="29.3"/>
    <s v="Brunswick/Bath/Freeport"/>
    <n v="82"/>
    <n v="2.541666666666667"/>
    <n v="62.047105579605585"/>
    <n v="6"/>
    <n v="32.26229508196721"/>
    <n v="12.173009367681495"/>
    <n v="13.666666666666666"/>
    <n v="1.3215765543615106"/>
    <n v="10.341184263267598"/>
    <n v="2.3606557377049175"/>
    <n v="2"/>
    <d v="1899-12-30T00:25:25"/>
    <s v="Order"/>
    <n v="22.127564587674119"/>
    <n v="10.134730494293091"/>
    <n v="14.921555555555553"/>
    <n v="58.722499999999997"/>
    <n v="23.277500000000003"/>
  </r>
  <r>
    <d v="2021-03-17T00:00:00"/>
    <x v="0"/>
    <x v="10"/>
    <n v="12"/>
    <s v="QTR1"/>
    <s v="Wednesday"/>
    <s v=""/>
    <s v="Rain"/>
    <n v="42.3"/>
    <s v="Brunswick/Bath/Freeport"/>
    <n v="83.79"/>
    <n v="2.041666666666667"/>
    <n v="72.388289842873192"/>
    <n v="7"/>
    <n v="41.04"/>
    <n v="15.687715736040605"/>
    <n v="11.97"/>
    <n v="1.1575076601737033"/>
    <n v="10.341184263267598"/>
    <n v="3.4285714285714279"/>
    <n v="2"/>
    <d v="1899-12-30T00:17:30"/>
    <s v="Order"/>
    <n v="26.505470302261681"/>
    <n v="14.534529697738318"/>
    <n v="15.852555555555552"/>
    <n v="62.06750000000001"/>
    <n v="21.722499999999997"/>
  </r>
  <r>
    <d v="2021-03-19T00:00:00"/>
    <x v="0"/>
    <x v="10"/>
    <n v="12"/>
    <s v="QTR1"/>
    <s v="Friday"/>
    <s v=""/>
    <s v="Clear"/>
    <n v="54.2"/>
    <s v="Portland"/>
    <n v="122.86"/>
    <n v="3.5999999999999996"/>
    <n v="85.784318711591439"/>
    <n v="6"/>
    <n v="34.12777777777778"/>
    <n v="14.791192411924118"/>
    <n v="20.476666666666667"/>
    <n v="1.4321964881840203"/>
    <n v="14.297386451931906"/>
    <n v="1.6666666666666667"/>
    <n v="1"/>
    <d v="1899-12-30T00:36:00"/>
    <s v="Order"/>
    <n v="24.852884451271549"/>
    <n v="9.2748933265062306"/>
    <n v="17.217666666666663"/>
    <n v="82.377499999999998"/>
    <n v="40.482500000000002"/>
  </r>
  <r>
    <d v="2021-03-22T00:00:00"/>
    <x v="0"/>
    <x v="11"/>
    <n v="13"/>
    <s v="QTR1"/>
    <s v="Monday"/>
    <d v="1899-12-30T18:00:00"/>
    <s v="Partially Cloudy"/>
    <n v="64.3"/>
    <s v="Brunswick/Bath/Freeport"/>
    <n v="67.849999999999994"/>
    <n v="2"/>
    <n v="51.705921316337992"/>
    <n v="5"/>
    <n v="33.924999999999997"/>
    <n v="7.7492096018735346"/>
    <n v="13.569999999999999"/>
    <n v="1.3122288177574899"/>
    <n v="10.341184263267598"/>
    <n v="2.5"/>
    <n v="2"/>
    <d v="1899-12-30T00:24:00"/>
    <s v="Order"/>
    <n v="28.889867756914999"/>
    <n v="5.0351322430849983"/>
    <n v="17.97155555555555"/>
    <n v="89.125"/>
    <n v="-21.275000000000006"/>
  </r>
  <r>
    <d v="2021-03-24T00:00:00"/>
    <x v="0"/>
    <x v="11"/>
    <n v="13"/>
    <s v="QTR1"/>
    <s v="Wednesday"/>
    <d v="1899-12-30T17:30:00"/>
    <s v="Rain"/>
    <n v="53.6"/>
    <s v="Brunswick/Bath/Freeport"/>
    <n v="90.59"/>
    <n v="2.5999999999999996"/>
    <n v="62.047105579605585"/>
    <n v="6"/>
    <n v="34.842307692307699"/>
    <n v="1.6461655603280008"/>
    <n v="15.098333333333334"/>
    <n v="1.4600197568245028"/>
    <n v="10.341184263267598"/>
    <n v="2.3076923076923079"/>
    <n v="2"/>
    <d v="1899-12-30T00:26:00"/>
    <s v="Order"/>
    <n v="36.45127432808156"/>
    <n v="-1.6089666357738608"/>
    <n v="18.978111111111104"/>
    <n v="91.272500000000008"/>
    <n v="-0.68250000000000455"/>
  </r>
  <r>
    <d v="2021-03-27T00:00:00"/>
    <x v="0"/>
    <x v="11"/>
    <n v="13"/>
    <s v="QTR1"/>
    <s v="Saturday"/>
    <d v="1899-12-30T15:30:00"/>
    <s v="Rain"/>
    <n v="38.9"/>
    <s v="Brunswick/Bath/Freeport"/>
    <n v="257.05"/>
    <n v="7.8999999999999995"/>
    <n v="175.80013247554916"/>
    <n v="17"/>
    <n v="32.537974683544306"/>
    <n v="2.0008388068293996"/>
    <n v="15.120588235294118"/>
    <n v="1.4621718219453068"/>
    <n v="10.341184263267598"/>
    <n v="2.1518987341772156"/>
    <n v="2"/>
    <d v="1899-12-30T00:27:53"/>
    <s v="Order"/>
    <n v="30.297774755848877"/>
    <n v="2.2401999276954285"/>
    <n v="21.834222222222216"/>
    <n v="134.58749999999998"/>
    <n v="122.46250000000003"/>
  </r>
  <r>
    <d v="2021-04-03T00:00:00"/>
    <x v="0"/>
    <x v="12"/>
    <n v="1"/>
    <s v="QTR2"/>
    <s v="Saturday"/>
    <d v="1899-12-30T13:00:00"/>
    <s v="Clear"/>
    <n v="56.4"/>
    <s v="Brunswick/Bath/Freeport"/>
    <n v="35.739999999999995"/>
    <n v="1.2"/>
    <n v="31.023552789802793"/>
    <n v="3"/>
    <n v="29.783333333333331"/>
    <s v=""/>
    <n v="11.913333333333332"/>
    <n v="1.1520279525092776"/>
    <n v="10.341184263267598"/>
    <n v="2.5"/>
    <n v="2"/>
    <d v="1899-12-30T00:24:00"/>
    <s v="Order"/>
    <n v="21.691133638317044"/>
    <n v="8.0921996950162871"/>
    <n v="21.327444444444438"/>
    <n v="112.8075"/>
    <n v="-77.06750000000001"/>
  </r>
  <r>
    <d v="2021-04-16T00:00:00"/>
    <x v="0"/>
    <x v="13"/>
    <n v="3"/>
    <s v="QTR2"/>
    <s v="Friday"/>
    <d v="1899-12-30T17:30:00"/>
    <s v="Rain / Snow Mix"/>
    <n v="40.799999999999997"/>
    <s v="Portland"/>
    <n v="139.62"/>
    <n v="7.13"/>
    <n v="188"/>
    <n v="12"/>
    <n v="19.582047685834503"/>
    <s v=""/>
    <n v="11.635"/>
    <n v="0.74265957446808517"/>
    <n v="15.666666666666666"/>
    <n v="1.6830294530154277"/>
    <n v="2"/>
    <d v="1899-12-30T00:35:39"/>
    <s v="Order"/>
    <n v="19.08828752450929"/>
    <n v="0.49376016132521272"/>
    <n v="22.034666666666659"/>
    <n v="130.75"/>
    <n v="8.8700000000000045"/>
  </r>
  <r>
    <d v="2021-04-17T00:00:00"/>
    <x v="0"/>
    <x v="13"/>
    <n v="3"/>
    <s v="QTR2"/>
    <s v="Saturday"/>
    <d v="1899-12-30T18:00:00"/>
    <s v="Partially Cloudy"/>
    <n v="50.9"/>
    <s v="Brunswick/Bath/Freeport"/>
    <n v="83.039999999999992"/>
    <n v="2.67"/>
    <n v="73"/>
    <n v="6"/>
    <n v="31.101123595505616"/>
    <n v="1.3177902621722843"/>
    <n v="13.839999999999998"/>
    <n v="1.1375342465753424"/>
    <n v="12.166666666666666"/>
    <n v="2.2471910112359552"/>
    <n v="2"/>
    <d v="1899-12-30T00:26:42"/>
    <s v="Order"/>
    <n v="24.77708469395462"/>
    <n v="6.3240389015509955"/>
    <n v="22.557888888888883"/>
    <n v="128.86250000000001"/>
    <n v="-45.822500000000019"/>
  </r>
  <r>
    <d v="2021-04-18T00:00:00"/>
    <x v="0"/>
    <x v="13"/>
    <n v="3"/>
    <s v="QTR2"/>
    <s v="Sunday"/>
    <d v="1899-12-30T11:00:00"/>
    <s v="Rain"/>
    <n v="61.9"/>
    <s v="Portland"/>
    <n v="30.67"/>
    <n v="1.88"/>
    <n v="19"/>
    <n v="4"/>
    <n v="16.313829787234045"/>
    <s v=""/>
    <n v="7.6675000000000004"/>
    <n v="1.6142105263157895"/>
    <n v="4.75"/>
    <n v="2.1276595744680851"/>
    <n v="1"/>
    <d v="1899-12-30T00:28:12"/>
    <s v="Order"/>
    <n v="21.420832419390219"/>
    <n v="-5.1070026321561741"/>
    <n v="22.898666666666664"/>
    <n v="72.267499999999998"/>
    <n v="-41.597499999999997"/>
  </r>
  <r>
    <d v="2021-04-25T00:00:00"/>
    <x v="0"/>
    <x v="14"/>
    <n v="4"/>
    <s v="QTR2"/>
    <s v="Sunday"/>
    <d v="1899-12-30T12:30:00"/>
    <s v="Rain"/>
    <n v="44.4"/>
    <s v="Brunswick/Bath/Freeport"/>
    <n v="41"/>
    <n v="1.9"/>
    <n v="51.705921316337992"/>
    <n v="5"/>
    <n v="21.578947368421055"/>
    <s v=""/>
    <n v="8.1999999999999993"/>
    <n v="0.79294593261690616"/>
    <n v="10.341184263267598"/>
    <n v="2.6315789473684212"/>
    <n v="2"/>
    <d v="1899-12-30T00:22:48"/>
    <s v="Order"/>
    <n v="18.958528045340856"/>
    <n v="2.6204193230801991"/>
    <n v="23.354222222222219"/>
    <n v="73.582499999999996"/>
    <n v="-32.582499999999996"/>
  </r>
  <r>
    <d v="2021-05-02T00:00:00"/>
    <x v="0"/>
    <x v="15"/>
    <n v="5"/>
    <s v="QTR2"/>
    <s v="Sunday"/>
    <d v="1899-12-30T16:00:00"/>
    <s v="Partially Cloudy"/>
    <n v="56.8"/>
    <s v="Brunswick/Bath/Freeport"/>
    <n v="41"/>
    <n v="3.4999999999999996"/>
    <n v="62.047105579605585"/>
    <n v="6"/>
    <n v="11.714285714285715"/>
    <n v="-9.8646616541353396"/>
    <n v="6.833333333333333"/>
    <n v="0.66078827718075528"/>
    <n v="10.341184263267598"/>
    <n v="1.7142857142857144"/>
    <n v="2"/>
    <d v="1899-12-30T00:35:00"/>
    <s v="Order"/>
    <n v="19.246597619330164"/>
    <n v="-7.5323119050444483"/>
    <n v="22.320444444444441"/>
    <n v="48.927499999999995"/>
    <n v="-7.9274999999999949"/>
  </r>
  <r>
    <d v="2021-05-03T00:00:00"/>
    <x v="0"/>
    <x v="16"/>
    <n v="6"/>
    <s v="QTR2"/>
    <s v="Monday"/>
    <d v="1899-12-30T18:00:00"/>
    <s v="Overcast"/>
    <n v="61.1"/>
    <s v="Brunswick/Bath/Freeport"/>
    <n v="74.13"/>
    <n v="3.1"/>
    <n v="72.388289842873192"/>
    <n v="7"/>
    <n v="23.912903225806449"/>
    <s v=""/>
    <n v="10.59"/>
    <n v="1.0240606617576873"/>
    <n v="10.341184263267598"/>
    <n v="2.258064516129032"/>
    <n v="2"/>
    <d v="1899-12-30T00:26:34"/>
    <s v="Order"/>
    <n v="22.295360168593202"/>
    <n v="1.617543057213247"/>
    <n v="22.545888888888886"/>
    <n v="46.7"/>
    <n v="27.429999999999993"/>
  </r>
  <r>
    <d v="2021-05-04T00:00:00"/>
    <x v="0"/>
    <x v="16"/>
    <n v="6"/>
    <s v="QTR2"/>
    <s v="Tuesday"/>
    <d v="1899-12-30T19:30:00"/>
    <s v="Rain"/>
    <n v="50"/>
    <s v="Brunswick/Bath/Freeport"/>
    <n v="26"/>
    <n v="1.4000000000000001"/>
    <n v="31.023552789802793"/>
    <n v="3"/>
    <n v="18.571428571428569"/>
    <s v=""/>
    <n v="8.6666666666666661"/>
    <n v="0.83807293691217732"/>
    <n v="10.341184263267598"/>
    <n v="2.1428571428571428"/>
    <n v="2"/>
    <d v="1899-12-30T00:28:00"/>
    <s v="Order"/>
    <n v="18.163573021829258"/>
    <n v="0.40785554959931147"/>
    <n v="22.834777777777774"/>
    <n v="45.532499999999999"/>
    <n v="-19.532499999999999"/>
  </r>
  <r>
    <d v="2021-05-05T00:00:00"/>
    <x v="0"/>
    <x v="16"/>
    <n v="6"/>
    <s v="QTR2"/>
    <s v="Wednesday"/>
    <d v="1899-12-30T17:30:00"/>
    <s v="Rain"/>
    <n v="58.7"/>
    <s v="Brunswick/Bath/Freeport"/>
    <n v="104.94"/>
    <n v="2.8"/>
    <n v="72.388289842873192"/>
    <n v="7"/>
    <n v="37.478571428571428"/>
    <s v=""/>
    <n v="14.991428571428571"/>
    <n v="1.4496819890038002"/>
    <n v="10.341184263267598"/>
    <n v="2.5"/>
    <n v="1"/>
    <d v="1899-12-30T00:24:00"/>
    <s v="Order"/>
    <n v="24.426643904418047"/>
    <n v="13.051927524153381"/>
    <n v="24.000777777777774"/>
    <n v="61.517499999999998"/>
    <n v="43.422499999999999"/>
  </r>
  <r>
    <d v="2021-05-06T00:00:00"/>
    <x v="0"/>
    <x v="16"/>
    <n v="6"/>
    <s v="QTR2"/>
    <s v="Thursday"/>
    <d v="1899-12-30T18:30:00"/>
    <s v="Clear"/>
    <n v="59.6"/>
    <s v="Portland"/>
    <n v="66.97"/>
    <n v="3.9000000000000004"/>
    <n v="85.784318711591439"/>
    <n v="6"/>
    <n v="17.171794871794869"/>
    <s v=""/>
    <n v="11.161666666666667"/>
    <n v="0.78067881176692033"/>
    <n v="14.297386451931906"/>
    <n v="1.5384615384615383"/>
    <n v="2"/>
    <d v="1899-12-30T00:39:00"/>
    <s v="Order"/>
    <n v="21.385404996263951"/>
    <n v="-4.2136101244690813"/>
    <n v="24.744888888888884"/>
    <n v="68.009999999999991"/>
    <n v="-1.039999999999992"/>
  </r>
  <r>
    <d v="2021-05-07T00:00:00"/>
    <x v="0"/>
    <x v="16"/>
    <n v="6"/>
    <s v="QTR2"/>
    <s v="Friday"/>
    <d v="1899-12-30T17:30:00"/>
    <s v="Partially Cloudy"/>
    <n v="53.8"/>
    <s v="Portland"/>
    <n v="86.57"/>
    <n v="5.7"/>
    <n v="157.27125097125096"/>
    <n v="11"/>
    <n v="15.187719298245613"/>
    <n v="-4.3943283875888905"/>
    <n v="7.8699999999999992"/>
    <n v="0.55045025372008327"/>
    <n v="14.297386451931906"/>
    <n v="1.9298245614035088"/>
    <n v="2"/>
    <d v="1899-12-30T00:31:05"/>
    <s v="Order"/>
    <n v="18.133995703544574"/>
    <n v="-2.9462764052989616"/>
    <n v="25.706777777777774"/>
    <n v="71.12"/>
    <n v="15.449999999999989"/>
  </r>
  <r>
    <d v="2021-05-12T00:00:00"/>
    <x v="0"/>
    <x v="17"/>
    <n v="7"/>
    <s v="QTR2"/>
    <s v="Wednesday"/>
    <d v="1899-12-30T17:00:00"/>
    <s v="Partially Cloudy"/>
    <n v="67"/>
    <s v="Brunswick/Bath/Freeport"/>
    <n v="146.07999999999998"/>
    <n v="4.3000000000000007"/>
    <n v="113.75302689594358"/>
    <n v="11"/>
    <n v="33.972093023255802"/>
    <n v="-3.5064784053156259"/>
    <n v="13.28"/>
    <n v="1.2841856079454286"/>
    <n v="10.341184263267598"/>
    <n v="2.5581395348837206"/>
    <n v="2"/>
    <d v="1899-12-30T00:23:27"/>
    <s v="Order"/>
    <n v="24.268423200414826"/>
    <n v="9.7036698228409755"/>
    <n v="26.499777777777773"/>
    <n v="101.14"/>
    <n v="44.939999999999984"/>
  </r>
  <r>
    <d v="2021-05-14T00:00:00"/>
    <x v="0"/>
    <x v="17"/>
    <n v="7"/>
    <s v="QTR2"/>
    <s v="Friday"/>
    <d v="1899-12-30T18:00:00"/>
    <s v="Rain"/>
    <n v="73.8"/>
    <s v="Portland"/>
    <n v="86.24"/>
    <n v="1.9"/>
    <n v="57.189545807727626"/>
    <n v="4"/>
    <n v="45.389473684210529"/>
    <n v="28.004590192170472"/>
    <n v="21.56"/>
    <n v="1.5079679123513337"/>
    <n v="14.297386451931906"/>
    <n v="2.1052631578947367"/>
    <n v="1"/>
    <d v="1899-12-30T00:28:30"/>
    <s v="Order"/>
    <n v="26.162300455424486"/>
    <n v="19.227173228786043"/>
    <n v="27.457999999999991"/>
    <n v="96.465000000000003"/>
    <n v="-10.225000000000009"/>
  </r>
  <r>
    <d v="2021-05-17T00:00:00"/>
    <x v="0"/>
    <x v="18"/>
    <n v="8"/>
    <s v="QTR2"/>
    <s v="Monday"/>
    <d v="1899-12-30T17:30:00"/>
    <s v="Partially Cloudy"/>
    <n v="77.400000000000006"/>
    <s v="Brunswick/Bath/Freeport"/>
    <n v="79.72999999999999"/>
    <n v="4.6999999999999993"/>
    <n v="93.070658369408378"/>
    <n v="9"/>
    <n v="16.963829787234044"/>
    <n v="-6.9490734385724053"/>
    <n v="8.8588888888888881"/>
    <n v="0.85666096487189602"/>
    <n v="10.341184263267598"/>
    <n v="1.9148936170212769"/>
    <n v="2"/>
    <d v="1899-12-30T00:31:20"/>
    <s v="Order"/>
    <n v="15.443940210072718"/>
    <n v="1.5198895771613259"/>
    <n v="26.400777777777776"/>
    <n v="99.655000000000001"/>
    <n v="-19.925000000000011"/>
  </r>
  <r>
    <d v="2021-05-20T00:00:00"/>
    <x v="0"/>
    <x v="18"/>
    <n v="8"/>
    <s v="QTR2"/>
    <s v="Thursday"/>
    <d v="1899-12-30T18:00:00"/>
    <s v="Rain"/>
    <n v="73.400000000000006"/>
    <s v="Brunswick/Bath/Freeport"/>
    <n v="19.61"/>
    <n v="0.89999999999999991"/>
    <n v="22"/>
    <n v="2"/>
    <n v="21.788888888888891"/>
    <s v=""/>
    <n v="9.8049999999999997"/>
    <n v="0.89136363636363636"/>
    <n v="11"/>
    <n v="2.2222222222222223"/>
    <n v="1"/>
    <d v="1899-12-30T00:27:00"/>
    <s v="Order"/>
    <n v="19.770465325238188"/>
    <n v="2.0184235636507033"/>
    <n v="26.618666666666666"/>
    <n v="82.914999999999992"/>
    <n v="-63.304999999999993"/>
  </r>
  <r>
    <d v="2021-05-21T00:00:00"/>
    <x v="0"/>
    <x v="18"/>
    <n v="8"/>
    <s v="QTR2"/>
    <s v="Friday"/>
    <d v="1899-12-30T19:30:00"/>
    <s v="Partially Cloudy"/>
    <n v="77.900000000000006"/>
    <s v="Portland"/>
    <n v="43.87"/>
    <n v="1.9"/>
    <n v="63.9"/>
    <n v="3"/>
    <n v="23.089473684210525"/>
    <n v="-3.6302732052196873"/>
    <n v="14.623333333333333"/>
    <n v="0.68654147104851326"/>
    <n v="21.3"/>
    <n v="1.5789473684210527"/>
    <n v="1"/>
    <d v="1899-12-30T00:38:00"/>
    <s v="Order"/>
    <n v="16.333148531440958"/>
    <n v="6.7563251527695662"/>
    <n v="26.106888888888889"/>
    <n v="57.362499999999997"/>
    <n v="-13.4925"/>
  </r>
  <r>
    <d v="2021-05-23T00:00:00"/>
    <x v="0"/>
    <x v="18"/>
    <n v="8"/>
    <s v="QTR2"/>
    <s v="Sunday"/>
    <d v="1899-12-30T12:30:00"/>
    <s v="Clear"/>
    <n v="62.2"/>
    <s v="Portland"/>
    <n v="189.8"/>
    <n v="6.6000000000000014"/>
    <n v="142"/>
    <n v="14"/>
    <n v="28.757575757575754"/>
    <n v="12.443745970341709"/>
    <n v="13.557142857142859"/>
    <n v="1.3366197183098592"/>
    <n v="10.142857142857142"/>
    <n v="2.1212121212121207"/>
    <n v="2"/>
    <d v="1899-12-30T00:28:17"/>
    <s v="Order"/>
    <n v="18.720893141945773"/>
    <n v="10.036682615629982"/>
    <n v="27.207444444444445"/>
    <n v="83.252499999999998"/>
    <n v="106.54750000000001"/>
  </r>
  <r>
    <d v="2021-05-26T00:00:00"/>
    <x v="0"/>
    <x v="19"/>
    <n v="9"/>
    <s v="QTR2"/>
    <s v="Wednesday"/>
    <d v="1899-12-30T17:00:00"/>
    <s v="Rain"/>
    <n v="71.3"/>
    <s v="Lewiston"/>
    <n v="102.85"/>
    <n v="3.9000000000000004"/>
    <n v="54"/>
    <n v="13"/>
    <n v="26.371794871794869"/>
    <s v=""/>
    <n v="7.911538461538461"/>
    <n v="1.9046296296296295"/>
    <n v="4.1538461538461542"/>
    <n v="3.333333333333333"/>
    <n v="2"/>
    <d v="1899-12-30T00:18:00"/>
    <s v="Order"/>
    <n v="21.882177824775361"/>
    <n v="4.4896170470195074"/>
    <n v="28.350222222222222"/>
    <n v="89.032499999999999"/>
    <n v="13.817499999999995"/>
  </r>
  <r>
    <d v="2021-05-29T00:00:00"/>
    <x v="0"/>
    <x v="19"/>
    <n v="9"/>
    <s v="QTR2"/>
    <s v="Saturday"/>
    <d v="1899-12-30T17:00:00"/>
    <s v="Rain"/>
    <n v="54.1"/>
    <s v="Brunswick/Bath/Freeport"/>
    <n v="66.5"/>
    <n v="2.9000000000000004"/>
    <n v="60"/>
    <n v="7"/>
    <n v="22.931034482758619"/>
    <n v="-7.5111939816608526"/>
    <n v="9.5"/>
    <n v="1.1083333333333334"/>
    <n v="8.5714285714285712"/>
    <n v="2.4137931034482754"/>
    <n v="2"/>
    <d v="1899-12-30T00:24:51"/>
    <s v="Order"/>
    <n v="26.586309320587226"/>
    <n v="-3.6552748378286068"/>
    <n v="28.468"/>
    <n v="100.755"/>
    <n v="-34.254999999999995"/>
  </r>
  <r>
    <d v="2021-05-31T00:00:00"/>
    <x v="0"/>
    <x v="20"/>
    <n v="10"/>
    <s v="QTR2"/>
    <s v="Monday"/>
    <d v="1899-12-30T14:00:00"/>
    <s v="Clear"/>
    <n v="74.5"/>
    <s v="Brunswick/Bath/Freeport"/>
    <n v="98.360000000000014"/>
    <n v="4.2"/>
    <n v="89"/>
    <n v="11"/>
    <n v="23.419047619047621"/>
    <n v="2.9806811125273747"/>
    <n v="8.9418181818181832"/>
    <n v="1.1051685393258428"/>
    <n v="8.0909090909090917"/>
    <n v="2.6190476190476191"/>
    <n v="2"/>
    <d v="1899-12-30T00:22:55"/>
    <s v="Order"/>
    <n v="22.182309988289532"/>
    <n v="1.2367376307580891"/>
    <n v="28.816444444444446"/>
    <n v="114.3775"/>
    <n v="-16.017499999999984"/>
  </r>
  <r>
    <d v="2021-06-03T00:00:00"/>
    <x v="0"/>
    <x v="20"/>
    <n v="10"/>
    <s v="QTR2"/>
    <s v="Thursday"/>
    <d v="1899-12-30T17:30:00"/>
    <s v="Rain"/>
    <n v="77"/>
    <s v="Lewiston"/>
    <n v="56"/>
    <n v="2.8"/>
    <n v="42"/>
    <n v="6"/>
    <n v="20"/>
    <s v=""/>
    <n v="9.3333333333333339"/>
    <n v="1.3333333333333333"/>
    <n v="7"/>
    <n v="2.1428571428571428"/>
    <n v="2"/>
    <d v="1899-12-30T00:28:00"/>
    <s v="Order"/>
    <n v="27.094757647407121"/>
    <n v="-7.0947576474071212"/>
    <n v="27.853333333333335"/>
    <n v="80.927500000000009"/>
    <n v="-24.927500000000009"/>
  </r>
  <r>
    <d v="2021-06-04T00:00:00"/>
    <x v="0"/>
    <x v="20"/>
    <n v="10"/>
    <s v="QTR2"/>
    <s v="Friday"/>
    <d v="1899-12-30T18:00:00"/>
    <s v="Clear"/>
    <n v="85"/>
    <s v="Lewiston"/>
    <n v="77.39"/>
    <n v="3"/>
    <n v="52"/>
    <n v="8"/>
    <n v="25.796666666666667"/>
    <s v=""/>
    <n v="9.6737500000000001"/>
    <n v="1.4882692307692307"/>
    <n v="6.5"/>
    <n v="2.6666666666666665"/>
    <n v="2"/>
    <d v="1899-12-30T00:22:30"/>
    <s v="Order"/>
    <n v="20.101809097414456"/>
    <n v="5.6948575692522105"/>
    <n v="28.368222222222222"/>
    <n v="74.5625"/>
    <n v="2.8275000000000006"/>
  </r>
  <r>
    <d v="2021-06-07T00:00:00"/>
    <x v="0"/>
    <x v="21"/>
    <n v="11"/>
    <s v="QTR2"/>
    <s v="Monday"/>
    <d v="1899-12-30T18:30:00"/>
    <s v="Clear"/>
    <n v="90.1"/>
    <s v="Lewiston"/>
    <n v="24.75"/>
    <n v="2.5"/>
    <n v="45"/>
    <n v="5"/>
    <n v="9.9"/>
    <s v=""/>
    <n v="4.95"/>
    <n v="0.55000000000000004"/>
    <n v="9"/>
    <n v="2"/>
    <n v="2"/>
    <d v="1899-12-30T00:30:00"/>
    <s v="Order"/>
    <n v="18.7884790163058"/>
    <n v="-8.8884790163057996"/>
    <n v="27.860888888888891"/>
    <n v="64.125"/>
    <n v="-39.375"/>
  </r>
  <r>
    <d v="2021-06-12T00:00:00"/>
    <x v="0"/>
    <x v="21"/>
    <n v="11"/>
    <s v="QTR2"/>
    <s v="Saturday"/>
    <d v="1899-12-30T14:30:00"/>
    <s v="Clear"/>
    <n v="80.099999999999994"/>
    <s v="Portland"/>
    <n v="26.34"/>
    <n v="1.8"/>
    <n v="31"/>
    <n v="2"/>
    <n v="14.633333333333333"/>
    <s v=""/>
    <n v="13.17"/>
    <n v="0.84967741935483876"/>
    <n v="15.5"/>
    <n v="1.1111111111111112"/>
    <n v="1"/>
    <d v="1899-12-30T00:54:00"/>
    <s v="Order"/>
    <n v="22.337827564977648"/>
    <n v="-7.7044942316443148"/>
    <n v="27.237111111111112"/>
    <n v="46.12"/>
    <n v="-19.779999999999998"/>
  </r>
  <r>
    <d v="2021-06-14T00:00:00"/>
    <x v="0"/>
    <x v="22"/>
    <n v="12"/>
    <s v="QTR2"/>
    <s v="Monday"/>
    <d v="1899-12-30T19:30:00"/>
    <s v="Rain"/>
    <n v="67.2"/>
    <s v="Brunswick/Bath/Freeport"/>
    <n v="35.75"/>
    <n v="2.7"/>
    <n v="57"/>
    <n v="4"/>
    <n v="13.24074074074074"/>
    <n v="-8.1911861366219618"/>
    <n v="8.9375"/>
    <n v="0.6271929824561403"/>
    <n v="14.25"/>
    <n v="1.4814814814814814"/>
    <n v="2"/>
    <d v="1899-12-30T00:40:30"/>
    <s v="Order"/>
    <n v="19.273030658110066"/>
    <n v="-6.0322899173693258"/>
    <n v="26.723222222222223"/>
    <n v="41.057499999999997"/>
    <n v="-5.3074999999999974"/>
  </r>
  <r>
    <d v="2021-06-19T00:00:00"/>
    <x v="0"/>
    <x v="22"/>
    <n v="12"/>
    <s v="QTR2"/>
    <s v="Saturday"/>
    <d v="1899-12-30T14:00:00"/>
    <s v="Partially Cloudy"/>
    <n v="83"/>
    <s v="Portland"/>
    <n v="142.98000000000002"/>
    <n v="7"/>
    <n v="171"/>
    <n v="15"/>
    <n v="20.425714285714289"/>
    <n v="5.792380952380956"/>
    <n v="9.5320000000000018"/>
    <n v="0.83614035087719307"/>
    <n v="11.4"/>
    <n v="2.1428571428571428"/>
    <n v="2"/>
    <d v="1899-12-30T00:28:00"/>
    <s v="Order"/>
    <n v="22.879063937501609"/>
    <n v="-2.4533496517873203"/>
    <n v="26.015777777777775"/>
    <n v="57.455000000000005"/>
    <n v="85.525000000000006"/>
  </r>
  <r>
    <d v="2021-06-20T00:00:00"/>
    <x v="0"/>
    <x v="22"/>
    <n v="12"/>
    <s v="QTR2"/>
    <s v="Sunday"/>
    <d v="1899-12-30T16:00:00"/>
    <s v="Partially Cloudy"/>
    <n v="83.8"/>
    <s v="Portland"/>
    <n v="110.89"/>
    <n v="2.9000000000000004"/>
    <n v="69"/>
    <n v="5"/>
    <n v="38.237931034482756"/>
    <n v="15.702228262077856"/>
    <n v="22.178000000000001"/>
    <n v="1.6071014492753624"/>
    <n v="13.8"/>
    <n v="1.7241379310344827"/>
    <n v="2"/>
    <d v="1899-12-30T00:34:48"/>
    <s v="Order"/>
    <n v="24.167933971299817"/>
    <n v="14.069997063182939"/>
    <n v="26.494"/>
    <n v="78.990000000000009"/>
    <n v="31.899999999999991"/>
  </r>
  <r>
    <d v="2021-06-22T00:00:00"/>
    <x v="0"/>
    <x v="23"/>
    <n v="13"/>
    <s v="QTR2"/>
    <s v="Tuesday"/>
    <d v="1899-12-30T20:30:00"/>
    <s v="Rain"/>
    <n v="70.2"/>
    <s v="Brunswick/Bath/Freeport"/>
    <n v="32.910000000000004"/>
    <n v="1.8"/>
    <n v="40"/>
    <n v="2"/>
    <n v="18.283333333333335"/>
    <n v="-0.28809523809523441"/>
    <n v="16.455000000000002"/>
    <n v="0.82275000000000009"/>
    <n v="20"/>
    <n v="1.1111111111111112"/>
    <n v="2"/>
    <d v="1899-12-30T00:54:00"/>
    <s v="Order"/>
    <n v="20.492635020175374"/>
    <n v="-2.2093016868420392"/>
    <n v="25.853111111111104"/>
    <n v="80.632500000000007"/>
    <n v="-47.722500000000004"/>
  </r>
  <r>
    <d v="2021-06-24T00:00:00"/>
    <x v="0"/>
    <x v="23"/>
    <n v="13"/>
    <s v="QTR2"/>
    <s v="Thursday"/>
    <d v="1899-12-30T18:00:00"/>
    <s v="Rain"/>
    <n v="67.900000000000006"/>
    <s v="Brunswick/Bath/Freeport"/>
    <n v="68.81"/>
    <n v="2.8"/>
    <n v="45"/>
    <n v="8"/>
    <n v="24.575000000000003"/>
    <n v="2.7861111111111114"/>
    <n v="8.6012500000000003"/>
    <n v="1.5291111111111111"/>
    <n v="5.625"/>
    <n v="2.8571428571428572"/>
    <n v="2"/>
    <d v="1899-12-30T00:21:00"/>
    <s v="Order"/>
    <n v="24.575000000000003"/>
    <n v="0"/>
    <n v="26.617666666666658"/>
    <n v="88.897500000000008"/>
    <n v="-20.087500000000006"/>
  </r>
  <r>
    <d v="2021-06-26T00:00:00"/>
    <x v="0"/>
    <x v="23"/>
    <n v="13"/>
    <s v="QTR2"/>
    <s v="Saturday"/>
    <d v="1899-12-30T16:00:00"/>
    <s v="Clear"/>
    <n v="93.1"/>
    <s v="Portland"/>
    <n v="134.35999999999999"/>
    <n v="6.4"/>
    <n v="112.99999999999999"/>
    <n v="18"/>
    <n v="20.993749999999995"/>
    <n v="3.464226190476186"/>
    <n v="7.4644444444444433"/>
    <n v="1.1890265486725664"/>
    <n v="6.2777777777777768"/>
    <n v="2.8125"/>
    <n v="2"/>
    <d v="1899-12-30T00:21:20"/>
    <s v="Order"/>
    <n v="20.115540994623654"/>
    <n v="0.87820900537634117"/>
    <n v="25.254444444444445"/>
    <n v="86.742500000000007"/>
    <n v="47.617499999999978"/>
  </r>
  <r>
    <d v="2021-06-29T00:00:00"/>
    <x v="0"/>
    <x v="24"/>
    <n v="1"/>
    <s v="QTR3"/>
    <s v="Tuesday"/>
    <d v="1899-12-30T17:30:00"/>
    <s v="Rain"/>
    <n v="95.3"/>
    <s v="Brunswick/Bath/Freeport"/>
    <n v="98.18"/>
    <n v="3.8"/>
    <n v="72"/>
    <n v="9"/>
    <n v="25.836842105263162"/>
    <s v=""/>
    <n v="10.908888888888889"/>
    <n v="1.3636111111111111"/>
    <n v="8"/>
    <n v="2.3684210526315792"/>
    <n v="2"/>
    <d v="1899-12-30T00:25:20"/>
    <s v="Order"/>
    <n v="20.191072811871479"/>
    <n v="5.6457692933916839"/>
    <n v="26.345333333333333"/>
    <n v="83.564999999999998"/>
    <n v="14.615000000000009"/>
  </r>
  <r>
    <d v="2021-07-02T00:00:00"/>
    <x v="0"/>
    <x v="24"/>
    <n v="1"/>
    <s v="QTR3"/>
    <s v="Friday"/>
    <d v="1899-12-30T19:00:00"/>
    <s v="Rain"/>
    <n v="58.1"/>
    <s v="Portland"/>
    <n v="50.5"/>
    <n v="4"/>
    <n v="95.6"/>
    <n v="7"/>
    <n v="12.625"/>
    <s v=""/>
    <n v="7.2142857142857144"/>
    <n v="0.52824267782426781"/>
    <n v="13.657142857142857"/>
    <n v="1.75"/>
    <n v="2"/>
    <d v="1899-12-30T00:34:17"/>
    <s v="Order"/>
    <n v="18.630277777777778"/>
    <n v="-6.0052777777777777"/>
    <n v="26.509333333333331"/>
    <n v="87.962500000000006"/>
    <n v="-37.462500000000006"/>
  </r>
  <r>
    <d v="2021-07-03T00:00:00"/>
    <x v="0"/>
    <x v="24"/>
    <n v="1"/>
    <s v="QTR3"/>
    <s v="Saturday"/>
    <d v="1899-12-30T13:00:00"/>
    <s v="Rain"/>
    <n v="58.2"/>
    <s v="Brunswick/Bath/Freeport"/>
    <n v="52"/>
    <n v="4.8000000000000007"/>
    <n v="52.5"/>
    <n v="7"/>
    <n v="10.833333333333332"/>
    <s v=""/>
    <n v="7.4285714285714288"/>
    <n v="0.99047619047619051"/>
    <n v="7.5"/>
    <n v="1.458333333333333"/>
    <n v="2"/>
    <d v="1899-12-30T00:41:09"/>
    <s v="Order"/>
    <n v="15.768926865123115"/>
    <n v="-4.9355935317897828"/>
    <n v="27.087111111111106"/>
    <n v="83.759999999999991"/>
    <n v="-31.759999999999991"/>
  </r>
  <r>
    <d v="2021-07-24T00:00:00"/>
    <x v="0"/>
    <x v="25"/>
    <n v="4"/>
    <s v="QTR3"/>
    <s v="Saturday"/>
    <d v="1899-12-30T17:00:00"/>
    <s v="Rain"/>
    <n v="69.599999999999994"/>
    <s v="Brunswick/Bath/Freeport"/>
    <n v="24"/>
    <n v="2.1"/>
    <n v="58"/>
    <n v="3"/>
    <n v="11.428571428571429"/>
    <n v="0.59523809523809668"/>
    <n v="8"/>
    <n v="0.41379310344827586"/>
    <n v="19.333333333333332"/>
    <n v="1.4285714285714286"/>
    <n v="2"/>
    <d v="1899-12-30T00:42:00"/>
    <s v="Order"/>
    <n v="18.936657968408081"/>
    <n v="-7.5080865398366523"/>
    <n v="24.083444444444446"/>
    <n v="56.17"/>
    <n v="-32.17"/>
  </r>
  <r>
    <d v="2021-07-31T00:00:00"/>
    <x v="0"/>
    <x v="26"/>
    <n v="5"/>
    <s v="QTR3"/>
    <s v="Saturday"/>
    <d v="1899-12-30T14:00:00"/>
    <s v="Partially Cloudy"/>
    <n v="74.3"/>
    <s v="Brunswick/Bath/Freeport"/>
    <n v="28.2"/>
    <n v="1.2"/>
    <n v="16.5"/>
    <n v="3"/>
    <n v="23.5"/>
    <n v="12.36904761904762"/>
    <n v="9.4"/>
    <n v="1.709090909090909"/>
    <n v="5.5"/>
    <n v="2.5"/>
    <n v="2"/>
    <d v="1899-12-30T00:24:00"/>
    <s v="Order"/>
    <n v="22.885934984497997"/>
    <n v="0.61406501550200332"/>
    <n v="23.941222222222223"/>
    <n v="38.674999999999997"/>
    <n v="-10.474999999999998"/>
  </r>
  <r>
    <d v="2021-08-01T00:00:00"/>
    <x v="0"/>
    <x v="26"/>
    <n v="5"/>
    <s v="QTR3"/>
    <s v="Sunday"/>
    <d v="1899-12-30T17:00:00"/>
    <s v="Rain"/>
    <n v="74.2"/>
    <s v="Brunswick/Bath/Freeport"/>
    <n v="27.8"/>
    <n v="1.9"/>
    <n v="47.4"/>
    <n v="2"/>
    <n v="14.631578947368421"/>
    <s v=""/>
    <n v="13.9"/>
    <n v="0.5864978902953587"/>
    <n v="23.7"/>
    <n v="1.0526315789473684"/>
    <n v="1"/>
    <d v="1899-12-30T00:57:00"/>
    <s v="Order"/>
    <n v="16.999446431613013"/>
    <n v="-2.3678674842445915"/>
    <n v="23.426444444444446"/>
    <n v="33"/>
    <n v="-5.1999999999999993"/>
  </r>
  <r>
    <d v="2021-08-30T00:00:00"/>
    <x v="0"/>
    <x v="27"/>
    <n v="10"/>
    <s v="QTR3"/>
    <s v="Monday"/>
    <d v="1899-12-30T17:00:00"/>
    <s v="Rain"/>
    <n v="82.2"/>
    <s v="Brunswick/Bath/Freeport"/>
    <n v="16"/>
    <n v="1.1000000000000001"/>
    <n v="13.5"/>
    <n v="2"/>
    <n v="14.545454545454545"/>
    <s v=""/>
    <n v="8"/>
    <n v="1.1851851851851851"/>
    <n v="6.75"/>
    <n v="1.8181818181818181"/>
    <n v="1"/>
    <d v="1899-12-30T00:33:00"/>
    <s v="Order"/>
    <n v="18.499060876897357"/>
    <n v="-3.9536063314428116"/>
    <n v="11.187333333333335"/>
    <n v="24"/>
    <n v="-8"/>
  </r>
  <r>
    <d v="2021-08-31T00:00:00"/>
    <x v="0"/>
    <x v="27"/>
    <n v="10"/>
    <s v="QTR3"/>
    <s v="Tuesday"/>
    <d v="1899-12-30T19:30:00"/>
    <s v="Rain"/>
    <n v="73.400000000000006"/>
    <s v="Brunswick/Bath/Freeport"/>
    <n v="53.66"/>
    <n v="2.3000000000000003"/>
    <n v="37.1"/>
    <n v="6"/>
    <n v="23.330434782608691"/>
    <n v="-2.5064073226544714"/>
    <n v="8.9433333333333334"/>
    <n v="1.4463611859838272"/>
    <n v="6.1833333333333336"/>
    <n v="2.6086956521739126"/>
    <n v="2"/>
    <d v="1899-12-30T00:23:00"/>
    <s v="Order"/>
    <n v="21.303026797475862"/>
    <n v="2.0274079851328288"/>
    <n v="11.783555555555559"/>
    <n v="31.414999999999999"/>
    <n v="22.244999999999997"/>
  </r>
  <r>
    <d v="2021-09-10T00:00:00"/>
    <x v="0"/>
    <x v="28"/>
    <n v="11"/>
    <s v="QTR3"/>
    <s v="Friday"/>
    <d v="1899-12-30T18:30:00"/>
    <s v="Clear"/>
    <n v="73.099999999999994"/>
    <s v="Brunswick/Bath/Freeport"/>
    <n v="83.36"/>
    <n v="3.1"/>
    <n v="50.099999999999994"/>
    <n v="10"/>
    <n v="26.890322580645162"/>
    <s v=""/>
    <n v="8.3360000000000003"/>
    <n v="1.6638722554890222"/>
    <n v="5.01"/>
    <n v="3.225806451612903"/>
    <n v="1"/>
    <d v="1899-12-30T00:18:36"/>
    <s v="Order"/>
    <n v="29.0777208364416"/>
    <n v="-2.1873982557964382"/>
    <n v="10.66"/>
    <n v="45.204999999999998"/>
    <n v="38.155000000000001"/>
  </r>
  <r>
    <d v="2021-09-12T00:00:00"/>
    <x v="0"/>
    <x v="28"/>
    <n v="11"/>
    <s v="QTR3"/>
    <s v="Sunday"/>
    <d v="1899-12-30T15:30:00"/>
    <s v="Clear"/>
    <n v="74.3"/>
    <s v="Brunswick/Bath/Freeport"/>
    <n v="20.149999999999999"/>
    <n v="0.5"/>
    <n v="13.3"/>
    <n v="2"/>
    <n v="40.299999999999997"/>
    <n v="25.668421052631576"/>
    <n v="10.074999999999999"/>
    <n v="1.5150375939849623"/>
    <n v="6.65"/>
    <n v="4"/>
    <n v="1"/>
    <d v="1899-12-30T00:15:00"/>
    <s v="Order"/>
    <n v="27.402916490585525"/>
    <n v="12.897083509414472"/>
    <n v="10.486666666666668"/>
    <n v="43.292499999999997"/>
    <n v="-23.142499999999998"/>
  </r>
  <r>
    <d v="2021-09-16T00:00:00"/>
    <x v="0"/>
    <x v="29"/>
    <n v="12"/>
    <s v="QTR3"/>
    <s v="Thursday"/>
    <d v="1899-12-30T18:00:00"/>
    <s v="Partially Cloudy"/>
    <n v="72"/>
    <s v="Brunswick/Bath/Freeport"/>
    <n v="39.5"/>
    <n v="3.1"/>
    <n v="76.8"/>
    <n v="4"/>
    <n v="12.741935483870968"/>
    <s v=""/>
    <n v="9.875"/>
    <n v="0.51432291666666674"/>
    <n v="19.2"/>
    <n v="1.2903225806451613"/>
    <n v="1"/>
    <d v="1899-12-30T00:46:30"/>
    <s v="Order"/>
    <n v="18.367485192811206"/>
    <n v="-5.6255497089402375"/>
    <n v="10.925555555555556"/>
    <n v="49.167499999999997"/>
    <n v="-9.6674999999999969"/>
  </r>
  <r>
    <d v="2021-09-25T00:00:00"/>
    <x v="0"/>
    <x v="30"/>
    <n v="13"/>
    <s v="QTR3"/>
    <s v="Saturday"/>
    <d v="1899-12-30T14:00:00"/>
    <s v="Rain"/>
    <n v="69.7"/>
    <s v="Brunswick/Bath/Freeport"/>
    <n v="179.39999999999998"/>
    <n v="7.3000000000000016"/>
    <n v="152.30000000000001"/>
    <n v="16"/>
    <n v="24.575342465753415"/>
    <n v="9.3213742117851623"/>
    <n v="11.212499999999999"/>
    <n v="1.1779382797110962"/>
    <n v="9.5187500000000007"/>
    <n v="2.1917808219178077"/>
    <n v="2"/>
    <d v="1899-12-30T00:27:23"/>
    <s v="Order"/>
    <n v="23.633743419713227"/>
    <n v="0.94159904604018863"/>
    <n v="7.4749999999999996"/>
    <n v="80.602499999999992"/>
    <n v="98.797499999999985"/>
  </r>
  <r>
    <d v="2021-10-02T00:00:00"/>
    <x v="0"/>
    <x v="31"/>
    <n v="1"/>
    <s v="QTR4"/>
    <s v="Saturday"/>
    <d v="1899-12-30T18:30:00"/>
    <s v="Rain"/>
    <n v="55.4"/>
    <s v="Brunswick/Bath/Freeport"/>
    <n v="35.75"/>
    <n v="2.0999999999999996"/>
    <n v="40"/>
    <n v="5"/>
    <n v="17.023809523809526"/>
    <s v=""/>
    <n v="7.15"/>
    <n v="0.89375000000000004"/>
    <n v="8"/>
    <n v="2.3809523809523814"/>
    <n v="1"/>
    <d v="1899-12-30T00:25:12"/>
    <s v="Order"/>
    <n v="19.21857142857143"/>
    <n v="-2.1947619047619042"/>
    <n v="5.6424444444444442"/>
    <n v="68.699999999999989"/>
    <n v="-32.949999999999989"/>
  </r>
  <r>
    <d v="2021-10-10T00:00:00"/>
    <x v="0"/>
    <x v="32"/>
    <n v="2"/>
    <s v="QTR4"/>
    <s v="Sunday"/>
    <d v="1899-12-30T17:00:00"/>
    <s v="Partially Cloudy"/>
    <n v="67.599999999999994"/>
    <s v="Brunswick/Bath/Freeport"/>
    <n v="22.5"/>
    <n v="1.2"/>
    <n v="35"/>
    <n v="2"/>
    <n v="18.75"/>
    <s v=""/>
    <n v="11.25"/>
    <n v="0.6428571428571429"/>
    <n v="17.5"/>
    <n v="1.6666666666666667"/>
    <n v="1"/>
    <d v="1899-12-30T00:36:00"/>
    <s v="Order"/>
    <n v="18.75"/>
    <n v="0"/>
    <n v="5.8924444444444442"/>
    <n v="69.287499999999994"/>
    <n v="-46.787499999999994"/>
  </r>
  <r>
    <d v="2021-10-11T00:00:00"/>
    <x v="0"/>
    <x v="33"/>
    <n v="3"/>
    <s v="QTR4"/>
    <s v="Monday"/>
    <d v="1899-12-30T18:00:00"/>
    <s v="Partially Cloudy"/>
    <n v="74.599999999999994"/>
    <s v="Brunswick/Bath/Freeport"/>
    <n v="43.75"/>
    <n v="2.2999999999999998"/>
    <n v="43.199999999999996"/>
    <n v="3"/>
    <n v="19.021739130434785"/>
    <s v=""/>
    <n v="14.583333333333334"/>
    <n v="1.0127314814814816"/>
    <n v="14.399999999999999"/>
    <n v="1.3043478260869565"/>
    <n v="1"/>
    <d v="1899-12-30T00:46:00"/>
    <s v="Order"/>
    <n v="25.366113653699468"/>
    <n v="-6.3443745232646833"/>
    <n v="6.3785555555555549"/>
    <n v="70.349999999999994"/>
    <n v="-26.599999999999994"/>
  </r>
  <r>
    <d v="2021-10-24T00:00:00"/>
    <x v="0"/>
    <x v="34"/>
    <n v="4"/>
    <s v="QTR4"/>
    <s v="Sunday"/>
    <d v="1899-12-30T16:30:00"/>
    <s v="Rain"/>
    <n v="42.9"/>
    <s v="Brunswick/Bath/Freeport"/>
    <n v="137.51"/>
    <n v="5.3999999999999995"/>
    <n v="100"/>
    <n v="14"/>
    <n v="25.464814814814815"/>
    <n v="6.7148148148148152"/>
    <n v="9.8221428571428557"/>
    <n v="1.3751"/>
    <n v="7.1428571428571432"/>
    <n v="2.592592592592593"/>
    <n v="2"/>
    <d v="1899-12-30T00:23:09"/>
    <s v="Order"/>
    <n v="24.648174146068314"/>
    <n v="0.81664066874650132"/>
    <n v="7.6397777777777769"/>
    <n v="59.877499999999998"/>
    <n v="77.632499999999993"/>
  </r>
  <r>
    <d v="2021-10-25T00:00:00"/>
    <x v="0"/>
    <x v="35"/>
    <n v="5"/>
    <s v="QTR4"/>
    <s v="Monday"/>
    <d v="1899-12-30T18:00:00"/>
    <s v="Rain"/>
    <n v="43.9"/>
    <s v="Brunswick/Bath/Freeport"/>
    <n v="80.210000000000008"/>
    <n v="3.9"/>
    <n v="72.400000000000006"/>
    <n v="9"/>
    <n v="20.56666666666667"/>
    <n v="1.5449275362318851"/>
    <n v="8.9122222222222227"/>
    <n v="1.1078729281767956"/>
    <n v="8.0444444444444443"/>
    <n v="2.3076923076923079"/>
    <n v="2"/>
    <d v="1899-12-30T00:26:00"/>
    <s v="Order"/>
    <n v="23.506606168174361"/>
    <n v="-2.9399395015076912"/>
    <n v="8.5309999999999988"/>
    <n v="70.992500000000007"/>
    <n v="9.2175000000000011"/>
  </r>
  <r>
    <d v="2021-11-02T00:00:00"/>
    <x v="0"/>
    <x v="36"/>
    <n v="6"/>
    <s v="QTR4"/>
    <s v="Tuesday"/>
    <d v="1899-12-30T17:30:00"/>
    <s v="Partially Cloudy"/>
    <n v="47.5"/>
    <s v="Brunswick/Bath/Freeport"/>
    <n v="27.5"/>
    <n v="1.2"/>
    <n v="11"/>
    <n v="4"/>
    <n v="22.916666666666668"/>
    <s v=""/>
    <n v="6.875"/>
    <n v="2.5"/>
    <n v="2.75"/>
    <n v="3.3333333333333335"/>
    <n v="1"/>
    <d v="1899-12-30T00:18:00"/>
    <s v="Order"/>
    <n v="26.085332217138063"/>
    <n v="-3.1686655504713954"/>
    <n v="8.2143333333333324"/>
    <n v="72.242500000000007"/>
    <n v="-44.742500000000007"/>
  </r>
  <r>
    <d v="2021-11-05T00:00:00"/>
    <x v="0"/>
    <x v="36"/>
    <n v="6"/>
    <s v="QTR4"/>
    <s v="Friday"/>
    <d v="1899-12-30T18:00:00"/>
    <s v="Clear"/>
    <n v="48.2"/>
    <s v="Brunswick/Bath/Freeport"/>
    <n v="77.099999999999994"/>
    <n v="2.6000000000000005"/>
    <n v="58"/>
    <n v="6"/>
    <n v="29.653846153846146"/>
    <s v=""/>
    <n v="12.85"/>
    <n v="1.329310344827586"/>
    <n v="9.6666666666666661"/>
    <n v="2.307692307692307"/>
    <n v="2"/>
    <d v="1899-12-30T00:26:00"/>
    <s v="Order"/>
    <n v="23.946852747537971"/>
    <n v="5.7069934063081753"/>
    <n v="9.0709999999999997"/>
    <n v="80.58"/>
    <n v="-3.480000000000004"/>
  </r>
  <r>
    <d v="2021-11-07T00:00:00"/>
    <x v="0"/>
    <x v="36"/>
    <n v="6"/>
    <s v="QTR4"/>
    <s v="Sunday"/>
    <d v="1899-12-30T11:00:00"/>
    <s v="Clear"/>
    <n v="60.5"/>
    <s v="Lewiston"/>
    <n v="40.4"/>
    <n v="1.9000000000000001"/>
    <n v="19.299999999999997"/>
    <n v="5"/>
    <n v="21.263157894736839"/>
    <s v=""/>
    <n v="8.08"/>
    <n v="2.0932642487046635"/>
    <n v="3.8599999999999994"/>
    <n v="2.6315789473684208"/>
    <n v="2"/>
    <d v="1899-12-30T00:22:48"/>
    <s v="Order"/>
    <n v="21.263157894736839"/>
    <n v="0"/>
    <n v="9.5198888888888877"/>
    <n v="56.302500000000002"/>
    <n v="-15.902500000000003"/>
  </r>
  <r>
    <d v="2021-11-09T00:00:00"/>
    <x v="0"/>
    <x v="37"/>
    <n v="7"/>
    <s v="QTR4"/>
    <s v="Tuesday"/>
    <d v="1899-12-30T17:30:00"/>
    <s v="Rain"/>
    <n v="54.9"/>
    <s v="Brunswick/Bath/Freeport"/>
    <n v="119.74"/>
    <n v="3.3999999999999995"/>
    <n v="82"/>
    <n v="9"/>
    <n v="35.21764705882353"/>
    <n v="12.300980392156863"/>
    <n v="13.304444444444444"/>
    <n v="1.4602439024390244"/>
    <n v="9.1111111111111107"/>
    <n v="2.6470588235294121"/>
    <n v="2"/>
    <d v="1899-12-30T00:22:40"/>
    <s v="Order"/>
    <n v="27.181628668598059"/>
    <n v="8.0360183902254718"/>
    <n v="10.850333333333333"/>
    <n v="66.185000000000002"/>
    <n v="53.554999999999993"/>
  </r>
  <r>
    <d v="2021-11-11T00:00:00"/>
    <x v="0"/>
    <x v="37"/>
    <n v="7"/>
    <s v="QTR4"/>
    <s v="Thursday"/>
    <d v="1899-12-30T17:30:00"/>
    <s v="Rain"/>
    <n v="57.1"/>
    <s v="Brunswick/Bath/Freeport"/>
    <n v="83.23"/>
    <n v="3.1"/>
    <n v="90.7"/>
    <n v="9"/>
    <n v="26.848387096774193"/>
    <s v=""/>
    <n v="9.2477777777777774"/>
    <n v="0.91764057331863291"/>
    <n v="10.077777777777778"/>
    <n v="2.903225806451613"/>
    <n v="3"/>
    <d v="1899-12-30T00:20:40"/>
    <s v="Order"/>
    <n v="20.86601173020528"/>
    <n v="5.9823753665689132"/>
    <n v="11.77511111111111"/>
    <n v="80.117500000000007"/>
    <n v="3.1124999999999972"/>
  </r>
  <r>
    <d v="2021-11-14T00:00:00"/>
    <x v="0"/>
    <x v="37"/>
    <n v="7"/>
    <s v="QTR4"/>
    <s v="Sunday"/>
    <d v="1899-12-30T17:30:00"/>
    <s v="Rain"/>
    <n v="39.1"/>
    <s v="Lewiston"/>
    <n v="102.44999999999999"/>
    <n v="4.8000000000000007"/>
    <n v="71.900000000000006"/>
    <n v="12"/>
    <n v="21.343749999999993"/>
    <n v="8.0592105263153968E-2"/>
    <n v="8.5374999999999996"/>
    <n v="1.424895688456189"/>
    <n v="5.9916666666666671"/>
    <n v="2.4999999999999996"/>
    <n v="2"/>
    <d v="1899-12-30T00:24:00"/>
    <s v="Order"/>
    <n v="23.50977822580645"/>
    <n v="-2.1660282258064569"/>
    <n v="12.913444444444444"/>
    <n v="86.454999999999998"/>
    <n v="15.99499999999999"/>
  </r>
  <r>
    <d v="2021-11-15T00:00:00"/>
    <x v="0"/>
    <x v="38"/>
    <n v="8"/>
    <s v="QTR4"/>
    <s v="Monday"/>
    <d v="1899-12-30T17:30:00"/>
    <s v="Partially Cloudy"/>
    <n v="37.1"/>
    <s v="Portland"/>
    <n v="116.81"/>
    <n v="6"/>
    <n v="132.19999999999999"/>
    <n v="13"/>
    <n v="19.468333333333334"/>
    <s v=""/>
    <n v="8.985384615384616"/>
    <n v="0.88358547655068087"/>
    <n v="10.169230769230769"/>
    <n v="2.1666666666666665"/>
    <n v="2"/>
    <d v="1899-12-30T00:27:42"/>
    <s v="Order"/>
    <n v="23.549802521868241"/>
    <n v="-4.081469188534907"/>
    <n v="14.211333333333332"/>
    <n v="105.55749999999999"/>
    <n v="11.252500000000012"/>
  </r>
  <r>
    <d v="2021-11-16T00:00:00"/>
    <x v="0"/>
    <x v="38"/>
    <n v="8"/>
    <s v="QTR4"/>
    <s v="Tuesday"/>
    <d v="1899-12-30T18:00:00"/>
    <s v="Partially Cloudy"/>
    <n v="38.700000000000003"/>
    <s v="Portland"/>
    <n v="87.539999999999992"/>
    <n v="5"/>
    <n v="96.699999999999989"/>
    <n v="11"/>
    <n v="17.507999999999999"/>
    <s v=""/>
    <n v="7.9581818181818171"/>
    <n v="0.90527404343329887"/>
    <n v="8.7909090909090892"/>
    <n v="2.2000000000000002"/>
    <n v="2"/>
    <d v="1899-12-30T00:27:16"/>
    <s v="Order"/>
    <n v="20.185372549019611"/>
    <n v="-2.6773725490196121"/>
    <n v="15.183999999999999"/>
    <n v="97.507499999999993"/>
    <n v="-9.9675000000000011"/>
  </r>
  <r>
    <d v="2021-11-17T00:00:00"/>
    <x v="0"/>
    <x v="38"/>
    <n v="8"/>
    <s v="QTR4"/>
    <s v="Wednesday"/>
    <d v="1899-12-30T18:00:00"/>
    <s v="Rain"/>
    <n v="58.6"/>
    <s v="Portland"/>
    <n v="13.25"/>
    <n v="1.7"/>
    <n v="52"/>
    <n v="2"/>
    <n v="7.7941176470588234"/>
    <s v=""/>
    <n v="6.625"/>
    <n v="0.25480769230769229"/>
    <n v="26"/>
    <n v="1.1764705882352942"/>
    <n v="1"/>
    <d v="1899-12-30T00:51:00"/>
    <s v="Order"/>
    <n v="7.7941176470588234"/>
    <n v="0"/>
    <n v="15.331222222222221"/>
    <n v="80.012499999999989"/>
    <n v="-66.762499999999989"/>
  </r>
  <r>
    <d v="2021-11-19T00:00:00"/>
    <x v="0"/>
    <x v="38"/>
    <n v="8"/>
    <s v="QTR4"/>
    <s v="Friday"/>
    <d v="1899-12-30T22:00:00"/>
    <s v="Clear"/>
    <n v="42.4"/>
    <s v="Lewiston"/>
    <n v="73.03"/>
    <n v="3.1"/>
    <n v="74"/>
    <n v="8"/>
    <n v="23.558064516129033"/>
    <s v=""/>
    <n v="9.1287500000000001"/>
    <n v="0.98689189189189186"/>
    <n v="9.25"/>
    <n v="2.5806451612903225"/>
    <n v="3"/>
    <d v="1899-12-30T00:23:15"/>
    <s v="Order"/>
    <n v="24.067695029985224"/>
    <n v="-0.50963051385619096"/>
    <n v="16.142666666666667"/>
    <n v="72.657499999999999"/>
    <n v="0.37250000000000227"/>
  </r>
  <r>
    <d v="2021-11-21T00:00:00"/>
    <x v="0"/>
    <x v="38"/>
    <n v="8"/>
    <s v="QTR4"/>
    <s v="Sunday"/>
    <d v="1899-12-30T18:30:00"/>
    <s v="Rain"/>
    <n v="52"/>
    <s v="Lewiston"/>
    <n v="63.25"/>
    <n v="3.4000000000000004"/>
    <n v="71"/>
    <n v="6"/>
    <n v="18.602941176470587"/>
    <n v="-2.7005127708978307"/>
    <n v="10.541666666666666"/>
    <n v="0.89084507042253525"/>
    <n v="11.833333333333334"/>
    <n v="1.7647058823529409"/>
    <n v="2"/>
    <d v="1899-12-30T00:34:00"/>
    <s v="Order"/>
    <n v="18.602941176470587"/>
    <n v="0"/>
    <n v="16.845444444444443"/>
    <n v="59.267499999999998"/>
    <n v="3.9825000000000017"/>
  </r>
  <r>
    <d v="2021-11-22T00:00:00"/>
    <x v="0"/>
    <x v="39"/>
    <n v="9"/>
    <s v="QTR4"/>
    <s v="Monday"/>
    <d v="1899-12-30T17:00:00"/>
    <s v="Clear"/>
    <n v="30.7"/>
    <s v="Brunswick/Bath/Freeport"/>
    <n v="120"/>
    <n v="4.2"/>
    <n v="84"/>
    <n v="11"/>
    <n v="28.571428571428569"/>
    <n v="8.7772256728778402"/>
    <n v="10.909090909090908"/>
    <n v="1.4285714285714286"/>
    <n v="7.6363636363636367"/>
    <n v="2.6190476190476191"/>
    <n v="2"/>
    <d v="1899-12-30T00:22:55"/>
    <s v="Order"/>
    <n v="22.7536390170972"/>
    <n v="5.8177895543313696"/>
    <n v="18.178777777777778"/>
    <n v="67.382499999999993"/>
    <n v="52.617500000000007"/>
  </r>
  <r>
    <d v="2021-11-27T00:00:00"/>
    <x v="0"/>
    <x v="39"/>
    <n v="9"/>
    <s v="QTR4"/>
    <s v="Saturday"/>
    <d v="1899-12-30T13:30:00"/>
    <s v="Partially Cloudy"/>
    <n v="30.6"/>
    <s v="Portland"/>
    <n v="280.45"/>
    <n v="11.5"/>
    <n v="247"/>
    <n v="26"/>
    <n v="24.38695652173913"/>
    <s v=""/>
    <n v="10.786538461538461"/>
    <n v="1.1354251012145749"/>
    <n v="9.5"/>
    <n v="2.2608695652173911"/>
    <n v="3"/>
    <d v="1899-12-30T00:26:32"/>
    <s v="Order"/>
    <n v="22.584824414715719"/>
    <n v="1.8021321070234109"/>
    <n v="21.294888888888888"/>
    <n v="134.1825"/>
    <n v="146.26749999999998"/>
  </r>
  <r>
    <d v="2021-11-29T00:00:00"/>
    <x v="0"/>
    <x v="40"/>
    <n v="10"/>
    <s v="QTR4"/>
    <s v="Monday"/>
    <d v="1899-12-30T17:00:00"/>
    <s v="Partially Cloudy"/>
    <n v="31.7"/>
    <s v="Lewiston"/>
    <n v="113"/>
    <n v="4.9000000000000004"/>
    <n v="86.8"/>
    <n v="14"/>
    <n v="23.061224489795915"/>
    <s v=""/>
    <n v="8.0714285714285712"/>
    <n v="1.3018433179723503"/>
    <n v="6.2"/>
    <n v="2.8571428571428568"/>
    <n v="2"/>
    <d v="1899-12-30T00:21:00"/>
    <s v="Order"/>
    <n v="21.442841149708883"/>
    <n v="1.618383340087032"/>
    <n v="21.776444444444444"/>
    <n v="144.17500000000001"/>
    <n v="-31.175000000000011"/>
  </r>
  <r>
    <d v="2021-12-03T00:00:00"/>
    <x v="0"/>
    <x v="40"/>
    <n v="10"/>
    <s v="QTR4"/>
    <s v="Friday"/>
    <d v="1899-12-30T19:00:00"/>
    <s v="Clear"/>
    <n v="31.5"/>
    <s v="Portland"/>
    <n v="115.66"/>
    <n v="6.33"/>
    <n v="143"/>
    <n v="11"/>
    <n v="18.271721958925749"/>
    <s v=""/>
    <n v="10.514545454545454"/>
    <n v="0.80881118881118874"/>
    <n v="13"/>
    <n v="1.7377567140600316"/>
    <n v="3"/>
    <d v="1899-12-30T00:34:32"/>
    <s v="Order"/>
    <n v="20.150712464611388"/>
    <n v="-1.8789905056856391"/>
    <n v="23.061555555555554"/>
    <n v="157.2775"/>
    <n v="-41.617500000000007"/>
  </r>
  <r>
    <d v="2021-12-06T00:00:00"/>
    <x v="0"/>
    <x v="41"/>
    <n v="11"/>
    <s v="QTR4"/>
    <s v="Monday"/>
    <d v="1899-12-30T17:30:00"/>
    <s v="Rain"/>
    <n v="38.9"/>
    <s v="Brunswick/Bath/Freeport"/>
    <n v="117.21000000000001"/>
    <n v="4.8"/>
    <n v="130.1"/>
    <n v="11"/>
    <n v="24.418750000000003"/>
    <n v="1.6988052104899936"/>
    <n v="10.655454545454546"/>
    <n v="0.90092236740968501"/>
    <n v="11.827272727272726"/>
    <n v="2.291666666666667"/>
    <n v="3"/>
    <d v="1899-12-30T00:26:11"/>
    <s v="Order"/>
    <n v="21.372401866151865"/>
    <n v="3.046348133848138"/>
    <n v="24.363888888888887"/>
    <n v="156.58000000000001"/>
    <n v="-39.370000000000005"/>
  </r>
  <r>
    <d v="2021-12-07T00:00:00"/>
    <x v="0"/>
    <x v="41"/>
    <n v="11"/>
    <s v="QTR4"/>
    <s v="Tuesday"/>
    <d v="1899-12-30T17:30:00"/>
    <s v="Light Snow"/>
    <n v="23"/>
    <s v="Lewiston"/>
    <n v="62.57"/>
    <n v="2.2000000000000002"/>
    <n v="38.1"/>
    <n v="6"/>
    <n v="28.440909090909088"/>
    <s v=""/>
    <n v="10.428333333333333"/>
    <n v="1.642257217847769"/>
    <n v="6.3500000000000005"/>
    <n v="2.7272727272727271"/>
    <n v="2"/>
    <d v="1899-12-30T00:22:00"/>
    <s v="Order"/>
    <n v="28.440909090909088"/>
    <n v="0"/>
    <n v="25.059111111111115"/>
    <n v="102.11"/>
    <n v="-39.54"/>
  </r>
  <r>
    <d v="2021-12-10T00:00:00"/>
    <x v="0"/>
    <x v="41"/>
    <n v="11"/>
    <s v="QTR4"/>
    <s v="Friday"/>
    <d v="1899-12-30T18:00:00"/>
    <s v="Rain / Snow Mix"/>
    <n v="44.2"/>
    <s v="Portland"/>
    <n v="109.35"/>
    <n v="6.1"/>
    <n v="128.9"/>
    <n v="11"/>
    <n v="17.926229508196723"/>
    <n v="-0.34549245072902579"/>
    <n v="9.9409090909090896"/>
    <n v="0.84833204034134979"/>
    <n v="11.718181818181819"/>
    <n v="1.8032786885245902"/>
    <n v="3"/>
    <d v="1899-12-30T00:33:16"/>
    <s v="Order"/>
    <n v="22.408214068869807"/>
    <n v="-4.4819845606730837"/>
    <n v="25.347888888888889"/>
    <n v="101.19749999999999"/>
    <n v="8.1525000000000034"/>
  </r>
  <r>
    <d v="2021-12-15T00:00:00"/>
    <x v="0"/>
    <x v="42"/>
    <n v="12"/>
    <s v="QTR4"/>
    <s v="Wednesday"/>
    <d v="1899-12-30T17:30:00"/>
    <s v="Rain / Snow Mix"/>
    <n v="41.1"/>
    <s v="Brunswick/Bath/Freeport"/>
    <n v="79.55"/>
    <n v="3.5"/>
    <n v="72.5"/>
    <n v="8"/>
    <n v="22.728571428571428"/>
    <s v=""/>
    <n v="9.9437499999999996"/>
    <n v="1.0972413793103448"/>
    <n v="9.0625"/>
    <n v="2.2857142857142856"/>
    <n v="2"/>
    <d v="1899-12-30T00:26:15"/>
    <s v="Order"/>
    <n v="20.743564993564995"/>
    <n v="1.9850064350064329"/>
    <n v="25.568999999999999"/>
    <n v="92.17"/>
    <n v="-12.620000000000005"/>
  </r>
  <r>
    <d v="2021-12-27T00:00:00"/>
    <x v="0"/>
    <x v="0"/>
    <n v="1"/>
    <s v="QTR1"/>
    <s v="Monday"/>
    <d v="1899-12-30T20:00:00"/>
    <s v="Rain / Snow Mix"/>
    <n v="32.799999999999997"/>
    <s v="Brunswick/Bath/Freeport"/>
    <n v="40.049999999999997"/>
    <n v="1.5"/>
    <n v="34.299999999999997"/>
    <n v="2"/>
    <n v="26.7"/>
    <n v="-2.0588602654176391"/>
    <n v="20.024999999999999"/>
    <n v="1.1676384839650147"/>
    <n v="17.149999999999999"/>
    <n v="1.3333333333333333"/>
    <n v="1"/>
    <d v="1899-12-30T00:45:00"/>
    <s v="Order"/>
    <n v="22.603731343283581"/>
    <n v="4.0962686567164184"/>
    <n v="24.020666666666667"/>
    <n v="72.88"/>
    <n v="-32.83"/>
  </r>
  <r>
    <d v="2021-12-31T00:00:00"/>
    <x v="0"/>
    <x v="0"/>
    <n v="1"/>
    <s v="QTR1"/>
    <s v="Friday"/>
    <d v="1899-12-30T16:30:00"/>
    <s v="Rain / Snow Mix"/>
    <n v="37.799999999999997"/>
    <s v="Brunswick/Bath/Freeport"/>
    <n v="150.18"/>
    <n v="4.5"/>
    <n v="109.2"/>
    <n v="10"/>
    <n v="33.373333333333335"/>
    <n v="22.158593073593075"/>
    <n v="15.018000000000001"/>
    <n v="1.3752747252747253"/>
    <n v="10.92"/>
    <n v="2.2222222222222223"/>
    <n v="2"/>
    <d v="1899-12-30T00:27:00"/>
    <s v="Order"/>
    <n v="19.988788031661809"/>
    <n v="13.384545301671526"/>
    <n v="25.292111111111112"/>
    <n v="94.782499999999999"/>
    <n v="55.397500000000008"/>
  </r>
  <r>
    <d v="2022-01-11T00:00:00"/>
    <x v="1"/>
    <x v="2"/>
    <n v="3"/>
    <s v="QTR1"/>
    <s v="Tuesday"/>
    <d v="1899-12-30T17:30:00"/>
    <s v="Partially Cloudy"/>
    <n v="24.1"/>
    <s v="Brunswick/Bath/Freeport"/>
    <n v="79.45"/>
    <n v="3.9000000000000004"/>
    <n v="81.3"/>
    <n v="8"/>
    <n v="20.371794871794872"/>
    <n v="-28.467511486586634"/>
    <n v="9.9312500000000004"/>
    <n v="0.97724477244772456"/>
    <n v="10.1625"/>
    <n v="2.0512820512820511"/>
    <n v="2"/>
    <d v="1899-12-30T00:29:15"/>
    <s v="Order"/>
    <n v="24.309841019700176"/>
    <n v="-3.9380461479053039"/>
    <n v="25.438777777777769"/>
    <n v="87.30749999999999"/>
    <n v="-7.8574999999999875"/>
  </r>
  <r>
    <d v="2022-01-15T00:00:00"/>
    <x v="1"/>
    <x v="2"/>
    <n v="3"/>
    <s v="QTR1"/>
    <s v="Saturday"/>
    <d v="1899-12-30T11:30:00"/>
    <s v="Clear"/>
    <n v="19.7"/>
    <s v="Lewiston"/>
    <n v="100.25"/>
    <n v="5.6"/>
    <n v="116.89999999999999"/>
    <n v="14"/>
    <n v="17.901785714285715"/>
    <n v="2.861426969891097"/>
    <n v="7.1607142857142856"/>
    <n v="0.85757057313943552"/>
    <n v="8.35"/>
    <n v="2.5"/>
    <n v="3"/>
    <d v="1899-12-30T00:24:00"/>
    <s v="Order"/>
    <n v="19.264398626308076"/>
    <n v="-1.3626129120223602"/>
    <n v="26.55266666666666"/>
    <n v="92.482500000000002"/>
    <n v="7.7674999999999983"/>
  </r>
  <r>
    <d v="2022-01-24T00:00:00"/>
    <x v="1"/>
    <x v="3"/>
    <n v="5"/>
    <s v="QTR1"/>
    <s v="Monday"/>
    <d v="1899-12-30T17:30:00"/>
    <s v="Light Snow"/>
    <n v="29.7"/>
    <s v="Brunswick/Bath/Freeport"/>
    <n v="38.43"/>
    <n v="1.8"/>
    <n v="46.4"/>
    <n v="4"/>
    <n v="21.349999999999998"/>
    <n v="-6.8941451990632316"/>
    <n v="9.6074999999999999"/>
    <n v="0.82823275862068968"/>
    <n v="11.6"/>
    <n v="2.2222222222222223"/>
    <n v="2"/>
    <d v="1899-12-30T00:27:00"/>
    <s v="Order"/>
    <n v="21.349999999999998"/>
    <n v="0"/>
    <n v="24.560555555555553"/>
    <n v="92.077500000000001"/>
    <n v="-53.647500000000001"/>
  </r>
  <r>
    <d v="2022-02-03T00:00:00"/>
    <x v="1"/>
    <x v="4"/>
    <n v="6"/>
    <s v="QTR1"/>
    <s v="Thursday"/>
    <d v="1899-12-30T18:00:00"/>
    <s v="Snow Storm"/>
    <n v="24.4"/>
    <s v="Brunswick/Bath/Freeport"/>
    <n v="55.89"/>
    <n v="2.5"/>
    <n v="49.8"/>
    <n v="8"/>
    <n v="22.356000000000002"/>
    <s v=""/>
    <n v="6.9862500000000001"/>
    <n v="1.1222891566265061"/>
    <n v="6.2249999999999996"/>
    <n v="3.2"/>
    <n v="1"/>
    <d v="1899-12-30T00:18:45"/>
    <s v="Order"/>
    <n v="20.232614280015955"/>
    <n v="2.1233857199840465"/>
    <n v="24.019333333333332"/>
    <n v="68.504999999999995"/>
    <n v="-12.614999999999995"/>
  </r>
  <r>
    <d v="2022-02-08T00:00:00"/>
    <x v="1"/>
    <x v="5"/>
    <n v="7"/>
    <s v="QTR1"/>
    <s v="Tuesday"/>
    <d v="1899-12-30T18:30:00"/>
    <s v="Clear"/>
    <n v="38.700000000000003"/>
    <s v="Brunswick/Bath/Freeport"/>
    <n v="110.74"/>
    <n v="3.3"/>
    <n v="76"/>
    <n v="6"/>
    <n v="33.557575757575755"/>
    <n v="-1.0479748575124361"/>
    <n v="18.456666666666667"/>
    <n v="1.4571052631578947"/>
    <n v="12.666666666666666"/>
    <n v="1.8181818181818183"/>
    <n v="2"/>
    <d v="1899-12-30T00:33:00"/>
    <s v="Order"/>
    <n v="27.074867409256267"/>
    <n v="6.4827083483194876"/>
    <n v="23.470444444444446"/>
    <n v="76.327500000000001"/>
    <n v="34.412499999999994"/>
  </r>
  <r>
    <d v="2022-02-12T00:00:00"/>
    <x v="1"/>
    <x v="5"/>
    <n v="7"/>
    <s v="QTR1"/>
    <s v="Saturday"/>
    <d v="1899-12-30T15:30:00"/>
    <s v="Light Snow"/>
    <n v="23.6"/>
    <s v="Brunswick/Bath/Freeport"/>
    <n v="102.55"/>
    <n v="5.5"/>
    <n v="87.4"/>
    <n v="14"/>
    <n v="18.645454545454545"/>
    <n v="-12.558627600203494"/>
    <n v="7.3250000000000002"/>
    <n v="1.173340961098398"/>
    <n v="6.2428571428571429"/>
    <n v="2.5454545454545454"/>
    <n v="1"/>
    <d v="1899-12-30T00:23:34"/>
    <s v="Order"/>
    <n v="23.598377948374907"/>
    <n v="-4.9529234029203622"/>
    <n v="22.546777777777777"/>
    <n v="76.902500000000003"/>
    <n v="25.647499999999994"/>
  </r>
  <r>
    <d v="2022-02-14T00:00:00"/>
    <x v="1"/>
    <x v="6"/>
    <n v="8"/>
    <s v="QTR1"/>
    <s v="Monday"/>
    <d v="1899-12-30T18:00:00"/>
    <s v="Clear"/>
    <n v="16.7"/>
    <s v="Brunswick/Bath/Freeport"/>
    <n v="21.75"/>
    <n v="0.8"/>
    <n v="19.3"/>
    <n v="2"/>
    <n v="27.1875"/>
    <n v="0.32218384074941397"/>
    <n v="10.875"/>
    <n v="1.1269430051813472"/>
    <n v="9.65"/>
    <n v="2.5"/>
    <n v="1"/>
    <d v="1899-12-30T00:24:00"/>
    <s v="Order"/>
    <n v="27.049491626794261"/>
    <n v="0.13800837320573933"/>
    <n v="20.517888888888891"/>
    <n v="72.732500000000002"/>
    <n v="-50.982500000000002"/>
  </r>
  <r>
    <d v="2022-02-24T00:00:00"/>
    <x v="1"/>
    <x v="7"/>
    <n v="9"/>
    <s v="QTR1"/>
    <s v="Thursday"/>
    <d v="1899-12-30T17:30:00"/>
    <s v="Snow Storm"/>
    <n v="17.3"/>
    <s v="Lewiston"/>
    <n v="72.930000000000007"/>
    <n v="4"/>
    <n v="59"/>
    <n v="10"/>
    <n v="18.232500000000002"/>
    <s v=""/>
    <n v="7.293000000000001"/>
    <n v="1.2361016949152543"/>
    <n v="5.9"/>
    <n v="2.5"/>
    <n v="2"/>
    <d v="1899-12-30T00:24:00"/>
    <s v="Order"/>
    <n v="23.055098920863308"/>
    <n v="-4.8225989208633067"/>
    <n v="18.333444444444446"/>
    <n v="76.992500000000007"/>
    <n v="-4.0625"/>
  </r>
  <r>
    <d v="2022-02-27T00:00:00"/>
    <x v="1"/>
    <x v="7"/>
    <n v="9"/>
    <s v="QTR1"/>
    <s v="Sunday"/>
    <d v="1899-12-30T17:00:00"/>
    <s v="Clear"/>
    <n v="11"/>
    <s v="Portland"/>
    <n v="145.1"/>
    <n v="5.5"/>
    <n v="90.6"/>
    <n v="16"/>
    <n v="26.381818181818179"/>
    <n v="15.28125305673584"/>
    <n v="9.0687499999999996"/>
    <n v="1.6015452538631347"/>
    <n v="5.6624999999999996"/>
    <n v="2.9090909090909092"/>
    <n v="2"/>
    <d v="1899-12-30T00:20:38"/>
    <s v="Order"/>
    <n v="27.871502575489643"/>
    <n v="-1.4896843936714639"/>
    <n v="15.573999999999998"/>
    <n v="85.58250000000001"/>
    <n v="59.517499999999984"/>
  </r>
  <r>
    <d v="2022-02-28T00:00:00"/>
    <x v="1"/>
    <x v="8"/>
    <n v="10"/>
    <s v="QTR1"/>
    <s v="Monday"/>
    <d v="1899-12-30T18:00:00"/>
    <s v="Light Snow"/>
    <n v="27.8"/>
    <s v="Brunswick/Bath/Freeport"/>
    <n v="122.35"/>
    <n v="5.3"/>
    <n v="119.19999999999999"/>
    <n v="11"/>
    <n v="23.084905660377359"/>
    <n v="-3.8341078056647966"/>
    <n v="11.122727272727273"/>
    <n v="1.0264261744966443"/>
    <n v="10.836363636363636"/>
    <n v="2.0754716981132075"/>
    <n v="2"/>
    <d v="1899-12-30T00:28:55"/>
    <s v="Order"/>
    <n v="23.56093186038801"/>
    <n v="-0.47602620001065077"/>
    <n v="16.93344444444444"/>
    <n v="90.532499999999999"/>
    <n v="31.817499999999995"/>
  </r>
  <r>
    <d v="2022-03-07T00:00:00"/>
    <x v="1"/>
    <x v="9"/>
    <n v="11"/>
    <s v="QTR1"/>
    <s v="Monday"/>
    <d v="1899-12-30T17:00:00"/>
    <s v="Rain"/>
    <n v="36.5"/>
    <s v="Brunswick/Bath/Freeport"/>
    <n v="72.14"/>
    <n v="2.2999999999999998"/>
    <n v="54.3"/>
    <n v="6"/>
    <n v="31.365217391304352"/>
    <n v="4.9939336117857387"/>
    <n v="12.023333333333333"/>
    <n v="1.3285451197053408"/>
    <n v="9.0499999999999989"/>
    <n v="2.6086956521739131"/>
    <n v="2"/>
    <d v="1899-12-30T00:23:00"/>
    <s v="Order"/>
    <n v="26.303037502761384"/>
    <n v="5.0621798885429676"/>
    <n v="14.452333333333332"/>
    <n v="103.13"/>
    <n v="-30.989999999999995"/>
  </r>
  <r>
    <d v="2022-03-12T00:00:00"/>
    <x v="1"/>
    <x v="9"/>
    <n v="11"/>
    <s v="QTR1"/>
    <s v="Saturday"/>
    <d v="1899-12-30T13:00:00"/>
    <s v="Partially Cloudy"/>
    <n v="22.8"/>
    <s v="Brunswick/Bath/Freeport"/>
    <n v="145.13999999999999"/>
    <n v="4.5"/>
    <n v="115.60000000000001"/>
    <n v="11"/>
    <n v="32.25333333333333"/>
    <n v="4.1889080877261655"/>
    <n v="13.194545454545453"/>
    <n v="1.2555363321799307"/>
    <n v="10.50909090909091"/>
    <n v="2.4444444444444446"/>
    <n v="2"/>
    <d v="1899-12-30T00:24:33"/>
    <s v="Order"/>
    <n v="24.294742211193824"/>
    <n v="7.9585911221395058"/>
    <n v="14.85"/>
    <n v="121.18249999999999"/>
    <n v="23.957499999999996"/>
  </r>
  <r>
    <d v="2022-03-14T00:00:00"/>
    <x v="1"/>
    <x v="10"/>
    <n v="12"/>
    <s v="QTR1"/>
    <s v="Monday"/>
    <d v="1899-12-30T17:30:00"/>
    <s v="Rain"/>
    <n v="49"/>
    <s v="Brunswick/Bath/Freeport"/>
    <n v="88.67"/>
    <n v="4.8"/>
    <n v="86"/>
    <n v="11"/>
    <n v="18.472916666666666"/>
    <n v="-8.5226088143251637"/>
    <n v="8.0609090909090906"/>
    <n v="1.0310465116279071"/>
    <n v="7.8181818181818183"/>
    <n v="2.291666666666667"/>
    <n v="2"/>
    <d v="1899-12-30T00:26:11"/>
    <s v="Order"/>
    <n v="22.127564587674119"/>
    <n v="-3.6546479210074523"/>
    <n v="15.835222222222223"/>
    <n v="107.075"/>
    <n v="-18.405000000000001"/>
  </r>
  <r>
    <d v="2022-03-19T00:00:00"/>
    <x v="1"/>
    <x v="10"/>
    <n v="12"/>
    <s v="QTR1"/>
    <s v="Saturday"/>
    <d v="1899-12-30T13:30:00"/>
    <s v="Rain"/>
    <n v="49.1"/>
    <s v="Brunswick/Bath/Freeport"/>
    <n v="222.43"/>
    <n v="8.8000000000000007"/>
    <n v="176"/>
    <n v="23"/>
    <n v="25.276136363636361"/>
    <n v="-3.6260704995160395"/>
    <n v="9.6708695652173908"/>
    <n v="1.2638068181818183"/>
    <n v="7.6521739130434785"/>
    <n v="2.6136363636363633"/>
    <n v="4"/>
    <d v="1899-12-30T00:22:57"/>
    <s v="Order"/>
    <n v="21.037978186413866"/>
    <n v="4.2381581772224948"/>
    <n v="17.422777777777782"/>
    <n v="132.095"/>
    <n v="90.335000000000008"/>
  </r>
  <r>
    <d v="2022-03-20T00:00:00"/>
    <x v="1"/>
    <x v="10"/>
    <n v="12"/>
    <s v="QTR1"/>
    <s v="Sunday"/>
    <d v="1899-12-30T16:30:00"/>
    <s v="Rain"/>
    <n v="43.1"/>
    <s v="Brunswick/Bath/Freeport"/>
    <n v="110.7"/>
    <n v="4"/>
    <n v="80"/>
    <n v="13"/>
    <n v="27.675000000000001"/>
    <n v="3.8204695652173903"/>
    <n v="8.5153846153846153"/>
    <n v="1.38375"/>
    <n v="6.1538461538461542"/>
    <n v="3.25"/>
    <n v="2"/>
    <d v="1899-12-30T00:18:28"/>
    <s v="Order"/>
    <n v="23.040660270880359"/>
    <n v="4.6343397291196418"/>
    <n v="18.652777777777782"/>
    <n v="141.73500000000001"/>
    <n v="-31.035000000000011"/>
  </r>
  <r>
    <d v="2022-03-24T00:00:00"/>
    <x v="1"/>
    <x v="11"/>
    <n v="13"/>
    <s v="QTR1"/>
    <s v="Thursday"/>
    <d v="1899-12-30T19:30:00"/>
    <s v="Rain"/>
    <n v="53"/>
    <s v="Brunswick/Bath/Freeport"/>
    <n v="26.25"/>
    <n v="1.1000000000000001"/>
    <n v="36.5"/>
    <n v="2"/>
    <n v="23.863636363636363"/>
    <n v="1.5076363636363617"/>
    <n v="13.125"/>
    <n v="0.71917808219178081"/>
    <n v="18.25"/>
    <n v="1.8181818181818181"/>
    <n v="1"/>
    <d v="1899-12-30T00:33:00"/>
    <s v="Order"/>
    <n v="21.815117980610939"/>
    <n v="2.0485183830254243"/>
    <n v="18.94444444444445"/>
    <n v="112.0125"/>
    <n v="-85.762500000000003"/>
  </r>
  <r>
    <d v="2022-03-25T00:00:00"/>
    <x v="1"/>
    <x v="11"/>
    <n v="13"/>
    <s v="QTR1"/>
    <s v="Friday"/>
    <d v="1899-12-30T19:00:00"/>
    <s v="Rain"/>
    <n v="48.4"/>
    <s v="Portland"/>
    <n v="102.57"/>
    <n v="5.5"/>
    <n v="95.800000000000011"/>
    <n v="15"/>
    <n v="18.649090909090908"/>
    <n v="-5.6178919274041235"/>
    <n v="6.8379999999999992"/>
    <n v="1.0706680584551147"/>
    <n v="6.3866666666666676"/>
    <n v="2.7272727272727271"/>
    <n v="2"/>
    <d v="1899-12-30T00:22:00"/>
    <s v="Order"/>
    <n v="21.587544461558959"/>
    <n v="-2.9384535524680508"/>
    <n v="20.084111111111117"/>
    <n v="115.4875"/>
    <n v="-12.917500000000004"/>
  </r>
  <r>
    <d v="2022-03-26T00:00:00"/>
    <x v="1"/>
    <x v="11"/>
    <n v="13"/>
    <s v="QTR1"/>
    <s v="Saturday"/>
    <d v="1899-12-30T13:30:00"/>
    <s v="Rain / Snow Mix"/>
    <n v="46.8"/>
    <s v="Brunswick/Bath/Freeport"/>
    <n v="129.97"/>
    <n v="4.42"/>
    <n v="111"/>
    <n v="9"/>
    <n v="29.404977375565611"/>
    <n v="1.1071155956658814"/>
    <n v="14.441111111111111"/>
    <n v="1.1709009009009008"/>
    <n v="12.333333333333334"/>
    <n v="2.0361990950226243"/>
    <n v="2"/>
    <d v="1899-12-30T00:29:28"/>
    <s v="Order"/>
    <n v="30.297774755848877"/>
    <n v="-0.89279738028326605"/>
    <n v="21.528222222222226"/>
    <n v="92.372500000000002"/>
    <n v="37.597499999999997"/>
  </r>
  <r>
    <d v="2022-03-29T00:00:00"/>
    <x v="1"/>
    <x v="12"/>
    <n v="1"/>
    <s v="QTR2"/>
    <s v="Tuesday"/>
    <d v="1899-12-30T17:00:00"/>
    <s v="Clear"/>
    <n v="44.5"/>
    <s v="Brunswick/Bath/Freeport"/>
    <n v="56.64"/>
    <n v="1.7000000000000002"/>
    <n v="37.799999999999997"/>
    <n v="4"/>
    <n v="33.317647058823525"/>
    <n v="14.890266106442574"/>
    <n v="14.16"/>
    <n v="1.4984126984126986"/>
    <n v="9.4499999999999993"/>
    <n v="2.3529411764705879"/>
    <n v="2"/>
    <d v="1899-12-30T00:25:30"/>
    <s v="Order"/>
    <n v="27.133182503770737"/>
    <n v="6.1844645550527879"/>
    <n v="21.712555555555561"/>
    <n v="78.857499999999987"/>
    <n v="-22.217499999999987"/>
  </r>
  <r>
    <d v="2022-03-31T00:00:00"/>
    <x v="1"/>
    <x v="12"/>
    <n v="1"/>
    <s v="QTR2"/>
    <s v="Thursday"/>
    <d v="1899-12-30T18:00:00"/>
    <s v="Rain"/>
    <n v="50.8"/>
    <s v="Brunswick/Bath/Freeport"/>
    <n v="71.25"/>
    <n v="3.5"/>
    <n v="68"/>
    <n v="10"/>
    <n v="20.357142857142858"/>
    <n v="-2.8248015873015895"/>
    <n v="7.125"/>
    <n v="1.0477941176470589"/>
    <n v="6.8"/>
    <n v="2.8571428571428572"/>
    <n v="1"/>
    <d v="1899-12-30T00:21:00"/>
    <s v="Order"/>
    <n v="20.685685249709643"/>
    <n v="-0.32854239256678497"/>
    <n v="20.835555555555558"/>
    <n v="90.107500000000002"/>
    <n v="-18.857500000000002"/>
  </r>
  <r>
    <d v="2022-04-02T00:00:00"/>
    <x v="1"/>
    <x v="12"/>
    <n v="1"/>
    <s v="QTR2"/>
    <s v="Saturday"/>
    <d v="1899-12-30T10:30:00"/>
    <s v="Light Snow"/>
    <n v="45.2"/>
    <s v="Brunswick/Bath/Freeport"/>
    <n v="75.069999999999993"/>
    <n v="3.5"/>
    <n v="68"/>
    <n v="7"/>
    <n v="21.448571428571427"/>
    <n v="-6.4899257086277622"/>
    <n v="10.724285714285713"/>
    <n v="1.1039705882352939"/>
    <n v="9.7142857142857135"/>
    <n v="2"/>
    <n v="2"/>
    <d v="1899-12-30T00:30:00"/>
    <s v="Order"/>
    <n v="21.691133638317044"/>
    <n v="-0.24256220974561771"/>
    <n v="21.669666666666668"/>
    <n v="83.232500000000002"/>
    <n v="-8.1625000000000085"/>
  </r>
  <r>
    <d v="2022-04-09T00:00:00"/>
    <x v="1"/>
    <x v="43"/>
    <n v="2"/>
    <s v="QTR2"/>
    <s v="Saturday"/>
    <d v="1899-12-30T17:30:00"/>
    <s v="Rain"/>
    <n v="54.5"/>
    <s v="Brunswick/Bath/Freeport"/>
    <n v="70.319999999999993"/>
    <n v="1.9"/>
    <n v="49.5"/>
    <n v="8"/>
    <n v="37.01052631578947"/>
    <n v="10.694510605747222"/>
    <n v="8.7899999999999991"/>
    <n v="1.4206060606060604"/>
    <n v="6.1875"/>
    <n v="4.2105263157894735"/>
    <n v="3"/>
    <d v="1899-12-30T00:14:15"/>
    <s v="Order"/>
    <n v="27.152961642707922"/>
    <n v="9.8575646730815478"/>
    <n v="22.451000000000001"/>
    <n v="68.319999999999993"/>
    <n v="2"/>
  </r>
  <r>
    <d v="2022-04-22T00:00:00"/>
    <x v="1"/>
    <x v="14"/>
    <n v="4"/>
    <s v="QTR2"/>
    <s v="Friday"/>
    <d v="1899-12-30T17:00:00"/>
    <s v="Clear"/>
    <n v="58.3"/>
    <s v="Portland"/>
    <n v="195.73000000000002"/>
    <n v="8.4"/>
    <n v="213.2"/>
    <n v="18"/>
    <n v="23.301190476190477"/>
    <n v="-2.5109881119348145"/>
    <n v="10.87388888888889"/>
    <n v="0.91805816135084439"/>
    <n v="11.844444444444443"/>
    <n v="2.1428571428571428"/>
    <n v="4"/>
    <d v="1899-12-30T00:28:00"/>
    <s v="Order"/>
    <n v="22.467344216099097"/>
    <n v="0.83384626009138074"/>
    <n v="22.629111111111111"/>
    <n v="103.0925"/>
    <n v="92.637500000000017"/>
  </r>
  <r>
    <d v="2022-05-03T00:00:00"/>
    <x v="1"/>
    <x v="16"/>
    <n v="6"/>
    <s v="QTR2"/>
    <s v="Tuesday"/>
    <d v="1899-12-30T17:30:00"/>
    <s v="Rain"/>
    <n v="48.9"/>
    <s v="Lewiston"/>
    <n v="50.68"/>
    <n v="3.2"/>
    <n v="72.3"/>
    <n v="8"/>
    <n v="15.837499999999999"/>
    <s v=""/>
    <n v="6.335"/>
    <n v="0.70096818810511763"/>
    <n v="9.0374999999999996"/>
    <n v="2.5"/>
    <n v="2"/>
    <d v="1899-12-30T00:24:00"/>
    <s v="Order"/>
    <n v="18.163573021829258"/>
    <n v="-2.3260730218292593"/>
    <n v="22.765222222222221"/>
    <n v="97.95"/>
    <n v="-47.27"/>
  </r>
  <r>
    <d v="2022-05-04T00:00:00"/>
    <x v="1"/>
    <x v="16"/>
    <n v="6"/>
    <s v="QTR2"/>
    <s v="Wednesday"/>
    <d v="1899-12-30T17:00:00"/>
    <s v="Rain"/>
    <n v="65.5"/>
    <s v="Portland"/>
    <n v="82.49"/>
    <n v="3.8"/>
    <n v="62"/>
    <n v="9"/>
    <n v="21.707894736842103"/>
    <s v=""/>
    <n v="9.1655555555555548"/>
    <n v="1.3304838709677418"/>
    <n v="6.8888888888888893"/>
    <n v="2.3684210526315792"/>
    <n v="1"/>
    <d v="1899-12-30T00:25:20"/>
    <s v="Order"/>
    <n v="24.426643904418047"/>
    <n v="-2.7187491675759432"/>
    <n v="23.060777777777776"/>
    <n v="99.805000000000007"/>
    <n v="-17.315000000000012"/>
  </r>
  <r>
    <d v="2022-05-07T00:00:00"/>
    <x v="1"/>
    <x v="16"/>
    <n v="6"/>
    <s v="QTR2"/>
    <s v="Saturday"/>
    <d v="1899-12-30T15:30:00"/>
    <s v="Clear"/>
    <n v="57.8"/>
    <s v="Brunswick/Bath/Freeport"/>
    <n v="177.53"/>
    <n v="7.8000000000000007"/>
    <n v="136.69999999999999"/>
    <n v="18"/>
    <n v="22.760256410256407"/>
    <n v="-5.6946614209352866"/>
    <n v="9.8627777777777776"/>
    <n v="1.2986832479882957"/>
    <n v="7.5944444444444441"/>
    <n v="2.3076923076923075"/>
    <n v="3"/>
    <d v="1899-12-30T00:26:00"/>
    <s v="Order"/>
    <n v="21.645085470085469"/>
    <n v="1.1151709401709375"/>
    <n v="25.033333333333335"/>
    <n v="126.60750000000002"/>
    <n v="50.922499999999985"/>
  </r>
  <r>
    <d v="2022-05-11T00:00:00"/>
    <x v="1"/>
    <x v="17"/>
    <n v="7"/>
    <s v="QTR2"/>
    <s v="Wednesday"/>
    <d v="1899-12-30T18:00:00"/>
    <s v="Clear"/>
    <n v="78.599999999999994"/>
    <s v="Brunswick/Bath/Freeport"/>
    <n v="64.34"/>
    <n v="3"/>
    <n v="52"/>
    <n v="8"/>
    <n v="21.446666666666669"/>
    <n v="-14.278665559246949"/>
    <n v="8.0425000000000004"/>
    <n v="1.2373076923076924"/>
    <n v="6.5"/>
    <n v="2.6666666666666665"/>
    <n v="2"/>
    <d v="1899-12-30T00:22:30"/>
    <s v="Order"/>
    <n v="24.268423200414826"/>
    <n v="-2.8217565337481574"/>
    <n v="24.517777777777781"/>
    <n v="93.759999999999991"/>
    <n v="-29.419999999999987"/>
  </r>
  <r>
    <d v="2022-05-12T00:00:00"/>
    <x v="1"/>
    <x v="17"/>
    <n v="7"/>
    <s v="QTR2"/>
    <s v="Thursday"/>
    <d v="1899-12-30T17:00:00"/>
    <s v="Rain"/>
    <n v="77.5"/>
    <s v="Lewiston"/>
    <n v="40.400000000000006"/>
    <n v="2.6"/>
    <n v="42"/>
    <n v="7"/>
    <n v="15.53846153846154"/>
    <n v="-4.4615384615384599"/>
    <n v="5.7714285714285722"/>
    <n v="0.96190476190476204"/>
    <n v="6"/>
    <n v="2.6923076923076921"/>
    <n v="2"/>
    <d v="1899-12-30T00:22:17"/>
    <s v="Order"/>
    <n v="19.305707637558172"/>
    <n v="-3.7672460990966314"/>
    <n v="24.966666666666672"/>
    <n v="91.19"/>
    <n v="-50.789999999999992"/>
  </r>
  <r>
    <d v="2022-05-13T00:00:00"/>
    <x v="1"/>
    <x v="17"/>
    <n v="7"/>
    <s v="QTR2"/>
    <s v="Friday"/>
    <d v="1899-12-30T17:30:00"/>
    <s v="Rain"/>
    <n v="86.8"/>
    <s v="Brunswick/Bath/Freeport"/>
    <n v="124.61"/>
    <n v="6.3000000000000007"/>
    <n v="162.4"/>
    <n v="11"/>
    <n v="19.779365079365078"/>
    <s v=""/>
    <n v="11.328181818181818"/>
    <n v="0.7673029556650246"/>
    <n v="14.763636363636364"/>
    <n v="1.7460317460317458"/>
    <n v="3"/>
    <d v="1899-12-30T00:34:22"/>
    <s v="Order"/>
    <n v="26.162300455424486"/>
    <n v="-6.3829353760594074"/>
    <n v="25.211777777777783"/>
    <n v="101.72"/>
    <n v="22.89"/>
  </r>
  <r>
    <d v="2022-05-19T00:00:00"/>
    <x v="1"/>
    <x v="18"/>
    <n v="8"/>
    <s v="QTR2"/>
    <s v="Thursday"/>
    <d v="1899-12-30T17:30:00"/>
    <s v="Rain"/>
    <n v="58.6"/>
    <s v="Brunswick/Bath/Freeport"/>
    <n v="60.43"/>
    <n v="3.1"/>
    <n v="62"/>
    <n v="7"/>
    <n v="19.493548387096773"/>
    <n v="-2.7467955282471443"/>
    <n v="8.6328571428571426"/>
    <n v="0.97467741935483876"/>
    <n v="8.8571428571428577"/>
    <n v="2.258064516129032"/>
    <n v="3"/>
    <d v="1899-12-30T00:26:34"/>
    <s v="Order"/>
    <n v="19.770465325238188"/>
    <n v="-0.27691693814141516"/>
    <n v="25.641555555555559"/>
    <n v="72.445000000000007"/>
    <n v="-12.015000000000008"/>
  </r>
  <r>
    <d v="2022-05-20T00:00:00"/>
    <x v="1"/>
    <x v="18"/>
    <n v="8"/>
    <s v="QTR2"/>
    <s v="Friday"/>
    <d v="1899-12-30T18:30:00"/>
    <s v="Rain"/>
    <n v="69.900000000000006"/>
    <s v="Lewiston"/>
    <n v="23.25"/>
    <n v="2.4"/>
    <n v="33"/>
    <n v="5"/>
    <n v="9.6875"/>
    <n v="-16.109166666666667"/>
    <n v="4.6500000000000004"/>
    <n v="0.70454545454545459"/>
    <n v="6.6"/>
    <n v="2.0833333333333335"/>
    <n v="1"/>
    <d v="1899-12-30T00:28:48"/>
    <s v="Order"/>
    <n v="16.333148531440958"/>
    <n v="-6.6456485314409584"/>
    <n v="25.899888888888892"/>
    <n v="62.172499999999999"/>
    <n v="-38.922499999999999"/>
  </r>
  <r>
    <d v="2022-05-23T00:00:00"/>
    <x v="1"/>
    <x v="19"/>
    <n v="9"/>
    <s v="QTR2"/>
    <s v="Monday"/>
    <d v="1899-12-30T17:30:00"/>
    <s v="Clear"/>
    <n v="62.6"/>
    <s v="Portland"/>
    <n v="109.4"/>
    <n v="5.7"/>
    <n v="113.6"/>
    <n v="13"/>
    <n v="19.192982456140353"/>
    <s v=""/>
    <n v="8.4153846153846157"/>
    <n v="0.96302816901408461"/>
    <n v="8.7384615384615376"/>
    <n v="2.2807017543859649"/>
    <n v="4"/>
    <d v="1899-12-30T00:26:18"/>
    <s v="Order"/>
    <n v="18.734097495073303"/>
    <n v="0.45888496106704935"/>
    <n v="27.115444444444449"/>
    <n v="79.422499999999999"/>
    <n v="29.977500000000006"/>
  </r>
  <r>
    <d v="2022-06-02T00:00:00"/>
    <x v="1"/>
    <x v="20"/>
    <n v="10"/>
    <s v="QTR2"/>
    <s v="Thursday"/>
    <d v="1899-12-30T18:00:00"/>
    <s v="Rain"/>
    <n v="55.3"/>
    <s v="Brunswick/Bath/Freeport"/>
    <n v="91.4"/>
    <n v="2.1"/>
    <n v="51"/>
    <n v="6"/>
    <n v="43.523809523809526"/>
    <n v="21.970164490527395"/>
    <n v="15.233333333333334"/>
    <n v="1.7921568627450981"/>
    <n v="8.5"/>
    <n v="2.8571428571428572"/>
    <n v="3"/>
    <d v="1899-12-30T00:21:00"/>
    <s v="Order"/>
    <n v="27.094757647407121"/>
    <n v="16.429051876402404"/>
    <n v="24.349000000000004"/>
    <n v="71.12"/>
    <n v="20.28"/>
  </r>
  <r>
    <d v="2022-06-03T00:00:00"/>
    <x v="1"/>
    <x v="20"/>
    <n v="10"/>
    <s v="QTR2"/>
    <s v="Friday"/>
    <d v="1899-12-30T18:00:00"/>
    <s v="Rain"/>
    <n v="62.7"/>
    <s v="Portland"/>
    <n v="41.22"/>
    <n v="3.9"/>
    <n v="81.48"/>
    <n v="4"/>
    <n v="10.569230769230769"/>
    <n v="-14.740750196507557"/>
    <n v="10.305"/>
    <n v="0.50589101620029453"/>
    <n v="20.37"/>
    <n v="1.0256410256410258"/>
    <n v="3"/>
    <d v="1899-12-30T00:58:30"/>
    <s v="Order"/>
    <n v="20.101809097414456"/>
    <n v="-9.5325783281836873"/>
    <n v="24.807000000000002"/>
    <n v="66.317499999999995"/>
    <n v="-25.097499999999997"/>
  </r>
  <r>
    <d v="2022-06-09T00:00:00"/>
    <x v="1"/>
    <x v="21"/>
    <n v="11"/>
    <s v="QTR2"/>
    <s v="Thursday"/>
    <d v="1899-12-30T17:00:00"/>
    <s v="Clear"/>
    <n v="73.5"/>
    <s v="Brunswick/Bath/Freeport"/>
    <n v="88.63"/>
    <n v="5.9"/>
    <n v="101.4"/>
    <n v="11"/>
    <n v="15.022033898305082"/>
    <n v="-10.925644033082527"/>
    <n v="8.0572727272727267"/>
    <n v="0.87406311637080858"/>
    <n v="9.2181818181818187"/>
    <n v="1.8644067796610169"/>
    <n v="2"/>
    <d v="1899-12-30T00:32:11"/>
    <s v="Order"/>
    <n v="20.552091321007818"/>
    <n v="-5.5300574227027361"/>
    <n v="24.990222222222222"/>
    <n v="82.662499999999994"/>
    <n v="5.9675000000000011"/>
  </r>
  <r>
    <d v="2022-06-10T00:00:00"/>
    <x v="1"/>
    <x v="21"/>
    <n v="11"/>
    <s v="QTR2"/>
    <s v="Friday"/>
    <d v="1899-12-30T18:00:00"/>
    <s v="Clear"/>
    <n v="74"/>
    <s v="Portland"/>
    <n v="154.5"/>
    <n v="9.1000000000000014"/>
    <n v="166.4"/>
    <n v="16"/>
    <n v="16.978021978021975"/>
    <n v="-5.8751672882984245"/>
    <n v="9.65625"/>
    <n v="0.92848557692307687"/>
    <n v="10.4"/>
    <n v="1.758241758241758"/>
    <n v="3"/>
    <d v="1899-12-30T00:34:08"/>
    <s v="Order"/>
    <n v="23.104506448136657"/>
    <n v="-6.1264844701146828"/>
    <n v="25.094222222222221"/>
    <n v="93.9375"/>
    <n v="60.5625"/>
  </r>
  <r>
    <d v="2022-06-12T00:00:00"/>
    <x v="1"/>
    <x v="21"/>
    <n v="11"/>
    <s v="QTR2"/>
    <s v="Sunday"/>
    <d v="1899-12-30T17:00:00"/>
    <s v="Rain"/>
    <n v="76.3"/>
    <s v="Portland"/>
    <n v="144.63999999999999"/>
    <n v="6.82"/>
    <n v="182"/>
    <n v="13"/>
    <n v="21.20821114369501"/>
    <n v="-6.5615677160691774"/>
    <n v="11.126153846153844"/>
    <n v="0.79472527472527466"/>
    <n v="14"/>
    <n v="1.9061583577712609"/>
    <n v="2"/>
    <d v="1899-12-30T00:31:29"/>
    <s v="Order"/>
    <n v="21.20821114369501"/>
    <n v="0"/>
    <n v="25.716111111111108"/>
    <n v="107.2475"/>
    <n v="37.392499999999984"/>
  </r>
  <r>
    <d v="2022-06-16T00:00:00"/>
    <x v="1"/>
    <x v="22"/>
    <n v="12"/>
    <s v="QTR2"/>
    <s v="Thursday"/>
    <d v="1899-12-30T17:30:00"/>
    <s v="Rain"/>
    <n v="78.2"/>
    <s v="Portland"/>
    <n v="123.72"/>
    <n v="6.8"/>
    <n v="163.1"/>
    <n v="10"/>
    <n v="18.194117647058825"/>
    <n v="1.0223227752639552"/>
    <n v="12.372"/>
    <n v="0.75855303494788473"/>
    <n v="16.309999999999999"/>
    <n v="1.4705882352941178"/>
    <n v="4"/>
    <d v="1899-12-30T00:40:48"/>
    <s v="Order"/>
    <n v="19.1731951408422"/>
    <n v="-0.97907749378337527"/>
    <n v="27.090777777777774"/>
    <n v="127.8725"/>
    <n v="-4.1525000000000034"/>
  </r>
  <r>
    <d v="2022-06-18T00:00:00"/>
    <x v="1"/>
    <x v="22"/>
    <n v="12"/>
    <s v="QTR2"/>
    <s v="Saturday"/>
    <d v="1899-12-30T17:00:00"/>
    <s v="Rain"/>
    <n v="54.9"/>
    <s v="Lewiston"/>
    <n v="162.41"/>
    <n v="6.8"/>
    <n v="128.30000000000001"/>
    <n v="17"/>
    <n v="23.883823529411764"/>
    <s v=""/>
    <n v="9.5535294117647052"/>
    <n v="1.2658612626656274"/>
    <n v="7.5470588235294125"/>
    <n v="2.5"/>
    <n v="4"/>
    <d v="1899-12-30T00:24:00"/>
    <s v="Order"/>
    <n v="22.879063937501609"/>
    <n v="1.0047595919101546"/>
    <n v="25.193888888888885"/>
    <n v="146.3175"/>
    <n v="16.092500000000001"/>
  </r>
  <r>
    <d v="2022-06-22T00:00:00"/>
    <x v="1"/>
    <x v="23"/>
    <n v="13"/>
    <s v="QTR2"/>
    <s v="Wednesday"/>
    <d v="1899-12-30T18:30:00"/>
    <s v="Rain"/>
    <n v="71.2"/>
    <s v="Lewiston"/>
    <n v="27.73"/>
    <n v="3.53"/>
    <n v="63"/>
    <n v="5"/>
    <n v="7.855524079320114"/>
    <n v="-18.516270792474756"/>
    <n v="5.5460000000000003"/>
    <n v="0.44015873015873014"/>
    <n v="12.6"/>
    <n v="1.41643059490085"/>
    <n v="3"/>
    <d v="1899-12-30T00:42:22"/>
    <s v="Order"/>
    <n v="14.873473218905231"/>
    <n v="-7.0179491395851166"/>
    <n v="25.210333333333331"/>
    <n v="114.625"/>
    <n v="-86.894999999999996"/>
  </r>
  <r>
    <d v="2022-06-24T00:00:00"/>
    <x v="1"/>
    <x v="23"/>
    <n v="13"/>
    <s v="QTR2"/>
    <s v="Friday"/>
    <d v="1899-12-30T18:00:00"/>
    <s v="Clear"/>
    <n v="87.6"/>
    <s v="Brunswick/Bath/Freeport"/>
    <n v="124.09"/>
    <n v="3.5"/>
    <n v="137.6"/>
    <n v="9"/>
    <n v="35.454285714285717"/>
    <n v="15.674920634920639"/>
    <n v="13.787777777777778"/>
    <n v="0.90181686046511633"/>
    <n v="15.288888888888888"/>
    <n v="2.5714285714285716"/>
    <n v="4"/>
    <d v="1899-12-30T00:23:20"/>
    <s v="Order"/>
    <n v="26.982702895536416"/>
    <n v="8.471582818749301"/>
    <n v="24.00533333333334"/>
    <n v="109.48750000000001"/>
    <n v="14.602499999999992"/>
  </r>
  <r>
    <d v="2022-06-25T00:00:00"/>
    <x v="1"/>
    <x v="23"/>
    <n v="13"/>
    <s v="QTR2"/>
    <s v="Saturday"/>
    <d v="1899-12-30T18:00:00"/>
    <s v="Clear"/>
    <n v="88.2"/>
    <s v="Lewiston"/>
    <n v="118.68"/>
    <n v="6.1999999999999993"/>
    <n v="134"/>
    <n v="16"/>
    <n v="19.14193548387097"/>
    <n v="-4.7418880455407937"/>
    <n v="7.4175000000000004"/>
    <n v="0.88567164179104485"/>
    <n v="8.375"/>
    <n v="2.580645161290323"/>
    <n v="2"/>
    <d v="1899-12-30T00:23:15"/>
    <s v="Order"/>
    <n v="20.115540994623654"/>
    <n v="-0.97360551075268376"/>
    <n v="25.324000000000005"/>
    <n v="108.22750000000001"/>
    <n v="10.452500000000001"/>
  </r>
  <r>
    <d v="2022-06-26T00:00:00"/>
    <x v="1"/>
    <x v="23"/>
    <n v="13"/>
    <s v="QTR2"/>
    <s v="Sunday"/>
    <d v="1899-12-30T14:00:00"/>
    <s v="Rain"/>
    <n v="76.5"/>
    <s v="Lewiston"/>
    <n v="123.57999999999998"/>
    <n v="7.6"/>
    <n v="142.5"/>
    <n v="16"/>
    <n v="16.260526315789473"/>
    <s v=""/>
    <n v="7.723749999999999"/>
    <n v="0.86722807017543846"/>
    <n v="8.90625"/>
    <n v="2.1052631578947367"/>
    <n v="3"/>
    <d v="1899-12-30T00:28:30"/>
    <s v="Order"/>
    <n v="18.887056636155606"/>
    <n v="-2.6265303203661325"/>
    <n v="26.697111111111113"/>
    <n v="98.52"/>
    <n v="25.059999999999988"/>
  </r>
  <r>
    <d v="2022-06-28T00:00:00"/>
    <x v="1"/>
    <x v="24"/>
    <n v="1"/>
    <s v="QTR3"/>
    <s v="Tuesday"/>
    <d v="1899-12-30T17:30:00"/>
    <s v="Rain"/>
    <n v="78.3"/>
    <s v="Portland"/>
    <n v="60.870000000000005"/>
    <n v="7.9"/>
    <n v="92.2"/>
    <n v="5"/>
    <n v="7.7050632911392407"/>
    <s v=""/>
    <n v="12.174000000000001"/>
    <n v="0.6601952277657267"/>
    <n v="18.440000000000001"/>
    <n v="0.63291139240506322"/>
    <n v="3"/>
    <d v="1899-12-30T01:34:48"/>
    <s v="Order"/>
    <n v="20.191072811871479"/>
    <n v="-12.486009520732239"/>
    <n v="26.74411111111111"/>
    <n v="106.80500000000001"/>
    <n v="-45.935000000000002"/>
  </r>
  <r>
    <d v="2022-07-01T00:00:00"/>
    <x v="1"/>
    <x v="24"/>
    <n v="1"/>
    <s v="QTR3"/>
    <s v="Friday"/>
    <d v="1899-12-30T18:00:00"/>
    <s v="Rain"/>
    <n v="83.9"/>
    <s v="Lewiston"/>
    <n v="110.86"/>
    <n v="4.5"/>
    <n v="143"/>
    <n v="12"/>
    <n v="24.635555555555555"/>
    <s v=""/>
    <n v="9.2383333333333333"/>
    <n v="0.77524475524475522"/>
    <n v="11.916666666666666"/>
    <n v="2.6666666666666665"/>
    <n v="3"/>
    <d v="1899-12-30T00:22:30"/>
    <s v="Order"/>
    <n v="18.630277777777778"/>
    <n v="6.0052777777777777"/>
    <n v="26.350111111111108"/>
    <n v="103.4975"/>
    <n v="7.3624999999999972"/>
  </r>
  <r>
    <d v="2022-07-02T00:00:00"/>
    <x v="1"/>
    <x v="24"/>
    <n v="1"/>
    <s v="QTR3"/>
    <s v="Saturday"/>
    <d v="1899-12-30T16:00:00"/>
    <s v="Clear"/>
    <n v="80.3"/>
    <s v="Lewiston"/>
    <n v="187.79"/>
    <n v="9.07"/>
    <n v="166"/>
    <n v="20"/>
    <n v="20.704520396912898"/>
    <s v=""/>
    <n v="9.3895"/>
    <n v="1.1312650602409637"/>
    <n v="8.3000000000000007"/>
    <n v="2.2050716648291067"/>
    <n v="5"/>
    <d v="1899-12-30T00:27:13"/>
    <s v="Order"/>
    <n v="15.768926865123115"/>
    <n v="4.9355935317897828"/>
    <n v="28.436666666666664"/>
    <n v="120.77500000000001"/>
    <n v="67.014999999999986"/>
  </r>
  <r>
    <d v="2022-07-05T00:00:00"/>
    <x v="1"/>
    <x v="44"/>
    <n v="2"/>
    <s v="QTR3"/>
    <s v="Tuesday"/>
    <d v="1899-12-30T17:30:00"/>
    <s v="Rain"/>
    <n v="76"/>
    <s v="Lewiston"/>
    <n v="60.43"/>
    <n v="3.28"/>
    <n v="46.1"/>
    <n v="8"/>
    <n v="18.42378048780488"/>
    <s v=""/>
    <n v="7.55375"/>
    <n v="1.3108459869848155"/>
    <n v="5.7625000000000002"/>
    <n v="2.4390243902439024"/>
    <n v="1"/>
    <d v="1899-12-30T00:24:36"/>
    <s v="Order"/>
    <n v="15.352241121095423"/>
    <n v="3.071539366709457"/>
    <n v="29.108111111111107"/>
    <n v="104.9875"/>
    <n v="-44.557499999999997"/>
  </r>
  <r>
    <d v="2022-07-06T00:00:00"/>
    <x v="1"/>
    <x v="44"/>
    <n v="2"/>
    <s v="QTR3"/>
    <s v="Wednesday"/>
    <d v="1899-12-30T18:00:00"/>
    <s v="Partially Cloudy"/>
    <n v="76.7"/>
    <s v="Brunswick/Bath/Freeport"/>
    <n v="67.430000000000007"/>
    <n v="3.3"/>
    <n v="48.2"/>
    <n v="6"/>
    <n v="20.433333333333337"/>
    <s v=""/>
    <n v="11.238333333333335"/>
    <n v="1.3989626556016599"/>
    <n v="8.0333333333333332"/>
    <n v="1.8181818181818183"/>
    <n v="3"/>
    <d v="1899-12-30T00:33:00"/>
    <s v="Order"/>
    <n v="20.380241708825185"/>
    <n v="5.309162450815208E-2"/>
    <n v="29.857333333333326"/>
    <n v="106.6275"/>
    <n v="-39.197499999999991"/>
  </r>
  <r>
    <d v="2022-07-07T00:00:00"/>
    <x v="1"/>
    <x v="44"/>
    <n v="2"/>
    <s v="QTR3"/>
    <s v="Thursday"/>
    <d v="1899-12-30T18:00:00"/>
    <s v="Rain"/>
    <n v="81.599999999999994"/>
    <s v="Portland"/>
    <n v="91.2"/>
    <n v="3.3"/>
    <n v="76.800000000000011"/>
    <n v="13"/>
    <n v="27.63636363636364"/>
    <s v=""/>
    <n v="7.0153846153846153"/>
    <n v="1.1874999999999998"/>
    <n v="5.9076923076923089"/>
    <n v="3.9393939393939394"/>
    <n v="3"/>
    <d v="1899-12-30T00:15:14"/>
    <s v="Order"/>
    <n v="24.976515151515155"/>
    <n v="2.6598484848484851"/>
    <n v="30.870666666666658"/>
    <n v="101.71249999999999"/>
    <n v="-10.512499999999989"/>
  </r>
  <r>
    <d v="2022-07-08T00:00:00"/>
    <x v="1"/>
    <x v="44"/>
    <n v="2"/>
    <s v="QTR3"/>
    <s v="Friday"/>
    <d v="1899-12-30T19:00:00"/>
    <s v="Clear"/>
    <n v="77.5"/>
    <s v="Portland"/>
    <n v="145.57"/>
    <n v="8.75"/>
    <n v="169"/>
    <n v="18"/>
    <n v="16.636571428571429"/>
    <n v="4.011571428571429"/>
    <n v="8.0872222222222216"/>
    <n v="0.86136094674556207"/>
    <n v="9.3888888888888893"/>
    <n v="2.0571428571428569"/>
    <n v="3"/>
    <d v="1899-12-30T00:29:10"/>
    <s v="Order"/>
    <n v="19.758050348801941"/>
    <n v="-3.121478920230512"/>
    <n v="31.706777777777774"/>
    <n v="91.157499999999999"/>
    <n v="54.412499999999994"/>
  </r>
  <r>
    <d v="2022-07-11T00:00:00"/>
    <x v="1"/>
    <x v="45"/>
    <n v="3"/>
    <s v="QTR3"/>
    <s v="Monday"/>
    <d v="1899-12-30T18:00:00"/>
    <s v="Rain"/>
    <n v="84"/>
    <s v="Portland"/>
    <n v="122.56"/>
    <n v="3.6"/>
    <n v="71.400000000000006"/>
    <n v="10"/>
    <n v="34.044444444444444"/>
    <s v=""/>
    <n v="12.256"/>
    <n v="1.7165266106442576"/>
    <n v="7.1400000000000006"/>
    <n v="2.7777777777777777"/>
    <n v="2"/>
    <d v="1899-12-30T00:21:36"/>
    <s v="Order"/>
    <n v="26.720763551233567"/>
    <n v="7.3236808932108772"/>
    <n v="33.068555555555548"/>
    <n v="106.69"/>
    <n v="15.870000000000005"/>
  </r>
  <r>
    <d v="2022-07-13T00:00:00"/>
    <x v="1"/>
    <x v="45"/>
    <n v="3"/>
    <s v="QTR3"/>
    <s v="Wednesday"/>
    <d v="1899-12-30T18:00:00"/>
    <s v="Rain"/>
    <n v="81.7"/>
    <s v="Portland"/>
    <n v="129.21"/>
    <n v="4.7"/>
    <n v="107.30000000000001"/>
    <n v="8"/>
    <n v="27.491489361702129"/>
    <s v=""/>
    <n v="16.151250000000001"/>
    <n v="1.2041938490214352"/>
    <n v="13.412500000000001"/>
    <n v="1.7021276595744681"/>
    <n v="2"/>
    <d v="1899-12-30T00:35:15"/>
    <s v="Order"/>
    <n v="21.177052197860014"/>
    <n v="6.3144371638421148"/>
    <n v="34.504222222222218"/>
    <n v="122.13499999999999"/>
    <n v="7.0750000000000171"/>
  </r>
  <r>
    <d v="2022-07-15T00:00:00"/>
    <x v="1"/>
    <x v="45"/>
    <n v="3"/>
    <s v="QTR3"/>
    <s v="Friday"/>
    <d v="1899-12-30T17:30:00"/>
    <s v="Clear"/>
    <n v="81.8"/>
    <s v="Brunswick/Bath/Freeport"/>
    <n v="100.12"/>
    <n v="5.5"/>
    <n v="144.69999999999999"/>
    <n v="11"/>
    <n v="18.203636363636363"/>
    <n v="-8.6866862170087984"/>
    <n v="9.1018181818181816"/>
    <n v="0.69191430545957167"/>
    <n v="13.154545454545454"/>
    <n v="2"/>
    <n v="4"/>
    <d v="1899-12-30T00:30:00"/>
    <s v="Order"/>
    <n v="19.277372919603788"/>
    <n v="-1.0737365559674252"/>
    <n v="35.61666666666666"/>
    <n v="124.36500000000001"/>
    <n v="-24.245000000000005"/>
  </r>
  <r>
    <d v="2022-07-16T00:00:00"/>
    <x v="1"/>
    <x v="45"/>
    <n v="3"/>
    <s v="QTR3"/>
    <s v="Saturday"/>
    <d v="1899-12-30T19:00:00"/>
    <s v="Rain"/>
    <n v="85.2"/>
    <s v="Portland"/>
    <n v="129.97"/>
    <n v="6.2"/>
    <n v="169.5"/>
    <n v="14"/>
    <n v="20.96290322580645"/>
    <s v=""/>
    <n v="9.2835714285714293"/>
    <n v="0.76678466076696161"/>
    <n v="12.107142857142858"/>
    <n v="2.258064516129032"/>
    <n v="3"/>
    <d v="1899-12-30T00:26:34"/>
    <s v="Order"/>
    <n v="20.038561698743642"/>
    <n v="0.9243415270628077"/>
    <n v="37.060777777777773"/>
    <n v="120.465"/>
    <n v="9.5049999999999955"/>
  </r>
  <r>
    <d v="2022-07-20T00:00:00"/>
    <x v="1"/>
    <x v="25"/>
    <n v="4"/>
    <s v="QTR3"/>
    <s v="Wednesday"/>
    <d v="1899-12-30T17:30:00"/>
    <s v="Rain"/>
    <n v="90.7"/>
    <s v="Portland"/>
    <n v="136.70999999999998"/>
    <n v="4.5999999999999996"/>
    <n v="113.69999999999999"/>
    <n v="12"/>
    <n v="29.719565217391303"/>
    <n v="2.2280758556891733"/>
    <n v="11.392499999999998"/>
    <n v="1.2023746701846965"/>
    <n v="9.4749999999999996"/>
    <n v="2.6086956521739131"/>
    <n v="2"/>
    <d v="1899-12-30T00:23:00"/>
    <s v="Order"/>
    <n v="26.04195315133131"/>
    <n v="3.6776120660599929"/>
    <n v="38.579777777777771"/>
    <n v="124.0025"/>
    <n v="12.707499999999982"/>
  </r>
  <r>
    <d v="2022-07-21T00:00:00"/>
    <x v="1"/>
    <x v="25"/>
    <n v="4"/>
    <s v="QTR3"/>
    <s v="Thursday"/>
    <d v="1899-12-30T17:30:00"/>
    <s v="Rain"/>
    <n v="89.9"/>
    <s v="Brunswick/Bath/Freeport"/>
    <n v="114.17"/>
    <n v="5.67"/>
    <n v="125"/>
    <n v="12"/>
    <n v="20.135802469135804"/>
    <n v="7.393866985264836"/>
    <n v="9.5141666666666662"/>
    <n v="0.91336000000000006"/>
    <n v="10.416666666666666"/>
    <n v="2.1164021164021163"/>
    <n v="2"/>
    <d v="1899-12-30T00:28:21"/>
    <s v="Order"/>
    <n v="20.938868976503386"/>
    <n v="-0.80306650736758201"/>
    <n v="37.673555555555552"/>
    <n v="120.24249999999999"/>
    <n v="-6.0724999999999909"/>
  </r>
  <r>
    <d v="2022-08-08T00:00:00"/>
    <x v="1"/>
    <x v="46"/>
    <n v="7"/>
    <s v="QTR3"/>
    <s v="Monday"/>
    <d v="1899-12-30T18:00:00"/>
    <s v="Rain"/>
    <n v="73.2"/>
    <s v="Lewiston"/>
    <n v="56.58"/>
    <n v="5.8"/>
    <n v="81.099999999999994"/>
    <n v="10"/>
    <n v="9.7551724137931028"/>
    <s v=""/>
    <n v="5.6579999999999995"/>
    <n v="0.69765721331689279"/>
    <n v="8.11"/>
    <n v="1.7241379310344829"/>
    <n v="3"/>
    <d v="1899-12-30T00:34:48"/>
    <s v="Order"/>
    <n v="15.658282216918668"/>
    <n v="-5.9031098031255649"/>
    <n v="34.849999999999994"/>
    <n v="109.35749999999999"/>
    <n v="-52.777499999999989"/>
  </r>
  <r>
    <d v="2022-08-09T00:00:00"/>
    <x v="1"/>
    <x v="46"/>
    <n v="7"/>
    <s v="QTR3"/>
    <s v="Tuesday"/>
    <d v="1899-12-30T17:30:00"/>
    <s v="Rain"/>
    <n v="70.7"/>
    <s v="Portland"/>
    <n v="114.57"/>
    <n v="5.6999999999999993"/>
    <n v="77.7"/>
    <n v="12"/>
    <n v="20.100000000000001"/>
    <n v="12.394936708860762"/>
    <n v="9.5474999999999994"/>
    <n v="1.4745173745173743"/>
    <n v="6.4750000000000005"/>
    <n v="2.1052631578947372"/>
    <n v="2"/>
    <d v="1899-12-30T00:28:30"/>
    <s v="Order"/>
    <n v="17.127735570511192"/>
    <n v="2.9722644294888099"/>
    <n v="35.408111111111111"/>
    <n v="105.50749999999999"/>
    <n v="9.0625"/>
  </r>
  <r>
    <d v="2022-08-10T00:00:00"/>
    <x v="1"/>
    <x v="46"/>
    <n v="7"/>
    <s v="QTR3"/>
    <s v="Wednesday"/>
    <d v="1899-12-30T19:00:00"/>
    <s v="Rain"/>
    <n v="74.400000000000006"/>
    <s v="Lewiston"/>
    <n v="100"/>
    <n v="4.5"/>
    <n v="73"/>
    <n v="12"/>
    <n v="22.222222222222221"/>
    <s v=""/>
    <n v="8.3333333333333339"/>
    <n v="1.3698630136986301"/>
    <n v="6.083333333333333"/>
    <n v="2.6666666666666665"/>
    <n v="4"/>
    <d v="1899-12-30T00:22:30"/>
    <s v="Order"/>
    <n v="21.900354654253771"/>
    <n v="0.32186756796845017"/>
    <n v="36.07033333333333"/>
    <n v="96.33"/>
    <n v="3.6700000000000017"/>
  </r>
  <r>
    <d v="2022-08-16T00:00:00"/>
    <x v="1"/>
    <x v="47"/>
    <n v="8"/>
    <s v="QTR3"/>
    <s v="Tuesday"/>
    <d v="1899-12-30T18:00:00"/>
    <s v="Rain"/>
    <n v="68"/>
    <s v="Brunswick/Bath/Freeport"/>
    <n v="86.72"/>
    <n v="4.7"/>
    <n v="114.9"/>
    <n v="8"/>
    <n v="18.451063829787234"/>
    <n v="-6.132574614148691"/>
    <n v="10.84"/>
    <n v="0.75474325500435158"/>
    <n v="14.362500000000001"/>
    <n v="1.7021276595744681"/>
    <n v="2"/>
    <d v="1899-12-30T00:35:15"/>
    <s v="Order"/>
    <n v="18.451063829787234"/>
    <n v="0"/>
    <n v="35.649333333333331"/>
    <n v="89.467500000000001"/>
    <n v="-2.7475000000000023"/>
  </r>
  <r>
    <d v="2022-08-17T00:00:00"/>
    <x v="1"/>
    <x v="47"/>
    <n v="8"/>
    <s v="QTR3"/>
    <s v="Wednesday"/>
    <d v="1899-12-30T18:00:00"/>
    <s v="Rain"/>
    <n v="69"/>
    <s v="Portland"/>
    <n v="130.63"/>
    <n v="4.5999999999999996"/>
    <n v="125"/>
    <n v="10"/>
    <n v="28.397826086956524"/>
    <n v="-0.20770120259019009"/>
    <n v="13.062999999999999"/>
    <n v="1.04504"/>
    <n v="12.5"/>
    <n v="2.1739130434782612"/>
    <n v="3"/>
    <d v="1899-12-30T00:27:36"/>
    <s v="Order"/>
    <n v="23.323781261793304"/>
    <n v="5.0740448251632202"/>
    <n v="36.429333333333332"/>
    <n v="107.97999999999999"/>
    <n v="22.650000000000006"/>
  </r>
  <r>
    <d v="2022-08-18T00:00:00"/>
    <x v="1"/>
    <x v="47"/>
    <n v="8"/>
    <s v="QTR3"/>
    <s v="Thursday"/>
    <d v="1899-12-30T17:30:00"/>
    <s v="Rain"/>
    <n v="83.3"/>
    <s v="Portland"/>
    <n v="83.82"/>
    <n v="4.8"/>
    <n v="108.1"/>
    <n v="8"/>
    <n v="17.462499999999999"/>
    <n v="-10.173863636363642"/>
    <n v="10.477499999999999"/>
    <n v="0.77539315448658652"/>
    <n v="13.512499999999999"/>
    <n v="1.6666666666666667"/>
    <n v="4"/>
    <d v="1899-12-30T00:36:00"/>
    <s v="Order"/>
    <n v="20.801092160105405"/>
    <n v="-3.3385921601054065"/>
    <n v="37.102333333333334"/>
    <n v="100.2925"/>
    <n v="-16.472500000000011"/>
  </r>
  <r>
    <d v="2022-08-20T00:00:00"/>
    <x v="1"/>
    <x v="47"/>
    <n v="8"/>
    <s v="QTR3"/>
    <s v="Saturday"/>
    <d v="1899-12-30T14:00:00"/>
    <s v="Clear"/>
    <n v="85.9"/>
    <s v="Brunswick/Bath/Freeport"/>
    <n v="127.27"/>
    <n v="6.6999999999999993"/>
    <n v="139"/>
    <n v="13"/>
    <n v="18.995522388059705"/>
    <n v="1.4112105811451627"/>
    <n v="9.7899999999999991"/>
    <n v="0.91561151079136682"/>
    <n v="10.692307692307692"/>
    <n v="1.9402985074626868"/>
    <n v="3"/>
    <d v="1899-12-30T00:30:55"/>
    <s v="Order"/>
    <n v="19.755357688810538"/>
    <n v="-0.75983530075083294"/>
    <n v="38.516444444444446"/>
    <n v="107.10999999999999"/>
    <n v="20.160000000000011"/>
  </r>
  <r>
    <d v="2022-08-22T00:00:00"/>
    <x v="1"/>
    <x v="48"/>
    <n v="9"/>
    <s v="QTR3"/>
    <s v="Monday"/>
    <d v="1899-12-30T18:00:00"/>
    <s v="Rain"/>
    <n v="77.900000000000006"/>
    <s v="Portland"/>
    <n v="100.72"/>
    <n v="5.0999999999999996"/>
    <n v="124.19999999999999"/>
    <n v="9"/>
    <n v="19.749019607843138"/>
    <n v="-14.295424836601306"/>
    <n v="11.191111111111111"/>
    <n v="0.81095008051529793"/>
    <n v="13.799999999999999"/>
    <n v="1.7647058823529413"/>
    <n v="2"/>
    <d v="1899-12-30T00:34:00"/>
    <s v="Order"/>
    <n v="22.565375230269186"/>
    <n v="-2.8163556224260482"/>
    <n v="38.419999999999995"/>
    <n v="110.60999999999999"/>
    <n v="-9.8899999999999864"/>
  </r>
  <r>
    <d v="2022-08-27T00:00:00"/>
    <x v="1"/>
    <x v="48"/>
    <n v="9"/>
    <s v="QTR3"/>
    <s v="Saturday"/>
    <d v="1899-12-30T18:00:00"/>
    <s v="Rain"/>
    <n v="76.900000000000006"/>
    <s v="Brunswick/Bath/Freeport"/>
    <n v="122.1"/>
    <n v="6.6999999999999993"/>
    <n v="144.77999999999997"/>
    <n v="9"/>
    <n v="18.223880597014926"/>
    <n v="0.35732667387135209"/>
    <n v="13.566666666666666"/>
    <n v="0.84334852880232092"/>
    <n v="16.086666666666662"/>
    <n v="1.3432835820895523"/>
    <n v="4"/>
    <d v="1899-12-30T00:44:40"/>
    <s v="Order"/>
    <n v="18.425763461645694"/>
    <n v="-0.20188286463076821"/>
    <n v="39.776666666666657"/>
    <n v="108.47749999999999"/>
    <n v="13.622500000000002"/>
  </r>
  <r>
    <d v="2022-08-29T00:00:00"/>
    <x v="1"/>
    <x v="27"/>
    <n v="10"/>
    <s v="QTR3"/>
    <s v="Monday"/>
    <d v="1899-12-30T17:30:00"/>
    <s v="Clear"/>
    <n v="91.7"/>
    <s v="Brunswick/Bath/Freeport"/>
    <n v="79.789999999999992"/>
    <n v="6.7"/>
    <n v="101.69999999999999"/>
    <n v="7"/>
    <n v="11.908955223880595"/>
    <n v="-2.6364993215739503"/>
    <n v="11.398571428571428"/>
    <n v="0.78456243854473939"/>
    <n v="14.528571428571427"/>
    <n v="1.044776119402985"/>
    <n v="2"/>
    <d v="1899-12-30T00:57:26"/>
    <s v="Order"/>
    <n v="18.499060876897357"/>
    <n v="-6.5901056530167619"/>
    <n v="40.66322222222221"/>
    <n v="107.47"/>
    <n v="-27.680000000000007"/>
  </r>
  <r>
    <d v="2022-08-30T00:00:00"/>
    <x v="1"/>
    <x v="27"/>
    <n v="10"/>
    <s v="QTR3"/>
    <s v="Tuesday"/>
    <d v="1899-12-30T17:30:00"/>
    <s v="Rain"/>
    <n v="79.8"/>
    <s v="Portland"/>
    <n v="118.28"/>
    <n v="6.1"/>
    <n v="100.8"/>
    <n v="12"/>
    <n v="19.39016393442623"/>
    <n v="5.4876322888566094"/>
    <n v="9.8566666666666674"/>
    <n v="1.1734126984126985"/>
    <n v="8.4"/>
    <n v="1.9672131147540985"/>
    <n v="3"/>
    <d v="1899-12-30T00:30:30"/>
    <s v="Order"/>
    <n v="21.303026797475862"/>
    <n v="-1.9128628630496323"/>
    <n v="41.977444444444437"/>
    <n v="105.2225"/>
    <n v="13.057500000000005"/>
  </r>
  <r>
    <d v="2022-08-31T00:00:00"/>
    <x v="1"/>
    <x v="27"/>
    <n v="10"/>
    <s v="QTR3"/>
    <s v="Wednesday"/>
    <d v="1899-12-30T17:30:00"/>
    <s v="Rain"/>
    <n v="71"/>
    <s v="Portland"/>
    <n v="125.49"/>
    <n v="4.0999999999999996"/>
    <n v="115.1"/>
    <n v="10"/>
    <n v="30.607317073170734"/>
    <n v="2.0710235178207483"/>
    <n v="12.548999999999999"/>
    <n v="1.0902693310165075"/>
    <n v="11.51"/>
    <n v="2.4390243902439028"/>
    <n v="2"/>
    <d v="1899-12-30T00:24:36"/>
    <s v="Order"/>
    <n v="25.564780393451905"/>
    <n v="5.0425366797188289"/>
    <n v="42.356222222222215"/>
    <n v="111.41499999999999"/>
    <n v="14.075000000000003"/>
  </r>
  <r>
    <d v="2022-09-01T00:00:00"/>
    <x v="1"/>
    <x v="27"/>
    <n v="10"/>
    <s v="QTR3"/>
    <s v="Thursday"/>
    <d v="1899-12-30T17:30:00"/>
    <s v="Clear"/>
    <n v="71.3"/>
    <s v="Lewiston"/>
    <n v="78.5"/>
    <n v="5"/>
    <n v="78"/>
    <n v="11"/>
    <n v="15.7"/>
    <s v=""/>
    <n v="7.1363636363636367"/>
    <n v="1.0064102564102564"/>
    <n v="7.0909090909090908"/>
    <n v="2.2000000000000002"/>
    <n v="1"/>
    <d v="1899-12-30T00:27:16"/>
    <s v="Order"/>
    <n v="19.513187856973243"/>
    <n v="-3.8131878569732436"/>
    <n v="42.770444444444443"/>
    <n v="100.515"/>
    <n v="-22.015000000000001"/>
  </r>
  <r>
    <d v="2022-09-02T00:00:00"/>
    <x v="1"/>
    <x v="27"/>
    <n v="10"/>
    <s v="QTR3"/>
    <s v="Friday"/>
    <d v="1899-12-30T11:30:00"/>
    <s v="Clear"/>
    <n v="74"/>
    <s v="Brunswick/Bath/Freeport"/>
    <n v="136.03"/>
    <n v="5"/>
    <n v="95.7"/>
    <n v="11"/>
    <n v="27.206"/>
    <n v="4.6590205278592371"/>
    <n v="12.366363636363637"/>
    <n v="1.4214211076280041"/>
    <n v="8.7000000000000011"/>
    <n v="2.2000000000000002"/>
    <n v="3"/>
    <d v="1899-12-30T00:27:16"/>
    <s v="Order"/>
    <n v="21.674707341206283"/>
    <n v="5.531292658793717"/>
    <n v="44.281888888888886"/>
    <n v="114.57499999999999"/>
    <n v="21.455000000000013"/>
  </r>
  <r>
    <d v="2022-09-03T00:00:00"/>
    <x v="1"/>
    <x v="27"/>
    <n v="10"/>
    <s v="QTR3"/>
    <s v="Saturday"/>
    <d v="1899-12-30T17:00:00"/>
    <s v="Rain"/>
    <n v="83"/>
    <s v="Brunswick/Bath/Freeport"/>
    <n v="185.99"/>
    <n v="8.73"/>
    <n v="162"/>
    <n v="17"/>
    <n v="21.304696449026345"/>
    <n v="3.3785880802375452"/>
    <n v="10.940588235294118"/>
    <n v="1.1480864197530865"/>
    <n v="9.5294117647058822"/>
    <n v="1.9473081328751431"/>
    <n v="5"/>
    <d v="1899-12-30T00:30:49"/>
    <s v="Order"/>
    <n v="21.809743590106308"/>
    <n v="-0.50504714107996307"/>
    <n v="46.348444444444439"/>
    <n v="131.5025"/>
    <n v="54.487500000000011"/>
  </r>
  <r>
    <d v="2022-09-05T00:00:00"/>
    <x v="1"/>
    <x v="28"/>
    <n v="11"/>
    <s v="QTR3"/>
    <s v="Monday"/>
    <d v="1899-12-30T17:30:00"/>
    <s v="Rain"/>
    <n v="62.3"/>
    <s v="Portland"/>
    <n v="174.1"/>
    <n v="6.3999999999999995"/>
    <n v="141.4"/>
    <n v="14"/>
    <n v="27.203125"/>
    <n v="0.30639297385620878"/>
    <n v="12.435714285714285"/>
    <n v="1.2312588401697311"/>
    <n v="10.1"/>
    <n v="2.1875"/>
    <n v="3"/>
    <d v="1899-12-30T00:27:26"/>
    <s v="Order"/>
    <n v="31.165355603448276"/>
    <n v="-3.9622306034482762"/>
    <n v="48.282888888888891"/>
    <n v="143.655"/>
    <n v="30.444999999999993"/>
  </r>
  <r>
    <d v="2022-09-06T00:00:00"/>
    <x v="1"/>
    <x v="28"/>
    <n v="11"/>
    <s v="QTR3"/>
    <s v="Tuesday"/>
    <d v="1899-12-30T16:30:00"/>
    <s v="Rain"/>
    <n v="70.7"/>
    <s v="Portland"/>
    <n v="110.01"/>
    <n v="2.4"/>
    <n v="93"/>
    <n v="9"/>
    <n v="45.837500000000006"/>
    <n v="30.105757591478181"/>
    <n v="12.223333333333334"/>
    <n v="1.1829032258064516"/>
    <n v="10.333333333333334"/>
    <n v="3.75"/>
    <n v="2"/>
    <d v="1899-12-30T00:16:00"/>
    <s v="Order"/>
    <n v="32.022523584905663"/>
    <n v="13.814976415094343"/>
    <n v="49.505222222222223"/>
    <n v="151.5325"/>
    <n v="-41.522499999999994"/>
  </r>
  <r>
    <d v="2022-09-07T00:00:00"/>
    <x v="1"/>
    <x v="28"/>
    <n v="11"/>
    <s v="QTR3"/>
    <s v="Wednesday"/>
    <d v="1899-12-30T18:00:00"/>
    <s v="Rain"/>
    <n v="73.7"/>
    <s v="Portland"/>
    <n v="18.829999999999998"/>
    <n v="7"/>
    <n v="65.5"/>
    <n v="3"/>
    <n v="2.69"/>
    <n v="-26.364049434805171"/>
    <n v="6.2766666666666664"/>
    <n v="0.28748091603053433"/>
    <n v="21.833333333333332"/>
    <n v="0.42857142857142855"/>
    <n v="1"/>
    <d v="1899-12-30T02:20:00"/>
    <s v="Order"/>
    <n v="17.244530305697353"/>
    <n v="-14.554530305697353"/>
    <n v="48.729666666666667"/>
    <n v="122.2325"/>
    <n v="-103.4025"/>
  </r>
  <r>
    <d v="2022-09-08T00:00:00"/>
    <x v="1"/>
    <x v="28"/>
    <n v="11"/>
    <s v="QTR3"/>
    <s v="Thursday"/>
    <d v="1899-12-30T18:00:00"/>
    <s v="Clear"/>
    <n v="79.3"/>
    <s v="Portland"/>
    <n v="114.77000000000001"/>
    <n v="5.5"/>
    <n v="62.5"/>
    <n v="14"/>
    <n v="20.867272727272731"/>
    <n v="-1.6821590909090887"/>
    <n v="8.1978571428571438"/>
    <n v="1.8363200000000002"/>
    <n v="4.4642857142857144"/>
    <n v="2.5454545454545454"/>
    <n v="3"/>
    <d v="1899-12-30T00:23:34"/>
    <s v="Order"/>
    <n v="23.619788035045261"/>
    <n v="-2.75251530777253"/>
    <n v="48.288222222222231"/>
    <n v="104.42750000000001"/>
    <n v="10.342500000000001"/>
  </r>
  <r>
    <d v="2022-09-09T00:00:00"/>
    <x v="1"/>
    <x v="28"/>
    <n v="11"/>
    <s v="QTR3"/>
    <s v="Friday"/>
    <d v="1899-12-30T18:00:00"/>
    <s v="Clear"/>
    <n v="82.5"/>
    <s v="Portland"/>
    <n v="110.59"/>
    <n v="2.9"/>
    <n v="156.19999999999999"/>
    <n v="10"/>
    <n v="38.134482758620692"/>
    <n v="23.503697044334977"/>
    <n v="11.059000000000001"/>
    <n v="0.70800256081946233"/>
    <n v="15.62"/>
    <n v="3.4482758620689657"/>
    <n v="3"/>
    <d v="1899-12-30T00:17:24"/>
    <s v="Order"/>
    <n v="29.0777208364416"/>
    <n v="9.056761922179092"/>
    <n v="49.51700000000001"/>
    <n v="88.550000000000011"/>
    <n v="22.039999999999992"/>
  </r>
  <r>
    <d v="2022-09-10T00:00:00"/>
    <x v="1"/>
    <x v="28"/>
    <n v="11"/>
    <s v="QTR3"/>
    <s v="Saturday"/>
    <d v="1899-12-30T14:30:00"/>
    <s v="Clear"/>
    <n v="79.5"/>
    <s v="Lewiston"/>
    <n v="112.3"/>
    <n v="4.5"/>
    <n v="125.80000000000001"/>
    <n v="13"/>
    <n v="24.955555555555556"/>
    <n v="4.251035158642658"/>
    <n v="8.638461538461538"/>
    <n v="0.89268680445151027"/>
    <n v="9.6769230769230781"/>
    <n v="2.8888888888888888"/>
    <n v="5"/>
    <d v="1899-12-30T00:20:46"/>
    <s v="Order"/>
    <n v="22.687811791383218"/>
    <n v="2.2677437641723373"/>
    <n v="49.157666666666671"/>
    <n v="89.122500000000002"/>
    <n v="23.177499999999995"/>
  </r>
  <r>
    <d v="2022-09-11T00:00:00"/>
    <x v="1"/>
    <x v="28"/>
    <n v="11"/>
    <s v="QTR3"/>
    <s v="Sunday"/>
    <d v="1899-12-30T13:00:00"/>
    <s v="Rain"/>
    <n v="81.7"/>
    <s v="Lewiston"/>
    <n v="149.79"/>
    <n v="6.1999999999999993"/>
    <n v="152.6"/>
    <n v="23"/>
    <n v="24.159677419354839"/>
    <s v=""/>
    <n v="6.5126086956521734"/>
    <n v="0.98158584534731319"/>
    <n v="6.6347826086956516"/>
    <n v="3.709677419354839"/>
    <n v="3"/>
    <d v="1899-12-30T00:16:10"/>
    <s v="Order"/>
    <n v="27.402916490585525"/>
    <n v="-3.2432390712306862"/>
    <n v="50.822000000000003"/>
    <n v="121.86250000000001"/>
    <n v="27.927499999999981"/>
  </r>
  <r>
    <d v="2022-09-12T00:00:00"/>
    <x v="1"/>
    <x v="29"/>
    <n v="12"/>
    <s v="QTR3"/>
    <s v="Monday"/>
    <d v="1899-12-30T18:00:00"/>
    <s v="Rain"/>
    <n v="72.7"/>
    <s v="Portland"/>
    <n v="106.19"/>
    <n v="6.9"/>
    <n v="82.5"/>
    <n v="12"/>
    <n v="15.389855072463767"/>
    <n v="-11.60900794496543"/>
    <n v="8.8491666666666671"/>
    <n v="1.2871515151515152"/>
    <n v="6.875"/>
    <n v="1.7391304347826086"/>
    <n v="2"/>
    <d v="1899-12-30T00:34:30"/>
    <s v="Order"/>
    <n v="20.419818365926204"/>
    <n v="-5.029963293462437"/>
    <n v="52.001888888888892"/>
    <n v="119.71749999999999"/>
    <n v="-13.527499999999989"/>
  </r>
  <r>
    <d v="2022-09-15T00:00:00"/>
    <x v="1"/>
    <x v="29"/>
    <n v="12"/>
    <s v="QTR3"/>
    <s v="Thursday"/>
    <d v="1899-12-30T17:30:00"/>
    <s v="Clear"/>
    <n v="65.900000000000006"/>
    <s v="Lewiston"/>
    <n v="168.62"/>
    <n v="9.4"/>
    <n v="68"/>
    <n v="16"/>
    <n v="17.938297872340424"/>
    <n v="2.238297872340425"/>
    <n v="10.53875"/>
    <n v="2.4797058823529414"/>
    <n v="4.25"/>
    <n v="1.7021276595744681"/>
    <n v="2"/>
    <d v="1899-12-30T00:35:15"/>
    <s v="Order"/>
    <n v="18.367485192811206"/>
    <n v="-0.42918732047078123"/>
    <n v="52.500777777777778"/>
    <n v="134.22499999999999"/>
    <n v="34.39500000000001"/>
  </r>
  <r>
    <d v="2022-09-16T00:00:00"/>
    <x v="1"/>
    <x v="29"/>
    <n v="12"/>
    <s v="QTR3"/>
    <s v="Friday"/>
    <d v="1899-12-30T17:30:00"/>
    <s v="Clear"/>
    <n v="66.900000000000006"/>
    <s v="Brunswick/Bath/Freeport"/>
    <n v="65.78"/>
    <n v="5.4"/>
    <n v="71.599999999999994"/>
    <n v="6"/>
    <n v="12.18148148148148"/>
    <n v="-11.91850483327903"/>
    <n v="10.963333333333333"/>
    <n v="0.91871508379888278"/>
    <n v="11.933333333333332"/>
    <n v="1.1111111111111109"/>
    <n v="2"/>
    <d v="1899-12-30T00:54:00"/>
    <s v="Order"/>
    <n v="19.334078749155886"/>
    <n v="-7.1525972676744054"/>
    <n v="51.42711111111111"/>
    <n v="122.595"/>
    <n v="-56.814999999999998"/>
  </r>
  <r>
    <d v="2022-09-18T00:00:00"/>
    <x v="1"/>
    <x v="29"/>
    <n v="12"/>
    <s v="QTR3"/>
    <s v="Sunday"/>
    <d v="1899-12-30T17:30:00"/>
    <s v="Rain"/>
    <n v="58.3"/>
    <s v="Brunswick/Bath/Freeport"/>
    <n v="161.82999999999998"/>
    <n v="7.1"/>
    <n v="124.2"/>
    <n v="11"/>
    <n v="22.792957746478873"/>
    <n v="-4.6728317272053381"/>
    <n v="14.711818181818181"/>
    <n v="1.3029790660225442"/>
    <n v="11.290909090909091"/>
    <n v="1.5492957746478875"/>
    <n v="2"/>
    <d v="1899-12-30T00:38:44"/>
    <s v="Order"/>
    <n v="24.814125932062964"/>
    <n v="-2.0211681855840915"/>
    <n v="53.225222222222214"/>
    <n v="125.605"/>
    <n v="36.22499999999998"/>
  </r>
  <r>
    <d v="2022-09-19T00:00:00"/>
    <x v="1"/>
    <x v="30"/>
    <n v="13"/>
    <s v="QTR3"/>
    <s v="Monday"/>
    <d v="1899-12-30T17:30:00"/>
    <s v="Rain"/>
    <n v="56.8"/>
    <s v="Portland"/>
    <n v="78.52"/>
    <n v="6.6"/>
    <n v="80.199999999999989"/>
    <n v="8"/>
    <n v="11.896969696969697"/>
    <n v="-12.199641334218144"/>
    <n v="9.8149999999999995"/>
    <n v="0.97905236907730686"/>
    <n v="10.024999999999999"/>
    <n v="1.2121212121212122"/>
    <n v="2"/>
    <d v="1899-12-30T00:49:30"/>
    <s v="Order"/>
    <n v="19.871020059752453"/>
    <n v="-7.9740503627827568"/>
    <n v="54.097666666666669"/>
    <n v="118.6875"/>
    <n v="-40.167500000000004"/>
  </r>
  <r>
    <d v="2022-09-20T00:00:00"/>
    <x v="1"/>
    <x v="30"/>
    <n v="13"/>
    <s v="QTR3"/>
    <s v="Tuesday"/>
    <d v="1899-12-30T17:30:00"/>
    <s v="Rain"/>
    <n v="66.8"/>
    <s v="Lewiston"/>
    <n v="35.19"/>
    <n v="2.4500000000000002"/>
    <n v="28.6"/>
    <n v="3"/>
    <n v="14.363265306122447"/>
    <n v="-4.0605151816824332"/>
    <n v="11.729999999999999"/>
    <n v="1.2304195804195803"/>
    <n v="9.5333333333333332"/>
    <n v="1.2244897959183672"/>
    <n v="1"/>
    <d v="1899-12-30T00:49:00"/>
    <s v="Order"/>
    <n v="19.765191567522344"/>
    <n v="-5.4019262613998968"/>
    <n v="54.180555555555543"/>
    <n v="85.33"/>
    <n v="-50.14"/>
  </r>
  <r>
    <d v="2022-09-21T00:00:00"/>
    <x v="1"/>
    <x v="30"/>
    <n v="13"/>
    <s v="QTR3"/>
    <s v="Wednesday"/>
    <d v="1899-12-30T17:30:00"/>
    <s v="Rain"/>
    <n v="63.5"/>
    <s v="Lewiston"/>
    <n v="45.85"/>
    <n v="4.3000000000000007"/>
    <n v="48.2"/>
    <n v="10"/>
    <n v="10.662790697674417"/>
    <n v="-11.559431524547804"/>
    <n v="4.585"/>
    <n v="0.95124481327800825"/>
    <n v="4.82"/>
    <n v="2.3255813953488369"/>
    <n v="3"/>
    <d v="1899-12-30T00:25:48"/>
    <s v="Order"/>
    <n v="17.616301009214567"/>
    <n v="-6.9535103115401498"/>
    <n v="54.689999999999991"/>
    <n v="80.347499999999997"/>
    <n v="-34.497499999999995"/>
  </r>
  <r>
    <d v="2022-09-23T00:00:00"/>
    <x v="1"/>
    <x v="30"/>
    <n v="13"/>
    <s v="QTR3"/>
    <s v="Friday"/>
    <d v="1899-12-30T17:30:00"/>
    <s v="Clear"/>
    <n v="64.599999999999994"/>
    <s v="Brunswick/Bath/Freeport"/>
    <n v="94.03"/>
    <n v="2.5"/>
    <n v="113.8"/>
    <n v="13"/>
    <n v="37.612000000000002"/>
    <n v="16.491639893559249"/>
    <n v="7.233076923076923"/>
    <n v="0.82627416520210895"/>
    <n v="8.7538461538461529"/>
    <n v="5.2"/>
    <n v="2"/>
    <d v="1899-12-30T00:11:32"/>
    <s v="Order"/>
    <n v="28.280506125405878"/>
    <n v="9.3314938745941234"/>
    <n v="53.037333333333329"/>
    <n v="63.397500000000001"/>
    <n v="30.6325"/>
  </r>
  <r>
    <d v="2022-09-25T00:00:00"/>
    <x v="1"/>
    <x v="30"/>
    <n v="13"/>
    <s v="QTR3"/>
    <s v="Sunday"/>
    <d v="1899-12-30T18:30:00"/>
    <s v="Rain"/>
    <n v="71.099999999999994"/>
    <s v="Brunswick/Bath/Freeport"/>
    <n v="64.97"/>
    <n v="3.5999999999999996"/>
    <n v="88.5"/>
    <n v="6"/>
    <n v="18.047222222222224"/>
    <n v="-7.8609566757268752"/>
    <n v="10.828333333333333"/>
    <n v="0.73412429378531074"/>
    <n v="14.75"/>
    <n v="1.6666666666666667"/>
    <n v="2"/>
    <d v="1899-12-30T00:36:00"/>
    <s v="Order"/>
    <n v="18.047222222222224"/>
    <n v="0"/>
    <n v="52.38611111111112"/>
    <n v="60.01"/>
    <n v="4.9600000000000009"/>
  </r>
  <r>
    <d v="2022-09-26T00:00:00"/>
    <x v="1"/>
    <x v="31"/>
    <n v="1"/>
    <s v="QTR4"/>
    <s v="Monday"/>
    <d v="1899-12-30T17:00:00"/>
    <s v="Rain"/>
    <n v="70.5"/>
    <s v="Portland"/>
    <n v="167.59"/>
    <n v="6.8"/>
    <n v="104.1"/>
    <n v="16"/>
    <n v="24.64558823529412"/>
    <n v="5.1772549019607865"/>
    <n v="10.474375"/>
    <n v="1.6098943323727186"/>
    <n v="6.5062499999999996"/>
    <n v="2.3529411764705883"/>
    <n v="4"/>
    <d v="1899-12-30T00:25:30"/>
    <s v="Order"/>
    <n v="22.463410793300739"/>
    <n v="2.1821774419933817"/>
    <n v="53.5718888888889"/>
    <n v="93.11"/>
    <n v="74.48"/>
  </r>
  <r>
    <d v="2022-09-27T00:00:00"/>
    <x v="1"/>
    <x v="31"/>
    <n v="1"/>
    <s v="QTR4"/>
    <s v="Tuesday"/>
    <d v="1899-12-30T18:00:00"/>
    <s v="Rain"/>
    <n v="67.7"/>
    <s v="Portland"/>
    <n v="85.92"/>
    <n v="4.3999999999999995"/>
    <n v="138"/>
    <n v="13"/>
    <n v="19.527272727272731"/>
    <n v="2.0192727272727318"/>
    <n v="6.609230769230769"/>
    <n v="0.62260869565217392"/>
    <n v="10.615384615384615"/>
    <n v="2.954545454545455"/>
    <n v="3"/>
    <d v="1899-12-30T00:20:18"/>
    <s v="Order"/>
    <n v="16.531874791874795"/>
    <n v="2.9953979353979356"/>
    <n v="54.526555555555568"/>
    <n v="103.12750000000001"/>
    <n v="-17.20750000000001"/>
  </r>
  <r>
    <d v="2022-09-29T00:00:00"/>
    <x v="1"/>
    <x v="31"/>
    <n v="1"/>
    <s v="QTR4"/>
    <s v="Thursday"/>
    <d v="1899-12-30T18:00:00"/>
    <s v="Clear"/>
    <n v="61.1"/>
    <s v="Portland"/>
    <n v="101.93"/>
    <n v="6.7"/>
    <n v="108.9"/>
    <n v="10"/>
    <n v="15.213432835820896"/>
    <s v=""/>
    <n v="10.193000000000001"/>
    <n v="0.93599632690541779"/>
    <n v="10.89"/>
    <n v="1.4925373134328357"/>
    <n v="2"/>
    <d v="1899-12-30T00:40:12"/>
    <s v="Order"/>
    <n v="17.60271641791045"/>
    <n v="-2.3892835820895542"/>
    <n v="54.427333333333344"/>
    <n v="105.10250000000001"/>
    <n v="-3.1724999999999994"/>
  </r>
  <r>
    <d v="2022-09-30T00:00:00"/>
    <x v="1"/>
    <x v="31"/>
    <n v="1"/>
    <s v="QTR4"/>
    <s v="Friday"/>
    <d v="1899-12-30T17:30:00"/>
    <s v="Clear"/>
    <n v="63.1"/>
    <s v="Brunswick/Bath/Freeport"/>
    <n v="85.460000000000008"/>
    <n v="5.8"/>
    <n v="36.5"/>
    <n v="7"/>
    <n v="14.734482758620691"/>
    <n v="-14.919363395225455"/>
    <n v="12.20857142857143"/>
    <n v="2.341369863013699"/>
    <n v="5.2142857142857144"/>
    <n v="1.2068965517241379"/>
    <n v="2"/>
    <d v="1899-12-30T00:49:43"/>
    <s v="Order"/>
    <n v="19.047300903119872"/>
    <n v="-4.3128181444991807"/>
    <n v="53.290333333333344"/>
    <n v="110.22499999999999"/>
    <n v="-24.764999999999986"/>
  </r>
  <r>
    <d v="2022-10-02T00:00:00"/>
    <x v="1"/>
    <x v="31"/>
    <n v="1"/>
    <s v="QTR4"/>
    <s v="Sunday"/>
    <d v="1899-12-30T18:30:00"/>
    <s v="Clear"/>
    <n v="57.3"/>
    <s v="Brunswick/Bath/Freeport"/>
    <n v="45.83"/>
    <n v="5.2"/>
    <n v="59.7"/>
    <n v="4"/>
    <n v="8.8134615384615387"/>
    <n v="-13.293945868945869"/>
    <n v="11.4575"/>
    <n v="0.76767169179229477"/>
    <n v="14.925000000000001"/>
    <n v="0.76923076923076916"/>
    <n v="2"/>
    <d v="1899-12-30T01:18:00"/>
    <s v="Order"/>
    <n v="17.059273142112126"/>
    <n v="-8.2458116036505871"/>
    <n v="53.799555555555564"/>
    <n v="79.785000000000011"/>
    <n v="-33.955000000000013"/>
  </r>
  <r>
    <d v="2022-10-03T00:00:00"/>
    <x v="1"/>
    <x v="32"/>
    <n v="2"/>
    <s v="QTR4"/>
    <s v="Monday"/>
    <d v="1899-12-30T18:00:00"/>
    <s v="Clear"/>
    <n v="62.6"/>
    <s v="Lewiston"/>
    <n v="82.9"/>
    <n v="2.2999999999999998"/>
    <n v="87.3"/>
    <n v="12"/>
    <n v="36.04347826086957"/>
    <n v="12.982253771073655"/>
    <n v="6.9083333333333341"/>
    <n v="0.94959908361970224"/>
    <n v="7.2749999999999995"/>
    <n v="5.2173913043478262"/>
    <n v="3"/>
    <d v="1899-12-30T00:11:30"/>
    <s v="Order"/>
    <n v="25.660106415887583"/>
    <n v="10.383371844981987"/>
    <n v="54.049222222222234"/>
    <n v="79.03"/>
    <n v="3.8700000000000045"/>
  </r>
  <r>
    <d v="2022-10-05T00:00:00"/>
    <x v="1"/>
    <x v="32"/>
    <n v="2"/>
    <s v="QTR4"/>
    <s v="Wednesday"/>
    <d v="1899-12-30T17:30:00"/>
    <s v="Rain"/>
    <n v="73.099999999999994"/>
    <s v="Portland"/>
    <n v="132.1"/>
    <n v="7.6"/>
    <n v="143.19999999999999"/>
    <n v="13"/>
    <n v="17.381578947368421"/>
    <n v="9.5874613003095988"/>
    <n v="10.161538461538461"/>
    <n v="0.92248603351955316"/>
    <n v="11.015384615384615"/>
    <n v="1.7105263157894737"/>
    <n v="2"/>
    <d v="1899-12-30T00:35:05"/>
    <s v="Order"/>
    <n v="17.381578947368421"/>
    <n v="0"/>
    <n v="53.754444444444459"/>
    <n v="86.572500000000005"/>
    <n v="45.527499999999989"/>
  </r>
  <r>
    <d v="2022-10-06T00:00:00"/>
    <x v="1"/>
    <x v="32"/>
    <n v="2"/>
    <s v="QTR4"/>
    <s v="Thursday"/>
    <d v="1899-12-30T18:00:00"/>
    <s v="Rain"/>
    <n v="69.5"/>
    <s v="Brunswick/Bath/Freeport"/>
    <n v="177.31"/>
    <n v="6.2"/>
    <n v="125.4"/>
    <n v="14"/>
    <n v="28.598387096774193"/>
    <n v="1.75"/>
    <n v="12.665000000000001"/>
    <n v="1.4139553429027112"/>
    <n v="8.9571428571428573"/>
    <n v="2.258064516129032"/>
    <n v="3"/>
    <d v="1899-12-30T00:26:34"/>
    <s v="Order"/>
    <n v="25.855566097406705"/>
    <n v="2.7428209993674884"/>
    <n v="54.107111111111116"/>
    <n v="109.53500000000001"/>
    <n v="67.774999999999991"/>
  </r>
  <r>
    <d v="2022-10-07T00:00:00"/>
    <x v="1"/>
    <x v="32"/>
    <n v="2"/>
    <s v="QTR4"/>
    <s v="Friday"/>
    <d v="1899-12-30T11:00:00"/>
    <s v="Clear"/>
    <n v="57.2"/>
    <s v="Brunswick/Bath/Freeport"/>
    <n v="208.98999999999998"/>
    <n v="7.6"/>
    <n v="170.7"/>
    <n v="22"/>
    <n v="27.498684210526314"/>
    <n v="5.3045197542928939"/>
    <n v="9.4995454545454532"/>
    <n v="1.2243116578793205"/>
    <n v="7.7590909090909088"/>
    <n v="2.8947368421052633"/>
    <n v="3"/>
    <d v="1899-12-30T00:20:44"/>
    <s v="Order"/>
    <n v="26.913230994152045"/>
    <n v="0.58545321637426895"/>
    <n v="56.429222222222222"/>
    <n v="150.32499999999999"/>
    <n v="58.664999999999992"/>
  </r>
  <r>
    <d v="2022-10-08T00:00:00"/>
    <x v="1"/>
    <x v="32"/>
    <n v="2"/>
    <s v="QTR4"/>
    <s v="Saturday"/>
    <d v="1899-12-30T14:30:00"/>
    <s v="Rain"/>
    <n v="57.2"/>
    <s v="Lewiston"/>
    <n v="206.45999999999998"/>
    <n v="5.9"/>
    <n v="167.9"/>
    <n v="21"/>
    <n v="34.993220338983043"/>
    <s v=""/>
    <n v="9.831428571428571"/>
    <n v="1.2296605122096484"/>
    <n v="7.9952380952380953"/>
    <n v="3.5593220338983049"/>
    <n v="5"/>
    <d v="1899-12-30T00:16:51"/>
    <s v="Order"/>
    <n v="32.706034253261159"/>
    <n v="2.2871860857218849"/>
    <n v="58.723222222222226"/>
    <n v="181.21499999999997"/>
    <n v="25.245000000000005"/>
  </r>
  <r>
    <d v="2022-10-11T00:00:00"/>
    <x v="1"/>
    <x v="33"/>
    <n v="3"/>
    <s v="QTR4"/>
    <s v="Tuesday"/>
    <d v="1899-12-30T14:00:00"/>
    <s v="Rain"/>
    <n v="69.5"/>
    <s v="Lewiston"/>
    <n v="73.02"/>
    <n v="10.099999999999998"/>
    <n v="70.3"/>
    <n v="10"/>
    <n v="7.2297029702970308"/>
    <n v="-21.211206120612058"/>
    <n v="7.3019999999999996"/>
    <n v="1.0386913229018493"/>
    <n v="7.0299999999999994"/>
    <n v="0.99009900990099031"/>
    <n v="2"/>
    <d v="1899-12-30T01:00:36"/>
    <s v="Order"/>
    <n v="11.682034947680814"/>
    <n v="-4.4523319773837828"/>
    <n v="56.737111111111126"/>
    <n v="166.44499999999999"/>
    <n v="-93.424999999999997"/>
  </r>
  <r>
    <d v="2022-10-12T00:00:00"/>
    <x v="1"/>
    <x v="33"/>
    <n v="3"/>
    <s v="QTR4"/>
    <s v="Wednesday"/>
    <d v="1899-12-30T17:30:00"/>
    <s v="Rain"/>
    <n v="62.6"/>
    <s v="Brunswick/Bath/Freeport"/>
    <n v="90.95"/>
    <n v="9.6000000000000014"/>
    <n v="72.400000000000006"/>
    <n v="9"/>
    <n v="9.4739583333333321"/>
    <n v="-13.254613095238096"/>
    <n v="10.105555555555556"/>
    <n v="1.2562154696132597"/>
    <n v="8.0444444444444443"/>
    <n v="0.93749999999999989"/>
    <n v="4"/>
    <d v="1899-12-30T01:04:00"/>
    <s v="Order"/>
    <n v="13.571307524875621"/>
    <n v="-4.097349191542289"/>
    <n v="57.747666666666674"/>
    <n v="144.85499999999999"/>
    <n v="-53.904999999999987"/>
  </r>
  <r>
    <d v="2022-10-14T00:00:00"/>
    <x v="1"/>
    <x v="33"/>
    <n v="3"/>
    <s v="QTR4"/>
    <s v="Friday"/>
    <d v="1899-12-30T17:30:00"/>
    <s v="Rain"/>
    <n v="65.7"/>
    <s v="Brunswick/Bath/Freeport"/>
    <n v="177.53"/>
    <n v="6.18"/>
    <n v="140.39999999999998"/>
    <n v="12"/>
    <n v="28.726537216828479"/>
    <n v="4.7641995091640936"/>
    <n v="14.794166666666667"/>
    <n v="1.2644586894586898"/>
    <n v="11.699999999999998"/>
    <n v="1.941747572815534"/>
    <n v="4"/>
    <d v="1899-12-30T00:30:54"/>
    <s v="Order"/>
    <n v="25.250395053825475"/>
    <n v="3.4761421630030043"/>
    <n v="57.163666666666671"/>
    <n v="136.98999999999998"/>
    <n v="40.54000000000002"/>
  </r>
  <r>
    <d v="2022-11-04T00:00:00"/>
    <x v="1"/>
    <x v="36"/>
    <n v="6"/>
    <s v="QTR4"/>
    <s v="Friday"/>
    <d v="1899-12-30T18:00:00"/>
    <s v="Clear"/>
    <n v="73.400000000000006"/>
    <s v="Brunswick/Bath/Freeport"/>
    <n v="95.210000000000008"/>
    <n v="5.5"/>
    <n v="144"/>
    <n v="9"/>
    <n v="17.310909090909092"/>
    <n v="-7.8424784940463148"/>
    <n v="10.578888888888891"/>
    <n v="0.66118055555555566"/>
    <n v="16"/>
    <n v="1.6363636363636365"/>
    <n v="4"/>
    <d v="1899-12-30T00:36:40"/>
    <s v="Order"/>
    <n v="23.946852747537971"/>
    <n v="-6.6359436566288785"/>
    <n v="55.434000000000005"/>
    <n v="109.17750000000001"/>
    <n v="-13.967500000000001"/>
  </r>
  <r>
    <d v="2022-11-07T00:00:00"/>
    <x v="1"/>
    <x v="37"/>
    <n v="7"/>
    <s v="QTR4"/>
    <s v="Monday"/>
    <d v="1899-12-30T17:00:00"/>
    <s v="Clear"/>
    <n v="44.9"/>
    <s v="Portland"/>
    <n v="129.17000000000002"/>
    <n v="6.1999999999999993"/>
    <n v="112.1"/>
    <n v="11"/>
    <n v="20.833870967741941"/>
    <n v="-1.2230898165717861"/>
    <n v="11.742727272727274"/>
    <n v="1.1522747546833187"/>
    <n v="10.19090909090909"/>
    <n v="1.774193548387097"/>
    <n v="3"/>
    <d v="1899-12-30T00:33:49"/>
    <s v="Order"/>
    <n v="24.609907387766043"/>
    <n v="-3.7760364200241021"/>
    <n v="54.967555555555556"/>
    <n v="123.21500000000002"/>
    <n v="5.9549999999999983"/>
  </r>
  <r>
    <d v="2022-11-09T00:00:00"/>
    <x v="1"/>
    <x v="37"/>
    <n v="7"/>
    <s v="QTR4"/>
    <s v="Wednesday"/>
    <d v="1899-12-30T17:30:00"/>
    <s v="Clear"/>
    <n v="65.099999999999994"/>
    <s v="Lewiston"/>
    <n v="45.09"/>
    <n v="6.2"/>
    <n v="26.1"/>
    <n v="5"/>
    <n v="7.2725806451612911"/>
    <s v=""/>
    <n v="9.0180000000000007"/>
    <n v="1.7275862068965517"/>
    <n v="5.2200000000000006"/>
    <n v="0.80645161290322576"/>
    <n v="2"/>
    <d v="1899-12-30T01:14:24"/>
    <s v="Order"/>
    <n v="14.047487233777559"/>
    <n v="-6.7749065886162683"/>
    <n v="54.357444444444432"/>
    <n v="111.75"/>
    <n v="-66.66"/>
  </r>
  <r>
    <d v="2022-11-10T00:00:00"/>
    <x v="1"/>
    <x v="37"/>
    <n v="7"/>
    <s v="QTR4"/>
    <s v="Thursday"/>
    <d v="1899-12-30T18:00:00"/>
    <s v="Rain"/>
    <n v="68.3"/>
    <s v="Portland"/>
    <n v="81.86"/>
    <n v="5.5"/>
    <n v="112.9"/>
    <n v="9"/>
    <n v="14.883636363636363"/>
    <n v="-0.32979647218453323"/>
    <n v="9.0955555555555563"/>
    <n v="0.72506643046944197"/>
    <n v="12.544444444444444"/>
    <n v="1.6363636363636365"/>
    <n v="2"/>
    <d v="1899-12-30T00:36:40"/>
    <s v="Order"/>
    <n v="20.86601173020528"/>
    <n v="-5.9823753665689168"/>
    <n v="55.266999999999989"/>
    <n v="87.83250000000001"/>
    <n v="-5.9725000000000108"/>
  </r>
  <r>
    <d v="2022-11-11T00:00:00"/>
    <x v="1"/>
    <x v="37"/>
    <n v="7"/>
    <s v="QTR4"/>
    <s v="Friday"/>
    <d v="1899-12-30T18:00:00"/>
    <s v="Rain"/>
    <n v="70"/>
    <s v="Brunswick/Bath/Freeport"/>
    <n v="138.39000000000001"/>
    <n v="6.43"/>
    <n v="122.30000000000001"/>
    <n v="11"/>
    <n v="21.522550544323487"/>
    <n v="-2.062341341822659"/>
    <n v="12.580909090909092"/>
    <n v="1.1315617334423549"/>
    <n v="11.118181818181819"/>
    <n v="1.7107309486780715"/>
    <n v="4"/>
    <d v="1899-12-30T00:35:04"/>
    <s v="Order"/>
    <n v="22.483122528976669"/>
    <n v="-0.96057198465318194"/>
    <n v="56.804666666666655"/>
    <n v="98.627499999999998"/>
    <n v="39.762500000000017"/>
  </r>
  <r>
    <d v="2022-11-17T00:00:00"/>
    <x v="1"/>
    <x v="38"/>
    <n v="8"/>
    <s v="QTR4"/>
    <s v="Thursday"/>
    <d v="1899-12-30T17:00:00"/>
    <s v="Clear"/>
    <n v="33.6"/>
    <s v="Brunswick/Bath/Freeport"/>
    <n v="112.02999999999999"/>
    <n v="5.2"/>
    <n v="88.600000000000009"/>
    <n v="9"/>
    <n v="21.544230769230765"/>
    <n v="-6.1791563275434278"/>
    <n v="12.447777777777777"/>
    <n v="1.2644469525959365"/>
    <n v="9.844444444444445"/>
    <n v="1.7307692307692306"/>
    <n v="4"/>
    <d v="1899-12-30T00:34:40"/>
    <s v="Order"/>
    <n v="15.912805605247465"/>
    <n v="5.6314251639833"/>
    <n v="54.703111111111106"/>
    <n v="94.342500000000001"/>
    <n v="17.687499999999986"/>
  </r>
  <r>
    <d v="2022-11-18T00:00:00"/>
    <x v="1"/>
    <x v="38"/>
    <n v="8"/>
    <s v="QTR4"/>
    <s v="Friday"/>
    <d v="1899-12-30T18:00:00"/>
    <s v="Clear"/>
    <n v="37.6"/>
    <s v="Brunswick/Bath/Freeport"/>
    <n v="214.98"/>
    <n v="8.32"/>
    <n v="212"/>
    <n v="15"/>
    <n v="25.838942307692307"/>
    <n v="2.597773978516603"/>
    <n v="14.331999999999999"/>
    <n v="1.0140566037735848"/>
    <n v="14.133333333333333"/>
    <n v="1.8028846153846154"/>
    <n v="4"/>
    <d v="1899-12-30T00:33:17"/>
    <s v="Order"/>
    <n v="24.067695029985224"/>
    <n v="1.7712472777070829"/>
    <n v="55.677666666666653"/>
    <n v="136.815"/>
    <n v="78.164999999999992"/>
  </r>
  <r>
    <d v="2022-11-21T00:00:00"/>
    <x v="1"/>
    <x v="39"/>
    <n v="9"/>
    <s v="QTR4"/>
    <s v="Monday"/>
    <d v="1899-12-30T17:30:00"/>
    <s v="Clear"/>
    <n v="42.5"/>
    <s v="Portland"/>
    <n v="140.76999999999998"/>
    <n v="7.6"/>
    <n v="136.9"/>
    <n v="10"/>
    <n v="18.522368421052629"/>
    <n v="-3.1268957577371665"/>
    <n v="14.076999999999998"/>
    <n v="1.0282688093498902"/>
    <n v="13.690000000000001"/>
    <n v="1.3157894736842106"/>
    <n v="2"/>
    <d v="1899-12-30T00:45:36"/>
    <s v="Order"/>
    <n v="22.7536390170972"/>
    <n v="-4.2312705960445705"/>
    <n v="56.122666666666653"/>
    <n v="151.54249999999999"/>
    <n v="-10.772500000000008"/>
  </r>
  <r>
    <d v="2022-11-23T00:00:00"/>
    <x v="1"/>
    <x v="39"/>
    <n v="9"/>
    <s v="QTR4"/>
    <s v="Wednesday"/>
    <d v="1899-12-30T18:00:00"/>
    <s v="Clear"/>
    <n v="34.799999999999997"/>
    <s v="Brunswick/Bath/Freeport"/>
    <n v="120.16"/>
    <n v="5.2"/>
    <n v="109.2"/>
    <n v="11"/>
    <n v="23.107692307692307"/>
    <n v="7.0064274267399291"/>
    <n v="10.923636363636364"/>
    <n v="1.1003663003663002"/>
    <n v="9.9272727272727277"/>
    <n v="2.1153846153846154"/>
    <n v="3"/>
    <d v="1899-12-30T00:28:22"/>
    <s v="Order"/>
    <n v="21.611061995023647"/>
    <n v="1.4966303126686604"/>
    <n v="57.457777777777764"/>
    <n v="146.98499999999999"/>
    <n v="-26.824999999999989"/>
  </r>
  <r>
    <d v="2022-11-25T00:00:00"/>
    <x v="1"/>
    <x v="39"/>
    <n v="9"/>
    <s v="QTR4"/>
    <s v="Friday"/>
    <d v="1899-12-30T18:30:00"/>
    <s v="Partially Cloudy"/>
    <n v="45.2"/>
    <s v="Brunswick/Bath/Freeport"/>
    <n v="96.42"/>
    <n v="5.8999999999999995"/>
    <n v="78.900000000000006"/>
    <n v="9"/>
    <n v="16.342372881355935"/>
    <n v="-7.2699060161792808"/>
    <n v="10.713333333333333"/>
    <n v="1.2220532319391635"/>
    <n v="8.7666666666666675"/>
    <n v="1.5254237288135595"/>
    <n v="3"/>
    <d v="1899-12-30T00:39:20"/>
    <s v="Order"/>
    <n v="22.935551190780895"/>
    <n v="-6.5931783094249603"/>
    <n v="57.17244444444443"/>
    <n v="143.08249999999998"/>
    <n v="-46.66249999999998"/>
  </r>
  <r>
    <d v="2022-11-26T00:00:00"/>
    <x v="1"/>
    <x v="39"/>
    <n v="9"/>
    <s v="QTR4"/>
    <s v="Saturday"/>
    <d v="1899-12-30T16:30:00"/>
    <s v="Rain"/>
    <n v="53.7"/>
    <s v="Augusta"/>
    <n v="108.07"/>
    <n v="5.1999999999999993"/>
    <n v="182.7"/>
    <n v="12"/>
    <n v="20.782692307692308"/>
    <s v=""/>
    <n v="9.0058333333333334"/>
    <n v="0.59151614668856045"/>
    <n v="15.225"/>
    <n v="2.3076923076923079"/>
    <n v="4"/>
    <d v="1899-12-30T00:26:00"/>
    <s v="Order"/>
    <n v="22.584824414715719"/>
    <n v="-1.8021321070234109"/>
    <n v="58.373222222222203"/>
    <n v="116.35499999999999"/>
    <n v="-8.2849999999999966"/>
  </r>
  <r>
    <d v="2022-11-27T00:00:00"/>
    <x v="1"/>
    <x v="39"/>
    <n v="9"/>
    <s v="QTR4"/>
    <s v="Sunday"/>
    <d v="1899-12-30T17:30:00"/>
    <s v="Rain"/>
    <n v="40.9"/>
    <s v="Brunswick/Bath/Freeport"/>
    <n v="99.02"/>
    <n v="4.5999999999999996"/>
    <n v="123.19999999999999"/>
    <n v="11"/>
    <n v="21.526086956521741"/>
    <n v="3.8499948387629566"/>
    <n v="9.0018181818181819"/>
    <n v="0.80373376623376624"/>
    <n v="11.2"/>
    <n v="2.3913043478260874"/>
    <n v="4"/>
    <d v="1899-12-30T00:25:05"/>
    <s v="Hourly"/>
    <n v="21.526086956521741"/>
    <n v="0"/>
    <n v="58.586888888888865"/>
    <n v="105.91749999999999"/>
    <n v="-6.8974999999999937"/>
  </r>
  <r>
    <d v="2022-11-28T00:00:00"/>
    <x v="1"/>
    <x v="40"/>
    <n v="10"/>
    <s v="QTR4"/>
    <s v="Monday"/>
    <d v="1899-12-30T17:30:00"/>
    <s v="Clear"/>
    <n v="36.4"/>
    <s v="Portland"/>
    <n v="46.61"/>
    <n v="8.2000000000000011"/>
    <n v="64.400000000000006"/>
    <n v="5"/>
    <n v="5.6841463414634141"/>
    <n v="-15.183393897892092"/>
    <n v="9.3219999999999992"/>
    <n v="0.72375776397515523"/>
    <n v="12.88"/>
    <n v="0.60975609756097549"/>
    <n v="1"/>
    <d v="1899-12-30T01:38:24"/>
    <s v="Order"/>
    <n v="21.442841149708883"/>
    <n v="-15.758694808245469"/>
    <n v="57.790555555555542"/>
    <n v="87.53"/>
    <n v="-40.92"/>
  </r>
  <r>
    <d v="2022-12-01T00:00:00"/>
    <x v="1"/>
    <x v="40"/>
    <n v="10"/>
    <s v="QTR4"/>
    <s v="Thursday"/>
    <d v="1899-12-30T17:30:00"/>
    <s v="Clear"/>
    <n v="35.4"/>
    <s v="Brunswick/Bath/Freeport"/>
    <n v="73.87"/>
    <n v="5.3000000000000007"/>
    <n v="103.7"/>
    <n v="6"/>
    <n v="13.937735849056603"/>
    <n v="-11.725932471869784"/>
    <n v="12.311666666666667"/>
    <n v="0.71234329797492768"/>
    <n v="17.283333333333335"/>
    <n v="1.132075471698113"/>
    <n v="3"/>
    <d v="1899-12-30T00:53:00"/>
    <s v="Order"/>
    <n v="15.442748521543226"/>
    <n v="-1.5050126724866235"/>
    <n v="54.833333333333336"/>
    <n v="81.892499999999998"/>
    <n v="-8.0224999999999937"/>
  </r>
  <r>
    <d v="2022-12-03T00:00:00"/>
    <x v="1"/>
    <x v="40"/>
    <n v="10"/>
    <s v="QTR4"/>
    <s v="Saturday"/>
    <d v="1899-12-30T16:00:00"/>
    <s v="Partially Cloudy"/>
    <n v="38.1"/>
    <s v="Lewiston"/>
    <n v="169.07999999999998"/>
    <n v="9.08"/>
    <n v="112"/>
    <n v="21"/>
    <n v="18.621145374449338"/>
    <n v="-16.372074964533706"/>
    <n v="8.0514285714285698"/>
    <n v="1.5096428571428571"/>
    <n v="5.333333333333333"/>
    <n v="2.3127753303964758"/>
    <n v="6"/>
    <d v="1899-12-30T00:25:57"/>
    <s v="Order"/>
    <n v="18.621145374449338"/>
    <n v="0"/>
    <n v="54.645444444444436"/>
    <n v="97.144999999999996"/>
    <n v="71.934999999999988"/>
  </r>
  <r>
    <d v="2022-12-05T00:00:00"/>
    <x v="1"/>
    <x v="41"/>
    <n v="11"/>
    <s v="QTR4"/>
    <s v="Monday"/>
    <d v="1899-12-30T17:00:00"/>
    <s v="Rain"/>
    <n v="51.3"/>
    <s v="Portland"/>
    <n v="71.63"/>
    <n v="9.1"/>
    <n v="97.8"/>
    <n v="9"/>
    <n v="7.871428571428571"/>
    <n v="-9.9594328883485197"/>
    <n v="7.9588888888888887"/>
    <n v="0.73241308793456028"/>
    <n v="10.866666666666667"/>
    <n v="0.98901098901098905"/>
    <n v="2"/>
    <d v="1899-12-30T01:00:40"/>
    <s v="Order"/>
    <n v="21.372401866151865"/>
    <n v="-13.500973294723295"/>
    <n v="52.284555555555549"/>
    <n v="90.297499999999999"/>
    <n v="-18.667500000000004"/>
  </r>
  <r>
    <d v="2022-12-07T00:00:00"/>
    <x v="1"/>
    <x v="41"/>
    <n v="11"/>
    <s v="QTR4"/>
    <s v="Wednesday"/>
    <d v="1899-12-30T15:00:00"/>
    <s v="Rain"/>
    <n v="46.1"/>
    <s v="Brunswick/Bath/Freeport"/>
    <n v="165.23000000000002"/>
    <n v="4.5"/>
    <n v="150.39999999999998"/>
    <n v="14"/>
    <n v="36.717777777777783"/>
    <n v="18.281037087912097"/>
    <n v="11.802142857142858"/>
    <n v="1.0986037234042556"/>
    <n v="10.742857142857142"/>
    <n v="3.1111111111111112"/>
    <n v="3"/>
    <d v="1899-12-30T00:19:17"/>
    <s v="Hourly"/>
    <n v="28.248499278499281"/>
    <n v="8.4692784992785022"/>
    <n v="52.635999999999996"/>
    <n v="119.9525"/>
    <n v="45.277500000000018"/>
  </r>
  <r>
    <d v="2022-12-08T00:00:00"/>
    <x v="1"/>
    <x v="41"/>
    <n v="11"/>
    <s v="QTR4"/>
    <s v="Thursday"/>
    <d v="1899-12-30T17:30:00"/>
    <s v="Clear"/>
    <n v="34.9"/>
    <s v="Brunswick/Bath/Freeport"/>
    <n v="96.51"/>
    <n v="7.2"/>
    <n v="120.1"/>
    <n v="9"/>
    <n v="13.404166666666667"/>
    <n v="-9.3280185362922747"/>
    <n v="10.723333333333334"/>
    <n v="0.80358034970857628"/>
    <n v="13.344444444444443"/>
    <n v="1.25"/>
    <n v="3"/>
    <d v="1899-12-30T00:48:00"/>
    <s v="Hourly"/>
    <n v="19.011640461215933"/>
    <n v="-5.6074737945492661"/>
    <n v="52.479555555555557"/>
    <n v="125.6125"/>
    <n v="-29.102499999999992"/>
  </r>
  <r>
    <d v="2022-12-09T00:00:00"/>
    <x v="1"/>
    <x v="41"/>
    <n v="11"/>
    <s v="QTR4"/>
    <s v="Friday"/>
    <d v="1899-12-30T17:30:00"/>
    <s v="Partially Cloudy"/>
    <n v="21.2"/>
    <s v="Brunswick/Bath/Freeport"/>
    <n v="142.44999999999999"/>
    <n v="4.5"/>
    <n v="96"/>
    <n v="12"/>
    <n v="31.655555555555551"/>
    <n v="8.9520149100427453"/>
    <n v="11.870833333333332"/>
    <n v="1.4838541666666665"/>
    <n v="8"/>
    <n v="2.6666666666666665"/>
    <n v="2"/>
    <d v="1899-12-30T00:22:30"/>
    <s v="Order"/>
    <n v="22.408214068869807"/>
    <n v="9.2473414866857446"/>
    <n v="52.814555555555557"/>
    <n v="118.955"/>
    <n v="23.49499999999999"/>
  </r>
  <r>
    <d v="2022-12-11T00:00:00"/>
    <x v="1"/>
    <x v="41"/>
    <n v="11"/>
    <s v="QTR4"/>
    <s v="Sunday"/>
    <d v="1899-12-30T18:30:00"/>
    <s v="Light Snow"/>
    <n v="26.7"/>
    <s v="Augusta"/>
    <n v="51.13"/>
    <n v="3.1"/>
    <n v="92.1"/>
    <n v="5"/>
    <n v="16.493548387096773"/>
    <s v=""/>
    <n v="10.226000000000001"/>
    <n v="0.55515743756786107"/>
    <n v="18.419999999999998"/>
    <n v="1.6129032258064515"/>
    <n v="1"/>
    <d v="1899-12-30T00:37:12"/>
    <s v="Order"/>
    <n v="16.493548387096773"/>
    <n v="0"/>
    <n v="50.538444444444458"/>
    <n v="113.83"/>
    <n v="-62.699999999999996"/>
  </r>
  <r>
    <d v="2022-12-12T00:00:00"/>
    <x v="1"/>
    <x v="42"/>
    <n v="12"/>
    <s v="QTR4"/>
    <s v="Monday"/>
    <d v="1899-12-30T17:00:00"/>
    <s v="Light Snow"/>
    <n v="27.3"/>
    <s v="Lewiston"/>
    <n v="84.9"/>
    <n v="4.8499999999999996"/>
    <n v="82.7"/>
    <n v="12"/>
    <n v="17.505154639175259"/>
    <n v="-12.047196736157481"/>
    <n v="7.0750000000000002"/>
    <n v="1.026602176541717"/>
    <n v="6.8916666666666666"/>
    <n v="2.4742268041237114"/>
    <n v="3"/>
    <d v="1899-12-30T00:24:15"/>
    <s v="Order"/>
    <n v="17.505154639175259"/>
    <n v="0"/>
    <n v="51.481777777777786"/>
    <n v="93.747500000000002"/>
    <n v="-8.8474999999999966"/>
  </r>
  <r>
    <d v="2022-12-13T00:00:00"/>
    <x v="1"/>
    <x v="42"/>
    <n v="12"/>
    <s v="QTR4"/>
    <s v="Tuesday"/>
    <d v="1899-12-30T17:30:00"/>
    <s v="Light Snow"/>
    <n v="31.5"/>
    <s v="Brunswick/Bath/Freeport"/>
    <n v="85.05"/>
    <n v="3.45"/>
    <n v="76.7"/>
    <n v="7"/>
    <n v="24.652173913043477"/>
    <n v="-4.4149829497016242"/>
    <n v="12.15"/>
    <n v="1.1088657105606257"/>
    <n v="10.957142857142857"/>
    <n v="2.0289855072463765"/>
    <n v="3"/>
    <d v="1899-12-30T00:29:34"/>
    <s v="Hourly"/>
    <n v="24.652173913043477"/>
    <n v="0"/>
    <n v="52.426777777777787"/>
    <n v="90.882500000000007"/>
    <n v="-5.8325000000000102"/>
  </r>
  <r>
    <d v="2022-12-14T00:00:00"/>
    <x v="1"/>
    <x v="42"/>
    <n v="12"/>
    <s v="QTR4"/>
    <s v="Wednesday"/>
    <d v="1899-12-30T17:30:00"/>
    <s v="Light Snow"/>
    <n v="34.6"/>
    <s v="Brunswick/Bath/Freeport"/>
    <n v="104.11"/>
    <n v="5.55"/>
    <n v="114.50000000000001"/>
    <n v="12"/>
    <n v="18.758558558558558"/>
    <n v="-4.2484414032851525"/>
    <n v="8.6758333333333333"/>
    <n v="0.90925764192139724"/>
    <n v="9.5416666666666679"/>
    <n v="2.1621621621621623"/>
    <n v="2"/>
    <d v="1899-12-30T00:27:45"/>
    <s v="Hourly"/>
    <n v="20.743564993564995"/>
    <n v="-1.9850064350064365"/>
    <n v="51.710000000000008"/>
    <n v="81.297499999999999"/>
    <n v="22.8125"/>
  </r>
  <r>
    <d v="2022-12-15T00:00:00"/>
    <x v="1"/>
    <x v="42"/>
    <n v="12"/>
    <s v="QTR4"/>
    <s v="Thursday"/>
    <d v="1899-12-30T16:00:00"/>
    <s v="Snow Storm"/>
    <n v="29.1"/>
    <s v="Augusta"/>
    <n v="164.79"/>
    <n v="8.85"/>
    <n v="196.3"/>
    <n v="16"/>
    <n v="18.620338983050846"/>
    <s v=""/>
    <n v="10.299375"/>
    <n v="0.83948038716250628"/>
    <n v="12.268750000000001"/>
    <n v="1.807909604519774"/>
    <n v="2"/>
    <d v="1899-12-30T00:33:11"/>
    <s v="Order"/>
    <n v="22.64296949152542"/>
    <n v="-4.0226305084745739"/>
    <n v="52.810111111111112"/>
    <n v="109.71250000000001"/>
    <n v="55.077499999999986"/>
  </r>
  <r>
    <d v="2022-12-16T00:00:00"/>
    <x v="1"/>
    <x v="42"/>
    <n v="12"/>
    <s v="QTR4"/>
    <s v="Friday"/>
    <d v="1899-12-30T17:30:00"/>
    <s v="Snow Storm"/>
    <n v="29.9"/>
    <s v="Brunswick/Bath/Freeport"/>
    <n v="135.93"/>
    <n v="6.85"/>
    <n v="113.30000000000001"/>
    <n v="10"/>
    <n v="19.843795620437959"/>
    <n v="-3.8544133484129297"/>
    <n v="13.593"/>
    <n v="1.1997352162400705"/>
    <n v="11.330000000000002"/>
    <n v="1.4598540145985401"/>
    <n v="3"/>
    <d v="1899-12-30T00:41:06"/>
    <s v="Hourly"/>
    <n v="19.843795620437959"/>
    <n v="0"/>
    <n v="54.320444444444448"/>
    <n v="122.47"/>
    <n v="13.460000000000008"/>
  </r>
  <r>
    <d v="2022-12-17T00:00:00"/>
    <x v="1"/>
    <x v="42"/>
    <n v="12"/>
    <s v="QTR4"/>
    <s v="Saturday"/>
    <d v="1899-12-30T18:30:00"/>
    <s v="Rain / Snow Mix"/>
    <n v="31.5"/>
    <s v="Lewiston"/>
    <n v="13.01"/>
    <n v="0.73"/>
    <n v="15.5"/>
    <n v="1"/>
    <n v="17.82191780821918"/>
    <n v="-8.9852650484970091"/>
    <n v="13.01"/>
    <n v="0.83935483870967742"/>
    <n v="15.5"/>
    <n v="1.3698630136986301"/>
    <n v="1"/>
    <d v="1899-12-30T00:43:48"/>
    <s v="Order"/>
    <n v="19.249617051074445"/>
    <n v="-1.4276992428552653"/>
    <n v="52.666888888888906"/>
    <n v="104.46"/>
    <n v="-91.449999999999989"/>
  </r>
  <r>
    <d v="2022-12-18T00:00:00"/>
    <x v="1"/>
    <x v="42"/>
    <n v="12"/>
    <s v="QTR4"/>
    <s v="Sunday"/>
    <d v="1899-12-30T14:00:00"/>
    <s v="Partially Cloudy"/>
    <n v="27.7"/>
    <s v="Portland"/>
    <n v="148.13999999999999"/>
    <n v="9.68"/>
    <n v="223"/>
    <n v="17"/>
    <n v="15.303719008264462"/>
    <s v=""/>
    <n v="8.7141176470588224"/>
    <n v="0.6643049327354259"/>
    <n v="13.117647058823529"/>
    <n v="1.7561983471074381"/>
    <n v="5"/>
    <d v="1899-12-30T00:34:10"/>
    <s v="Hourly"/>
    <n v="15.303719008264462"/>
    <n v="0"/>
    <n v="53.440444444444459"/>
    <n v="115.4675"/>
    <n v="32.672499999999985"/>
  </r>
  <r>
    <d v="2022-12-19T00:00:00"/>
    <x v="0"/>
    <x v="49"/>
    <n v="13"/>
    <s v="QTR4"/>
    <s v="Monday"/>
    <d v="1899-12-30T16:00:00"/>
    <s v="Partially Cloudy"/>
    <n v="27.5"/>
    <s v="Lewiston"/>
    <n v="16"/>
    <n v="0.8"/>
    <n v="16"/>
    <n v="1"/>
    <n v="20"/>
    <n v="-5.5366191299469136"/>
    <n v="16"/>
    <n v="1"/>
    <n v="16"/>
    <n v="1.25"/>
    <n v="1"/>
    <d v="1899-12-30T00:48:00"/>
    <s v="Order"/>
    <n v="20.087356321839081"/>
    <n v="-8.7356321839081374E-2"/>
    <n v="53.227222222222238"/>
    <n v="78.27"/>
    <n v="-62.269999999999996"/>
  </r>
  <r>
    <d v="2022-12-20T00:00:00"/>
    <x v="0"/>
    <x v="49"/>
    <n v="13"/>
    <s v="QTR4"/>
    <s v="Tuesday"/>
    <d v="1899-12-30T12:00:00"/>
    <s v="Partially Cloudy"/>
    <n v="31.5"/>
    <s v="Brunswick/Bath/Freeport"/>
    <n v="140.16"/>
    <n v="8.6199999999999992"/>
    <n v="177"/>
    <n v="18"/>
    <n v="16.259860788863111"/>
    <n v="-11.335635090648118"/>
    <n v="7.7866666666666662"/>
    <n v="0.79186440677966097"/>
    <n v="9.8333333333333339"/>
    <n v="2.0881670533642693"/>
    <n v="5"/>
    <d v="1899-12-30T00:28:44"/>
    <s v="Order"/>
    <n v="16.259860788863111"/>
    <n v="0"/>
    <n v="54.275111111111123"/>
    <n v="79.327499999999986"/>
    <n v="60.83250000000001"/>
  </r>
  <r>
    <d v="2022-12-27T00:00:00"/>
    <x v="1"/>
    <x v="0"/>
    <n v="1"/>
    <s v="QTR1"/>
    <s v="Tuesday"/>
    <d v="1899-12-30T17:30:00"/>
    <s v="Rain / Snow Mix"/>
    <n v="31"/>
    <s v="Augusta"/>
    <n v="60.18"/>
    <n v="3.93"/>
    <n v="72.400000000000006"/>
    <n v="9"/>
    <n v="15.31297709923664"/>
    <s v=""/>
    <n v="6.6866666666666665"/>
    <n v="0.83121546961325965"/>
    <n v="8.0444444444444443"/>
    <n v="2.2900763358778624"/>
    <n v="3"/>
    <d v="1899-12-30T00:26:12"/>
    <s v="Order"/>
    <n v="19.350854746801417"/>
    <n v="-4.0378776475647769"/>
    <n v="50.360333333333344"/>
    <n v="91.11999999999999"/>
    <n v="-30.939999999999991"/>
  </r>
  <r>
    <d v="2022-12-29T00:00:00"/>
    <x v="1"/>
    <x v="0"/>
    <n v="1"/>
    <s v="QTR1"/>
    <s v="Thursday"/>
    <d v="1899-12-30T17:30:00"/>
    <s v="Clear"/>
    <n v="49"/>
    <s v="Brunswick/Bath/Freeport"/>
    <n v="106.49"/>
    <n v="7.1"/>
    <n v="137.30000000000001"/>
    <n v="10"/>
    <n v="14.998591549295774"/>
    <n v="-8.1112266325224098"/>
    <n v="10.648999999999999"/>
    <n v="0.77560087399854327"/>
    <n v="13.73"/>
    <n v="1.4084507042253522"/>
    <n v="3"/>
    <d v="1899-12-30T00:42:36"/>
    <s v="Order"/>
    <n v="18.675659411011523"/>
    <n v="-3.6770678617157486"/>
    <n v="49.461444444444453"/>
    <n v="80.707499999999996"/>
    <n v="25.782499999999999"/>
  </r>
  <r>
    <d v="2022-12-30T00:00:00"/>
    <x v="1"/>
    <x v="0"/>
    <n v="1"/>
    <s v="QTR1"/>
    <s v="Friday"/>
    <d v="1899-12-30T18:00:00"/>
    <s v="Rain"/>
    <n v="50.7"/>
    <s v="Brunswick/Bath/Freeport"/>
    <n v="112.86"/>
    <n v="5.8"/>
    <n v="141"/>
    <n v="8"/>
    <n v="19.458620689655174"/>
    <n v="0.857682738717223"/>
    <n v="14.1075"/>
    <n v="0.80042553191489363"/>
    <n v="17.625"/>
    <n v="1.3793103448275863"/>
    <n v="2"/>
    <d v="1899-12-30T00:43:30"/>
    <s v="Order"/>
    <n v="19.988788031661809"/>
    <n v="-0.53016734200663507"/>
    <n v="50.715444444444451"/>
    <n v="104.9225"/>
    <n v="7.9375"/>
  </r>
  <r>
    <d v="2023-01-01T00:00:00"/>
    <x v="2"/>
    <x v="0"/>
    <n v="1"/>
    <s v="QTR1"/>
    <s v="Sunday"/>
    <d v="1899-12-30T15:30:00"/>
    <s v="Partially Cloudy"/>
    <n v="46.1"/>
    <s v="Brunswick/Bath/Freeport"/>
    <n v="155.47"/>
    <n v="8.32"/>
    <n v="135.5"/>
    <n v="15"/>
    <n v="18.686298076923077"/>
    <n v="-6.441722212931996"/>
    <n v="10.364666666666666"/>
    <n v="1.147380073800738"/>
    <n v="9.0333333333333332"/>
    <n v="1.8028846153846154"/>
    <n v="4"/>
    <d v="1899-12-30T00:33:17"/>
    <s v="Hourly"/>
    <n v="22.85733102789024"/>
    <n v="-4.1710329509671631"/>
    <n v="51.012555555555565"/>
    <n v="108.75"/>
    <n v="46.72"/>
  </r>
  <r>
    <d v="2023-01-03T00:00:00"/>
    <x v="2"/>
    <x v="1"/>
    <n v="2"/>
    <s v="QTR1"/>
    <s v="Tuesday"/>
    <d v="1899-12-30T17:00:00"/>
    <s v="Rain"/>
    <n v="44.1"/>
    <s v="Brunswick/Bath/Freeport"/>
    <n v="90.85"/>
    <n v="5.75"/>
    <n v="94"/>
    <n v="10"/>
    <n v="15.799999999999999"/>
    <n v="-18.456225662584053"/>
    <n v="9.0849999999999991"/>
    <n v="0.96648936170212763"/>
    <n v="9.4"/>
    <n v="1.7391304347826086"/>
    <n v="2"/>
    <d v="1899-12-30T00:34:30"/>
    <s v="Order"/>
    <n v="19.135593220338983"/>
    <n v="-3.3355932203389838"/>
    <n v="50.554222222222236"/>
    <n v="116.41749999999999"/>
    <n v="-25.567499999999995"/>
  </r>
  <r>
    <d v="2023-01-04T00:00:00"/>
    <x v="2"/>
    <x v="1"/>
    <n v="2"/>
    <s v="QTR1"/>
    <s v="Wednesday"/>
    <d v="1899-12-30T15:30:00"/>
    <s v="Freezing Rain / Ice"/>
    <n v="32.200000000000003"/>
    <s v="Portland"/>
    <n v="124.46000000000001"/>
    <n v="6.4"/>
    <n v="113"/>
    <n v="13"/>
    <n v="19.446874999999999"/>
    <s v=""/>
    <n v="9.573846153846155"/>
    <n v="1.1014159292035399"/>
    <n v="8.6923076923076916"/>
    <n v="2.03125"/>
    <n v="5"/>
    <d v="1899-12-30T00:29:32"/>
    <s v="Hourly"/>
    <n v="20.407605676328505"/>
    <n v="-0.96073067632850595"/>
    <n v="49.967000000000006"/>
    <n v="120.91"/>
    <n v="3.5500000000000114"/>
  </r>
  <r>
    <d v="2023-01-05T00:00:00"/>
    <x v="2"/>
    <x v="1"/>
    <n v="2"/>
    <s v="QTR1"/>
    <s v="Thursday"/>
    <d v="1899-12-30T17:00:00"/>
    <s v="Freezing Rain / Ice"/>
    <n v="30.5"/>
    <s v="Portland"/>
    <n v="83.98"/>
    <n v="4.9800000000000004"/>
    <n v="113"/>
    <n v="10"/>
    <n v="16.863453815261042"/>
    <s v=""/>
    <n v="8.3979999999999997"/>
    <n v="0.74318584070796467"/>
    <n v="11.3"/>
    <n v="2.0080321285140559"/>
    <n v="3"/>
    <d v="1899-12-30T00:29:53"/>
    <s v="Hourly"/>
    <n v="15.15404435630213"/>
    <n v="1.7094094589589126"/>
    <n v="48.577999999999996"/>
    <n v="113.69"/>
    <n v="-29.709999999999994"/>
  </r>
  <r>
    <d v="2023-01-08T00:00:00"/>
    <x v="2"/>
    <x v="1"/>
    <n v="2"/>
    <s v="QTR1"/>
    <s v="Sunday"/>
    <d v="1899-12-30T18:00:00"/>
    <s v="Partially Cloudy"/>
    <n v="34.1"/>
    <s v="Augusta"/>
    <n v="77.3"/>
    <n v="5.57"/>
    <n v="114.4"/>
    <n v="9"/>
    <n v="13.877917414721722"/>
    <s v=""/>
    <n v="8.5888888888888886"/>
    <n v="0.67569930069930062"/>
    <n v="12.711111111111112"/>
    <n v="1.6157989228007181"/>
    <n v="2"/>
    <d v="1899-12-30T00:37:08"/>
    <s v="Order"/>
    <n v="17.041251039326678"/>
    <n v="-3.1633336246049559"/>
    <n v="47.142888888888884"/>
    <n v="94.147500000000008"/>
    <n v="-16.847500000000011"/>
  </r>
  <r>
    <d v="2023-01-09T00:00:00"/>
    <x v="2"/>
    <x v="2"/>
    <n v="3"/>
    <s v="QTR1"/>
    <s v="Monday"/>
    <d v="1899-12-30T17:30:00"/>
    <s v="Partially Cloudy"/>
    <n v="27"/>
    <s v="Lewiston"/>
    <n v="104.72"/>
    <n v="5.72"/>
    <n v="111"/>
    <n v="11"/>
    <n v="18.307692307692307"/>
    <s v=""/>
    <n v="9.52"/>
    <n v="0.94342342342342345"/>
    <n v="10.090909090909092"/>
    <n v="1.9230769230769231"/>
    <n v="4"/>
    <d v="1899-12-30T00:31:12"/>
    <s v="Order"/>
    <n v="20.098029868779264"/>
    <n v="-1.7903375610869574"/>
    <n v="47.495111111111115"/>
    <n v="97.615000000000009"/>
    <n v="7.1049999999999898"/>
  </r>
  <r>
    <d v="2023-01-10T00:00:00"/>
    <x v="2"/>
    <x v="2"/>
    <n v="3"/>
    <s v="QTR1"/>
    <s v="Tuesday"/>
    <d v="1899-12-30T18:00:00"/>
    <s v="Clear"/>
    <n v="27.1"/>
    <s v="Augusta"/>
    <n v="92.65"/>
    <n v="5.5"/>
    <n v="128"/>
    <n v="9"/>
    <n v="16.845454545454547"/>
    <n v="1.5324774462179072"/>
    <n v="10.294444444444444"/>
    <n v="0.72382812500000004"/>
    <n v="14.222222222222221"/>
    <n v="1.6363636363636365"/>
    <n v="4"/>
    <d v="1899-12-30T00:36:40"/>
    <s v="Order"/>
    <n v="24.309841019700176"/>
    <n v="-7.4643864742456287"/>
    <n v="47.513999999999996"/>
    <n v="89.662499999999994"/>
    <n v="2.9875000000000114"/>
  </r>
  <r>
    <d v="2023-01-11T00:00:00"/>
    <x v="2"/>
    <x v="2"/>
    <n v="3"/>
    <s v="QTR1"/>
    <s v="Wednesday"/>
    <d v="1899-12-30T18:00:00"/>
    <s v="Freezing Rain / Ice"/>
    <n v="32.1"/>
    <s v="Lewiston"/>
    <n v="7.5"/>
    <n v="0.45"/>
    <n v="9"/>
    <n v="1"/>
    <n v="16.666666666666668"/>
    <s v=""/>
    <n v="7.5"/>
    <n v="0.83333333333333337"/>
    <n v="9"/>
    <n v="2.2222222222222223"/>
    <n v="1"/>
    <d v="1899-12-30T00:27:00"/>
    <s v="Order"/>
    <n v="16.666666666666668"/>
    <n v="0"/>
    <n v="47.597333333333324"/>
    <n v="70.54249999999999"/>
    <n v="-63.04249999999999"/>
  </r>
  <r>
    <d v="2023-01-12T00:00:00"/>
    <x v="2"/>
    <x v="2"/>
    <n v="3"/>
    <s v="QTR1"/>
    <s v="Thursday"/>
    <d v="1899-12-30T17:30:00"/>
    <s v="Rain"/>
    <n v="51.9"/>
    <s v="Augusta"/>
    <n v="79.02000000000001"/>
    <n v="6.23"/>
    <n v="122"/>
    <n v="8"/>
    <n v="12.68378812199037"/>
    <s v=""/>
    <n v="9.8775000000000013"/>
    <n v="0.64770491803278696"/>
    <n v="15.25"/>
    <n v="1.2841091492776886"/>
    <n v="3"/>
    <d v="1899-12-30T00:46:44"/>
    <s v="Order"/>
    <n v="16.934665145332534"/>
    <n v="-4.2508770233421647"/>
    <n v="46.50277777777778"/>
    <n v="70.972499999999997"/>
    <n v="8.0475000000000136"/>
  </r>
  <r>
    <d v="2023-01-13T00:00:00"/>
    <x v="2"/>
    <x v="2"/>
    <n v="3"/>
    <s v="QTR1"/>
    <s v="Friday"/>
    <d v="1899-12-30T17:30:00"/>
    <s v="Freezing Rain / Ice"/>
    <n v="27.9"/>
    <s v="Lewiston"/>
    <n v="208.07"/>
    <n v="9.07"/>
    <n v="109"/>
    <n v="21"/>
    <n v="22.940463065049613"/>
    <s v=""/>
    <n v="9.9080952380952372"/>
    <n v="1.9088990825688072"/>
    <n v="5.1904761904761907"/>
    <n v="2.3153252480705624"/>
    <n v="2"/>
    <d v="1899-12-30T00:25:55"/>
    <s v="Order"/>
    <n v="20.597288205285317"/>
    <n v="2.3431748597642965"/>
    <n v="48.81466666666666"/>
    <n v="96.81"/>
    <n v="111.25999999999999"/>
  </r>
  <r>
    <d v="2023-01-16T00:00:00"/>
    <x v="2"/>
    <x v="50"/>
    <n v="4"/>
    <s v="QTR1"/>
    <s v="Monday"/>
    <d v="1899-12-30T17:00:00"/>
    <s v="Freezing Rain / Ice"/>
    <n v="37.1"/>
    <s v="Augusta"/>
    <n v="93.289999999999992"/>
    <n v="6.15"/>
    <n v="141"/>
    <n v="10"/>
    <n v="15.169105691056908"/>
    <s v=""/>
    <n v="9.3289999999999988"/>
    <n v="0.66163120567375877"/>
    <n v="14.1"/>
    <n v="1.6260162601626016"/>
    <n v="3"/>
    <d v="1899-12-30T00:36:54"/>
    <s v="Order"/>
    <n v="17.658323337331733"/>
    <n v="-2.4892176462748257"/>
    <n v="49.851222222222219"/>
    <n v="96.97"/>
    <n v="-3.6800000000000068"/>
  </r>
  <r>
    <d v="2023-01-19T00:00:00"/>
    <x v="2"/>
    <x v="50"/>
    <n v="4"/>
    <s v="QTR1"/>
    <s v="Thursday"/>
    <d v="1899-12-30T17:00:00"/>
    <s v="Snow Storm"/>
    <n v="26.6"/>
    <s v="Lewiston"/>
    <n v="129.25"/>
    <n v="6.52"/>
    <n v="82"/>
    <n v="14"/>
    <n v="19.823619631901842"/>
    <n v="1.5911196319018401"/>
    <n v="9.2321428571428577"/>
    <n v="1.5762195121951219"/>
    <n v="5.8571428571428568"/>
    <n v="2.147239263803681"/>
    <n v="5"/>
    <d v="1899-12-30T00:27:57"/>
    <s v="Order"/>
    <n v="21.955737464529733"/>
    <n v="-2.1321178326278911"/>
    <n v="51.287333333333329"/>
    <n v="127.4075"/>
    <n v="1.8425000000000011"/>
  </r>
  <r>
    <d v="2023-01-21T00:00:00"/>
    <x v="2"/>
    <x v="50"/>
    <n v="4"/>
    <s v="QTR1"/>
    <s v="Saturday"/>
    <d v="1899-12-30T17:30:00"/>
    <s v="Light Snow"/>
    <n v="29.3"/>
    <s v="Augusta"/>
    <n v="148.47999999999999"/>
    <n v="7.9"/>
    <n v="194"/>
    <n v="13"/>
    <n v="18.794936708860757"/>
    <s v=""/>
    <n v="11.421538461538461"/>
    <n v="0.76536082474226796"/>
    <n v="14.923076923076923"/>
    <n v="1.6455696202531644"/>
    <n v="4"/>
    <d v="1899-12-30T00:36:28"/>
    <s v="Order"/>
    <n v="21.782255826466173"/>
    <n v="-2.9873191176054164"/>
    <n v="52.937111111111101"/>
    <n v="144.77250000000001"/>
    <n v="3.7074999999999818"/>
  </r>
  <r>
    <d v="2023-01-25T00:00:00"/>
    <x v="2"/>
    <x v="3"/>
    <n v="5"/>
    <s v="QTR1"/>
    <s v="Wednesday"/>
    <d v="1899-12-30T17:30:00"/>
    <s v="Snow Storm"/>
    <n v="42"/>
    <s v="Augusta"/>
    <n v="43.54"/>
    <n v="2.52"/>
    <n v="60"/>
    <n v="6"/>
    <n v="17.277777777777779"/>
    <s v=""/>
    <n v="7.2566666666666668"/>
    <n v="0.72566666666666668"/>
    <n v="10"/>
    <n v="2.3809523809523809"/>
    <n v="2"/>
    <d v="1899-12-30T00:25:12"/>
    <s v="Order"/>
    <n v="15.690709617180207"/>
    <n v="1.5870681605975712"/>
    <n v="53.420888888888882"/>
    <n v="103.64"/>
    <n v="-60.1"/>
  </r>
  <r>
    <d v="2023-01-26T00:00:00"/>
    <x v="2"/>
    <x v="3"/>
    <n v="5"/>
    <s v="QTR1"/>
    <s v="Thursday"/>
    <d v="1899-12-30T17:00:00"/>
    <s v="Partially Cloudy"/>
    <n v="32.4"/>
    <s v="Lewiston"/>
    <n v="130.32"/>
    <n v="6.28"/>
    <n v="83"/>
    <n v="13"/>
    <n v="20.751592356687897"/>
    <n v="1.7235325407369757"/>
    <n v="10.024615384615384"/>
    <n v="1.5701204819277108"/>
    <n v="6.384615384615385"/>
    <n v="2.0700636942675157"/>
    <n v="4"/>
    <d v="1899-12-30T00:28:59"/>
    <s v="Order"/>
    <n v="19.482607323854786"/>
    <n v="1.2689850328331111"/>
    <n v="54.868888888888875"/>
    <n v="112.89750000000001"/>
    <n v="17.422499999999985"/>
  </r>
  <r>
    <d v="2023-01-27T00:00:00"/>
    <x v="2"/>
    <x v="3"/>
    <n v="5"/>
    <s v="QTR1"/>
    <s v="Friday"/>
    <d v="1899-12-30T18:30:00"/>
    <s v="Partially Cloudy"/>
    <n v="38.9"/>
    <s v="Augusta"/>
    <n v="83.08"/>
    <n v="5.88"/>
    <n v="116"/>
    <n v="11"/>
    <n v="14.129251700680273"/>
    <s v=""/>
    <n v="7.5527272727272727"/>
    <n v="0.71620689655172409"/>
    <n v="10.545454545454545"/>
    <n v="1.870748299319728"/>
    <n v="2"/>
    <d v="1899-12-30T00:32:04"/>
    <s v="Order"/>
    <n v="15.426890001283532"/>
    <n v="-1.2976383006032588"/>
    <n v="55.791999999999987"/>
    <n v="101.35499999999999"/>
    <n v="-18.274999999999991"/>
  </r>
  <r>
    <d v="2023-01-28T00:00:00"/>
    <x v="2"/>
    <x v="3"/>
    <n v="5"/>
    <s v="QTR1"/>
    <s v="Saturday"/>
    <d v="1899-12-30T17:30:00"/>
    <s v="Rain"/>
    <n v="40.799999999999997"/>
    <s v="Brunswick/Bath/Freeport"/>
    <n v="97.110000000000014"/>
    <n v="5.33"/>
    <n v="118"/>
    <n v="11"/>
    <n v="18.219512195121954"/>
    <n v="-10.236508955587187"/>
    <n v="8.8281818181818199"/>
    <n v="0.82296610169491535"/>
    <n v="10.727272727272727"/>
    <n v="2.0637898686679175"/>
    <n v="4"/>
    <d v="1899-12-30T00:29:04"/>
    <s v="Hourly"/>
    <n v="19.039721119304218"/>
    <n v="-0.8202089241822641"/>
    <n v="56.870999999999981"/>
    <n v="88.512500000000003"/>
    <n v="8.5975000000000108"/>
  </r>
  <r>
    <d v="2023-01-31T00:00:00"/>
    <x v="2"/>
    <x v="4"/>
    <n v="6"/>
    <s v="QTR1"/>
    <s v="Tuesday"/>
    <d v="1899-12-30T17:00:00"/>
    <s v="Light Snow"/>
    <n v="19.7"/>
    <s v="Brunswick/Bath/Freeport"/>
    <n v="198.9"/>
    <n v="5.43"/>
    <n v="110"/>
    <n v="11"/>
    <n v="36.629834254143653"/>
    <n v="6.9876650072056172"/>
    <n v="18.081818181818182"/>
    <n v="1.8081818181818183"/>
    <n v="10"/>
    <n v="2.0257826887661143"/>
    <n v="2"/>
    <d v="1899-12-30T00:29:37"/>
    <s v="Order"/>
    <n v="23.735051355259746"/>
    <n v="12.894782898883907"/>
    <n v="59.080999999999982"/>
    <n v="127.35249999999999"/>
    <n v="71.547500000000014"/>
  </r>
  <r>
    <d v="2023-02-01T00:00:00"/>
    <x v="2"/>
    <x v="4"/>
    <n v="6"/>
    <s v="QTR1"/>
    <s v="Wednesday"/>
    <d v="1899-12-30T17:30:00"/>
    <s v="Partially Cloudy"/>
    <n v="26.1"/>
    <s v="Lewiston"/>
    <n v="106.4"/>
    <n v="4.47"/>
    <n v="53"/>
    <n v="11"/>
    <n v="23.803131991051458"/>
    <n v="7.1364653243847904"/>
    <n v="9.6727272727272737"/>
    <n v="2.0075471698113208"/>
    <n v="4.8181818181818183"/>
    <n v="2.4608501118568236"/>
    <n v="4"/>
    <d v="1899-12-30T00:24:23"/>
    <s v="Order"/>
    <n v="21.938596739633184"/>
    <n v="1.8645352514182747"/>
    <n v="60.263222222222197"/>
    <n v="121.3725"/>
    <n v="-14.972499999999997"/>
  </r>
  <r>
    <d v="2023-02-07T00:00:00"/>
    <x v="2"/>
    <x v="5"/>
    <n v="7"/>
    <s v="QTR1"/>
    <s v="Tuesday"/>
    <d v="1899-12-30T17:30:00"/>
    <s v="Rain / Snow Mix"/>
    <n v="39.5"/>
    <s v="Lewiston"/>
    <n v="126.11"/>
    <n v="5.38"/>
    <n v="78"/>
    <n v="12"/>
    <n v="23.440520446096656"/>
    <n v="3.773853779429988"/>
    <n v="10.509166666666667"/>
    <n v="1.6167948717948717"/>
    <n v="6.5"/>
    <n v="2.2304832713754648"/>
    <n v="4"/>
    <d v="1899-12-30T00:26:54"/>
    <s v="Order"/>
    <n v="27.074867409256267"/>
    <n v="-3.6343469631596115"/>
    <n v="58.670333333333303"/>
    <n v="132.13"/>
    <n v="-6.019999999999996"/>
  </r>
  <r>
    <d v="2023-02-08T00:00:00"/>
    <x v="2"/>
    <x v="5"/>
    <n v="7"/>
    <s v="QTR1"/>
    <s v="Wednesday"/>
    <d v="1899-12-30T17:30:00"/>
    <s v="Rain / Snow Mix"/>
    <n v="37.1"/>
    <s v="Brunswick/Bath/Freeport"/>
    <n v="100.95"/>
    <n v="4.2300000000000004"/>
    <n v="102"/>
    <n v="8"/>
    <n v="23.865248226950353"/>
    <n v="-9.8796157584720099"/>
    <n v="12.61875"/>
    <n v="0.98970588235294121"/>
    <n v="12.75"/>
    <n v="1.8912529550827422"/>
    <n v="2"/>
    <d v="1899-12-30T00:31:44"/>
    <s v="Order"/>
    <n v="30.479921410772477"/>
    <n v="-6.6146731838221235"/>
    <n v="58.882444444444417"/>
    <n v="133.09"/>
    <n v="-32.14"/>
  </r>
  <r>
    <d v="2023-02-09T00:00:00"/>
    <x v="2"/>
    <x v="5"/>
    <n v="7"/>
    <s v="QTR1"/>
    <s v="Thursday"/>
    <d v="1899-12-30T18:00:00"/>
    <s v="Rain"/>
    <n v="51.4"/>
    <s v="Lewiston"/>
    <n v="75.209999999999994"/>
    <n v="3.22"/>
    <n v="49"/>
    <n v="9"/>
    <n v="23.357142857142854"/>
    <n v="3.7545721942796071"/>
    <n v="8.3566666666666656"/>
    <n v="1.5348979591836733"/>
    <n v="5.4444444444444446"/>
    <n v="2.7950310559006208"/>
    <n v="1"/>
    <d v="1899-12-30T00:21:28"/>
    <s v="Order"/>
    <n v="22.876360126360126"/>
    <n v="0.48078273078272815"/>
    <n v="58.180444444444412"/>
    <n v="102.16749999999999"/>
    <n v="-26.957499999999996"/>
  </r>
  <r>
    <d v="2023-02-10T00:00:00"/>
    <x v="2"/>
    <x v="5"/>
    <n v="7"/>
    <s v="QTR1"/>
    <s v="Friday"/>
    <d v="1899-12-30T17:30:00"/>
    <s v="Rain / Snow Mix"/>
    <n v="37.200000000000003"/>
    <s v="Lewiston"/>
    <n v="133.4"/>
    <n v="6.45"/>
    <n v="94"/>
    <n v="19"/>
    <n v="20.68217054263566"/>
    <n v="-2.258292522413953"/>
    <n v="7.0210526315789474"/>
    <n v="1.4191489361702128"/>
    <n v="4.9473684210526319"/>
    <n v="2.945736434108527"/>
    <n v="3"/>
    <d v="1899-12-30T00:20:22"/>
    <s v="Order"/>
    <n v="19.441531699889257"/>
    <n v="1.240638842746403"/>
    <n v="59.662666666666631"/>
    <n v="108.91749999999999"/>
    <n v="24.482500000000016"/>
  </r>
  <r>
    <d v="2023-02-11T00:00:00"/>
    <x v="2"/>
    <x v="5"/>
    <n v="7"/>
    <s v="QTR1"/>
    <s v="Saturday"/>
    <d v="1899-12-30T19:00:00"/>
    <s v="Clear"/>
    <n v="42.1"/>
    <s v="Brunswick/Bath/Freeport"/>
    <n v="118.03"/>
    <n v="4.13"/>
    <n v="104"/>
    <n v="10"/>
    <n v="28.578692493946733"/>
    <n v="1.4022349626859913"/>
    <n v="11.803000000000001"/>
    <n v="1.1349038461538461"/>
    <n v="10.4"/>
    <n v="2.4213075060532687"/>
    <n v="2"/>
    <d v="1899-12-30T00:24:47"/>
    <s v="Order"/>
    <n v="23.598377948374907"/>
    <n v="4.9803145455718258"/>
    <n v="60.974111111111071"/>
    <n v="106.89750000000001"/>
    <n v="11.132499999999993"/>
  </r>
  <r>
    <d v="2023-02-12T00:00:00"/>
    <x v="2"/>
    <x v="5"/>
    <n v="7"/>
    <s v="QTR1"/>
    <s v="Sunday"/>
    <d v="1899-12-30T18:00:00"/>
    <s v="Partially Cloudy"/>
    <n v="53"/>
    <s v="Lewiston"/>
    <n v="105.67"/>
    <n v="4.7699999999999996"/>
    <n v="62"/>
    <n v="11"/>
    <n v="22.153039832285117"/>
    <n v="18.459422811008523"/>
    <n v="9.6063636363636373"/>
    <n v="1.7043548387096774"/>
    <n v="5.6363636363636367"/>
    <n v="2.3060796645702308"/>
    <n v="2"/>
    <d v="1899-12-30T00:26:01"/>
    <s v="Order"/>
    <n v="22.500463167053098"/>
    <n v="-0.34742333476798137"/>
    <n v="62.148222222222181"/>
    <n v="108.0775"/>
    <n v="-2.4074999999999989"/>
  </r>
  <r>
    <d v="2023-02-14T00:00:00"/>
    <x v="2"/>
    <x v="6"/>
    <n v="8"/>
    <s v="QTR1"/>
    <s v="Tuesday"/>
    <d v="1899-12-30T17:30:00"/>
    <s v="Partially Cloudy"/>
    <n v="42.9"/>
    <s v="Brunswick/Bath/Freeport"/>
    <n v="194.62"/>
    <n v="5.03"/>
    <n v="70.8"/>
    <n v="14"/>
    <n v="38.691848906560637"/>
    <n v="7.6521466581814757"/>
    <n v="13.901428571428571"/>
    <n v="2.7488700564971755"/>
    <n v="5.0571428571428569"/>
    <n v="2.7833001988071571"/>
    <n v="2"/>
    <d v="1899-12-30T00:21:33"/>
    <s v="Order"/>
    <n v="25.107199243055533"/>
    <n v="13.584649663505104"/>
    <n v="64.31066666666662"/>
    <n v="137.93"/>
    <n v="56.69"/>
  </r>
  <r>
    <d v="2023-02-15T00:00:00"/>
    <x v="2"/>
    <x v="6"/>
    <n v="8"/>
    <s v="QTR1"/>
    <s v="Wednesday"/>
    <d v="1899-12-30T17:30:00"/>
    <s v="Rain"/>
    <n v="56.3"/>
    <s v="Brunswick/Bath/Freeport"/>
    <n v="103.23"/>
    <n v="4.32"/>
    <n v="92"/>
    <n v="11"/>
    <n v="23.895833333333332"/>
    <n v="-7.3791267124710309"/>
    <n v="9.3845454545454547"/>
    <n v="1.1220652173913044"/>
    <n v="8.3636363636363633"/>
    <n v="2.5462962962962963"/>
    <n v="3"/>
    <d v="1899-12-30T00:23:34"/>
    <s v="Order"/>
    <n v="18.266708612975393"/>
    <n v="5.6291247203579395"/>
    <n v="64.212888888888841"/>
    <n v="130.38749999999999"/>
    <n v="-27.157499999999985"/>
  </r>
  <r>
    <d v="2023-02-16T00:00:00"/>
    <x v="2"/>
    <x v="6"/>
    <n v="8"/>
    <s v="QTR1"/>
    <s v="Thursday"/>
    <d v="1899-12-30T18:00:00"/>
    <s v="Freezing Rain / Ice"/>
    <n v="40"/>
    <s v="Lewiston"/>
    <n v="105.27000000000001"/>
    <n v="5.12"/>
    <n v="102"/>
    <n v="10"/>
    <n v="20.560546875"/>
    <n v="1.9333163566848555E-2"/>
    <n v="10.527000000000001"/>
    <n v="1.0320588235294119"/>
    <n v="10.199999999999999"/>
    <n v="1.953125"/>
    <n v="3"/>
    <d v="1899-12-30T00:30:43"/>
    <s v="Order"/>
    <n v="21.236984459688347"/>
    <n v="-0.67643758468834747"/>
    <n v="62.993888888888854"/>
    <n v="127.19750000000002"/>
    <n v="-21.927500000000009"/>
  </r>
  <r>
    <d v="2023-02-17T00:00:00"/>
    <x v="2"/>
    <x v="6"/>
    <n v="8"/>
    <s v="QTR1"/>
    <s v="Friday"/>
    <d v="1899-12-30T18:30:00"/>
    <s v="Clear"/>
    <n v="27.3"/>
    <s v="Lewiston"/>
    <n v="107.77"/>
    <n v="6.03"/>
    <n v="116"/>
    <n v="12"/>
    <n v="17.872305140961856"/>
    <n v="-3.9390116628807803"/>
    <n v="8.980833333333333"/>
    <n v="0.92905172413793102"/>
    <n v="9.6666666666666661"/>
    <n v="1.9900497512437809"/>
    <n v="4"/>
    <d v="1899-12-30T00:30:09"/>
    <s v="Order"/>
    <n v="21.051001758415964"/>
    <n v="-3.1786966174541078"/>
    <n v="64.191333333333304"/>
    <n v="127.7225"/>
    <n v="-19.952500000000001"/>
  </r>
  <r>
    <d v="2023-02-23T00:00:00"/>
    <x v="2"/>
    <x v="7"/>
    <n v="9"/>
    <s v="QTR1"/>
    <s v="Thursday"/>
    <d v="1899-12-30T18:00:00"/>
    <s v="Snow Storm"/>
    <n v="14.3"/>
    <s v="Lewiston"/>
    <n v="116.25"/>
    <n v="4.17"/>
    <n v="45.6"/>
    <n v="12"/>
    <n v="27.877697841726619"/>
    <n v="7.3326174975800988"/>
    <n v="9.6875"/>
    <n v="2.549342105263158"/>
    <n v="3.8000000000000003"/>
    <n v="2.8776978417266186"/>
    <n v="1"/>
    <d v="1899-12-30T00:20:51"/>
    <s v="Order"/>
    <n v="23.055098920863308"/>
    <n v="4.8225989208633102"/>
    <n v="61.512444444444434"/>
    <n v="108.13"/>
    <n v="8.1200000000000045"/>
  </r>
  <r>
    <d v="2023-02-24T00:00:00"/>
    <x v="2"/>
    <x v="7"/>
    <n v="9"/>
    <s v="QTR1"/>
    <s v="Friday"/>
    <d v="1899-12-30T18:30:00"/>
    <s v="Light Snow"/>
    <n v="18.399999999999999"/>
    <s v="Lewiston"/>
    <n v="54.75"/>
    <n v="3.13"/>
    <n v="58"/>
    <n v="8"/>
    <n v="17.492012779552716"/>
    <n v="-3.0063001366629933"/>
    <n v="6.84375"/>
    <n v="0.94396551724137934"/>
    <n v="7.25"/>
    <n v="2.5559105431309903"/>
    <n v="2"/>
    <d v="1899-12-30T00:23:29"/>
    <s v="Order"/>
    <n v="21.568295546402865"/>
    <n v="-4.0762827668501487"/>
    <n v="60.919999999999995"/>
    <n v="96.01"/>
    <n v="-41.260000000000005"/>
  </r>
  <r>
    <d v="2023-02-26T00:00:00"/>
    <x v="2"/>
    <x v="7"/>
    <n v="9"/>
    <s v="QTR1"/>
    <s v="Sunday"/>
    <d v="1899-12-30T15:30:00"/>
    <s v="Light Snow"/>
    <n v="26.8"/>
    <s v="Brunswick/Bath/Freeport"/>
    <n v="277.88"/>
    <n v="7.68"/>
    <n v="128"/>
    <n v="21"/>
    <n v="36.182291666666664"/>
    <n v="12.66470193004459"/>
    <n v="13.232380952380952"/>
    <n v="2.1709375"/>
    <n v="6.0952380952380949"/>
    <n v="2.734375"/>
    <n v="3"/>
    <d v="1899-12-30T00:21:57"/>
    <s v="Order"/>
    <n v="27.871502575489643"/>
    <n v="8.3107890911770212"/>
    <n v="62.389444444444443"/>
    <n v="139.16249999999999"/>
    <n v="138.7175"/>
  </r>
  <r>
    <d v="2023-02-28T00:00:00"/>
    <x v="2"/>
    <x v="8"/>
    <n v="10"/>
    <s v="QTR1"/>
    <s v="Tuesday"/>
    <d v="1899-12-30T18:00:00"/>
    <s v="Snow Storm"/>
    <n v="38.9"/>
    <s v="Brunswick/Bath/Freeport"/>
    <n v="125.47"/>
    <n v="5.15"/>
    <n v="92"/>
    <n v="9"/>
    <n v="24.363106796116504"/>
    <n v="-7.9519532286262375"/>
    <n v="13.941111111111111"/>
    <n v="1.3638043478260868"/>
    <n v="10.222222222222221"/>
    <n v="1.7475728155339805"/>
    <n v="2"/>
    <d v="1899-12-30T00:34:20"/>
    <s v="Order"/>
    <n v="20.677170504338861"/>
    <n v="3.6859362917776437"/>
    <n v="63.783555555555559"/>
    <n v="143.58750000000001"/>
    <n v="-18.117500000000007"/>
  </r>
  <r>
    <d v="2023-03-01T00:00:00"/>
    <x v="2"/>
    <x v="8"/>
    <n v="10"/>
    <s v="QTR1"/>
    <s v="Wednesday"/>
    <d v="1899-12-30T17:00:00"/>
    <s v="Snow Storm"/>
    <n v="34.4"/>
    <s v="Augusta"/>
    <n v="75.75"/>
    <n v="4.3499999999999996"/>
    <n v="96"/>
    <n v="8"/>
    <n v="17.413793103448278"/>
    <n v="0.13601532567049901"/>
    <n v="9.46875"/>
    <n v="0.7890625"/>
    <n v="12"/>
    <n v="1.8390804597701151"/>
    <n v="2"/>
    <d v="1899-12-30T00:32:38"/>
    <s v="Order"/>
    <n v="17.413793103448278"/>
    <n v="0"/>
    <n v="63.804444444444464"/>
    <n v="133.46250000000001"/>
    <n v="-57.712500000000006"/>
  </r>
  <r>
    <d v="2023-03-03T00:00:00"/>
    <x v="2"/>
    <x v="8"/>
    <n v="10"/>
    <s v="QTR1"/>
    <s v="Friday"/>
    <d v="1899-12-30T17:00:00"/>
    <s v="Snow Storm"/>
    <n v="29.3"/>
    <s v="Lewiston"/>
    <n v="40.93"/>
    <n v="1.17"/>
    <n v="22"/>
    <n v="3"/>
    <n v="34.982905982905983"/>
    <n v="15.23616810085602"/>
    <n v="13.643333333333333"/>
    <n v="1.8604545454545454"/>
    <n v="7.333333333333333"/>
    <n v="2.5641025641025643"/>
    <n v="2"/>
    <d v="1899-12-30T00:23:24"/>
    <s v="Order"/>
    <n v="33.891452991452994"/>
    <n v="1.0914529914529894"/>
    <n v="62.380555555555567"/>
    <n v="130.00749999999999"/>
    <n v="-89.077499999999986"/>
  </r>
  <r>
    <d v="2023-03-04T00:00:00"/>
    <x v="2"/>
    <x v="8"/>
    <n v="10"/>
    <s v="QTR1"/>
    <s v="Saturday"/>
    <d v="1899-12-30T13:30:00"/>
    <s v="Rain / Snow Mix"/>
    <n v="35.9"/>
    <s v="Brunswick/Bath/Freeport"/>
    <n v="156.65"/>
    <n v="5.72"/>
    <n v="124"/>
    <n v="7"/>
    <n v="27.38636363636364"/>
    <n v="5.4102220360011444E-2"/>
    <n v="22.37857142857143"/>
    <n v="1.2633064516129033"/>
    <n v="17.714285714285715"/>
    <n v="1.2237762237762237"/>
    <n v="2"/>
    <d v="1899-12-30T00:49:02"/>
    <s v="Order"/>
    <n v="30.543878208019763"/>
    <n v="-3.1575145716561224"/>
    <n v="64.121111111111119"/>
    <n v="99.7"/>
    <n v="56.95"/>
  </r>
  <r>
    <d v="2023-03-07T00:00:00"/>
    <x v="2"/>
    <x v="9"/>
    <n v="11"/>
    <s v="QTR1"/>
    <s v="Tuesday"/>
    <d v="1899-12-30T18:00:00"/>
    <s v="Rain"/>
    <n v="39.9"/>
    <s v="Brunswick/Bath/Freeport"/>
    <n v="68"/>
    <n v="4.22"/>
    <n v="78"/>
    <n v="8"/>
    <n v="16.113744075829384"/>
    <n v="-15.06532263053818"/>
    <n v="8.5"/>
    <n v="0.87179487179487181"/>
    <n v="9.75"/>
    <n v="1.8957345971563981"/>
    <n v="1"/>
    <d v="1899-12-30T00:31:39"/>
    <s v="Order"/>
    <n v="32.476525217105447"/>
    <n v="-16.362781141276063"/>
    <n v="62.244888888888902"/>
    <n v="85.33250000000001"/>
    <n v="-17.33250000000001"/>
  </r>
  <r>
    <d v="2023-03-09T00:00:00"/>
    <x v="2"/>
    <x v="9"/>
    <n v="11"/>
    <s v="QTR1"/>
    <s v="Thursday"/>
    <d v="1899-12-30T17:00:00"/>
    <s v="Clear"/>
    <n v="44.3"/>
    <s v="Portland"/>
    <n v="58.83"/>
    <n v="2.4300000000000002"/>
    <n v="59.2"/>
    <n v="5"/>
    <n v="24.209876543209873"/>
    <n v="7.3464227279488306"/>
    <n v="11.766"/>
    <n v="0.99374999999999991"/>
    <n v="11.84"/>
    <n v="2.0576131687242798"/>
    <n v="2"/>
    <d v="1899-12-30T00:29:10"/>
    <s v="Order"/>
    <n v="21.339386458777209"/>
    <n v="2.8704900844326637"/>
    <n v="60.243444444444464"/>
    <n v="81.102500000000006"/>
    <n v="-22.272500000000008"/>
  </r>
  <r>
    <d v="2023-03-10T00:00:00"/>
    <x v="2"/>
    <x v="9"/>
    <n v="11"/>
    <s v="QTR1"/>
    <s v="Friday"/>
    <d v="1899-12-30T18:30:00"/>
    <s v="Light Snow"/>
    <n v="38.299999999999997"/>
    <s v="Lewiston"/>
    <n v="64.08"/>
    <n v="3.63"/>
    <n v="49"/>
    <n v="9"/>
    <n v="17.652892561983471"/>
    <n v="-5.1410789402376942"/>
    <n v="7.12"/>
    <n v="1.3077551020408162"/>
    <n v="5.4444444444444446"/>
    <n v="2.4793388429752068"/>
    <n v="2"/>
    <d v="1899-12-30T00:24:12"/>
    <s v="Order"/>
    <n v="19.241188905138749"/>
    <n v="-1.5882963431552781"/>
    <n v="60.95544444444446"/>
    <n v="86.89"/>
    <n v="-22.810000000000002"/>
  </r>
  <r>
    <d v="2023-03-11T00:00:00"/>
    <x v="2"/>
    <x v="9"/>
    <n v="11"/>
    <s v="QTR1"/>
    <s v="Saturday"/>
    <d v="1899-12-30T17:00:00"/>
    <s v="Rain"/>
    <n v="45"/>
    <s v="Brunswick/Bath/Freeport"/>
    <n v="122.45"/>
    <n v="6.2"/>
    <n v="112"/>
    <n v="11"/>
    <n v="19.75"/>
    <n v="-7.5876716380396303"/>
    <n v="11.131818181818183"/>
    <n v="1.0933035714285715"/>
    <n v="10.181818181818182"/>
    <n v="1.7741935483870968"/>
    <n v="3"/>
    <d v="1899-12-30T00:33:49"/>
    <s v="Order"/>
    <n v="24.294742211193824"/>
    <n v="-4.5447422111938245"/>
    <n v="61.747888888888902"/>
    <n v="78.34"/>
    <n v="44.11"/>
  </r>
  <r>
    <d v="2023-03-14T00:00:00"/>
    <x v="2"/>
    <x v="10"/>
    <n v="12"/>
    <s v="QTR1"/>
    <s v="Tuesday"/>
    <d v="1899-12-30T17:30:00"/>
    <s v="Snow Storm"/>
    <n v="28.4"/>
    <s v="Brunswick/Bath/Freeport"/>
    <n v="60.42"/>
    <n v="3.02"/>
    <n v="75"/>
    <n v="3"/>
    <n v="20.006622516556291"/>
    <n v="-9.2892788609939991"/>
    <n v="20.14"/>
    <n v="0.80559999999999998"/>
    <n v="25"/>
    <n v="0.99337748344370858"/>
    <n v="2"/>
    <d v="1899-12-30T01:00:24"/>
    <s v="Order"/>
    <n v="25.204699111738062"/>
    <n v="-5.1980765951817709"/>
    <n v="59.374111111111119"/>
    <n v="76.445000000000007"/>
    <n v="-16.025000000000006"/>
  </r>
  <r>
    <d v="2023-03-15T00:00:00"/>
    <x v="2"/>
    <x v="10"/>
    <n v="12"/>
    <s v="QTR1"/>
    <s v="Wednesday"/>
    <d v="1899-12-30T18:00:00"/>
    <s v="Clear"/>
    <n v="42.5"/>
    <s v="Lewiston"/>
    <n v="85.960000000000008"/>
    <n v="4.1500000000000004"/>
    <n v="73"/>
    <n v="13"/>
    <n v="20.713253012048192"/>
    <n v="0.47835368318912685"/>
    <n v="6.6123076923076933"/>
    <n v="1.1775342465753427"/>
    <n v="5.615384615384615"/>
    <n v="3.1325301204819276"/>
    <n v="4"/>
    <d v="1899-12-30T00:19:09"/>
    <s v="Order"/>
    <n v="26.505470302261681"/>
    <n v="-5.7922172902134896"/>
    <n v="58.498222222222225"/>
    <n v="83.227499999999992"/>
    <n v="2.7325000000000159"/>
  </r>
  <r>
    <d v="2023-03-16T00:00:00"/>
    <x v="2"/>
    <x v="10"/>
    <n v="12"/>
    <s v="QTR1"/>
    <s v="Thursday"/>
    <d v="1899-12-30T17:30:00"/>
    <s v="Rain"/>
    <n v="39.9"/>
    <s v="Brunswick/Bath/Freeport"/>
    <n v="70.19"/>
    <n v="5.12"/>
    <n v="116.7"/>
    <n v="4"/>
    <n v="13.708984375"/>
    <n v="-6.6970915959773798"/>
    <n v="17.547499999999999"/>
    <n v="0.60145672664952865"/>
    <n v="29.175000000000001"/>
    <n v="0.78125"/>
    <n v="2"/>
    <d v="1899-12-30T01:16:48"/>
    <s v="Order"/>
    <n v="13.708984375"/>
    <n v="0"/>
    <n v="57.767777777777773"/>
    <n v="84.75500000000001"/>
    <n v="-14.565000000000012"/>
  </r>
  <r>
    <d v="2023-03-17T00:00:00"/>
    <x v="2"/>
    <x v="10"/>
    <n v="12"/>
    <s v="QTR1"/>
    <s v="Friday"/>
    <d v="1899-12-30T17:30:00"/>
    <s v="Rain / Snow Mix"/>
    <n v="49.1"/>
    <s v="Lewiston"/>
    <n v="51.5"/>
    <n v="3.85"/>
    <n v="54"/>
    <n v="8"/>
    <n v="13.376623376623376"/>
    <n v="-8.5605016355581736"/>
    <n v="6.4375"/>
    <n v="0.95370370370370372"/>
    <n v="6.75"/>
    <n v="2.0779220779220777"/>
    <n v="1"/>
    <d v="1899-12-30T00:28:53"/>
    <s v="Order"/>
    <n v="24.852884451271549"/>
    <n v="-11.476261074648173"/>
    <n v="58.195444444444448"/>
    <n v="67.017499999999998"/>
    <n v="-15.517499999999998"/>
  </r>
  <r>
    <d v="2023-03-18T00:00:00"/>
    <x v="2"/>
    <x v="10"/>
    <n v="12"/>
    <s v="QTR1"/>
    <s v="Saturday"/>
    <d v="1899-12-30T18:00:00"/>
    <s v="Light Snow"/>
    <n v="31.3"/>
    <s v="Brunswick/Bath/Freeport"/>
    <n v="94.91"/>
    <n v="6.23"/>
    <n v="145"/>
    <n v="9"/>
    <n v="15.234349919743176"/>
    <n v="-11.413533387565581"/>
    <n v="10.545555555555556"/>
    <n v="0.65455172413793106"/>
    <n v="16.111111111111111"/>
    <n v="1.4446227929373996"/>
    <n v="3"/>
    <d v="1899-12-30T00:41:32"/>
    <s v="Order"/>
    <n v="21.037978186413866"/>
    <n v="-5.8036282666706906"/>
    <n v="57.603999999999999"/>
    <n v="75.64"/>
    <n v="19.269999999999996"/>
  </r>
  <r>
    <d v="2023-03-23T00:00:00"/>
    <x v="2"/>
    <x v="11"/>
    <n v="13"/>
    <s v="QTR1"/>
    <s v="Thursday"/>
    <d v="1899-12-30T19:00:00"/>
    <s v="Rain"/>
    <n v="38.9"/>
    <s v="Portland"/>
    <n v="98.240000000000009"/>
    <n v="4.97"/>
    <n v="61"/>
    <n v="10"/>
    <n v="19.766599597585515"/>
    <n v="-0.77006558164994132"/>
    <n v="9.8240000000000016"/>
    <n v="1.6104918032786886"/>
    <n v="6.1"/>
    <n v="2.0120724346076462"/>
    <n v="2"/>
    <d v="1899-12-30T00:29:49"/>
    <s v="Order"/>
    <n v="21.815117980610939"/>
    <n v="-2.0485183830254243"/>
    <n v="56.960444444444441"/>
    <n v="78.710000000000008"/>
    <n v="19.53"/>
  </r>
  <r>
    <d v="2023-03-24T00:00:00"/>
    <x v="2"/>
    <x v="11"/>
    <n v="13"/>
    <s v="QTR1"/>
    <s v="Friday"/>
    <d v="1899-12-30T19:00:00"/>
    <s v="Light Snow"/>
    <n v="33.5"/>
    <s v="Brunswick/Bath/Freeport"/>
    <n v="65.75"/>
    <n v="3.18"/>
    <n v="51"/>
    <n v="8"/>
    <n v="20.676100628930815"/>
    <n v="1.8607419933135567"/>
    <n v="8.21875"/>
    <n v="1.2892156862745099"/>
    <n v="6.375"/>
    <n v="2.5157232704402515"/>
    <n v="2"/>
    <d v="1899-12-30T00:23:51"/>
    <s v="Order"/>
    <n v="21.587544461558959"/>
    <n v="-0.91144383262814443"/>
    <n v="57.690999999999995"/>
    <n v="77.599999999999994"/>
    <n v="-11.849999999999994"/>
  </r>
  <r>
    <d v="2023-03-25T00:00:00"/>
    <x v="2"/>
    <x v="11"/>
    <n v="13"/>
    <s v="QTR1"/>
    <s v="Saturday"/>
    <d v="1899-12-30T19:00:00"/>
    <s v="Rain / Snow Mix"/>
    <n v="41.9"/>
    <s v="Brunswick/Bath/Freeport"/>
    <n v="116.67"/>
    <n v="4.03"/>
    <n v="81"/>
    <n v="8"/>
    <n v="28.950372208436722"/>
    <n v="3.253616683425097"/>
    <n v="14.58375"/>
    <n v="1.4403703703703703"/>
    <n v="10.125"/>
    <n v="1.9851116625310172"/>
    <n v="2"/>
    <d v="1899-12-30T00:30:14"/>
    <s v="Order"/>
    <n v="30.297774755848877"/>
    <n v="-1.3474025474121554"/>
    <n v="58.987333333333332"/>
    <n v="93.892499999999998"/>
    <n v="22.777500000000003"/>
  </r>
  <r>
    <d v="2023-03-26T00:00:00"/>
    <x v="2"/>
    <x v="11"/>
    <n v="13"/>
    <s v="QTR1"/>
    <s v="Sunday"/>
    <d v="1899-12-30T18:30:00"/>
    <s v="Partially Cloudy"/>
    <n v="52.3"/>
    <s v="Portland"/>
    <n v="114.53"/>
    <n v="4.5999999999999996"/>
    <n v="77"/>
    <n v="10"/>
    <n v="24.897826086956524"/>
    <n v="9.9769476976902247"/>
    <n v="11.452999999999999"/>
    <n v="1.4874025974025975"/>
    <n v="7.7"/>
    <n v="2.1739130434782612"/>
    <n v="3"/>
    <d v="1899-12-30T00:27:36"/>
    <s v="Order"/>
    <n v="24.684581833287179"/>
    <n v="0.21324425366934463"/>
    <n v="60.259888888888881"/>
    <n v="98.797500000000014"/>
    <n v="15.732499999999987"/>
  </r>
  <r>
    <d v="2023-03-29T00:00:00"/>
    <x v="2"/>
    <x v="12"/>
    <n v="1"/>
    <s v="QTR2"/>
    <s v="Wednesday"/>
    <d v="1899-12-30T17:30:00"/>
    <s v="Rain / Snow Mix"/>
    <n v="33"/>
    <s v="Portland"/>
    <n v="66.98"/>
    <n v="4.7300000000000004"/>
    <n v="71.8"/>
    <n v="10"/>
    <n v="14.160676532769555"/>
    <n v="-7.5472182040725482"/>
    <n v="6.6980000000000004"/>
    <n v="0.93286908077994435"/>
    <n v="7.18"/>
    <n v="2.1141649048625792"/>
    <n v="3"/>
    <d v="1899-12-30T00:28:23"/>
    <s v="Order"/>
    <n v="15.580338266384778"/>
    <n v="-1.4196617336152233"/>
    <n v="59.1522222222222"/>
    <n v="90.982500000000016"/>
    <n v="-24.002500000000012"/>
  </r>
  <r>
    <d v="2023-03-30T00:00:00"/>
    <x v="2"/>
    <x v="12"/>
    <n v="1"/>
    <s v="QTR2"/>
    <s v="Thursday"/>
    <d v="1899-12-30T18:00:00"/>
    <s v="Light Snow"/>
    <n v="38.6"/>
    <s v="Lewiston"/>
    <n v="103.39"/>
    <n v="4.92"/>
    <n v="80"/>
    <n v="11"/>
    <n v="21.014227642276424"/>
    <n v="3.244996873045654"/>
    <n v="9.3990909090909085"/>
    <n v="1.2923750000000001"/>
    <n v="7.2727272727272725"/>
    <n v="2.2357723577235773"/>
    <n v="3"/>
    <d v="1899-12-30T00:26:50"/>
    <s v="Order"/>
    <n v="20.685685249709643"/>
    <n v="0.32854239256678142"/>
    <n v="59.046999999999983"/>
    <n v="100.3925"/>
    <n v="2.9975000000000023"/>
  </r>
  <r>
    <d v="2023-03-31T00:00:00"/>
    <x v="2"/>
    <x v="12"/>
    <n v="1"/>
    <s v="QTR2"/>
    <s v="Friday"/>
    <d v="1899-12-30T17:30:00"/>
    <s v="Rain / Snow Mix"/>
    <n v="42.3"/>
    <s v="Portland"/>
    <n v="206.46000000000004"/>
    <n v="8.9499999999999993"/>
    <n v="166"/>
    <n v="18"/>
    <n v="23.068156424581012"/>
    <n v="1.0542767708746723"/>
    <n v="11.470000000000002"/>
    <n v="1.2437349397590363"/>
    <n v="9.2222222222222214"/>
    <n v="2.011173184357542"/>
    <n v="4"/>
    <d v="1899-12-30T00:29:50"/>
    <s v="Order"/>
    <n v="30.149780691629349"/>
    <n v="-7.0816242670483369"/>
    <n v="61.340999999999987"/>
    <n v="122.84"/>
    <n v="83.620000000000033"/>
  </r>
  <r>
    <d v="2023-04-01T00:00:00"/>
    <x v="2"/>
    <x v="12"/>
    <n v="1"/>
    <s v="QTR2"/>
    <s v="Saturday"/>
    <d v="1899-12-30T18:30:00"/>
    <s v="Partially Cloudy"/>
    <n v="37.799999999999997"/>
    <s v="Portland"/>
    <n v="78.900000000000006"/>
    <n v="4.58"/>
    <n v="81"/>
    <n v="10"/>
    <n v="17.227074235807862"/>
    <n v="-1.4571916372080089"/>
    <n v="7.8900000000000006"/>
    <n v="0.97407407407407409"/>
    <n v="8.1"/>
    <n v="2.1834061135371177"/>
    <n v="3"/>
    <d v="1899-12-30T00:27:29"/>
    <s v="Order"/>
    <n v="21.691133638317044"/>
    <n v="-4.4640594025091822"/>
    <n v="60.490222222222208"/>
    <n v="113.9325"/>
    <n v="-35.032499999999999"/>
  </r>
  <r>
    <d v="2023-04-04T00:00:00"/>
    <x v="2"/>
    <x v="43"/>
    <n v="2"/>
    <s v="QTR2"/>
    <s v="Tuesday"/>
    <d v="1899-12-30T17:30:00"/>
    <s v="Freezing Rain / Ice"/>
    <n v="43.8"/>
    <s v="Brunswick/Bath/Freeport"/>
    <n v="25.5"/>
    <n v="1.9"/>
    <n v="36.4"/>
    <n v="3"/>
    <n v="13.421052631578949"/>
    <n v="-9.9697503562828587"/>
    <n v="8.5"/>
    <n v="0.70054945054945061"/>
    <n v="12.133333333333333"/>
    <n v="1.5789473684210527"/>
    <n v="1"/>
    <d v="1899-12-30T00:38:00"/>
    <s v="Order"/>
    <n v="21.082970919354722"/>
    <n v="-7.661918287775773"/>
    <n v="58.381222222222206"/>
    <n v="103.5625"/>
    <n v="-78.0625"/>
  </r>
  <r>
    <d v="2023-04-13T00:00:00"/>
    <x v="2"/>
    <x v="13"/>
    <n v="3"/>
    <s v="QTR2"/>
    <s v="Thursday"/>
    <d v="1899-12-30T18:00:00"/>
    <s v="Clear"/>
    <n v="78.400000000000006"/>
    <s v="Brunswick/Bath/Freeport"/>
    <n v="104.67"/>
    <n v="4.3"/>
    <n v="105.8"/>
    <n v="8"/>
    <n v="24.34186046511628"/>
    <n v="0.21512320590909439"/>
    <n v="13.08375"/>
    <n v="0.98931947069943293"/>
    <n v="13.225"/>
    <n v="1.8604651162790697"/>
    <n v="4"/>
    <d v="1899-12-30T00:32:15"/>
    <s v="Order"/>
    <n v="20.870675779631931"/>
    <n v="3.4711846854843493"/>
    <n v="52.285999999999987"/>
    <n v="103.88250000000001"/>
    <n v="0.78749999999999432"/>
  </r>
  <r>
    <d v="2023-04-15T00:00:00"/>
    <x v="2"/>
    <x v="13"/>
    <n v="3"/>
    <s v="QTR2"/>
    <s v="Saturday"/>
    <d v="1899-12-30T16:30:00"/>
    <s v="Rain"/>
    <n v="66"/>
    <s v="Brunswick/Bath/Freeport"/>
    <n v="131.49"/>
    <n v="5.62"/>
    <n v="101"/>
    <n v="13"/>
    <n v="23.396797153024913"/>
    <n v="-4.1090104413442319"/>
    <n v="10.114615384615385"/>
    <n v="1.3018811881188119"/>
    <n v="7.7692307692307692"/>
    <n v="2.3131672597864767"/>
    <n v="4"/>
    <d v="1899-12-30T00:25:56"/>
    <s v="Order"/>
    <n v="24.77708469395462"/>
    <n v="-1.3802875409297073"/>
    <n v="53.746999999999986"/>
    <n v="85.14"/>
    <n v="46.350000000000009"/>
  </r>
  <r>
    <d v="2023-04-19T00:00:00"/>
    <x v="2"/>
    <x v="14"/>
    <n v="4"/>
    <s v="QTR2"/>
    <s v="Wednesday"/>
    <d v="1899-12-30T17:30:00"/>
    <s v="Partially Cloudy"/>
    <n v="54.3"/>
    <s v="Brunswick/Bath/Freeport"/>
    <n v="91.19"/>
    <n v="4.8499999999999996"/>
    <n v="110.8"/>
    <n v="10"/>
    <n v="18.802061855670104"/>
    <n v="-12.163715183827865"/>
    <n v="9.1189999999999998"/>
    <n v="0.82301444043321303"/>
    <n v="11.08"/>
    <n v="2.061855670103093"/>
    <n v="2"/>
    <d v="1899-12-30T00:29:06"/>
    <s v="Order"/>
    <n v="23.221856443782517"/>
    <n v="-4.4197945881124134"/>
    <n v="52.287555555555535"/>
    <n v="88.212500000000006"/>
    <n v="2.977499999999992"/>
  </r>
  <r>
    <d v="2023-04-20T00:00:00"/>
    <x v="2"/>
    <x v="14"/>
    <n v="4"/>
    <s v="QTR2"/>
    <s v="Thursday"/>
    <d v="1899-12-30T17:30:00"/>
    <s v="Partially Cloudy"/>
    <n v="53.7"/>
    <s v="Brunswick/Bath/Freeport"/>
    <n v="134.42000000000002"/>
    <n v="5.6"/>
    <n v="128"/>
    <n v="14"/>
    <n v="24.003571428571433"/>
    <n v="-0.15389771719419088"/>
    <n v="9.6014285714285723"/>
    <n v="1.0501562500000001"/>
    <n v="9.1428571428571423"/>
    <n v="2.5"/>
    <n v="3"/>
    <d v="1899-12-30T00:24:00"/>
    <s v="Order"/>
    <n v="20.958704774337935"/>
    <n v="3.0448666542334983"/>
    <n v="53.781111111111095"/>
    <n v="115.44250000000001"/>
    <n v="18.977500000000006"/>
  </r>
  <r>
    <d v="2023-04-21T00:00:00"/>
    <x v="2"/>
    <x v="14"/>
    <n v="4"/>
    <s v="QTR2"/>
    <s v="Friday"/>
    <d v="1899-12-30T18:30:00"/>
    <s v="Partially Cloudy"/>
    <n v="53.2"/>
    <s v="Brunswick/Bath/Freeport"/>
    <n v="76.42"/>
    <n v="2.8"/>
    <n v="65"/>
    <n v="7"/>
    <n v="27.292857142857144"/>
    <n v="-0.32396825396825335"/>
    <n v="10.917142857142858"/>
    <n v="1.1756923076923078"/>
    <n v="9.2857142857142865"/>
    <n v="2.5"/>
    <n v="2"/>
    <d v="1899-12-30T00:24:00"/>
    <s v="Order"/>
    <n v="22.467344216099097"/>
    <n v="4.8255129267580479"/>
    <n v="52.98044444444443"/>
    <n v="108.38000000000001"/>
    <n v="-31.960000000000008"/>
  </r>
  <r>
    <d v="2023-04-22T00:00:00"/>
    <x v="2"/>
    <x v="14"/>
    <n v="4"/>
    <s v="QTR2"/>
    <s v="Saturday"/>
    <d v="1899-12-30T16:00:00"/>
    <s v="Rain"/>
    <n v="52.3"/>
    <s v="Brunswick/Bath/Freeport"/>
    <n v="161"/>
    <n v="6.2"/>
    <n v="138"/>
    <n v="15"/>
    <n v="25.967741935483872"/>
    <n v="-0.95106416726466847"/>
    <n v="10.733333333333333"/>
    <n v="1.1666666666666667"/>
    <n v="9.1999999999999993"/>
    <n v="2.4193548387096775"/>
    <n v="4"/>
    <d v="1899-12-30T00:24:48"/>
    <s v="Order"/>
    <n v="23.513308240547271"/>
    <n v="2.4544336949366006"/>
    <n v="54.769333333333321"/>
    <n v="115.75750000000001"/>
    <n v="45.242499999999993"/>
  </r>
  <r>
    <d v="2023-04-23T00:00:00"/>
    <x v="2"/>
    <x v="14"/>
    <n v="4"/>
    <s v="QTR2"/>
    <s v="Sunday"/>
    <d v="1899-12-30T18:00:00"/>
    <s v="Rain"/>
    <n v="42.4"/>
    <s v="Augusta"/>
    <n v="99.08"/>
    <n v="4.3"/>
    <n v="82"/>
    <n v="9"/>
    <n v="23.041860465116279"/>
    <s v=""/>
    <n v="11.008888888888889"/>
    <n v="1.2082926829268292"/>
    <n v="9.1111111111111107"/>
    <n v="2.0930232558139537"/>
    <n v="3"/>
    <d v="1899-12-30T00:28:40"/>
    <s v="Order"/>
    <n v="18.958528045340856"/>
    <n v="4.0833324197754237"/>
    <n v="55.87022222222221"/>
    <n v="117.73"/>
    <n v="-18.650000000000006"/>
  </r>
  <r>
    <d v="2023-04-26T00:00:00"/>
    <x v="2"/>
    <x v="15"/>
    <n v="5"/>
    <s v="QTR2"/>
    <s v="Wednesday"/>
    <d v="1899-12-30T17:30:00"/>
    <s v="Rain"/>
    <n v="55.1"/>
    <s v="Portland"/>
    <n v="121.06"/>
    <n v="4.97"/>
    <n v="100"/>
    <n v="12"/>
    <n v="24.358148893360163"/>
    <n v="6.4238632585543343"/>
    <n v="10.088333333333333"/>
    <n v="1.2106000000000001"/>
    <n v="8.3333333333333339"/>
    <n v="2.4144869215291753"/>
    <n v="4"/>
    <d v="1899-12-30T00:24:51"/>
    <s v="Order"/>
    <n v="22.335389870360405"/>
    <n v="2.0227590229997574"/>
    <n v="55.283555555555552"/>
    <n v="114.39"/>
    <n v="6.6700000000000017"/>
  </r>
  <r>
    <d v="2023-04-27T00:00:00"/>
    <x v="2"/>
    <x v="15"/>
    <n v="5"/>
    <s v="QTR2"/>
    <s v="Thursday"/>
    <d v="1899-12-30T18:00:00"/>
    <s v="Clear"/>
    <n v="62.7"/>
    <s v="Augusta"/>
    <n v="42.45"/>
    <n v="3.12"/>
    <n v="78"/>
    <n v="4"/>
    <n v="13.605769230769232"/>
    <s v=""/>
    <n v="10.612500000000001"/>
    <n v="0.5442307692307693"/>
    <n v="19.5"/>
    <n v="1.2820512820512819"/>
    <n v="2"/>
    <d v="1899-12-30T00:46:48"/>
    <s v="Order"/>
    <n v="19.452916652940207"/>
    <n v="-5.8471474221709752"/>
    <n v="54.832111111111104"/>
    <n v="105.89749999999999"/>
    <n v="-63.447499999999991"/>
  </r>
  <r>
    <d v="2023-04-28T00:00:00"/>
    <x v="2"/>
    <x v="15"/>
    <n v="5"/>
    <s v="QTR2"/>
    <s v="Friday"/>
    <d v="1899-12-30T18:00:00"/>
    <s v="Partially Cloudy"/>
    <n v="57.2"/>
    <s v="Brunswick/Bath/Freeport"/>
    <n v="116.42"/>
    <n v="3.43"/>
    <n v="63"/>
    <n v="9"/>
    <n v="33.941690962099123"/>
    <n v="6.4328549832631445"/>
    <n v="12.935555555555556"/>
    <n v="1.847936507936508"/>
    <n v="7"/>
    <n v="2.6239067055393583"/>
    <n v="3"/>
    <d v="1899-12-30T00:22:52"/>
    <s v="Order"/>
    <n v="28.304790435178003"/>
    <n v="5.6369005269211208"/>
    <n v="55.046666666666667"/>
    <n v="94.752499999999998"/>
    <n v="21.667500000000004"/>
  </r>
  <r>
    <d v="2023-04-29T00:00:00"/>
    <x v="2"/>
    <x v="15"/>
    <n v="5"/>
    <s v="QTR2"/>
    <s v="Saturday"/>
    <d v="1899-12-30T18:00:00"/>
    <s v="Rain"/>
    <n v="45.5"/>
    <s v="Brunswick/Bath/Freeport"/>
    <n v="37.67"/>
    <n v="1.1299999999999999"/>
    <n v="26"/>
    <n v="3"/>
    <n v="33.336283185840713"/>
    <n v="6.5363601040002557"/>
    <n v="12.556666666666667"/>
    <n v="1.4488461538461539"/>
    <n v="8.6666666666666661"/>
    <n v="2.6548672566371683"/>
    <n v="2"/>
    <d v="1899-12-30T00:22:36"/>
    <s v="Order"/>
    <n v="25.165112615762578"/>
    <n v="8.1711705700781359"/>
    <n v="55.465222222222224"/>
    <n v="79.400000000000006"/>
    <n v="-41.730000000000004"/>
  </r>
  <r>
    <d v="2023-04-30T00:00:00"/>
    <x v="2"/>
    <x v="15"/>
    <n v="5"/>
    <s v="QTR2"/>
    <s v="Sunday"/>
    <d v="1899-12-30T17:30:00"/>
    <s v="Rain"/>
    <n v="61.9"/>
    <s v="Augusta"/>
    <n v="67.78"/>
    <n v="4.32"/>
    <n v="90"/>
    <n v="8"/>
    <n v="15.689814814814815"/>
    <n v="-7.3520456503014646"/>
    <n v="8.4725000000000001"/>
    <n v="0.75311111111111118"/>
    <n v="11.25"/>
    <n v="1.8518518518518516"/>
    <n v="3"/>
    <d v="1899-12-30T00:32:24"/>
    <s v="Order"/>
    <n v="19.246597619330164"/>
    <n v="-3.5567828045153487"/>
    <n v="56.218333333333327"/>
    <n v="66.080000000000013"/>
    <n v="1.6999999999999886"/>
  </r>
  <r>
    <d v="2023-05-02T00:00:00"/>
    <x v="2"/>
    <x v="16"/>
    <n v="6"/>
    <s v="QTR2"/>
    <s v="Tuesday"/>
    <d v="1899-12-30T17:30:00"/>
    <s v="Rain"/>
    <n v="40.9"/>
    <s v="Augusta"/>
    <n v="80.819999999999993"/>
    <n v="5.28"/>
    <n v="130.5"/>
    <n v="9"/>
    <n v="15.30681818181818"/>
    <s v=""/>
    <n v="8.9799999999999986"/>
    <n v="0.61931034482758618"/>
    <n v="14.5"/>
    <n v="1.7045454545454544"/>
    <n v="2"/>
    <d v="1899-12-30T00:35:12"/>
    <s v="Order"/>
    <n v="18.163573021829258"/>
    <n v="-2.856754840011078"/>
    <n v="53.7241111111111"/>
    <n v="75.672499999999999"/>
    <n v="5.1474999999999937"/>
  </r>
  <r>
    <d v="2023-05-03T00:00:00"/>
    <x v="2"/>
    <x v="16"/>
    <n v="6"/>
    <s v="QTR2"/>
    <s v="Wednesday"/>
    <d v="1899-12-30T17:30:00"/>
    <s v="Rain"/>
    <n v="50.6"/>
    <s v="Portland"/>
    <n v="109.32"/>
    <n v="5.63"/>
    <n v="93"/>
    <n v="16"/>
    <n v="19.417406749555948"/>
    <n v="-0.65816663810132425"/>
    <n v="6.8324999999999996"/>
    <n v="1.1754838709677418"/>
    <n v="5.8125"/>
    <n v="2.8419182948490231"/>
    <n v="3"/>
    <d v="1899-12-30T00:21:07"/>
    <s v="Order"/>
    <n v="24.426643904418047"/>
    <n v="-5.0092371548620989"/>
    <n v="54.938777777777766"/>
    <n v="73.897499999999994"/>
    <n v="35.422499999999999"/>
  </r>
  <r>
    <d v="2023-05-04T00:00:00"/>
    <x v="2"/>
    <x v="16"/>
    <n v="6"/>
    <s v="QTR2"/>
    <s v="Thursday"/>
    <d v="1899-12-30T18:00:00"/>
    <s v="Rain"/>
    <n v="63.4"/>
    <s v="Brunswick/Bath/Freeport"/>
    <n v="69.290000000000006"/>
    <n v="3.32"/>
    <n v="63"/>
    <n v="8"/>
    <n v="20.870481927710845"/>
    <n v="-3.2677500034055065"/>
    <n v="8.6612500000000008"/>
    <n v="1.0998412698412698"/>
    <n v="7.875"/>
    <n v="2.4096385542168677"/>
    <n v="2"/>
    <d v="1899-12-30T00:24:54"/>
    <s v="Order"/>
    <n v="21.385404996263951"/>
    <n v="-0.51492306855310588"/>
    <n v="55.708666666666652"/>
    <n v="81.802499999999995"/>
    <n v="-12.512499999999989"/>
  </r>
  <r>
    <d v="2023-05-05T00:00:00"/>
    <x v="2"/>
    <x v="16"/>
    <n v="6"/>
    <s v="QTR2"/>
    <s v="Friday"/>
    <d v="1899-12-30T18:00:00"/>
    <s v="Clear"/>
    <n v="74.7"/>
    <s v="Portland"/>
    <n v="154.94"/>
    <n v="7.35"/>
    <n v="155"/>
    <n v="15"/>
    <n v="21.080272108843538"/>
    <n v="-1.0653921412221372"/>
    <n v="10.329333333333333"/>
    <n v="0.99961290322580643"/>
    <n v="10.333333333333334"/>
    <n v="2.0408163265306123"/>
    <n v="2"/>
    <d v="1899-12-30T00:29:24"/>
    <s v="Order"/>
    <n v="18.133995703544574"/>
    <n v="2.9462764052989634"/>
    <n v="57.430222222222206"/>
    <n v="103.5925"/>
    <n v="51.347499999999997"/>
  </r>
  <r>
    <d v="2023-05-07T00:00:00"/>
    <x v="2"/>
    <x v="16"/>
    <n v="6"/>
    <s v="QTR2"/>
    <s v="Sunday"/>
    <d v="1899-12-30T17:00:00"/>
    <s v="Clear"/>
    <n v="66.8"/>
    <s v="Portland"/>
    <n v="73.87"/>
    <n v="3.93"/>
    <n v="75"/>
    <n v="7"/>
    <n v="18.796437659033078"/>
    <n v="-7.3329492717138152"/>
    <n v="10.552857142857144"/>
    <n v="0.98493333333333344"/>
    <n v="10.714285714285714"/>
    <n v="1.7811704834605597"/>
    <n v="2"/>
    <d v="1899-12-30T00:33:41"/>
    <s v="Order"/>
    <n v="22.364407354106703"/>
    <n v="-3.567969695073625"/>
    <n v="58.250999999999983"/>
    <n v="101.855"/>
    <n v="-27.984999999999999"/>
  </r>
  <r>
    <d v="2023-05-10T00:00:00"/>
    <x v="2"/>
    <x v="17"/>
    <n v="7"/>
    <s v="QTR2"/>
    <s v="Wednesday"/>
    <d v="1899-12-30T17:00:00"/>
    <s v="Clear"/>
    <n v="78.7"/>
    <s v="Brunswick/Bath/Freeport"/>
    <n v="79.960000000000008"/>
    <n v="4.43"/>
    <n v="111"/>
    <n v="6"/>
    <n v="18.049661399548537"/>
    <n v="-9.8751868439924664"/>
    <n v="13.326666666666668"/>
    <n v="0.72036036036036044"/>
    <n v="18.5"/>
    <n v="1.3544018058690745"/>
    <n v="2"/>
    <d v="1899-12-30T00:44:18"/>
    <s v="Order"/>
    <n v="24.268423200414826"/>
    <n v="-6.2187618008662895"/>
    <n v="55.780888888888875"/>
    <n v="94.515000000000015"/>
    <n v="-14.555000000000007"/>
  </r>
  <r>
    <d v="2023-05-12T00:00:00"/>
    <x v="2"/>
    <x v="17"/>
    <n v="7"/>
    <s v="QTR2"/>
    <s v="Friday"/>
    <d v="1899-12-30T18:00:00"/>
    <s v="Clear"/>
    <n v="70.099999999999994"/>
    <s v="Brunswick/Bath/Freeport"/>
    <n v="127.80000000000001"/>
    <n v="6.35"/>
    <n v="147"/>
    <n v="13"/>
    <n v="20.125984251968507"/>
    <n v="-8.9910654726832568"/>
    <n v="9.8307692307692314"/>
    <n v="0.86938775510204092"/>
    <n v="11.307692307692308"/>
    <n v="2.0472440944881889"/>
    <n v="3"/>
    <d v="1899-12-30T00:29:18"/>
    <s v="Hourly"/>
    <n v="26.162300455424486"/>
    <n v="-6.0363162034559785"/>
    <n v="54.407222222222217"/>
    <n v="109.1425"/>
    <n v="18.657500000000013"/>
  </r>
  <r>
    <d v="2023-05-18T00:00:00"/>
    <x v="2"/>
    <x v="18"/>
    <n v="8"/>
    <s v="QTR2"/>
    <s v="Thursday"/>
    <d v="1899-12-30T18:00:00"/>
    <s v="Clear"/>
    <n v="62.4"/>
    <s v="Portland"/>
    <n v="59.27"/>
    <n v="3.7"/>
    <n v="87"/>
    <n v="7"/>
    <n v="16.018918918918921"/>
    <n v="-1.6640373405079245"/>
    <n v="8.4671428571428571"/>
    <n v="0.68126436781609201"/>
    <n v="12.428571428571429"/>
    <n v="1.8918918918918919"/>
    <n v="3"/>
    <d v="1899-12-30T00:31:43"/>
    <s v="Order"/>
    <n v="19.770465325238188"/>
    <n v="-3.7515464063192674"/>
    <n v="48.215111111111128"/>
    <n v="85.224999999999994"/>
    <n v="-25.954999999999991"/>
  </r>
  <r>
    <d v="2023-05-21T00:00:00"/>
    <x v="2"/>
    <x v="18"/>
    <n v="8"/>
    <s v="QTR2"/>
    <s v="Sunday"/>
    <d v="1899-12-30T17:00:00"/>
    <s v="Clear"/>
    <n v="64.5"/>
    <s v="Portland"/>
    <n v="19.8"/>
    <n v="2.2799999999999998"/>
    <n v="46.9"/>
    <n v="3"/>
    <n v="8.6842105263157912"/>
    <n v="-15.978586550088338"/>
    <n v="6.6000000000000005"/>
    <n v="0.42217484008528788"/>
    <n v="15.633333333333333"/>
    <n v="1.3157894736842106"/>
    <n v="1"/>
    <d v="1899-12-30T00:45:36"/>
    <s v="Order"/>
    <n v="18.720893141945773"/>
    <n v="-10.036682615629982"/>
    <n v="48.435111111111127"/>
    <n v="71.70750000000001"/>
    <n v="-51.907500000000013"/>
  </r>
  <r>
    <d v="2023-05-22T00:00:00"/>
    <x v="2"/>
    <x v="19"/>
    <n v="9"/>
    <s v="QTR2"/>
    <s v="Monday"/>
    <d v="1899-12-30T17:30:00"/>
    <s v="Clear"/>
    <n v="63.1"/>
    <s v="Augusta"/>
    <n v="90.36"/>
    <n v="4.4000000000000004"/>
    <n v="106"/>
    <n v="8"/>
    <n v="20.536363636363635"/>
    <s v=""/>
    <n v="11.295"/>
    <n v="0.85245283018867923"/>
    <n v="13.25"/>
    <n v="1.8181818181818181"/>
    <n v="3"/>
    <d v="1899-12-30T00:33:00"/>
    <s v="Order"/>
    <n v="18.734097495073303"/>
    <n v="1.8022661412903318"/>
    <n v="49.439111111111124"/>
    <n v="74.307500000000005"/>
    <n v="16.052499999999995"/>
  </r>
  <r>
    <d v="2023-05-24T00:00:00"/>
    <x v="2"/>
    <x v="19"/>
    <n v="9"/>
    <s v="QTR2"/>
    <s v="Wednesday"/>
    <d v="1899-12-30T17:30:00"/>
    <s v="Rain"/>
    <n v="62.1"/>
    <s v="Portland"/>
    <n v="100.25999999999999"/>
    <n v="4.63"/>
    <n v="92"/>
    <n v="11"/>
    <n v="21.654427645788335"/>
    <n v="1.7433959176563931"/>
    <n v="9.1145454545454534"/>
    <n v="1.0897826086956521"/>
    <n v="8.3636363636363633"/>
    <n v="2.3758099352051838"/>
    <n v="3"/>
    <d v="1899-12-30T00:25:15"/>
    <s v="Order"/>
    <n v="21.882177824775361"/>
    <n v="-0.22775017898702643"/>
    <n v="49.261444444444464"/>
    <n v="67.422499999999999"/>
    <n v="32.837499999999991"/>
  </r>
  <r>
    <d v="2023-05-26T00:00:00"/>
    <x v="2"/>
    <x v="19"/>
    <n v="9"/>
    <s v="QTR2"/>
    <s v="Friday"/>
    <d v="1899-12-30T11:00:00"/>
    <s v="Clear"/>
    <n v="79.900000000000006"/>
    <s v="Brunswick/Bath/Freeport"/>
    <n v="182.65"/>
    <n v="7.85"/>
    <n v="167"/>
    <n v="15"/>
    <n v="23.267515923566879"/>
    <n v="-4.051320706548232"/>
    <n v="12.176666666666668"/>
    <n v="1.0937125748502994"/>
    <n v="11.133333333333333"/>
    <n v="1.910828025477707"/>
    <n v="3"/>
    <d v="1899-12-30T00:31:24"/>
    <s v="Hourly"/>
    <n v="22.313396922264502"/>
    <n v="0.95411900130237726"/>
    <n v="50.682555555555567"/>
    <n v="98.267499999999998"/>
    <n v="84.382500000000007"/>
  </r>
  <r>
    <d v="2023-05-31T00:00:00"/>
    <x v="2"/>
    <x v="20"/>
    <n v="10"/>
    <s v="QTR2"/>
    <s v="Wednesday"/>
    <d v="1899-12-30T17:30:00"/>
    <s v="Rain"/>
    <n v="87.4"/>
    <s v="Portland"/>
    <n v="52.38"/>
    <n v="3.97"/>
    <n v="81"/>
    <n v="5"/>
    <n v="13.193954659949622"/>
    <n v="-7.0657562517135979"/>
    <n v="10.476000000000001"/>
    <n v="0.64666666666666672"/>
    <n v="16.2"/>
    <n v="1.2594458438287153"/>
    <n v="1"/>
    <d v="1899-12-30T00:47:38"/>
    <s v="Order"/>
    <n v="18.692679503627101"/>
    <n v="-5.4987248436774792"/>
    <n v="45.94122222222223"/>
    <n v="106.41249999999999"/>
    <n v="-54.032499999999992"/>
  </r>
  <r>
    <d v="2023-06-01T00:00:00"/>
    <x v="2"/>
    <x v="20"/>
    <n v="10"/>
    <s v="QTR2"/>
    <s v="Thursday"/>
    <d v="1899-12-30T17:30:00"/>
    <s v="Rain"/>
    <n v="85"/>
    <s v="Brunswick/Bath/Freeport"/>
    <n v="108"/>
    <n v="4.87"/>
    <n v="64"/>
    <n v="13"/>
    <n v="22.17659137577002"/>
    <n v="-1.5985572216346071"/>
    <n v="8.3076923076923084"/>
    <n v="1.6875"/>
    <n v="4.9230769230769234"/>
    <n v="2.6694045174537986"/>
    <n v="1"/>
    <d v="1899-12-30T00:22:29"/>
    <s v="Order"/>
    <n v="27.094757647407121"/>
    <n v="-4.9181662716371015"/>
    <n v="46.686444444444454"/>
    <n v="110.82249999999999"/>
    <n v="-2.8224999999999909"/>
  </r>
  <r>
    <d v="2023-06-02T00:00:00"/>
    <x v="2"/>
    <x v="20"/>
    <n v="10"/>
    <s v="QTR2"/>
    <s v="Friday"/>
    <d v="1899-12-30T17:30:00"/>
    <s v="Rain"/>
    <n v="46"/>
    <s v="Brunswick/Bath/Freeport"/>
    <n v="113.58"/>
    <n v="5.08"/>
    <n v="118"/>
    <n v="9"/>
    <n v="22.358267716535433"/>
    <n v="-4.2853487958216405"/>
    <n v="12.62"/>
    <n v="0.96254237288135591"/>
    <n v="13.111111111111111"/>
    <n v="1.7716535433070866"/>
    <n v="2"/>
    <d v="1899-12-30T00:33:52"/>
    <s v="Order"/>
    <n v="20.101809097414456"/>
    <n v="2.256458619120977"/>
    <n v="46.20788888888891"/>
    <n v="114.15249999999999"/>
    <n v="-0.57249999999999091"/>
  </r>
  <r>
    <d v="2023-06-09T00:00:00"/>
    <x v="2"/>
    <x v="21"/>
    <n v="11"/>
    <s v="QTR2"/>
    <s v="Friday"/>
    <d v="1899-12-30T17:30:00"/>
    <s v="Overcast"/>
    <n v="62"/>
    <s v="Brunswick/Bath/Freeport"/>
    <n v="112.88"/>
    <n v="5.43"/>
    <n v="112"/>
    <n v="10"/>
    <n v="20.788213627992633"/>
    <n v="-5.2432101992470663"/>
    <n v="11.288"/>
    <n v="1.0078571428571428"/>
    <n v="11.2"/>
    <n v="1.8416206261510131"/>
    <n v="3"/>
    <d v="1899-12-30T00:32:35"/>
    <s v="Hourly"/>
    <n v="23.104506448136657"/>
    <n v="-2.3162928201440245"/>
    <n v="43.980333333333355"/>
    <n v="96.71"/>
    <n v="16.170000000000002"/>
  </r>
  <r>
    <d v="2023-06-10T00:00:00"/>
    <x v="2"/>
    <x v="21"/>
    <n v="11"/>
    <s v="QTR2"/>
    <s v="Saturday"/>
    <d v="1899-12-30T17:30:00"/>
    <s v="Partially Cloudy"/>
    <n v="64"/>
    <s v="Brunswick/Bath/Freeport"/>
    <n v="118.8"/>
    <n v="4.2"/>
    <n v="81"/>
    <n v="14"/>
    <n v="28.285714285714285"/>
    <n v="0.75952897009602083"/>
    <n v="8.4857142857142858"/>
    <n v="1.4666666666666666"/>
    <n v="5.7857142857142856"/>
    <n v="3.333333333333333"/>
    <n v="3"/>
    <d v="1899-12-30T00:18:00"/>
    <s v="Order"/>
    <n v="22.337827564977648"/>
    <n v="5.947886720736637"/>
    <n v="45.300333333333356"/>
    <n v="113.315"/>
    <n v="5.4849999999999994"/>
  </r>
  <r>
    <d v="2023-06-20T00:00:00"/>
    <x v="2"/>
    <x v="23"/>
    <n v="13"/>
    <s v="QTR2"/>
    <s v="Tuesday"/>
    <d v="1899-12-30T17:00:00"/>
    <s v="Partially Cloudy"/>
    <n v="69"/>
    <s v="Augusta"/>
    <n v="105.32"/>
    <n v="5.45"/>
    <n v="120"/>
    <n v="10"/>
    <n v="19.324770642201834"/>
    <n v="4.0179524603836541"/>
    <n v="10.532"/>
    <n v="0.8776666666666666"/>
    <n v="12"/>
    <n v="1.8348623853211008"/>
    <n v="4"/>
    <d v="1899-12-30T00:32:42"/>
    <s v="Order"/>
    <n v="20.492635020175374"/>
    <n v="-1.1678643779735403"/>
    <n v="42.437444444444466"/>
    <n v="112.645"/>
    <n v="-7.3250000000000028"/>
  </r>
  <r>
    <d v="2023-06-21T00:00:00"/>
    <x v="2"/>
    <x v="23"/>
    <n v="13"/>
    <s v="QTR2"/>
    <s v="Wednesday"/>
    <d v="1899-12-30T18:30:00"/>
    <s v="Overcast"/>
    <n v="78"/>
    <s v="Portland"/>
    <n v="61.18"/>
    <n v="4.07"/>
    <n v="93"/>
    <n v="7"/>
    <n v="15.031941031941031"/>
    <n v="-4.050143837769923"/>
    <n v="8.74"/>
    <n v="0.65784946236559139"/>
    <n v="13.285714285714286"/>
    <n v="1.7199017199017197"/>
    <n v="2"/>
    <d v="1899-12-30T00:34:53"/>
    <s v="Order"/>
    <n v="14.873473218905231"/>
    <n v="0.15846781303580038"/>
    <n v="42.025666666666673"/>
    <n v="99.545000000000002"/>
    <n v="-38.365000000000002"/>
  </r>
  <r>
    <d v="2023-06-23T00:00:00"/>
    <x v="2"/>
    <x v="23"/>
    <n v="13"/>
    <s v="QTR2"/>
    <s v="Friday"/>
    <d v="1899-12-30T17:00:00"/>
    <s v="Rain"/>
    <n v="78"/>
    <s v="Augusta"/>
    <n v="109.46000000000001"/>
    <n v="5.07"/>
    <n v="114"/>
    <n v="8"/>
    <n v="21.589743589743591"/>
    <s v=""/>
    <n v="13.682500000000001"/>
    <n v="0.96017543859649135"/>
    <n v="14.25"/>
    <n v="1.5779092702169624"/>
    <n v="3"/>
    <d v="1899-12-30T00:38:02"/>
    <s v="Order"/>
    <n v="26.982702895536416"/>
    <n v="-5.3929593057928251"/>
    <n v="41.215000000000011"/>
    <n v="98.69"/>
    <n v="10.77000000000001"/>
  </r>
  <r>
    <d v="2023-07-05T00:00:00"/>
    <x v="2"/>
    <x v="44"/>
    <n v="2"/>
    <s v="QTR3"/>
    <s v="Wednesday"/>
    <d v="1899-12-30T17:30:00"/>
    <s v="Clear &amp; Humid"/>
    <n v="77"/>
    <s v="Portland"/>
    <n v="120.53999999999999"/>
    <n v="5.93"/>
    <n v="109"/>
    <n v="13"/>
    <n v="20.327150084317033"/>
    <n v="-3.4540894635271044"/>
    <n v="9.2723076923076917"/>
    <n v="1.1058715596330275"/>
    <n v="8.384615384615385"/>
    <n v="2.1922428330522767"/>
    <n v="3"/>
    <d v="1899-12-30T00:27:22"/>
    <s v="Order"/>
    <n v="20.380241708825185"/>
    <n v="-5.309162450815208E-2"/>
    <n v="35.934777777777782"/>
    <n v="99.125"/>
    <n v="21.414999999999992"/>
  </r>
  <r>
    <d v="2023-07-07T00:00:00"/>
    <x v="2"/>
    <x v="44"/>
    <n v="2"/>
    <s v="QTR3"/>
    <s v="Friday"/>
    <d v="1899-12-30T17:30:00"/>
    <s v="Clear &amp; Humid"/>
    <n v="72"/>
    <s v="Portland"/>
    <n v="175.13"/>
    <n v="7.85"/>
    <n v="140.80000000000001"/>
    <n v="11"/>
    <n v="22.309554140127389"/>
    <n v="-0.15579725560331781"/>
    <n v="15.92090909090909"/>
    <n v="1.2438210227272726"/>
    <n v="12.8"/>
    <n v="1.4012738853503186"/>
    <n v="2"/>
    <d v="1899-12-30T00:42:49"/>
    <s v="Order"/>
    <n v="19.758050348801941"/>
    <n v="2.5515037913254481"/>
    <n v="37.880666666666677"/>
    <n v="116.5775"/>
    <n v="58.552499999999995"/>
  </r>
  <r>
    <d v="2023-07-08T00:00:00"/>
    <x v="2"/>
    <x v="44"/>
    <n v="2"/>
    <s v="QTR3"/>
    <s v="Saturday"/>
    <d v="1899-12-30T17:30:00"/>
    <s v="Clear &amp; Humid"/>
    <n v="69"/>
    <s v="Augusta"/>
    <n v="97.22999999999999"/>
    <n v="5.38"/>
    <n v="116"/>
    <n v="12"/>
    <n v="18.072490706319702"/>
    <s v=""/>
    <n v="8.1024999999999991"/>
    <n v="0.83818965517241373"/>
    <n v="9.6666666666666661"/>
    <n v="2.2304832713754648"/>
    <n v="3"/>
    <d v="1899-12-30T00:26:54"/>
    <s v="Order"/>
    <n v="18.072490706319702"/>
    <n v="0"/>
    <n v="38.961000000000006"/>
    <n v="125.59"/>
    <n v="-28.360000000000014"/>
  </r>
  <r>
    <d v="2023-07-09T00:00:00"/>
    <x v="2"/>
    <x v="44"/>
    <n v="2"/>
    <s v="QTR3"/>
    <s v="Sunday"/>
    <d v="1899-12-30T17:30:00"/>
    <s v="Partially cloudy &amp; Humid"/>
    <n v="72"/>
    <s v="Lewiston"/>
    <n v="86.87"/>
    <n v="4.95"/>
    <n v="81"/>
    <n v="11"/>
    <n v="17.549494949494949"/>
    <n v="-6.6101824698598897"/>
    <n v="7.8972727272727274"/>
    <n v="1.0724691358024692"/>
    <n v="7.3636363636363633"/>
    <n v="2.2222222222222223"/>
    <n v="4"/>
    <d v="1899-12-30T00:27:00"/>
    <s v="Order"/>
    <n v="17.549494949494949"/>
    <n v="0"/>
    <n v="39.926222222222229"/>
    <n v="119.9425"/>
    <n v="-33.072499999999991"/>
  </r>
  <r>
    <d v="2023-07-11T00:00:00"/>
    <x v="2"/>
    <x v="45"/>
    <n v="3"/>
    <s v="QTR3"/>
    <s v="Tuesday"/>
    <d v="1899-12-30T17:30:00"/>
    <s v="Clear"/>
    <n v="82"/>
    <s v="Portland"/>
    <n v="112.93"/>
    <n v="5.98"/>
    <n v="115"/>
    <n v="12"/>
    <n v="18.884615384615383"/>
    <n v="-4.3735664217759869"/>
    <n v="9.4108333333333345"/>
    <n v="0.9820000000000001"/>
    <n v="9.5833333333333339"/>
    <n v="2.0066889632107023"/>
    <n v="3"/>
    <d v="1899-12-30T00:29:54"/>
    <s v="Order"/>
    <n v="21.063307692307692"/>
    <n v="-2.1786923076923088"/>
    <n v="41.181000000000004"/>
    <n v="118.04"/>
    <n v="-5.1099999999999994"/>
  </r>
  <r>
    <d v="2023-07-12T00:00:00"/>
    <x v="2"/>
    <x v="45"/>
    <n v="3"/>
    <s v="QTR3"/>
    <s v="Wednesday"/>
    <d v="1899-12-30T17:30:00"/>
    <s v="Clear &amp; Humid"/>
    <n v="75"/>
    <s v="Portland"/>
    <n v="103.98"/>
    <n v="5.6"/>
    <n v="129"/>
    <n v="12"/>
    <n v="18.567857142857143"/>
    <n v="-4.6377008277324769"/>
    <n v="8.6650000000000009"/>
    <n v="0.80604651162790697"/>
    <n v="10.75"/>
    <n v="2.1428571428571428"/>
    <n v="3"/>
    <d v="1899-12-30T00:28:00"/>
    <s v="Order"/>
    <n v="21.177052197860014"/>
    <n v="-2.6091950550028713"/>
    <n v="41.173333333333332"/>
    <n v="100.2525"/>
    <n v="3.7275000000000063"/>
  </r>
  <r>
    <d v="2023-07-13T00:00:00"/>
    <x v="2"/>
    <x v="45"/>
    <n v="3"/>
    <s v="QTR3"/>
    <s v="Thursday"/>
    <d v="1899-12-30T17:30:00"/>
    <s v="Clear &amp; Humid"/>
    <n v="79"/>
    <s v="Augusta"/>
    <n v="64.75"/>
    <n v="5.05"/>
    <n v="117"/>
    <n v="8"/>
    <n v="12.821782178217822"/>
    <s v=""/>
    <n v="8.09375"/>
    <n v="0.55341880341880345"/>
    <n v="14.625"/>
    <n v="1.5841584158415842"/>
    <n v="1"/>
    <d v="1899-12-30T00:37:53"/>
    <s v="Order"/>
    <n v="17.497399025616847"/>
    <n v="-4.6756168473990254"/>
    <n v="41.892777777777773"/>
    <n v="92.132500000000007"/>
    <n v="-27.382500000000007"/>
  </r>
  <r>
    <d v="2023-07-14T00:00:00"/>
    <x v="2"/>
    <x v="45"/>
    <n v="3"/>
    <s v="QTR3"/>
    <s v="Friday"/>
    <d v="1899-12-30T17:30:00"/>
    <s v="Partially Cloudy"/>
    <n v="73"/>
    <s v="Portland"/>
    <n v="113.83"/>
    <n v="6.6"/>
    <n v="147.19999999999999"/>
    <n v="13"/>
    <n v="17.246969696969696"/>
    <n v="-5.1794323848601813"/>
    <n v="8.7561538461538468"/>
    <n v="0.77330163043478262"/>
    <n v="11.323076923076922"/>
    <n v="1.9696969696969697"/>
    <n v="3"/>
    <d v="1899-12-30T00:30:28"/>
    <s v="Order"/>
    <n v="19.277372919603788"/>
    <n v="-2.0304032226340922"/>
    <n v="41.696555555555555"/>
    <n v="98.872500000000002"/>
    <n v="14.957499999999996"/>
  </r>
  <r>
    <d v="2023-07-15T00:00:00"/>
    <x v="2"/>
    <x v="45"/>
    <n v="3"/>
    <s v="QTR3"/>
    <s v="Saturday"/>
    <d v="1899-12-30T12:30:00"/>
    <s v="Partially cloudy &amp; Humid"/>
    <n v="78"/>
    <s v="Lewiston"/>
    <n v="123.79"/>
    <n v="6.95"/>
    <n v="95"/>
    <n v="16"/>
    <n v="17.811510791366906"/>
    <n v="-5.0185271848673203"/>
    <n v="7.7368750000000004"/>
    <n v="1.3030526315789475"/>
    <n v="5.9375"/>
    <n v="2.3021582733812949"/>
    <n v="2"/>
    <d v="1899-12-30T00:26:04"/>
    <s v="Order"/>
    <n v="20.038561698743642"/>
    <n v="-2.2270509073767357"/>
    <n v="43.072000000000003"/>
    <n v="101.58750000000001"/>
    <n v="22.202500000000001"/>
  </r>
  <r>
    <d v="2023-07-16T00:00:00"/>
    <x v="2"/>
    <x v="45"/>
    <n v="3"/>
    <s v="QTR3"/>
    <s v="Sunday"/>
    <d v="1899-12-30T15:00:00"/>
    <s v="Rain"/>
    <n v="75"/>
    <s v="Brunswick/Bath/Freeport"/>
    <n v="58.629999999999995"/>
    <n v="2.65"/>
    <n v="62"/>
    <n v="5"/>
    <n v="22.124528301886791"/>
    <n v="-1.8184114271305916"/>
    <n v="11.725999999999999"/>
    <n v="0.9456451612903225"/>
    <n v="12.4"/>
    <n v="1.8867924528301887"/>
    <n v="3"/>
    <d v="1899-12-30T00:31:48"/>
    <s v="Order"/>
    <n v="22.124528301886791"/>
    <n v="0"/>
    <n v="43.723444444444446"/>
    <n v="90.25"/>
    <n v="-31.620000000000005"/>
  </r>
  <r>
    <d v="2023-07-17T00:00:00"/>
    <x v="2"/>
    <x v="25"/>
    <n v="4"/>
    <s v="QTR3"/>
    <s v="Monday"/>
    <d v="1899-12-30T17:30:00"/>
    <s v="Clear &amp; Humid"/>
    <n v="81"/>
    <s v="Portland"/>
    <n v="163.4"/>
    <n v="7.18"/>
    <n v="156.1"/>
    <n v="14"/>
    <n v="22.757660167130922"/>
    <n v="1.100977402786711"/>
    <n v="11.671428571428573"/>
    <n v="1.0467648942985266"/>
    <n v="11.15"/>
    <n v="1.9498607242339834"/>
    <n v="3"/>
    <d v="1899-12-30T00:30:46"/>
    <s v="Order"/>
    <n v="21.493139294091776"/>
    <n v="1.264520873039146"/>
    <n v="45.539000000000001"/>
    <n v="114.91249999999999"/>
    <n v="48.487500000000011"/>
  </r>
  <r>
    <d v="2023-07-18T00:00:00"/>
    <x v="2"/>
    <x v="25"/>
    <n v="4"/>
    <s v="QTR3"/>
    <s v="Tuesday"/>
    <d v="1899-12-30T17:30:00"/>
    <s v="Clear"/>
    <n v="73"/>
    <s v="Portland"/>
    <n v="115.79"/>
    <n v="5.88"/>
    <n v="123"/>
    <n v="9"/>
    <n v="19.692176870748302"/>
    <n v="-2.6912916512878731"/>
    <n v="12.865555555555556"/>
    <n v="0.94138211382113823"/>
    <n v="13.666666666666666"/>
    <n v="1.5306122448979591"/>
    <n v="3"/>
    <d v="1899-12-30T00:39:12"/>
    <s v="Order"/>
    <n v="19.176198587306246"/>
    <n v="0.5159782834420561"/>
    <n v="45.812333333333342"/>
    <n v="115.40250000000002"/>
    <n v="0.38749999999998863"/>
  </r>
  <r>
    <d v="2023-07-22T00:00:00"/>
    <x v="2"/>
    <x v="25"/>
    <n v="4"/>
    <s v="QTR3"/>
    <s v="Saturday"/>
    <d v="1899-12-30T14:00:00"/>
    <s v="Partially cloudy &amp; Humid"/>
    <n v="75"/>
    <s v="Lewiston"/>
    <n v="193.75"/>
    <n v="8.92"/>
    <n v="171"/>
    <n v="19"/>
    <n v="21.720852017937219"/>
    <n v="0.56365643665876419"/>
    <n v="10.197368421052632"/>
    <n v="1.1330409356725146"/>
    <n v="9"/>
    <n v="2.1300448430493275"/>
    <n v="5"/>
    <d v="1899-12-30T00:28:10"/>
    <s v="Order"/>
    <n v="18.936657968408081"/>
    <n v="2.7841940495291375"/>
    <n v="42.73266666666666"/>
    <n v="132.89249999999998"/>
    <n v="60.857500000000016"/>
  </r>
  <r>
    <d v="2023-07-24T00:00:00"/>
    <x v="2"/>
    <x v="26"/>
    <n v="5"/>
    <s v="QTR3"/>
    <s v="Monday"/>
    <d v="1899-12-30T17:00:00"/>
    <s v="Clear"/>
    <n v="79"/>
    <s v="Portland"/>
    <n v="50.69"/>
    <n v="3.43"/>
    <n v="78.8"/>
    <n v="6"/>
    <n v="14.778425655976674"/>
    <n v="-7.0617533421653196"/>
    <n v="8.4483333333333324"/>
    <n v="0.64327411167512694"/>
    <n v="13.133333333333333"/>
    <n v="1.749271137026239"/>
    <n v="2"/>
    <d v="1899-12-30T00:34:18"/>
    <s v="Order"/>
    <n v="21.130380645893315"/>
    <n v="-6.3519549899166403"/>
    <n v="43.295888888888882"/>
    <n v="130.9075"/>
    <n v="-80.217500000000001"/>
  </r>
  <r>
    <d v="2023-07-29T00:00:00"/>
    <x v="2"/>
    <x v="26"/>
    <n v="5"/>
    <s v="QTR3"/>
    <s v="Saturday"/>
    <d v="1899-12-30T14:30:00"/>
    <s v="Rain"/>
    <n v="64"/>
    <s v="Lewiston"/>
    <n v="198.07999999999998"/>
    <n v="8.57"/>
    <n v="116"/>
    <n v="19"/>
    <n v="23.113185530921818"/>
    <n v="1.8150758404786735"/>
    <n v="10.425263157894737"/>
    <n v="1.7075862068965515"/>
    <n v="6.1052631578947372"/>
    <n v="2.2170361726954493"/>
    <n v="4"/>
    <d v="1899-12-30T00:27:04"/>
    <s v="Order"/>
    <n v="22.885934984497997"/>
    <n v="0.22725054642382148"/>
    <n v="41.214777777777776"/>
    <n v="139.57749999999999"/>
    <n v="58.502499999999998"/>
  </r>
  <r>
    <d v="2023-07-31T00:00:00"/>
    <x v="2"/>
    <x v="51"/>
    <n v="6"/>
    <s v="QTR3"/>
    <s v="Monday"/>
    <d v="1899-12-30T17:00:00"/>
    <s v="Clear &amp; Humid"/>
    <n v="68"/>
    <s v="Portland"/>
    <n v="104.9"/>
    <n v="5.53"/>
    <n v="113"/>
    <n v="9"/>
    <n v="18.969258589511753"/>
    <n v="-1.8620985026066208"/>
    <n v="11.655555555555557"/>
    <n v="0.92831858407079648"/>
    <n v="12.555555555555555"/>
    <n v="1.6274864376130198"/>
    <n v="3"/>
    <d v="1899-12-30T00:36:52"/>
    <s v="Order"/>
    <n v="21.616253226379811"/>
    <n v="-2.6469946368680581"/>
    <n v="41.48233333333333"/>
    <n v="136.85499999999999"/>
    <n v="-31.954999999999984"/>
  </r>
  <r>
    <d v="2023-08-02T00:00:00"/>
    <x v="2"/>
    <x v="51"/>
    <n v="6"/>
    <s v="QTR3"/>
    <s v="Wednesday"/>
    <d v="1899-12-30T18:00:00"/>
    <s v="Clear"/>
    <n v="72"/>
    <s v="Augusta"/>
    <n v="66.69"/>
    <n v="4.45"/>
    <n v="109"/>
    <n v="8"/>
    <n v="14.986516853932583"/>
    <s v=""/>
    <n v="8.3362499999999997"/>
    <n v="0.61183486238532103"/>
    <n v="13.625"/>
    <n v="1.797752808988764"/>
    <n v="3"/>
    <d v="1899-12-30T00:33:23"/>
    <s v="Order"/>
    <n v="15.763025868826759"/>
    <n v="-0.77650901489417556"/>
    <n v="40.238777777777777"/>
    <n v="105.08999999999999"/>
    <n v="-38.399999999999991"/>
  </r>
  <r>
    <d v="2023-08-04T00:00:00"/>
    <x v="2"/>
    <x v="51"/>
    <n v="6"/>
    <s v="QTR3"/>
    <s v="Friday"/>
    <d v="1899-12-30T17:30:00"/>
    <s v="Stormy"/>
    <n v="66"/>
    <s v="Brunswick/Bath/Freeport"/>
    <n v="73.69"/>
    <n v="4.28"/>
    <n v="85"/>
    <n v="11"/>
    <n v="17.217289719626166"/>
    <n v="-7.2013983655264369"/>
    <n v="6.6990909090909092"/>
    <n v="0.86694117647058822"/>
    <n v="7.7272727272727275"/>
    <n v="2.570093457943925"/>
    <n v="1"/>
    <d v="1899-12-30T00:23:21"/>
    <s v="Order"/>
    <n v="17.967106899099438"/>
    <n v="-0.74981717947327198"/>
    <n v="39.335999999999999"/>
    <n v="110.84"/>
    <n v="-37.150000000000006"/>
  </r>
  <r>
    <d v="2023-08-05T00:00:00"/>
    <x v="2"/>
    <x v="51"/>
    <n v="6"/>
    <s v="QTR3"/>
    <s v="Saturday"/>
    <d v="1899-12-30T16:00:00"/>
    <s v="Clear"/>
    <n v="73"/>
    <s v="Lewiston"/>
    <n v="191.78"/>
    <n v="9.2200000000000006"/>
    <n v="162"/>
    <n v="18"/>
    <n v="20.800433839479393"/>
    <n v="-0.86069101905948742"/>
    <n v="10.654444444444444"/>
    <n v="1.1838271604938271"/>
    <n v="9"/>
    <n v="1.9522776572668112"/>
    <n v="3"/>
    <d v="1899-12-30T00:30:44"/>
    <s v="Order"/>
    <n v="19.537625371175935"/>
    <n v="1.2628084683034579"/>
    <n v="40.646111111111111"/>
    <n v="109.265"/>
    <n v="82.515000000000001"/>
  </r>
  <r>
    <d v="2023-08-06T00:00:00"/>
    <x v="2"/>
    <x v="51"/>
    <n v="6"/>
    <s v="QTR3"/>
    <s v="Sunday"/>
    <d v="1899-12-30T16:00:00"/>
    <s v="Clear"/>
    <n v="79"/>
    <s v="Lewiston"/>
    <n v="78.960000000000008"/>
    <n v="4.05"/>
    <n v="68"/>
    <n v="7"/>
    <n v="19.4962962962963"/>
    <n v="-1.3582898881285956"/>
    <n v="11.280000000000001"/>
    <n v="1.1611764705882355"/>
    <n v="9.7142857142857135"/>
    <n v="1.7283950617283952"/>
    <n v="3"/>
    <d v="1899-12-30T00:34:43"/>
    <s v="Order"/>
    <n v="22.915748241573912"/>
    <n v="-3.4194519452776113"/>
    <n v="41.523444444444443"/>
    <n v="102.78"/>
    <n v="-23.819999999999993"/>
  </r>
  <r>
    <d v="2023-08-07T00:00:00"/>
    <x v="2"/>
    <x v="46"/>
    <n v="7"/>
    <s v="QTR3"/>
    <s v="Monday"/>
    <d v="1899-12-30T17:00:00"/>
    <s v="Clear"/>
    <n v="70"/>
    <s v="Augusta"/>
    <n v="85.910000000000011"/>
    <n v="5.48"/>
    <n v="132"/>
    <n v="9"/>
    <n v="15.677007299270073"/>
    <s v=""/>
    <n v="9.5455555555555573"/>
    <n v="0.65083333333333337"/>
    <n v="14.666666666666666"/>
    <n v="1.6423357664233575"/>
    <n v="2"/>
    <d v="1899-12-30T00:36:32"/>
    <s v="Hourly"/>
    <n v="15.658282216918668"/>
    <n v="1.8725082351405575E-2"/>
    <n v="42.478000000000002"/>
    <n v="107.58500000000002"/>
    <n v="-21.675000000000011"/>
  </r>
  <r>
    <d v="2023-08-08T00:00:00"/>
    <x v="2"/>
    <x v="46"/>
    <n v="7"/>
    <s v="QTR3"/>
    <s v="Tuesday"/>
    <d v="1899-12-30T17:00:00"/>
    <s v="Rain"/>
    <n v="68"/>
    <s v="Brunswick/Bath/Freeport"/>
    <n v="106.41999999999999"/>
    <n v="4.97"/>
    <n v="124"/>
    <n v="9"/>
    <n v="21.412474849094565"/>
    <n v="-1.1269720567917965"/>
    <n v="11.824444444444444"/>
    <n v="0.85822580645161284"/>
    <n v="13.777777777777779"/>
    <n v="1.8108651911468814"/>
    <n v="3"/>
    <d v="1899-12-30T00:33:08"/>
    <s v="Order"/>
    <n v="17.127735570511192"/>
    <n v="4.2847392785833733"/>
    <n v="42.771999999999998"/>
    <n v="115.76750000000001"/>
    <n v="-9.347500000000025"/>
  </r>
  <r>
    <d v="2023-08-10T00:00:00"/>
    <x v="2"/>
    <x v="46"/>
    <n v="7"/>
    <s v="QTR3"/>
    <s v="Thursday"/>
    <d v="1899-12-30T18:30:00"/>
    <s v="Overcast"/>
    <n v="73"/>
    <s v="Portland"/>
    <n v="57.32"/>
    <n v="2.92"/>
    <n v="69"/>
    <n v="5"/>
    <n v="19.63013698630137"/>
    <n v="-2.3585751349107511"/>
    <n v="11.464"/>
    <n v="0.83072463768115945"/>
    <n v="13.8"/>
    <n v="1.7123287671232876"/>
    <n v="2"/>
    <d v="1899-12-30T00:35:02"/>
    <s v="Order"/>
    <n v="17.47428262633742"/>
    <n v="2.1558543599639499"/>
    <n v="41.988888888888901"/>
    <n v="82.152499999999989"/>
    <n v="-24.832499999999989"/>
  </r>
  <r>
    <d v="2023-08-11T00:00:00"/>
    <x v="2"/>
    <x v="46"/>
    <n v="7"/>
    <s v="QTR3"/>
    <s v="Friday"/>
    <d v="1899-12-30T17:30:00"/>
    <s v="Clear"/>
    <n v="73"/>
    <s v="Brunswick/Bath/Freeport"/>
    <n v="51.76"/>
    <n v="3.27"/>
    <n v="67"/>
    <n v="5"/>
    <n v="15.82874617737003"/>
    <n v="-7.3897088468615006"/>
    <n v="10.352"/>
    <n v="0.77253731343283583"/>
    <n v="13.4"/>
    <n v="1.5290519877675841"/>
    <n v="2"/>
    <d v="1899-12-30T00:39:14"/>
    <s v="Hourly"/>
    <n v="19.306427700229733"/>
    <n v="-3.4776815228597027"/>
    <n v="42.564000000000014"/>
    <n v="75.352499999999992"/>
    <n v="-23.592499999999994"/>
  </r>
  <r>
    <d v="2023-08-16T00:00:00"/>
    <x v="2"/>
    <x v="47"/>
    <n v="8"/>
    <s v="QTR3"/>
    <s v="Wednesday"/>
    <d v="1899-12-30T17:30:00"/>
    <s v="Overcast"/>
    <n v="66"/>
    <s v="Portland"/>
    <n v="131.44"/>
    <n v="5.57"/>
    <n v="95"/>
    <n v="14"/>
    <n v="23.597845601436266"/>
    <n v="1.0548163205227148"/>
    <n v="9.3885714285714279"/>
    <n v="1.383578947368421"/>
    <n v="6.7857142857142856"/>
    <n v="2.5134649910233393"/>
    <n v="2"/>
    <d v="1899-12-30T00:23:52"/>
    <s v="Order"/>
    <n v="23.323781261793304"/>
    <n v="0.27406433964296184"/>
    <n v="43.365888888888904"/>
    <n v="86.734999999999985"/>
    <n v="44.705000000000013"/>
  </r>
  <r>
    <d v="2023-08-17T00:00:00"/>
    <x v="2"/>
    <x v="47"/>
    <n v="8"/>
    <s v="QTR3"/>
    <s v="Thursday"/>
    <d v="1899-12-30T18:30:00"/>
    <s v="Overcast"/>
    <n v="66"/>
    <s v="Portland"/>
    <n v="97.8"/>
    <n v="4.0199999999999996"/>
    <n v="88"/>
    <n v="11"/>
    <n v="24.328358208955226"/>
    <n v="2.9292898714707931"/>
    <n v="8.8909090909090907"/>
    <n v="1.1113636363636363"/>
    <n v="8"/>
    <n v="2.7363184079601992"/>
    <n v="2"/>
    <d v="1899-12-30T00:21:56"/>
    <s v="Hourly"/>
    <n v="20.801092160105405"/>
    <n v="3.5272660488498211"/>
    <n v="44.45255555555557"/>
    <n v="84.58"/>
    <n v="13.219999999999999"/>
  </r>
  <r>
    <d v="2023-08-18T00:00:00"/>
    <x v="2"/>
    <x v="47"/>
    <n v="8"/>
    <s v="QTR3"/>
    <s v="Friday"/>
    <d v="1899-12-30T17:00:00"/>
    <s v="Overcast"/>
    <n v="70"/>
    <s v="Augusta"/>
    <n v="110.04999999999998"/>
    <n v="5.6"/>
    <n v="133"/>
    <n v="12"/>
    <n v="19.651785714285712"/>
    <s v=""/>
    <n v="9.1708333333333325"/>
    <n v="0.82744360902255631"/>
    <n v="11.083333333333334"/>
    <n v="2.1428571428571428"/>
    <n v="4"/>
    <d v="1899-12-30T00:28:00"/>
    <s v="Hourly"/>
    <n v="25.991327331647295"/>
    <n v="-6.3395416173615828"/>
    <n v="45.675333333333349"/>
    <n v="97.762499999999989"/>
    <n v="12.287499999999994"/>
  </r>
  <r>
    <d v="2023-08-19T00:00:00"/>
    <x v="2"/>
    <x v="47"/>
    <n v="8"/>
    <s v="QTR3"/>
    <s v="Saturday"/>
    <d v="1899-12-30T17:00:00"/>
    <s v="Overcast"/>
    <n v="68"/>
    <s v="Lewiston"/>
    <n v="104.25"/>
    <n v="5.37"/>
    <n v="64"/>
    <n v="15"/>
    <n v="19.41340782122905"/>
    <n v="-2.1042685341332472"/>
    <n v="6.95"/>
    <n v="1.62890625"/>
    <n v="4.2666666666666666"/>
    <n v="2.7932960893854748"/>
    <n v="2"/>
    <d v="1899-12-30T00:21:29"/>
    <s v="Hourly"/>
    <n v="19.755357688810538"/>
    <n v="-0.34194986758148715"/>
    <n v="46.613666666666681"/>
    <n v="110.88499999999999"/>
    <n v="-6.6349999999999909"/>
  </r>
  <r>
    <d v="2023-08-20T00:00:00"/>
    <x v="2"/>
    <x v="47"/>
    <n v="8"/>
    <s v="QTR3"/>
    <s v="Sunday"/>
    <d v="1899-12-30T17:00:00"/>
    <s v="Clear"/>
    <n v="79"/>
    <s v="Lewiston"/>
    <n v="20.39"/>
    <n v="1.38"/>
    <n v="29"/>
    <n v="2"/>
    <n v="14.775362318840582"/>
    <n v="-5.6264605695414502"/>
    <n v="10.195"/>
    <n v="0.70310344827586213"/>
    <n v="14.5"/>
    <n v="1.4492753623188408"/>
    <n v="1"/>
    <d v="1899-12-30T00:41:24"/>
    <s v="Hourly"/>
    <n v="20.818424402663531"/>
    <n v="-6.0430620838229494"/>
    <n v="45.836222222222233"/>
    <n v="83.122499999999988"/>
    <n v="-62.732499999999987"/>
  </r>
  <r>
    <d v="2023-08-23T00:00:00"/>
    <x v="2"/>
    <x v="48"/>
    <n v="9"/>
    <s v="QTR3"/>
    <s v="Wednesday"/>
    <d v="1899-12-30T18:00:00"/>
    <s v="Clear"/>
    <n v="73"/>
    <s v="Brunswick/Bath/Freeport"/>
    <n v="82.61"/>
    <n v="4.0199999999999996"/>
    <n v="104"/>
    <n v="8"/>
    <n v="20.549751243781095"/>
    <n v="0.11641791044775829"/>
    <n v="10.32625"/>
    <n v="0.7943269230769231"/>
    <n v="13"/>
    <n v="1.9900497512437814"/>
    <n v="1"/>
    <d v="1899-12-30T00:30:09"/>
    <s v="Hourly"/>
    <n v="24.84553283501565"/>
    <n v="-4.2957815912345545"/>
    <n v="45.640111111111118"/>
    <n v="79.325000000000003"/>
    <n v="3.2849999999999966"/>
  </r>
  <r>
    <d v="2023-08-24T00:00:00"/>
    <x v="2"/>
    <x v="48"/>
    <n v="9"/>
    <s v="QTR3"/>
    <s v="Thursday"/>
    <d v="1899-12-30T17:30:00"/>
    <s v="Overcast"/>
    <n v="68"/>
    <s v="Portland"/>
    <n v="55.68"/>
    <n v="3.25"/>
    <n v="67"/>
    <n v="6"/>
    <n v="17.132307692307691"/>
    <n v="-4.8526186194708991"/>
    <n v="9.2799999999999994"/>
    <n v="0.83104477611940297"/>
    <n v="11.166666666666666"/>
    <n v="1.8461538461538463"/>
    <n v="3"/>
    <d v="1899-12-30T00:32:30"/>
    <s v="Order"/>
    <n v="18.697475216463797"/>
    <n v="-1.5651675241561058"/>
    <n v="44.229333333333344"/>
    <n v="65.732500000000002"/>
    <n v="-10.052500000000002"/>
  </r>
  <r>
    <d v="2023-08-25T00:00:00"/>
    <x v="2"/>
    <x v="48"/>
    <n v="9"/>
    <s v="QTR3"/>
    <s v="Friday"/>
    <d v="1899-12-30T17:00:00"/>
    <s v="Rain"/>
    <n v="66"/>
    <s v="Brunswick/Bath/Freeport"/>
    <n v="173.74"/>
    <n v="7.03"/>
    <n v="117"/>
    <n v="13"/>
    <n v="24.714082503556188"/>
    <n v="2.5513001717334447"/>
    <n v="13.364615384615385"/>
    <n v="1.4849572649572651"/>
    <n v="9"/>
    <n v="1.8492176386913228"/>
    <n v="5"/>
    <d v="1899-12-30T00:32:27"/>
    <s v="Order"/>
    <n v="23.151453859227949"/>
    <n v="1.5626286443282389"/>
    <n v="46.159777777777791"/>
    <n v="83.105000000000004"/>
    <n v="90.635000000000005"/>
  </r>
  <r>
    <d v="2023-08-26T00:00:00"/>
    <x v="2"/>
    <x v="48"/>
    <n v="9"/>
    <s v="QTR3"/>
    <s v="Saturday"/>
    <d v="1899-12-30T15:30:00"/>
    <s v="Partially cloudy &amp; Humid"/>
    <n v="72"/>
    <s v="Portland"/>
    <n v="149.58000000000001"/>
    <n v="8.0299999999999994"/>
    <n v="181"/>
    <n v="16"/>
    <n v="18.627646326276466"/>
    <n v="-2.3352568995299841"/>
    <n v="9.3487500000000008"/>
    <n v="0.82640883977900559"/>
    <n v="11.3125"/>
    <n v="1.9925280199252804"/>
    <n v="5"/>
    <d v="1899-12-30T00:30:07"/>
    <s v="Order"/>
    <n v="18.425763461645694"/>
    <n v="0.20188286463077176"/>
    <n v="47.82177777777779"/>
    <n v="115.4025"/>
    <n v="34.177500000000009"/>
  </r>
  <r>
    <d v="2023-08-29T00:00:00"/>
    <x v="2"/>
    <x v="27"/>
    <n v="10"/>
    <s v="QTR3"/>
    <s v="Tuesday"/>
    <d v="1899-12-30T17:00:00"/>
    <s v="Partially Cloudy"/>
    <n v="72"/>
    <s v="Brunswick/Bath/Freeport"/>
    <n v="80.94"/>
    <n v="3.82"/>
    <n v="71"/>
    <n v="12"/>
    <n v="21.188481675392669"/>
    <n v="-1.0692222162957421"/>
    <n v="6.7450000000000001"/>
    <n v="1.1399999999999999"/>
    <n v="5.916666666666667"/>
    <n v="3.1413612565445028"/>
    <n v="3"/>
    <d v="1899-12-30T00:19:06"/>
    <s v="Order"/>
    <n v="21.303026797475862"/>
    <n v="-0.11454512208319301"/>
    <n v="48.139111111111113"/>
    <n v="114.985"/>
    <n v="-34.045000000000002"/>
  </r>
  <r>
    <d v="2023-08-30T00:00:00"/>
    <x v="2"/>
    <x v="27"/>
    <n v="10"/>
    <s v="QTR3"/>
    <s v="Wednesday"/>
    <d v="1899-12-30T17:30:00"/>
    <s v="Clear &amp; Humid"/>
    <n v="72"/>
    <s v="Portland"/>
    <n v="106.1"/>
    <n v="5.17"/>
    <n v="98"/>
    <n v="10"/>
    <n v="20.522243713733076"/>
    <n v="-2.1526376072458149"/>
    <n v="10.61"/>
    <n v="1.0826530612244898"/>
    <n v="9.8000000000000007"/>
    <n v="1.9342359767891684"/>
    <n v="3"/>
    <d v="1899-12-30T00:31:01"/>
    <s v="Order"/>
    <n v="25.564780393451905"/>
    <n v="-5.0425366797188289"/>
    <n v="48.118000000000009"/>
    <n v="127.59"/>
    <n v="-21.490000000000009"/>
  </r>
  <r>
    <d v="2023-08-31T00:00:00"/>
    <x v="2"/>
    <x v="27"/>
    <n v="10"/>
    <s v="QTR3"/>
    <s v="Thursday"/>
    <d v="1899-12-30T17:00:00"/>
    <s v="Clear"/>
    <n v="64"/>
    <s v="Portland"/>
    <n v="152.05000000000001"/>
    <n v="7.45"/>
    <n v="111"/>
    <n v="15"/>
    <n v="20.409395973154364"/>
    <n v="-0.76676056871241016"/>
    <n v="10.136666666666667"/>
    <n v="1.3698198198198199"/>
    <n v="7.4"/>
    <n v="2.0134228187919461"/>
    <n v="3"/>
    <d v="1899-12-30T00:29:48"/>
    <s v="Order"/>
    <n v="19.513187856973243"/>
    <n v="0.89620811618112128"/>
    <n v="48.545444444444456"/>
    <n v="122.1675"/>
    <n v="29.882500000000007"/>
  </r>
  <r>
    <d v="2023-09-01T00:00:00"/>
    <x v="2"/>
    <x v="27"/>
    <n v="10"/>
    <s v="QTR3"/>
    <s v="Friday"/>
    <d v="1899-12-30T16:00:00"/>
    <s v="Clear"/>
    <n v="73"/>
    <s v="Lewiston"/>
    <n v="63.02"/>
    <n v="3.87"/>
    <n v="75"/>
    <n v="8"/>
    <n v="16.284237726098191"/>
    <n v="-8.3513178294573649"/>
    <n v="7.8775000000000004"/>
    <n v="0.84026666666666672"/>
    <n v="9.375"/>
    <n v="2.0671834625322996"/>
    <n v="2"/>
    <d v="1899-12-30T00:29:02"/>
    <s v="Hourly"/>
    <n v="21.674707341206283"/>
    <n v="-5.390469615108092"/>
    <n v="49.245666666666686"/>
    <n v="100.5275"/>
    <n v="-37.5075"/>
  </r>
  <r>
    <d v="2023-09-02T00:00:00"/>
    <x v="2"/>
    <x v="27"/>
    <n v="10"/>
    <s v="QTR3"/>
    <s v="Saturday"/>
    <d v="1899-12-30T16:00:00"/>
    <s v="Clear"/>
    <n v="70"/>
    <s v="Brunswick/Bath/Freeport"/>
    <n v="173.91"/>
    <n v="7.38"/>
    <n v="177"/>
    <n v="18"/>
    <n v="23.565040650406505"/>
    <n v="5.1562768415837716"/>
    <n v="9.6616666666666671"/>
    <n v="0.98254237288135593"/>
    <n v="9.8333333333333339"/>
    <n v="2.4390243902439024"/>
    <n v="6"/>
    <d v="1899-12-30T00:24:36"/>
    <s v="Hourly"/>
    <n v="21.809743590106308"/>
    <n v="1.7552970603001974"/>
    <n v="51.178000000000011"/>
    <n v="123.76999999999998"/>
    <n v="50.140000000000015"/>
  </r>
  <r>
    <d v="2023-09-06T00:00:00"/>
    <x v="2"/>
    <x v="28"/>
    <n v="11"/>
    <s v="QTR3"/>
    <s v="Wednesday"/>
    <d v="1899-12-30T17:00:00"/>
    <s v="Clear &amp; Humid"/>
    <n v="81"/>
    <s v="Brunswick/Bath/Freeport"/>
    <n v="145.09"/>
    <n v="4.75"/>
    <n v="119"/>
    <n v="10"/>
    <n v="30.545263157894738"/>
    <n v="10.053720869337521"/>
    <n v="14.509"/>
    <n v="1.2192436974789915"/>
    <n v="11.9"/>
    <n v="2.1052631578947367"/>
    <n v="3"/>
    <d v="1899-12-30T00:28:30"/>
    <s v="Order"/>
    <n v="17.244530305697353"/>
    <n v="13.300732852197385"/>
    <n v="52.790111111111131"/>
    <n v="133.51750000000001"/>
    <n v="11.572499999999991"/>
  </r>
  <r>
    <d v="2023-09-07T00:00:00"/>
    <x v="2"/>
    <x v="28"/>
    <n v="11"/>
    <s v="QTR3"/>
    <s v="Thursday"/>
    <d v="1899-12-30T17:00:00"/>
    <s v="Clear &amp; Humid"/>
    <n v="75"/>
    <s v="Portland"/>
    <n v="134.89999999999998"/>
    <n v="5.38"/>
    <n v="107"/>
    <n v="13"/>
    <n v="25.07434944237918"/>
    <n v="4.0077301246141772"/>
    <n v="10.376923076923076"/>
    <n v="1.2607476635514017"/>
    <n v="8.2307692307692299"/>
    <n v="2.4163568773234201"/>
    <n v="2"/>
    <d v="1899-12-30T00:24:50"/>
    <s v="Order"/>
    <n v="23.619788035045261"/>
    <n v="1.4545614073339195"/>
    <n v="53.034777777777791"/>
    <n v="129.22999999999999"/>
    <n v="5.6699999999999875"/>
  </r>
  <r>
    <d v="2023-09-08T00:00:00"/>
    <x v="2"/>
    <x v="28"/>
    <n v="11"/>
    <s v="QTR3"/>
    <s v="Friday"/>
    <d v="1899-12-30T18:00:00"/>
    <s v="Stormy"/>
    <n v="79"/>
    <s v="Brunswick/Bath/Freeport"/>
    <n v="140.01999999999998"/>
    <n v="5.2"/>
    <n v="84"/>
    <n v="11"/>
    <n v="26.926923076923071"/>
    <n v="4.4452282236336451"/>
    <n v="12.729090909090907"/>
    <n v="1.6669047619047617"/>
    <n v="7.6363636363636367"/>
    <n v="2.1153846153846154"/>
    <n v="2"/>
    <d v="1899-12-30T00:28:22"/>
    <s v="Order"/>
    <n v="29.0777208364416"/>
    <n v="-2.1507977595185288"/>
    <n v="53.270555555555561"/>
    <n v="148.47999999999999"/>
    <n v="-8.460000000000008"/>
  </r>
  <r>
    <d v="2023-09-10T00:00:00"/>
    <x v="2"/>
    <x v="28"/>
    <n v="11"/>
    <s v="QTR3"/>
    <s v="Sunday"/>
    <d v="1899-12-30T18:00:00"/>
    <s v="Clear &amp; Humid"/>
    <n v="64"/>
    <s v="Portland"/>
    <n v="115.17999999999999"/>
    <n v="4.6500000000000004"/>
    <n v="111"/>
    <n v="8"/>
    <n v="24.769892473118276"/>
    <s v=""/>
    <n v="14.397499999999999"/>
    <n v="1.0376576576576575"/>
    <n v="13.875"/>
    <n v="1.7204301075268815"/>
    <n v="2"/>
    <d v="1899-12-30T00:34:53"/>
    <s v="Order"/>
    <n v="27.402916490585525"/>
    <n v="-2.6330240174672497"/>
    <n v="54.550333333333342"/>
    <n v="133.79749999999999"/>
    <n v="-18.617499999999993"/>
  </r>
  <r>
    <d v="2023-09-11T00:00:00"/>
    <x v="2"/>
    <x v="29"/>
    <n v="12"/>
    <s v="QTR3"/>
    <s v="Monday"/>
    <d v="1899-12-30T17:30:00"/>
    <s v="Rain"/>
    <n v="72"/>
    <s v="Brunswick/Bath/Freeport"/>
    <n v="116.56"/>
    <n v="4.58"/>
    <n v="124"/>
    <n v="10"/>
    <n v="25.449781659388645"/>
    <n v="12.222576774721075"/>
    <n v="11.656000000000001"/>
    <n v="0.94000000000000006"/>
    <n v="12.4"/>
    <n v="2.1834061135371177"/>
    <n v="3"/>
    <d v="1899-12-30T00:27:29"/>
    <s v="Order"/>
    <n v="20.419818365926204"/>
    <n v="5.0299632934624405"/>
    <n v="55.845444444444453"/>
    <n v="126.66499999999999"/>
    <n v="-10.10499999999999"/>
  </r>
  <r>
    <d v="2023-09-13T00:00:00"/>
    <x v="2"/>
    <x v="29"/>
    <n v="12"/>
    <s v="QTR3"/>
    <s v="Wednesday"/>
    <d v="1899-12-30T17:30:00"/>
    <s v="Overcast"/>
    <n v="70"/>
    <s v="Brunswick/Bath/Freeport"/>
    <n v="90"/>
    <n v="3.55"/>
    <n v="79"/>
    <n v="8"/>
    <n v="25.35211267605634"/>
    <n v="1.5093300977199533"/>
    <n v="11.25"/>
    <n v="1.139240506329114"/>
    <n v="9.875"/>
    <n v="2.2535211267605635"/>
    <n v="1"/>
    <d v="1899-12-30T00:26:38"/>
    <s v="Order"/>
    <n v="25.35211267605634"/>
    <n v="0"/>
    <n v="56.845444444444453"/>
    <n v="115.44"/>
    <n v="-25.439999999999998"/>
  </r>
  <r>
    <d v="2023-09-14T00:00:00"/>
    <x v="2"/>
    <x v="29"/>
    <n v="12"/>
    <s v="QTR3"/>
    <s v="Thursday"/>
    <d v="1899-12-30T18:00:00"/>
    <s v="Clear"/>
    <n v="66"/>
    <s v="Brunswick/Bath/Freeport"/>
    <n v="21.98"/>
    <n v="0.9"/>
    <n v="22"/>
    <n v="1"/>
    <n v="24.422222222222221"/>
    <n v="7.9833532457188348"/>
    <n v="21.98"/>
    <n v="0.99909090909090914"/>
    <n v="22"/>
    <n v="1.1111111111111112"/>
    <n v="1"/>
    <d v="1899-12-30T00:54:00"/>
    <s v="Order"/>
    <n v="18.367485192811206"/>
    <n v="6.0547370294110152"/>
    <n v="57.089666666666673"/>
    <n v="85.93"/>
    <n v="-63.95"/>
  </r>
  <r>
    <d v="2023-09-16T00:00:00"/>
    <x v="2"/>
    <x v="29"/>
    <n v="12"/>
    <s v="QTR3"/>
    <s v="Saturday"/>
    <d v="1899-12-30T15:30:00"/>
    <s v="Rain"/>
    <n v="66"/>
    <s v="Brunswick/Bath/Freeport"/>
    <n v="104.97000000000001"/>
    <n v="5.17"/>
    <n v="109"/>
    <n v="10"/>
    <n v="20.303675048355903"/>
    <n v="1.250376634335197"/>
    <n v="10.497000000000002"/>
    <n v="0.96302752293577998"/>
    <n v="10.9"/>
    <n v="1.9342359767891684"/>
    <n v="4"/>
    <d v="1899-12-30T00:31:01"/>
    <s v="Hourly"/>
    <n v="20.303675048355903"/>
    <n v="0"/>
    <n v="58.256000000000007"/>
    <n v="83.377499999999998"/>
    <n v="21.592500000000015"/>
  </r>
  <r>
    <d v="2023-09-19T00:00:00"/>
    <x v="2"/>
    <x v="30"/>
    <n v="13"/>
    <s v="QTR3"/>
    <s v="Tuesday"/>
    <d v="1899-12-30T17:30:00"/>
    <s v="Clear"/>
    <n v="63"/>
    <s v="Augusta"/>
    <n v="54.95"/>
    <n v="3.72"/>
    <n v="87"/>
    <n v="6"/>
    <n v="14.771505376344086"/>
    <s v=""/>
    <n v="9.1583333333333332"/>
    <n v="0.63160919540229887"/>
    <n v="14.5"/>
    <n v="1.6129032258064515"/>
    <n v="2"/>
    <d v="1899-12-30T00:37:12"/>
    <s v="Order"/>
    <n v="19.765191567522344"/>
    <n v="-4.9936861911782575"/>
    <n v="57.016555555555584"/>
    <n v="67.975000000000009"/>
    <n v="-13.025000000000006"/>
  </r>
  <r>
    <d v="2023-09-21T00:00:00"/>
    <x v="2"/>
    <x v="30"/>
    <n v="13"/>
    <s v="QTR3"/>
    <s v="Thursday"/>
    <d v="1899-12-30T17:30:00"/>
    <s v="Partially Cloudy"/>
    <n v="63"/>
    <s v="Portland"/>
    <n v="46.19"/>
    <n v="2.5499999999999998"/>
    <n v="71"/>
    <n v="5"/>
    <n v="18.113725490196078"/>
    <n v="-3.4538600931456962"/>
    <n v="9.2379999999999995"/>
    <n v="0.65056338028169014"/>
    <n v="14.2"/>
    <n v="1.9607843137254903"/>
    <n v="1"/>
    <d v="1899-12-30T00:30:36"/>
    <s v="Order"/>
    <n v="18.113725490196078"/>
    <n v="0"/>
    <n v="56.313555555555567"/>
    <n v="57.022500000000008"/>
    <n v="-10.83250000000001"/>
  </r>
  <r>
    <d v="2023-09-22T00:00:00"/>
    <x v="2"/>
    <x v="30"/>
    <n v="13"/>
    <s v="QTR3"/>
    <s v="Friday"/>
    <d v="1899-12-30T17:00:00"/>
    <s v="Clear"/>
    <n v="59"/>
    <s v="Brunswick/Bath/Freeport"/>
    <n v="11.5"/>
    <n v="0.63"/>
    <n v="14"/>
    <n v="1"/>
    <n v="18.253968253968253"/>
    <n v="-4.7216408463915762"/>
    <n v="11.5"/>
    <n v="0.8214285714285714"/>
    <n v="14"/>
    <n v="1.5873015873015872"/>
    <n v="1"/>
    <d v="1899-12-30T00:37:48"/>
    <s v="Order"/>
    <n v="28.280506125405878"/>
    <n v="-10.026537871437625"/>
    <n v="56.441333333333347"/>
    <n v="54.402500000000003"/>
    <n v="-42.902500000000003"/>
  </r>
  <r>
    <d v="2023-09-23T00:00:00"/>
    <x v="2"/>
    <x v="30"/>
    <n v="13"/>
    <s v="QTR3"/>
    <s v="Saturday"/>
    <d v="1899-12-30T16:00:00"/>
    <s v="Clear"/>
    <n v="57"/>
    <s v="Lewiston"/>
    <n v="213.76000000000002"/>
    <n v="9.42"/>
    <n v="126"/>
    <n v="26"/>
    <n v="22.692144373673038"/>
    <n v="1.4750778089012044"/>
    <n v="8.2215384615384615"/>
    <n v="1.6965079365079367"/>
    <n v="4.8461538461538458"/>
    <n v="2.7600849256900211"/>
    <n v="5"/>
    <d v="1899-12-30T00:21:44"/>
    <s v="Order"/>
    <n v="23.633743419713227"/>
    <n v="-0.94159904604018863"/>
    <n v="58.816444444444457"/>
    <n v="81.600000000000009"/>
    <n v="132.16000000000003"/>
  </r>
  <r>
    <d v="2023-09-25T00:00:00"/>
    <x v="2"/>
    <x v="31"/>
    <n v="1"/>
    <s v="QTR4"/>
    <s v="Monday"/>
    <d v="1899-12-30T18:00:00"/>
    <s v="Clear"/>
    <n v="59"/>
    <s v="Brunswick/Bath/Freeport"/>
    <n v="70.97"/>
    <n v="2.92"/>
    <n v="75"/>
    <n v="5"/>
    <n v="24.304794520547944"/>
    <n v="1.160148428415436"/>
    <n v="14.193999999999999"/>
    <n v="0.9462666666666667"/>
    <n v="15"/>
    <n v="1.7123287671232876"/>
    <n v="2"/>
    <d v="1899-12-30T00:35:02"/>
    <s v="Order"/>
    <n v="22.463410793300739"/>
    <n v="1.8413837272472051"/>
    <n v="59.605000000000018"/>
    <n v="85.605000000000018"/>
    <n v="-14.635000000000019"/>
  </r>
  <r>
    <d v="2023-09-26T00:00:00"/>
    <x v="2"/>
    <x v="31"/>
    <n v="1"/>
    <s v="QTR4"/>
    <s v="Tuesday"/>
    <d v="1899-12-30T18:30:00"/>
    <s v="Clear"/>
    <n v="61"/>
    <s v="Lewiston"/>
    <n v="60.169999999999995"/>
    <n v="3.5"/>
    <n v="63"/>
    <n v="8"/>
    <n v="17.19142857142857"/>
    <n v="-0.64387745917449024"/>
    <n v="7.5212499999999993"/>
    <n v="0.95507936507936497"/>
    <n v="7.875"/>
    <n v="2.2857142857142856"/>
    <n v="3"/>
    <d v="1899-12-30T00:26:15"/>
    <s v="Hourly"/>
    <n v="16.531874791874795"/>
    <n v="0.65955377955377514"/>
    <n v="60.273555555555575"/>
    <n v="89.100000000000009"/>
    <n v="-28.930000000000014"/>
  </r>
  <r>
    <d v="2023-09-27T00:00:00"/>
    <x v="2"/>
    <x v="31"/>
    <n v="1"/>
    <s v="QTR4"/>
    <s v="Wednesday"/>
    <d v="1899-12-30T17:00:00"/>
    <s v="Clear"/>
    <n v="63"/>
    <s v="Brunswick/Bath/Freeport"/>
    <n v="61.66"/>
    <n v="3.18"/>
    <n v="81"/>
    <n v="7"/>
    <n v="19.389937106918236"/>
    <n v="-2.7673745742684446"/>
    <n v="8.8085714285714278"/>
    <n v="0.76123456790123456"/>
    <n v="11.571428571428571"/>
    <n v="2.2012578616352201"/>
    <n v="2"/>
    <d v="1899-12-30T00:27:15"/>
    <s v="Hourly"/>
    <n v="19.389937106918236"/>
    <n v="0"/>
    <n v="60.958666666666687"/>
    <n v="101.64000000000001"/>
    <n v="-39.980000000000018"/>
  </r>
  <r>
    <d v="2023-09-28T00:00:00"/>
    <x v="2"/>
    <x v="31"/>
    <n v="1"/>
    <s v="QTR4"/>
    <s v="Thursday"/>
    <d v="1899-12-30T17:30:00"/>
    <s v="Partially Cloudy"/>
    <n v="55"/>
    <s v="Portland"/>
    <n v="24.990000000000002"/>
    <n v="1.25"/>
    <n v="48"/>
    <n v="2"/>
    <n v="19.992000000000001"/>
    <n v="4.9434654002713714"/>
    <n v="12.495000000000001"/>
    <n v="0.520625"/>
    <n v="24"/>
    <n v="1.6"/>
    <n v="2"/>
    <d v="1899-12-30T00:37:30"/>
    <s v="Order"/>
    <n v="17.60271641791045"/>
    <n v="2.3892835820895506"/>
    <n v="61.236333333333349"/>
    <n v="54.447499999999998"/>
    <n v="-29.457499999999996"/>
  </r>
  <r>
    <d v="2023-09-29T00:00:00"/>
    <x v="2"/>
    <x v="31"/>
    <n v="1"/>
    <s v="QTR4"/>
    <s v="Friday"/>
    <d v="1899-12-30T18:00:00"/>
    <s v="Partially Cloudy"/>
    <n v="61"/>
    <s v="Brunswick/Bath/Freeport"/>
    <n v="156.98000000000002"/>
    <n v="6.72"/>
    <n v="145"/>
    <n v="14"/>
    <n v="23.360119047619051"/>
    <n v="4.7351413609455051E-2"/>
    <n v="11.212857142857144"/>
    <n v="1.0826206896551724"/>
    <n v="10.357142857142858"/>
    <n v="2.0833333333333335"/>
    <n v="4"/>
    <d v="1899-12-30T00:28:48"/>
    <s v="Hourly"/>
    <n v="19.047300903119872"/>
    <n v="4.3128181444991789"/>
    <n v="62.980555555555576"/>
    <n v="75.95"/>
    <n v="81.030000000000015"/>
  </r>
  <r>
    <d v="2023-10-02T00:00:00"/>
    <x v="2"/>
    <x v="32"/>
    <n v="2"/>
    <s v="QTR4"/>
    <s v="Monday"/>
    <d v="1899-12-30T17:30:00"/>
    <s v="Clear"/>
    <n v="64"/>
    <s v="Lewiston"/>
    <n v="77.8"/>
    <n v="5.22"/>
    <n v="106"/>
    <n v="10"/>
    <n v="14.904214559386974"/>
    <n v="-9.2482497880732115"/>
    <n v="7.7799999999999994"/>
    <n v="0.73396226415094334"/>
    <n v="10.6"/>
    <n v="1.9157088122605366"/>
    <n v="3"/>
    <d v="1899-12-30T00:31:19"/>
    <s v="Hourly"/>
    <n v="25.660106415887583"/>
    <n v="-10.755891856500609"/>
    <n v="63.84500000000002"/>
    <n v="80.357500000000002"/>
    <n v="-2.5575000000000045"/>
  </r>
  <r>
    <d v="2023-10-05T00:00:00"/>
    <x v="2"/>
    <x v="32"/>
    <n v="2"/>
    <s v="QTR4"/>
    <s v="Thursday"/>
    <d v="1899-12-30T18:00:00"/>
    <s v="Overcast"/>
    <n v="63"/>
    <s v="Brunswick/Bath/Freeport"/>
    <n v="94.3"/>
    <n v="4.08"/>
    <n v="88"/>
    <n v="9"/>
    <n v="23.112745098039216"/>
    <n v="2.2461636023387292"/>
    <n v="10.477777777777778"/>
    <n v="1.071590909090909"/>
    <n v="9.7777777777777786"/>
    <n v="2.2058823529411766"/>
    <n v="2"/>
    <d v="1899-12-30T00:27:12"/>
    <s v="Order"/>
    <n v="25.855566097406705"/>
    <n v="-2.7428209993674884"/>
    <n v="61.607555555555578"/>
    <n v="88.517500000000013"/>
    <n v="5.7824999999999847"/>
  </r>
  <r>
    <d v="2023-10-06T00:00:00"/>
    <x v="2"/>
    <x v="32"/>
    <n v="2"/>
    <s v="QTR4"/>
    <s v="Friday"/>
    <d v="1899-12-30T17:30:00"/>
    <s v="Partially Cloudy"/>
    <n v="63"/>
    <s v="Brunswick/Bath/Freeport"/>
    <n v="47.39"/>
    <n v="1.8"/>
    <n v="35"/>
    <n v="5"/>
    <n v="26.327777777777776"/>
    <n v="3.0107054698036855"/>
    <n v="9.4779999999999998"/>
    <n v="1.3540000000000001"/>
    <n v="7"/>
    <n v="2.7777777777777777"/>
    <n v="1"/>
    <d v="1899-12-30T00:21:36"/>
    <s v="Hourly"/>
    <n v="26.913230994152045"/>
    <n v="-0.58545321637426895"/>
    <n v="61.05377777777781"/>
    <n v="94.117500000000007"/>
    <n v="-46.727500000000006"/>
  </r>
  <r>
    <d v="2023-10-09T00:00:00"/>
    <x v="2"/>
    <x v="33"/>
    <n v="3"/>
    <s v="QTR4"/>
    <s v="Monday"/>
    <d v="1899-12-30T17:30:00"/>
    <s v="Clear"/>
    <n v="52"/>
    <s v="Brunswick/Bath/Freeport"/>
    <n v="121.93"/>
    <n v="4.37"/>
    <n v="69"/>
    <n v="10"/>
    <n v="27.901601830663616"/>
    <n v="4.52492605284802"/>
    <n v="12.193000000000001"/>
    <n v="1.7671014492753625"/>
    <n v="6.9"/>
    <n v="2.2883295194508007"/>
    <n v="2"/>
    <d v="1899-12-30T00:26:13"/>
    <s v="Order"/>
    <n v="25.366113653699468"/>
    <n v="2.5354881769641473"/>
    <n v="60.18855555555556"/>
    <n v="85.355000000000004"/>
    <n v="36.575000000000003"/>
  </r>
  <r>
    <d v="2023-10-10T00:00:00"/>
    <x v="2"/>
    <x v="33"/>
    <n v="3"/>
    <s v="QTR4"/>
    <s v="Tuesday"/>
    <d v="1899-12-30T17:30:00"/>
    <s v="Overcast"/>
    <n v="55"/>
    <s v="Brunswick/Bath/Freeport"/>
    <n v="62.44"/>
    <n v="3.87"/>
    <n v="48"/>
    <n v="7"/>
    <n v="16.134366925064597"/>
    <n v="-8.627220181784601"/>
    <n v="8.92"/>
    <n v="1.3008333333333333"/>
    <n v="6.8571428571428568"/>
    <n v="1.8087855297157622"/>
    <n v="2"/>
    <d v="1899-12-30T00:33:10"/>
    <s v="Order"/>
    <n v="11.682034947680814"/>
    <n v="4.4523319773837837"/>
    <n v="59.727000000000004"/>
    <n v="81.515000000000001"/>
    <n v="-19.075000000000003"/>
  </r>
  <r>
    <d v="2023-10-13T00:00:00"/>
    <x v="2"/>
    <x v="33"/>
    <n v="3"/>
    <s v="QTR4"/>
    <s v="Friday"/>
    <d v="1899-12-30T17:30:00"/>
    <s v="Clear"/>
    <n v="54"/>
    <s v="Augusta"/>
    <n v="135.33000000000001"/>
    <n v="5.67"/>
    <n v="127"/>
    <n v="11"/>
    <n v="23.867724867724871"/>
    <s v=""/>
    <n v="12.302727272727275"/>
    <n v="1.0655905511811024"/>
    <n v="11.545454545454545"/>
    <n v="1.9400352733686068"/>
    <n v="1"/>
    <d v="1899-12-30T00:30:56"/>
    <s v="Hourly"/>
    <n v="25.250395053825475"/>
    <n v="-1.3826701861006043"/>
    <n v="57.870999999999995"/>
    <n v="91.772500000000008"/>
    <n v="43.557500000000005"/>
  </r>
  <r>
    <d v="2023-10-15T00:00:00"/>
    <x v="2"/>
    <x v="33"/>
    <n v="3"/>
    <s v="QTR4"/>
    <s v="Sunday"/>
    <d v="1899-12-30T18:00:00"/>
    <s v="Overcast"/>
    <n v="54"/>
    <s v="Brunswick/Bath/Freeport"/>
    <n v="50.75"/>
    <n v="1.68"/>
    <n v="33"/>
    <n v="4"/>
    <n v="30.208333333333336"/>
    <n v="11.569742505883813"/>
    <n v="12.6875"/>
    <n v="1.5378787878787878"/>
    <n v="8.25"/>
    <n v="2.3809523809523809"/>
    <n v="1"/>
    <d v="1899-12-30T00:25:12"/>
    <s v="Order"/>
    <n v="25.972257118927978"/>
    <n v="4.2360762144053581"/>
    <n v="55.967888888888893"/>
    <n v="92.612500000000011"/>
    <n v="-41.862500000000011"/>
  </r>
  <r>
    <d v="2023-10-17T00:00:00"/>
    <x v="2"/>
    <x v="34"/>
    <n v="4"/>
    <s v="QTR4"/>
    <s v="Tuesday"/>
    <d v="1899-12-30T17:30:00"/>
    <s v="Overcast"/>
    <n v="52"/>
    <s v="Portland"/>
    <n v="126.25"/>
    <n v="5.42"/>
    <n v="92"/>
    <n v="15"/>
    <n v="23.293357933579337"/>
    <n v="4.7757215699429736"/>
    <n v="8.4166666666666661"/>
    <n v="1.3722826086956521"/>
    <n v="6.1333333333333337"/>
    <n v="2.7675276752767526"/>
    <n v="1"/>
    <d v="1899-12-30T00:21:41"/>
    <s v="Order"/>
    <n v="22.723602043712745"/>
    <n v="0.56975588986659176"/>
    <n v="56.084111111111106"/>
    <n v="93.692499999999995"/>
    <n v="32.557500000000005"/>
  </r>
  <r>
    <d v="2023-10-18T00:00:00"/>
    <x v="2"/>
    <x v="34"/>
    <n v="4"/>
    <s v="QTR4"/>
    <s v="Wednesday"/>
    <d v="1899-12-30T18:00:00"/>
    <s v="Overcast"/>
    <n v="54"/>
    <s v="Brunswick/Bath/Freeport"/>
    <n v="115.52000000000001"/>
    <n v="4.5"/>
    <n v="111"/>
    <n v="9"/>
    <n v="25.671111111111113"/>
    <n v="3.9750285256358424"/>
    <n v="12.835555555555556"/>
    <n v="1.0407207207207207"/>
    <n v="12.333333333333334"/>
    <n v="2"/>
    <n v="4"/>
    <d v="1899-12-30T00:30:00"/>
    <s v="Order"/>
    <n v="25.671111111111113"/>
    <n v="0"/>
    <n v="57.367666666666665"/>
    <n v="106.96250000000001"/>
    <n v="8.5575000000000045"/>
  </r>
  <r>
    <d v="2023-10-23T00:00:00"/>
    <x v="2"/>
    <x v="35"/>
    <n v="5"/>
    <s v="QTR4"/>
    <s v="Monday"/>
    <d v="1899-12-30T18:00:00"/>
    <s v="Partially Cloudy"/>
    <n v="48"/>
    <s v="Brunswick/Bath/Freeport"/>
    <n v="93.95"/>
    <n v="3.28"/>
    <n v="54"/>
    <n v="9"/>
    <n v="28.64329268292683"/>
    <n v="4.5124625629699011"/>
    <n v="10.43888888888889"/>
    <n v="1.7398148148148149"/>
    <n v="6"/>
    <n v="2.7439024390243905"/>
    <n v="3"/>
    <d v="1899-12-30T00:21:52"/>
    <s v="Order"/>
    <n v="23.506606168174361"/>
    <n v="5.1366865147524692"/>
    <n v="55.695555555555558"/>
    <n v="96.617499999999993"/>
    <n v="-2.6674999999999898"/>
  </r>
  <r>
    <d v="2023-10-24T00:00:00"/>
    <x v="2"/>
    <x v="35"/>
    <n v="5"/>
    <s v="QTR4"/>
    <s v="Tuesday"/>
    <d v="1899-12-30T18:00:00"/>
    <s v="Overcast"/>
    <n v="50"/>
    <s v="Brunswick/Bath/Freeport"/>
    <n v="89.179999999999993"/>
    <n v="3.33"/>
    <n v="64"/>
    <n v="10"/>
    <n v="26.780780780780777"/>
    <n v="3.7446377102884973"/>
    <n v="8.9179999999999993"/>
    <n v="1.3934374999999999"/>
    <n v="6.4"/>
    <n v="3.0030030030030028"/>
    <n v="2"/>
    <d v="1899-12-30T00:19:59"/>
    <s v="Order"/>
    <n v="19.568101233763883"/>
    <n v="7.2126795470168936"/>
    <n v="56.686444444444454"/>
    <n v="106.22500000000001"/>
    <n v="-17.045000000000016"/>
  </r>
  <r>
    <d v="2023-10-25T00:00:00"/>
    <x v="2"/>
    <x v="35"/>
    <n v="5"/>
    <s v="QTR4"/>
    <s v="Wednesday"/>
    <d v="1899-12-30T17:00:00"/>
    <s v="Clear"/>
    <n v="61"/>
    <s v="Augusta"/>
    <n v="50.75"/>
    <n v="3.52"/>
    <n v="94"/>
    <n v="6"/>
    <n v="14.417613636363637"/>
    <s v=""/>
    <n v="8.4583333333333339"/>
    <n v="0.53989361702127658"/>
    <n v="15.666666666666666"/>
    <n v="1.7045454545454546"/>
    <n v="1"/>
    <d v="1899-12-30T00:35:12"/>
    <s v="Order"/>
    <n v="21.823234678878336"/>
    <n v="-7.4056210425146993"/>
    <n v="57.250333333333337"/>
    <n v="87.350000000000009"/>
    <n v="-36.600000000000009"/>
  </r>
  <r>
    <d v="2023-10-28T00:00:00"/>
    <x v="2"/>
    <x v="35"/>
    <n v="5"/>
    <s v="QTR4"/>
    <s v="Saturday"/>
    <d v="1899-12-30T15:30:00"/>
    <s v="Clear"/>
    <n v="66"/>
    <s v="Brunswick/Bath/Freeport"/>
    <n v="147.19999999999999"/>
    <n v="6.63"/>
    <n v="126"/>
    <n v="10"/>
    <n v="22.202111613876319"/>
    <n v="5.1783020900667935"/>
    <n v="14.719999999999999"/>
    <n v="1.1682539682539681"/>
    <n v="12.6"/>
    <n v="1.5082956259426847"/>
    <n v="5"/>
    <d v="1899-12-30T00:39:47"/>
    <s v="Order"/>
    <n v="19.066135172017525"/>
    <n v="3.1359764418587943"/>
    <n v="56.684999999999995"/>
    <n v="95.27"/>
    <n v="51.929999999999993"/>
  </r>
  <r>
    <d v="2023-10-29T00:00:00"/>
    <x v="2"/>
    <x v="35"/>
    <n v="5"/>
    <s v="QTR4"/>
    <s v="Sunday"/>
    <d v="1899-12-30T15:00:00"/>
    <s v="Overcast"/>
    <n v="45"/>
    <s v="Brunswick/Bath/Freeport"/>
    <n v="163.95999999999998"/>
    <n v="5.33"/>
    <n v="126"/>
    <n v="12"/>
    <n v="30.761726078799246"/>
    <n v="9.8091867501729624"/>
    <n v="13.663333333333332"/>
    <n v="1.3012698412698411"/>
    <n v="10.5"/>
    <n v="2.2514071294559099"/>
    <n v="3"/>
    <d v="1899-12-30T00:26:39"/>
    <s v="Order"/>
    <n v="29.695708063869443"/>
    <n v="1.0660180149298029"/>
    <n v="57.341222222222214"/>
    <n v="112.77249999999999"/>
    <n v="51.187499999999986"/>
  </r>
  <r>
    <d v="2023-10-30T00:00:00"/>
    <x v="2"/>
    <x v="36"/>
    <n v="6"/>
    <s v="QTR4"/>
    <s v="Monday"/>
    <d v="1899-12-30T18:30:00"/>
    <s v="Overcast"/>
    <n v="36"/>
    <s v="Brunswick/Bath/Freeport"/>
    <n v="128.74"/>
    <n v="4.4800000000000004"/>
    <n v="98"/>
    <n v="10"/>
    <n v="28.736607142857142"/>
    <n v="3.9611395139045094"/>
    <n v="12.874000000000001"/>
    <n v="1.3136734693877552"/>
    <n v="9.8000000000000007"/>
    <n v="2.2321428571428568"/>
    <n v="1"/>
    <d v="1899-12-30T00:26:53"/>
    <s v="Order"/>
    <n v="26.266434412550069"/>
    <n v="2.4701727303070733"/>
    <n v="58.771666666666654"/>
    <n v="122.66249999999999"/>
    <n v="6.0775000000000148"/>
  </r>
  <r>
    <d v="2023-10-31T00:00:00"/>
    <x v="2"/>
    <x v="36"/>
    <n v="6"/>
    <s v="QTR4"/>
    <s v="Tuesday"/>
    <d v="1899-12-30T18:00:00"/>
    <s v="Overcast"/>
    <n v="36"/>
    <s v="Brunswick/Bath/Freeport"/>
    <n v="93.91"/>
    <n v="3.97"/>
    <n v="88"/>
    <n v="10"/>
    <n v="23.65491183879093"/>
    <n v="-5.3375167494316145E-3"/>
    <n v="9.391"/>
    <n v="1.0671590909090909"/>
    <n v="8.8000000000000007"/>
    <n v="2.5188916876574305"/>
    <n v="2"/>
    <d v="1899-12-30T00:23:49"/>
    <s v="Hourly"/>
    <n v="26.085332217138063"/>
    <n v="-2.430420378347133"/>
    <n v="59.074111111111101"/>
    <n v="133.45249999999999"/>
    <n v="-39.54249999999999"/>
  </r>
  <r>
    <d v="2023-11-01T00:00:00"/>
    <x v="2"/>
    <x v="36"/>
    <n v="6"/>
    <s v="QTR4"/>
    <s v="Wednesday"/>
    <d v="1899-12-30T17:30:00"/>
    <s v="Clear"/>
    <n v="36"/>
    <s v="Brunswick/Bath/Freeport"/>
    <n v="99.39"/>
    <n v="4.12"/>
    <n v="99"/>
    <n v="10"/>
    <n v="24.123786407766989"/>
    <n v="1.8598426043437399"/>
    <n v="9.9390000000000001"/>
    <n v="1.0039393939393939"/>
    <n v="9.9"/>
    <n v="2.4271844660194173"/>
    <n v="2"/>
    <d v="1899-12-30T00:24:43"/>
    <s v="Hourly"/>
    <n v="24.123786407766989"/>
    <n v="0"/>
    <n v="60.178444444444438"/>
    <n v="121.5"/>
    <n v="-22.11"/>
  </r>
  <r>
    <d v="2023-11-03T00:00:00"/>
    <x v="2"/>
    <x v="36"/>
    <n v="6"/>
    <s v="QTR4"/>
    <s v="Friday"/>
    <d v="1899-12-30T18:30:00"/>
    <s v="Clear"/>
    <n v="48"/>
    <s v="Brunswick/Bath/Freeport"/>
    <n v="116.17"/>
    <n v="4.67"/>
    <n v="119"/>
    <n v="9"/>
    <n v="24.875802997858674"/>
    <n v="1.3078385674009425"/>
    <n v="12.907777777777778"/>
    <n v="0.97621848739495798"/>
    <n v="13.222222222222221"/>
    <n v="1.9271948608137046"/>
    <n v="2"/>
    <d v="1899-12-30T00:31:08"/>
    <s v="Order"/>
    <n v="23.946852747537971"/>
    <n v="0.92895025032070322"/>
    <n v="58.519555555555549"/>
    <n v="109.55250000000001"/>
    <n v="6.6174999999999926"/>
  </r>
  <r>
    <d v="2023-11-06T00:00:00"/>
    <x v="2"/>
    <x v="37"/>
    <n v="7"/>
    <s v="QTR4"/>
    <s v="Monday"/>
    <d v="1899-12-30T17:30:00"/>
    <s v="Overcast"/>
    <n v="39"/>
    <s v="Brunswick/Bath/Freeport"/>
    <n v="98.53"/>
    <n v="4.03"/>
    <n v="103"/>
    <n v="8"/>
    <n v="24.449131513647643"/>
    <n v="-0.8214785545430523"/>
    <n v="12.31625"/>
    <n v="0.95660194174757285"/>
    <n v="12.875"/>
    <n v="1.9851116625310172"/>
    <n v="2"/>
    <d v="1899-12-30T00:30:14"/>
    <s v="Order"/>
    <n v="24.609907387766043"/>
    <n v="-0.1607758741184"/>
    <n v="56.599999999999987"/>
    <n v="102"/>
    <n v="-3.4699999999999989"/>
  </r>
  <r>
    <d v="2023-11-08T00:00:00"/>
    <x v="2"/>
    <x v="37"/>
    <n v="7"/>
    <s v="QTR4"/>
    <s v="Wednesday"/>
    <d v="1899-12-30T18:00:00"/>
    <s v="Clear"/>
    <n v="34"/>
    <s v="Brunswick/Bath/Freeport"/>
    <n v="107.86000000000001"/>
    <n v="5.18"/>
    <n v="128"/>
    <n v="9"/>
    <n v="20.822393822393828"/>
    <n v="-1.6740303065723907"/>
    <n v="11.984444444444446"/>
    <n v="0.84265625000000011"/>
    <n v="14.222222222222221"/>
    <n v="1.7374517374517375"/>
    <n v="2"/>
    <d v="1899-12-30T00:34:32"/>
    <s v="Hourly"/>
    <n v="14.047487233777559"/>
    <n v="6.7749065886162683"/>
    <n v="57.161555555555537"/>
    <n v="105.48750000000001"/>
    <n v="2.3725000000000023"/>
  </r>
  <r>
    <d v="2023-11-10T00:00:00"/>
    <x v="2"/>
    <x v="37"/>
    <n v="7"/>
    <s v="QTR4"/>
    <s v="Friday"/>
    <d v="1899-12-30T17:30:00"/>
    <s v="Overcast"/>
    <n v="43"/>
    <s v="Lewiston"/>
    <n v="138.36000000000001"/>
    <n v="6.3"/>
    <n v="117"/>
    <n v="15"/>
    <n v="21.961904761904766"/>
    <n v="-1.5961597542242671"/>
    <n v="9.2240000000000002"/>
    <n v="1.1825641025641027"/>
    <n v="7.8"/>
    <n v="2.3809523809523809"/>
    <n v="2"/>
    <d v="1899-12-30T00:25:12"/>
    <s v="Hourly"/>
    <n v="22.483122528976669"/>
    <n v="-0.52121776707190293"/>
    <n v="58.123777777777754"/>
    <n v="115.23"/>
    <n v="23.13000000000001"/>
  </r>
  <r>
    <d v="2023-11-11T00:00:00"/>
    <x v="2"/>
    <x v="37"/>
    <n v="7"/>
    <s v="QTR4"/>
    <s v="Saturday"/>
    <d v="1899-12-30T17:30:00"/>
    <s v="Partially Cloudy"/>
    <n v="32"/>
    <s v="Portland"/>
    <n v="113.5"/>
    <n v="5.42"/>
    <n v="110"/>
    <n v="13"/>
    <n v="20.940959409594097"/>
    <n v="-3.445997112145033"/>
    <n v="8.7307692307692299"/>
    <n v="1.0318181818181817"/>
    <n v="8.4615384615384617"/>
    <n v="2.3985239852398523"/>
    <n v="2"/>
    <d v="1899-12-30T00:25:01"/>
    <s v="Order"/>
    <n v="21.362979704797048"/>
    <n v="-0.4220202952029517"/>
    <n v="59.38488888888886"/>
    <n v="114.5625"/>
    <n v="-1.0625"/>
  </r>
  <r>
    <d v="2023-11-12T00:00:00"/>
    <x v="2"/>
    <x v="37"/>
    <n v="7"/>
    <s v="QTR4"/>
    <s v="Sunday"/>
    <d v="1899-12-30T15:30:00"/>
    <s v="Clear"/>
    <n v="28"/>
    <s v="Brunswick/Bath/Freeport"/>
    <n v="159.19"/>
    <n v="6.2"/>
    <n v="119"/>
    <n v="16"/>
    <n v="25.675806451612903"/>
    <n v="3.0884026646244571"/>
    <n v="9.9493749999999999"/>
    <n v="1.3377310924369747"/>
    <n v="7.4375"/>
    <n v="2.5806451612903225"/>
    <n v="2"/>
    <d v="1899-12-30T00:23:15"/>
    <s v="Hourly"/>
    <n v="23.50977822580645"/>
    <n v="2.1660282258064534"/>
    <n v="61.153666666666638"/>
    <n v="129.72750000000002"/>
    <n v="29.462499999999977"/>
  </r>
  <r>
    <d v="2023-11-13T00:00:00"/>
    <x v="2"/>
    <x v="38"/>
    <n v="8"/>
    <s v="QTR4"/>
    <s v="Monday"/>
    <d v="1899-12-30T17:00:00"/>
    <s v="Partially Cloudy"/>
    <n v="30"/>
    <s v="Augusta"/>
    <n v="144.07"/>
    <n v="5.07"/>
    <n v="115"/>
    <n v="10"/>
    <n v="28.416173570019723"/>
    <s v=""/>
    <n v="14.407"/>
    <n v="1.2527826086956522"/>
    <n v="11.5"/>
    <n v="1.972386587771203"/>
    <n v="3"/>
    <d v="1899-12-30T00:30:25"/>
    <s v="Order"/>
    <n v="23.549802521868241"/>
    <n v="4.8663710481514819"/>
    <n v="62.75444444444441"/>
    <n v="138.78"/>
    <n v="5.289999999999992"/>
  </r>
  <r>
    <d v="2023-11-14T00:00:00"/>
    <x v="2"/>
    <x v="38"/>
    <n v="8"/>
    <s v="QTR4"/>
    <s v="Tuesday"/>
    <d v="1899-12-30T17:30:00"/>
    <s v="Clear"/>
    <n v="36"/>
    <s v="Brunswick/Bath/Freeport"/>
    <n v="81.62"/>
    <n v="3.57"/>
    <n v="65.3"/>
    <n v="8"/>
    <n v="22.86274509803922"/>
    <n v="-0.79674175510836776"/>
    <n v="10.202500000000001"/>
    <n v="1.2499234303215927"/>
    <n v="8.1624999999999996"/>
    <n v="2.2408963585434174"/>
    <n v="2"/>
    <d v="1899-12-30T00:26:47"/>
    <s v="Hourly"/>
    <n v="20.185372549019611"/>
    <n v="2.6773725490196085"/>
    <n v="62.200888888888855"/>
    <n v="124.595"/>
    <n v="-42.974999999999994"/>
  </r>
  <r>
    <d v="2023-11-16T00:00:00"/>
    <x v="2"/>
    <x v="38"/>
    <n v="8"/>
    <s v="QTR4"/>
    <s v="Thursday"/>
    <d v="1899-12-30T17:00:00"/>
    <s v="Clear"/>
    <n v="39"/>
    <s v="Lewiston"/>
    <n v="27.400000000000002"/>
    <n v="2.15"/>
    <n v="22"/>
    <n v="5"/>
    <n v="12.744186046511629"/>
    <s v=""/>
    <n v="5.48"/>
    <n v="1.2454545454545456"/>
    <n v="4.4000000000000004"/>
    <n v="2.3255813953488373"/>
    <n v="2"/>
    <d v="1899-12-30T00:25:48"/>
    <s v="Hourly"/>
    <n v="15.912805605247465"/>
    <n v="-3.1686195587358359"/>
    <n v="60.195888888888859"/>
    <n v="103.07"/>
    <n v="-75.669999999999987"/>
  </r>
  <r>
    <d v="2023-11-17T00:00:00"/>
    <x v="2"/>
    <x v="38"/>
    <n v="8"/>
    <s v="QTR4"/>
    <s v="Friday"/>
    <d v="1899-12-30T17:30:00"/>
    <s v="Overcast"/>
    <n v="55"/>
    <s v="Brunswick/Bath/Freeport"/>
    <n v="16.77"/>
    <n v="0.87"/>
    <n v="17"/>
    <n v="2"/>
    <n v="19.275862068965516"/>
    <n v="-4.3927053282153636"/>
    <n v="8.3849999999999998"/>
    <n v="0.9864705882352941"/>
    <n v="8.5"/>
    <n v="2.2988505747126435"/>
    <n v="1"/>
    <d v="1899-12-30T00:26:06"/>
    <s v="Order"/>
    <n v="24.067695029985224"/>
    <n v="-4.7918329610197077"/>
    <n v="59.223888888888865"/>
    <n v="67.465000000000003"/>
    <n v="-50.695000000000007"/>
  </r>
  <r>
    <d v="2023-11-20T00:00:00"/>
    <x v="2"/>
    <x v="39"/>
    <n v="9"/>
    <s v="QTR4"/>
    <s v="Monday"/>
    <d v="1899-12-30T17:30:00"/>
    <s v="Clear"/>
    <n v="28"/>
    <s v="Augusta"/>
    <n v="113.41"/>
    <n v="5.05"/>
    <n v="137"/>
    <n v="10"/>
    <n v="22.457425742574259"/>
    <n v="-5.9587478274454639"/>
    <n v="11.340999999999999"/>
    <n v="0.82781021897810214"/>
    <n v="13.7"/>
    <n v="1.9801980198019802"/>
    <n v="2"/>
    <d v="1899-12-30T00:30:18"/>
    <s v="Hourly"/>
    <n v="22.7536390170972"/>
    <n v="-0.29621327452294111"/>
    <n v="60.257444444444417"/>
    <n v="59.8"/>
    <n v="53.61"/>
  </r>
  <r>
    <d v="2023-11-21T00:00:00"/>
    <x v="2"/>
    <x v="39"/>
    <n v="9"/>
    <s v="QTR4"/>
    <s v="Tuesday"/>
    <d v="1899-12-30T18:00:00"/>
    <s v="Overcast"/>
    <n v="30"/>
    <s v="Lewiston"/>
    <n v="73.5"/>
    <n v="4.0199999999999996"/>
    <n v="71"/>
    <n v="9"/>
    <n v="18.28358208955224"/>
    <n v="0.66290187867400974"/>
    <n v="8.1666666666666661"/>
    <n v="1.0352112676056338"/>
    <n v="7.8888888888888893"/>
    <n v="2.238805970149254"/>
    <n v="2"/>
    <d v="1899-12-30T00:26:48"/>
    <s v="Hourly"/>
    <n v="18.28358208955224"/>
    <n v="0"/>
    <n v="60.156222222222198"/>
    <n v="57.769999999999996"/>
    <n v="15.730000000000004"/>
  </r>
  <r>
    <d v="2023-11-22T00:00:00"/>
    <x v="2"/>
    <x v="39"/>
    <n v="9"/>
    <s v="QTR4"/>
    <s v="Wednesday"/>
    <d v="1899-12-30T17:00:00"/>
    <s v="Rain"/>
    <n v="37"/>
    <s v="Brunswick/Bath/Freeport"/>
    <n v="32.18"/>
    <n v="1.83"/>
    <n v="38"/>
    <n v="3"/>
    <n v="17.584699453551913"/>
    <n v="-4.7257213080173734"/>
    <n v="10.726666666666667"/>
    <n v="0.84684210526315784"/>
    <n v="12.666666666666666"/>
    <n v="1.639344262295082"/>
    <n v="1"/>
    <d v="1899-12-30T00:36:36"/>
    <s v="Order"/>
    <n v="21.611061995023647"/>
    <n v="-4.0263625414717339"/>
    <n v="59.895111111111085"/>
    <n v="58.965000000000003"/>
    <n v="-26.785000000000004"/>
  </r>
  <r>
    <d v="2023-11-24T00:00:00"/>
    <x v="2"/>
    <x v="39"/>
    <n v="9"/>
    <s v="QTR4"/>
    <s v="Friday"/>
    <d v="1899-12-30T17:30:00"/>
    <s v="Clear"/>
    <n v="25"/>
    <s v="Brunswick/Bath/Freeport"/>
    <n v="178.75"/>
    <n v="6.55"/>
    <n v="158"/>
    <n v="15"/>
    <n v="27.290076335877863"/>
    <n v="3.9352736049980805"/>
    <n v="11.916666666666666"/>
    <n v="1.1313291139240507"/>
    <n v="10.533333333333333"/>
    <n v="2.2900763358778629"/>
    <n v="3"/>
    <d v="1899-12-30T00:26:12"/>
    <s v="Order"/>
    <n v="22.935551190780895"/>
    <n v="4.354525145096968"/>
    <n v="58.288777777777767"/>
    <n v="99.460000000000008"/>
    <n v="79.289999999999992"/>
  </r>
  <r>
    <d v="2023-11-27T00:00:00"/>
    <x v="2"/>
    <x v="40"/>
    <n v="10"/>
    <s v="QTR4"/>
    <s v="Monday"/>
    <d v="1899-12-30T17:30:00"/>
    <s v="Overcast"/>
    <n v="43"/>
    <s v="Brunswick/Bath/Freeport"/>
    <n v="112.21000000000001"/>
    <n v="4.13"/>
    <n v="108"/>
    <n v="9"/>
    <n v="27.16949152542373"/>
    <n v="1.9901568521822632"/>
    <n v="12.467777777777778"/>
    <n v="1.0389814814814815"/>
    <n v="12"/>
    <n v="2.179176755447942"/>
    <n v="3"/>
    <d v="1899-12-30T00:27:32"/>
    <s v="Order"/>
    <n v="21.442841149708883"/>
    <n v="5.726650375714847"/>
    <n v="58.636222222222216"/>
    <n v="99.16"/>
    <n v="13.050000000000011"/>
  </r>
  <r>
    <d v="2023-11-28T00:00:00"/>
    <x v="2"/>
    <x v="40"/>
    <n v="10"/>
    <s v="QTR4"/>
    <s v="Tuesday"/>
    <d v="1899-12-30T17:00:00"/>
    <s v="Clear"/>
    <n v="30"/>
    <s v="Brunswick/Bath/Freeport"/>
    <n v="153.41"/>
    <n v="4.97"/>
    <n v="142"/>
    <n v="8"/>
    <n v="30.867203219315897"/>
    <n v="7.3073090855568559"/>
    <n v="19.17625"/>
    <n v="1.0803521126760562"/>
    <n v="17.75"/>
    <n v="1.6096579476861168"/>
    <n v="2"/>
    <d v="1899-12-30T00:37:17"/>
    <s v="Order"/>
    <n v="26.00270730071486"/>
    <n v="4.8644959186010368"/>
    <n v="59.161888888888875"/>
    <n v="119.13749999999999"/>
    <n v="34.272500000000008"/>
  </r>
  <r>
    <d v="2023-11-30T00:00:00"/>
    <x v="2"/>
    <x v="40"/>
    <n v="10"/>
    <s v="QTR4"/>
    <s v="Thursday"/>
    <d v="1899-12-30T17:00:00"/>
    <s v="Partially Cloudy"/>
    <n v="37"/>
    <s v="Portland"/>
    <n v="68.13"/>
    <n v="4.0199999999999996"/>
    <n v="99"/>
    <n v="8"/>
    <n v="16.947761194029852"/>
    <n v="0.25140479421076734"/>
    <n v="8.5162499999999994"/>
    <n v="0.68818181818181812"/>
    <n v="12.375"/>
    <n v="1.9900497512437814"/>
    <n v="2"/>
    <d v="1899-12-30T00:30:09"/>
    <s v="Hourly"/>
    <n v="15.442748521543226"/>
    <n v="1.5050126724866253"/>
    <n v="57.529222222222216"/>
    <n v="128.125"/>
    <n v="-59.995000000000005"/>
  </r>
  <r>
    <d v="2023-12-06T00:00:00"/>
    <x v="2"/>
    <x v="41"/>
    <n v="11"/>
    <s v="QTR4"/>
    <s v="Wednesday"/>
    <d v="1899-12-30T17:00:00"/>
    <s v="Clear"/>
    <n v="21"/>
    <s v="Portland"/>
    <n v="76.150000000000006"/>
    <n v="3.85"/>
    <n v="80"/>
    <n v="7"/>
    <n v="19.779220779220779"/>
    <n v="7.1913724820071572"/>
    <n v="10.87857142857143"/>
    <n v="0.95187500000000003"/>
    <n v="11.428571428571429"/>
    <n v="1.8181818181818181"/>
    <n v="2"/>
    <d v="1899-12-30T00:33:00"/>
    <s v="Hourly"/>
    <n v="28.248499278499281"/>
    <n v="-8.4692784992785022"/>
    <n v="53.332000000000001"/>
    <n v="102.47499999999999"/>
    <n v="-26.324999999999989"/>
  </r>
  <r>
    <d v="2023-12-07T00:00:00"/>
    <x v="2"/>
    <x v="41"/>
    <n v="11"/>
    <s v="QTR4"/>
    <s v="Thursday"/>
    <d v="1899-12-30T17:30:00"/>
    <s v="Clear"/>
    <n v="16"/>
    <s v="Brunswick/Bath/Freeport"/>
    <n v="112.88"/>
    <n v="4.25"/>
    <n v="102"/>
    <n v="9"/>
    <n v="26.56"/>
    <n v="5.319057903909723"/>
    <n v="12.542222222222222"/>
    <n v="1.1066666666666667"/>
    <n v="11.333333333333334"/>
    <n v="2.1176470588235294"/>
    <n v="2"/>
    <d v="1899-12-30T00:28:20"/>
    <s v="Order"/>
    <n v="19.011640461215933"/>
    <n v="7.5483595387840658"/>
    <n v="53.030444444444434"/>
    <n v="102.6425"/>
    <n v="10.237499999999997"/>
  </r>
  <r>
    <d v="2023-12-08T00:00:00"/>
    <x v="2"/>
    <x v="41"/>
    <n v="11"/>
    <s v="QTR4"/>
    <s v="Friday"/>
    <d v="1899-12-30T17:30:00"/>
    <s v="Partially Cloudy"/>
    <n v="27"/>
    <s v="Portland"/>
    <n v="54.339999999999996"/>
    <n v="3.08"/>
    <n v="74"/>
    <n v="6"/>
    <n v="17.642857142857142"/>
    <n v="-0.45611859070409366"/>
    <n v="9.0566666666666666"/>
    <n v="0.73432432432432426"/>
    <n v="12.333333333333334"/>
    <n v="1.948051948051948"/>
    <n v="2"/>
    <d v="1899-12-30T00:30:48"/>
    <s v="Order"/>
    <n v="22.408214068869807"/>
    <n v="-4.7653569260126645"/>
    <n v="53.634222222222213"/>
    <n v="77.874999999999986"/>
    <n v="-23.534999999999989"/>
  </r>
  <r>
    <d v="2023-12-09T00:00:00"/>
    <x v="2"/>
    <x v="41"/>
    <n v="11"/>
    <s v="QTR4"/>
    <s v="Saturday"/>
    <d v="1899-12-30T17:30:00"/>
    <s v="Partially Cloudy"/>
    <n v="34"/>
    <s v="Lewiston"/>
    <n v="38.44"/>
    <n v="2.25"/>
    <n v="36"/>
    <n v="7"/>
    <n v="17.084444444444443"/>
    <n v="-6.7276500627727422"/>
    <n v="5.4914285714285711"/>
    <n v="1.0677777777777777"/>
    <n v="5.1428571428571432"/>
    <n v="3.1111111111111112"/>
    <n v="1"/>
    <d v="1899-12-30T00:19:17"/>
    <s v="Hourly"/>
    <n v="17.084444444444443"/>
    <n v="0"/>
    <n v="52.781555555555556"/>
    <n v="70.452500000000001"/>
    <n v="-32.012500000000003"/>
  </r>
  <r>
    <d v="2023-12-14T00:00:00"/>
    <x v="2"/>
    <x v="42"/>
    <n v="12"/>
    <s v="QTR4"/>
    <s v="Thursday"/>
    <d v="1899-12-30T17:00:00"/>
    <s v="Partially Cloudy"/>
    <n v="28"/>
    <s v="Brunswick/Bath/Freeport"/>
    <n v="166.66"/>
    <n v="6.25"/>
    <n v="144"/>
    <n v="12"/>
    <n v="26.665599999999998"/>
    <n v="4.6647924890654764"/>
    <n v="13.888333333333334"/>
    <n v="1.1573611111111111"/>
    <n v="12"/>
    <n v="1.92"/>
    <n v="4"/>
    <d v="1899-12-30T00:31:15"/>
    <s v="Order"/>
    <n v="22.64296949152542"/>
    <n v="4.0226305084745775"/>
    <n v="52.094000000000001"/>
    <n v="93.08"/>
    <n v="73.58"/>
  </r>
  <r>
    <d v="2023-12-16T00:00:00"/>
    <x v="2"/>
    <x v="42"/>
    <n v="12"/>
    <s v="QTR4"/>
    <s v="Saturday"/>
    <d v="1899-12-30T17:30:00"/>
    <s v="Clear"/>
    <n v="34"/>
    <s v="Augusta"/>
    <n v="64.72"/>
    <n v="3.13"/>
    <n v="65"/>
    <n v="6"/>
    <n v="20.677316293929714"/>
    <n v="-0.10537601376259431"/>
    <n v="10.786666666666667"/>
    <n v="0.99569230769230765"/>
    <n v="10.833333333333334"/>
    <n v="1.9169329073482428"/>
    <n v="2"/>
    <d v="1899-12-30T00:31:18"/>
    <s v="Hourly"/>
    <n v="19.249617051074445"/>
    <n v="1.4276992428552688"/>
    <n v="51.646777777777771"/>
    <n v="81.039999999999992"/>
    <n v="-16.319999999999993"/>
  </r>
  <r>
    <d v="2023-12-18T00:00:00"/>
    <x v="1"/>
    <x v="49"/>
    <n v="13"/>
    <s v="QTR4"/>
    <s v="Monday"/>
    <d v="1899-12-30T18:00:00"/>
    <s v="Stormy"/>
    <n v="52"/>
    <s v="Brunswick/Bath/Freeport"/>
    <n v="87.759999999999991"/>
    <n v="4.3499999999999996"/>
    <n v="65"/>
    <n v="8"/>
    <n v="20.174712643678159"/>
    <n v="-5.2036377147815323"/>
    <n v="10.969999999999999"/>
    <n v="1.350153846153846"/>
    <n v="8.125"/>
    <n v="1.8390804597701151"/>
    <n v="3"/>
    <d v="1899-12-30T00:32:38"/>
    <s v="Hourly"/>
    <n v="20.087356321839081"/>
    <n v="8.7356321839077822E-2"/>
    <n v="52.01133333333334"/>
    <n v="89.394999999999996"/>
    <n v="-1.6350000000000051"/>
  </r>
  <r>
    <d v="2023-12-22T00:00:00"/>
    <x v="1"/>
    <x v="49"/>
    <n v="13"/>
    <s v="QTR4"/>
    <s v="Friday"/>
    <d v="1899-12-30T18:00:00"/>
    <s v="Clear"/>
    <n v="25"/>
    <s v="Brunswick/Bath/Freeport"/>
    <n v="123.04"/>
    <n v="4.9000000000000004"/>
    <n v="92"/>
    <n v="10"/>
    <n v="25.110204081632652"/>
    <n v="1.4930497770863305"/>
    <n v="12.304"/>
    <n v="1.337391304347826"/>
    <n v="9.1999999999999993"/>
    <n v="2.0408163265306123"/>
    <n v="3"/>
    <d v="1899-12-30T00:29:24"/>
    <s v="Order"/>
    <n v="25.110204081632652"/>
    <n v="0"/>
    <n v="50.362333333333353"/>
    <n v="110.545"/>
    <n v="12.495000000000005"/>
  </r>
  <r>
    <d v="2023-12-23T00:00:00"/>
    <x v="1"/>
    <x v="49"/>
    <n v="13"/>
    <s v="QTR4"/>
    <s v="Saturday"/>
    <d v="1899-12-30T18:00:00"/>
    <s v="Partially Cloudy"/>
    <n v="32"/>
    <s v="Brunswick/Bath/Freeport"/>
    <n v="83.1"/>
    <n v="3.82"/>
    <n v="75"/>
    <n v="7"/>
    <n v="21.753926701570681"/>
    <n v="2.1409661327277583"/>
    <n v="11.87142857142857"/>
    <n v="1.1079999999999999"/>
    <n v="10.714285714285714"/>
    <n v="1.8324607329842932"/>
    <n v="2"/>
    <d v="1899-12-30T00:32:45"/>
    <s v="Hourly"/>
    <n v="21.753926701570681"/>
    <n v="0"/>
    <n v="51.285666666666685"/>
    <n v="89.655000000000001"/>
    <n v="-6.5550000000000068"/>
  </r>
  <r>
    <d v="2023-12-24T00:00:00"/>
    <x v="1"/>
    <x v="49"/>
    <n v="13"/>
    <s v="QTR4"/>
    <s v="Sunday"/>
    <d v="1899-12-30T15:00:00"/>
    <s v="Overcast"/>
    <n v="43"/>
    <s v="Brunswick/Bath/Freeport"/>
    <n v="26.08"/>
    <n v="1.43"/>
    <n v="30"/>
    <n v="2"/>
    <n v="18.237762237762237"/>
    <n v="-4.7908419298868488"/>
    <n v="13.04"/>
    <n v="0.86933333333333329"/>
    <n v="15"/>
    <n v="1.3986013986013988"/>
    <n v="2"/>
    <d v="1899-12-30T00:42:54"/>
    <s v="Order"/>
    <n v="18.237762237762237"/>
    <n v="0"/>
    <n v="50.786888888888917"/>
    <n v="79.99499999999999"/>
    <n v="-53.914999999999992"/>
  </r>
  <r>
    <d v="2023-12-27T00:00:00"/>
    <x v="2"/>
    <x v="0"/>
    <n v="1"/>
    <s v="QTR1"/>
    <s v="Wednesday"/>
    <d v="1899-12-30T17:30:00"/>
    <s v="Fog"/>
    <n v="39"/>
    <s v="Brunswick/Bath/Freeport"/>
    <n v="99.559999999999988"/>
    <n v="4.25"/>
    <n v="80"/>
    <n v="8"/>
    <n v="23.425882352941173"/>
    <n v="-6.3732523503689862"/>
    <n v="12.444999999999999"/>
    <n v="1.2444999999999999"/>
    <n v="10"/>
    <n v="1.8823529411764706"/>
    <n v="3"/>
    <d v="1899-12-30T00:31:53"/>
    <s v="Order"/>
    <n v="24.079876660341554"/>
    <n v="-0.65399430740038156"/>
    <n v="50.261777777777802"/>
    <n v="82.944999999999993"/>
    <n v="16.614999999999995"/>
  </r>
  <r>
    <d v="2023-12-29T00:00:00"/>
    <x v="2"/>
    <x v="0"/>
    <n v="1"/>
    <s v="QTR1"/>
    <s v="Friday"/>
    <d v="1899-12-30T17:30:00"/>
    <s v="Fog"/>
    <n v="36"/>
    <s v="Brunswick/Bath/Freeport"/>
    <n v="178.29"/>
    <n v="6.8"/>
    <n v="150"/>
    <n v="14"/>
    <n v="26.219117647058823"/>
    <n v="7.0316106127788558"/>
    <n v="12.734999999999999"/>
    <n v="1.1885999999999999"/>
    <n v="10.714285714285714"/>
    <n v="2.0588235294117649"/>
    <n v="4"/>
    <d v="1899-12-30T00:29:09"/>
    <s v="Order"/>
    <n v="19.988788031661809"/>
    <n v="6.2303296153970145"/>
    <n v="50.498555555555562"/>
    <n v="96.757499999999993"/>
    <n v="81.532499999999999"/>
  </r>
  <r>
    <d v="2024-01-01T00:00:00"/>
    <x v="3"/>
    <x v="0"/>
    <n v="1"/>
    <s v="QTR1"/>
    <s v="Monday"/>
    <d v="1899-12-30T18:30:00"/>
    <s v="Overcast"/>
    <n v="27"/>
    <s v="Portland"/>
    <n v="62"/>
    <n v="3.35"/>
    <n v="83"/>
    <n v="7"/>
    <n v="18.507462686567163"/>
    <n v="6.9493231516834406"/>
    <n v="8.8571428571428577"/>
    <n v="0.74698795180722888"/>
    <n v="11.857142857142858"/>
    <n v="2.08955223880597"/>
    <n v="3"/>
    <d v="1899-12-30T00:28:43"/>
    <s v="Order"/>
    <n v="22.603731343283581"/>
    <n v="-4.0962686567164184"/>
    <n v="50.323000000000008"/>
    <n v="91.482499999999987"/>
    <n v="-29.482499999999987"/>
  </r>
  <r>
    <d v="2024-01-02T00:00:00"/>
    <x v="3"/>
    <x v="0"/>
    <n v="1"/>
    <s v="QTR1"/>
    <s v="Tuesday"/>
    <d v="1899-12-30T17:00:00"/>
    <s v="Clear"/>
    <n v="28"/>
    <s v="Portland"/>
    <n v="83.03"/>
    <n v="3.55"/>
    <n v="91"/>
    <n v="7"/>
    <n v="23.388732394366198"/>
    <n v="12.548463937990359"/>
    <n v="11.861428571428572"/>
    <n v="0.91241758241758242"/>
    <n v="13"/>
    <n v="1.971830985915493"/>
    <n v="2"/>
    <d v="1899-12-30T00:30:26"/>
    <s v="Order"/>
    <n v="19.350854746801417"/>
    <n v="4.0378776475647804"/>
    <n v="51.245555555555562"/>
    <n v="105.72"/>
    <n v="-22.689999999999998"/>
  </r>
  <r>
    <d v="2024-01-03T00:00:00"/>
    <x v="3"/>
    <x v="0"/>
    <n v="1"/>
    <s v="QTR1"/>
    <s v="Wednesday"/>
    <d v="1899-12-30T17:00:00"/>
    <s v="Overcast"/>
    <n v="34"/>
    <s v="Brunswick/Bath/Freeport"/>
    <n v="92.01"/>
    <n v="3.72"/>
    <n v="58"/>
    <n v="9"/>
    <n v="24.733870967741936"/>
    <n v="-4.0030550105067242"/>
    <n v="10.223333333333334"/>
    <n v="1.5863793103448276"/>
    <n v="6.4444444444444446"/>
    <n v="2.4193548387096775"/>
    <n v="2"/>
    <d v="1899-12-30T00:24:48"/>
    <s v="Order"/>
    <n v="24.079876660341554"/>
    <n v="0.65399430740038156"/>
    <n v="51.220111111111116"/>
    <n v="103.8325"/>
    <n v="-11.822499999999991"/>
  </r>
  <r>
    <d v="2024-01-05T00:00:00"/>
    <x v="3"/>
    <x v="0"/>
    <n v="1"/>
    <s v="QTR1"/>
    <s v="Friday"/>
    <d v="1899-12-30T19:00:00"/>
    <s v="Clear"/>
    <n v="25"/>
    <s v="Brunswick/Bath/Freeport"/>
    <n v="44"/>
    <n v="2.63"/>
    <n v="57"/>
    <n v="4"/>
    <n v="16.730038022813687"/>
    <n v="-3.6294041135960917"/>
    <n v="11"/>
    <n v="0.77192982456140347"/>
    <n v="14.25"/>
    <n v="1.5209125475285172"/>
    <n v="1"/>
    <d v="1899-12-30T00:39:27"/>
    <s v="Order"/>
    <n v="19.988788031661809"/>
    <n v="-3.2587500088481214"/>
    <n v="51.182444444444442"/>
    <n v="70.260000000000005"/>
    <n v="-26.260000000000005"/>
  </r>
  <r>
    <d v="2024-01-06T00:00:00"/>
    <x v="3"/>
    <x v="0"/>
    <n v="1"/>
    <s v="QTR1"/>
    <s v="Saturday"/>
    <d v="1899-12-30T15:30:00"/>
    <s v="Overcast"/>
    <n v="25"/>
    <s v="Portland"/>
    <n v="135.41"/>
    <n v="5.32"/>
    <n v="122"/>
    <n v="10"/>
    <n v="25.453007518796991"/>
    <n v="9.8697141954661589"/>
    <n v="13.541"/>
    <n v="1.1099180327868852"/>
    <n v="12.2"/>
    <n v="1.8796992481203008"/>
    <n v="4"/>
    <d v="1899-12-30T00:31:55"/>
    <s v="Hourly"/>
    <n v="21.29747150133398"/>
    <n v="4.1555360174630103"/>
    <n v="52.686999999999998"/>
    <n v="88.612500000000011"/>
    <n v="46.797499999999985"/>
  </r>
  <r>
    <d v="2024-01-07T00:00:00"/>
    <x v="3"/>
    <x v="0"/>
    <n v="1"/>
    <s v="QTR1"/>
    <s v="Sunday"/>
    <d v="1899-12-30T12:30:00"/>
    <s v="Snow Storm"/>
    <n v="19"/>
    <s v="Brunswick/Bath/Freeport"/>
    <n v="92.73"/>
    <n v="3.9"/>
    <n v="72"/>
    <n v="7"/>
    <n v="23.776923076923079"/>
    <n v="-2.2736070457079158"/>
    <n v="13.247142857142858"/>
    <n v="1.2879166666666668"/>
    <n v="10.285714285714286"/>
    <n v="1.7948717948717949"/>
    <n v="2"/>
    <d v="1899-12-30T00:33:26"/>
    <s v="Order"/>
    <n v="22.85733102789024"/>
    <n v="0.91959204903283975"/>
    <n v="52.362555555555545"/>
    <n v="91.037499999999994"/>
    <n v="1.6925000000000097"/>
  </r>
  <r>
    <d v="2024-01-08T00:00:00"/>
    <x v="3"/>
    <x v="1"/>
    <n v="2"/>
    <s v="QTR1"/>
    <s v="Monday"/>
    <d v="1899-12-30T17:30:00"/>
    <s v="Clear"/>
    <n v="27"/>
    <s v="Brunswick/Bath/Freeport"/>
    <n v="76.84"/>
    <n v="2.9"/>
    <n v="64"/>
    <n v="6"/>
    <n v="26.496551724137934"/>
    <n v="0.44798277807112186"/>
    <n v="12.806666666666667"/>
    <n v="1.2006250000000001"/>
    <n v="10.666666666666666"/>
    <n v="2.0689655172413794"/>
    <n v="3"/>
    <d v="1899-12-30T00:29:00"/>
    <s v="Hourly"/>
    <n v="26.496551724137934"/>
    <n v="0"/>
    <n v="52.522555555555556"/>
    <n v="87.245000000000005"/>
    <n v="-10.405000000000001"/>
  </r>
  <r>
    <d v="2024-01-09T00:00:00"/>
    <x v="3"/>
    <x v="1"/>
    <n v="2"/>
    <s v="QTR1"/>
    <s v="Tuesday"/>
    <d v="1899-12-30T17:30:00"/>
    <s v="Light Snow"/>
    <n v="34"/>
    <s v="Brunswick/Bath/Freeport"/>
    <n v="66.290000000000006"/>
    <n v="2.95"/>
    <n v="78"/>
    <n v="5"/>
    <n v="22.471186440677968"/>
    <n v="-5.7925728412063222"/>
    <n v="13.258000000000001"/>
    <n v="0.84987179487179498"/>
    <n v="15.6"/>
    <n v="1.6949152542372881"/>
    <n v="2"/>
    <d v="1899-12-30T00:35:24"/>
    <s v="Hourly"/>
    <n v="19.135593220338983"/>
    <n v="3.3355932203389855"/>
    <n v="53.25911111111111"/>
    <n v="92.81750000000001"/>
    <n v="-26.527500000000003"/>
  </r>
  <r>
    <d v="2024-01-10T00:00:00"/>
    <x v="3"/>
    <x v="1"/>
    <n v="2"/>
    <s v="QTR1"/>
    <s v="Wednesday"/>
    <d v="1899-12-30T18:00:00"/>
    <s v="Partially Cloudy"/>
    <n v="39"/>
    <s v="Brunswick/Bath/Freeport"/>
    <n v="19.37"/>
    <n v="0.75"/>
    <n v="9"/>
    <n v="2"/>
    <n v="25.826666666666668"/>
    <n v="-2.338394310081032"/>
    <n v="9.6850000000000005"/>
    <n v="2.1522222222222225"/>
    <n v="4.5"/>
    <n v="2.6666666666666665"/>
    <n v="1"/>
    <d v="1899-12-30T00:22:30"/>
    <s v="Hourly"/>
    <n v="20.407605676328505"/>
    <n v="5.4190609903381635"/>
    <n v="53.474333333333327"/>
    <n v="63.807500000000005"/>
    <n v="-44.4375"/>
  </r>
  <r>
    <d v="2024-01-11T00:00:00"/>
    <x v="3"/>
    <x v="1"/>
    <n v="2"/>
    <s v="QTR1"/>
    <s v="Thursday"/>
    <d v="1899-12-30T17:30:00"/>
    <s v="Overcast"/>
    <n v="36"/>
    <s v="Augusta"/>
    <n v="72.16"/>
    <n v="3.27"/>
    <n v="77"/>
    <n v="5"/>
    <n v="22.067278287461772"/>
    <n v="9.383490165471402"/>
    <n v="14.431999999999999"/>
    <n v="0.93714285714285706"/>
    <n v="15.4"/>
    <n v="1.5290519877675841"/>
    <n v="2"/>
    <d v="1899-12-30T00:39:14"/>
    <s v="Order"/>
    <n v="15.15404435630213"/>
    <n v="6.9132339311596418"/>
    <n v="52.772444444444439"/>
    <n v="58.664999999999999"/>
    <n v="13.494999999999997"/>
  </r>
  <r>
    <d v="2024-01-13T00:00:00"/>
    <x v="3"/>
    <x v="1"/>
    <n v="2"/>
    <s v="QTR1"/>
    <s v="Saturday"/>
    <d v="1899-12-30T17:00:00"/>
    <s v="Clear"/>
    <n v="28"/>
    <s v="Lewiston"/>
    <n v="56.12"/>
    <n v="2.1"/>
    <n v="46"/>
    <n v="6"/>
    <n v="26.723809523809521"/>
    <n v="10.252737294469355"/>
    <n v="9.3533333333333335"/>
    <n v="1.22"/>
    <n v="7.666666666666667"/>
    <n v="2.8571428571428572"/>
    <n v="1"/>
    <d v="1899-12-30T00:21:00"/>
    <s v="Hourly"/>
    <n v="24.347155499367886"/>
    <n v="2.3766540244416348"/>
    <n v="52.832111111111097"/>
    <n v="53.484999999999999"/>
    <n v="2.634999999999998"/>
  </r>
  <r>
    <d v="2024-01-14T00:00:00"/>
    <x v="3"/>
    <x v="1"/>
    <n v="2"/>
    <s v="QTR1"/>
    <s v="Sunday"/>
    <d v="1899-12-30T17:30:00"/>
    <s v="Clear"/>
    <n v="30"/>
    <s v="Brunswick/Bath/Freeport"/>
    <n v="85.51"/>
    <n v="3.1"/>
    <n v="81"/>
    <n v="7"/>
    <n v="27.583870967741937"/>
    <n v="1.9122753527289298"/>
    <n v="12.215714285714286"/>
    <n v="1.0556790123456792"/>
    <n v="11.571428571428571"/>
    <n v="2.258064516129032"/>
    <n v="3"/>
    <d v="1899-12-30T00:26:34"/>
    <s v="Hourly"/>
    <n v="17.041251039326678"/>
    <n v="10.54261992841526"/>
    <n v="53.782222222222209"/>
    <n v="58.290000000000006"/>
    <n v="27.22"/>
  </r>
  <r>
    <d v="2024-01-15T00:00:00"/>
    <x v="3"/>
    <x v="2"/>
    <n v="3"/>
    <s v="QTR1"/>
    <s v="Monday"/>
    <d v="1899-12-30T17:30:00"/>
    <s v="Clear"/>
    <n v="25"/>
    <s v="Brunswick/Bath/Freeport"/>
    <n v="82.2"/>
    <n v="3.57"/>
    <n v="86"/>
    <n v="8"/>
    <n v="23.025210084033617"/>
    <n v="-3.0681571398403058"/>
    <n v="10.275"/>
    <n v="0.95581395348837217"/>
    <n v="10.75"/>
    <n v="2.2408963585434174"/>
    <n v="4"/>
    <d v="1899-12-30T00:26:47"/>
    <s v="Hourly"/>
    <n v="20.098029868779264"/>
    <n v="2.9271802152543529"/>
    <n v="53.292777777777765"/>
    <n v="73.997500000000002"/>
    <n v="8.2025000000000006"/>
  </r>
  <r>
    <d v="2024-01-16T00:00:00"/>
    <x v="3"/>
    <x v="2"/>
    <n v="3"/>
    <s v="QTR1"/>
    <s v="Tuesday"/>
    <d v="1899-12-30T17:00:00"/>
    <s v="Snow Storm"/>
    <n v="27"/>
    <s v="Brunswick/Bath/Freeport"/>
    <n v="177.49"/>
    <n v="4.97"/>
    <n v="117"/>
    <n v="9"/>
    <n v="35.712273641851112"/>
    <n v="8.0277716440874549"/>
    <n v="19.721111111111114"/>
    <n v="1.517008547008547"/>
    <n v="13"/>
    <n v="1.8108651911468814"/>
    <n v="3"/>
    <d v="1899-12-30T00:33:08"/>
    <s v="Order"/>
    <n v="24.309841019700176"/>
    <n v="11.402432622150936"/>
    <n v="53.981333333333332"/>
    <n v="100.33"/>
    <n v="77.160000000000011"/>
  </r>
  <r>
    <d v="2024-01-20T00:00:00"/>
    <x v="3"/>
    <x v="2"/>
    <n v="3"/>
    <s v="QTR1"/>
    <s v="Saturday"/>
    <d v="1899-12-30T17:00:00"/>
    <s v="Light Snow"/>
    <n v="16"/>
    <s v="Brunswick/Bath/Freeport"/>
    <n v="97.4"/>
    <n v="5.08"/>
    <n v="134"/>
    <n v="12"/>
    <n v="19.173228346456693"/>
    <n v="-6.7738053849722455"/>
    <n v="8.1166666666666671"/>
    <n v="0.72686567164179106"/>
    <n v="11.166666666666666"/>
    <n v="2.3622047244094486"/>
    <n v="3"/>
    <d v="1899-12-30T00:25:24"/>
    <s v="Hourly"/>
    <n v="19.264398626308076"/>
    <n v="-9.1170279851382929E-2"/>
    <n v="55.063555555555546"/>
    <n v="110.65"/>
    <n v="-13.25"/>
  </r>
  <r>
    <d v="2024-01-22T00:00:00"/>
    <x v="3"/>
    <x v="50"/>
    <n v="4"/>
    <s v="QTR1"/>
    <s v="Monday"/>
    <d v="1899-12-30T17:30:00"/>
    <s v="Partially Cloudy"/>
    <n v="34"/>
    <s v="Brunswick/Bath/Freeport"/>
    <n v="98.320000000000007"/>
    <n v="4.88"/>
    <n v="116"/>
    <n v="9"/>
    <n v="20.147540983606561"/>
    <n v="-5.6669028639182457"/>
    <n v="10.924444444444445"/>
    <n v="0.84758620689655184"/>
    <n v="12.888888888888889"/>
    <n v="1.8442622950819672"/>
    <n v="5"/>
    <d v="1899-12-30T00:32:32"/>
    <s v="Hourly"/>
    <n v="17.658323337331733"/>
    <n v="2.4892176462748274"/>
    <n v="54.121222222222208"/>
    <n v="113.85250000000001"/>
    <n v="-15.532499999999999"/>
  </r>
  <r>
    <d v="2024-01-23T00:00:00"/>
    <x v="3"/>
    <x v="50"/>
    <n v="4"/>
    <s v="QTR1"/>
    <s v="Tuesday"/>
    <d v="1899-12-30T17:30:00"/>
    <s v="Clear"/>
    <n v="28"/>
    <s v="Brunswick/Bath/Freeport"/>
    <n v="42.34"/>
    <n v="2.27"/>
    <n v="69"/>
    <n v="5"/>
    <n v="18.651982378854626"/>
    <n v="-9.7623170410988038"/>
    <n v="8.468"/>
    <n v="0.6136231884057971"/>
    <n v="13.8"/>
    <n v="2.2026431718061672"/>
    <n v="2"/>
    <d v="1899-12-30T00:27:14"/>
    <s v="Hourly"/>
    <n v="17.237755895309665"/>
    <n v="1.4142264835449616"/>
    <n v="54.027777777777764"/>
    <n v="103.88749999999999"/>
    <n v="-61.547499999999985"/>
  </r>
  <r>
    <d v="2024-01-25T00:00:00"/>
    <x v="3"/>
    <x v="50"/>
    <n v="4"/>
    <s v="QTR1"/>
    <s v="Thursday"/>
    <d v="1899-12-30T17:30:00"/>
    <s v="Overcast"/>
    <n v="37"/>
    <s v="Brunswick/Bath/Freeport"/>
    <n v="93.22"/>
    <n v="3.87"/>
    <n v="77"/>
    <n v="6"/>
    <n v="24.087855297157621"/>
    <n v="5.356052225174583"/>
    <n v="15.536666666666667"/>
    <n v="1.2106493506493505"/>
    <n v="12.833333333333334"/>
    <n v="1.5503875968992247"/>
    <n v="3"/>
    <d v="1899-12-30T00:38:42"/>
    <s v="Order"/>
    <n v="21.955737464529733"/>
    <n v="2.1321178326278876"/>
    <n v="55.063555555555546"/>
    <n v="82.820000000000007"/>
    <n v="10.399999999999991"/>
  </r>
  <r>
    <d v="2024-01-26T00:00:00"/>
    <x v="3"/>
    <x v="50"/>
    <n v="4"/>
    <s v="QTR1"/>
    <s v="Friday"/>
    <d v="1899-12-30T17:30:00"/>
    <s v="Overcast"/>
    <n v="34"/>
    <s v="Lewiston"/>
    <n v="96.81"/>
    <n v="5.43"/>
    <n v="116"/>
    <n v="12"/>
    <n v="17.828729281767956"/>
    <n v="-2.885466925333855"/>
    <n v="8.0675000000000008"/>
    <n v="0.83456896551724136"/>
    <n v="9.6666666666666661"/>
    <n v="2.2099447513812156"/>
    <n v="4"/>
    <d v="1899-12-30T00:27:09"/>
    <s v="Hourly"/>
    <n v="16.768241380446604"/>
    <n v="1.060487901321352"/>
    <n v="54.503666666666668"/>
    <n v="82.672500000000014"/>
    <n v="14.137499999999989"/>
  </r>
  <r>
    <d v="2024-01-27T00:00:00"/>
    <x v="3"/>
    <x v="50"/>
    <n v="4"/>
    <s v="QTR1"/>
    <s v="Saturday"/>
    <d v="1899-12-30T16:30:00"/>
    <s v="Overcast"/>
    <n v="34"/>
    <s v="Brunswick/Bath/Freeport"/>
    <n v="110.72"/>
    <n v="4.47"/>
    <n v="126"/>
    <n v="8"/>
    <n v="24.769574944071589"/>
    <n v="-0.69361554557361771"/>
    <n v="13.84"/>
    <n v="0.87873015873015869"/>
    <n v="15.75"/>
    <n v="1.789709172259508"/>
    <n v="2"/>
    <d v="1899-12-30T00:33:32"/>
    <s v="Order"/>
    <n v="21.782255826466173"/>
    <n v="2.9873191176054164"/>
    <n v="53.912111111111116"/>
    <n v="85.772500000000008"/>
    <n v="24.947499999999991"/>
  </r>
  <r>
    <d v="2024-01-30T00:00:00"/>
    <x v="3"/>
    <x v="3"/>
    <n v="5"/>
    <s v="QTR1"/>
    <s v="Tuesday"/>
    <d v="1899-12-30T18:30:00"/>
    <s v="Clear"/>
    <n v="13"/>
    <s v="Brunswick/Bath/Freeport"/>
    <n v="171.26999999999998"/>
    <n v="4.75"/>
    <n v="128"/>
    <n v="10"/>
    <n v="36.056842105263151"/>
    <n v="8.4560691054012871"/>
    <n v="17.126999999999999"/>
    <n v="1.3380468749999999"/>
    <n v="12.8"/>
    <n v="2.1052631578947367"/>
    <n v="3"/>
    <d v="1899-12-30T00:28:30"/>
    <s v="Order"/>
    <n v="27.034416256468504"/>
    <n v="9.0224258487946472"/>
    <n v="52.236888888888906"/>
    <n v="118.005"/>
    <n v="53.264999999999986"/>
  </r>
  <r>
    <d v="2024-01-31T00:00:00"/>
    <x v="3"/>
    <x v="3"/>
    <n v="5"/>
    <s v="QTR1"/>
    <s v="Wednesday"/>
    <d v="1899-12-30T17:30:00"/>
    <s v="Overcast"/>
    <n v="27"/>
    <s v="Augusta"/>
    <n v="50.35"/>
    <n v="3.57"/>
    <n v="96"/>
    <n v="6"/>
    <n v="14.103641456582634"/>
    <n v="-3.2421439840303936"/>
    <n v="8.3916666666666675"/>
    <n v="0.52447916666666672"/>
    <n v="16"/>
    <n v="1.680672268907563"/>
    <n v="3"/>
    <d v="1899-12-30T00:35:42"/>
    <s v="Hourly"/>
    <n v="15.690709617180207"/>
    <n v="-1.5870681605975729"/>
    <n v="52.796333333333351"/>
    <n v="107.28749999999999"/>
    <n v="-56.937499999999993"/>
  </r>
  <r>
    <d v="2024-02-01T00:00:00"/>
    <x v="3"/>
    <x v="3"/>
    <n v="5"/>
    <s v="QTR1"/>
    <s v="Thursday"/>
    <d v="1899-12-30T17:30:00"/>
    <s v="Light Snow"/>
    <n v="34"/>
    <s v="Lewiston"/>
    <n v="58.83"/>
    <n v="3.23"/>
    <n v="71"/>
    <n v="9"/>
    <n v="18.213622291021672"/>
    <n v="-3.5535609693881973"/>
    <n v="6.5366666666666662"/>
    <n v="0.82859154929577461"/>
    <n v="7.8888888888888893"/>
    <n v="2.7863777089783284"/>
    <n v="2"/>
    <d v="1899-12-30T00:21:32"/>
    <s v="Hourly"/>
    <n v="19.482607323854786"/>
    <n v="-1.2689850328331147"/>
    <n v="52.15922222222224"/>
    <n v="97.792500000000004"/>
    <n v="-38.962500000000006"/>
  </r>
  <r>
    <d v="2024-02-02T00:00:00"/>
    <x v="3"/>
    <x v="3"/>
    <n v="5"/>
    <s v="QTR1"/>
    <s v="Friday"/>
    <d v="1899-12-30T18:00:00"/>
    <s v="Overcast"/>
    <n v="36"/>
    <s v="Lewiston"/>
    <n v="88.64"/>
    <n v="5.3"/>
    <n v="89"/>
    <n v="12"/>
    <n v="16.724528301886792"/>
    <n v="-3.6289845395482843"/>
    <n v="7.3866666666666667"/>
    <n v="0.99595505617977531"/>
    <n v="7.416666666666667"/>
    <n v="2.2641509433962264"/>
    <n v="4"/>
    <d v="1899-12-30T00:26:30"/>
    <s v="Hourly"/>
    <n v="15.426890001283532"/>
    <n v="1.2976383006032606"/>
    <n v="53.144111111111137"/>
    <n v="92.272499999999994"/>
    <n v="-3.6324999999999932"/>
  </r>
  <r>
    <d v="2024-02-05T00:00:00"/>
    <x v="3"/>
    <x v="4"/>
    <n v="6"/>
    <s v="QTR1"/>
    <s v="Monday"/>
    <d v="1899-12-30T17:30:00"/>
    <s v="Overcast"/>
    <n v="30"/>
    <s v="Lewiston"/>
    <n v="39.82"/>
    <n v="2.3199999999999998"/>
    <n v="36"/>
    <n v="5"/>
    <n v="17.163793103448278"/>
    <n v="-1.143899204244029"/>
    <n v="7.9640000000000004"/>
    <n v="1.106111111111111"/>
    <n v="7.2"/>
    <n v="2.1551724137931036"/>
    <n v="1"/>
    <d v="1899-12-30T00:27:50"/>
    <s v="Hourly"/>
    <n v="16.370667853439272"/>
    <n v="0.79312525000900536"/>
    <n v="52.491777777777791"/>
    <n v="59.41"/>
    <n v="-19.589999999999996"/>
  </r>
  <r>
    <d v="2024-02-07T00:00:00"/>
    <x v="3"/>
    <x v="4"/>
    <n v="6"/>
    <s v="QTR1"/>
    <s v="Wednesday"/>
    <d v="1899-12-30T17:30:00"/>
    <s v="Clear"/>
    <n v="32"/>
    <s v="Brunswick/Bath/Freeport"/>
    <n v="54.54"/>
    <n v="2.37"/>
    <n v="52"/>
    <n v="5"/>
    <n v="23.0126582278481"/>
    <n v="-4.8601034601394701"/>
    <n v="10.907999999999999"/>
    <n v="1.0488461538461538"/>
    <n v="10.4"/>
    <n v="2.109704641350211"/>
    <n v="1"/>
    <d v="1899-12-30T00:28:26"/>
    <s v="Hourly"/>
    <n v="21.938596739633184"/>
    <n v="1.074061488214916"/>
    <n v="51.899333333333338"/>
    <n v="60.457499999999996"/>
    <n v="-5.9174999999999969"/>
  </r>
  <r>
    <d v="2024-02-08T00:00:00"/>
    <x v="3"/>
    <x v="4"/>
    <n v="6"/>
    <s v="QTR1"/>
    <s v="Thursday"/>
    <d v="1899-12-30T17:00:00"/>
    <s v="Clear"/>
    <n v="36"/>
    <s v="Lewiston"/>
    <n v="118.72999999999999"/>
    <n v="5.45"/>
    <n v="104"/>
    <n v="13"/>
    <n v="21.785321100917429"/>
    <n v="0.52578940756301762"/>
    <n v="9.1330769230769224"/>
    <n v="1.1416346153846153"/>
    <n v="8"/>
    <n v="2.3853211009174311"/>
    <n v="3"/>
    <d v="1899-12-30T00:25:09"/>
    <s v="Order"/>
    <n v="20.232614280015955"/>
    <n v="1.5527068209014736"/>
    <n v="51.681222222222218"/>
    <n v="75.432500000000005"/>
    <n v="43.297499999999985"/>
  </r>
  <r>
    <d v="2024-02-09T00:00:00"/>
    <x v="3"/>
    <x v="4"/>
    <n v="6"/>
    <s v="QTR1"/>
    <s v="Friday"/>
    <d v="1899-12-30T18:00:00"/>
    <s v="Partially Cloudy"/>
    <n v="36"/>
    <s v="Lewiston"/>
    <n v="120.59"/>
    <n v="5.83"/>
    <n v="117"/>
    <n v="13"/>
    <n v="20.684391080617495"/>
    <n v="0.73409874357667348"/>
    <n v="9.2761538461538464"/>
    <n v="1.0306837606837607"/>
    <n v="9"/>
    <n v="2.229845626072041"/>
    <n v="3"/>
    <d v="1899-12-30T00:26:54"/>
    <s v="Order"/>
    <n v="16.078306651419858"/>
    <n v="4.6060844291976366"/>
    <n v="51.76"/>
    <n v="83.419999999999987"/>
    <n v="37.170000000000016"/>
  </r>
  <r>
    <d v="2024-02-10T00:00:00"/>
    <x v="3"/>
    <x v="4"/>
    <n v="6"/>
    <s v="QTR1"/>
    <s v="Saturday"/>
    <d v="1899-12-30T18:00:00"/>
    <s v="Clear"/>
    <n v="43"/>
    <s v="Brunswick/Bath/Freeport"/>
    <n v="69.02"/>
    <n v="3.13"/>
    <n v="62"/>
    <n v="8"/>
    <n v="22.051118210862619"/>
    <n v="-3.3658312424110122"/>
    <n v="8.6274999999999995"/>
    <n v="1.1132258064516127"/>
    <n v="7.75"/>
    <n v="2.5559105431309903"/>
    <n v="2"/>
    <d v="1899-12-30T00:23:29"/>
    <s v="Order"/>
    <n v="22.051118210862619"/>
    <n v="0"/>
    <n v="50.758111111111106"/>
    <n v="90.72"/>
    <n v="-21.700000000000003"/>
  </r>
  <r>
    <d v="2024-02-13T00:00:00"/>
    <x v="3"/>
    <x v="5"/>
    <n v="7"/>
    <s v="QTR1"/>
    <s v="Tuesday"/>
    <d v="1899-12-30T17:30:00"/>
    <s v="Clear"/>
    <n v="30"/>
    <s v="Brunswick/Bath/Freeport"/>
    <n v="100.53999999999999"/>
    <n v="4.1500000000000004"/>
    <n v="92"/>
    <n v="10"/>
    <n v="24.226506024096381"/>
    <n v="-4.0247338300271238"/>
    <n v="10.053999999999998"/>
    <n v="1.0928260869565216"/>
    <n v="9.1999999999999993"/>
    <n v="2.4096385542168672"/>
    <n v="3"/>
    <d v="1899-12-30T00:24:54"/>
    <s v="Order"/>
    <n v="27.074867409256267"/>
    <n v="-2.8483613851598868"/>
    <n v="49.367555555555555"/>
    <n v="102.22"/>
    <n v="-1.6800000000000068"/>
  </r>
  <r>
    <d v="2024-02-14T00:00:00"/>
    <x v="3"/>
    <x v="5"/>
    <n v="7"/>
    <s v="QTR1"/>
    <s v="Wednesday"/>
    <d v="1899-12-30T17:30:00"/>
    <s v="Clear"/>
    <n v="21"/>
    <s v="Brunswick/Bath/Freeport"/>
    <n v="192.15"/>
    <n v="5.18"/>
    <n v="90"/>
    <n v="14"/>
    <n v="37.094594594594597"/>
    <n v="9.7618444021780775"/>
    <n v="13.725"/>
    <n v="2.1350000000000002"/>
    <n v="6.4285714285714288"/>
    <n v="2.7027027027027026"/>
    <n v="3"/>
    <d v="1899-12-30T00:22:12"/>
    <s v="Order"/>
    <n v="30.479921410772477"/>
    <n v="6.61467318382212"/>
    <n v="51.19811111111111"/>
    <n v="120.57499999999999"/>
    <n v="71.575000000000017"/>
  </r>
  <r>
    <d v="2024-02-16T00:00:00"/>
    <x v="3"/>
    <x v="5"/>
    <n v="7"/>
    <s v="QTR1"/>
    <s v="Friday"/>
    <d v="1899-12-30T17:30:00"/>
    <s v="Clear"/>
    <n v="25"/>
    <s v="Lewiston"/>
    <n v="81.539999999999992"/>
    <n v="4.4800000000000004"/>
    <n v="51"/>
    <n v="15"/>
    <n v="18.200892857142854"/>
    <n v="-1.8228093542556358"/>
    <n v="5.4359999999999991"/>
    <n v="1.5988235294117645"/>
    <n v="3.4"/>
    <n v="3.3482142857142856"/>
    <n v="4"/>
    <d v="1899-12-30T00:17:55"/>
    <s v="Order"/>
    <n v="19.441531699889257"/>
    <n v="-1.240638842746403"/>
    <n v="51.917777777777772"/>
    <n v="110.8125"/>
    <n v="-29.272500000000008"/>
  </r>
  <r>
    <d v="2024-02-17T00:00:00"/>
    <x v="3"/>
    <x v="5"/>
    <n v="7"/>
    <s v="QTR1"/>
    <s v="Saturday"/>
    <d v="1899-12-30T19:00:00"/>
    <s v="Icy"/>
    <n v="21"/>
    <s v="Brunswick/Bath/Freeport"/>
    <n v="132.19"/>
    <n v="4.88"/>
    <n v="120"/>
    <n v="11"/>
    <n v="27.08811475409836"/>
    <n v="1.8815297534754158"/>
    <n v="12.017272727272728"/>
    <n v="1.1015833333333334"/>
    <n v="10.909090909090908"/>
    <n v="2.2540983606557377"/>
    <n v="3"/>
    <d v="1899-12-30T00:26:37"/>
    <s v="Order"/>
    <n v="23.598377948374907"/>
    <n v="3.489736805723453"/>
    <n v="53.386555555555546"/>
    <n v="126.605"/>
    <n v="5.5849999999999937"/>
  </r>
  <r>
    <d v="2024-02-18T00:00:00"/>
    <x v="3"/>
    <x v="5"/>
    <n v="7"/>
    <s v="QTR1"/>
    <s v="Sunday"/>
    <d v="1899-12-30T13:00:00"/>
    <s v="Sunny"/>
    <n v="30"/>
    <s v="Augusta"/>
    <n v="52.45"/>
    <n v="3.02"/>
    <n v="83"/>
    <n v="6"/>
    <n v="17.367549668874172"/>
    <n v="3.4896322541524505"/>
    <n v="8.7416666666666671"/>
    <n v="0.63192771084337351"/>
    <n v="13.833333333333334"/>
    <n v="1.9867549668874172"/>
    <n v="1"/>
    <d v="1899-12-30T00:30:12"/>
    <s v="Hourly"/>
    <n v="22.500463167053098"/>
    <n v="-5.1329134981789259"/>
    <n v="52.709222222222209"/>
    <n v="114.5825"/>
    <n v="-62.132499999999993"/>
  </r>
  <r>
    <d v="2024-02-19T00:00:00"/>
    <x v="3"/>
    <x v="6"/>
    <n v="8"/>
    <s v="QTR1"/>
    <s v="Monday"/>
    <d v="1899-12-30T17:30:00"/>
    <s v="Clear"/>
    <n v="19"/>
    <s v="Brunswick/Bath/Freeport"/>
    <n v="112.49000000000001"/>
    <n v="4.18"/>
    <n v="98"/>
    <n v="10"/>
    <n v="26.911483253588521"/>
    <n v="1.5692813113902346"/>
    <n v="11.249000000000001"/>
    <n v="1.1478571428571429"/>
    <n v="9.8000000000000007"/>
    <n v="2.3923444976076556"/>
    <n v="3"/>
    <d v="1899-12-30T00:25:05"/>
    <s v="Order"/>
    <n v="27.049491626794261"/>
    <n v="-0.13800837320573933"/>
    <n v="53.142444444444429"/>
    <n v="94.667500000000004"/>
    <n v="17.822500000000005"/>
  </r>
  <r>
    <d v="2024-02-20T00:00:00"/>
    <x v="3"/>
    <x v="6"/>
    <n v="8"/>
    <s v="QTR1"/>
    <s v="Tuesday"/>
    <d v="1899-12-30T17:30:00"/>
    <s v="Clear"/>
    <n v="27"/>
    <s v="Lewiston"/>
    <n v="39.32"/>
    <n v="2.4500000000000002"/>
    <n v="45"/>
    <n v="6"/>
    <n v="16.048979591836734"/>
    <n v="-5.5046139645449301"/>
    <n v="6.5533333333333337"/>
    <n v="0.87377777777777776"/>
    <n v="7.5"/>
    <n v="2.4489795918367343"/>
    <n v="2"/>
    <d v="1899-12-30T00:24:30"/>
    <s v="Hourly"/>
    <n v="25.107199243055533"/>
    <n v="-9.0582196512187991"/>
    <n v="53.22177777777776"/>
    <n v="84.112499999999997"/>
    <n v="-44.792499999999997"/>
  </r>
  <r>
    <d v="2024-02-21T00:00:00"/>
    <x v="3"/>
    <x v="6"/>
    <n v="8"/>
    <s v="QTR1"/>
    <s v="Wednesday"/>
    <d v="1899-12-30T17:30:00"/>
    <s v="Clear"/>
    <n v="30"/>
    <s v="Lewiston"/>
    <n v="37.660000000000004"/>
    <n v="2.98"/>
    <n v="66"/>
    <n v="5"/>
    <n v="12.637583892617451"/>
    <n v="-7.7567666639713213"/>
    <n v="7.5320000000000009"/>
    <n v="0.57060606060606067"/>
    <n v="13.2"/>
    <n v="1.6778523489932886"/>
    <n v="2"/>
    <d v="1899-12-30T00:35:46"/>
    <s v="Hourly"/>
    <n v="18.266708612975393"/>
    <n v="-5.6291247203579413"/>
    <n v="53.640222222222199"/>
    <n v="60.48"/>
    <n v="-22.819999999999993"/>
  </r>
  <r>
    <d v="2024-02-22T00:00:00"/>
    <x v="3"/>
    <x v="6"/>
    <n v="8"/>
    <s v="QTR1"/>
    <s v="Thursday"/>
    <d v="1899-12-30T17:30:00"/>
    <s v="Overcast"/>
    <n v="32"/>
    <s v="Lewiston"/>
    <n v="105.34"/>
    <n v="4.58"/>
    <n v="68"/>
    <n v="10"/>
    <n v="23"/>
    <n v="1.6747446307002107"/>
    <n v="10.534000000000001"/>
    <n v="1.5491176470588235"/>
    <n v="6.8"/>
    <n v="2.1834061135371177"/>
    <n v="4"/>
    <d v="1899-12-30T00:27:29"/>
    <s v="Order"/>
    <n v="21.236984459688347"/>
    <n v="1.7630155403116525"/>
    <n v="52.824555555555534"/>
    <n v="73.702500000000001"/>
    <n v="31.637500000000003"/>
  </r>
  <r>
    <d v="2024-02-24T00:00:00"/>
    <x v="3"/>
    <x v="6"/>
    <n v="8"/>
    <s v="QTR1"/>
    <s v="Saturday"/>
    <d v="1899-12-30T17:00:00"/>
    <s v="Clear"/>
    <n v="18"/>
    <s v="Brunswick/Bath/Freeport"/>
    <n v="106.38"/>
    <n v="3.25"/>
    <n v="74"/>
    <n v="10"/>
    <n v="32.732307692307693"/>
    <n v="7.4150444708920773"/>
    <n v="10.638"/>
    <n v="1.4375675675675674"/>
    <n v="7.4"/>
    <n v="3.0769230769230771"/>
    <n v="3"/>
    <d v="1899-12-30T00:19:30"/>
    <s v="Order"/>
    <n v="25.977928442696818"/>
    <n v="6.7543792496108743"/>
    <n v="54.006555555555536"/>
    <n v="72.174999999999997"/>
    <n v="34.204999999999998"/>
  </r>
  <r>
    <d v="2024-02-27T00:00:00"/>
    <x v="3"/>
    <x v="7"/>
    <n v="9"/>
    <s v="QTR1"/>
    <s v="Tuesday"/>
    <d v="1899-12-30T18:00:00"/>
    <s v="Fog"/>
    <n v="43"/>
    <s v="Brunswick/Bath/Freeport"/>
    <n v="124.55"/>
    <n v="4.12"/>
    <n v="89"/>
    <n v="10"/>
    <n v="30.230582524271842"/>
    <n v="2.2668236580074215"/>
    <n v="12.455"/>
    <n v="1.399438202247191"/>
    <n v="8.9"/>
    <n v="2.4271844660194173"/>
    <n v="2"/>
    <d v="1899-12-30T00:24:43"/>
    <s v="Order"/>
    <n v="30.230582524271842"/>
    <n v="0"/>
    <n v="52.439111111111096"/>
    <n v="93.482500000000002"/>
    <n v="31.067499999999995"/>
  </r>
  <r>
    <d v="2024-02-28T00:00:00"/>
    <x v="3"/>
    <x v="7"/>
    <n v="9"/>
    <s v="QTR1"/>
    <s v="Wednesday"/>
    <d v="1899-12-30T18:00:00"/>
    <s v="Rain"/>
    <n v="50"/>
    <s v="Brunswick/Bath/Freeport"/>
    <n v="72.38"/>
    <n v="3.08"/>
    <n v="62"/>
    <n v="8"/>
    <n v="23.499999999999996"/>
    <n v="-4.8089346326343296"/>
    <n v="9.0474999999999994"/>
    <n v="1.1674193548387095"/>
    <n v="7.75"/>
    <n v="2.5974025974025974"/>
    <n v="3"/>
    <d v="1899-12-30T00:23:06"/>
    <s v="Order"/>
    <n v="24.066190476190474"/>
    <n v="-0.56619047619047791"/>
    <n v="52.486333333333327"/>
    <n v="102.16249999999999"/>
    <n v="-29.782499999999999"/>
  </r>
  <r>
    <d v="2024-03-01T00:00:00"/>
    <x v="3"/>
    <x v="7"/>
    <n v="9"/>
    <s v="QTR1"/>
    <s v="Friday"/>
    <d v="1899-12-30T17:30:00"/>
    <s v="Clear"/>
    <n v="32"/>
    <s v="Brunswick/Bath/Freeport"/>
    <n v="85.14"/>
    <n v="3.32"/>
    <n v="75"/>
    <n v="6"/>
    <n v="25.644578313253014"/>
    <n v="5.8036224787855346"/>
    <n v="14.19"/>
    <n v="1.1352"/>
    <n v="12.5"/>
    <n v="1.8072289156626506"/>
    <n v="1"/>
    <d v="1899-12-30T00:33:12"/>
    <s v="Order"/>
    <n v="21.568295546402865"/>
    <n v="4.0762827668501487"/>
    <n v="53.432333333333332"/>
    <n v="97.112499999999997"/>
    <n v="-11.972499999999997"/>
  </r>
  <r>
    <d v="2024-03-02T00:00:00"/>
    <x v="3"/>
    <x v="7"/>
    <n v="9"/>
    <s v="QTR1"/>
    <s v="Saturday"/>
    <d v="1899-12-30T18:00:00"/>
    <s v="Rain"/>
    <n v="41"/>
    <s v="Brunswick/Bath/Freeport"/>
    <n v="129.13999999999999"/>
    <n v="4.4800000000000004"/>
    <n v="100"/>
    <n v="9"/>
    <n v="28.825892857142851"/>
    <n v="3.096682720677677"/>
    <n v="14.348888888888887"/>
    <n v="1.2913999999999999"/>
    <n v="11.111111111111111"/>
    <n v="2.0089285714285712"/>
    <n v="4"/>
    <d v="1899-12-30T00:29:52"/>
    <s v="Order"/>
    <n v="23.647241099883558"/>
    <n v="5.1786517572592921"/>
    <n v="54.867222222222225"/>
    <n v="102.80249999999999"/>
    <n v="26.337499999999991"/>
  </r>
  <r>
    <d v="2024-03-03T00:00:00"/>
    <x v="3"/>
    <x v="7"/>
    <n v="9"/>
    <s v="QTR1"/>
    <s v="Sunday"/>
    <d v="1899-12-30T17:00:00"/>
    <s v="Rain"/>
    <n v="37"/>
    <s v="Lewiston"/>
    <n v="79.36"/>
    <n v="3.77"/>
    <n v="66"/>
    <n v="9"/>
    <n v="21.050397877984086"/>
    <n v="8.12706945120323"/>
    <n v="8.8177777777777777"/>
    <n v="1.2024242424242424"/>
    <n v="7.333333333333333"/>
    <n v="2.3872679045092839"/>
    <n v="2"/>
    <d v="1899-12-30T00:25:08"/>
    <s v="Order"/>
    <n v="27.871502575489643"/>
    <n v="-6.8211046975055574"/>
    <n v="55.748999999999995"/>
    <n v="91.504999999999995"/>
    <n v="-12.144999999999996"/>
  </r>
  <r>
    <d v="2024-03-05T00:00:00"/>
    <x v="3"/>
    <x v="8"/>
    <n v="10"/>
    <s v="QTR1"/>
    <s v="Tuesday"/>
    <d v="1899-12-30T17:30:00"/>
    <s v="Rain"/>
    <n v="39"/>
    <s v="Brunswick/Bath/Freeport"/>
    <n v="65.319999999999993"/>
    <n v="3.45"/>
    <n v="80"/>
    <n v="8"/>
    <n v="18.93333333333333"/>
    <n v="-9.1815471101315858"/>
    <n v="8.1649999999999991"/>
    <n v="0.81649999999999989"/>
    <n v="10"/>
    <n v="2.318840579710145"/>
    <n v="3"/>
    <d v="1899-12-30T00:25:53"/>
    <s v="Order"/>
    <n v="20.677170504338861"/>
    <n v="-1.7438371710055307"/>
    <n v="55.628666666666668"/>
    <n v="89.74"/>
    <n v="-24.42"/>
  </r>
  <r>
    <d v="2024-03-09T00:00:00"/>
    <x v="3"/>
    <x v="8"/>
    <n v="10"/>
    <s v="QTR1"/>
    <s v="Saturday"/>
    <d v="1899-12-30T13:00:00"/>
    <s v="Overcast"/>
    <n v="37"/>
    <s v="Brunswick/Bath/Freeport"/>
    <n v="221.82"/>
    <n v="7.55"/>
    <n v="192"/>
    <n v="17"/>
    <n v="29.380132450331125"/>
    <n v="3.4879390127776517"/>
    <n v="13.048235294117646"/>
    <n v="1.1553125"/>
    <n v="11.294117647058824"/>
    <n v="2.2516556291390728"/>
    <n v="5"/>
    <d v="1899-12-30T00:26:39"/>
    <s v="Order"/>
    <n v="30.543878208019763"/>
    <n v="-1.1637457576886376"/>
    <n v="55.80822222222222"/>
    <n v="123.91"/>
    <n v="97.91"/>
  </r>
  <r>
    <d v="2024-03-11T00:00:00"/>
    <x v="3"/>
    <x v="9"/>
    <n v="11"/>
    <s v="QTR1"/>
    <s v="Monday"/>
    <d v="1899-12-30T17:30:00"/>
    <s v="Partially Cloudy"/>
    <n v="36"/>
    <s v="Brunswick/Bath/Freeport"/>
    <n v="96.69"/>
    <n v="4.03"/>
    <n v="81"/>
    <n v="10"/>
    <n v="23.992555831265506"/>
    <n v="-1.4703600579628002"/>
    <n v="9.6690000000000005"/>
    <n v="1.1937037037037037"/>
    <n v="8.1"/>
    <n v="2.4813895781637716"/>
    <n v="2"/>
    <d v="1899-12-30T00:24:11"/>
    <s v="Order"/>
    <n v="26.303037502761384"/>
    <n v="-2.3104816714958787"/>
    <n v="56.882555555555548"/>
    <n v="115.7975"/>
    <n v="-19.107500000000002"/>
  </r>
  <r>
    <d v="2024-03-13T00:00:00"/>
    <x v="3"/>
    <x v="9"/>
    <n v="11"/>
    <s v="QTR1"/>
    <s v="Wednesday"/>
    <d v="1899-12-30T17:30:00"/>
    <s v="Overcast"/>
    <n v="52"/>
    <s v="Brunswick/Bath/Freeport"/>
    <n v="114.52"/>
    <n v="4.2300000000000004"/>
    <n v="69"/>
    <n v="9"/>
    <n v="27.073286052009454"/>
    <n v="-0.79847270493084466"/>
    <n v="12.724444444444444"/>
    <n v="1.6597101449275362"/>
    <n v="7.666666666666667"/>
    <n v="2.1276595744680851"/>
    <n v="3"/>
    <d v="1899-12-30T00:28:12"/>
    <s v="Order"/>
    <n v="24.713285343418189"/>
    <n v="2.3600007085912651"/>
    <n v="56.30322222222221"/>
    <n v="124.58749999999999"/>
    <n v="-10.067499999999995"/>
  </r>
  <r>
    <d v="2024-03-14T00:00:00"/>
    <x v="3"/>
    <x v="9"/>
    <n v="11"/>
    <s v="QTR1"/>
    <s v="Thursday"/>
    <d v="1899-12-30T17:30:00"/>
    <s v="Partially Cloudy"/>
    <n v="41"/>
    <s v="Portland"/>
    <n v="76"/>
    <n v="4.1500000000000004"/>
    <n v="109.8"/>
    <n v="6"/>
    <n v="18.31325301204819"/>
    <n v="-1.9667236399706169"/>
    <n v="12.666666666666666"/>
    <n v="0.69216757741347912"/>
    <n v="18.3"/>
    <n v="1.4457831325301203"/>
    <n v="3"/>
    <d v="1899-12-30T00:41:30"/>
    <s v="Order"/>
    <n v="21.339386458777209"/>
    <n v="-3.0261334467290197"/>
    <n v="57.147666666666659"/>
    <n v="127.25749999999999"/>
    <n v="-51.257499999999993"/>
  </r>
  <r>
    <d v="2024-03-15T00:00:00"/>
    <x v="3"/>
    <x v="9"/>
    <n v="11"/>
    <s v="QTR1"/>
    <s v="Friday"/>
    <d v="1899-12-30T17:30:00"/>
    <s v="Overcast"/>
    <n v="37"/>
    <s v="Lewiston"/>
    <n v="91.05"/>
    <n v="3.77"/>
    <n v="59"/>
    <n v="12"/>
    <n v="24.151193633952253"/>
    <n v="4.2932013638497288"/>
    <n v="7.5874999999999995"/>
    <n v="1.5432203389830508"/>
    <n v="4.916666666666667"/>
    <n v="3.183023872679045"/>
    <n v="4"/>
    <d v="1899-12-30T00:18:51"/>
    <s v="Order"/>
    <n v="19.241188905138749"/>
    <n v="4.9100047288135045"/>
    <n v="57.440222222222211"/>
    <n v="94.564999999999998"/>
    <n v="-3.5150000000000006"/>
  </r>
  <r>
    <d v="2024-03-16T00:00:00"/>
    <x v="3"/>
    <x v="9"/>
    <n v="11"/>
    <s v="QTR1"/>
    <s v="Saturday"/>
    <d v="1899-12-30T14:30:00"/>
    <s v="Mostly Cloudy"/>
    <n v="52"/>
    <s v="Brunswick/Bath/Freeport"/>
    <n v="84.15"/>
    <n v="4.03"/>
    <n v="94"/>
    <n v="6"/>
    <n v="20.88089330024814"/>
    <n v="-5.1856970879442166"/>
    <n v="14.025"/>
    <n v="0.89521276595744692"/>
    <n v="15.666666666666666"/>
    <n v="1.4888337468982629"/>
    <n v="2"/>
    <d v="1899-12-30T00:40:18"/>
    <s v="Order"/>
    <n v="24.294742211193824"/>
    <n v="-3.4138489109456849"/>
    <n v="58.375222222222206"/>
    <n v="91.43"/>
    <n v="-7.2800000000000011"/>
  </r>
  <r>
    <d v="2024-03-19T00:00:00"/>
    <x v="3"/>
    <x v="10"/>
    <n v="12"/>
    <s v="QTR1"/>
    <s v="Tuesday"/>
    <d v="1899-12-30T18:30:00"/>
    <s v="Clear"/>
    <n v="36"/>
    <s v="Brunswick/Bath/Freeport"/>
    <n v="114.44"/>
    <n v="3.38"/>
    <n v="79"/>
    <n v="8"/>
    <n v="33.857988165680474"/>
    <n v="6.316954416598783"/>
    <n v="14.305"/>
    <n v="1.4486075949367088"/>
    <n v="9.875"/>
    <n v="2.3668639053254439"/>
    <n v="1"/>
    <d v="1899-12-30T00:25:21"/>
    <s v="Order"/>
    <n v="25.204699111738062"/>
    <n v="8.6532890539424123"/>
    <n v="58.671666666666653"/>
    <n v="91.41"/>
    <n v="23.03"/>
  </r>
  <r>
    <d v="2024-03-25T00:00:00"/>
    <x v="3"/>
    <x v="11"/>
    <n v="13"/>
    <s v="QTR1"/>
    <s v="Monday"/>
    <d v="1899-12-30T18:30:00"/>
    <s v="Clear"/>
    <n v="37"/>
    <s v="Brunswick/Bath/Freeport"/>
    <n v="101.97999999999999"/>
    <n v="3.25"/>
    <n v="71"/>
    <n v="6"/>
    <n v="31.378461538461536"/>
    <n v="6.0205713676591444"/>
    <n v="16.996666666666666"/>
    <n v="1.4363380281690139"/>
    <n v="11.833333333333334"/>
    <n v="1.8461538461538463"/>
    <n v="3"/>
    <d v="1899-12-30T00:32:30"/>
    <s v="Hourly"/>
    <n v="28.889867756914999"/>
    <n v="2.4885937815465375"/>
    <n v="57.224555555555547"/>
    <n v="97.905000000000001"/>
    <n v="4.0749999999999886"/>
  </r>
  <r>
    <d v="2024-03-26T00:00:00"/>
    <x v="3"/>
    <x v="11"/>
    <n v="13"/>
    <s v="QTR1"/>
    <s v="Tuesday"/>
    <d v="1899-12-30T17:30:00"/>
    <s v="Fog"/>
    <n v="37"/>
    <s v="Brunswick/Bath/Freeport"/>
    <n v="69.17"/>
    <n v="2.75"/>
    <n v="51"/>
    <n v="7"/>
    <n v="25.152727272727272"/>
    <n v="-2.7598920302719954"/>
    <n v="9.8814285714285717"/>
    <n v="1.3562745098039215"/>
    <n v="7.2857142857142856"/>
    <n v="2.5454545454545454"/>
    <n v="1"/>
    <d v="1899-12-30T00:23:34"/>
    <s v="Order"/>
    <n v="23.049833024118737"/>
    <n v="2.1028942486085356"/>
    <n v="56.886888888888876"/>
    <n v="92.435000000000002"/>
    <n v="-23.265000000000001"/>
  </r>
  <r>
    <d v="2024-03-27T00:00:00"/>
    <x v="3"/>
    <x v="11"/>
    <n v="13"/>
    <s v="QTR1"/>
    <s v="Wednesday"/>
    <d v="1899-12-30T18:00:00"/>
    <s v="Rain"/>
    <n v="46"/>
    <s v="Brunswick/Bath/Freeport"/>
    <n v="126.36"/>
    <n v="3.32"/>
    <n v="77"/>
    <n v="7"/>
    <n v="38.060240963855421"/>
    <n v="10.255021598992695"/>
    <n v="18.05142857142857"/>
    <n v="1.6410389610389611"/>
    <n v="11"/>
    <n v="2.1084337349397591"/>
    <n v="2"/>
    <d v="1899-12-30T00:28:27"/>
    <s v="Order"/>
    <n v="36.45127432808156"/>
    <n v="1.6089666357738608"/>
    <n v="58.290888888888873"/>
    <n v="102.9875"/>
    <n v="23.372500000000002"/>
  </r>
  <r>
    <d v="2024-03-29T00:00:00"/>
    <x v="3"/>
    <x v="11"/>
    <n v="13"/>
    <s v="QTR1"/>
    <s v="Friday"/>
    <d v="1899-12-30T18:00:00"/>
    <s v="Overcast"/>
    <n v="45"/>
    <s v="Portland"/>
    <n v="155.94"/>
    <n v="5.23"/>
    <n v="136"/>
    <n v="9"/>
    <n v="29.81644359464627"/>
    <n v="6.9539337400022667"/>
    <n v="17.326666666666668"/>
    <n v="1.1466176470588234"/>
    <n v="15.111111111111111"/>
    <n v="1.7208413001912044"/>
    <n v="1"/>
    <d v="1899-12-30T00:34:52"/>
    <s v="Order"/>
    <n v="21.587544461558959"/>
    <n v="8.2288991330873102"/>
    <n v="58.042555555555545"/>
    <n v="113.3625"/>
    <n v="42.577500000000001"/>
  </r>
  <r>
    <d v="2024-04-01T00:00:00"/>
    <x v="3"/>
    <x v="12"/>
    <n v="1"/>
    <s v="QTR2"/>
    <s v="Monday"/>
    <d v="1899-12-30T17:30:00"/>
    <s v="Partially Cloudy"/>
    <n v="48"/>
    <s v="Lewiston"/>
    <n v="68.83"/>
    <n v="4.53"/>
    <n v="87"/>
    <n v="7"/>
    <n v="15.194260485651213"/>
    <n v="5.294260485651213"/>
    <n v="9.8328571428571419"/>
    <n v="0.79114942528735632"/>
    <n v="12.428571428571429"/>
    <n v="1.5452538631346577"/>
    <n v="2"/>
    <d v="1899-12-30T00:38:50"/>
    <s v="Order"/>
    <n v="15.194260485651213"/>
    <n v="0"/>
    <n v="57.195888888888867"/>
    <n v="105.075"/>
    <n v="-36.245000000000005"/>
  </r>
  <r>
    <d v="2024-04-02T00:00:00"/>
    <x v="3"/>
    <x v="12"/>
    <n v="1"/>
    <s v="QTR2"/>
    <s v="Tuesday"/>
    <d v="1899-12-30T18:00:00"/>
    <s v="Clear"/>
    <n v="46"/>
    <s v="Brunswick/Bath/Freeport"/>
    <n v="81.7"/>
    <n v="3.9"/>
    <n v="52"/>
    <n v="12"/>
    <n v="20.948717948717949"/>
    <n v="5.0352549926856227E-2"/>
    <n v="6.8083333333333336"/>
    <n v="1.5711538461538461"/>
    <n v="4.333333333333333"/>
    <n v="3.0769230769230771"/>
    <n v="3"/>
    <d v="1899-12-30T00:19:30"/>
    <s v="Order"/>
    <n v="27.133182503770737"/>
    <n v="-6.1844645550527879"/>
    <n v="57.081333333333319"/>
    <n v="108.2075"/>
    <n v="-26.507499999999993"/>
  </r>
  <r>
    <d v="2024-04-03T00:00:00"/>
    <x v="3"/>
    <x v="12"/>
    <n v="1"/>
    <s v="QTR2"/>
    <s v="Wednesday"/>
    <d v="1899-12-30T19:00:00"/>
    <s v="Snow Storm"/>
    <n v="39"/>
    <s v="Lewiston"/>
    <n v="38.25"/>
    <n v="2.25"/>
    <n v="28"/>
    <n v="5"/>
    <n v="17"/>
    <n v="-0.11365947555749045"/>
    <n v="7.65"/>
    <n v="1.3660714285714286"/>
    <n v="5.6"/>
    <n v="2.2222222222222223"/>
    <n v="2"/>
    <d v="1899-12-30T00:27:00"/>
    <s v="Order"/>
    <n v="15.580338266384778"/>
    <n v="1.4196617336152215"/>
    <n v="57.506333333333323"/>
    <n v="86.179999999999993"/>
    <n v="-47.929999999999993"/>
  </r>
  <r>
    <d v="2024-04-05T00:00:00"/>
    <x v="3"/>
    <x v="12"/>
    <n v="1"/>
    <s v="QTR2"/>
    <s v="Friday"/>
    <d v="1899-12-30T18:00:00"/>
    <s v="Mostly Cloudy"/>
    <n v="37"/>
    <s v="Brunswick/Bath/Freeport"/>
    <n v="225.25"/>
    <n v="6.05"/>
    <n v="141"/>
    <n v="14"/>
    <n v="37.231404958677686"/>
    <n v="11.855382406343871"/>
    <n v="16.089285714285715"/>
    <n v="1.5975177304964538"/>
    <n v="10.071428571428571"/>
    <n v="2.3140495867768598"/>
    <n v="1"/>
    <d v="1899-12-30T00:25:56"/>
    <s v="Order"/>
    <n v="30.149780691629349"/>
    <n v="7.0816242670483369"/>
    <n v="58.015666666666654"/>
    <n v="103.50749999999999"/>
    <n v="121.74250000000001"/>
  </r>
  <r>
    <d v="2024-04-06T00:00:00"/>
    <x v="3"/>
    <x v="12"/>
    <n v="1"/>
    <s v="QTR2"/>
    <s v="Saturday"/>
    <d v="1899-12-30T17:30:00"/>
    <s v="Overcast"/>
    <n v="37"/>
    <s v="Lewiston"/>
    <n v="65.900000000000006"/>
    <n v="3.6"/>
    <n v="55"/>
    <n v="8"/>
    <n v="18.305555555555557"/>
    <n v="-3.2073239510858116"/>
    <n v="8.2375000000000007"/>
    <n v="1.1981818181818182"/>
    <n v="6.875"/>
    <n v="2.2222222222222223"/>
    <n v="3"/>
    <d v="1899-12-30T00:27:00"/>
    <s v="Order"/>
    <n v="21.691133638317044"/>
    <n v="-3.3855780827614872"/>
    <n v="57.717555555555535"/>
    <n v="102.77500000000001"/>
    <n v="-36.875"/>
  </r>
  <r>
    <d v="2024-04-08T00:00:00"/>
    <x v="3"/>
    <x v="43"/>
    <n v="2"/>
    <s v="QTR2"/>
    <s v="Monday"/>
    <d v="1899-12-30T17:30:00"/>
    <s v="Partially Cloudy"/>
    <n v="45"/>
    <s v="Portland"/>
    <n v="89.75"/>
    <n v="4.42"/>
    <n v="102"/>
    <n v="8"/>
    <n v="20.305429864253394"/>
    <n v="1.1124474081130415"/>
    <n v="11.21875"/>
    <n v="0.87990196078431371"/>
    <n v="12.75"/>
    <n v="1.8099547511312217"/>
    <n v="3"/>
    <d v="1899-12-30T00:33:09"/>
    <s v="Order"/>
    <n v="22.041942574403119"/>
    <n v="-1.7365127101497251"/>
    <n v="57.124444444444435"/>
    <n v="104.78749999999999"/>
    <n v="-15.037499999999994"/>
  </r>
  <r>
    <d v="2024-04-09T00:00:00"/>
    <x v="3"/>
    <x v="43"/>
    <n v="2"/>
    <s v="QTR2"/>
    <s v="Tuesday"/>
    <d v="1899-12-30T18:00:00"/>
    <s v="Clear"/>
    <n v="52"/>
    <s v="Brunswick/Bath/Freeport"/>
    <n v="105.11"/>
    <n v="3.98"/>
    <n v="113"/>
    <n v="9"/>
    <n v="26.409547738693469"/>
    <n v="5.5011118299170043"/>
    <n v="11.678888888888888"/>
    <n v="0.9301769911504425"/>
    <n v="12.555555555555555"/>
    <n v="2.2613065326633164"/>
    <n v="4"/>
    <d v="1899-12-30T00:26:32"/>
    <s v="Order"/>
    <n v="21.082970919354722"/>
    <n v="5.3265768193387473"/>
    <n v="58.077111111111094"/>
    <n v="121.5025"/>
    <n v="-16.392499999999998"/>
  </r>
  <r>
    <d v="2024-04-12T00:00:00"/>
    <x v="3"/>
    <x v="43"/>
    <n v="2"/>
    <s v="QTR2"/>
    <s v="Friday"/>
    <d v="1899-12-30T17:30:00"/>
    <s v="Fog"/>
    <n v="54"/>
    <s v="Brunswick/Bath/Freeport"/>
    <n v="178"/>
    <n v="7.7"/>
    <n v="163"/>
    <n v="14"/>
    <n v="23.116883116883116"/>
    <n v="-3.5764041472666825"/>
    <n v="12.714285714285714"/>
    <n v="1.0920245398773005"/>
    <n v="11.642857142857142"/>
    <n v="1.8181818181818181"/>
    <n v="3"/>
    <d v="1899-12-30T00:33:00"/>
    <s v="Order"/>
    <n v="19.73987012987013"/>
    <n v="3.3770129870129857"/>
    <n v="58.629555555555541"/>
    <n v="109.69"/>
    <n v="68.31"/>
  </r>
  <r>
    <d v="2024-04-13T00:00:00"/>
    <x v="3"/>
    <x v="43"/>
    <n v="2"/>
    <s v="QTR2"/>
    <s v="Saturday"/>
    <d v="1899-12-30T18:00:00"/>
    <s v="Overcast"/>
    <n v="48"/>
    <s v="Augusta"/>
    <n v="74.75"/>
    <n v="3.42"/>
    <n v="83"/>
    <n v="13"/>
    <n v="21.85672514619883"/>
    <s v=""/>
    <n v="5.75"/>
    <n v="0.9006024096385542"/>
    <n v="6.384615384615385"/>
    <n v="3.801169590643275"/>
    <n v="5"/>
    <d v="1899-12-30T00:15:47"/>
    <s v="Order"/>
    <n v="27.152961642707922"/>
    <n v="-5.296236496509092"/>
    <n v="58.51"/>
    <n v="111.9025"/>
    <n v="-37.152500000000003"/>
  </r>
  <r>
    <d v="2024-04-16T00:00:00"/>
    <x v="3"/>
    <x v="13"/>
    <n v="3"/>
    <s v="QTR2"/>
    <s v="Tuesday"/>
    <d v="1899-12-30T18:00:00"/>
    <s v="Overcast"/>
    <n v="54"/>
    <s v="Brunswick/Bath/Freeport"/>
    <n v="91.28"/>
    <n v="5.75"/>
    <n v="126"/>
    <n v="8"/>
    <n v="15.874782608695652"/>
    <n v="-5.9505052717336486"/>
    <n v="11.41"/>
    <n v="0.72444444444444445"/>
    <n v="15.75"/>
    <n v="1.3913043478260869"/>
    <n v="3"/>
    <d v="1899-12-30T00:43:08"/>
    <s v="Order"/>
    <n v="15.874782608695652"/>
    <n v="0"/>
    <n v="56.638777777777783"/>
    <n v="112.285"/>
    <n v="-21.004999999999995"/>
  </r>
  <r>
    <d v="2024-04-17T00:00:00"/>
    <x v="3"/>
    <x v="13"/>
    <n v="3"/>
    <s v="QTR2"/>
    <s v="Wednesday"/>
    <d v="1899-12-30T17:30:00"/>
    <s v="Clear"/>
    <n v="54"/>
    <s v="Augusta"/>
    <n v="50.44"/>
    <n v="3.42"/>
    <n v="93"/>
    <n v="4"/>
    <n v="14.748538011695906"/>
    <s v=""/>
    <n v="12.61"/>
    <n v="0.54236559139784946"/>
    <n v="23.25"/>
    <n v="1.1695906432748537"/>
    <n v="3"/>
    <d v="1899-12-30T00:51:18"/>
    <s v="Order"/>
    <n v="18.663094763423707"/>
    <n v="-3.914556751727801"/>
    <n v="57.199222222222225"/>
    <n v="98.617499999999993"/>
    <n v="-48.177499999999995"/>
  </r>
  <r>
    <d v="2024-04-19T00:00:00"/>
    <x v="3"/>
    <x v="13"/>
    <n v="3"/>
    <s v="QTR2"/>
    <s v="Friday"/>
    <d v="1899-12-30T17:30:00"/>
    <s v="Overcast"/>
    <n v="48"/>
    <s v="Brunswick/Bath/Freeport"/>
    <n v="74.75"/>
    <n v="4.0199999999999996"/>
    <n v="75"/>
    <n v="6"/>
    <n v="18.594527363184081"/>
    <n v="-7.7411194862390502"/>
    <n v="12.458333333333334"/>
    <n v="0.9966666666666667"/>
    <n v="12.5"/>
    <n v="1.4925373134328359"/>
    <n v="1"/>
    <d v="1899-12-30T00:40:12"/>
    <s v="Order"/>
    <n v="19.08828752450929"/>
    <n v="-0.49376016132520917"/>
    <n v="56.947555555555553"/>
    <n v="72.805000000000007"/>
    <n v="1.9449999999999932"/>
  </r>
  <r>
    <d v="2024-04-20T00:00:00"/>
    <x v="3"/>
    <x v="13"/>
    <n v="3"/>
    <s v="QTR2"/>
    <s v="Saturday"/>
    <d v="1899-12-30T17:00:00"/>
    <s v="Overcast"/>
    <n v="50"/>
    <s v="Brunswick/Bath/Freeport"/>
    <n v="104.72"/>
    <n v="5.28"/>
    <n v="102"/>
    <n v="10"/>
    <n v="19.833333333333332"/>
    <n v="-7.7688048792945317"/>
    <n v="10.472"/>
    <n v="1.0266666666666666"/>
    <n v="10.199999999999999"/>
    <n v="1.8939393939393938"/>
    <n v="4"/>
    <d v="1899-12-30T00:31:41"/>
    <s v="Order"/>
    <n v="24.77708469395462"/>
    <n v="-4.9437513606212882"/>
    <n v="58.111111111111114"/>
    <n v="80.297499999999999"/>
    <n v="24.422499999999999"/>
  </r>
  <r>
    <d v="2024-04-21T00:00:00"/>
    <x v="3"/>
    <x v="13"/>
    <n v="3"/>
    <s v="QTR2"/>
    <s v="Sunday"/>
    <d v="1899-12-30T17:00:00"/>
    <s v="Clear"/>
    <n v="50"/>
    <s v="Brunswick/Bath/Freeport"/>
    <n v="128.66"/>
    <n v="4.8499999999999996"/>
    <n v="111"/>
    <n v="10"/>
    <n v="26.527835051546393"/>
    <n v="9.8812185101930083"/>
    <n v="12.866"/>
    <n v="1.159099099099099"/>
    <n v="11.1"/>
    <n v="2.061855670103093"/>
    <n v="3"/>
    <d v="1899-12-30T00:29:06"/>
    <s v="Order"/>
    <n v="21.420832419390219"/>
    <n v="5.1070026321561741"/>
    <n v="58.448222222222221"/>
    <n v="89.642499999999998"/>
    <n v="39.017499999999998"/>
  </r>
  <r>
    <d v="2024-04-22T00:00:00"/>
    <x v="3"/>
    <x v="14"/>
    <n v="4"/>
    <s v="QTR2"/>
    <s v="Monday"/>
    <d v="1899-12-30T18:30:00"/>
    <s v="Clear"/>
    <n v="48"/>
    <s v="Brunswick/Bath/Freeport"/>
    <n v="57"/>
    <n v="3.22"/>
    <n v="60"/>
    <n v="9"/>
    <n v="17.701863354037265"/>
    <n v="-1.6822669891699462"/>
    <n v="6.333333333333333"/>
    <n v="0.95"/>
    <n v="6.666666666666667"/>
    <n v="2.7950310559006208"/>
    <n v="2"/>
    <d v="1899-12-30T00:21:28"/>
    <s v="Order"/>
    <n v="19.811569974890972"/>
    <n v="-2.1097066208537072"/>
    <n v="58.611111111111114"/>
    <n v="91.282499999999999"/>
    <n v="-34.282499999999999"/>
  </r>
  <r>
    <d v="2024-04-23T00:00:00"/>
    <x v="3"/>
    <x v="14"/>
    <n v="4"/>
    <s v="QTR2"/>
    <s v="Tuesday"/>
    <d v="1899-12-30T18:30:00"/>
    <s v="Clear"/>
    <n v="50"/>
    <s v="Lewiston"/>
    <n v="72.8"/>
    <n v="4.2"/>
    <n v="81"/>
    <n v="11"/>
    <n v="17.333333333333332"/>
    <n v="1.4958333333333336"/>
    <n v="6.6181818181818182"/>
    <n v="0.89876543209876536"/>
    <n v="7.3636363636363633"/>
    <n v="2.6190476190476191"/>
    <n v="3"/>
    <d v="1899-12-30T00:22:55"/>
    <s v="Order"/>
    <n v="16.253252032520326"/>
    <n v="1.0800813008130064"/>
    <n v="59.42"/>
    <n v="90.795000000000002"/>
    <n v="-17.995000000000005"/>
  </r>
  <r>
    <d v="2024-04-25T00:00:00"/>
    <x v="3"/>
    <x v="14"/>
    <n v="4"/>
    <s v="QTR2"/>
    <s v="Thursday"/>
    <d v="1899-12-30T18:00:00"/>
    <s v="Clear"/>
    <n v="48"/>
    <s v="Lewiston"/>
    <n v="68.61"/>
    <n v="3.83"/>
    <n v="85"/>
    <n v="6"/>
    <n v="17.913838120104437"/>
    <n v="-0.93705827347488579"/>
    <n v="11.435"/>
    <n v="0.80717647058823527"/>
    <n v="14.166666666666666"/>
    <n v="1.566579634464752"/>
    <n v="2"/>
    <d v="1899-12-30T00:38:18"/>
    <s v="Order"/>
    <n v="20.958704774337935"/>
    <n v="-3.0448666542334983"/>
    <n v="58.070888888888881"/>
    <n v="81.767499999999998"/>
    <n v="-13.157499999999999"/>
  </r>
  <r>
    <d v="2024-04-26T00:00:00"/>
    <x v="3"/>
    <x v="14"/>
    <n v="4"/>
    <s v="QTR2"/>
    <s v="Friday"/>
    <d v="1899-12-30T17:30:00"/>
    <s v="Clear"/>
    <n v="55"/>
    <s v="Brunswick/Bath/Freeport"/>
    <n v="120.7"/>
    <n v="5.08"/>
    <n v="109"/>
    <n v="14"/>
    <n v="23.759842519685041"/>
    <n v="-1.8720661946254467"/>
    <n v="8.6214285714285719"/>
    <n v="1.1073394495412845"/>
    <n v="7.7857142857142856"/>
    <n v="2.7559055118110236"/>
    <n v="4"/>
    <d v="1899-12-30T00:21:46"/>
    <s v="Order"/>
    <n v="22.467344216099097"/>
    <n v="1.2924983035859441"/>
    <n v="58.181777777777775"/>
    <n v="79.777500000000003"/>
    <n v="40.922499999999999"/>
  </r>
  <r>
    <d v="2024-04-27T00:00:00"/>
    <x v="3"/>
    <x v="14"/>
    <n v="4"/>
    <s v="QTR2"/>
    <s v="Saturday"/>
    <d v="1899-12-30T17:30:00"/>
    <s v="Clear"/>
    <n v="54"/>
    <s v="Brunswick/Bath/Freeport"/>
    <n v="121.16"/>
    <n v="4.9000000000000004"/>
    <n v="116"/>
    <n v="12"/>
    <n v="24.726530612244897"/>
    <n v="-2.1693526113561887"/>
    <n v="10.096666666666666"/>
    <n v="1.0444827586206897"/>
    <n v="9.6666666666666661"/>
    <n v="2.4489795918367343"/>
    <n v="4"/>
    <d v="1899-12-30T00:24:30"/>
    <s v="Order"/>
    <n v="23.513308240547271"/>
    <n v="1.2132223716976256"/>
    <n v="59.527999999999992"/>
    <n v="95.817499999999995"/>
    <n v="25.342500000000001"/>
  </r>
  <r>
    <d v="2024-04-28T00:00:00"/>
    <x v="3"/>
    <x v="14"/>
    <n v="4"/>
    <s v="QTR2"/>
    <s v="Sunday"/>
    <d v="1899-12-30T17:30:00"/>
    <s v="Mostly Cloudy"/>
    <n v="52"/>
    <s v="Augusta"/>
    <n v="51.269999999999996"/>
    <n v="3.75"/>
    <n v="90"/>
    <n v="7"/>
    <n v="13.671999999999999"/>
    <n v="-5.6938376399655493"/>
    <n v="7.3242857142857138"/>
    <n v="0.56966666666666665"/>
    <n v="12.857142857142858"/>
    <n v="1.8666666666666667"/>
    <n v="3"/>
    <d v="1899-12-30T00:32:09"/>
    <s v="Order"/>
    <n v="18.958528045340856"/>
    <n v="-5.286528045340857"/>
    <n v="60.097666666666669"/>
    <n v="90.435000000000002"/>
    <n v="-39.165000000000006"/>
  </r>
  <r>
    <d v="2024-04-30T00:00:00"/>
    <x v="3"/>
    <x v="15"/>
    <n v="5"/>
    <s v="QTR2"/>
    <s v="Tuesday"/>
    <d v="1899-12-30T18:00:00"/>
    <s v="Rain"/>
    <n v="48"/>
    <s v="Brunswick/Bath/Freeport"/>
    <n v="84.6"/>
    <n v="4.03"/>
    <n v="99"/>
    <n v="10"/>
    <n v="20.992555831265506"/>
    <n v="1.7340132512440931E-2"/>
    <n v="8.4599999999999991"/>
    <n v="0.8545454545454545"/>
    <n v="9.9"/>
    <n v="2.4813895781637716"/>
    <n v="4"/>
    <d v="1899-12-30T00:24:11"/>
    <s v="Order"/>
    <n v="21.091386611284925"/>
    <n v="-9.8830780019419251E-2"/>
    <n v="58.57522222222223"/>
    <n v="94.432500000000005"/>
    <n v="-9.8325000000000102"/>
  </r>
  <r>
    <d v="2024-05-01T00:00:00"/>
    <x v="3"/>
    <x v="15"/>
    <n v="5"/>
    <s v="QTR2"/>
    <s v="Wednesday"/>
    <d v="1899-12-30T17:30:00"/>
    <s v="Clear"/>
    <n v="54"/>
    <s v="Brunswick/Bath/Freeport"/>
    <n v="115.41"/>
    <n v="5.3"/>
    <n v="91"/>
    <n v="12"/>
    <n v="21.775471698113208"/>
    <n v="-4.1743391766292994"/>
    <n v="9.6174999999999997"/>
    <n v="1.2682417582417582"/>
    <n v="7.583333333333333"/>
    <n v="2.2641509433962264"/>
    <n v="4"/>
    <d v="1899-12-30T00:26:30"/>
    <s v="Order"/>
    <n v="22.335389870360405"/>
    <n v="-0.55991817224719753"/>
    <n v="59.203888888888891"/>
    <n v="93.109999999999985"/>
    <n v="22.300000000000011"/>
  </r>
  <r>
    <d v="2024-05-02T00:00:00"/>
    <x v="3"/>
    <x v="15"/>
    <n v="5"/>
    <s v="QTR2"/>
    <s v="Thursday"/>
    <d v="1899-12-30T17:30:00"/>
    <s v="Overcast"/>
    <n v="48"/>
    <s v="Augusta"/>
    <n v="107.63"/>
    <n v="5"/>
    <n v="119"/>
    <n v="13"/>
    <n v="21.526"/>
    <n v="7.9202307692307681"/>
    <n v="8.2792307692307681"/>
    <n v="0.90445378151260503"/>
    <n v="9.1538461538461533"/>
    <n v="2.6"/>
    <n v="3"/>
    <d v="1899-12-30T00:23:05"/>
    <s v="Order"/>
    <n v="19.452916652940207"/>
    <n v="2.0730833470597929"/>
    <n v="59.414888888888889"/>
    <n v="89.727499999999992"/>
    <n v="17.902500000000003"/>
  </r>
  <r>
    <d v="2024-05-03T00:00:00"/>
    <x v="3"/>
    <x v="15"/>
    <n v="5"/>
    <s v="QTR2"/>
    <s v="Friday"/>
    <d v="1899-12-30T18:00:00"/>
    <s v="Clear"/>
    <n v="63"/>
    <s v="Lewiston"/>
    <n v="123.54"/>
    <n v="5.45"/>
    <n v="91"/>
    <n v="15"/>
    <n v="22.667889908256882"/>
    <n v="4.9258065749235485"/>
    <n v="8.2360000000000007"/>
    <n v="1.3575824175824176"/>
    <n v="6.0666666666666664"/>
    <n v="2.7522935779816513"/>
    <n v="3"/>
    <d v="1899-12-30T00:21:48"/>
    <s v="Order"/>
    <n v="28.304790435178003"/>
    <n v="-5.6369005269211208"/>
    <n v="60.787555555555556"/>
    <n v="107.795"/>
    <n v="15.745000000000005"/>
  </r>
  <r>
    <d v="2024-05-04T00:00:00"/>
    <x v="3"/>
    <x v="15"/>
    <n v="5"/>
    <s v="QTR2"/>
    <s v="Saturday"/>
    <d v="1899-12-30T19:00:00"/>
    <s v="Overcast"/>
    <n v="54"/>
    <s v="Brunswick/Bath/Freeport"/>
    <n v="73.050000000000011"/>
    <n v="3.63"/>
    <n v="103"/>
    <n v="8"/>
    <n v="20.123966942148765"/>
    <n v="-6.591136897172639"/>
    <n v="9.1312500000000014"/>
    <n v="0.70922330097087394"/>
    <n v="12.875"/>
    <n v="2.2038567493112948"/>
    <n v="2"/>
    <d v="1899-12-30T00:27:14"/>
    <s v="Hourly"/>
    <n v="25.165112615762578"/>
    <n v="-5.0411456736138121"/>
    <n v="61.599222222222224"/>
    <n v="104.9075"/>
    <n v="-31.857499999999987"/>
  </r>
  <r>
    <d v="2024-05-05T00:00:00"/>
    <x v="3"/>
    <x v="15"/>
    <n v="5"/>
    <s v="QTR2"/>
    <s v="Sunday"/>
    <d v="1899-12-30T18:00:00"/>
    <s v="Rain"/>
    <n v="46"/>
    <s v="Brunswick/Bath/Freeport"/>
    <n v="141.63"/>
    <n v="4.97"/>
    <n v="88"/>
    <n v="10"/>
    <n v="28.496981891348089"/>
    <n v="8.5566258465970328"/>
    <n v="14.163"/>
    <n v="1.6094318181818181"/>
    <n v="8.8000000000000007"/>
    <n v="2.0120724346076462"/>
    <n v="3"/>
    <d v="1899-12-30T00:29:49"/>
    <s v="Order"/>
    <n v="19.246597619330164"/>
    <n v="9.250384272017925"/>
    <n v="62.730444444444451"/>
    <n v="111.46250000000001"/>
    <n v="30.16749999999999"/>
  </r>
  <r>
    <d v="2024-05-06T00:00:00"/>
    <x v="3"/>
    <x v="16"/>
    <n v="6"/>
    <s v="QTR2"/>
    <s v="Monday"/>
    <d v="1899-12-30T18:00:00"/>
    <s v="Clear"/>
    <n v="66"/>
    <s v="Brunswick/Bath/Freeport"/>
    <n v="133.05000000000001"/>
    <n v="5.22"/>
    <n v="114"/>
    <n v="13"/>
    <n v="25.488505747126439"/>
    <n v="6.4408288017532165"/>
    <n v="10.234615384615385"/>
    <n v="1.1671052631578949"/>
    <n v="8.7692307692307701"/>
    <n v="2.4904214559386975"/>
    <n v="3"/>
    <d v="1899-12-30T00:24:06"/>
    <s v="Order"/>
    <n v="22.295360168593202"/>
    <n v="3.1931455785332368"/>
    <n v="64.208777777777783"/>
    <n v="117.81750000000001"/>
    <n v="15.232500000000002"/>
  </r>
  <r>
    <d v="2024-05-07T00:00:00"/>
    <x v="3"/>
    <x v="16"/>
    <n v="6"/>
    <s v="QTR2"/>
    <s v="Tuesday"/>
    <d v="1899-12-30T17:30:00"/>
    <s v="Clear"/>
    <n v="61"/>
    <s v="Portland"/>
    <n v="75.02"/>
    <n v="3.73"/>
    <n v="104"/>
    <n v="7"/>
    <n v="20.112600536193028"/>
    <s v=""/>
    <n v="10.717142857142857"/>
    <n v="0.72134615384615386"/>
    <n v="14.857142857142858"/>
    <n v="1.8766756032171581"/>
    <n v="3"/>
    <d v="1899-12-30T00:31:58"/>
    <s v="Order"/>
    <n v="18.163573021829258"/>
    <n v="1.9490275143637703"/>
    <n v="64.436333333333351"/>
    <n v="105.6875"/>
    <n v="-30.667500000000004"/>
  </r>
  <r>
    <d v="2024-05-09T00:00:00"/>
    <x v="3"/>
    <x v="16"/>
    <n v="6"/>
    <s v="QTR2"/>
    <s v="Thursday"/>
    <d v="1899-12-30T18:30:00"/>
    <s v="Clear"/>
    <n v="52"/>
    <s v="Brunswick/Bath/Freeport"/>
    <n v="91.550000000000011"/>
    <n v="4.2"/>
    <n v="78"/>
    <n v="8"/>
    <n v="21.797619047619051"/>
    <n v="-1.8176738276221158"/>
    <n v="11.443750000000001"/>
    <n v="1.1737179487179488"/>
    <n v="9.75"/>
    <n v="1.9047619047619047"/>
    <n v="3"/>
    <d v="1899-12-30T00:31:30"/>
    <s v="Order"/>
    <n v="21.385404996263951"/>
    <n v="0.41221405135510025"/>
    <n v="62.794444444444466"/>
    <n v="110.3125"/>
    <n v="-18.762499999999989"/>
  </r>
  <r>
    <d v="2024-05-13T00:00:00"/>
    <x v="3"/>
    <x v="17"/>
    <n v="7"/>
    <s v="QTR2"/>
    <s v="Monday"/>
    <d v="1899-12-30T17:30:00"/>
    <s v="Clear"/>
    <n v="59"/>
    <s v="Brunswick/Bath/Freeport"/>
    <n v="143.83000000000001"/>
    <n v="5.32"/>
    <n v="115"/>
    <n v="13"/>
    <n v="27.035714285714288"/>
    <n v="6.9145658733821946"/>
    <n v="11.063846153846155"/>
    <n v="1.2506956521739132"/>
    <n v="8.8461538461538467"/>
    <n v="2.4436090225563909"/>
    <n v="2"/>
    <d v="1899-12-30T00:24:33"/>
    <s v="Order"/>
    <n v="24.725669642857142"/>
    <n v="2.3100446428571466"/>
    <n v="62.508555555555567"/>
    <n v="110.86250000000001"/>
    <n v="32.967500000000001"/>
  </r>
  <r>
    <d v="2024-05-14T00:00:00"/>
    <x v="3"/>
    <x v="17"/>
    <n v="7"/>
    <s v="QTR2"/>
    <s v="Tuesday"/>
    <d v="1899-12-30T17:30:00"/>
    <s v="Mostly Cloudy"/>
    <n v="64"/>
    <s v="Brunswick/Bath/Freeport"/>
    <n v="142.47999999999999"/>
    <n v="6.35"/>
    <n v="130"/>
    <n v="16"/>
    <n v="22.437795275590553"/>
    <n v="1.4604120602734341"/>
    <n v="8.9049999999999994"/>
    <n v="1.0959999999999999"/>
    <n v="8.125"/>
    <n v="2.5196850393700787"/>
    <n v="3"/>
    <d v="1899-12-30T00:23:49"/>
    <s v="Order"/>
    <n v="24.50145834419704"/>
    <n v="-2.0636630686064876"/>
    <n v="61.956666666666678"/>
    <n v="113.22"/>
    <n v="29.259999999999991"/>
  </r>
  <r>
    <d v="2024-05-15T00:00:00"/>
    <x v="3"/>
    <x v="17"/>
    <n v="7"/>
    <s v="QTR2"/>
    <s v="Wednesday"/>
    <d v="1899-12-30T18:30:00"/>
    <s v="Partially Cloudy"/>
    <n v="66"/>
    <s v="Brunswick/Bath/Freeport"/>
    <n v="125.15"/>
    <n v="5.35"/>
    <n v="105"/>
    <n v="15"/>
    <n v="23.392523364485985"/>
    <n v="-1.8615643141516358"/>
    <n v="8.3433333333333337"/>
    <n v="1.191904761904762"/>
    <n v="7"/>
    <n v="2.8037383177570097"/>
    <n v="3"/>
    <d v="1899-12-30T00:21:24"/>
    <s v="Order"/>
    <n v="24.268423200414826"/>
    <n v="-0.87589983592884124"/>
    <n v="63.347222222222236"/>
    <n v="125.7525"/>
    <n v="-0.60249999999999204"/>
  </r>
  <r>
    <d v="2024-05-16T00:00:00"/>
    <x v="3"/>
    <x v="17"/>
    <n v="7"/>
    <s v="QTR2"/>
    <s v="Thursday"/>
    <d v="1899-12-30T17:30:00"/>
    <s v="Clear"/>
    <n v="70"/>
    <s v="Brunswick/Bath/Freeport"/>
    <n v="129.67000000000002"/>
    <n v="5.62"/>
    <n v="155"/>
    <n v="11"/>
    <n v="23.072953736654807"/>
    <n v="-0.37709606334798806"/>
    <n v="11.788181818181819"/>
    <n v="0.83658064516129038"/>
    <n v="14.090909090909092"/>
    <n v="1.9572953736654803"/>
    <n v="4"/>
    <d v="1899-12-30T00:30:39"/>
    <s v="Order"/>
    <n v="19.305707637558172"/>
    <n v="3.767246099096635"/>
    <n v="63.882000000000012"/>
    <n v="135.28250000000003"/>
    <n v="-5.6125000000000114"/>
  </r>
  <r>
    <d v="2024-05-17T00:00:00"/>
    <x v="3"/>
    <x v="17"/>
    <n v="7"/>
    <s v="QTR2"/>
    <s v="Friday"/>
    <d v="1899-12-30T18:00:00"/>
    <s v="Partially Cloudy"/>
    <n v="57"/>
    <s v="Portland"/>
    <n v="151.49"/>
    <n v="6.28"/>
    <n v="121"/>
    <n v="17"/>
    <n v="24.122611464968152"/>
    <n v="2.095324119482715"/>
    <n v="8.9111764705882361"/>
    <n v="1.2519834710743802"/>
    <n v="7.117647058823529"/>
    <n v="2.7070063694267517"/>
    <n v="3"/>
    <d v="1899-12-30T00:22:10"/>
    <s v="Order"/>
    <n v="26.162300455424486"/>
    <n v="-2.0396889904563338"/>
    <n v="64.096444444444444"/>
    <n v="137.19749999999999"/>
    <n v="14.292500000000018"/>
  </r>
  <r>
    <d v="2024-05-20T00:00:00"/>
    <x v="3"/>
    <x v="18"/>
    <n v="8"/>
    <s v="QTR2"/>
    <s v="Monday"/>
    <d v="1899-12-30T14:30:00"/>
    <s v="Sunny"/>
    <n v="73"/>
    <s v="Brunswick/Bath/Freeport"/>
    <n v="22"/>
    <n v="1.58"/>
    <n v="31"/>
    <n v="4"/>
    <n v="13.924050632911392"/>
    <n v="-7.184892904189585"/>
    <n v="5.5"/>
    <n v="0.70967741935483875"/>
    <n v="7.75"/>
    <n v="2.5316455696202529"/>
    <n v="1"/>
    <d v="1899-12-30T00:23:42"/>
    <s v="Order"/>
    <n v="15.443940210072718"/>
    <n v="-1.5198895771613259"/>
    <n v="62.071333333333335"/>
    <n v="107.07750000000001"/>
    <n v="-85.077500000000015"/>
  </r>
  <r>
    <d v="2024-05-22T00:00:00"/>
    <x v="3"/>
    <x v="18"/>
    <n v="8"/>
    <s v="QTR2"/>
    <s v="Wednesday"/>
    <d v="1899-12-30T18:30:00"/>
    <s v="Partially Cloudy"/>
    <n v="79"/>
    <s v="Brunswick/Bath/Freeport"/>
    <n v="105.4"/>
    <n v="5.22"/>
    <n v="158"/>
    <n v="9"/>
    <n v="20.191570881226056"/>
    <n v="-4.7965790382470459"/>
    <n v="11.711111111111112"/>
    <n v="0.66708860759493671"/>
    <n v="17.555555555555557"/>
    <n v="1.7241379310344829"/>
    <n v="3"/>
    <d v="1899-12-30T00:34:48"/>
    <s v="Order"/>
    <n v="18.639610141808248"/>
    <n v="1.5519607394178081"/>
    <n v="61.653555555555549"/>
    <n v="102.14000000000001"/>
    <n v="3.2599999999999909"/>
  </r>
  <r>
    <d v="2024-05-23T00:00:00"/>
    <x v="3"/>
    <x v="18"/>
    <n v="8"/>
    <s v="QTR2"/>
    <s v="Thursday"/>
    <d v="1899-12-30T17:30:00"/>
    <s v="Clear"/>
    <n v="72"/>
    <s v="Brunswick/Bath/Freeport"/>
    <n v="72.94"/>
    <n v="3.67"/>
    <n v="77"/>
    <n v="10"/>
    <n v="19.87465940054496"/>
    <n v="-3.5439657275121697"/>
    <n v="7.2939999999999996"/>
    <n v="0.94727272727272727"/>
    <n v="7.7"/>
    <n v="2.7247956403269757"/>
    <n v="1"/>
    <d v="1899-12-30T00:22:01"/>
    <s v="Order"/>
    <n v="19.770465325238188"/>
    <n v="0.10419407530677205"/>
    <n v="62.463999999999992"/>
    <n v="87.957499999999996"/>
    <n v="-15.017499999999998"/>
  </r>
  <r>
    <d v="2024-05-24T00:00:00"/>
    <x v="3"/>
    <x v="18"/>
    <n v="8"/>
    <s v="QTR2"/>
    <s v="Friday"/>
    <d v="1899-12-30T17:30:00"/>
    <s v="Clear"/>
    <n v="73"/>
    <s v="Brunswick/Bath/Freeport"/>
    <n v="72.19"/>
    <n v="4.45"/>
    <n v="111"/>
    <n v="8"/>
    <n v="16.222471910112358"/>
    <n v="-9.2534312879793426"/>
    <n v="9.0237499999999997"/>
    <n v="0.65036036036036038"/>
    <n v="13.875"/>
    <n v="1.797752808988764"/>
    <n v="4"/>
    <d v="1899-12-30T00:33:23"/>
    <s v="Order"/>
    <n v="16.333148531440958"/>
    <n v="-0.11067662132860079"/>
    <n v="62.084111111111099"/>
    <n v="68.132499999999993"/>
    <n v="4.0575000000000045"/>
  </r>
  <r>
    <d v="2024-05-27T00:00:00"/>
    <x v="3"/>
    <x v="19"/>
    <n v="9"/>
    <s v="QTR2"/>
    <s v="Monday"/>
    <d v="1899-12-30T17:00:00"/>
    <s v="Partially Cloudy"/>
    <n v="75"/>
    <s v="Augusta"/>
    <n v="93.49"/>
    <n v="6.37"/>
    <n v="172"/>
    <n v="10"/>
    <n v="14.676609105180532"/>
    <n v="-5.8597545311831034"/>
    <n v="9.3490000000000002"/>
    <n v="0.5435465116279069"/>
    <n v="17.2"/>
    <n v="1.5698587127158556"/>
    <n v="4"/>
    <d v="1899-12-30T00:38:13"/>
    <s v="Hourly"/>
    <n v="18.734097495073303"/>
    <n v="-4.0574883898927716"/>
    <n v="61.738999999999983"/>
    <n v="86.004999999999995"/>
    <n v="7.4849999999999994"/>
  </r>
  <r>
    <d v="2024-05-28T00:00:00"/>
    <x v="3"/>
    <x v="19"/>
    <n v="9"/>
    <s v="QTR2"/>
    <s v="Tuesday"/>
    <d v="1899-12-30T17:00:00"/>
    <s v="Partially Cloudy"/>
    <n v="75"/>
    <s v="Brunswick/Bath/Freeport"/>
    <n v="121.22"/>
    <n v="6.1"/>
    <n v="164"/>
    <n v="11"/>
    <n v="19.872131147540983"/>
    <n v="-1.2675200744731825"/>
    <n v="11.02"/>
    <n v="0.73914634146341462"/>
    <n v="14.909090909090908"/>
    <n v="1.8032786885245902"/>
    <n v="5"/>
    <d v="1899-12-30T00:33:16"/>
    <s v="Order"/>
    <n v="20.188057605643003"/>
    <n v="-0.31592645810201958"/>
    <n v="62.281666666666652"/>
    <n v="89.960000000000008"/>
    <n v="31.259999999999991"/>
  </r>
  <r>
    <d v="2024-05-29T00:00:00"/>
    <x v="3"/>
    <x v="19"/>
    <n v="9"/>
    <s v="QTR2"/>
    <s v="Wednesday"/>
    <d v="1899-12-30T18:00:00"/>
    <s v="Clear"/>
    <n v="72"/>
    <s v="Brunswick/Bath/Freeport"/>
    <n v="48.230000000000004"/>
    <n v="2.97"/>
    <n v="58"/>
    <n v="7"/>
    <n v="16.239057239057239"/>
    <n v="-8.1495203006349826"/>
    <n v="6.8900000000000006"/>
    <n v="0.8315517241379311"/>
    <n v="8.2857142857142865"/>
    <n v="2.3569023569023568"/>
    <n v="2"/>
    <d v="1899-12-30T00:25:27"/>
    <s v="Order"/>
    <n v="21.882177824775361"/>
    <n v="-5.6431205857181226"/>
    <n v="62.817555555555536"/>
    <n v="83.782499999999999"/>
    <n v="-35.552499999999995"/>
  </r>
  <r>
    <d v="2024-05-30T00:00:00"/>
    <x v="3"/>
    <x v="19"/>
    <n v="9"/>
    <s v="QTR2"/>
    <s v="Thursday"/>
    <d v="1899-12-30T18:00:00"/>
    <s v="Sunny"/>
    <n v="64"/>
    <s v="Brunswick/Bath/Freeport"/>
    <n v="155.93000000000004"/>
    <n v="5.53"/>
    <n v="127"/>
    <n v="11"/>
    <n v="28.197106690777581"/>
    <n v="5.0510943109906208"/>
    <n v="14.175454545454549"/>
    <n v="1.2277952755905515"/>
    <n v="11.545454545454545"/>
    <n v="1.9891500904159132"/>
    <n v="4"/>
    <d v="1899-12-30T00:30:10"/>
    <s v="Order"/>
    <n v="23.93154089725601"/>
    <n v="4.2655657935215707"/>
    <n v="63.604111111111088"/>
    <n v="104.7175"/>
    <n v="51.212500000000034"/>
  </r>
  <r>
    <d v="2024-05-31T00:00:00"/>
    <x v="3"/>
    <x v="19"/>
    <n v="9"/>
    <s v="QTR2"/>
    <s v="Friday"/>
    <d v="1899-12-30T18:00:00"/>
    <s v="Clear"/>
    <n v="70"/>
    <s v="Brunswick/Bath/Freeport"/>
    <n v="131.13"/>
    <n v="5.9"/>
    <n v="126"/>
    <n v="13"/>
    <n v="22.225423728813556"/>
    <n v="-2.5386770625105015"/>
    <n v="10.086923076923076"/>
    <n v="1.0407142857142857"/>
    <n v="9.6923076923076916"/>
    <n v="2.2033898305084745"/>
    <n v="3"/>
    <d v="1899-12-30T00:27:14"/>
    <s v="Order"/>
    <n v="22.313396922264502"/>
    <n v="-8.7973193450945786E-2"/>
    <n v="63.626222222222211"/>
    <n v="114.1275"/>
    <n v="17.002499999999998"/>
  </r>
  <r>
    <d v="2024-06-01T00:00:00"/>
    <x v="3"/>
    <x v="19"/>
    <n v="9"/>
    <s v="QTR2"/>
    <s v="Saturday"/>
    <d v="1899-12-30T16:00:00"/>
    <s v="Partially Cloudy"/>
    <n v="63"/>
    <s v="Portland"/>
    <n v="152.71999999999997"/>
    <n v="5.05"/>
    <n v="142"/>
    <n v="8"/>
    <n v="30.241584158415836"/>
    <n v="11.921616194701969"/>
    <n v="19.089999999999996"/>
    <n v="1.0754929577464787"/>
    <n v="17.75"/>
    <n v="1.5841584158415842"/>
    <n v="2"/>
    <d v="1899-12-30T00:37:53"/>
    <s v="Order"/>
    <n v="26.586309320587226"/>
    <n v="3.6552748378286104"/>
    <n v="64.441333333333304"/>
    <n v="122.0025"/>
    <n v="30.717499999999973"/>
  </r>
  <r>
    <d v="2024-06-02T00:00:00"/>
    <x v="3"/>
    <x v="19"/>
    <n v="9"/>
    <s v="QTR2"/>
    <s v="Sunday"/>
    <d v="1899-12-30T18:00:00"/>
    <s v="Clear"/>
    <n v="77"/>
    <s v="Lewiston"/>
    <n v="94.56"/>
    <n v="5.25"/>
    <n v="93"/>
    <n v="12"/>
    <n v="18.011428571428571"/>
    <n v="1.7509022556390974"/>
    <n v="7.88"/>
    <n v="1.0167741935483872"/>
    <n v="7.75"/>
    <n v="2.2857142857142856"/>
    <n v="2"/>
    <d v="1899-12-30T00:26:15"/>
    <s v="Order"/>
    <n v="18.334880952380949"/>
    <n v="-0.3234523809523786"/>
    <n v="65.491999999999976"/>
    <n v="133.58500000000001"/>
    <n v="-39.025000000000006"/>
  </r>
  <r>
    <d v="2024-06-03T00:00:00"/>
    <x v="3"/>
    <x v="20"/>
    <n v="10"/>
    <s v="QTR2"/>
    <s v="Monday"/>
    <d v="1899-12-30T17:30:00"/>
    <s v="Clear"/>
    <n v="70"/>
    <s v="Brunswick/Bath/Freeport"/>
    <n v="96"/>
    <n v="5.33"/>
    <n v="139"/>
    <n v="10"/>
    <n v="18.011257035647279"/>
    <n v="-2.1995748884299999"/>
    <n v="9.6"/>
    <n v="0.69064748201438853"/>
    <n v="13.9"/>
    <n v="1.876172607879925"/>
    <n v="1"/>
    <d v="1899-12-30T00:31:59"/>
    <s v="Order"/>
    <n v="22.182309988289532"/>
    <n v="-4.1710529526422526"/>
    <n v="65.832888888888874"/>
    <n v="118.60249999999999"/>
    <n v="-22.602499999999992"/>
  </r>
  <r>
    <d v="2024-06-04T00:00:00"/>
    <x v="3"/>
    <x v="20"/>
    <n v="10"/>
    <s v="QTR2"/>
    <s v="Tuesday"/>
    <d v="1899-12-30T17:30:00"/>
    <s v="Clear"/>
    <n v="70"/>
    <s v="Brunswick/Bath/Freeport"/>
    <n v="104.53999999999999"/>
    <n v="4.2300000000000004"/>
    <n v="120"/>
    <n v="10"/>
    <n v="24.71394799054373"/>
    <n v="3.7010487759768793"/>
    <n v="10.453999999999999"/>
    <n v="0.87116666666666664"/>
    <n v="12"/>
    <n v="2.3640661938534278"/>
    <n v="2"/>
    <d v="1899-12-30T00:25:23"/>
    <s v="Order"/>
    <n v="25.132141780506764"/>
    <n v="-0.41819378996303413"/>
    <n v="66.99444444444444"/>
    <n v="111.95499999999998"/>
    <n v="-7.414999999999992"/>
  </r>
  <r>
    <d v="2024-06-05T00:00:00"/>
    <x v="3"/>
    <x v="20"/>
    <n v="10"/>
    <s v="QTR2"/>
    <s v="Wednesday"/>
    <d v="1899-12-30T17:30:00"/>
    <s v="Partially Cloudy"/>
    <n v="70"/>
    <s v="Portland"/>
    <n v="113.09"/>
    <n v="5.6"/>
    <n v="121"/>
    <n v="13"/>
    <n v="20.19464285714286"/>
    <n v="1.69114996425618"/>
    <n v="8.6992307692307698"/>
    <n v="0.93462809917355372"/>
    <n v="9.3076923076923084"/>
    <n v="2.3214285714285716"/>
    <n v="3"/>
    <d v="1899-12-30T00:25:51"/>
    <s v="Order"/>
    <n v="18.692679503627101"/>
    <n v="1.5019633535157588"/>
    <n v="68.250999999999991"/>
    <n v="102.04750000000001"/>
    <n v="11.04249999999999"/>
  </r>
  <r>
    <d v="2024-06-06T00:00:00"/>
    <x v="3"/>
    <x v="20"/>
    <n v="10"/>
    <s v="QTR2"/>
    <s v="Thursday"/>
    <d v="1899-12-30T17:00:00"/>
    <s v="Fog"/>
    <n v="59"/>
    <s v="Portland"/>
    <n v="139.02000000000001"/>
    <n v="6.13"/>
    <n v="119"/>
    <n v="10"/>
    <n v="22.678629690048943"/>
    <n v="5.5503525441247383"/>
    <n v="13.902000000000001"/>
    <n v="1.168235294117647"/>
    <n v="11.9"/>
    <n v="1.6313213703099512"/>
    <n v="1"/>
    <d v="1899-12-30T00:36:47"/>
    <s v="Order"/>
    <n v="27.094757647407121"/>
    <n v="-4.416127957358178"/>
    <n v="69.795666666666662"/>
    <n v="113.16249999999999"/>
    <n v="25.857500000000016"/>
  </r>
  <r>
    <d v="2024-06-07T00:00:00"/>
    <x v="3"/>
    <x v="20"/>
    <n v="10"/>
    <s v="QTR2"/>
    <s v="Friday"/>
    <d v="1899-12-30T18:00:00"/>
    <s v="Partially Cloudy"/>
    <n v="64"/>
    <s v="Brunswick/Bath/Freeport"/>
    <n v="143.56"/>
    <n v="6.08"/>
    <n v="165"/>
    <n v="13"/>
    <n v="23.611842105263158"/>
    <n v="-0.97092461016729104"/>
    <n v="11.043076923076923"/>
    <n v="0.87006060606060609"/>
    <n v="12.692307692307692"/>
    <n v="2.138157894736842"/>
    <n v="2"/>
    <d v="1899-12-30T00:28:04"/>
    <s v="Order"/>
    <n v="20.101809097414456"/>
    <n v="3.5100330078487012"/>
    <n v="68.926111111111112"/>
    <n v="125.05249999999999"/>
    <n v="18.507500000000007"/>
  </r>
  <r>
    <d v="2024-06-08T00:00:00"/>
    <x v="3"/>
    <x v="20"/>
    <n v="10"/>
    <s v="QTR2"/>
    <s v="Saturday"/>
    <d v="1899-12-30T14:30:00"/>
    <s v="Clear"/>
    <n v="66"/>
    <s v="Brunswick/Bath/Freeport"/>
    <n v="136.09"/>
    <n v="7.35"/>
    <n v="153"/>
    <n v="17"/>
    <n v="18.515646258503402"/>
    <n v="-7.6924470502662601"/>
    <n v="8.0052941176470593"/>
    <n v="0.88947712418300651"/>
    <n v="9"/>
    <n v="2.3129251700680271"/>
    <n v="4"/>
    <d v="1899-12-30T00:25:56"/>
    <s v="Hourly"/>
    <n v="20.809749427409155"/>
    <n v="-2.2941031689057532"/>
    <n v="70.438222222222223"/>
    <n v="132.94"/>
    <n v="3.1500000000000057"/>
  </r>
  <r>
    <d v="2024-06-09T00:00:00"/>
    <x v="3"/>
    <x v="20"/>
    <n v="10"/>
    <s v="QTR2"/>
    <s v="Sunday"/>
    <d v="1899-12-30T16:00:00"/>
    <s v="Partially Cloudy"/>
    <n v="61"/>
    <s v="Portland"/>
    <n v="174.07"/>
    <n v="6.62"/>
    <n v="155"/>
    <n v="13"/>
    <n v="26.294561933534741"/>
    <n v="4.2948626154786673"/>
    <n v="13.389999999999999"/>
    <n v="1.123032258064516"/>
    <n v="11.923076923076923"/>
    <n v="1.9637462235649545"/>
    <n v="2"/>
    <d v="1899-12-30T00:30:33"/>
    <s v="Order"/>
    <n v="26.294561933534741"/>
    <n v="0"/>
    <n v="71.298000000000002"/>
    <n v="148.185"/>
    <n v="25.884999999999991"/>
  </r>
  <r>
    <d v="2024-06-10T00:00:00"/>
    <x v="3"/>
    <x v="21"/>
    <n v="11"/>
    <s v="QTR2"/>
    <s v="Monday"/>
    <d v="1899-12-30T17:30:00"/>
    <s v="Clear"/>
    <n v="68"/>
    <s v="Portland"/>
    <n v="130.76999999999998"/>
    <n v="5.16"/>
    <n v="111"/>
    <n v="8"/>
    <n v="25.34302325581395"/>
    <n v="5.5938170956170765"/>
    <n v="16.346249999999998"/>
    <n v="1.178108108108108"/>
    <n v="13.875"/>
    <n v="1.5503875968992247"/>
    <n v="4"/>
    <d v="1899-12-30T00:38:42"/>
    <s v="Order"/>
    <n v="18.7884790163058"/>
    <n v="6.5545442395081501"/>
    <n v="72.751000000000005"/>
    <n v="146.1225"/>
    <n v="-15.35250000000002"/>
  </r>
  <r>
    <d v="2024-06-11T00:00:00"/>
    <x v="3"/>
    <x v="21"/>
    <n v="11"/>
    <s v="QTR2"/>
    <s v="Tuesday"/>
    <d v="1899-12-30T18:30:00"/>
    <s v="Overcast"/>
    <n v="70"/>
    <s v="Brunswick/Bath/Freeport"/>
    <n v="100.4"/>
    <n v="5.12"/>
    <n v="124"/>
    <n v="9"/>
    <n v="19.609375"/>
    <n v="-1.7399831942011126"/>
    <n v="11.155555555555557"/>
    <n v="0.80967741935483872"/>
    <n v="13.777777777777779"/>
    <n v="1.7578125"/>
    <n v="3"/>
    <d v="1899-12-30T00:34:08"/>
    <s v="Order"/>
    <n v="22.483161614441418"/>
    <n v="-2.8737866144414177"/>
    <n v="72.594111111111104"/>
    <n v="135.33249999999998"/>
    <n v="-34.932499999999976"/>
  </r>
  <r>
    <d v="2024-06-12T00:00:00"/>
    <x v="3"/>
    <x v="21"/>
    <n v="11"/>
    <s v="QTR2"/>
    <s v="Wednesday"/>
    <d v="1899-12-30T17:30:00"/>
    <s v="Overcast"/>
    <n v="64"/>
    <s v="Brunswick/Bath/Freeport"/>
    <n v="104.98"/>
    <n v="5.72"/>
    <n v="104"/>
    <n v="12"/>
    <n v="18.353146853146853"/>
    <n v="-5.1299284309192608"/>
    <n v="8.7483333333333331"/>
    <n v="1.009423076923077"/>
    <n v="8.6666666666666661"/>
    <n v="2.0979020979020979"/>
    <n v="1"/>
    <d v="1899-12-30T00:28:36"/>
    <s v="Order"/>
    <n v="18.353146853146853"/>
    <n v="0"/>
    <n v="72.916111111111093"/>
    <n v="127.55500000000001"/>
    <n v="-22.575000000000003"/>
  </r>
  <r>
    <d v="2024-06-13T00:00:00"/>
    <x v="3"/>
    <x v="21"/>
    <n v="11"/>
    <s v="QTR2"/>
    <s v="Thursday"/>
    <d v="1899-12-30T17:00:00"/>
    <s v="Clear"/>
    <n v="73"/>
    <s v="Brunswick/Bath/Freeport"/>
    <n v="134"/>
    <n v="5.8"/>
    <n v="123"/>
    <n v="14"/>
    <n v="23.103448275862071"/>
    <n v="-0.40335655470993359"/>
    <n v="9.5714285714285712"/>
    <n v="1.089430894308943"/>
    <n v="8.7857142857142865"/>
    <n v="2.4137931034482758"/>
    <n v="3"/>
    <d v="1899-12-30T00:24:51"/>
    <s v="Order"/>
    <n v="20.552091321007818"/>
    <n v="2.5513569548542527"/>
    <n v="73.393333333333331"/>
    <n v="117.53749999999999"/>
    <n v="16.462500000000006"/>
  </r>
  <r>
    <d v="2024-06-14T00:00:00"/>
    <x v="3"/>
    <x v="21"/>
    <n v="11"/>
    <s v="QTR2"/>
    <s v="Friday"/>
    <d v="1899-12-30T17:30:00"/>
    <s v="Stormy"/>
    <n v="79"/>
    <s v="Brunswick/Bath/Freeport"/>
    <n v="206.79"/>
    <n v="7.62"/>
    <n v="185"/>
    <n v="17"/>
    <n v="27.137795275590548"/>
    <n v="2.6197568675045844"/>
    <n v="12.164117647058823"/>
    <n v="1.1177837837837838"/>
    <n v="10.882352941176471"/>
    <n v="2.2309711286089238"/>
    <n v="4"/>
    <d v="1899-12-30T00:26:54"/>
    <s v="Order"/>
    <n v="23.104506448136657"/>
    <n v="4.0332888274538909"/>
    <n v="74.756"/>
    <n v="136.54249999999999"/>
    <n v="70.247500000000002"/>
  </r>
  <r>
    <d v="2024-06-15T00:00:00"/>
    <x v="3"/>
    <x v="21"/>
    <n v="11"/>
    <s v="QTR2"/>
    <s v="Saturday"/>
    <d v="1899-12-30T16:30:00"/>
    <s v="Clear"/>
    <n v="66"/>
    <s v="Brunswick/Bath/Freeport"/>
    <n v="142.88"/>
    <n v="5.93"/>
    <n v="174"/>
    <n v="11"/>
    <n v="24.094435075885329"/>
    <n v="-1.5641977292938876"/>
    <n v="12.989090909090908"/>
    <n v="0.82114942528735635"/>
    <n v="15.818181818181818"/>
    <n v="1.854974704890388"/>
    <n v="3"/>
    <d v="1899-12-30T00:32:21"/>
    <s v="Hourly"/>
    <n v="22.337827564977648"/>
    <n v="1.7566075109076813"/>
    <n v="76.343555555555554"/>
    <n v="147.16249999999999"/>
    <n v="-4.2824999999999989"/>
  </r>
  <r>
    <d v="2024-06-17T00:00:00"/>
    <x v="3"/>
    <x v="22"/>
    <n v="12"/>
    <s v="QTR2"/>
    <s v="Monday"/>
    <d v="1899-12-30T18:00:00"/>
    <s v="Partially Cloudy"/>
    <n v="66"/>
    <s v="Portland"/>
    <n v="117.83000000000001"/>
    <n v="5.38"/>
    <n v="104"/>
    <n v="11"/>
    <n v="21.901486988847587"/>
    <n v="0.28767513011168688"/>
    <n v="10.711818181818183"/>
    <n v="1.1329807692307694"/>
    <n v="9.454545454545455"/>
    <n v="2.0446096654275094"/>
    <n v="2"/>
    <d v="1899-12-30T00:29:21"/>
    <s v="Order"/>
    <n v="19.273030658110066"/>
    <n v="2.6284563307375208"/>
    <n v="76.381222222222235"/>
    <n v="150.375"/>
    <n v="-32.544999999999987"/>
  </r>
  <r>
    <d v="2024-06-18T00:00:00"/>
    <x v="3"/>
    <x v="22"/>
    <n v="12"/>
    <s v="QTR2"/>
    <s v="Tuesday"/>
    <d v="1899-12-30T17:30:00"/>
    <s v="Clear"/>
    <n v="84"/>
    <s v="Brunswick/Bath/Freeport"/>
    <n v="116.97"/>
    <n v="5.28"/>
    <n v="122"/>
    <n v="14"/>
    <n v="22.15340909090909"/>
    <n v="0.94904949622473822"/>
    <n v="8.3550000000000004"/>
    <n v="0.95877049180327867"/>
    <n v="8.7142857142857135"/>
    <n v="2.6515151515151514"/>
    <n v="3"/>
    <d v="1899-12-30T00:22:38"/>
    <s v="Order"/>
    <n v="22.15340909090909"/>
    <n v="0"/>
    <n v="77.680888888888902"/>
    <n v="146.11750000000001"/>
    <n v="-29.147500000000008"/>
  </r>
  <r>
    <d v="2024-06-19T00:00:00"/>
    <x v="3"/>
    <x v="22"/>
    <n v="12"/>
    <s v="QTR2"/>
    <s v="Wednesday"/>
    <d v="1899-12-30T17:30:00"/>
    <s v="Clear"/>
    <n v="82"/>
    <s v="Brunswick/Bath/Freeport"/>
    <n v="138.86000000000001"/>
    <n v="5.85"/>
    <n v="122"/>
    <n v="12"/>
    <n v="23.736752136752141"/>
    <n v="0.76666969577795285"/>
    <n v="11.571666666666667"/>
    <n v="1.1381967213114754"/>
    <n v="10.166666666666666"/>
    <n v="2.0512820512820515"/>
    <n v="2"/>
    <d v="1899-12-30T00:29:15"/>
    <s v="Order"/>
    <n v="23.736752136752141"/>
    <n v="0"/>
    <n v="79.223777777777798"/>
    <n v="129.13500000000002"/>
    <n v="9.7249999999999943"/>
  </r>
  <r>
    <d v="2024-06-20T00:00:00"/>
    <x v="3"/>
    <x v="22"/>
    <n v="12"/>
    <s v="QTR2"/>
    <s v="Thursday"/>
    <d v="1899-12-30T17:00:00"/>
    <s v="Thunderstorms"/>
    <n v="82"/>
    <s v="Brunswick/Bath/Freeport"/>
    <n v="142.94"/>
    <n v="5.55"/>
    <n v="102"/>
    <n v="12"/>
    <n v="25.754954954954954"/>
    <n v="2.2750405613636104"/>
    <n v="11.911666666666667"/>
    <n v="1.4013725490196078"/>
    <n v="8.5"/>
    <n v="2.1621621621621623"/>
    <n v="2"/>
    <d v="1899-12-30T00:27:45"/>
    <s v="Order"/>
    <n v="19.1731951408422"/>
    <n v="6.581759814112754"/>
    <n v="80.812000000000012"/>
    <n v="129.15"/>
    <n v="13.789999999999992"/>
  </r>
  <r>
    <d v="2024-06-21T00:00:00"/>
    <x v="3"/>
    <x v="22"/>
    <n v="12"/>
    <s v="QTR2"/>
    <s v="Friday"/>
    <d v="1899-12-30T17:00:00"/>
    <s v="Overcast"/>
    <n v="75"/>
    <s v="Brunswick/Bath/Freeport"/>
    <n v="113.5"/>
    <n v="4.7699999999999996"/>
    <n v="117"/>
    <n v="11"/>
    <n v="23.794549266247383"/>
    <n v="-0.88722394605762034"/>
    <n v="10.318181818181818"/>
    <n v="0.97008547008547008"/>
    <n v="10.636363636363637"/>
    <n v="2.3060796645702308"/>
    <n v="3"/>
    <d v="1899-12-30T00:26:01"/>
    <s v="Order"/>
    <n v="23.794549266247383"/>
    <n v="0"/>
    <n v="82.073111111111118"/>
    <n v="128.0675"/>
    <n v="-14.567499999999995"/>
  </r>
  <r>
    <d v="2024-06-23T00:00:00"/>
    <x v="3"/>
    <x v="22"/>
    <n v="12"/>
    <s v="QTR2"/>
    <s v="Sunday"/>
    <d v="1899-12-30T14:00:00"/>
    <s v="Partially Cloudy"/>
    <n v="79"/>
    <s v="Portland"/>
    <n v="88.88"/>
    <n v="5.18"/>
    <n v="95"/>
    <n v="8"/>
    <n v="17.158301158301157"/>
    <n v="-5.4549499619661539"/>
    <n v="11.11"/>
    <n v="0.93557894736842095"/>
    <n v="11.875"/>
    <n v="1.5444015444015444"/>
    <n v="2"/>
    <d v="1899-12-30T00:38:51"/>
    <s v="Order"/>
    <n v="24.167933971299817"/>
    <n v="-7.0096328129986603"/>
    <n v="81.927555555555571"/>
    <n v="121.045"/>
    <n v="-32.165000000000006"/>
  </r>
  <r>
    <d v="2024-07-01T00:00:00"/>
    <x v="3"/>
    <x v="24"/>
    <n v="1"/>
    <s v="QTR3"/>
    <s v="Monday"/>
    <d v="1899-12-30T18:00:00"/>
    <s v="Sunny"/>
    <n v="79"/>
    <s v="Lewiston"/>
    <n v="116.5"/>
    <n v="5.0199999999999996"/>
    <n v="92"/>
    <n v="14"/>
    <n v="23.207171314741039"/>
    <n v="13.451998900947936"/>
    <n v="8.3214285714285712"/>
    <n v="1.2663043478260869"/>
    <n v="6.5714285714285712"/>
    <n v="2.7888446215139444"/>
    <n v="3"/>
    <d v="1899-12-30T00:21:31"/>
    <s v="Order"/>
    <n v="29.873712776014589"/>
    <n v="-6.6665414612735496"/>
    <n v="77.64422222222224"/>
    <n v="115.455"/>
    <n v="1.0450000000000017"/>
  </r>
  <r>
    <d v="2024-07-02T00:00:00"/>
    <x v="3"/>
    <x v="24"/>
    <n v="1"/>
    <s v="QTR3"/>
    <s v="Tuesday"/>
    <d v="1899-12-30T17:30:00"/>
    <s v="Clear"/>
    <n v="77"/>
    <s v="Portland"/>
    <n v="153.74"/>
    <n v="5.48"/>
    <n v="104"/>
    <n v="12"/>
    <n v="28.054744525547445"/>
    <n v="6.1198246120592472"/>
    <n v="12.811666666666667"/>
    <n v="1.4782692307692309"/>
    <n v="8.6666666666666661"/>
    <n v="2.1897810218978102"/>
    <n v="2"/>
    <d v="1899-12-30T00:27:24"/>
    <s v="Order"/>
    <n v="20.191072811871479"/>
    <n v="7.8636717136759664"/>
    <n v="78.927444444444461"/>
    <n v="118.155"/>
    <n v="35.585000000000008"/>
  </r>
  <r>
    <d v="2024-07-03T00:00:00"/>
    <x v="3"/>
    <x v="24"/>
    <n v="1"/>
    <s v="QTR3"/>
    <s v="Wednesday"/>
    <d v="1899-12-30T17:30:00"/>
    <s v="Clear"/>
    <n v="75"/>
    <s v="Brunswick/Bath/Freeport"/>
    <n v="130.79"/>
    <n v="5.3"/>
    <n v="109"/>
    <n v="14"/>
    <n v="24.677358490566036"/>
    <n v="0.45724338779966089"/>
    <n v="9.3421428571428571"/>
    <n v="1.1999082568807338"/>
    <n v="7.7857142857142856"/>
    <n v="2.6415094339622645"/>
    <n v="2"/>
    <d v="1899-12-30T00:22:43"/>
    <s v="Order"/>
    <n v="28.967873876155501"/>
    <n v="-4.2905153855894653"/>
    <n v="80.380666666666684"/>
    <n v="122.47749999999999"/>
    <n v="8.3125"/>
  </r>
  <r>
    <d v="2024-07-04T00:00:00"/>
    <x v="3"/>
    <x v="24"/>
    <n v="1"/>
    <s v="QTR3"/>
    <s v="Thursday"/>
    <d v="1899-12-30T16:30:00"/>
    <s v="Clear"/>
    <n v="68"/>
    <s v="Portland"/>
    <n v="165.93"/>
    <n v="5.98"/>
    <n v="131"/>
    <n v="10"/>
    <n v="27.747491638795985"/>
    <n v="6.5636682880259549"/>
    <n v="16.593"/>
    <n v="1.2666412213740459"/>
    <n v="13.1"/>
    <n v="1.6722408026755851"/>
    <n v="2"/>
    <d v="1899-12-30T00:35:53"/>
    <s v="Order"/>
    <n v="25.47052001294638"/>
    <n v="2.2769716258496047"/>
    <n v="79.721555555555554"/>
    <n v="141.74"/>
    <n v="24.189999999999998"/>
  </r>
  <r>
    <d v="2024-07-09T00:00:00"/>
    <x v="3"/>
    <x v="44"/>
    <n v="2"/>
    <s v="QTR3"/>
    <s v="Tuesday"/>
    <d v="1899-12-30T17:30:00"/>
    <s v="Clear"/>
    <n v="79"/>
    <s v="Portland"/>
    <n v="28"/>
    <n v="2.2799999999999998"/>
    <n v="62"/>
    <n v="3"/>
    <n v="12.280701754385966"/>
    <n v="-10.528478817967837"/>
    <n v="9.3333333333333339"/>
    <n v="0.45161290322580644"/>
    <n v="20.666666666666668"/>
    <n v="1.3157894736842106"/>
    <n v="2"/>
    <d v="1899-12-30T00:45:36"/>
    <s v="Order"/>
    <n v="15.352241121095423"/>
    <n v="-3.071539366709457"/>
    <n v="77.135333333333321"/>
    <n v="119.61499999999999"/>
    <n v="-91.614999999999995"/>
  </r>
  <r>
    <d v="2024-07-11T00:00:00"/>
    <x v="3"/>
    <x v="44"/>
    <n v="2"/>
    <s v="QTR3"/>
    <s v="Thursday"/>
    <d v="1899-12-30T18:00:00"/>
    <s v="Partially Cloudy"/>
    <n v="81"/>
    <s v="Brunswick/Bath/Freeport"/>
    <n v="13.39"/>
    <n v="0.6"/>
    <n v="19"/>
    <n v="1"/>
    <n v="22.31666666666667"/>
    <n v="3.2166799415903391"/>
    <n v="13.39"/>
    <n v="0.70473684210526322"/>
    <n v="19"/>
    <n v="1.6666666666666667"/>
    <n v="1"/>
    <d v="1899-12-30T00:36:00"/>
    <s v="Order"/>
    <n v="24.976515151515155"/>
    <n v="-2.6598484848484851"/>
    <n v="75.306333333333328"/>
    <n v="84.527500000000003"/>
    <n v="-71.137500000000003"/>
  </r>
  <r>
    <d v="2024-07-12T00:00:00"/>
    <x v="3"/>
    <x v="44"/>
    <n v="2"/>
    <s v="QTR3"/>
    <s v="Friday"/>
    <d v="1899-12-30T17:30:00"/>
    <s v="Partially Cloudy"/>
    <n v="81"/>
    <s v="Portland"/>
    <n v="127.66"/>
    <n v="6.28"/>
    <n v="134"/>
    <n v="12"/>
    <n v="20.328025477707005"/>
    <n v="-1.0624901271508378"/>
    <n v="10.638333333333334"/>
    <n v="0.9526865671641791"/>
    <n v="11.166666666666666"/>
    <n v="1.910828025477707"/>
    <n v="3"/>
    <d v="1899-12-30T00:31:24"/>
    <s v="Order"/>
    <n v="19.758050348801941"/>
    <n v="0.56997512890506385"/>
    <n v="75.894222222222211"/>
    <n v="83.745000000000005"/>
    <n v="43.914999999999992"/>
  </r>
  <r>
    <d v="2024-07-15T00:00:00"/>
    <x v="3"/>
    <x v="45"/>
    <n v="3"/>
    <s v="QTR3"/>
    <s v="Monday"/>
    <d v="1899-12-30T17:00:00"/>
    <s v="Clear"/>
    <n v="79"/>
    <s v="Portland"/>
    <n v="119.68"/>
    <n v="6.17"/>
    <n v="136"/>
    <n v="12"/>
    <n v="19.397082658022693"/>
    <n v="-1.2015121212698538"/>
    <n v="9.9733333333333345"/>
    <n v="0.88"/>
    <n v="11.333333333333334"/>
    <n v="1.9448946515397083"/>
    <n v="1"/>
    <d v="1899-12-30T00:30:51"/>
    <s v="Order"/>
    <n v="26.720763551233567"/>
    <n v="-7.3236808932108737"/>
    <n v="76.209777777777774"/>
    <n v="72.182500000000005"/>
    <n v="47.497500000000002"/>
  </r>
  <r>
    <d v="2024-07-16T00:00:00"/>
    <x v="3"/>
    <x v="45"/>
    <n v="3"/>
    <s v="QTR3"/>
    <s v="Tuesday"/>
    <d v="1899-12-30T17:00:00"/>
    <s v="Sunny"/>
    <n v="82"/>
    <s v="Brunswick/Bath/Freeport"/>
    <n v="116.21000000000001"/>
    <n v="5"/>
    <n v="110"/>
    <n v="10"/>
    <n v="23.242000000000001"/>
    <n v="1.198140551570738"/>
    <n v="11.621"/>
    <n v="1.0564545454545455"/>
    <n v="11"/>
    <n v="2"/>
    <n v="2"/>
    <d v="1899-12-30T00:30:00"/>
    <s v="Order"/>
    <n v="21.063307692307692"/>
    <n v="2.1786923076923088"/>
    <n v="76.940555555555548"/>
    <n v="94.235000000000014"/>
    <n v="21.974999999999994"/>
  </r>
  <r>
    <d v="2024-07-17T00:00:00"/>
    <x v="3"/>
    <x v="45"/>
    <n v="3"/>
    <s v="QTR3"/>
    <s v="Wednesday"/>
    <d v="1899-12-30T17:30:00"/>
    <s v="Partially Cloudy"/>
    <n v="81"/>
    <s v="Lewiston"/>
    <n v="58.879999999999995"/>
    <n v="3.37"/>
    <n v="76"/>
    <n v="8"/>
    <n v="17.471810089020771"/>
    <n v="1.0293036290724515"/>
    <n v="7.3599999999999994"/>
    <n v="0.77473684210526306"/>
    <n v="9.5"/>
    <n v="2.3738872403560829"/>
    <n v="2"/>
    <d v="1899-12-30T00:25:17"/>
    <s v="Order"/>
    <n v="21.177052197860014"/>
    <n v="-3.7052421088392435"/>
    <n v="77.594777777777765"/>
    <n v="105.6075"/>
    <n v="-46.727500000000006"/>
  </r>
  <r>
    <d v="2024-07-18T00:00:00"/>
    <x v="3"/>
    <x v="45"/>
    <n v="3"/>
    <s v="QTR3"/>
    <s v="Thursday"/>
    <d v="1899-12-30T17:00:00"/>
    <s v="Partially Cloudy"/>
    <n v="81"/>
    <s v="Portland"/>
    <n v="139.69"/>
    <n v="6.3"/>
    <n v="146"/>
    <n v="10"/>
    <n v="22.173015873015874"/>
    <n v="0.33282569344324742"/>
    <n v="13.968999999999999"/>
    <n v="0.95678082191780822"/>
    <n v="14.6"/>
    <n v="1.5873015873015874"/>
    <n v="3"/>
    <d v="1899-12-30T00:37:48"/>
    <s v="Order"/>
    <n v="17.497399025616847"/>
    <n v="4.6756168473990272"/>
    <n v="78.316333333333318"/>
    <n v="108.61499999999999"/>
    <n v="31.075000000000003"/>
  </r>
  <r>
    <d v="2024-07-19T00:00:00"/>
    <x v="3"/>
    <x v="45"/>
    <n v="3"/>
    <s v="QTR3"/>
    <s v="Friday"/>
    <d v="1899-12-30T17:30:00"/>
    <s v="Partially Cloudy"/>
    <n v="81"/>
    <s v="Brunswick/Bath/Freeport"/>
    <n v="147.6"/>
    <n v="7.23"/>
    <n v="158"/>
    <n v="16"/>
    <n v="20.414937759336098"/>
    <n v="-2.0885072563845739"/>
    <n v="9.2249999999999996"/>
    <n v="0.9341772151898734"/>
    <n v="9.875"/>
    <n v="2.2130013831258641"/>
    <n v="4"/>
    <d v="1899-12-30T00:27:07"/>
    <s v="Order"/>
    <n v="19.277372919603788"/>
    <n v="1.1375648397323097"/>
    <n v="78.792777777777772"/>
    <n v="115.595"/>
    <n v="32.004999999999995"/>
  </r>
  <r>
    <d v="2024-07-20T00:00:00"/>
    <x v="3"/>
    <x v="45"/>
    <n v="3"/>
    <s v="QTR3"/>
    <s v="Saturday"/>
    <d v="1899-12-30T14:00:00"/>
    <s v="Clear"/>
    <n v="81"/>
    <s v="Augusta"/>
    <n v="156.67000000000002"/>
    <n v="6.92"/>
    <n v="170"/>
    <n v="12"/>
    <n v="22.640173410404628"/>
    <n v="4.5676827040849268"/>
    <n v="13.055833333333334"/>
    <n v="0.92158823529411771"/>
    <n v="14.166666666666666"/>
    <n v="1.7341040462427746"/>
    <n v="4"/>
    <d v="1899-12-30T00:34:36"/>
    <s v="Order"/>
    <n v="20.038561698743642"/>
    <n v="2.6016117116609863"/>
    <n v="79.103999999999999"/>
    <n v="125.71"/>
    <n v="30.960000000000022"/>
  </r>
  <r>
    <d v="2024-07-22T00:00:00"/>
    <x v="3"/>
    <x v="25"/>
    <n v="4"/>
    <s v="QTR3"/>
    <s v="Monday"/>
    <d v="1899-12-30T17:30:00"/>
    <s v="Clear"/>
    <n v="73"/>
    <s v="Portland"/>
    <n v="122.99"/>
    <n v="6.08"/>
    <n v="137"/>
    <n v="12"/>
    <n v="20.22861842105263"/>
    <n v="-0.23647501143215521"/>
    <n v="10.249166666666666"/>
    <n v="0.89773722627737218"/>
    <n v="11.416666666666666"/>
    <n v="1.9736842105263157"/>
    <n v="4"/>
    <d v="1899-12-30T00:30:24"/>
    <s v="Order"/>
    <n v="21.493139294091776"/>
    <n v="-1.264520873039146"/>
    <n v="79.028333333333322"/>
    <n v="141.73749999999998"/>
    <n v="-18.747499999999988"/>
  </r>
  <r>
    <d v="2024-07-23T00:00:00"/>
    <x v="3"/>
    <x v="25"/>
    <n v="4"/>
    <s v="QTR3"/>
    <s v="Tuesday"/>
    <d v="1899-12-30T17:30:00"/>
    <s v="Mostly Cloudy"/>
    <n v="73"/>
    <s v="Brunswick/Bath/Freeport"/>
    <n v="91.11"/>
    <n v="4.87"/>
    <n v="96"/>
    <n v="9"/>
    <n v="18.708418891170432"/>
    <n v="-3.5351306491872876"/>
    <n v="10.123333333333333"/>
    <n v="0.94906250000000003"/>
    <n v="10.666666666666666"/>
    <n v="1.8480492813141682"/>
    <n v="4"/>
    <d v="1899-12-30T00:32:28"/>
    <s v="Order"/>
    <n v="19.176198587306246"/>
    <n v="-0.46777969613581405"/>
    <n v="80.040666666666652"/>
    <n v="129.5925"/>
    <n v="-38.482500000000002"/>
  </r>
  <r>
    <d v="2024-07-24T00:00:00"/>
    <x v="3"/>
    <x v="25"/>
    <n v="4"/>
    <s v="QTR3"/>
    <s v="Wednesday"/>
    <d v="1899-12-30T17:30:00"/>
    <s v="Overcast"/>
    <n v="74"/>
    <s v="Brunswick/Bath/Freeport"/>
    <n v="144.25"/>
    <n v="6.45"/>
    <n v="142"/>
    <n v="16"/>
    <n v="22.364341085271317"/>
    <n v="-1.9472226950549896"/>
    <n v="9.015625"/>
    <n v="1.0158450704225352"/>
    <n v="8.875"/>
    <n v="2.4806201550387597"/>
    <n v="3"/>
    <d v="1899-12-30T00:24:11"/>
    <s v="Order"/>
    <n v="26.04195315133131"/>
    <n v="-3.6776120660599929"/>
    <n v="80.881111111111096"/>
    <n v="128.755"/>
    <n v="15.495000000000005"/>
  </r>
  <r>
    <d v="2024-07-26T00:00:00"/>
    <x v="3"/>
    <x v="25"/>
    <n v="4"/>
    <s v="QTR3"/>
    <s v="Friday"/>
    <d v="1899-12-30T17:30:00"/>
    <s v="Clear"/>
    <n v="81"/>
    <s v="Portland"/>
    <n v="180.29999999999998"/>
    <n v="8.6999999999999993"/>
    <n v="230"/>
    <n v="14"/>
    <n v="20.724137931034484"/>
    <n v="-0.48929598596488333"/>
    <n v="12.878571428571428"/>
    <n v="0.78391304347826074"/>
    <n v="16.428571428571427"/>
    <n v="1.6091954022988506"/>
    <n v="3"/>
    <d v="1899-12-30T00:37:17"/>
    <s v="Order"/>
    <n v="20.724137931034484"/>
    <n v="0"/>
    <n v="80.197111111111113"/>
    <n v="134.66249999999999"/>
    <n v="45.637499999999989"/>
  </r>
  <r>
    <d v="2024-07-27T00:00:00"/>
    <x v="3"/>
    <x v="25"/>
    <n v="4"/>
    <s v="QTR3"/>
    <s v="Saturday"/>
    <d v="1899-12-30T16:30:00"/>
    <s v="Clear"/>
    <n v="81"/>
    <s v="Lewiston"/>
    <n v="128.94999999999999"/>
    <n v="5.45"/>
    <n v="87"/>
    <n v="17"/>
    <n v="23.660550458715594"/>
    <n v="2.2590991678311099"/>
    <n v="7.5852941176470585"/>
    <n v="1.4821839080459769"/>
    <n v="5.117647058823529"/>
    <n v="3.1192660550458715"/>
    <n v="2"/>
    <d v="1899-12-30T00:19:14"/>
    <s v="Order"/>
    <n v="18.936657968408081"/>
    <n v="4.723892490307513"/>
    <n v="81.060222222222222"/>
    <n v="136.15249999999997"/>
    <n v="-7.2024999999999864"/>
  </r>
  <r>
    <d v="2024-07-29T00:00:00"/>
    <x v="3"/>
    <x v="26"/>
    <n v="5"/>
    <s v="QTR3"/>
    <s v="Monday"/>
    <d v="1899-12-30T17:30:00"/>
    <s v="Mostly Cloudy"/>
    <n v="64"/>
    <s v="Portland"/>
    <n v="174.51"/>
    <n v="5.83"/>
    <n v="121"/>
    <n v="11"/>
    <n v="29.933104631217837"/>
    <n v="9.4916586998762682"/>
    <n v="15.864545454545453"/>
    <n v="1.4422314049586775"/>
    <n v="11"/>
    <n v="1.8867924528301887"/>
    <n v="3"/>
    <d v="1899-12-30T00:31:48"/>
    <s v="Order"/>
    <n v="21.130380645893315"/>
    <n v="8.8027239853245227"/>
    <n v="82.059222222222232"/>
    <n v="157.0025"/>
    <n v="17.507499999999993"/>
  </r>
  <r>
    <d v="2024-07-30T00:00:00"/>
    <x v="3"/>
    <x v="26"/>
    <n v="5"/>
    <s v="QTR3"/>
    <s v="Tuesday"/>
    <d v="1899-12-30T18:00:00"/>
    <s v="Partially Cloudy"/>
    <n v="79"/>
    <s v="Brunswick/Bath/Freeport"/>
    <n v="133.75"/>
    <n v="4.9000000000000004"/>
    <n v="93"/>
    <n v="14"/>
    <n v="27.295918367346935"/>
    <n v="5.5573874911588312"/>
    <n v="9.5535714285714288"/>
    <n v="1.4381720430107527"/>
    <n v="6.6428571428571432"/>
    <n v="2.8571428571428568"/>
    <n v="2"/>
    <d v="1899-12-30T00:21:00"/>
    <s v="Order"/>
    <n v="27.295918367346935"/>
    <n v="0"/>
    <n v="82.263000000000005"/>
    <n v="154.3775"/>
    <n v="-20.627499999999998"/>
  </r>
  <r>
    <d v="2024-07-31T00:00:00"/>
    <x v="3"/>
    <x v="26"/>
    <n v="5"/>
    <s v="QTR3"/>
    <s v="Wednesday"/>
    <d v="1899-12-30T18:30:00"/>
    <s v="Partially Cloudy"/>
    <n v="75"/>
    <s v="Brunswick/Bath/Freeport"/>
    <n v="42.74"/>
    <n v="2.93"/>
    <n v="82"/>
    <n v="5"/>
    <n v="14.58703071672355"/>
    <n v="-9.3999959477602566"/>
    <n v="8.548"/>
    <n v="0.52121951219512197"/>
    <n v="16.399999999999999"/>
    <n v="1.7064846416382251"/>
    <n v="1"/>
    <d v="1899-12-30T00:35:10"/>
    <s v="Order"/>
    <n v="17.567500598214174"/>
    <n v="-2.9804698814906239"/>
    <n v="81.542000000000002"/>
    <n v="119.9875"/>
    <n v="-77.247500000000002"/>
  </r>
  <r>
    <d v="2024-08-01T00:00:00"/>
    <x v="3"/>
    <x v="26"/>
    <n v="5"/>
    <s v="QTR3"/>
    <s v="Thursday"/>
    <d v="1899-12-30T18:00:00"/>
    <s v="Clear"/>
    <n v="88"/>
    <s v="Lewiston"/>
    <n v="85.84"/>
    <n v="4.7699999999999996"/>
    <n v="73"/>
    <n v="14"/>
    <n v="17.995807127882603"/>
    <n v="1.1766581917123915"/>
    <n v="6.1314285714285717"/>
    <n v="1.1758904109589041"/>
    <n v="5.2142857142857144"/>
    <n v="2.9350104821802936"/>
    <n v="3"/>
    <d v="1899-12-30T00:20:27"/>
    <s v="Order"/>
    <n v="18.58249317868167"/>
    <n v="-0.58668605079906655"/>
    <n v="81.123111111111115"/>
    <n v="109.21000000000001"/>
    <n v="-23.370000000000005"/>
  </r>
  <r>
    <d v="2024-08-03T00:00:00"/>
    <x v="3"/>
    <x v="26"/>
    <n v="5"/>
    <s v="QTR3"/>
    <s v="Saturday"/>
    <d v="1899-12-30T15:30:00"/>
    <s v="Sunny"/>
    <n v="82"/>
    <s v="Lewiston"/>
    <n v="167.98000000000002"/>
    <n v="7.62"/>
    <n v="123"/>
    <n v="18"/>
    <n v="22.044619422572179"/>
    <n v="0.39215711303979361"/>
    <n v="9.3322222222222226"/>
    <n v="1.3656910569105694"/>
    <n v="6.833333333333333"/>
    <n v="2.3622047244094486"/>
    <n v="2"/>
    <d v="1899-12-30T00:25:24"/>
    <s v="Order"/>
    <n v="22.885934984497997"/>
    <n v="-0.84131556192581769"/>
    <n v="80.604222222222234"/>
    <n v="107.57750000000001"/>
    <n v="60.402500000000003"/>
  </r>
  <r>
    <d v="2024-08-04T00:00:00"/>
    <x v="3"/>
    <x v="26"/>
    <n v="5"/>
    <s v="QTR3"/>
    <s v="Sunday"/>
    <d v="1899-12-30T14:00:00"/>
    <s v="Sunny"/>
    <n v="77"/>
    <s v="Augusta"/>
    <n v="119.69"/>
    <n v="6.18"/>
    <n v="164"/>
    <n v="12"/>
    <n v="19.367313915857604"/>
    <s v=""/>
    <n v="9.9741666666666671"/>
    <n v="0.72981707317073174"/>
    <n v="13.666666666666666"/>
    <n v="1.941747572815534"/>
    <n v="2"/>
    <d v="1899-12-30T00:30:54"/>
    <s v="Order"/>
    <n v="16.999446431613013"/>
    <n v="2.3678674842445915"/>
    <n v="80.455777777777797"/>
    <n v="104.06250000000001"/>
    <n v="15.627499999999984"/>
  </r>
  <r>
    <d v="2024-08-06T00:00:00"/>
    <x v="3"/>
    <x v="51"/>
    <n v="6"/>
    <s v="QTR3"/>
    <s v="Tuesday"/>
    <d v="1899-12-30T17:00:00"/>
    <s v="Partially Cloudy"/>
    <n v="64"/>
    <s v="Portland"/>
    <n v="145.14000000000001"/>
    <n v="6.52"/>
    <n v="119"/>
    <n v="14"/>
    <n v="22.260736196319023"/>
    <n v="0.76761547621119774"/>
    <n v="10.367142857142857"/>
    <n v="1.2196638655462186"/>
    <n v="8.5"/>
    <n v="2.147239263803681"/>
    <n v="3"/>
    <d v="1899-12-30T00:27:57"/>
    <s v="Order"/>
    <n v="22.260736196319023"/>
    <n v="0"/>
    <n v="81.234888888888904"/>
    <n v="129.66249999999999"/>
    <n v="15.47750000000002"/>
  </r>
  <r>
    <d v="2024-08-09T00:00:00"/>
    <x v="3"/>
    <x v="51"/>
    <n v="6"/>
    <s v="QTR3"/>
    <s v="Friday"/>
    <d v="1899-12-30T17:00:00"/>
    <s v="Fog"/>
    <n v="73"/>
    <s v="Portland"/>
    <n v="157.57000000000002"/>
    <n v="7.78"/>
    <n v="129"/>
    <n v="19"/>
    <n v="20.253213367609256"/>
    <n v="-0.8903211228236998"/>
    <n v="8.2931578947368436"/>
    <n v="1.2214728682170544"/>
    <n v="6.7894736842105265"/>
    <n v="2.442159383033419"/>
    <n v="4"/>
    <d v="1899-12-30T00:24:34"/>
    <s v="Order"/>
    <n v="17.967106899099438"/>
    <n v="2.2861064685098178"/>
    <n v="81.968444444444444"/>
    <n v="147.59500000000003"/>
    <n v="9.9749999999999943"/>
  </r>
  <r>
    <d v="2024-08-10T00:00:00"/>
    <x v="3"/>
    <x v="51"/>
    <n v="6"/>
    <s v="QTR3"/>
    <s v="Saturday"/>
    <d v="1899-12-30T17:30:00"/>
    <s v="Clear"/>
    <n v="81"/>
    <s v="Lewiston"/>
    <n v="130.59"/>
    <n v="7.63"/>
    <n v="119"/>
    <n v="17"/>
    <n v="17.115334207077328"/>
    <n v="-4.5763438137590349"/>
    <n v="7.6817647058823528"/>
    <n v="1.0973949579831932"/>
    <n v="7"/>
    <n v="2.2280471821756227"/>
    <n v="4"/>
    <d v="1899-12-30T00:26:56"/>
    <s v="Order"/>
    <n v="19.537625371175935"/>
    <n v="-2.4222911640986062"/>
    <n v="83.419444444444451"/>
    <n v="138.24750000000003"/>
    <n v="-7.6575000000000273"/>
  </r>
  <r>
    <d v="2024-08-11T00:00:00"/>
    <x v="3"/>
    <x v="51"/>
    <n v="6"/>
    <s v="QTR3"/>
    <s v="Sunday"/>
    <d v="1899-12-30T17:00:00"/>
    <s v="Partially Cloudy"/>
    <n v="72"/>
    <s v="Portland"/>
    <n v="171.04000000000002"/>
    <n v="6.45"/>
    <n v="163"/>
    <n v="13"/>
    <n v="26.517829457364343"/>
    <n v="1.747936984246067"/>
    <n v="13.156923076923078"/>
    <n v="1.0493251533742332"/>
    <n v="12.538461538461538"/>
    <n v="2.0155038759689923"/>
    <n v="2"/>
    <d v="1899-12-30T00:29:46"/>
    <s v="Order"/>
    <n v="22.915748241573912"/>
    <n v="3.6020812157904309"/>
    <n v="83.721777777777774"/>
    <n v="151.08500000000004"/>
    <n v="19.954999999999984"/>
  </r>
  <r>
    <d v="2024-08-12T00:00:00"/>
    <x v="3"/>
    <x v="46"/>
    <n v="7"/>
    <s v="QTR3"/>
    <s v="Monday"/>
    <d v="1899-12-30T17:00:00"/>
    <s v="Clear"/>
    <n v="72"/>
    <s v="Portland"/>
    <n v="133.61000000000001"/>
    <n v="6.45"/>
    <n v="104"/>
    <n v="14"/>
    <n v="20.714728682170545"/>
    <n v="-0.58959531279614197"/>
    <n v="9.543571428571429"/>
    <n v="1.2847115384615386"/>
    <n v="7.4285714285714288"/>
    <n v="2.1705426356589146"/>
    <n v="4"/>
    <d v="1899-12-30T00:27:39"/>
    <s v="Order"/>
    <n v="15.658282216918668"/>
    <n v="5.0564464652518772"/>
    <n v="83.623222222222225"/>
    <n v="148.20250000000001"/>
    <n v="-14.592500000000001"/>
  </r>
  <r>
    <d v="2024-08-13T00:00:00"/>
    <x v="3"/>
    <x v="46"/>
    <n v="7"/>
    <s v="QTR3"/>
    <s v="Tuesday"/>
    <d v="1899-12-30T17:30:00"/>
    <s v="Clear"/>
    <n v="79"/>
    <s v="Lewiston"/>
    <n v="39.75"/>
    <n v="3.77"/>
    <n v="99"/>
    <n v="6"/>
    <n v="10.543766578249336"/>
    <n v="-5.8497563187143271"/>
    <n v="6.625"/>
    <n v="0.40151515151515149"/>
    <n v="16.5"/>
    <n v="1.5915119363395225"/>
    <n v="1"/>
    <d v="1899-12-30T00:37:42"/>
    <s v="Order"/>
    <n v="17.127735570511192"/>
    <n v="-6.5839689922618554"/>
    <n v="82.674333333333337"/>
    <n v="118.7475"/>
    <n v="-78.997500000000002"/>
  </r>
  <r>
    <d v="2024-08-14T00:00:00"/>
    <x v="3"/>
    <x v="46"/>
    <n v="7"/>
    <s v="QTR3"/>
    <s v="Wednesday"/>
    <d v="1899-12-30T17:00:00"/>
    <s v="Partially Cloudy"/>
    <n v="70"/>
    <s v="Portland"/>
    <n v="159.01"/>
    <n v="7.1"/>
    <n v="137"/>
    <n v="14"/>
    <n v="22.395774647887325"/>
    <n v="-3.992471673091913E-2"/>
    <n v="11.357857142857142"/>
    <n v="1.1606569343065694"/>
    <n v="9.7857142857142865"/>
    <n v="1.971830985915493"/>
    <n v="4"/>
    <d v="1899-12-30T00:30:26"/>
    <s v="Order"/>
    <n v="21.900354654253771"/>
    <n v="0.49541999363355416"/>
    <n v="83.000333333333344"/>
    <n v="125.85250000000001"/>
    <n v="33.157499999999985"/>
  </r>
  <r>
    <d v="2024-08-15T00:00:00"/>
    <x v="3"/>
    <x v="46"/>
    <n v="7"/>
    <s v="QTR3"/>
    <s v="Thursday"/>
    <d v="1899-12-30T17:00:00"/>
    <s v="Fog"/>
    <n v="68"/>
    <s v="Lewiston"/>
    <n v="110.67"/>
    <n v="6.3"/>
    <n v="92"/>
    <n v="18"/>
    <n v="17.566666666666666"/>
    <n v="0.35529833325898963"/>
    <n v="6.1483333333333334"/>
    <n v="1.2029347826086956"/>
    <n v="5.1111111111111107"/>
    <n v="2.8571428571428572"/>
    <n v="2"/>
    <d v="1899-12-30T00:21:00"/>
    <s v="Order"/>
    <n v="17.47428262633742"/>
    <n v="9.2384040329246631E-2"/>
    <n v="82.546777777777791"/>
    <n v="110.76"/>
    <n v="-9.0000000000003411E-2"/>
  </r>
  <r>
    <d v="2024-08-16T00:00:00"/>
    <x v="3"/>
    <x v="46"/>
    <n v="7"/>
    <s v="QTR3"/>
    <s v="Friday"/>
    <d v="1899-12-30T17:30:00"/>
    <s v="Fog"/>
    <n v="66"/>
    <s v="Portland"/>
    <n v="141.51000000000002"/>
    <n v="6.57"/>
    <n v="140"/>
    <n v="15"/>
    <n v="21.538812785388131"/>
    <n v="0.50656843530813944"/>
    <n v="9.4340000000000011"/>
    <n v="1.0107857142857144"/>
    <n v="9.3333333333333339"/>
    <n v="2.2831050228310503"/>
    <n v="4"/>
    <d v="1899-12-30T00:26:17"/>
    <s v="Hourly"/>
    <n v="19.306427700229733"/>
    <n v="2.2323850851583984"/>
    <n v="84.119111111111124"/>
    <n v="112.73500000000001"/>
    <n v="28.775000000000006"/>
  </r>
  <r>
    <d v="2024-08-17T00:00:00"/>
    <x v="3"/>
    <x v="46"/>
    <n v="7"/>
    <s v="QTR3"/>
    <s v="Saturday"/>
    <d v="1899-12-30T17:30:00"/>
    <s v="Partially Cloudy"/>
    <n v="66"/>
    <s v="Portland"/>
    <n v="165.45"/>
    <n v="6.35"/>
    <n v="131"/>
    <n v="17"/>
    <n v="26.055118110236219"/>
    <n v="6.259843334194759"/>
    <n v="9.7323529411764707"/>
    <n v="1.2629770992366411"/>
    <n v="7.7058823529411766"/>
    <n v="2.6771653543307088"/>
    <n v="2"/>
    <d v="1899-12-30T00:22:25"/>
    <s v="Order"/>
    <n v="21.324966967805693"/>
    <n v="4.7301511424305254"/>
    <n v="85.957444444444462"/>
    <n v="144.16000000000003"/>
    <n v="21.289999999999964"/>
  </r>
  <r>
    <d v="2024-08-18T00:00:00"/>
    <x v="3"/>
    <x v="46"/>
    <n v="7"/>
    <s v="QTR3"/>
    <s v="Sunday"/>
    <d v="1899-12-30T19:30:00"/>
    <s v="Partially Cloudy"/>
    <n v="68"/>
    <s v="Portland"/>
    <n v="76.099999999999994"/>
    <n v="4.1500000000000004"/>
    <n v="64"/>
    <n v="11"/>
    <n v="18.337349397590359"/>
    <n v="-7.3065115676509507"/>
    <n v="6.918181818181818"/>
    <n v="1.1890624999999999"/>
    <n v="5.8181818181818183"/>
    <n v="2.6506024096385539"/>
    <n v="1"/>
    <d v="1899-12-30T00:22:38"/>
    <s v="Hourly"/>
    <n v="20.923641586212398"/>
    <n v="-2.5862921886220391"/>
    <n v="86.558555555555557"/>
    <n v="123.4325"/>
    <n v="-47.33250000000001"/>
  </r>
  <r>
    <d v="2024-08-21T00:00:00"/>
    <x v="3"/>
    <x v="47"/>
    <n v="8"/>
    <s v="QTR3"/>
    <s v="Wednesday"/>
    <d v="1899-12-30T17:30:00"/>
    <s v="Clear"/>
    <n v="64"/>
    <s v="Portland"/>
    <n v="143.61000000000001"/>
    <n v="6.02"/>
    <n v="136"/>
    <n v="12"/>
    <n v="23.855481727574755"/>
    <n v="1.4237748346296044"/>
    <n v="11.967500000000001"/>
    <n v="1.0559558823529414"/>
    <n v="11.333333333333334"/>
    <n v="1.9933554817275749"/>
    <n v="3"/>
    <d v="1899-12-30T00:30:06"/>
    <s v="Order"/>
    <n v="23.323781261793304"/>
    <n v="0.53170046578145147"/>
    <n v="86.172666666666657"/>
    <n v="131.66750000000002"/>
    <n v="11.942499999999995"/>
  </r>
  <r>
    <d v="2024-08-22T00:00:00"/>
    <x v="3"/>
    <x v="47"/>
    <n v="8"/>
    <s v="QTR3"/>
    <s v="Thursday"/>
    <d v="1899-12-30T18:00:00"/>
    <s v="Partially Cloudy"/>
    <n v="68"/>
    <s v="Portland"/>
    <n v="145.18"/>
    <n v="6.22"/>
    <n v="112"/>
    <n v="15"/>
    <n v="23.34083601286174"/>
    <n v="1.4703889520669975"/>
    <n v="9.6786666666666665"/>
    <n v="1.2962500000000001"/>
    <n v="7.4666666666666668"/>
    <n v="2.4115755627009645"/>
    <n v="4"/>
    <d v="1899-12-30T00:24:53"/>
    <s v="Order"/>
    <n v="20.801092160105405"/>
    <n v="2.5397438527563345"/>
    <n v="86.98366666666665"/>
    <n v="132.58499999999998"/>
    <n v="12.595000000000027"/>
  </r>
  <r>
    <d v="2024-08-23T00:00:00"/>
    <x v="3"/>
    <x v="47"/>
    <n v="8"/>
    <s v="QTR3"/>
    <s v="Friday"/>
    <d v="1899-12-30T17:00:00"/>
    <s v="Partially Cloudy"/>
    <n v="68"/>
    <s v="Portland"/>
    <n v="234.59"/>
    <n v="7.52"/>
    <n v="163"/>
    <n v="16"/>
    <n v="31.195478723404257"/>
    <n v="10.106948991623362"/>
    <n v="14.661875"/>
    <n v="1.4392024539877302"/>
    <n v="10.1875"/>
    <n v="2.1276595744680851"/>
    <n v="2"/>
    <d v="1899-12-30T00:28:12"/>
    <s v="Order"/>
    <n v="25.991327331647295"/>
    <n v="5.2041513917569624"/>
    <n v="89.590222222222209"/>
    <n v="149.87"/>
    <n v="84.72"/>
  </r>
  <r>
    <d v="2024-08-24T00:00:00"/>
    <x v="3"/>
    <x v="47"/>
    <n v="8"/>
    <s v="QTR3"/>
    <s v="Saturday"/>
    <d v="1899-12-30T16:30:00"/>
    <s v="Partially Cloudy"/>
    <n v="70"/>
    <s v="Portland"/>
    <n v="144.54000000000002"/>
    <n v="6.93"/>
    <n v="131"/>
    <n v="16"/>
    <n v="20.857142857142861"/>
    <n v="-1.0247463636301859"/>
    <n v="9.0337500000000013"/>
    <n v="1.1033587786259544"/>
    <n v="8.1875"/>
    <n v="2.3088023088023091"/>
    <n v="4"/>
    <d v="1899-12-30T00:25:59"/>
    <s v="Order"/>
    <n v="19.755357688810538"/>
    <n v="1.1017851683323237"/>
    <n v="91.196222222222218"/>
    <n v="166.98000000000002"/>
    <n v="-22.439999999999998"/>
  </r>
  <r>
    <d v="2024-08-25T00:00:00"/>
    <x v="3"/>
    <x v="47"/>
    <n v="8"/>
    <s v="QTR3"/>
    <s v="Sunday"/>
    <d v="1899-12-30T17:30:00"/>
    <s v="Mostly Cloudy"/>
    <n v="72"/>
    <s v="Portland"/>
    <n v="159.01999999999998"/>
    <n v="5.92"/>
    <n v="144"/>
    <n v="15"/>
    <n v="26.861486486486484"/>
    <n v="3.653129377128824"/>
    <n v="10.601333333333333"/>
    <n v="1.1043055555555554"/>
    <n v="9.6"/>
    <n v="2.5337837837837838"/>
    <n v="2"/>
    <d v="1899-12-30T00:23:41"/>
    <s v="Order"/>
    <n v="20.818424402663531"/>
    <n v="6.043062083822953"/>
    <n v="91.924333333333323"/>
    <n v="170.83249999999998"/>
    <n v="-11.8125"/>
  </r>
  <r>
    <d v="2024-08-26T00:00:00"/>
    <x v="3"/>
    <x v="48"/>
    <n v="9"/>
    <s v="QTR3"/>
    <s v="Monday"/>
    <d v="1899-12-30T17:30:00"/>
    <s v="Fog"/>
    <n v="66"/>
    <s v="Portland"/>
    <n v="147.57"/>
    <n v="5.7"/>
    <n v="145"/>
    <n v="13"/>
    <n v="25.889473684210525"/>
    <n v="4.634282631976852"/>
    <n v="11.35153846153846"/>
    <n v="1.0177241379310344"/>
    <n v="11.153846153846153"/>
    <n v="2.2807017543859649"/>
    <n v="2"/>
    <d v="1899-12-30T00:26:18"/>
    <s v="Order"/>
    <n v="22.565375230269186"/>
    <n v="3.324098453941339"/>
    <n v="92.217111111111095"/>
    <n v="171.43"/>
    <n v="-23.860000000000014"/>
  </r>
  <r>
    <d v="2024-08-27T00:00:00"/>
    <x v="3"/>
    <x v="48"/>
    <n v="9"/>
    <s v="QTR3"/>
    <s v="Tuesday"/>
    <d v="1899-12-30T17:30:00"/>
    <s v="Clear"/>
    <n v="68"/>
    <s v="Portland"/>
    <n v="106.47"/>
    <n v="5.47"/>
    <n v="90"/>
    <n v="11"/>
    <n v="19.46435100548446"/>
    <n v="-2.1140603230912767"/>
    <n v="9.6790909090909096"/>
    <n v="1.1830000000000001"/>
    <n v="8.1818181818181817"/>
    <n v="2.0109689213893969"/>
    <n v="1"/>
    <d v="1899-12-30T00:29:50"/>
    <s v="Order"/>
    <n v="19.46435100548446"/>
    <n v="0"/>
    <n v="92.86422222222221"/>
    <n v="139.4"/>
    <n v="-32.930000000000007"/>
  </r>
  <r>
    <d v="2024-08-28T00:00:00"/>
    <x v="3"/>
    <x v="48"/>
    <n v="9"/>
    <s v="QTR3"/>
    <s v="Wednesday"/>
    <d v="1899-12-30T17:00:00"/>
    <s v="Clear"/>
    <n v="66"/>
    <s v="Brunswick/Bath/Freeport"/>
    <n v="62.17"/>
    <n v="2.73"/>
    <n v="50"/>
    <n v="8"/>
    <n v="22.772893772893774"/>
    <n v="0.1287236723757168"/>
    <n v="7.7712500000000002"/>
    <n v="1.2434000000000001"/>
    <n v="6.25"/>
    <n v="2.9304029304029302"/>
    <n v="2"/>
    <d v="1899-12-30T00:20:29"/>
    <s v="Order"/>
    <n v="24.84553283501565"/>
    <n v="-2.0726390621218762"/>
    <n v="91.822444444444429"/>
    <n v="118.80749999999999"/>
    <n v="-56.637499999999989"/>
  </r>
  <r>
    <d v="2024-09-02T00:00:00"/>
    <x v="3"/>
    <x v="27"/>
    <n v="10"/>
    <s v="QTR3"/>
    <s v="Monday"/>
    <d v="1899-12-30T15:30:00"/>
    <s v="Clear"/>
    <n v="64"/>
    <s v="Portland"/>
    <n v="196.91"/>
    <n v="6.78"/>
    <n v="103"/>
    <n v="17"/>
    <n v="29.04277286135693"/>
    <n v="7.4310985297404208"/>
    <n v="11.582941176470587"/>
    <n v="1.911747572815534"/>
    <n v="6.0588235294117645"/>
    <n v="2.5073746312684366"/>
    <n v="3"/>
    <d v="1899-12-30T00:23:56"/>
    <s v="Order"/>
    <n v="18.499060876897357"/>
    <n v="10.543711984459573"/>
    <n v="87.577555555555534"/>
    <n v="128.28"/>
    <n v="68.63"/>
  </r>
  <r>
    <d v="2024-09-05T00:00:00"/>
    <x v="3"/>
    <x v="27"/>
    <n v="10"/>
    <s v="QTR3"/>
    <s v="Thursday"/>
    <d v="1899-12-30T19:00:00"/>
    <s v="Clear"/>
    <n v="70"/>
    <s v="Lewiston"/>
    <n v="80.3"/>
    <n v="3.58"/>
    <n v="46"/>
    <n v="8"/>
    <n v="22.430167597765362"/>
    <n v="5.1299746810429383"/>
    <n v="10.0375"/>
    <n v="1.7456521739130435"/>
    <n v="5.75"/>
    <n v="2.2346368715083798"/>
    <n v="3"/>
    <d v="1899-12-30T00:26:51"/>
    <s v="Order"/>
    <n v="19.513187856973243"/>
    <n v="2.9169797407921187"/>
    <n v="84.073444444444434"/>
    <n v="111.46249999999999"/>
    <n v="-31.162499999999994"/>
  </r>
  <r>
    <d v="2024-09-06T00:00:00"/>
    <x v="3"/>
    <x v="27"/>
    <n v="10"/>
    <s v="QTR3"/>
    <s v="Friday"/>
    <d v="1899-12-30T17:30:00"/>
    <s v="Partially Cloudy"/>
    <n v="63"/>
    <s v="Portland"/>
    <n v="130.28"/>
    <n v="6.05"/>
    <n v="109"/>
    <n v="13"/>
    <n v="21.533884297520661"/>
    <n v="-0.56534033342257217"/>
    <n v="10.021538461538462"/>
    <n v="1.1952293577981652"/>
    <n v="8.384615384615385"/>
    <n v="2.1487603305785123"/>
    <n v="2"/>
    <d v="1899-12-30T00:27:55"/>
    <s v="Hourly"/>
    <n v="21.674707341206283"/>
    <n v="-0.14082304368562149"/>
    <n v="84.00888888888889"/>
    <n v="117.41499999999999"/>
    <n v="12.865000000000009"/>
  </r>
  <r>
    <d v="2024-09-07T00:00:00"/>
    <x v="3"/>
    <x v="27"/>
    <n v="10"/>
    <s v="QTR3"/>
    <s v="Saturday"/>
    <d v="1899-12-30T19:30:00"/>
    <s v="Mostly Cloudy"/>
    <n v="64"/>
    <s v="Portland"/>
    <n v="81.210000000000008"/>
    <n v="3.95"/>
    <n v="104"/>
    <n v="7"/>
    <n v="20.559493670886077"/>
    <n v="-1.0662089589794235"/>
    <n v="11.601428571428572"/>
    <n v="0.78086538461538468"/>
    <n v="14.857142857142858"/>
    <n v="1.7721518987341771"/>
    <n v="2"/>
    <d v="1899-12-30T00:33:51"/>
    <s v="Order"/>
    <n v="21.809743590106308"/>
    <n v="-1.2502499192202308"/>
    <n v="82.9771111111111"/>
    <n v="122.17500000000001"/>
    <n v="-40.965000000000003"/>
  </r>
  <r>
    <d v="2024-09-09T00:00:00"/>
    <x v="3"/>
    <x v="28"/>
    <n v="11"/>
    <s v="QTR3"/>
    <s v="Monday"/>
    <d v="1899-12-30T18:00:00"/>
    <s v="Partially Cloudy"/>
    <n v="64"/>
    <s v="Brunswick/Bath/Freeport"/>
    <n v="203.74"/>
    <n v="5.8"/>
    <n v="133"/>
    <n v="16"/>
    <n v="35.127586206896552"/>
    <n v="17.826189063988625"/>
    <n v="12.733750000000001"/>
    <n v="1.5318796992481203"/>
    <n v="8.3125"/>
    <n v="2.7586206896551726"/>
    <n v="3"/>
    <d v="1899-12-30T00:21:45"/>
    <s v="Order"/>
    <n v="31.165355603448276"/>
    <n v="3.9622306034482762"/>
    <n v="82.672333333333341"/>
    <n v="123.88249999999999"/>
    <n v="79.857500000000016"/>
  </r>
  <r>
    <d v="2024-09-10T00:00:00"/>
    <x v="3"/>
    <x v="28"/>
    <n v="11"/>
    <s v="QTR3"/>
    <s v="Tuesday"/>
    <d v="1899-12-30T17:30:00"/>
    <s v="Clear"/>
    <n v="63"/>
    <s v="Brunswick/Bath/Freeport"/>
    <n v="96.5"/>
    <n v="5.3"/>
    <n v="119"/>
    <n v="10"/>
    <n v="18.20754716981132"/>
    <n v="-4.2256571427716381"/>
    <n v="9.65"/>
    <n v="0.81092436974789917"/>
    <n v="11.9"/>
    <n v="1.8867924528301887"/>
    <n v="1"/>
    <d v="1899-12-30T00:31:48"/>
    <s v="Order"/>
    <n v="32.022523584905663"/>
    <n v="-13.814976415094343"/>
    <n v="82.578111111111113"/>
    <n v="127.9325"/>
    <n v="-31.432500000000005"/>
  </r>
  <r>
    <d v="2024-09-11T00:00:00"/>
    <x v="3"/>
    <x v="28"/>
    <n v="11"/>
    <s v="QTR3"/>
    <s v="Wednesday"/>
    <d v="1899-12-30T17:00:00"/>
    <s v="Clear"/>
    <n v="66"/>
    <s v="Brunswick/Bath/Freeport"/>
    <n v="110.62"/>
    <n v="5.98"/>
    <n v="119"/>
    <n v="13"/>
    <n v="18.498327759197323"/>
    <n v="-4.1619328003676976"/>
    <n v="8.5092307692307703"/>
    <n v="0.92957983193277316"/>
    <n v="9.1538461538461533"/>
    <n v="2.1739130434782608"/>
    <n v="2"/>
    <d v="1899-12-30T00:27:36"/>
    <s v="Order"/>
    <n v="17.244530305697353"/>
    <n v="1.2537974534999705"/>
    <n v="82.318333333333342"/>
    <n v="123.01750000000001"/>
    <n v="-12.397500000000008"/>
  </r>
  <r>
    <d v="2024-09-12T00:00:00"/>
    <x v="3"/>
    <x v="28"/>
    <n v="11"/>
    <s v="QTR3"/>
    <s v="Thursday"/>
    <d v="1899-12-30T17:30:00"/>
    <s v="Clear"/>
    <n v="70"/>
    <s v="Lewiston"/>
    <n v="154.49"/>
    <n v="6.2"/>
    <n v="101"/>
    <n v="19"/>
    <n v="24.917741935483871"/>
    <n v="6.5915540825528609"/>
    <n v="8.1310526315789478"/>
    <n v="1.5296039603960396"/>
    <n v="5.3157894736842106"/>
    <n v="3.064516129032258"/>
    <n v="4"/>
    <d v="1899-12-30T00:19:35"/>
    <s v="Hourly"/>
    <n v="23.619788035045261"/>
    <n v="1.2979539004386105"/>
    <n v="81.737222222222215"/>
    <n v="141.33750000000001"/>
    <n v="13.152500000000003"/>
  </r>
  <r>
    <d v="2024-09-13T00:00:00"/>
    <x v="3"/>
    <x v="28"/>
    <n v="11"/>
    <s v="QTR3"/>
    <s v="Friday"/>
    <d v="1899-12-30T18:00:00"/>
    <s v="Clear"/>
    <n v="79"/>
    <s v="Lewiston"/>
    <n v="172.95"/>
    <n v="7.1"/>
    <n v="147"/>
    <n v="14"/>
    <n v="24.359154929577464"/>
    <n v="3.8992582887505911"/>
    <n v="12.353571428571428"/>
    <n v="1.176530612244898"/>
    <n v="10.5"/>
    <n v="1.971830985915493"/>
    <n v="3"/>
    <d v="1899-12-30T00:30:26"/>
    <s v="Order"/>
    <n v="29.0777208364416"/>
    <n v="-4.7185659068641357"/>
    <n v="82.071333333333328"/>
    <n v="133.63999999999999"/>
    <n v="39.31"/>
  </r>
  <r>
    <d v="2024-09-14T00:00:00"/>
    <x v="3"/>
    <x v="28"/>
    <n v="11"/>
    <s v="QTR3"/>
    <s v="Saturday"/>
    <d v="1899-12-30T16:30:00"/>
    <s v="Clear"/>
    <n v="68"/>
    <s v="Lewiston"/>
    <n v="120.07"/>
    <n v="5.88"/>
    <n v="122"/>
    <n v="14"/>
    <n v="20.420068027210885"/>
    <n v="-0.85557873782920169"/>
    <n v="8.5764285714285702"/>
    <n v="0.98418032786885246"/>
    <n v="8.7142857142857135"/>
    <n v="2.3809523809523809"/>
    <n v="3"/>
    <d v="1899-12-30T00:25:12"/>
    <s v="Hourly"/>
    <n v="22.687811791383218"/>
    <n v="-2.2677437641723337"/>
    <n v="83.405444444444441"/>
    <n v="139.5325"/>
    <n v="-19.462500000000006"/>
  </r>
  <r>
    <d v="2024-09-15T00:00:00"/>
    <x v="3"/>
    <x v="28"/>
    <n v="11"/>
    <s v="QTR3"/>
    <s v="Sunday"/>
    <d v="1899-12-30T11:00:00"/>
    <s v="Sunny"/>
    <n v="81"/>
    <s v="Brunswick/Bath/Freeport"/>
    <n v="93.35"/>
    <n v="4.58"/>
    <n v="101"/>
    <n v="11"/>
    <n v="20.382096069868993"/>
    <n v="-3.1971613737222704"/>
    <n v="8.4863636363636363"/>
    <n v="0.92425742574257419"/>
    <n v="9.1818181818181817"/>
    <n v="2.4017467248908297"/>
    <n v="1"/>
    <d v="1899-12-30T00:24:59"/>
    <s v="Hourly"/>
    <n v="27.402916490585525"/>
    <n v="-7.0208204207165323"/>
    <n v="83.13344444444445"/>
    <n v="135.215"/>
    <n v="-41.865000000000009"/>
  </r>
  <r>
    <d v="2024-09-20T00:00:00"/>
    <x v="3"/>
    <x v="29"/>
    <n v="12"/>
    <s v="QTR3"/>
    <s v="Friday"/>
    <d v="1899-12-30T17:30:00"/>
    <s v="Light Rain"/>
    <n v="63"/>
    <s v="Portland"/>
    <n v="188.85"/>
    <n v="7.13"/>
    <n v="141"/>
    <n v="18"/>
    <n v="26.486676016830295"/>
    <n v="4.4388459616527491"/>
    <n v="10.491666666666667"/>
    <n v="1.3393617021276596"/>
    <n v="7.833333333333333"/>
    <n v="2.5245441795231418"/>
    <n v="3"/>
    <d v="1899-12-30T00:23:46"/>
    <s v="Order"/>
    <n v="19.334078749155886"/>
    <n v="7.152597267674409"/>
    <n v="79.539888888888896"/>
    <n v="143.80500000000001"/>
    <n v="45.044999999999987"/>
  </r>
  <r>
    <d v="2024-09-22T00:00:00"/>
    <x v="3"/>
    <x v="29"/>
    <n v="12"/>
    <s v="QTR3"/>
    <s v="Sunday"/>
    <d v="1899-12-30T12:30:00"/>
    <s v="Partially Cloudy"/>
    <n v="70"/>
    <s v="Brunswick/Bath/Freeport"/>
    <n v="68.429999999999993"/>
    <n v="2.5499999999999998"/>
    <n v="34"/>
    <n v="5"/>
    <n v="26.835294117647059"/>
    <n v="3.7888969030095083"/>
    <n v="13.685999999999998"/>
    <n v="2.012647058823529"/>
    <n v="6.8"/>
    <n v="1.9607843137254903"/>
    <n v="2"/>
    <d v="1899-12-30T00:30:36"/>
    <s v="Order"/>
    <n v="24.814125932062964"/>
    <n v="2.0211681855840951"/>
    <n v="79.312666666666686"/>
    <n v="117.675"/>
    <n v="-49.245000000000005"/>
  </r>
  <r>
    <d v="2024-09-23T00:00:00"/>
    <x v="3"/>
    <x v="30"/>
    <n v="13"/>
    <s v="QTR3"/>
    <s v="Monday"/>
    <d v="1899-12-30T17:30:00"/>
    <s v="Clear"/>
    <n v="61"/>
    <s v="Portland"/>
    <n v="138.38999999999999"/>
    <n v="4.97"/>
    <n v="118"/>
    <n v="11"/>
    <n v="27.845070422535208"/>
    <n v="5.7026033387943826"/>
    <n v="12.58090909090909"/>
    <n v="1.1727966101694913"/>
    <n v="10.727272727272727"/>
    <n v="2.2132796780684107"/>
    <n v="3"/>
    <d v="1899-12-30T00:27:07"/>
    <s v="Order"/>
    <n v="19.871020059752453"/>
    <n v="7.974050362782755"/>
    <n v="80.850333333333353"/>
    <n v="122.255"/>
    <n v="16.134999999999991"/>
  </r>
  <r>
    <d v="2024-09-24T00:00:00"/>
    <x v="3"/>
    <x v="30"/>
    <n v="13"/>
    <s v="QTR3"/>
    <s v="Tuesday"/>
    <d v="1899-12-30T17:30:00"/>
    <s v="Clear"/>
    <n v="57"/>
    <s v="Brunswick/Bath/Freeport"/>
    <n v="120.03999999999999"/>
    <n v="3.98"/>
    <n v="120"/>
    <n v="9"/>
    <n v="30.1608040201005"/>
    <n v="8.1971171678254997"/>
    <n v="13.337777777777777"/>
    <n v="1.0003333333333333"/>
    <n v="13.333333333333334"/>
    <n v="2.2613065326633164"/>
    <n v="2"/>
    <d v="1899-12-30T00:26:32"/>
    <s v="Order"/>
    <n v="19.765191567522344"/>
    <n v="10.395612452578156"/>
    <n v="82.184111111111122"/>
    <n v="128.92749999999998"/>
    <n v="-8.8874999999999886"/>
  </r>
  <r>
    <d v="2024-09-25T00:00:00"/>
    <x v="3"/>
    <x v="30"/>
    <n v="13"/>
    <s v="QTR3"/>
    <s v="Wednesday"/>
    <d v="1899-12-30T17:30:00"/>
    <s v="Overcast"/>
    <n v="57"/>
    <s v="Brunswick/Bath/Freeport"/>
    <n v="130.22"/>
    <n v="5.3"/>
    <n v="104"/>
    <n v="13"/>
    <n v="24.569811320754717"/>
    <n v="2.3719877390083255"/>
    <n v="10.016923076923076"/>
    <n v="1.2521153846153845"/>
    <n v="8"/>
    <n v="2.4528301886792452"/>
    <n v="3"/>
    <d v="1899-12-30T00:24:28"/>
    <s v="Order"/>
    <n v="17.616301009214567"/>
    <n v="6.9535103115401498"/>
    <n v="83.631000000000014"/>
    <n v="114.27000000000001"/>
    <n v="15.949999999999989"/>
  </r>
  <r>
    <d v="2024-09-27T00:00:00"/>
    <x v="3"/>
    <x v="30"/>
    <n v="13"/>
    <s v="QTR3"/>
    <s v="Friday"/>
    <d v="1899-12-30T18:00:00"/>
    <s v="Clear"/>
    <n v="64"/>
    <s v="Portland"/>
    <n v="237.01999999999998"/>
    <n v="8.18"/>
    <n v="166"/>
    <n v="23"/>
    <n v="28.975550122249388"/>
    <n v="6.5578162369341158"/>
    <n v="10.305217391304348"/>
    <n v="1.4278313253012047"/>
    <n v="7.2173913043478262"/>
    <n v="2.8117359413202934"/>
    <n v="3"/>
    <d v="1899-12-30T00:21:20"/>
    <s v="Order"/>
    <n v="28.280506125405878"/>
    <n v="0.69504399684350915"/>
    <n v="86.264555555555575"/>
    <n v="156.41749999999999"/>
    <n v="80.602499999999992"/>
  </r>
  <r>
    <d v="2024-09-30T00:00:00"/>
    <x v="3"/>
    <x v="31"/>
    <n v="1"/>
    <s v="QTR4"/>
    <s v="Monday"/>
    <d v="1899-12-30T17:00:00"/>
    <s v="Partially Cloudy"/>
    <n v="61"/>
    <s v="Portland"/>
    <n v="98.1"/>
    <n v="5.32"/>
    <n v="101"/>
    <n v="12"/>
    <n v="18.439849624060148"/>
    <n v="2.2688936456744813"/>
    <n v="8.1749999999999989"/>
    <n v="0.97128712871287126"/>
    <n v="8.4166666666666661"/>
    <n v="2.255639097744361"/>
    <n v="2"/>
    <d v="1899-12-30T00:26:36"/>
    <s v="Order"/>
    <n v="22.463410793300739"/>
    <n v="-4.0235611692405904"/>
    <n v="84.351888888888894"/>
    <n v="146.345"/>
    <n v="-48.245000000000005"/>
  </r>
  <r>
    <d v="2024-10-01T00:00:00"/>
    <x v="3"/>
    <x v="31"/>
    <n v="1"/>
    <s v="QTR4"/>
    <s v="Tuesday"/>
    <d v="1899-12-30T17:00:00"/>
    <s v="Clear"/>
    <n v="54"/>
    <s v="Augusta"/>
    <n v="58.59"/>
    <n v="4.55"/>
    <n v="101"/>
    <n v="6"/>
    <n v="12.876923076923077"/>
    <s v=""/>
    <n v="9.7650000000000006"/>
    <n v="0.58009900990099017"/>
    <n v="16.833333333333332"/>
    <n v="1.3186813186813187"/>
    <n v="3"/>
    <d v="1899-12-30T00:45:30"/>
    <s v="Order"/>
    <n v="16.531874791874795"/>
    <n v="-3.6549517149517179"/>
    <n v="83.549666666666681"/>
    <n v="130.98250000000002"/>
    <n v="-72.392500000000013"/>
  </r>
  <r>
    <d v="2024-10-05T00:00:00"/>
    <x v="3"/>
    <x v="31"/>
    <n v="1"/>
    <s v="QTR4"/>
    <s v="Saturday"/>
    <d v="1899-12-30T18:00:00"/>
    <s v="Mostly Cloudy"/>
    <n v="53"/>
    <s v="Portland"/>
    <n v="144.54"/>
    <n v="6.75"/>
    <n v="173"/>
    <n v="15"/>
    <n v="21.41333333333333"/>
    <n v="-1.250624632333281"/>
    <n v="9.6359999999999992"/>
    <n v="0.83549132947976879"/>
    <n v="11.533333333333333"/>
    <n v="2.2222222222222223"/>
    <n v="3"/>
    <d v="1899-12-30T00:27:00"/>
    <s v="Order"/>
    <n v="19.21857142857143"/>
    <n v="2.1947619047619007"/>
    <n v="83.312000000000012"/>
    <n v="134.5625"/>
    <n v="9.977499999999992"/>
  </r>
  <r>
    <d v="2024-10-06T00:00:00"/>
    <x v="3"/>
    <x v="31"/>
    <n v="1"/>
    <s v="QTR4"/>
    <s v="Sunday"/>
    <d v="1899-12-30T15:00:00"/>
    <s v="Overcast"/>
    <n v="61"/>
    <s v="Brunswick/Bath/Freeport"/>
    <n v="149.30000000000001"/>
    <n v="5.9"/>
    <n v="138"/>
    <n v="10"/>
    <n v="25.305084745762713"/>
    <n v="2.875335819349484"/>
    <n v="14.930000000000001"/>
    <n v="1.0818840579710145"/>
    <n v="13.8"/>
    <n v="1.6949152542372881"/>
    <n v="3"/>
    <d v="1899-12-30T00:35:24"/>
    <s v="Order"/>
    <n v="17.059273142112126"/>
    <n v="8.2458116036505871"/>
    <n v="84.970888888888894"/>
    <n v="112.63250000000001"/>
    <n v="36.667500000000004"/>
  </r>
  <r>
    <d v="2024-10-07T00:00:00"/>
    <x v="3"/>
    <x v="32"/>
    <n v="2"/>
    <s v="QTR4"/>
    <s v="Monday"/>
    <d v="1899-12-30T17:30:00"/>
    <s v="Fog"/>
    <n v="54"/>
    <s v="Brunswick/Bath/Freeport"/>
    <n v="159.58000000000001"/>
    <n v="6.13"/>
    <n v="138"/>
    <n v="14"/>
    <n v="26.0326264274062"/>
    <n v="1.1273340430175551"/>
    <n v="11.398571428571429"/>
    <n v="1.156376811594203"/>
    <n v="9.8571428571428577"/>
    <n v="2.2838499184339316"/>
    <n v="3"/>
    <d v="1899-12-30T00:26:16"/>
    <s v="Order"/>
    <n v="25.660106415887583"/>
    <n v="0.37252001151861691"/>
    <n v="86.432888888888897"/>
    <n v="128.0025"/>
    <n v="31.577500000000015"/>
  </r>
  <r>
    <d v="2024-10-12T00:00:00"/>
    <x v="3"/>
    <x v="32"/>
    <n v="2"/>
    <s v="QTR4"/>
    <s v="Saturday"/>
    <d v="1899-12-30T13:00:00"/>
    <s v="Partially Cloudy"/>
    <n v="63"/>
    <s v="Portland"/>
    <n v="116.2"/>
    <n v="3.82"/>
    <n v="66"/>
    <n v="6"/>
    <n v="30.41884816753927"/>
    <n v="8.1717650793170868"/>
    <n v="19.366666666666667"/>
    <n v="1.7606060606060607"/>
    <n v="11"/>
    <n v="1.5706806282722514"/>
    <n v="2"/>
    <d v="1899-12-30T00:38:12"/>
    <s v="Order"/>
    <n v="32.706034253261159"/>
    <n v="-2.2871860857218884"/>
    <n v="86.156777777777791"/>
    <n v="142.40500000000003"/>
    <n v="-26.205000000000027"/>
  </r>
  <r>
    <d v="2024-10-14T00:00:00"/>
    <x v="3"/>
    <x v="33"/>
    <n v="3"/>
    <s v="QTR4"/>
    <s v="Monday"/>
    <d v="1899-12-30T17:30:00"/>
    <s v="Mostly Cloudy"/>
    <n v="46"/>
    <s v="Brunswick/Bath/Freeport"/>
    <n v="116.7"/>
    <n v="4"/>
    <n v="85"/>
    <n v="10"/>
    <n v="29.175000000000001"/>
    <n v="4.1757631120265621"/>
    <n v="11.67"/>
    <n v="1.3729411764705883"/>
    <n v="8.5"/>
    <n v="2.5"/>
    <n v="3"/>
    <d v="1899-12-30T00:24:00"/>
    <s v="Order"/>
    <n v="25.366113653699468"/>
    <n v="3.8088863463005325"/>
    <n v="84.832444444444462"/>
    <n v="135.44499999999999"/>
    <n v="-18.74499999999999"/>
  </r>
  <r>
    <d v="2024-10-16T00:00:00"/>
    <x v="3"/>
    <x v="33"/>
    <n v="3"/>
    <s v="QTR4"/>
    <s v="Wednesday"/>
    <d v="1899-12-30T18:30:00"/>
    <s v="Clear"/>
    <n v="45"/>
    <s v="Lewiston"/>
    <n v="59.19"/>
    <n v="3.35"/>
    <n v="68"/>
    <n v="7"/>
    <n v="17.66865671641791"/>
    <n v="10.396076071256619"/>
    <n v="8.4557142857142846"/>
    <n v="0.87044117647058816"/>
    <n v="9.7142857142857135"/>
    <n v="2.08955223880597"/>
    <n v="2"/>
    <d v="1899-12-30T00:28:43"/>
    <s v="Order"/>
    <n v="13.571307524875621"/>
    <n v="4.097349191542289"/>
    <n v="83.283777777777772"/>
    <n v="112.9175"/>
    <n v="-53.727500000000006"/>
  </r>
  <r>
    <d v="2024-10-17T00:00:00"/>
    <x v="3"/>
    <x v="33"/>
    <n v="3"/>
    <s v="QTR4"/>
    <s v="Thursday"/>
    <d v="1899-12-30T18:30:00"/>
    <s v="Clear"/>
    <n v="54"/>
    <s v="Lewiston"/>
    <n v="53.82"/>
    <n v="4.18"/>
    <n v="81"/>
    <n v="8"/>
    <n v="12.875598086124404"/>
    <n v="0.13141203961277448"/>
    <n v="6.7275"/>
    <n v="0.66444444444444439"/>
    <n v="10.125"/>
    <n v="1.9138755980861246"/>
    <n v="3"/>
    <d v="1899-12-30T00:31:21"/>
    <s v="Order"/>
    <n v="12.875598086124404"/>
    <n v="0"/>
    <n v="82.24177777777777"/>
    <n v="86.477500000000006"/>
    <n v="-32.657500000000006"/>
  </r>
  <r>
    <d v="2024-10-18T00:00:00"/>
    <x v="3"/>
    <x v="33"/>
    <n v="3"/>
    <s v="QTR4"/>
    <s v="Friday"/>
    <d v="1899-12-30T18:30:00"/>
    <s v="Clear"/>
    <n v="55"/>
    <s v="Brunswick/Bath/Freeport"/>
    <n v="150.51999999999998"/>
    <n v="6.5"/>
    <n v="102"/>
    <n v="16"/>
    <n v="23.156923076923075"/>
    <n v="-0.55354683869114396"/>
    <n v="9.4074999999999989"/>
    <n v="1.4756862745098038"/>
    <n v="6.375"/>
    <n v="2.4615384615384617"/>
    <n v="4"/>
    <d v="1899-12-30T00:24:23"/>
    <s v="Hourly"/>
    <n v="25.250395053825475"/>
    <n v="-2.0934719769023999"/>
    <n v="82.173444444444428"/>
    <n v="95.05749999999999"/>
    <n v="55.462499999999991"/>
  </r>
  <r>
    <d v="2024-10-19T00:00:00"/>
    <x v="3"/>
    <x v="33"/>
    <n v="3"/>
    <s v="QTR4"/>
    <s v="Saturday"/>
    <d v="1899-12-30T21:00:00"/>
    <s v="Clear"/>
    <n v="57"/>
    <s v="Brunswick/Bath/Freeport"/>
    <n v="38.71"/>
    <n v="1.52"/>
    <n v="33"/>
    <n v="4"/>
    <n v="25.467105263157894"/>
    <n v="5.1404893167390533"/>
    <n v="9.6775000000000002"/>
    <n v="1.1730303030303031"/>
    <n v="8.25"/>
    <n v="2.6315789473684212"/>
    <n v="1"/>
    <d v="1899-12-30T00:22:48"/>
    <s v="Hourly"/>
    <n v="25.467105263157894"/>
    <n v="0"/>
    <n v="82.603555555555545"/>
    <n v="75.559999999999988"/>
    <n v="-36.849999999999987"/>
  </r>
  <r>
    <d v="2024-10-20T00:00:00"/>
    <x v="3"/>
    <x v="33"/>
    <n v="3"/>
    <s v="QTR4"/>
    <s v="Sunday"/>
    <d v="1899-12-30T20:00:00"/>
    <s v="Clear"/>
    <n v="61"/>
    <s v="Lewiston"/>
    <n v="86.51"/>
    <n v="3.98"/>
    <n v="71"/>
    <n v="11"/>
    <n v="21.736180904522616"/>
    <n v="1.3328978807868097"/>
    <n v="7.8645454545454552"/>
    <n v="1.2184507042253523"/>
    <n v="6.4545454545454541"/>
    <n v="2.7638190954773871"/>
    <n v="1"/>
    <d v="1899-12-30T00:21:43"/>
    <s v="Hourly"/>
    <n v="25.972257118927978"/>
    <n v="-4.2360762144053616"/>
    <n v="82.198222222222213"/>
    <n v="82.39"/>
    <n v="4.1200000000000045"/>
  </r>
  <r>
    <d v="2024-10-21T00:00:00"/>
    <x v="3"/>
    <x v="34"/>
    <n v="4"/>
    <s v="QTR4"/>
    <s v="Monday"/>
    <d v="1899-12-30T18:00:00"/>
    <s v="Clear"/>
    <n v="30"/>
    <s v="Augusta"/>
    <n v="87.43"/>
    <n v="4.93"/>
    <n v="146"/>
    <n v="7"/>
    <n v="17.7342799188641"/>
    <n v="-7.7025197374328904"/>
    <n v="12.49"/>
    <n v="0.59883561643835626"/>
    <n v="20.857142857142858"/>
    <n v="1.4198782961460448"/>
    <n v="2"/>
    <d v="1899-12-30T00:42:15"/>
    <s v="Order"/>
    <n v="17.7342799188641"/>
    <n v="0"/>
    <n v="82.157333333333341"/>
    <n v="90.792500000000004"/>
    <n v="-3.3624999999999972"/>
  </r>
  <r>
    <d v="2024-10-22T00:00:00"/>
    <x v="3"/>
    <x v="34"/>
    <n v="4"/>
    <s v="QTR4"/>
    <s v="Tuesday"/>
    <d v="1899-12-30T18:00:00"/>
    <s v="Fog"/>
    <n v="52"/>
    <s v="Brunswick/Bath/Freeport"/>
    <n v="100.80000000000001"/>
    <n v="4.55"/>
    <n v="55"/>
    <n v="11"/>
    <n v="22.153846153846157"/>
    <n v="-2.217971211641423"/>
    <n v="9.163636363636364"/>
    <n v="1.832727272727273"/>
    <n v="5"/>
    <n v="2.4175824175824179"/>
    <n v="1"/>
    <d v="1899-12-30T00:24:49"/>
    <s v="Order"/>
    <n v="22.723602043712745"/>
    <n v="-0.56975588986658821"/>
    <n v="81.674555555555571"/>
    <n v="78.362500000000011"/>
    <n v="22.4375"/>
  </r>
  <r>
    <d v="2024-10-25T00:00:00"/>
    <x v="3"/>
    <x v="34"/>
    <n v="4"/>
    <s v="QTR4"/>
    <s v="Friday"/>
    <d v="1899-12-30T18:30:00"/>
    <s v="Clear"/>
    <n v="50"/>
    <s v="Brunswick/Bath/Freeport"/>
    <n v="105.94"/>
    <n v="5.23"/>
    <n v="104"/>
    <n v="11"/>
    <n v="20.256214149139577"/>
    <n v="-3.4216941877281037"/>
    <n v="9.6309090909090909"/>
    <n v="1.0186538461538461"/>
    <n v="9.454545454545455"/>
    <n v="2.1032504780114722"/>
    <n v="1"/>
    <d v="1899-12-30T00:28:32"/>
    <s v="Hourly"/>
    <n v="20.256214149139577"/>
    <n v="0"/>
    <n v="79.415555555555557"/>
    <n v="95.17"/>
    <n v="10.769999999999996"/>
  </r>
  <r>
    <d v="2024-10-27T00:00:00"/>
    <x v="3"/>
    <x v="34"/>
    <n v="4"/>
    <s v="QTR4"/>
    <s v="Sunday"/>
    <d v="1899-12-30T18:00:00"/>
    <s v="Mostly Cloudy"/>
    <n v="45"/>
    <s v="Brunswick/Bath/Freeport"/>
    <n v="110.34"/>
    <n v="4.63"/>
    <n v="93"/>
    <n v="14"/>
    <n v="23.831533477321816"/>
    <n v="1.0823027932030875"/>
    <n v="7.8814285714285717"/>
    <n v="1.1864516129032259"/>
    <n v="6.6428571428571432"/>
    <n v="3.0237580993520519"/>
    <n v="2"/>
    <d v="1899-12-30T00:19:51"/>
    <s v="Order"/>
    <n v="24.648174146068314"/>
    <n v="-0.81664066874649777"/>
    <n v="78.702555555555563"/>
    <n v="101.1275"/>
    <n v="9.2125000000000057"/>
  </r>
  <r>
    <d v="2024-10-28T00:00:00"/>
    <x v="3"/>
    <x v="35"/>
    <n v="5"/>
    <s v="QTR4"/>
    <s v="Monday"/>
    <d v="1899-12-30T17:30:00"/>
    <s v="Clear"/>
    <n v="41"/>
    <s v="Brunswick/Bath/Freeport"/>
    <n v="30.26"/>
    <n v="1.42"/>
    <n v="28"/>
    <n v="2"/>
    <n v="21.30985915492958"/>
    <n v="-4.0105902801228268"/>
    <n v="15.13"/>
    <n v="1.0807142857142857"/>
    <n v="14"/>
    <n v="1.4084507042253522"/>
    <n v="2"/>
    <d v="1899-12-30T00:42:36"/>
    <s v="Order"/>
    <n v="23.506606168174361"/>
    <n v="-2.1967470132447815"/>
    <n v="77.552666666666681"/>
    <n v="86.835000000000008"/>
    <n v="-56.575000000000003"/>
  </r>
  <r>
    <d v="2024-10-29T00:00:00"/>
    <x v="3"/>
    <x v="35"/>
    <n v="5"/>
    <s v="QTR4"/>
    <s v="Tuesday"/>
    <d v="1899-12-30T17:30:00"/>
    <s v="Overcast"/>
    <n v="52"/>
    <s v="Portland"/>
    <n v="61.53"/>
    <n v="4.9800000000000004"/>
    <n v="126"/>
    <n v="8"/>
    <n v="12.355421686746988"/>
    <n v="-7.7541218668703653"/>
    <n v="7.6912500000000001"/>
    <n v="0.48833333333333334"/>
    <n v="15.75"/>
    <n v="1.6064257028112447"/>
    <n v="1"/>
    <d v="1899-12-30T00:37:21"/>
    <s v="Order"/>
    <n v="19.568101233763883"/>
    <n v="-7.2126795470168954"/>
    <n v="77.76144444444445"/>
    <n v="77.017499999999998"/>
    <n v="-15.487499999999997"/>
  </r>
  <r>
    <d v="2024-10-30T00:00:00"/>
    <x v="3"/>
    <x v="35"/>
    <n v="5"/>
    <s v="QTR4"/>
    <s v="Wednesday"/>
    <d v="1899-12-30T17:00:00"/>
    <s v="Fog"/>
    <n v="54"/>
    <s v="Brunswick/Bath/Freeport"/>
    <n v="117.5"/>
    <n v="4.0199999999999996"/>
    <n v="74"/>
    <n v="10"/>
    <n v="29.228855721393039"/>
    <n v="7.391007090625493"/>
    <n v="11.75"/>
    <n v="1.5878378378378379"/>
    <n v="7.4"/>
    <n v="2.4875621890547266"/>
    <n v="1"/>
    <d v="1899-12-30T00:24:07"/>
    <s v="Hourly"/>
    <n v="21.823234678878336"/>
    <n v="7.4056210425147029"/>
    <n v="78.113222222222234"/>
    <n v="79.907499999999999"/>
    <n v="37.592500000000001"/>
  </r>
  <r>
    <d v="2024-11-01T00:00:00"/>
    <x v="3"/>
    <x v="35"/>
    <n v="5"/>
    <s v="QTR4"/>
    <s v="Friday"/>
    <d v="1899-12-30T18:00:00"/>
    <s v="Clear"/>
    <n v="59"/>
    <s v="Brunswick/Bath/Freeport"/>
    <n v="223.74"/>
    <n v="6.88"/>
    <n v="172"/>
    <n v="17"/>
    <n v="32.520348837209305"/>
    <n v="9.0325346218820748"/>
    <n v="13.161176470588236"/>
    <n v="1.3008139534883723"/>
    <n v="10.117647058823529"/>
    <n v="2.4709302325581395"/>
    <n v="2"/>
    <d v="1899-12-30T00:24:17"/>
    <s v="Order"/>
    <n v="32.520348837209305"/>
    <n v="0"/>
    <n v="78.732777777777784"/>
    <n v="108.25750000000001"/>
    <n v="115.4825"/>
  </r>
  <r>
    <d v="2024-11-02T00:00:00"/>
    <x v="3"/>
    <x v="35"/>
    <n v="5"/>
    <s v="QTR4"/>
    <s v="Saturday"/>
    <d v="1899-12-30T14:00:00"/>
    <s v="Clear"/>
    <n v="37"/>
    <s v="Portland"/>
    <n v="100.36"/>
    <n v="6.3"/>
    <n v="128"/>
    <n v="13"/>
    <n v="15.93015873015873"/>
    <n v="-8.3598656278927237"/>
    <n v="7.72"/>
    <n v="0.7840625"/>
    <n v="9.8461538461538467"/>
    <n v="2.0634920634920637"/>
    <n v="2"/>
    <d v="1899-12-30T00:29:05"/>
    <s v="Order"/>
    <n v="19.066135172017525"/>
    <n v="-3.1359764418587943"/>
    <n v="78.518000000000001"/>
    <n v="125.7825"/>
    <n v="-25.422499999999999"/>
  </r>
  <r>
    <d v="2024-11-03T00:00:00"/>
    <x v="3"/>
    <x v="35"/>
    <n v="5"/>
    <s v="QTR4"/>
    <s v="Sunday"/>
    <d v="1899-12-30T17:00:00"/>
    <s v="Clear"/>
    <n v="41"/>
    <s v="Brunswick/Bath/Freeport"/>
    <n v="175.5"/>
    <n v="6.13"/>
    <n v="121"/>
    <n v="16"/>
    <n v="28.62969004893964"/>
    <n v="5.7722290855006051"/>
    <n v="10.96875"/>
    <n v="1.4504132231404958"/>
    <n v="7.5625"/>
    <n v="2.6101141924959217"/>
    <n v="2"/>
    <d v="1899-12-30T00:22:59"/>
    <s v="Hourly"/>
    <n v="29.695708063869443"/>
    <n v="-1.0660180149298029"/>
    <n v="80.468000000000004"/>
    <n v="154.27500000000001"/>
    <n v="21.224999999999994"/>
  </r>
  <r>
    <d v="2024-11-04T00:00:00"/>
    <x v="3"/>
    <x v="36"/>
    <n v="6"/>
    <s v="QTR4"/>
    <s v="Monday"/>
    <d v="1899-12-30T17:30:00"/>
    <s v="Mostly Cloudy"/>
    <n v="43"/>
    <s v="Brunswick/Bath/Freeport"/>
    <n v="127.31"/>
    <n v="5.35"/>
    <n v="87"/>
    <n v="11"/>
    <n v="23.796261682242992"/>
    <n v="-1.2377170185149282"/>
    <n v="11.573636363636364"/>
    <n v="1.4633333333333334"/>
    <n v="7.9090909090909092"/>
    <n v="2.0560747663551404"/>
    <n v="3"/>
    <d v="1899-12-30T00:29:11"/>
    <s v="Order"/>
    <n v="26.266434412550069"/>
    <n v="-2.4701727303070768"/>
    <n v="80.269888888888872"/>
    <n v="156.72750000000002"/>
    <n v="-29.417500000000018"/>
  </r>
  <r>
    <d v="2024-11-05T00:00:00"/>
    <x v="3"/>
    <x v="36"/>
    <n v="6"/>
    <s v="QTR4"/>
    <s v="Tuesday"/>
    <d v="1899-12-30T18:00:00"/>
    <s v="Clear"/>
    <n v="52"/>
    <s v="Brunswick/Bath/Freeport"/>
    <n v="160.63999999999999"/>
    <n v="5.07"/>
    <n v="87"/>
    <n v="11"/>
    <n v="31.684418145956602"/>
    <n v="7.5343979016331666"/>
    <n v="14.603636363636362"/>
    <n v="1.8464367816091953"/>
    <n v="7.9090909090909092"/>
    <n v="2.1696252465483234"/>
    <n v="3"/>
    <d v="1899-12-30T00:27:39"/>
    <s v="Order"/>
    <n v="26.085332217138063"/>
    <n v="5.5990859288185391"/>
    <n v="82.054777777777772"/>
    <n v="140.95249999999999"/>
    <n v="19.6875"/>
  </r>
  <r>
    <d v="2024-11-07T00:00:00"/>
    <x v="3"/>
    <x v="36"/>
    <n v="6"/>
    <s v="QTR4"/>
    <s v="Thursday"/>
    <d v="1899-12-30T17:30:00"/>
    <s v="Clear"/>
    <n v="46"/>
    <s v="Brunswick/Bath/Freeport"/>
    <n v="77.56"/>
    <n v="2.58"/>
    <n v="28"/>
    <n v="3"/>
    <n v="30.062015503875969"/>
    <n v="7.478108931808265"/>
    <n v="25.853333333333335"/>
    <n v="2.77"/>
    <n v="9.3333333333333339"/>
    <n v="1.1627906976744187"/>
    <n v="1"/>
    <d v="1899-12-30T00:51:36"/>
    <s v="Order"/>
    <n v="30.062015503875969"/>
    <n v="0"/>
    <n v="81.165777777777777"/>
    <n v="135.2525"/>
    <n v="-57.692499999999995"/>
  </r>
  <r>
    <d v="2024-11-11T00:00:00"/>
    <x v="3"/>
    <x v="37"/>
    <n v="7"/>
    <s v="QTR4"/>
    <s v="Monday"/>
    <d v="1899-12-30T18:30:00"/>
    <s v="Overcast"/>
    <n v="55"/>
    <s v="Brunswick/Bath/Freeport"/>
    <n v="143.59"/>
    <n v="5.03"/>
    <n v="88"/>
    <n v="15"/>
    <n v="28.546719681908549"/>
    <n v="3.5952554490516242"/>
    <n v="9.5726666666666667"/>
    <n v="1.6317045454545456"/>
    <n v="5.8666666666666663"/>
    <n v="2.982107355864811"/>
    <n v="2"/>
    <d v="1899-12-30T00:20:07"/>
    <s v="Order"/>
    <n v="24.609907387766043"/>
    <n v="3.9368122941425057"/>
    <n v="77.483555555555554"/>
    <n v="127.27500000000001"/>
    <n v="16.314999999999998"/>
  </r>
  <r>
    <d v="2024-11-12T00:00:00"/>
    <x v="3"/>
    <x v="37"/>
    <n v="7"/>
    <s v="QTR4"/>
    <s v="Tuesday"/>
    <d v="1899-12-30T19:00:00"/>
    <s v="Clear"/>
    <n v="34"/>
    <s v="Brunswick/Bath/Freeport"/>
    <n v="89.41"/>
    <n v="4.67"/>
    <n v="71"/>
    <n v="12"/>
    <n v="19.14561027837259"/>
    <n v="-5.6893552297356784"/>
    <n v="7.4508333333333328"/>
    <n v="1.2592957746478872"/>
    <n v="5.916666666666667"/>
    <n v="2.5695931477516059"/>
    <n v="2"/>
    <d v="1899-12-30T00:23:21"/>
    <s v="Order"/>
    <n v="27.181628668598059"/>
    <n v="-8.0360183902254683"/>
    <n v="76.7102222222222"/>
    <n v="117.79999999999998"/>
    <n v="-28.389999999999986"/>
  </r>
  <r>
    <d v="2024-11-15T00:00:00"/>
    <x v="3"/>
    <x v="37"/>
    <n v="7"/>
    <s v="QTR4"/>
    <s v="Friday"/>
    <d v="1899-12-30T17:30:00"/>
    <s v="Partially Cloudy"/>
    <n v="50"/>
    <s v="Brunswick/Bath/Freeport"/>
    <n v="150.26"/>
    <n v="6.27"/>
    <n v="114"/>
    <n v="17"/>
    <n v="23.964912280701753"/>
    <n v="1.7015063280965137E-3"/>
    <n v="8.8388235294117639"/>
    <n v="1.3180701754385964"/>
    <n v="6.7058823529411766"/>
    <n v="2.7113237639553431"/>
    <n v="3"/>
    <d v="1899-12-30T00:22:08"/>
    <s v="Order"/>
    <n v="22.483122528976669"/>
    <n v="1.4817897517250849"/>
    <n v="73.73944444444443"/>
    <n v="115.205"/>
    <n v="35.054999999999993"/>
  </r>
  <r>
    <d v="2024-11-16T00:00:00"/>
    <x v="3"/>
    <x v="37"/>
    <n v="7"/>
    <s v="QTR4"/>
    <s v="Saturday"/>
    <d v="1899-12-30T17:30:00"/>
    <s v="Clear"/>
    <n v="46"/>
    <s v="Lewiston"/>
    <n v="174.28"/>
    <n v="8"/>
    <n v="116"/>
    <n v="20"/>
    <n v="21.785"/>
    <n v="-0.34518199152400086"/>
    <n v="8.7140000000000004"/>
    <n v="1.5024137931034482"/>
    <n v="5.8"/>
    <n v="2.5"/>
    <n v="5"/>
    <d v="1899-12-30T00:24:00"/>
    <s v="Order"/>
    <n v="21.362979704797048"/>
    <n v="0.4220202952029517"/>
    <n v="74.830333333333314"/>
    <n v="139.38499999999999"/>
    <n v="34.89500000000001"/>
  </r>
  <r>
    <d v="2024-11-18T00:00:00"/>
    <x v="3"/>
    <x v="38"/>
    <n v="8"/>
    <s v="QTR4"/>
    <s v="Monday"/>
    <d v="1899-12-30T18:30:00"/>
    <s v="Overcast"/>
    <n v="50"/>
    <s v="Brunswick/Bath/Freeport"/>
    <n v="68.75"/>
    <n v="3.02"/>
    <n v="59"/>
    <n v="5"/>
    <n v="22.764900662251655"/>
    <n v="-2.4112670361709938"/>
    <n v="13.75"/>
    <n v="1.1652542372881356"/>
    <n v="11.8"/>
    <n v="1.6556291390728477"/>
    <n v="2"/>
    <d v="1899-12-30T00:36:14"/>
    <s v="Order"/>
    <n v="23.549802521868241"/>
    <n v="-0.78490185961658554"/>
    <n v="75.594222222222214"/>
    <n v="120.675"/>
    <n v="-51.924999999999997"/>
  </r>
  <r>
    <d v="2024-11-21T00:00:00"/>
    <x v="3"/>
    <x v="38"/>
    <n v="8"/>
    <s v="QTR4"/>
    <s v="Thursday"/>
    <d v="1899-12-30T18:30:00"/>
    <s v="Fog"/>
    <n v="45"/>
    <s v="Brunswick/Bath/Freeport"/>
    <n v="8.07"/>
    <n v="0.6"/>
    <n v="19"/>
    <n v="1"/>
    <n v="13.450000000000001"/>
    <n v="-9.964807564490842"/>
    <n v="8.07"/>
    <n v="0.42473684210526319"/>
    <n v="19"/>
    <n v="1.6666666666666667"/>
    <n v="1"/>
    <d v="1899-12-30T00:36:00"/>
    <s v="Order"/>
    <n v="15.912805605247465"/>
    <n v="-2.4628056052474641"/>
    <n v="69.86855555555556"/>
    <n v="100.33999999999999"/>
    <n v="-92.269999999999982"/>
  </r>
  <r>
    <d v="2024-11-22T00:00:00"/>
    <x v="3"/>
    <x v="38"/>
    <n v="8"/>
    <s v="QTR4"/>
    <s v="Friday"/>
    <d v="1899-12-30T18:00:00"/>
    <s v="Light Rain"/>
    <n v="46"/>
    <s v="Brunswick/Bath/Freeport"/>
    <n v="105.69999999999999"/>
    <n v="3.83"/>
    <n v="85"/>
    <n v="8"/>
    <n v="27.597911227154043"/>
    <n v="3.6346153774639802"/>
    <n v="13.212499999999999"/>
    <n v="1.2435294117647058"/>
    <n v="10.625"/>
    <n v="2.0887728459530024"/>
    <n v="3"/>
    <d v="1899-12-30T00:28:44"/>
    <s v="Order"/>
    <n v="24.067695029985224"/>
    <n v="3.5302161971688193"/>
    <n v="69.436999999999998"/>
    <n v="89.199999999999989"/>
    <n v="16.5"/>
  </r>
  <r>
    <d v="2024-11-25T00:00:00"/>
    <x v="3"/>
    <x v="39"/>
    <n v="9"/>
    <s v="QTR4"/>
    <s v="Monday"/>
    <d v="1899-12-30T17:30:00"/>
    <s v="Clear"/>
    <n v="36"/>
    <s v="Brunswick/Bath/Freeport"/>
    <n v="64.39"/>
    <n v="3"/>
    <n v="52"/>
    <n v="6"/>
    <n v="21.463333333333335"/>
    <n v="-3.5709951276674907"/>
    <n v="10.731666666666667"/>
    <n v="1.2382692307692307"/>
    <n v="8.6666666666666661"/>
    <n v="2"/>
    <n v="3"/>
    <d v="1899-12-30T00:30:00"/>
    <s v="Order"/>
    <n v="22.7536390170972"/>
    <n v="-1.2903056837638651"/>
    <n v="65.562888888888892"/>
    <n v="61.727499999999992"/>
    <n v="2.6625000000000085"/>
  </r>
  <r>
    <d v="2024-11-27T00:00:00"/>
    <x v="3"/>
    <x v="39"/>
    <n v="9"/>
    <s v="QTR4"/>
    <s v="Wednesday"/>
    <d v="1899-12-30T18:00:00"/>
    <s v="Clear"/>
    <n v="34"/>
    <s v="Brunswick/Bath/Freeport"/>
    <n v="66.87"/>
    <n v="2.77"/>
    <n v="56"/>
    <n v="6"/>
    <n v="24.140794223826717"/>
    <n v="1.6310358575477615"/>
    <n v="11.145000000000001"/>
    <n v="1.194107142857143"/>
    <n v="9.3333333333333339"/>
    <n v="2.1660649819494586"/>
    <n v="2"/>
    <d v="1899-12-30T00:27:42"/>
    <s v="Hourly"/>
    <n v="21.611061995023647"/>
    <n v="2.5297322288030699"/>
    <n v="65.615111111111119"/>
    <n v="61.257499999999993"/>
    <n v="5.6125000000000114"/>
  </r>
  <r>
    <d v="2024-11-29T00:00:00"/>
    <x v="3"/>
    <x v="39"/>
    <n v="9"/>
    <s v="QTR4"/>
    <s v="Friday"/>
    <d v="1899-12-30T17:00:00"/>
    <s v="Clear"/>
    <n v="36"/>
    <s v="Augusta"/>
    <n v="150.29000000000002"/>
    <n v="5.97"/>
    <n v="116"/>
    <n v="11"/>
    <n v="25.174204355108881"/>
    <n v="1.30647948738401"/>
    <n v="13.662727272727274"/>
    <n v="1.2956034482758623"/>
    <n v="10.545454545454545"/>
    <n v="1.8425460636515913"/>
    <n v="3"/>
    <d v="1899-12-30T00:32:34"/>
    <s v="Hourly"/>
    <n v="22.935551190780895"/>
    <n v="2.2386531643279852"/>
    <n v="67.285000000000011"/>
    <n v="96.8125"/>
    <n v="53.47750000000002"/>
  </r>
  <r>
    <d v="2024-12-02T00:00:00"/>
    <x v="3"/>
    <x v="40"/>
    <n v="10"/>
    <s v="QTR4"/>
    <s v="Monday"/>
    <d v="1899-12-30T18:00:00"/>
    <s v="Partially Cloudy"/>
    <n v="28"/>
    <s v="Brunswick/Bath/Freeport"/>
    <n v="66.58"/>
    <n v="2.23"/>
    <n v="57"/>
    <n v="10"/>
    <n v="29.856502242152466"/>
    <n v="5.0205623993553914"/>
    <n v="6.6579999999999995"/>
    <n v="1.1680701754385965"/>
    <n v="5.7"/>
    <n v="4.4843049327354256"/>
    <n v="2"/>
    <d v="1899-12-30T00:13:23"/>
    <s v="Order"/>
    <n v="21.442841149708883"/>
    <n v="8.4136610924435828"/>
    <n v="65.836888888888907"/>
    <n v="87.032499999999999"/>
    <n v="-20.452500000000001"/>
  </r>
  <r>
    <d v="2024-12-03T00:00:00"/>
    <x v="3"/>
    <x v="40"/>
    <n v="10"/>
    <s v="QTR4"/>
    <s v="Tuesday"/>
    <d v="1899-12-30T21:00:00"/>
    <s v="Mostly Cloudy"/>
    <n v="30"/>
    <s v="Brunswick/Bath/Freeport"/>
    <n v="26"/>
    <n v="1.23"/>
    <n v="14"/>
    <n v="3"/>
    <n v="21.13821138211382"/>
    <n v="-3.2226411901831433"/>
    <n v="8.6666666666666661"/>
    <n v="1.8571428571428572"/>
    <n v="4.666666666666667"/>
    <n v="2.4390243902439024"/>
    <n v="1"/>
    <d v="1899-12-30T00:24:36"/>
    <s v="Order"/>
    <n v="26.00270730071486"/>
    <n v="-4.8644959186010404"/>
    <n v="66.125777777777799"/>
    <n v="77.435000000000002"/>
    <n v="-51.435000000000002"/>
  </r>
  <r>
    <d v="2024-12-04T00:00:00"/>
    <x v="3"/>
    <x v="40"/>
    <n v="10"/>
    <s v="QTR4"/>
    <s v="Wednesday"/>
    <d v="1899-12-30T19:30:00"/>
    <s v="Snow Storm"/>
    <n v="34"/>
    <s v="Brunswick/Bath/Freeport"/>
    <n v="92.76"/>
    <n v="3.27"/>
    <n v="68"/>
    <n v="12"/>
    <n v="28.366972477064223"/>
    <n v="5.7212944559896215"/>
    <n v="7.73"/>
    <n v="1.3641176470588237"/>
    <n v="5.666666666666667"/>
    <n v="3.6697247706422016"/>
    <n v="3"/>
    <d v="1899-12-30T00:16:21"/>
    <s v="Order"/>
    <n v="28.366972477064223"/>
    <n v="0"/>
    <n v="66.264222222222244"/>
    <n v="83.907499999999999"/>
    <n v="8.8525000000000063"/>
  </r>
  <r>
    <d v="2024-12-06T00:00:00"/>
    <x v="3"/>
    <x v="40"/>
    <n v="10"/>
    <s v="QTR4"/>
    <s v="Friday"/>
    <d v="1899-12-30T19:30:00"/>
    <s v="Clear"/>
    <n v="19"/>
    <s v="Brunswick/Bath/Freeport"/>
    <n v="44.5"/>
    <n v="2.02"/>
    <n v="55"/>
    <n v="4"/>
    <n v="22.029702970297031"/>
    <n v="-2.1066698021294101"/>
    <n v="11.125"/>
    <n v="0.80909090909090908"/>
    <n v="13.75"/>
    <n v="1.9801980198019802"/>
    <n v="1"/>
    <d v="1899-12-30T00:30:18"/>
    <s v="Order"/>
    <n v="20.150712464611388"/>
    <n v="1.8789905056856426"/>
    <n v="64.408777777777786"/>
    <n v="57.46"/>
    <n v="-12.96"/>
  </r>
  <r>
    <d v="2024-12-09T00:00:00"/>
    <x v="3"/>
    <x v="41"/>
    <n v="11"/>
    <s v="QTR4"/>
    <s v="Monday"/>
    <d v="1899-12-30T19:00:00"/>
    <s v="Light Snow"/>
    <n v="28"/>
    <s v="Brunswick/Bath/Freeport"/>
    <n v="58.88"/>
    <n v="1.85"/>
    <n v="32"/>
    <n v="6"/>
    <n v="31.827027027027025"/>
    <n v="6.7268470579480883"/>
    <n v="9.8133333333333344"/>
    <n v="1.84"/>
    <n v="5.333333333333333"/>
    <n v="3.243243243243243"/>
    <n v="2"/>
    <d v="1899-12-30T00:18:30"/>
    <s v="Hourly"/>
    <n v="21.372401866151865"/>
    <n v="10.45462516087516"/>
    <n v="61.727000000000011"/>
    <n v="55.534999999999997"/>
    <n v="3.345000000000006"/>
  </r>
  <r>
    <d v="2024-12-12T00:00:00"/>
    <x v="3"/>
    <x v="41"/>
    <n v="11"/>
    <s v="QTR4"/>
    <s v="Thursday"/>
    <d v="1899-12-30T20:00:00"/>
    <s v="Clear"/>
    <n v="34"/>
    <s v="Brunswick/Bath/Freeport"/>
    <n v="36.19"/>
    <n v="2.12"/>
    <n v="19"/>
    <n v="3"/>
    <n v="17.070754716981131"/>
    <n v="-5.347572091060627"/>
    <n v="12.063333333333333"/>
    <n v="1.9047368421052631"/>
    <n v="6.333333333333333"/>
    <n v="1.4150943396226414"/>
    <n v="2"/>
    <d v="1899-12-30T00:42:24"/>
    <s v="Order"/>
    <n v="19.011640461215933"/>
    <n v="-1.9408857442348015"/>
    <n v="57.26177777777778"/>
    <n v="58.082499999999996"/>
    <n v="-21.892499999999998"/>
  </r>
  <r>
    <d v="2025-01-02T00:00:00"/>
    <x v="4"/>
    <x v="0"/>
    <n v="1"/>
    <s v="QTR1"/>
    <s v="Thursday"/>
    <d v="1899-12-30T17:30:00"/>
    <s v="Mostly Cloudy"/>
    <n v="34"/>
    <s v="Lewiston"/>
    <n v="61.47"/>
    <n v="2.75"/>
    <n v="38"/>
    <n v="5"/>
    <n v="22.352727272727272"/>
    <n v="0.84138916668301533"/>
    <n v="12.294"/>
    <n v="1.6176315789473683"/>
    <n v="7.6"/>
    <n v="1.8181818181818181"/>
    <n v="3"/>
    <d v="1899-12-30T00:33:00"/>
    <s v="Order"/>
    <n v="18.675659411011523"/>
    <n v="3.6770678617157486"/>
    <n v="44.021888888888888"/>
    <n v="50.26"/>
    <n v="11.21"/>
  </r>
  <r>
    <d v="2025-01-03T00:00:00"/>
    <x v="4"/>
    <x v="0"/>
    <n v="1"/>
    <s v="QTR1"/>
    <s v="Friday"/>
    <d v="1899-12-30T18:30:00"/>
    <s v="Clear"/>
    <n v="30"/>
    <s v="Lewiston"/>
    <n v="30.52"/>
    <n v="1.73"/>
    <n v="27"/>
    <n v="4"/>
    <n v="17.641618497109828"/>
    <n v="-2.5741405533135051"/>
    <n v="7.63"/>
    <n v="1.1303703703703702"/>
    <n v="6.75"/>
    <n v="2.3121387283236996"/>
    <n v="2"/>
    <d v="1899-12-30T00:25:57"/>
    <s v="Order"/>
    <n v="19.988788031661809"/>
    <n v="-2.3471695345519805"/>
    <n v="42.754999999999995"/>
    <n v="46.765000000000001"/>
    <n v="-16.245000000000001"/>
  </r>
  <r>
    <d v="2025-01-05T00:00:00"/>
    <x v="4"/>
    <x v="0"/>
    <n v="1"/>
    <s v="QTR1"/>
    <s v="Sunday"/>
    <d v="1899-12-30T18:00:00"/>
    <s v="Clear"/>
    <n v="9"/>
    <s v="Brunswick/Bath/Freeport"/>
    <n v="74.41"/>
    <n v="2.85"/>
    <n v="62"/>
    <n v="4"/>
    <n v="26.10877192982456"/>
    <n v="0.16399412156455995"/>
    <n v="18.602499999999999"/>
    <n v="1.2001612903225807"/>
    <n v="15.5"/>
    <n v="1.4035087719298245"/>
    <n v="1"/>
    <d v="1899-12-30T00:42:45"/>
    <s v="Order"/>
    <n v="22.85733102789024"/>
    <n v="3.2514409019343198"/>
    <n v="40.149777777777771"/>
    <n v="50.647500000000001"/>
    <n v="23.762499999999996"/>
  </r>
  <r>
    <d v="2025-01-08T00:00:00"/>
    <x v="4"/>
    <x v="1"/>
    <n v="2"/>
    <s v="QTR1"/>
    <s v="Wednesday"/>
    <d v="1899-12-30T18:00:00"/>
    <s v="Overcast"/>
    <n v="16"/>
    <s v="Brunswick/Bath/Freeport"/>
    <n v="22.01"/>
    <n v="1.38"/>
    <n v="50"/>
    <n v="1"/>
    <n v="15.949275362318843"/>
    <n v="-12.644791817851011"/>
    <n v="22.01"/>
    <n v="0.44020000000000004"/>
    <n v="50"/>
    <n v="0.7246376811594204"/>
    <n v="1"/>
    <d v="1899-12-30T01:22:48"/>
    <s v="Order"/>
    <n v="20.407605676328505"/>
    <n v="-4.4583303140096611"/>
    <n v="40.394333333333329"/>
    <n v="47.102499999999992"/>
    <n v="-25.09249999999999"/>
  </r>
  <r>
    <d v="2025-01-09T00:00:00"/>
    <x v="4"/>
    <x v="1"/>
    <n v="2"/>
    <s v="QTR1"/>
    <s v="Thursday"/>
    <d v="1899-12-30T17:30:00"/>
    <s v="Clear"/>
    <n v="23"/>
    <s v="Lewiston"/>
    <n v="13.52"/>
    <n v="2.0699999999999998"/>
    <n v="23"/>
    <n v="2"/>
    <n v="6.5314009661835755"/>
    <n v="-15.064076056528982"/>
    <n v="6.76"/>
    <n v="0.58782608695652172"/>
    <n v="11.5"/>
    <n v="0.96618357487922713"/>
    <n v="2"/>
    <d v="1899-12-30T01:02:06"/>
    <s v="Order"/>
    <n v="15.15404435630213"/>
    <n v="-8.6226433901185544"/>
    <n v="40.544555555555554"/>
    <n v="35.115000000000002"/>
    <n v="-21.595000000000002"/>
  </r>
  <r>
    <d v="2025-01-11T00:00:00"/>
    <x v="4"/>
    <x v="1"/>
    <n v="2"/>
    <s v="QTR1"/>
    <s v="Saturday"/>
    <d v="1899-12-30T16:30:00"/>
    <s v="Light Snow"/>
    <n v="27"/>
    <s v="Portland"/>
    <n v="148.96"/>
    <n v="6.78"/>
    <n v="116"/>
    <n v="16"/>
    <n v="21.970501474926255"/>
    <n v="3.0973034197733718"/>
    <n v="9.31"/>
    <n v="1.2841379310344829"/>
    <n v="7.25"/>
    <n v="2.359882005899705"/>
    <n v="2"/>
    <d v="1899-12-30T00:25:26"/>
    <s v="Order"/>
    <n v="24.347155499367886"/>
    <n v="-2.3766540244416312"/>
    <n v="40.908555555555559"/>
    <n v="64.724999999999994"/>
    <n v="84.235000000000014"/>
  </r>
  <r>
    <d v="2025-01-13T00:00:00"/>
    <x v="4"/>
    <x v="2"/>
    <n v="3"/>
    <s v="QTR1"/>
    <s v="Monday"/>
    <d v="1899-12-30T17:30:00"/>
    <s v="Light Snow"/>
    <n v="34"/>
    <s v="Portland"/>
    <n v="83.05"/>
    <n v="4.38"/>
    <n v="68"/>
    <n v="7"/>
    <n v="18.961187214611872"/>
    <n v="3.9283861038864298"/>
    <n v="11.864285714285714"/>
    <n v="1.2213235294117646"/>
    <n v="9.7142857142857135"/>
    <n v="1.5981735159817352"/>
    <n v="2"/>
    <d v="1899-12-30T00:37:33"/>
    <s v="Order"/>
    <n v="20.098029868779264"/>
    <n v="-1.1368426541673919"/>
    <n v="40.534666666666674"/>
    <n v="66.885000000000005"/>
    <n v="16.164999999999992"/>
  </r>
  <r>
    <d v="2025-01-16T00:00:00"/>
    <x v="4"/>
    <x v="2"/>
    <n v="3"/>
    <s v="QTR1"/>
    <s v="Thursday"/>
    <d v="1899-12-30T17:00:00"/>
    <s v="Clear"/>
    <n v="16"/>
    <s v="Lewiston"/>
    <n v="87.92"/>
    <n v="4.1500000000000004"/>
    <n v="40"/>
    <n v="8"/>
    <n v="21.185542168674697"/>
    <n v="0.95952660564659098"/>
    <n v="10.99"/>
    <n v="2.198"/>
    <n v="5"/>
    <n v="1.9277108433734937"/>
    <n v="3"/>
    <d v="1899-12-30T00:31:08"/>
    <s v="Order"/>
    <n v="16.934665145332534"/>
    <n v="4.2508770233421629"/>
    <n v="38.583444444444439"/>
    <n v="83.362500000000011"/>
    <n v="4.5574999999999903"/>
  </r>
  <r>
    <d v="2025-01-17T00:00:00"/>
    <x v="4"/>
    <x v="2"/>
    <n v="3"/>
    <s v="QTR1"/>
    <s v="Friday"/>
    <d v="1899-12-30T18:30:00"/>
    <s v="Clear"/>
    <n v="25"/>
    <s v="Lewiston"/>
    <n v="99.85"/>
    <n v="5.47"/>
    <n v="110"/>
    <n v="9"/>
    <n v="18.254113345521024"/>
    <n v="-1.7636348931089643"/>
    <n v="11.094444444444443"/>
    <n v="0.90772727272727272"/>
    <n v="12.222222222222221"/>
    <n v="1.6453382084095065"/>
    <n v="3"/>
    <d v="1899-12-30T00:36:28"/>
    <s v="Order"/>
    <n v="20.597288205285317"/>
    <n v="-2.343174859764293"/>
    <n v="39.262777777777771"/>
    <n v="104.94499999999999"/>
    <n v="-5.0949999999999989"/>
  </r>
  <r>
    <d v="2025-01-18T00:00:00"/>
    <x v="4"/>
    <x v="2"/>
    <n v="3"/>
    <s v="QTR1"/>
    <s v="Saturday"/>
    <d v="1899-12-30T19:00:00"/>
    <s v="Light Rain"/>
    <n v="39"/>
    <s v="Brunswick/Bath/Freeport"/>
    <n v="91.160000000000011"/>
    <n v="4.4000000000000004"/>
    <n v="106"/>
    <n v="8"/>
    <n v="20.718181818181819"/>
    <n v="-5.1014706134417622"/>
    <n v="11.395000000000001"/>
    <n v="0.8600000000000001"/>
    <n v="13.25"/>
    <n v="1.8181818181818181"/>
    <n v="4"/>
    <d v="1899-12-30T00:33:00"/>
    <s v="Order"/>
    <n v="19.264398626308076"/>
    <n v="1.4537831918737432"/>
    <n v="39.31444444444444"/>
    <n v="90.495000000000005"/>
    <n v="0.66500000000000625"/>
  </r>
  <r>
    <d v="2025-01-19T00:00:00"/>
    <x v="4"/>
    <x v="2"/>
    <n v="3"/>
    <s v="QTR1"/>
    <s v="Sunday"/>
    <d v="1899-12-30T20:00:00"/>
    <s v="Snow Storm"/>
    <n v="32"/>
    <s v="Portland"/>
    <n v="90.899999999999991"/>
    <n v="3.53"/>
    <n v="73"/>
    <n v="7"/>
    <n v="25.75070821529745"/>
    <n v="8.8344402864931055"/>
    <n v="12.985714285714284"/>
    <n v="1.2452054794520546"/>
    <n v="10.428571428571429"/>
    <n v="1.9830028328611899"/>
    <n v="2"/>
    <d v="1899-12-30T00:30:15"/>
    <s v="Order"/>
    <n v="17.777626834921453"/>
    <n v="7.9730813803759979"/>
    <n v="39.353000000000002"/>
    <n v="92.457499999999996"/>
    <n v="-1.5575000000000045"/>
  </r>
  <r>
    <d v="2025-01-21T00:00:00"/>
    <x v="4"/>
    <x v="50"/>
    <n v="4"/>
    <s v="QTR1"/>
    <s v="Tuesday"/>
    <d v="1899-12-30T19:00:00"/>
    <s v="Clear"/>
    <n v="12"/>
    <s v="Portland"/>
    <n v="26.9"/>
    <n v="1.7"/>
    <n v="47"/>
    <n v="2"/>
    <n v="15.823529411764705"/>
    <n v="-1.2909710136063151"/>
    <n v="13.45"/>
    <n v="0.57234042553191489"/>
    <n v="23.5"/>
    <n v="1.1764705882352942"/>
    <n v="1"/>
    <d v="1899-12-30T00:51:00"/>
    <s v="Order"/>
    <n v="17.237755895309665"/>
    <n v="-1.4142264835449598"/>
    <n v="38.531888888888886"/>
    <n v="77.202499999999986"/>
    <n v="-50.302499999999988"/>
  </r>
  <r>
    <d v="2025-01-22T00:00:00"/>
    <x v="4"/>
    <x v="50"/>
    <n v="4"/>
    <s v="QTR1"/>
    <s v="Wednesday"/>
    <d v="1899-12-30T17:30:00"/>
    <s v="Clear"/>
    <n v="12"/>
    <s v="Brunswick/Bath/Freeport"/>
    <n v="46.31"/>
    <n v="2.35"/>
    <n v="57"/>
    <n v="5"/>
    <n v="19.706382978723404"/>
    <n v="-7.984484785885666"/>
    <n v="9.2620000000000005"/>
    <n v="0.81245614035087721"/>
    <n v="11.4"/>
    <n v="2.1276595744680851"/>
    <n v="2"/>
    <d v="1899-12-30T00:28:12"/>
    <s v="Order"/>
    <n v="19.706382978723404"/>
    <n v="0"/>
    <n v="39.04644444444444"/>
    <n v="63.817500000000003"/>
    <n v="-17.5075"/>
  </r>
  <r>
    <d v="2025-01-24T00:00:00"/>
    <x v="4"/>
    <x v="50"/>
    <n v="4"/>
    <s v="QTR1"/>
    <s v="Friday"/>
    <d v="1899-12-30T19:00:00"/>
    <s v="Clear"/>
    <n v="19"/>
    <s v="Lewiston"/>
    <n v="79.010000000000005"/>
    <n v="5.03"/>
    <n v="67"/>
    <n v="9"/>
    <n v="15.707753479125248"/>
    <n v="-4.1840208385683866"/>
    <n v="8.7788888888888899"/>
    <n v="1.1792537313432836"/>
    <n v="7.4444444444444446"/>
    <n v="1.7892644135188867"/>
    <n v="3"/>
    <d v="1899-12-30T00:33:32"/>
    <s v="Order"/>
    <n v="16.768241380446604"/>
    <n v="-1.0604879013213555"/>
    <n v="38.747222222222227"/>
    <n v="60.78"/>
    <n v="18.230000000000004"/>
  </r>
  <r>
    <d v="2025-01-26T00:00:00"/>
    <x v="4"/>
    <x v="50"/>
    <n v="4"/>
    <s v="QTR1"/>
    <s v="Sunday"/>
    <d v="1899-12-30T19:30:00"/>
    <s v="Clear"/>
    <n v="30"/>
    <s v="Brunswick/Bath/Freeport"/>
    <n v="45.46"/>
    <n v="2.5"/>
    <n v="71"/>
    <n v="5"/>
    <n v="18.184000000000001"/>
    <n v="-7.7812770734555698"/>
    <n v="9.0920000000000005"/>
    <n v="0.64028169014084513"/>
    <n v="14.2"/>
    <n v="2"/>
    <n v="2"/>
    <d v="1899-12-30T00:30:00"/>
    <s v="Order"/>
    <n v="18.184000000000001"/>
    <n v="0"/>
    <n v="37.690111111111115"/>
    <n v="49.420000000000009"/>
    <n v="-3.960000000000008"/>
  </r>
  <r>
    <d v="2025-01-28T00:00:00"/>
    <x v="4"/>
    <x v="3"/>
    <n v="5"/>
    <s v="QTR1"/>
    <s v="Tuesday"/>
    <d v="1899-12-30T18:00:00"/>
    <s v="Clear"/>
    <n v="12"/>
    <s v="Augusta"/>
    <n v="75.11"/>
    <n v="4.17"/>
    <n v="130"/>
    <n v="6"/>
    <n v="18.01199040767386"/>
    <n v="1.9327745853282643"/>
    <n v="12.518333333333333"/>
    <n v="0.57776923076923081"/>
    <n v="21.666666666666668"/>
    <n v="1.4388489208633093"/>
    <n v="4"/>
    <d v="1899-12-30T00:41:42"/>
    <s v="Order"/>
    <n v="27.034416256468504"/>
    <n v="-9.0224258487946436"/>
    <n v="36.535444444444458"/>
    <n v="61.472499999999997"/>
    <n v="13.637500000000003"/>
  </r>
  <r>
    <d v="2025-02-01T00:00:00"/>
    <x v="4"/>
    <x v="3"/>
    <n v="5"/>
    <s v="QTR1"/>
    <s v="Saturday"/>
    <d v="1899-12-30T15:30:00"/>
    <s v="Sunny"/>
    <n v="21"/>
    <s v="Brunswick/Bath/Freeport"/>
    <n v="49.75"/>
    <n v="2"/>
    <n v="54"/>
    <n v="3"/>
    <n v="24.875"/>
    <n v="-0.71276740373986414"/>
    <n v="16.583333333333332"/>
    <n v="0.92129629629629628"/>
    <n v="18"/>
    <n v="1.5"/>
    <n v="1"/>
    <d v="1899-12-30T00:40:00"/>
    <s v="Order"/>
    <n v="19.039721119304218"/>
    <n v="5.8352788806957818"/>
    <n v="31.537111111111116"/>
    <n v="62.332499999999996"/>
    <n v="-12.582499999999996"/>
  </r>
  <r>
    <d v="2025-02-03T00:00:00"/>
    <x v="4"/>
    <x v="4"/>
    <n v="6"/>
    <s v="QTR1"/>
    <s v="Monday"/>
    <d v="1899-12-30T17:00:00"/>
    <s v="Light Snow"/>
    <n v="34"/>
    <s v="Augusta"/>
    <n v="57.5"/>
    <n v="2.82"/>
    <n v="68"/>
    <n v="5"/>
    <n v="20.390070921985817"/>
    <n v="5.2209652309289094"/>
    <n v="11.5"/>
    <n v="0.84558823529411764"/>
    <n v="13.6"/>
    <n v="1.773049645390071"/>
    <n v="1"/>
    <d v="1899-12-30T00:33:50"/>
    <s v="Order"/>
    <n v="16.370667853439272"/>
    <n v="4.0194030685465449"/>
    <n v="28.976555555555564"/>
    <n v="56.954999999999998"/>
    <n v="0.54500000000000171"/>
  </r>
  <r>
    <d v="2025-02-05T00:00:00"/>
    <x v="4"/>
    <x v="4"/>
    <n v="6"/>
    <s v="QTR1"/>
    <s v="Wednesday"/>
    <d v="1899-12-30T18:00:00"/>
    <s v="Clear"/>
    <n v="16"/>
    <s v="Portland"/>
    <n v="51.3"/>
    <n v="2.7"/>
    <n v="69"/>
    <n v="5"/>
    <n v="18.999999999999996"/>
    <n v="-0.44687500000000213"/>
    <n v="10.26"/>
    <n v="0.74347826086956514"/>
    <n v="13.8"/>
    <n v="1.8518518518518516"/>
    <n v="2"/>
    <d v="1899-12-30T00:32:24"/>
    <s v="Order"/>
    <n v="21.938596739633184"/>
    <n v="-2.9385967396331871"/>
    <n v="28.684777777777786"/>
    <n v="58.415000000000006"/>
    <n v="-7.1150000000000091"/>
  </r>
  <r>
    <d v="2025-02-06T00:00:00"/>
    <x v="4"/>
    <x v="4"/>
    <n v="6"/>
    <s v="QTR1"/>
    <s v="Thursday"/>
    <d v="1899-12-30T17:00:00"/>
    <s v="Snow Storm"/>
    <n v="18"/>
    <s v="Lewiston"/>
    <n v="19.04"/>
    <n v="1.1499999999999999"/>
    <n v="21"/>
    <n v="4"/>
    <n v="16.556521739130435"/>
    <n v="-3.74945437436822"/>
    <n v="4.76"/>
    <n v="0.90666666666666662"/>
    <n v="5.25"/>
    <n v="3.4782608695652177"/>
    <n v="2"/>
    <d v="1899-12-30T00:17:15"/>
    <s v="Order"/>
    <n v="20.232614280015955"/>
    <n v="-3.6760925408855201"/>
    <n v="28.896333333333338"/>
    <n v="44.397500000000001"/>
    <n v="-25.357500000000002"/>
  </r>
  <r>
    <d v="2025-02-07T00:00:00"/>
    <x v="4"/>
    <x v="4"/>
    <n v="6"/>
    <s v="QTR1"/>
    <s v="Friday"/>
    <d v="1899-12-30T19:30:00"/>
    <s v="Overcast"/>
    <n v="27"/>
    <s v="Lewiston"/>
    <n v="41.3"/>
    <n v="3.6"/>
    <n v="65"/>
    <n v="6"/>
    <n v="11.472222222222221"/>
    <n v="-8.1406173729001878"/>
    <n v="6.8833333333333329"/>
    <n v="0.63538461538461533"/>
    <n v="10.833333333333334"/>
    <n v="1.6666666666666665"/>
    <n v="2"/>
    <d v="1899-12-30T00:36:00"/>
    <s v="Order"/>
    <n v="16.078306651419858"/>
    <n v="-4.6060844291976366"/>
    <n v="29.355222222222231"/>
    <n v="42.284999999999997"/>
    <n v="-0.98499999999999943"/>
  </r>
  <r>
    <d v="2025-02-09T00:00:00"/>
    <x v="4"/>
    <x v="4"/>
    <n v="6"/>
    <s v="QTR1"/>
    <s v="Sunday"/>
    <d v="1899-12-30T15:00:00"/>
    <s v="Partially Cloudy"/>
    <n v="21"/>
    <s v="Brunswick/Bath/Freeport"/>
    <n v="95.12"/>
    <n v="3.6"/>
    <n v="77"/>
    <n v="6"/>
    <n v="26.422222222222224"/>
    <n v="1.3215314902617159"/>
    <n v="15.853333333333333"/>
    <n v="1.2353246753246754"/>
    <n v="12.833333333333334"/>
    <n v="1.6666666666666665"/>
    <n v="2"/>
    <d v="1899-12-30T00:36:00"/>
    <s v="Order"/>
    <n v="20.128703703703703"/>
    <n v="6.2935185185185212"/>
    <n v="28.816666666666681"/>
    <n v="51.69"/>
    <n v="43.430000000000007"/>
  </r>
  <r>
    <d v="2025-02-10T00:00:00"/>
    <x v="4"/>
    <x v="5"/>
    <n v="7"/>
    <s v="QTR1"/>
    <s v="Monday"/>
    <d v="1899-12-30T17:00:00"/>
    <s v="Clear"/>
    <n v="19"/>
    <s v="Brunswick/Bath/Freeport"/>
    <n v="106.43"/>
    <n v="3.75"/>
    <n v="75"/>
    <n v="8"/>
    <n v="28.381333333333334"/>
    <n v="2.6220717380203347"/>
    <n v="13.303750000000001"/>
    <n v="1.4190666666666667"/>
    <n v="9.375"/>
    <n v="2.1333333333333333"/>
    <n v="4"/>
    <d v="1899-12-30T00:28:08"/>
    <s v="Order"/>
    <n v="28.381333333333334"/>
    <n v="0"/>
    <n v="29.005777777777784"/>
    <n v="65.472499999999997"/>
    <n v="40.95750000000001"/>
  </r>
  <r>
    <d v="2025-02-13T00:00:00"/>
    <x v="4"/>
    <x v="5"/>
    <n v="7"/>
    <s v="QTR1"/>
    <s v="Thursday"/>
    <d v="1899-12-30T17:00:00"/>
    <s v="Overcast"/>
    <n v="27"/>
    <s v="Lewiston"/>
    <n v="91.15"/>
    <n v="4.07"/>
    <n v="26"/>
    <n v="5"/>
    <n v="22.395577395577394"/>
    <n v="2.3780208493378332"/>
    <n v="18.23"/>
    <n v="3.5057692307692312"/>
    <n v="5.2"/>
    <n v="1.2285012285012284"/>
    <n v="1"/>
    <d v="1899-12-30T00:48:50"/>
    <s v="Order"/>
    <n v="22.876360126360126"/>
    <n v="-0.4807827307827317"/>
    <n v="28.349000000000004"/>
    <n v="83.5"/>
    <n v="7.6500000000000057"/>
  </r>
  <r>
    <d v="2025-02-15T00:00:00"/>
    <x v="4"/>
    <x v="5"/>
    <n v="7"/>
    <s v="QTR1"/>
    <s v="Saturday"/>
    <d v="1899-12-30T19:30:00"/>
    <s v="Light Snow"/>
    <n v="27"/>
    <s v="Augusta"/>
    <n v="64.260000000000005"/>
    <n v="3.2"/>
    <n v="106"/>
    <n v="6"/>
    <n v="20.081250000000001"/>
    <n v="1.2863132911392441"/>
    <n v="10.71"/>
    <n v="0.60622641509433972"/>
    <n v="17.666666666666668"/>
    <n v="1.875"/>
    <n v="1"/>
    <d v="1899-12-30T00:32:00"/>
    <s v="Hourly"/>
    <n v="23.598377948374907"/>
    <n v="-3.5171279483749061"/>
    <n v="27.126555555555555"/>
    <n v="89.240000000000009"/>
    <n v="-24.980000000000004"/>
  </r>
  <r>
    <d v="2025-02-18T00:00:00"/>
    <x v="4"/>
    <x v="6"/>
    <n v="8"/>
    <s v="QTR1"/>
    <s v="Tuesday"/>
    <d v="1899-12-30T17:30:00"/>
    <s v="Clear"/>
    <n v="10"/>
    <s v="Brunswick/Bath/Freeport"/>
    <n v="107.02"/>
    <n v="5.2"/>
    <n v="103"/>
    <n v="10"/>
    <n v="20.580769230769228"/>
    <n v="-7.1785227372149265"/>
    <n v="10.702"/>
    <n v="1.0390291262135922"/>
    <n v="10.3"/>
    <n v="1.9230769230769229"/>
    <n v="3"/>
    <d v="1899-12-30T00:31:12"/>
    <s v="Order"/>
    <n v="25.107199243055533"/>
    <n v="-4.5264300122863048"/>
    <n v="27.551777777777776"/>
    <n v="92.215000000000003"/>
    <n v="14.804999999999993"/>
  </r>
  <r>
    <d v="2025-02-20T00:00:00"/>
    <x v="4"/>
    <x v="6"/>
    <n v="8"/>
    <s v="QTR1"/>
    <s v="Thursday"/>
    <d v="1899-12-30T18:00:00"/>
    <s v="Partially Cloudy"/>
    <n v="28"/>
    <s v="Augusta"/>
    <n v="99.14"/>
    <n v="4.92"/>
    <n v="118"/>
    <n v="9"/>
    <n v="20.150406504065042"/>
    <n v="2.7748732993389709"/>
    <n v="11.015555555555556"/>
    <n v="0.84016949152542375"/>
    <n v="13.111111111111111"/>
    <n v="1.8292682926829269"/>
    <n v="3"/>
    <d v="1899-12-30T00:32:48"/>
    <s v="Order"/>
    <n v="21.236984459688347"/>
    <n v="-1.0865779556233051"/>
    <n v="27.389222222222223"/>
    <n v="90.392499999999998"/>
    <n v="8.7475000000000023"/>
  </r>
  <r>
    <d v="2025-02-21T00:00:00"/>
    <x v="4"/>
    <x v="6"/>
    <n v="8"/>
    <s v="QTR1"/>
    <s v="Friday"/>
    <d v="1899-12-30T17:30:00"/>
    <s v="Clear"/>
    <n v="25"/>
    <s v="Portland"/>
    <n v="208.86"/>
    <n v="8.6199999999999992"/>
    <n v="159"/>
    <n v="20"/>
    <n v="24.229698375870072"/>
    <n v="-2.3598226774385722E-2"/>
    <n v="10.443000000000001"/>
    <n v="1.3135849056603774"/>
    <n v="7.95"/>
    <n v="2.3201856148491879"/>
    <n v="3"/>
    <d v="1899-12-30T00:25:52"/>
    <s v="Order"/>
    <n v="21.051001758415964"/>
    <n v="3.1786966174541078"/>
    <n v="29.709888888888891"/>
    <n v="119.82000000000001"/>
    <n v="89.04"/>
  </r>
  <r>
    <d v="2025-02-22T00:00:00"/>
    <x v="4"/>
    <x v="6"/>
    <n v="8"/>
    <s v="QTR1"/>
    <s v="Saturday"/>
    <d v="1899-12-30T14:00:00"/>
    <s v="Sunny"/>
    <n v="32"/>
    <s v="Brunswick/Bath/Freeport"/>
    <n v="156.59"/>
    <n v="5.6"/>
    <n v="66"/>
    <n v="11"/>
    <n v="27.962500000000002"/>
    <n v="2.405722483379261"/>
    <n v="14.235454545454546"/>
    <n v="2.3725757575757576"/>
    <n v="6"/>
    <n v="1.9642857142857144"/>
    <n v="3"/>
    <d v="1899-12-30T00:30:33"/>
    <s v="Order"/>
    <n v="25.977928442696818"/>
    <n v="1.9845715573031839"/>
    <n v="31.449777777777783"/>
    <n v="142.9025"/>
    <n v="13.6875"/>
  </r>
  <r>
    <d v="2025-02-24T00:00:00"/>
    <x v="4"/>
    <x v="7"/>
    <n v="9"/>
    <s v="QTR1"/>
    <s v="Monday"/>
    <d v="1899-12-30T17:30:00"/>
    <s v="Overcast"/>
    <n v="37"/>
    <s v="Brunswick/Bath/Freeport"/>
    <n v="85.3"/>
    <n v="3.73"/>
    <n v="66"/>
    <n v="8"/>
    <n v="22.868632707774797"/>
    <n v="-3.0545083711644736"/>
    <n v="10.6625"/>
    <n v="1.2924242424242425"/>
    <n v="8.25"/>
    <n v="2.1447721179624666"/>
    <n v="3"/>
    <d v="1899-12-30T00:27:59"/>
    <s v="Order"/>
    <n v="22.868632707774797"/>
    <n v="0"/>
    <n v="31.682111111111116"/>
    <n v="137.4725"/>
    <n v="-52.172499999999999"/>
  </r>
  <r>
    <d v="2025-02-26T00:00:00"/>
    <x v="4"/>
    <x v="7"/>
    <n v="9"/>
    <s v="QTR1"/>
    <s v="Wednesday"/>
    <d v="1899-12-30T17:30:00"/>
    <s v="Clear"/>
    <n v="36"/>
    <s v="Augusta"/>
    <n v="129.32"/>
    <n v="5.25"/>
    <n v="137"/>
    <n v="8"/>
    <n v="24.632380952380952"/>
    <n v="8.3673101731113881"/>
    <n v="16.164999999999999"/>
    <n v="0.943941605839416"/>
    <n v="17.125"/>
    <n v="1.5238095238095237"/>
    <n v="3"/>
    <d v="1899-12-30T00:39:23"/>
    <s v="Order"/>
    <n v="24.066190476190474"/>
    <n v="0.56619047619047791"/>
    <n v="32.376000000000005"/>
    <n v="145.01750000000001"/>
    <n v="-15.697500000000019"/>
  </r>
  <r>
    <d v="2025-03-01T00:00:00"/>
    <x v="4"/>
    <x v="7"/>
    <n v="9"/>
    <s v="QTR1"/>
    <s v="Saturday"/>
    <d v="1899-12-30T16:00:00"/>
    <s v="Light Snow"/>
    <n v="18"/>
    <s v="Brunswick/Bath/Freeport"/>
    <n v="143.5"/>
    <n v="5.3"/>
    <n v="108"/>
    <n v="12"/>
    <n v="27.075471698113208"/>
    <n v="1.4184557446849979"/>
    <n v="11.958333333333334"/>
    <n v="1.3287037037037037"/>
    <n v="9"/>
    <n v="2.2641509433962264"/>
    <n v="3"/>
    <d v="1899-12-30T00:26:30"/>
    <s v="Order"/>
    <n v="23.647241099883558"/>
    <n v="3.4282305982296499"/>
    <n v="32.300555555555562"/>
    <n v="128.67750000000001"/>
    <n v="14.822499999999991"/>
  </r>
  <r>
    <d v="2025-03-03T00:00:00"/>
    <x v="4"/>
    <x v="8"/>
    <n v="10"/>
    <s v="QTR1"/>
    <s v="Monday"/>
    <d v="1899-12-30T18:00:00"/>
    <s v="Clear"/>
    <n v="21"/>
    <s v="Brunswick/Bath/Freeport"/>
    <n v="143.87"/>
    <n v="5.23"/>
    <n v="125"/>
    <n v="13"/>
    <n v="27.508604206500955"/>
    <n v="1.7651400905713608"/>
    <n v="11.066923076923077"/>
    <n v="1.15096"/>
    <n v="9.615384615384615"/>
    <n v="2.4856596558317396"/>
    <n v="4"/>
    <d v="1899-12-30T00:24:08"/>
    <s v="Order"/>
    <n v="23.56093186038801"/>
    <n v="3.9476723461129453"/>
    <n v="32.870444444444445"/>
    <n v="125.4975"/>
    <n v="18.372500000000002"/>
  </r>
  <r>
    <d v="2025-03-04T00:00:00"/>
    <x v="4"/>
    <x v="8"/>
    <n v="10"/>
    <s v="QTR1"/>
    <s v="Tuesday"/>
    <d v="1899-12-30T17:30:00"/>
    <s v="Overcast"/>
    <n v="37"/>
    <s v="Brunswick/Bath/Freeport"/>
    <n v="89.25"/>
    <n v="4.5199999999999996"/>
    <n v="95"/>
    <n v="8"/>
    <n v="19.745575221238941"/>
    <n v="-7.6358997605760059"/>
    <n v="11.15625"/>
    <n v="0.93947368421052635"/>
    <n v="11.875"/>
    <n v="1.7699115044247788"/>
    <n v="1"/>
    <d v="1899-12-30T00:33:54"/>
    <s v="Order"/>
    <n v="20.677170504338861"/>
    <n v="-0.93159528309992012"/>
    <n v="32.83144444444445"/>
    <n v="126.485"/>
    <n v="-37.234999999999999"/>
  </r>
  <r>
    <d v="2025-03-08T00:00:00"/>
    <x v="4"/>
    <x v="8"/>
    <n v="10"/>
    <s v="QTR1"/>
    <s v="Saturday"/>
    <d v="1899-12-30T14:00:00"/>
    <s v="Overcast"/>
    <n v="28"/>
    <s v="Brunswick/Bath/Freeport"/>
    <n v="147.78"/>
    <n v="6.85"/>
    <n v="134"/>
    <n v="13"/>
    <n v="21.573722627737226"/>
    <n v="-4.1400315554783838"/>
    <n v="11.367692307692307"/>
    <n v="1.1028358208955225"/>
    <n v="10.307692307692308"/>
    <n v="1.8978102189781023"/>
    <n v="2"/>
    <d v="1899-12-30T00:31:37"/>
    <s v="Order"/>
    <n v="30.543878208019763"/>
    <n v="-8.9701555802825368"/>
    <n v="33.979000000000006"/>
    <n v="131.1"/>
    <n v="16.680000000000007"/>
  </r>
  <r>
    <d v="2025-03-09T00:00:00"/>
    <x v="4"/>
    <x v="8"/>
    <n v="10"/>
    <s v="QTR1"/>
    <s v="Sunday"/>
    <d v="1899-12-30T10:00:00"/>
    <s v="Overcast"/>
    <n v="37"/>
    <s v="Brunswick/Bath/Freeport"/>
    <n v="13.66"/>
    <n v="1.03"/>
    <n v="29"/>
    <n v="2"/>
    <n v="13.262135922330097"/>
    <n v="-11.970707958656581"/>
    <n v="6.83"/>
    <n v="0.4710344827586207"/>
    <n v="14.5"/>
    <n v="1.941747572815534"/>
    <n v="2"/>
    <d v="1899-12-30T00:30:54"/>
    <s v="Order"/>
    <n v="13.262135922330097"/>
    <n v="0"/>
    <n v="33.476555555555557"/>
    <n v="98.64"/>
    <n v="-84.98"/>
  </r>
  <r>
    <d v="2025-03-10T00:00:00"/>
    <x v="4"/>
    <x v="9"/>
    <n v="11"/>
    <s v="QTR1"/>
    <s v="Monday"/>
    <d v="1899-12-30T18:00:00"/>
    <s v="Partially Cloudy"/>
    <n v="39"/>
    <s v="Brunswick/Bath/Freeport"/>
    <n v="105.51"/>
    <n v="4.4800000000000004"/>
    <n v="71"/>
    <n v="8"/>
    <n v="23.551339285714285"/>
    <n v="-2.2901881685803858"/>
    <n v="13.188750000000001"/>
    <n v="1.4860563380281691"/>
    <n v="8.875"/>
    <n v="1.7857142857142856"/>
    <n v="2"/>
    <d v="1899-12-30T00:33:36"/>
    <s v="Order"/>
    <n v="26.303037502761384"/>
    <n v="-2.7516982170470996"/>
    <n v="34.648888888888898"/>
    <n v="89.05"/>
    <n v="16.460000000000008"/>
  </r>
  <r>
    <d v="2025-03-12T00:00:00"/>
    <x v="4"/>
    <x v="9"/>
    <n v="11"/>
    <s v="QTR1"/>
    <s v="Wednesday"/>
    <d v="1899-12-30T17:00:00"/>
    <s v="Clear"/>
    <n v="36"/>
    <s v="Brunswick/Bath/Freeport"/>
    <n v="54.72"/>
    <n v="2.52"/>
    <n v="33"/>
    <n v="6"/>
    <n v="21.714285714285715"/>
    <n v="-5.444283064597645"/>
    <n v="9.1199999999999992"/>
    <n v="1.6581818181818182"/>
    <n v="5.5"/>
    <n v="2.3809523809523809"/>
    <n v="2"/>
    <d v="1899-12-30T00:25:12"/>
    <s v="Order"/>
    <n v="24.713285343418189"/>
    <n v="-2.9989996291324736"/>
    <n v="34.854777777777784"/>
    <n v="80.41749999999999"/>
    <n v="-25.697499999999991"/>
  </r>
  <r>
    <d v="2025-03-13T00:00:00"/>
    <x v="4"/>
    <x v="9"/>
    <n v="11"/>
    <s v="QTR1"/>
    <s v="Thursday"/>
    <d v="1899-12-30T18:00:00"/>
    <s v="Clear"/>
    <n v="34"/>
    <s v="Brunswick/Bath/Freeport"/>
    <n v="108.12"/>
    <n v="5.03"/>
    <n v="127"/>
    <n v="9"/>
    <n v="21.495029821073558"/>
    <n v="1.6920163040556062"/>
    <n v="12.013333333333334"/>
    <n v="0.85133858267716545"/>
    <n v="14.111111111111111"/>
    <n v="1.7892644135188867"/>
    <n v="3"/>
    <d v="1899-12-30T00:33:32"/>
    <s v="Order"/>
    <n v="21.339386458777209"/>
    <n v="0.1556433622963489"/>
    <n v="36.056111111111115"/>
    <n v="70.502499999999998"/>
    <n v="37.617500000000007"/>
  </r>
  <r>
    <d v="2025-03-16T00:00:00"/>
    <x v="4"/>
    <x v="9"/>
    <n v="11"/>
    <s v="QTR1"/>
    <s v="Sunday"/>
    <d v="1899-12-30T16:00:00"/>
    <s v="Partially Cloudy"/>
    <n v="55"/>
    <s v="Augusta"/>
    <n v="289.48999999999995"/>
    <n v="8.1300000000000008"/>
    <n v="205"/>
    <n v="17"/>
    <n v="35.60762607626075"/>
    <n v="19.984892534462801"/>
    <n v="17.028823529411763"/>
    <n v="1.4121463414634143"/>
    <n v="12.058823529411764"/>
    <n v="2.0910209102091017"/>
    <n v="4"/>
    <d v="1899-12-30T00:28:42"/>
    <s v="Order"/>
    <n v="35.60762607626075"/>
    <n v="0"/>
    <n v="39.272666666666666"/>
    <n v="139.45999999999998"/>
    <n v="150.02999999999997"/>
  </r>
  <r>
    <d v="2025-03-17T00:00:00"/>
    <x v="4"/>
    <x v="10"/>
    <n v="12"/>
    <s v="QTR1"/>
    <s v="Monday"/>
    <d v="1899-12-30T18:00:00"/>
    <s v="Light Rain"/>
    <n v="45"/>
    <s v="Brunswick/Bath/Freeport"/>
    <n v="43.5"/>
    <n v="2.78"/>
    <n v="39"/>
    <n v="7"/>
    <n v="15.647482014388491"/>
    <n v="-10.073509220507212"/>
    <n v="6.2142857142857144"/>
    <n v="1.1153846153846154"/>
    <n v="5.5714285714285712"/>
    <n v="2.5179856115107917"/>
    <n v="1"/>
    <d v="1899-12-30T00:23:50"/>
    <s v="Order"/>
    <n v="22.127564587674119"/>
    <n v="-6.4800825732856282"/>
    <n v="39.756"/>
    <n v="123.95749999999998"/>
    <n v="-80.457499999999982"/>
  </r>
  <r>
    <d v="2025-03-18T00:00:00"/>
    <x v="4"/>
    <x v="10"/>
    <n v="12"/>
    <s v="QTR1"/>
    <s v="Tuesday"/>
    <d v="1899-12-30T17:30:00"/>
    <s v="Clear"/>
    <n v="45"/>
    <s v="Brunswick/Bath/Freeport"/>
    <n v="105.92"/>
    <n v="4.87"/>
    <n v="92"/>
    <n v="11"/>
    <n v="21.749486652977414"/>
    <n v="-5.2501933408087318"/>
    <n v="9.6290909090909089"/>
    <n v="1.1513043478260869"/>
    <n v="8.3636363636363633"/>
    <n v="2.2587268993839835"/>
    <n v="3"/>
    <d v="1899-12-30T00:26:34"/>
    <s v="Order"/>
    <n v="25.204699111738062"/>
    <n v="-3.4552124587606485"/>
    <n v="40.93288888888889"/>
    <n v="136.75749999999999"/>
    <n v="-30.837499999999991"/>
  </r>
  <r>
    <d v="2025-03-19T00:00:00"/>
    <x v="4"/>
    <x v="10"/>
    <n v="12"/>
    <s v="QTR1"/>
    <s v="Wednesday"/>
    <d v="1899-12-30T17:30:00"/>
    <s v="Clear"/>
    <n v="46"/>
    <s v="Brunswick/Bath/Freeport"/>
    <n v="60.75"/>
    <n v="3.42"/>
    <n v="80"/>
    <n v="6"/>
    <n v="17.763157894736842"/>
    <n v="-9.0551431926091652"/>
    <n v="10.125"/>
    <n v="0.75937500000000002"/>
    <n v="13.333333333333334"/>
    <n v="1.7543859649122808"/>
    <n v="1"/>
    <d v="1899-12-30T00:34:12"/>
    <s v="Order"/>
    <n v="26.505470302261681"/>
    <n v="-8.7423124075248388"/>
    <n v="41.607888888888887"/>
    <n v="124.91499999999999"/>
    <n v="-64.164999999999992"/>
  </r>
  <r>
    <d v="2025-03-21T00:00:00"/>
    <x v="4"/>
    <x v="10"/>
    <n v="12"/>
    <s v="QTR1"/>
    <s v="Friday"/>
    <d v="1899-12-30T18:00:00"/>
    <s v="Mostly Cloudy"/>
    <n v="37"/>
    <s v="Augusta"/>
    <n v="184.51"/>
    <n v="6.82"/>
    <n v="152"/>
    <n v="13"/>
    <n v="27.054252199413487"/>
    <n v="12.925000498733214"/>
    <n v="14.193076923076923"/>
    <n v="1.2138815789473683"/>
    <n v="11.692307692307692"/>
    <n v="1.9061583577712609"/>
    <n v="2"/>
    <d v="1899-12-30T00:31:29"/>
    <s v="Hourly"/>
    <n v="24.852884451271549"/>
    <n v="2.2013677481419371"/>
    <n v="43.658000000000001"/>
    <n v="98.67"/>
    <n v="85.839999999999989"/>
  </r>
  <r>
    <d v="2025-03-22T00:00:00"/>
    <x v="4"/>
    <x v="10"/>
    <n v="12"/>
    <s v="QTR1"/>
    <s v="Saturday"/>
    <d v="1899-12-30T13:00:00"/>
    <s v="Sunny"/>
    <n v="57"/>
    <s v="Lewiston"/>
    <n v="65.55"/>
    <n v="2.9"/>
    <n v="32"/>
    <n v="10"/>
    <n v="22.603448275862068"/>
    <n v="2.7147969483654499"/>
    <n v="6.5549999999999997"/>
    <n v="2.0484374999999999"/>
    <n v="3.2"/>
    <n v="3.4482758620689657"/>
    <n v="2"/>
    <d v="1899-12-30T00:17:24"/>
    <s v="Order"/>
    <n v="21.037978186413866"/>
    <n v="1.5654700894482012"/>
    <n v="44.38633333333334"/>
    <n v="104.1825"/>
    <n v="-38.632500000000007"/>
  </r>
  <r>
    <d v="2025-03-23T00:00:00"/>
    <x v="4"/>
    <x v="10"/>
    <n v="12"/>
    <s v="QTR1"/>
    <s v="Sunday"/>
    <d v="1899-12-30T18:00:00"/>
    <s v="Clear"/>
    <n v="30"/>
    <s v="Brunswick/Bath/Freeport"/>
    <n v="81.539999999999992"/>
    <n v="4.43"/>
    <n v="130"/>
    <n v="8"/>
    <n v="18.406320541760721"/>
    <n v="-5.7382771611662697"/>
    <n v="10.192499999999999"/>
    <n v="0.62723076923076915"/>
    <n v="16.25"/>
    <n v="1.8058690744920995"/>
    <n v="2"/>
    <d v="1899-12-30T00:33:14"/>
    <s v="Order"/>
    <n v="23.040660270880359"/>
    <n v="-4.6343397291196382"/>
    <n v="45.292333333333339"/>
    <n v="98.087500000000006"/>
    <n v="-16.547500000000014"/>
  </r>
  <r>
    <d v="2025-03-24T00:00:00"/>
    <x v="4"/>
    <x v="11"/>
    <n v="13"/>
    <s v="QTR1"/>
    <s v="Monday"/>
    <d v="1899-12-30T17:30:00"/>
    <s v="Light Snow"/>
    <n v="30"/>
    <s v="Lewiston"/>
    <n v="108.54"/>
    <n v="5.08"/>
    <n v="73"/>
    <n v="11"/>
    <n v="21.366141732283467"/>
    <n v="3.6303990267131745"/>
    <n v="9.8672727272727272"/>
    <n v="1.4868493150684932"/>
    <n v="6.6363636363636367"/>
    <n v="2.1653543307086616"/>
    <n v="3"/>
    <d v="1899-12-30T00:27:43"/>
    <s v="Hourly"/>
    <n v="28.889867756914999"/>
    <n v="-7.5237260246315323"/>
    <n v="46.498333333333335"/>
    <n v="110.03500000000001"/>
    <n v="-1.4950000000000045"/>
  </r>
  <r>
    <d v="2025-03-25T00:00:00"/>
    <x v="4"/>
    <x v="11"/>
    <n v="13"/>
    <s v="QTR1"/>
    <s v="Tuesday"/>
    <d v="1899-12-30T17:30:00"/>
    <s v="Overcast"/>
    <n v="43"/>
    <s v="Lewiston"/>
    <n v="51.32"/>
    <n v="2.4500000000000002"/>
    <n v="59"/>
    <n v="4"/>
    <n v="20.946938775510201"/>
    <n v="1.2282165406435155"/>
    <n v="12.83"/>
    <n v="0.86983050847457632"/>
    <n v="14.75"/>
    <n v="1.6326530612244896"/>
    <n v="3"/>
    <d v="1899-12-30T00:36:45"/>
    <s v="Order"/>
    <n v="23.049833024118737"/>
    <n v="-2.1028942486085356"/>
    <n v="47.068555555555555"/>
    <n v="76.737499999999997"/>
    <n v="-25.417499999999997"/>
  </r>
  <r>
    <d v="2025-03-28T00:00:00"/>
    <x v="4"/>
    <x v="11"/>
    <n v="13"/>
    <s v="QTR1"/>
    <s v="Friday"/>
    <d v="1899-12-30T17:30:00"/>
    <s v="Partially Cloudy"/>
    <n v="46"/>
    <s v="Lewiston"/>
    <n v="68.489999999999995"/>
    <n v="3.98"/>
    <n v="68"/>
    <n v="9"/>
    <n v="17.208542713567837"/>
    <n v="-1.8955082957483107"/>
    <n v="7.6099999999999994"/>
    <n v="1.0072058823529411"/>
    <n v="7.5555555555555554"/>
    <n v="2.2613065326633164"/>
    <n v="2"/>
    <d v="1899-12-30T00:26:32"/>
    <s v="Order"/>
    <n v="21.587544461558959"/>
    <n v="-4.3790017479911221"/>
    <n v="47.829555555555551"/>
    <n v="77.472499999999997"/>
    <n v="-8.9825000000000017"/>
  </r>
  <r>
    <d v="2025-03-30T00:00:00"/>
    <x v="4"/>
    <x v="11"/>
    <n v="13"/>
    <s v="QTR1"/>
    <s v="Sunday"/>
    <d v="1899-12-30T17:30:00"/>
    <s v="Freezing Rain / Ice"/>
    <n v="34"/>
    <s v="Brunswick/Bath/Freeport"/>
    <n v="153.68"/>
    <n v="6.28"/>
    <n v="115"/>
    <n v="11"/>
    <n v="24.471337579617835"/>
    <n v="0.80492964012136525"/>
    <n v="13.970909090909091"/>
    <n v="1.3363478260869566"/>
    <n v="10.454545454545455"/>
    <n v="1.7515923566878979"/>
    <n v="3"/>
    <d v="1899-12-30T00:34:15"/>
    <s v="Order"/>
    <n v="24.684581833287179"/>
    <n v="-0.21324425366934463"/>
    <n v="49.537111111111116"/>
    <n v="95.507500000000007"/>
    <n v="58.172499999999999"/>
  </r>
  <r>
    <d v="2025-04-07T00:00:00"/>
    <x v="4"/>
    <x v="43"/>
    <n v="2"/>
    <s v="QTR2"/>
    <s v="Monday"/>
    <d v="1899-12-30T17:00:00"/>
    <s v="Mostly Cloudy"/>
    <n v="39"/>
    <s v="Brunswick/Bath/Freeport"/>
    <n v="116.99"/>
    <n v="4.92"/>
    <n v="105"/>
    <n v="9"/>
    <n v="23.778455284552845"/>
    <n v="3.8120205703011223"/>
    <n v="12.998888888888889"/>
    <n v="1.1141904761904762"/>
    <n v="11.666666666666666"/>
    <n v="1.8292682926829269"/>
    <n v="2"/>
    <d v="1899-12-30T00:32:48"/>
    <s v="Order"/>
    <n v="22.041942574403119"/>
    <n v="1.7365127101497251"/>
    <n v="48.988111111111124"/>
    <n v="97.62"/>
    <n v="19.36999999999999"/>
  </r>
  <r>
    <d v="2025-04-08T00:00:00"/>
    <x v="4"/>
    <x v="43"/>
    <n v="2"/>
    <s v="QTR2"/>
    <s v="Tuesday"/>
    <d v="1899-12-30T18:00:00"/>
    <s v="Snow Storm"/>
    <n v="34"/>
    <s v="Augusta"/>
    <n v="130.44"/>
    <n v="5.57"/>
    <n v="119"/>
    <n v="11"/>
    <n v="23.41831238779174"/>
    <n v="6.1025179757817334"/>
    <n v="11.858181818181817"/>
    <n v="1.0961344537815125"/>
    <n v="10.818181818181818"/>
    <n v="1.9748653500897666"/>
    <n v="1"/>
    <d v="1899-12-30T00:30:23"/>
    <s v="Order"/>
    <n v="21.082970919354722"/>
    <n v="2.3353414684370186"/>
    <n v="50.192888888888888"/>
    <n v="117.4"/>
    <n v="13.039999999999992"/>
  </r>
  <r>
    <d v="2025-04-11T00:00:00"/>
    <x v="4"/>
    <x v="43"/>
    <n v="2"/>
    <s v="QTR2"/>
    <s v="Friday"/>
    <d v="1899-12-30T17:30:00"/>
    <s v="Overcast"/>
    <n v="43"/>
    <s v="Augusta"/>
    <n v="57.27"/>
    <n v="3.5"/>
    <n v="104"/>
    <n v="6"/>
    <n v="16.362857142857145"/>
    <n v="-5.2268864468864464"/>
    <n v="9.5449999999999999"/>
    <n v="0.55067307692307699"/>
    <n v="17.333333333333332"/>
    <n v="1.7142857142857142"/>
    <n v="1"/>
    <d v="1899-12-30T00:35:00"/>
    <s v="Hourly"/>
    <n v="19.73987012987013"/>
    <n v="-3.3770129870129857"/>
    <n v="49.023888888888884"/>
    <n v="114.595"/>
    <n v="-57.324999999999996"/>
  </r>
  <r>
    <d v="2025-04-12T00:00:00"/>
    <x v="4"/>
    <x v="43"/>
    <n v="2"/>
    <s v="QTR2"/>
    <s v="Saturday"/>
    <d v="1899-12-30T18:30:00"/>
    <s v="Partially Cloudy"/>
    <n v="37"/>
    <s v="Augusta"/>
    <n v="113.41"/>
    <n v="5.0199999999999996"/>
    <n v="101"/>
    <n v="11"/>
    <n v="22.591633466135459"/>
    <n v="0.73490831993662908"/>
    <n v="10.31"/>
    <n v="1.1228712871287128"/>
    <n v="9.1818181818181817"/>
    <n v="2.1912350597609564"/>
    <n v="2"/>
    <d v="1899-12-30T00:27:23"/>
    <s v="Hourly"/>
    <n v="27.152961642707922"/>
    <n v="-4.5613281765724629"/>
    <n v="50.283999999999992"/>
    <n v="104.5275"/>
    <n v="8.8824999999999932"/>
  </r>
  <r>
    <d v="2025-04-14T00:00:00"/>
    <x v="4"/>
    <x v="13"/>
    <n v="3"/>
    <s v="QTR2"/>
    <s v="Monday"/>
    <d v="1899-12-30T18:00:00"/>
    <s v="Clear"/>
    <n v="57"/>
    <s v="Brunswick/Bath/Freeport"/>
    <n v="148.73000000000002"/>
    <n v="4.9800000000000004"/>
    <n v="135"/>
    <n v="10"/>
    <n v="29.865461847389561"/>
    <n v="9.5178250761077265"/>
    <n v="14.873000000000001"/>
    <n v="1.1017037037037039"/>
    <n v="13.5"/>
    <n v="2.0080321285140559"/>
    <n v="3"/>
    <d v="1899-12-30T00:29:53"/>
    <s v="Order"/>
    <n v="29.865461847389561"/>
    <n v="0"/>
    <n v="51.013777777777776"/>
    <n v="112.46250000000001"/>
    <n v="36.267500000000013"/>
  </r>
  <r>
    <d v="2025-04-16T00:00:00"/>
    <x v="4"/>
    <x v="13"/>
    <n v="3"/>
    <s v="QTR2"/>
    <s v="Wednesday"/>
    <d v="1899-12-30T17:30:00"/>
    <s v="Partially Cloudy"/>
    <n v="43"/>
    <s v="Lewiston"/>
    <n v="119.21"/>
    <n v="5.28"/>
    <n v="108"/>
    <n v="12"/>
    <n v="22.577651515151512"/>
    <n v="5.5018785314465184"/>
    <n v="9.9341666666666661"/>
    <n v="1.1037962962962962"/>
    <n v="9"/>
    <n v="2.2727272727272725"/>
    <n v="3"/>
    <d v="1899-12-30T00:26:24"/>
    <s v="Hourly"/>
    <n v="18.663094763423707"/>
    <n v="3.9145567517278046"/>
    <n v="51.361444444444444"/>
    <n v="109.655"/>
    <n v="9.5549999999999926"/>
  </r>
  <r>
    <d v="2025-04-17T00:00:00"/>
    <x v="4"/>
    <x v="13"/>
    <n v="3"/>
    <s v="QTR2"/>
    <s v="Thursday"/>
    <d v="1899-12-30T19:00:00"/>
    <s v="Clear"/>
    <n v="52"/>
    <s v="Lewiston"/>
    <n v="68.38"/>
    <n v="3.93"/>
    <n v="81"/>
    <n v="10"/>
    <n v="17.399491094147582"/>
    <n v="-1.2171407310630187"/>
    <n v="6.8379999999999992"/>
    <n v="0.84419753086419747"/>
    <n v="8.1"/>
    <n v="2.5445292620865141"/>
    <n v="2"/>
    <d v="1899-12-30T00:23:35"/>
    <s v="Order"/>
    <n v="20.870675779631931"/>
    <n v="-3.4711846854843493"/>
    <n v="51.011777777777773"/>
    <n v="112.43249999999999"/>
    <n v="-44.052499999999995"/>
  </r>
  <r>
    <d v="2025-04-21T00:00:00"/>
    <x v="4"/>
    <x v="14"/>
    <n v="4"/>
    <s v="QTR2"/>
    <s v="Monday"/>
    <d v="1899-12-30T18:00:00"/>
    <s v="Light Rain"/>
    <n v="48"/>
    <s v="Brunswick/Bath/Freeport"/>
    <n v="103.03"/>
    <n v="4.7"/>
    <n v="137"/>
    <n v="11"/>
    <n v="21.921276595744679"/>
    <n v="0.70838299936214"/>
    <n v="9.3663636363636371"/>
    <n v="0.75204379562043799"/>
    <n v="12.454545454545455"/>
    <n v="2.3404255319148937"/>
    <n v="3"/>
    <d v="1899-12-30T00:25:38"/>
    <s v="Hourly"/>
    <n v="19.811569974890972"/>
    <n v="2.1097066208537072"/>
    <n v="49.834777777777781"/>
    <n v="109.83750000000001"/>
    <n v="-6.8075000000000045"/>
  </r>
  <r>
    <d v="2025-04-22T00:00:00"/>
    <x v="4"/>
    <x v="14"/>
    <n v="4"/>
    <s v="QTR2"/>
    <s v="Tuesday"/>
    <d v="1899-12-30T19:30:00"/>
    <s v="Overcast"/>
    <n v="61"/>
    <s v="Lewiston"/>
    <n v="62.21"/>
    <n v="4.0999999999999996"/>
    <n v="94"/>
    <n v="7"/>
    <n v="15.173170731707319"/>
    <n v="-1.4122459349593477"/>
    <n v="8.887142857142857"/>
    <n v="0.66180851063829793"/>
    <n v="13.428571428571429"/>
    <n v="1.7073170731707319"/>
    <n v="1"/>
    <d v="1899-12-30T00:35:09"/>
    <s v="Order"/>
    <n v="16.253252032520326"/>
    <n v="-1.0800813008130064"/>
    <n v="50.011444444444429"/>
    <n v="88.207499999999996"/>
    <n v="-25.997499999999995"/>
  </r>
  <r>
    <d v="2025-04-23T00:00:00"/>
    <x v="4"/>
    <x v="14"/>
    <n v="4"/>
    <s v="QTR2"/>
    <s v="Wednesday"/>
    <d v="1899-12-30T18:00:00"/>
    <s v="Clear"/>
    <n v="61"/>
    <s v="Brunswick/Bath/Freeport"/>
    <n v="147.32999999999998"/>
    <n v="5.33"/>
    <n v="144"/>
    <n v="11"/>
    <n v="27.641651031894931"/>
    <n v="4.6018713458500216"/>
    <n v="13.393636363636363"/>
    <n v="1.0231249999999998"/>
    <n v="13.090909090909092"/>
    <n v="2.0637898686679175"/>
    <n v="3"/>
    <d v="1899-12-30T00:29:04"/>
    <s v="Order"/>
    <n v="23.221856443782517"/>
    <n v="4.4197945881124134"/>
    <n v="51.648444444444429"/>
    <n v="95.237499999999997"/>
    <n v="52.092499999999987"/>
  </r>
  <r>
    <d v="2025-04-25T00:00:00"/>
    <x v="4"/>
    <x v="14"/>
    <n v="4"/>
    <s v="QTR2"/>
    <s v="Friday"/>
    <d v="1899-12-30T18:00:00"/>
    <s v="Light Rain"/>
    <n v="57"/>
    <s v="Lewiston"/>
    <n v="70.13"/>
    <n v="4.5199999999999996"/>
    <n v="59"/>
    <n v="9"/>
    <n v="15.515486725663717"/>
    <n v="-3.868532132644134"/>
    <n v="7.7922222222222217"/>
    <n v="1.1886440677966101"/>
    <n v="6.5555555555555554"/>
    <n v="1.9911504424778763"/>
    <n v="2"/>
    <d v="1899-12-30T00:30:08"/>
    <s v="Order"/>
    <n v="22.467344216099097"/>
    <n v="-6.9518574904353798"/>
    <n v="51.549777777777763"/>
    <n v="95.674999999999997"/>
    <n v="-25.545000000000002"/>
  </r>
  <r>
    <d v="2025-04-26T00:00:00"/>
    <x v="4"/>
    <x v="14"/>
    <n v="4"/>
    <s v="QTR2"/>
    <s v="Saturday"/>
    <d v="1899-12-30T15:30:00"/>
    <s v="Light Rain"/>
    <n v="55"/>
    <s v="Augusta"/>
    <n v="91.289999999999992"/>
    <n v="4.5999999999999996"/>
    <n v="115"/>
    <n v="7"/>
    <n v="19.845652173913042"/>
    <n v="-2.3785271322541028"/>
    <n v="13.04142857142857"/>
    <n v="0.79382608695652168"/>
    <n v="16.428571428571427"/>
    <n v="1.5217391304347827"/>
    <n v="3"/>
    <d v="1899-12-30T00:39:26"/>
    <s v="Hourly"/>
    <n v="23.513308240547271"/>
    <n v="-3.6676560666342297"/>
    <n v="52.058999999999983"/>
    <n v="92.739999999999981"/>
    <n v="-1.4499999999999886"/>
  </r>
  <r>
    <d v="2025-04-27T00:00:00"/>
    <x v="4"/>
    <x v="14"/>
    <n v="4"/>
    <s v="QTR2"/>
    <s v="Sunday"/>
    <d v="1899-12-30T15:30:00"/>
    <s v="Light Rain"/>
    <n v="43"/>
    <s v="Augusta"/>
    <n v="80.69"/>
    <n v="4.5999999999999996"/>
    <n v="108"/>
    <n v="9"/>
    <n v="17.541304347826088"/>
    <n v="7.341258784905591E-2"/>
    <n v="8.9655555555555555"/>
    <n v="0.74712962962962959"/>
    <n v="12"/>
    <n v="1.956521739130435"/>
    <n v="2"/>
    <d v="1899-12-30T00:30:40"/>
    <s v="Order"/>
    <n v="18.958528045340856"/>
    <n v="-1.4172236975147676"/>
    <n v="52.955555555555534"/>
    <n v="97.36"/>
    <n v="-16.670000000000002"/>
  </r>
  <r>
    <d v="2025-04-28T00:00:00"/>
    <x v="4"/>
    <x v="15"/>
    <n v="5"/>
    <s v="QTR2"/>
    <s v="Monday"/>
    <d v="1899-12-30T19:00:00"/>
    <s v="Clear"/>
    <n v="64"/>
    <s v="Portland"/>
    <n v="148.66"/>
    <n v="7.02"/>
    <n v="172"/>
    <n v="13"/>
    <n v="21.176638176638178"/>
    <n v="-0.50909246462564539"/>
    <n v="11.435384615384615"/>
    <n v="0.8643023255813953"/>
    <n v="13.23076923076923"/>
    <n v="1.8518518518518519"/>
    <n v="4"/>
    <d v="1899-12-30T00:32:24"/>
    <s v="Order"/>
    <n v="21.176638176638178"/>
    <n v="0"/>
    <n v="53.772777777777762"/>
    <n v="97.692499999999995"/>
    <n v="50.967500000000001"/>
  </r>
  <r>
    <d v="2025-04-29T00:00:00"/>
    <x v="4"/>
    <x v="15"/>
    <n v="5"/>
    <s v="QTR2"/>
    <s v="Tuesday"/>
    <d v="1899-12-30T17:30:00"/>
    <s v="Clear"/>
    <n v="66"/>
    <s v="Brunswick/Bath/Freeport"/>
    <n v="116.97"/>
    <n v="5.52"/>
    <n v="134"/>
    <n v="11"/>
    <n v="21.190217391304348"/>
    <n v="-8.7146010781907535E-2"/>
    <n v="10.633636363636363"/>
    <n v="0.87291044776119397"/>
    <n v="12.181818181818182"/>
    <n v="1.992753623188406"/>
    <n v="2"/>
    <d v="1899-12-30T00:30:07"/>
    <s v="Order"/>
    <n v="21.091386611284925"/>
    <n v="9.8830780019422804E-2"/>
    <n v="55.072444444444429"/>
    <n v="109.4025"/>
    <n v="7.5674999999999955"/>
  </r>
  <r>
    <d v="2025-04-30T00:00:00"/>
    <x v="4"/>
    <x v="15"/>
    <n v="5"/>
    <s v="QTR2"/>
    <s v="Wednesday"/>
    <d v="1899-12-30T19:30:00"/>
    <s v="Clear"/>
    <n v="54"/>
    <s v="Brunswick/Bath/Freeport"/>
    <n v="85.16"/>
    <n v="4.08"/>
    <n v="94"/>
    <n v="8"/>
    <n v="20.872549019607842"/>
    <n v="-2.550719945257903"/>
    <n v="10.645"/>
    <n v="0.90595744680851065"/>
    <n v="11.75"/>
    <n v="1.9607843137254901"/>
    <n v="2"/>
    <d v="1899-12-30T00:30:36"/>
    <s v="Hourly"/>
    <n v="22.335389870360405"/>
    <n v="-1.4628408507525634"/>
    <n v="56.018666666666647"/>
    <n v="107.87"/>
    <n v="-22.710000000000008"/>
  </r>
  <r>
    <d v="2025-05-01T00:00:00"/>
    <x v="4"/>
    <x v="15"/>
    <n v="5"/>
    <s v="QTR2"/>
    <s v="Thursday"/>
    <d v="1899-12-30T19:00:00"/>
    <s v="Clear"/>
    <n v="54"/>
    <s v="Brunswick/Bath/Freeport"/>
    <n v="108.47"/>
    <n v="4.67"/>
    <n v="97"/>
    <n v="9"/>
    <n v="23.226980728051391"/>
    <n v="-0.39512370062517732"/>
    <n v="12.052222222222222"/>
    <n v="1.1182474226804124"/>
    <n v="10.777777777777779"/>
    <n v="1.9271948608137046"/>
    <n v="3"/>
    <d v="1899-12-30T00:31:08"/>
    <s v="Order"/>
    <n v="19.452916652940207"/>
    <n v="3.774064075111184"/>
    <n v="57.223888888888872"/>
    <n v="114.815"/>
    <n v="-6.3449999999999989"/>
  </r>
  <r>
    <d v="2025-05-03T00:00:00"/>
    <x v="4"/>
    <x v="15"/>
    <n v="5"/>
    <s v="QTR2"/>
    <s v="Saturday"/>
    <d v="1899-12-30T12:30:00"/>
    <s v="Mostly Cloudy"/>
    <n v="72"/>
    <s v="Brunswick/Bath/Freeport"/>
    <n v="75.36"/>
    <n v="3.42"/>
    <n v="67"/>
    <n v="5"/>
    <n v="22.035087719298247"/>
    <n v="-3.5192652372613757"/>
    <n v="15.071999999999999"/>
    <n v="1.1247761194029851"/>
    <n v="13.4"/>
    <n v="1.4619883040935673"/>
    <n v="2"/>
    <d v="1899-12-30T00:41:02"/>
    <s v="Order"/>
    <n v="25.165112615762578"/>
    <n v="-3.1300248964643309"/>
    <n v="57.508444444444436"/>
    <n v="96.490000000000009"/>
    <n v="-21.13000000000001"/>
  </r>
  <r>
    <d v="2025-05-04T00:00:00"/>
    <x v="4"/>
    <x v="15"/>
    <n v="5"/>
    <s v="QTR2"/>
    <s v="Sunday"/>
    <d v="1899-12-30T11:00:00"/>
    <s v="Light Rain"/>
    <n v="57"/>
    <s v="Brunswick/Bath/Freeport"/>
    <n v="88.98"/>
    <n v="4.22"/>
    <n v="94"/>
    <n v="9"/>
    <n v="21.085308056872041"/>
    <n v="-0.99420444952827225"/>
    <n v="9.8866666666666667"/>
    <n v="0.94659574468085106"/>
    <n v="10.444444444444445"/>
    <n v="2.1327014218009479"/>
    <n v="2"/>
    <d v="1899-12-30T00:28:08"/>
    <s v="Order"/>
    <n v="19.246597619330164"/>
    <n v="1.8387104375418772"/>
    <n v="57.85822222222221"/>
    <n v="89.492500000000007"/>
    <n v="-0.51250000000000284"/>
  </r>
  <r>
    <d v="2025-05-05T00:00:00"/>
    <x v="4"/>
    <x v="16"/>
    <n v="6"/>
    <s v="QTR2"/>
    <s v="Monday"/>
    <d v="1899-12-30T17:00:00"/>
    <s v="Fog"/>
    <n v="50"/>
    <s v="Portland"/>
    <n v="119.77"/>
    <n v="6.85"/>
    <n v="211"/>
    <n v="12"/>
    <n v="17.484671532846715"/>
    <n v="-4.0992406154919792"/>
    <n v="9.980833333333333"/>
    <n v="0.56763033175355448"/>
    <n v="17.583333333333332"/>
    <n v="1.7518248175182483"/>
    <n v="1"/>
    <d v="1899-12-30T00:34:15"/>
    <s v="Order"/>
    <n v="22.295360168593202"/>
    <n v="-4.8106886357464873"/>
    <n v="59.188999999999993"/>
    <n v="98.144999999999996"/>
    <n v="21.625"/>
  </r>
  <r>
    <d v="2025-05-06T00:00:00"/>
    <x v="4"/>
    <x v="16"/>
    <n v="6"/>
    <s v="QTR2"/>
    <s v="Tuesday"/>
    <d v="1899-12-30T17:30:00"/>
    <s v="Rain"/>
    <n v="55"/>
    <s v="Brunswick/Bath/Freeport"/>
    <n v="100.12"/>
    <n v="4.7699999999999996"/>
    <n v="103"/>
    <n v="10"/>
    <n v="20.989517819706503"/>
    <n v="-0.28162086732390179"/>
    <n v="10.012"/>
    <n v="0.97203883495145638"/>
    <n v="10.3"/>
    <n v="2.0964360587002098"/>
    <n v="2"/>
    <d v="1899-12-30T00:28:37"/>
    <s v="Hourly"/>
    <n v="18.163573021829258"/>
    <n v="2.825944797877245"/>
    <n v="59.731444444444435"/>
    <n v="96.057500000000005"/>
    <n v="4.0625"/>
  </r>
  <r>
    <d v="2025-05-07T00:00:00"/>
    <x v="4"/>
    <x v="16"/>
    <n v="6"/>
    <s v="QTR2"/>
    <s v="Wednesday"/>
    <d v="1899-12-30T18:30:00"/>
    <s v="Light Rain"/>
    <n v="57"/>
    <s v="Brunswick/Bath/Freeport"/>
    <n v="106.02000000000001"/>
    <n v="5.55"/>
    <n v="134"/>
    <n v="11"/>
    <n v="19.102702702702704"/>
    <n v="-4.1243570356047421"/>
    <n v="9.6381818181818186"/>
    <n v="0.79119402985074638"/>
    <n v="12.181818181818182"/>
    <n v="1.9819819819819819"/>
    <n v="4"/>
    <d v="1899-12-30T00:30:16"/>
    <s v="Order"/>
    <n v="24.426643904418047"/>
    <n v="-5.3239412017153427"/>
    <n v="60.697888888888883"/>
    <n v="103.7225"/>
    <n v="2.2975000000000136"/>
  </r>
  <r>
    <d v="2025-05-08T00:00:00"/>
    <x v="4"/>
    <x v="16"/>
    <n v="6"/>
    <s v="QTR2"/>
    <s v="Thursday"/>
    <d v="1899-12-30T18:30:00"/>
    <s v="Mostly Cloudy"/>
    <n v="61"/>
    <s v="Brunswick/Bath/Freeport"/>
    <n v="149.07"/>
    <n v="5.8"/>
    <n v="155"/>
    <n v="13"/>
    <n v="25.701724137931034"/>
    <n v="2.1028622798794778"/>
    <n v="11.466923076923077"/>
    <n v="0.96174193548387088"/>
    <n v="11.923076923076923"/>
    <n v="2.2413793103448278"/>
    <n v="2"/>
    <d v="1899-12-30T00:26:46"/>
    <s v="Order"/>
    <n v="21.385404996263951"/>
    <n v="4.3163191416670834"/>
    <n v="61.895333333333319"/>
    <n v="118.74499999999999"/>
    <n v="30.325000000000003"/>
  </r>
  <r>
    <d v="2025-05-10T00:00:00"/>
    <x v="4"/>
    <x v="16"/>
    <n v="6"/>
    <s v="QTR2"/>
    <s v="Saturday"/>
    <d v="1899-12-30T18:00:00"/>
    <s v="Clear"/>
    <n v="59"/>
    <s v="Lewiston"/>
    <n v="96.08"/>
    <n v="4.68"/>
    <n v="106"/>
    <n v="6"/>
    <n v="20.529914529914532"/>
    <n v="8.6143006968434577E-2"/>
    <n v="16.013333333333332"/>
    <n v="0.90641509433962264"/>
    <n v="17.666666666666668"/>
    <n v="1.2820512820512822"/>
    <n v="2"/>
    <d v="1899-12-30T00:46:48"/>
    <s v="Order"/>
    <n v="21.645085470085469"/>
    <n v="-1.1151709401709375"/>
    <n v="61.905999999999992"/>
    <n v="112.82250000000001"/>
    <n v="-16.742500000000007"/>
  </r>
  <r>
    <d v="2025-05-11T00:00:00"/>
    <x v="4"/>
    <x v="16"/>
    <n v="6"/>
    <s v="QTR2"/>
    <s v="Sunday"/>
    <d v="1899-12-30T13:00:00"/>
    <s v="Clear"/>
    <n v="59"/>
    <s v="Brunswick/Bath/Freeport"/>
    <n v="126.55"/>
    <n v="4.88"/>
    <n v="76"/>
    <n v="10"/>
    <n v="25.932377049180328"/>
    <n v="4.0517054326856687"/>
    <n v="12.654999999999999"/>
    <n v="1.6651315789473684"/>
    <n v="7.6"/>
    <n v="2.0491803278688523"/>
    <n v="2"/>
    <d v="1899-12-30T00:29:17"/>
    <s v="Order"/>
    <n v="22.364407354106703"/>
    <n v="3.567969695073625"/>
    <n v="62.129555555555555"/>
    <n v="119.43"/>
    <n v="7.1199999999999903"/>
  </r>
  <r>
    <d v="2025-05-12T00:00:00"/>
    <x v="4"/>
    <x v="17"/>
    <n v="7"/>
    <s v="QTR2"/>
    <s v="Monday"/>
    <d v="1899-12-30T17:30:00"/>
    <s v="Clear"/>
    <n v="61"/>
    <s v="Brunswick/Bath/Freeport"/>
    <n v="71.73"/>
    <n v="3.2"/>
    <n v="54"/>
    <n v="6"/>
    <n v="22.415624999999999"/>
    <n v="1.1436994870039499"/>
    <n v="11.955"/>
    <n v="1.3283333333333334"/>
    <n v="9"/>
    <n v="1.875"/>
    <n v="1"/>
    <d v="1899-12-30T00:32:00"/>
    <s v="Order"/>
    <n v="24.725669642857142"/>
    <n v="-2.3100446428571431"/>
    <n v="62.926555555555552"/>
    <n v="110.8575"/>
    <n v="-39.127499999999998"/>
  </r>
  <r>
    <d v="2025-05-13T00:00:00"/>
    <x v="4"/>
    <x v="17"/>
    <n v="7"/>
    <s v="QTR2"/>
    <s v="Tuesday"/>
    <d v="1899-12-30T18:30:00"/>
    <s v="Clear"/>
    <n v="61"/>
    <s v="Brunswick/Bath/Freeport"/>
    <n v="120.34"/>
    <n v="4.53"/>
    <n v="96"/>
    <n v="12"/>
    <n v="26.565121412803531"/>
    <n v="5.3127574502613868"/>
    <n v="10.028333333333334"/>
    <n v="1.2535416666666668"/>
    <n v="8"/>
    <n v="2.6490066225165561"/>
    <n v="3"/>
    <d v="1899-12-30T00:22:39"/>
    <s v="Order"/>
    <n v="24.50145834419704"/>
    <n v="2.0636630686064912"/>
    <n v="64.263666666666666"/>
    <n v="103.67500000000001"/>
    <n v="16.664999999999992"/>
  </r>
  <r>
    <d v="2025-05-14T00:00:00"/>
    <x v="4"/>
    <x v="17"/>
    <n v="7"/>
    <s v="QTR2"/>
    <s v="Wednesday"/>
    <d v="1899-12-30T18:30:00"/>
    <s v="Clear"/>
    <n v="66"/>
    <s v="Brunswick/Bath/Freeport"/>
    <n v="117.02"/>
    <n v="4.78"/>
    <n v="101"/>
    <n v="12"/>
    <n v="24.481171548117153"/>
    <n v="1.548708740924333"/>
    <n v="9.7516666666666669"/>
    <n v="1.1586138613861385"/>
    <n v="8.4166666666666661"/>
    <n v="2.510460251046025"/>
    <n v="2"/>
    <d v="1899-12-30T00:23:54"/>
    <s v="Order"/>
    <n v="24.268423200414826"/>
    <n v="0.21274834770232687"/>
    <n v="64.551111111111112"/>
    <n v="108.91"/>
    <n v="8.11"/>
  </r>
  <r>
    <d v="2025-05-16T00:00:00"/>
    <x v="4"/>
    <x v="17"/>
    <n v="7"/>
    <s v="QTR2"/>
    <s v="Friday"/>
    <d v="1899-12-30T17:30:00"/>
    <s v="Partially Cloudy"/>
    <n v="68"/>
    <s v="Brunswick/Bath/Freeport"/>
    <n v="151.47"/>
    <n v="7.08"/>
    <n v="159"/>
    <n v="17"/>
    <n v="21.39406779661017"/>
    <n v="-3.2355157718090908"/>
    <n v="8.91"/>
    <n v="0.95264150943396231"/>
    <n v="9.3529411764705888"/>
    <n v="2.4011299435028248"/>
    <n v="1"/>
    <d v="1899-12-30T00:24:59"/>
    <s v="Order"/>
    <n v="26.162300455424486"/>
    <n v="-4.7682326588143162"/>
    <n v="65.52011111111112"/>
    <n v="115.13999999999999"/>
    <n v="36.330000000000013"/>
  </r>
  <r>
    <d v="2025-05-17T00:00:00"/>
    <x v="4"/>
    <x v="17"/>
    <n v="7"/>
    <s v="QTR2"/>
    <s v="Saturday"/>
    <d v="1899-12-30T17:00:00"/>
    <s v="Light Rain"/>
    <n v="55"/>
    <s v="Lewiston"/>
    <n v="134.81"/>
    <n v="5.53"/>
    <n v="91"/>
    <n v="15"/>
    <n v="24.377938517179022"/>
    <n v="3.9126312424908143"/>
    <n v="8.9873333333333338"/>
    <n v="1.4814285714285715"/>
    <n v="6.0666666666666664"/>
    <n v="2.7124773960216997"/>
    <n v="2"/>
    <d v="1899-12-30T00:22:07"/>
    <s v="Order"/>
    <n v="24.377938517179022"/>
    <n v="0"/>
    <n v="67.018000000000015"/>
    <n v="130.91000000000003"/>
    <n v="3.8999999999999773"/>
  </r>
  <r>
    <d v="2025-05-20T00:00:00"/>
    <x v="4"/>
    <x v="18"/>
    <n v="8"/>
    <s v="QTR2"/>
    <s v="Tuesday"/>
    <d v="1899-12-30T17:30:00"/>
    <s v="Overcast"/>
    <n v="54"/>
    <s v="Brunswick/Bath/Freeport"/>
    <n v="109.16"/>
    <n v="5.0999999999999996"/>
    <n v="104"/>
    <n v="9"/>
    <n v="21.403921568627453"/>
    <n v="-0.1804897345560299"/>
    <n v="12.128888888888888"/>
    <n v="1.0496153846153846"/>
    <n v="11.555555555555555"/>
    <n v="1.7647058823529413"/>
    <n v="2"/>
    <d v="1899-12-30T00:34:00"/>
    <s v="Order"/>
    <n v="21.403921568627453"/>
    <n v="0"/>
    <n v="67.041777777777796"/>
    <n v="128.11500000000001"/>
    <n v="-18.955000000000013"/>
  </r>
  <r>
    <d v="2025-05-21T00:00:00"/>
    <x v="4"/>
    <x v="18"/>
    <n v="8"/>
    <s v="QTR2"/>
    <s v="Wednesday"/>
    <d v="1899-12-30T18:30:00"/>
    <s v="Overcast"/>
    <n v="52"/>
    <s v="Augusta"/>
    <n v="85.78"/>
    <n v="5.0199999999999996"/>
    <n v="142"/>
    <n v="8"/>
    <n v="17.08764940239044"/>
    <n v="2.3391113906945336"/>
    <n v="10.7225"/>
    <n v="0.60408450704225358"/>
    <n v="17.75"/>
    <n v="1.5936254980079683"/>
    <n v="2"/>
    <d v="1899-12-30T00:37:39"/>
    <s v="Hourly"/>
    <n v="18.639610141808248"/>
    <n v="-1.5519607394178081"/>
    <n v="66.893333333333345"/>
    <n v="120.30499999999998"/>
    <n v="-34.524999999999977"/>
  </r>
  <r>
    <d v="2025-05-22T00:00:00"/>
    <x v="4"/>
    <x v="18"/>
    <n v="8"/>
    <s v="QTR2"/>
    <s v="Thursday"/>
    <d v="1899-12-30T17:30:00"/>
    <s v="Overcast"/>
    <n v="50"/>
    <s v="Brunswick/Bath/Freeport"/>
    <n v="119.87"/>
    <n v="5.53"/>
    <n v="162"/>
    <n v="7"/>
    <n v="21.67631103074141"/>
    <n v="-2.039376509525674"/>
    <n v="17.124285714285715"/>
    <n v="0.7399382716049383"/>
    <n v="23.142857142857142"/>
    <n v="1.2658227848101264"/>
    <n v="2"/>
    <d v="1899-12-30T00:47:24"/>
    <s v="Order"/>
    <n v="19.770465325238188"/>
    <n v="1.9058457055032214"/>
    <n v="65.904555555555561"/>
    <n v="112.405"/>
    <n v="7.4650000000000034"/>
  </r>
  <r>
    <d v="2025-05-26T00:00:00"/>
    <x v="4"/>
    <x v="19"/>
    <n v="9"/>
    <s v="QTR2"/>
    <s v="Monday"/>
    <d v="1899-12-30T12:00:00"/>
    <s v="Partially Cloudy"/>
    <n v="72"/>
    <s v="Brunswick/Bath/Freeport"/>
    <n v="118.05"/>
    <n v="5.75"/>
    <n v="143"/>
    <n v="10"/>
    <n v="20.530434782608694"/>
    <n v="-0.82946761400304325"/>
    <n v="11.805"/>
    <n v="0.8255244755244755"/>
    <n v="14.3"/>
    <n v="1.7391304347826086"/>
    <n v="3"/>
    <d v="1899-12-30T00:34:30"/>
    <s v="Order"/>
    <n v="18.734097495073303"/>
    <n v="1.7963372875353905"/>
    <n v="64.528555555555556"/>
    <n v="108.215"/>
    <n v="9.8349999999999937"/>
  </r>
  <r>
    <d v="2025-05-27T00:00:00"/>
    <x v="4"/>
    <x v="19"/>
    <n v="9"/>
    <s v="QTR2"/>
    <s v="Tuesday"/>
    <d v="1899-12-30T18:30:00"/>
    <s v="Partially Cloudy"/>
    <n v="73"/>
    <s v="Brunswick/Bath/Freeport"/>
    <n v="102.93"/>
    <n v="5.0199999999999996"/>
    <n v="120"/>
    <n v="7"/>
    <n v="20.503984063745023"/>
    <n v="-1.0698101962292839"/>
    <n v="14.704285714285716"/>
    <n v="0.85775000000000001"/>
    <n v="17.142857142857142"/>
    <n v="1.3944223107569722"/>
    <n v="2"/>
    <d v="1899-12-30T00:43:02"/>
    <s v="Order"/>
    <n v="20.188057605643003"/>
    <n v="0.31592645810201958"/>
    <n v="64.23533333333333"/>
    <n v="106.6575"/>
    <n v="-3.727499999999992"/>
  </r>
  <r>
    <d v="2025-05-28T00:00:00"/>
    <x v="4"/>
    <x v="19"/>
    <n v="9"/>
    <s v="QTR2"/>
    <s v="Wednesday"/>
    <d v="1899-12-30T19:00:00"/>
    <s v="Clear"/>
    <n v="72"/>
    <s v="Portland"/>
    <n v="134.23000000000002"/>
    <n v="5.77"/>
    <n v="147"/>
    <n v="11"/>
    <n v="23.26343154246101"/>
    <n v="4.5485449040423056"/>
    <n v="12.202727272727275"/>
    <n v="0.91312925170068038"/>
    <n v="13.363636363636363"/>
    <n v="1.906412478336222"/>
    <n v="2"/>
    <d v="1899-12-30T00:31:28"/>
    <s v="Order"/>
    <n v="21.882177824775361"/>
    <n v="1.3812537176856488"/>
    <n v="65.72677777777777"/>
    <n v="118.77000000000001"/>
    <n v="15.460000000000008"/>
  </r>
  <r>
    <d v="2025-05-29T00:00:00"/>
    <x v="4"/>
    <x v="19"/>
    <n v="9"/>
    <s v="QTR2"/>
    <s v="Thursday"/>
    <d v="1899-12-30T18:30:00"/>
    <s v="Partially Cloudy"/>
    <n v="73"/>
    <s v="Brunswick/Bath/Freeport"/>
    <n v="94.79"/>
    <n v="4.82"/>
    <n v="108"/>
    <n v="7"/>
    <n v="19.665975103734439"/>
    <n v="-3.9423768307681364"/>
    <n v="13.541428571428572"/>
    <n v="0.87768518518518523"/>
    <n v="15.428571428571429"/>
    <n v="1.4522821576763485"/>
    <n v="1"/>
    <d v="1899-12-30T00:41:19"/>
    <s v="Order"/>
    <n v="23.93154089725601"/>
    <n v="-4.2655657935215707"/>
    <n v="66.78"/>
    <n v="112.50000000000001"/>
    <n v="-17.710000000000008"/>
  </r>
  <r>
    <d v="2025-05-30T00:00:00"/>
    <x v="4"/>
    <x v="19"/>
    <n v="9"/>
    <s v="QTR2"/>
    <s v="Friday"/>
    <d v="1899-12-30T18:00:00"/>
    <s v="Partially Cloudy"/>
    <n v="70"/>
    <s v="Brunswick/Bath/Freeport"/>
    <n v="144.34"/>
    <n v="6.73"/>
    <n v="127"/>
    <n v="14"/>
    <n v="21.447251114413074"/>
    <n v="-3.0025815777945688"/>
    <n v="10.31"/>
    <n v="1.1365354330708661"/>
    <n v="9.0714285714285712"/>
    <n v="2.0802377414561661"/>
    <n v="2"/>
    <d v="1899-12-30T00:28:51"/>
    <s v="Order"/>
    <n v="22.313396922264502"/>
    <n v="-0.86614580785142792"/>
    <n v="66.789333333333332"/>
    <n v="119.07250000000002"/>
    <n v="25.267499999999984"/>
  </r>
  <r>
    <d v="2025-06-01T00:00:00"/>
    <x v="4"/>
    <x v="19"/>
    <n v="9"/>
    <s v="QTR2"/>
    <s v="Sunday"/>
    <d v="1899-12-30T18:00:00"/>
    <s v="Partially Cloudy"/>
    <n v="61"/>
    <s v="Brunswick/Bath/Freeport"/>
    <n v="67.169999999999987"/>
    <n v="3.6"/>
    <n v="64"/>
    <n v="9"/>
    <n v="18.658333333333328"/>
    <n v="-3.8976225219422744"/>
    <n v="7.463333333333332"/>
    <n v="1.0495312499999998"/>
    <n v="7.1111111111111107"/>
    <n v="2.5"/>
    <n v="3"/>
    <d v="1899-12-30T00:24:00"/>
    <s v="Hourly"/>
    <n v="18.334880952380949"/>
    <n v="0.3234523809523786"/>
    <n v="65.937111111111122"/>
    <n v="110.13249999999999"/>
    <n v="-42.962500000000006"/>
  </r>
  <r>
    <d v="2025-06-02T00:00:00"/>
    <x v="4"/>
    <x v="20"/>
    <n v="10"/>
    <s v="QTR2"/>
    <s v="Monday"/>
    <d v="1899-12-30T18:00:00"/>
    <s v="Partially Cloudy"/>
    <n v="63"/>
    <s v="Brunswick/Bath/Freeport"/>
    <n v="101.22"/>
    <n v="4.03"/>
    <n v="101"/>
    <n v="7"/>
    <n v="25.116625310173696"/>
    <n v="3.8159706002764651"/>
    <n v="14.459999999999999"/>
    <n v="1.0021782178217822"/>
    <n v="14.428571428571429"/>
    <n v="1.7369727047146402"/>
    <n v="1"/>
    <d v="1899-12-30T00:34:33"/>
    <s v="Hourly"/>
    <n v="22.182309988289532"/>
    <n v="2.9343153218841636"/>
    <n v="66.070111111111132"/>
    <n v="101.88"/>
    <n v="-0.65999999999999659"/>
  </r>
  <r>
    <d v="2025-06-03T00:00:00"/>
    <x v="4"/>
    <x v="20"/>
    <n v="10"/>
    <s v="QTR2"/>
    <s v="Tuesday"/>
    <d v="1899-12-30T18:30:00"/>
    <s v="Sunny"/>
    <n v="70"/>
    <s v="Brunswick/Bath/Freeport"/>
    <n v="114.21000000000001"/>
    <n v="4.47"/>
    <n v="110"/>
    <n v="7"/>
    <n v="25.550335570469802"/>
    <n v="4.0359752102860114"/>
    <n v="16.315714285714286"/>
    <n v="1.0382727272727272"/>
    <n v="15.714285714285714"/>
    <n v="1.5659955257270695"/>
    <n v="2"/>
    <d v="1899-12-30T00:38:19"/>
    <s v="Hourly"/>
    <n v="25.132141780506764"/>
    <n v="0.41819378996303769"/>
    <n v="67.339111111111123"/>
    <n v="106.73500000000001"/>
    <n v="7.4749999999999943"/>
  </r>
  <r>
    <d v="2025-06-04T00:00:00"/>
    <x v="4"/>
    <x v="20"/>
    <n v="10"/>
    <s v="QTR2"/>
    <s v="Wednesday"/>
    <d v="1899-12-30T18:00:00"/>
    <s v="Sunny"/>
    <n v="75"/>
    <s v="Lewiston"/>
    <n v="109.59"/>
    <n v="4.83"/>
    <n v="76"/>
    <n v="12"/>
    <n v="22.689440993788821"/>
    <n v="4.2381983772221972"/>
    <n v="9.1325000000000003"/>
    <n v="1.4419736842105264"/>
    <n v="6.333333333333333"/>
    <n v="2.4844720496894408"/>
    <n v="2"/>
    <d v="1899-12-30T00:24:09"/>
    <s v="Order"/>
    <n v="18.692679503627101"/>
    <n v="3.9967614901617203"/>
    <n v="68.556777777777796"/>
    <n v="98.047500000000014"/>
    <n v="11.54249999999999"/>
  </r>
  <r>
    <d v="2025-06-06T00:00:00"/>
    <x v="4"/>
    <x v="20"/>
    <n v="10"/>
    <s v="QTR2"/>
    <s v="Friday"/>
    <d v="1899-12-30T18:00:00"/>
    <s v="Light Rain"/>
    <n v="68"/>
    <s v="Lewiston"/>
    <n v="90.32"/>
    <n v="4.97"/>
    <n v="74"/>
    <n v="14"/>
    <n v="18.173038229376257"/>
    <n v="-0.24384759577056059"/>
    <n v="6.4514285714285711"/>
    <n v="1.2205405405405405"/>
    <n v="5.2857142857142856"/>
    <n v="2.8169014084507045"/>
    <n v="2"/>
    <d v="1899-12-30T00:21:18"/>
    <s v="Order"/>
    <n v="20.101809097414456"/>
    <n v="-1.9287708680381996"/>
    <n v="67.918333333333337"/>
    <n v="103.83499999999999"/>
    <n v="-13.515000000000001"/>
  </r>
  <r>
    <d v="2025-06-07T00:00:00"/>
    <x v="4"/>
    <x v="20"/>
    <n v="10"/>
    <s v="QTR2"/>
    <s v="Saturday"/>
    <d v="1899-12-30T12:30:00"/>
    <s v="Clear"/>
    <n v="68"/>
    <s v="Brunswick/Bath/Freeport"/>
    <n v="137.93"/>
    <n v="5.97"/>
    <n v="146"/>
    <n v="13"/>
    <n v="23.103852596314908"/>
    <n v="-2.2305462829158778"/>
    <n v="10.610000000000001"/>
    <n v="0.9447260273972603"/>
    <n v="11.23076923076923"/>
    <n v="2.1775544388609718"/>
    <n v="2"/>
    <d v="1899-12-30T00:27:33"/>
    <s v="Order"/>
    <n v="20.809749427409155"/>
    <n v="2.2941031689057532"/>
    <n v="69.299111111111117"/>
    <n v="113.0125"/>
    <n v="24.917500000000004"/>
  </r>
  <r>
    <d v="2025-06-09T00:00:00"/>
    <x v="4"/>
    <x v="21"/>
    <n v="11"/>
    <s v="QTR2"/>
    <s v="Monday"/>
    <d v="1899-12-30T18:30:00"/>
    <s v="Overcast"/>
    <n v="63"/>
    <s v="Lewiston"/>
    <n v="122.51"/>
    <n v="5.8"/>
    <n v="92"/>
    <n v="15"/>
    <n v="21.122413793103451"/>
    <n v="8.5752835502778453"/>
    <n v="8.1673333333333336"/>
    <n v="1.3316304347826087"/>
    <n v="6.1333333333333337"/>
    <n v="2.5862068965517242"/>
    <n v="1"/>
    <d v="1899-12-30T00:23:12"/>
    <s v="Order"/>
    <n v="18.7884790163058"/>
    <n v="2.3339347767976513"/>
    <n v="69.488000000000014"/>
    <n v="115.08750000000001"/>
    <n v="7.4224999999999994"/>
  </r>
  <r>
    <d v="2025-06-10T00:00:00"/>
    <x v="4"/>
    <x v="21"/>
    <n v="11"/>
    <s v="QTR2"/>
    <s v="Tuesday"/>
    <d v="1899-12-30T18:00:00"/>
    <s v="Fog"/>
    <n v="61"/>
    <s v="Brunswick/Bath/Freeport"/>
    <n v="93.06"/>
    <n v="3.67"/>
    <n v="80"/>
    <n v="8"/>
    <n v="25.356948228882835"/>
    <n v="3.6301681207892535"/>
    <n v="11.6325"/>
    <n v="1.1632500000000001"/>
    <n v="10"/>
    <n v="2.1798365122615806"/>
    <n v="2"/>
    <d v="1899-12-30T00:27:32"/>
    <s v="Order"/>
    <n v="22.483161614441418"/>
    <n v="2.8737866144414177"/>
    <n v="69.914000000000016"/>
    <n v="110.955"/>
    <n v="-17.894999999999996"/>
  </r>
  <r>
    <d v="2025-06-12T00:00:00"/>
    <x v="4"/>
    <x v="21"/>
    <n v="11"/>
    <s v="QTR2"/>
    <s v="Thursday"/>
    <d v="1899-12-30T18:00:00"/>
    <s v="Clear"/>
    <n v="73"/>
    <s v="Brunswick/Bath/Freeport"/>
    <n v="160.48000000000002"/>
    <n v="6.82"/>
    <n v="167"/>
    <n v="12"/>
    <n v="23.530791788856305"/>
    <n v="0.11955869589213464"/>
    <n v="13.373333333333335"/>
    <n v="0.96095808383233539"/>
    <n v="13.916666666666666"/>
    <n v="1.7595307917888563"/>
    <n v="2"/>
    <d v="1899-12-30T00:34:06"/>
    <s v="Hourly"/>
    <n v="20.552091321007818"/>
    <n v="2.978700467848487"/>
    <n v="70.495777777777803"/>
    <n v="128.495"/>
    <n v="31.985000000000014"/>
  </r>
  <r>
    <d v="2025-06-13T00:00:00"/>
    <x v="4"/>
    <x v="21"/>
    <n v="11"/>
    <s v="QTR2"/>
    <s v="Friday"/>
    <d v="1899-12-30T18:00:00"/>
    <s v="Clear"/>
    <n v="68"/>
    <s v="Lewiston"/>
    <n v="108.13000000000001"/>
    <n v="3.93"/>
    <n v="64"/>
    <n v="6"/>
    <n v="27.513994910941477"/>
    <n v="9.1458786049487699"/>
    <n v="18.021666666666668"/>
    <n v="1.6895312500000002"/>
    <n v="10.666666666666666"/>
    <n v="1.5267175572519083"/>
    <n v="2"/>
    <d v="1899-12-30T00:39:18"/>
    <s v="Hourly"/>
    <n v="23.104506448136657"/>
    <n v="4.4094884628048199"/>
    <n v="71.697222222222251"/>
    <n v="121.045"/>
    <n v="-12.914999999999992"/>
  </r>
  <r>
    <d v="2025-06-16T00:00:00"/>
    <x v="4"/>
    <x v="22"/>
    <n v="12"/>
    <s v="QTR2"/>
    <s v="Monday"/>
    <d v="1899-12-30T17:30:00"/>
    <s v="Sunny"/>
    <n v="66"/>
    <s v="Brunswick/Bath/Freeport"/>
    <n v="118.6"/>
    <n v="5.23"/>
    <n v="131"/>
    <n v="9"/>
    <n v="22.676864244741871"/>
    <n v="1.1218114948262112"/>
    <n v="13.177777777777777"/>
    <n v="0.90534351145038161"/>
    <n v="14.555555555555555"/>
    <n v="1.7208413001912044"/>
    <n v="3"/>
    <d v="1899-12-30T00:34:52"/>
    <s v="Order"/>
    <n v="19.273030658110066"/>
    <n v="3.403833586631805"/>
    <n v="68.13822222222224"/>
    <n v="120.0675"/>
    <n v="-1.4675000000000011"/>
  </r>
  <r>
    <d v="2025-06-19T00:00:00"/>
    <x v="4"/>
    <x v="22"/>
    <n v="12"/>
    <s v="QTR2"/>
    <s v="Thursday"/>
    <d v="1899-12-30T18:00:00"/>
    <s v="Sunny"/>
    <n v="73"/>
    <s v="Augusta"/>
    <n v="42.34"/>
    <n v="3.12"/>
    <n v="86"/>
    <n v="5"/>
    <n v="13.570512820512821"/>
    <n v="-3.9953717948717937"/>
    <n v="8.468"/>
    <n v="0.49232558139534888"/>
    <n v="17.2"/>
    <n v="1.6025641025641024"/>
    <n v="2"/>
    <d v="1899-12-30T00:37:26"/>
    <s v="Order"/>
    <n v="19.1731951408422"/>
    <n v="-5.6026823203293787"/>
    <n v="65.883555555555574"/>
    <n v="107.38750000000002"/>
    <n v="-65.047500000000014"/>
  </r>
  <r>
    <d v="2025-06-21T00:00:00"/>
    <x v="4"/>
    <x v="22"/>
    <n v="12"/>
    <s v="QTR2"/>
    <s v="Saturday"/>
    <d v="1899-12-30T16:00:00"/>
    <s v="Clear"/>
    <n v="81"/>
    <s v="Brunswick/Bath/Freeport"/>
    <n v="185.62"/>
    <n v="7.63"/>
    <n v="174"/>
    <n v="13"/>
    <n v="24.327653997378768"/>
    <n v="-0.87553627697461067"/>
    <n v="14.278461538461539"/>
    <n v="1.0667816091954023"/>
    <n v="13.384615384615385"/>
    <n v="1.7038007863695936"/>
    <n v="2"/>
    <d v="1899-12-30T00:35:13"/>
    <s v="Order"/>
    <n v="22.879063937501609"/>
    <n v="1.4485900598771586"/>
    <n v="66.311666666666682"/>
    <n v="113.67250000000001"/>
    <n v="71.947499999999991"/>
  </r>
  <r>
    <d v="2025-06-22T00:00:00"/>
    <x v="4"/>
    <x v="22"/>
    <n v="12"/>
    <s v="QTR2"/>
    <s v="Sunday"/>
    <d v="1899-12-30T12:00:00"/>
    <s v="Overcast"/>
    <n v="84"/>
    <s v="Brunswick/Bath/Freeport"/>
    <n v="85.88"/>
    <n v="5.0199999999999996"/>
    <n v="148"/>
    <n v="9"/>
    <n v="17.107569721115539"/>
    <n v="-4.8915829167397398"/>
    <n v="9.5422222222222217"/>
    <n v="0.58027027027027023"/>
    <n v="16.444444444444443"/>
    <n v="1.7928286852589643"/>
    <n v="2"/>
    <d v="1899-12-30T00:33:28"/>
    <s v="Order"/>
    <n v="24.167933971299817"/>
    <n v="-7.0603642501842785"/>
    <n v="66.059888888888906"/>
    <n v="108.11"/>
    <n v="-22.230000000000004"/>
  </r>
  <r>
    <d v="2025-06-23T00:00:00"/>
    <x v="4"/>
    <x v="23"/>
    <n v="13"/>
    <s v="QTR2"/>
    <s v="Monday"/>
    <d v="1899-12-30T20:30:00"/>
    <s v="Clear"/>
    <n v="81"/>
    <s v="Brunswick/Bath/Freeport"/>
    <n v="77.539999999999992"/>
    <n v="4.63"/>
    <n v="129"/>
    <n v="7"/>
    <n v="16.747300215982719"/>
    <n v="-4.877865752359579"/>
    <n v="11.077142857142857"/>
    <n v="0.60108527131782941"/>
    <n v="18.428571428571427"/>
    <n v="1.5118790496760259"/>
    <n v="2"/>
    <d v="1899-12-30T00:39:41"/>
    <s v="Order"/>
    <n v="16.747300215982719"/>
    <n v="0"/>
    <n v="66.351222222222248"/>
    <n v="97.844999999999999"/>
    <n v="-20.305000000000007"/>
  </r>
  <r>
    <d v="2025-06-24T00:00:00"/>
    <x v="4"/>
    <x v="23"/>
    <n v="13"/>
    <s v="QTR2"/>
    <s v="Tuesday"/>
    <d v="1899-12-30T17:00:00"/>
    <s v="Clear"/>
    <n v="79"/>
    <s v="Portland"/>
    <n v="132"/>
    <n v="5.53"/>
    <n v="147"/>
    <n v="9"/>
    <n v="23.869801084990957"/>
    <n v="3.757200548797929"/>
    <n v="14.666666666666666"/>
    <n v="0.89795918367346939"/>
    <n v="16.333333333333332"/>
    <n v="1.6274864376130198"/>
    <n v="1"/>
    <d v="1899-12-30T00:36:52"/>
    <s v="Hourly"/>
    <n v="20.492635020175374"/>
    <n v="3.377166064815583"/>
    <n v="67.817888888888916"/>
    <n v="120.25999999999999"/>
    <n v="11.740000000000009"/>
  </r>
  <r>
    <d v="2025-06-25T00:00:00"/>
    <x v="4"/>
    <x v="23"/>
    <n v="13"/>
    <s v="QTR2"/>
    <s v="Wednesday"/>
    <d v="1899-12-30T19:30:00"/>
    <s v="Clear"/>
    <n v="86"/>
    <s v="Lewiston"/>
    <n v="76.5"/>
    <n v="3.52"/>
    <n v="75"/>
    <n v="9"/>
    <n v="21.732954545454547"/>
    <n v="2.4340722534434818"/>
    <n v="8.5"/>
    <n v="1.02"/>
    <n v="8.3333333333333339"/>
    <n v="2.5568181818181817"/>
    <n v="2"/>
    <d v="1899-12-30T00:23:28"/>
    <s v="Hourly"/>
    <n v="14.873473218905231"/>
    <n v="6.8594813265493162"/>
    <n v="68.667888888888911"/>
    <n v="92.97999999999999"/>
    <n v="-16.47999999999999"/>
  </r>
  <r>
    <d v="2025-06-27T00:00:00"/>
    <x v="4"/>
    <x v="23"/>
    <n v="13"/>
    <s v="QTR2"/>
    <s v="Friday"/>
    <d v="1899-12-30T18:30:00"/>
    <s v="Partially Cloudy"/>
    <n v="66"/>
    <s v="Portland"/>
    <n v="216.81"/>
    <n v="9.07"/>
    <n v="196"/>
    <n v="17"/>
    <n v="23.904079382579933"/>
    <n v="1.6672596251462259"/>
    <n v="12.753529411764706"/>
    <n v="1.1061734693877552"/>
    <n v="11.529411764705882"/>
    <n v="1.8743109151047408"/>
    <n v="2"/>
    <d v="1899-12-30T00:32:01"/>
    <s v="Hourly"/>
    <n v="26.982702895536416"/>
    <n v="-3.078623512956483"/>
    <n v="70.315888888888921"/>
    <n v="125.71249999999999"/>
    <n v="91.097500000000011"/>
  </r>
  <r>
    <d v="2025-06-28T00:00:00"/>
    <x v="4"/>
    <x v="23"/>
    <n v="13"/>
    <s v="QTR2"/>
    <s v="Saturday"/>
    <d v="1899-12-30T18:30:00"/>
    <s v="Fog"/>
    <n v="61"/>
    <s v="Portland"/>
    <n v="25.87"/>
    <n v="1.28"/>
    <n v="36"/>
    <n v="2"/>
    <n v="20.2109375"/>
    <n v="-0.49335370265426093"/>
    <n v="12.935"/>
    <n v="0.71861111111111109"/>
    <n v="18"/>
    <n v="1.5625"/>
    <n v="1"/>
    <d v="1899-12-30T00:38:24"/>
    <s v="Hourly"/>
    <n v="20.115540994623654"/>
    <n v="9.5396505376346141E-2"/>
    <n v="68.895777777777809"/>
    <n v="112.795"/>
    <n v="-86.924999999999997"/>
  </r>
  <r>
    <d v="2025-06-29T00:00:00"/>
    <x v="4"/>
    <x v="23"/>
    <n v="13"/>
    <s v="QTR2"/>
    <s v="Sunday"/>
    <d v="1899-12-30T10:30:00"/>
    <s v="Overcast"/>
    <n v="75"/>
    <s v="Brunswick/Bath/Freeport"/>
    <n v="79.17"/>
    <n v="3.68"/>
    <n v="89"/>
    <n v="7"/>
    <n v="21.513586956521738"/>
    <n v="0.12588218325892697"/>
    <n v="11.31"/>
    <n v="0.88955056179775283"/>
    <n v="12.714285714285714"/>
    <n v="1.9021739130434783"/>
    <n v="3"/>
    <d v="1899-12-30T00:31:33"/>
    <s v="Order"/>
    <n v="18.887056636155606"/>
    <n v="2.6265303203661325"/>
    <n v="69.775444444444474"/>
    <n v="99.587500000000006"/>
    <n v="-20.417500000000004"/>
  </r>
  <r>
    <d v="2025-06-30T00:00:00"/>
    <x v="4"/>
    <x v="24"/>
    <n v="1"/>
    <s v="QTR3"/>
    <s v="Monday"/>
    <d v="1899-12-30T18:30:00"/>
    <s v="Clear"/>
    <n v="73"/>
    <s v="Portland"/>
    <n v="172.47"/>
    <n v="4.72"/>
    <n v="108"/>
    <n v="11"/>
    <n v="36.540254237288138"/>
    <n v="14.017613597627687"/>
    <n v="15.67909090909091"/>
    <n v="1.5969444444444445"/>
    <n v="9.8181818181818183"/>
    <n v="2.3305084745762712"/>
    <n v="3"/>
    <d v="1899-12-30T00:25:45"/>
    <s v="Hourly"/>
    <n v="29.873712776014589"/>
    <n v="6.6665414612735496"/>
    <n v="71.691777777777816"/>
    <n v="123.58000000000001"/>
    <n v="48.889999999999986"/>
  </r>
  <r>
    <d v="2025-07-01T00:00:00"/>
    <x v="4"/>
    <x v="24"/>
    <n v="1"/>
    <s v="QTR3"/>
    <s v="Tuesday"/>
    <d v="1899-12-30T18:30:00"/>
    <s v="Partially Cloudy"/>
    <n v="81"/>
    <s v="Brunswick/Bath/Freeport"/>
    <n v="98.33"/>
    <n v="5.13"/>
    <n v="150"/>
    <n v="8"/>
    <n v="19.167641325536064"/>
    <n v="-3.615757243521486"/>
    <n v="12.29125"/>
    <n v="0.6555333333333333"/>
    <n v="18.75"/>
    <n v="1.5594541910331385"/>
    <n v="3"/>
    <d v="1899-12-30T00:38:29"/>
    <s v="Hourly"/>
    <n v="20.191072811871479"/>
    <n v="-1.023431486335415"/>
    <n v="72.784333333333365"/>
    <n v="93.96"/>
    <n v="4.3700000000000045"/>
  </r>
  <r>
    <d v="2025-07-02T00:00:00"/>
    <x v="4"/>
    <x v="24"/>
    <n v="1"/>
    <s v="QTR3"/>
    <s v="Wednesday"/>
    <d v="1899-12-30T19:00:00"/>
    <s v="Clear"/>
    <n v="82"/>
    <s v="Brunswick/Bath/Freeport"/>
    <n v="99.11"/>
    <n v="2.98"/>
    <n v="61"/>
    <n v="9"/>
    <n v="33.258389261744966"/>
    <n v="10.823366906097743"/>
    <n v="11.012222222222222"/>
    <n v="1.6247540983606557"/>
    <n v="6.7777777777777777"/>
    <n v="3.0201342281879193"/>
    <n v="3"/>
    <d v="1899-12-30T00:19:52"/>
    <s v="Order"/>
    <n v="28.967873876155501"/>
    <n v="4.2905153855894653"/>
    <n v="73.885555555555584"/>
    <n v="112.27"/>
    <n v="-13.159999999999997"/>
  </r>
  <r>
    <d v="2025-07-03T00:00:00"/>
    <x v="4"/>
    <x v="24"/>
    <n v="1"/>
    <s v="QTR3"/>
    <s v="Thursday"/>
    <d v="1899-12-30T20:00:00"/>
    <s v="Clear"/>
    <n v="70"/>
    <s v="Lewiston"/>
    <n v="50.33"/>
    <n v="2.17"/>
    <n v="57"/>
    <n v="3"/>
    <n v="23.193548387096776"/>
    <n v="3.768768187073622"/>
    <n v="16.776666666666667"/>
    <n v="0.88298245614035087"/>
    <n v="19"/>
    <n v="1.3824884792626728"/>
    <n v="2"/>
    <d v="1899-12-30T00:43:24"/>
    <s v="Hourly"/>
    <n v="25.47052001294638"/>
    <n v="-2.2769716258496047"/>
    <n v="74.444777777777801"/>
    <n v="105.06"/>
    <n v="-54.730000000000004"/>
  </r>
  <r>
    <d v="2025-07-07T00:00:00"/>
    <x v="4"/>
    <x v="44"/>
    <n v="2"/>
    <s v="QTR3"/>
    <s v="Monday"/>
    <d v="1899-12-30T13:30:00"/>
    <s v="Partially Cloudy"/>
    <n v="84"/>
    <s v="Portland"/>
    <n v="126.22"/>
    <n v="4.93"/>
    <n v="84"/>
    <n v="10"/>
    <n v="25.60243407707911"/>
    <n v="2.2036925875669269"/>
    <n v="12.622"/>
    <n v="1.5026190476190475"/>
    <n v="8.4"/>
    <n v="2.028397565922921"/>
    <n v="2"/>
    <d v="1899-12-30T00:29:35"/>
    <s v="Order"/>
    <n v="25.60243407707911"/>
    <n v="0"/>
    <n v="73.098000000000027"/>
    <n v="93.497500000000002"/>
    <n v="32.722499999999997"/>
  </r>
  <r>
    <d v="2025-07-18T00:00:00"/>
    <x v="4"/>
    <x v="45"/>
    <n v="3"/>
    <s v="QTR3"/>
    <s v="Friday"/>
    <d v="1899-12-30T18:30:00"/>
    <s v="Clear"/>
    <n v="77"/>
    <s v="Portland"/>
    <n v="114.08"/>
    <n v="5.37"/>
    <n v="131"/>
    <n v="10"/>
    <n v="21.243947858472996"/>
    <n v="-1.6782334296833632"/>
    <n v="11.407999999999999"/>
    <n v="0.87083969465648858"/>
    <n v="13.1"/>
    <n v="1.8621973929236499"/>
    <n v="2"/>
    <d v="1899-12-30T00:32:13"/>
    <s v="Order"/>
    <n v="19.277372919603788"/>
    <n v="1.9665749388692078"/>
    <n v="68.732222222222234"/>
    <n v="97.434999999999988"/>
    <n v="16.64500000000001"/>
  </r>
  <r>
    <d v="2025-07-19T00:00:00"/>
    <x v="4"/>
    <x v="45"/>
    <n v="3"/>
    <s v="QTR3"/>
    <s v="Saturday"/>
    <d v="1899-12-30T19:00:00"/>
    <s v="Clear"/>
    <n v="75"/>
    <s v="Lewiston"/>
    <n v="154.04"/>
    <n v="8.2200000000000006"/>
    <n v="198"/>
    <n v="9"/>
    <n v="18.739659367396591"/>
    <n v="-2.4646891694910629"/>
    <n v="17.115555555555556"/>
    <n v="0.77797979797979799"/>
    <n v="22"/>
    <n v="1.0948905109489051"/>
    <n v="3"/>
    <d v="1899-12-30T00:54:48"/>
    <s v="Order"/>
    <n v="20.038561698743642"/>
    <n v="-1.2989023313470511"/>
    <n v="70.443777777777782"/>
    <n v="111.16749999999999"/>
    <n v="42.872500000000002"/>
  </r>
  <r>
    <d v="2025-07-22T00:00:00"/>
    <x v="4"/>
    <x v="25"/>
    <n v="4"/>
    <s v="QTR3"/>
    <s v="Tuesday"/>
    <d v="1899-12-30T19:00:00"/>
    <s v="Partially Cloudy"/>
    <n v="73"/>
    <s v="Brunswick/Bath/Freeport"/>
    <n v="95.64"/>
    <n v="5"/>
    <n v="96"/>
    <n v="9"/>
    <n v="19.128"/>
    <n v="-3.3266933651010504"/>
    <n v="10.626666666666667"/>
    <n v="0.99624999999999997"/>
    <n v="10.666666666666666"/>
    <n v="1.8"/>
    <n v="2"/>
    <d v="1899-12-30T00:33:20"/>
    <s v="Order"/>
    <n v="19.176198587306246"/>
    <n v="-4.8198587306245599E-2"/>
    <n v="68.033444444444456"/>
    <n v="122.495"/>
    <n v="-26.855000000000004"/>
  </r>
  <r>
    <d v="2025-07-24T00:00:00"/>
    <x v="4"/>
    <x v="25"/>
    <n v="4"/>
    <s v="QTR3"/>
    <s v="Thursday"/>
    <d v="1899-12-30T18:00:00"/>
    <s v="Clear"/>
    <n v="74"/>
    <s v="Portland"/>
    <n v="215.68"/>
    <n v="9.92"/>
    <n v="256"/>
    <n v="21"/>
    <n v="21.741935483870968"/>
    <n v="-0.25104398959602392"/>
    <n v="10.270476190476192"/>
    <n v="0.84250000000000003"/>
    <n v="12.19047619047619"/>
    <n v="2.116935483870968"/>
    <n v="2"/>
    <d v="1899-12-30T00:28:21"/>
    <s v="Hourly"/>
    <n v="20.938868976503386"/>
    <n v="0.80306650736758201"/>
    <n v="69.65066666666668"/>
    <n v="144.86000000000001"/>
    <n v="70.819999999999993"/>
  </r>
  <r>
    <d v="2025-07-28T00:00:00"/>
    <x v="4"/>
    <x v="26"/>
    <n v="5"/>
    <s v="QTR3"/>
    <s v="Monday"/>
    <d v="1899-12-30T13:30:00"/>
    <s v="Partially Cloudy"/>
    <n v="82"/>
    <s v="Portland"/>
    <n v="115.44"/>
    <n v="6.18"/>
    <n v="119"/>
    <n v="13"/>
    <n v="18.679611650485437"/>
    <n v="-4.8487588147659757"/>
    <n v="8.879999999999999"/>
    <n v="0.97008403361344531"/>
    <n v="9.1538461538461533"/>
    <n v="2.1035598705501619"/>
    <n v="2"/>
    <d v="1899-12-30T00:28:31"/>
    <s v="Order"/>
    <n v="21.130380645893315"/>
    <n v="-2.4507689954078771"/>
    <n v="66.071000000000012"/>
    <n v="145.19999999999999"/>
    <n v="-29.759999999999991"/>
  </r>
  <r>
    <d v="2025-07-30T00:00:00"/>
    <x v="4"/>
    <x v="26"/>
    <n v="5"/>
    <s v="QTR3"/>
    <s v="Wednesday"/>
    <d v="1899-12-30T18:00:00"/>
    <s v="Partially Cloudy"/>
    <n v="82"/>
    <s v="Brunswick/Bath/Freeport"/>
    <n v="111.37"/>
    <n v="5.42"/>
    <n v="134"/>
    <n v="10"/>
    <n v="20.547970479704798"/>
    <n v="-2.8709943219513079"/>
    <n v="11.137"/>
    <n v="0.8311194029850747"/>
    <n v="13.4"/>
    <n v="1.8450184501845019"/>
    <n v="3"/>
    <d v="1899-12-30T00:32:31"/>
    <s v="Order"/>
    <n v="17.567500598214174"/>
    <n v="2.9804698814906239"/>
    <n v="65.157000000000011"/>
    <n v="134.5325"/>
    <n v="-23.162499999999994"/>
  </r>
  <r>
    <d v="2025-07-31T00:00:00"/>
    <x v="4"/>
    <x v="26"/>
    <n v="5"/>
    <s v="QTR3"/>
    <s v="Thursday"/>
    <d v="1899-12-30T18:00:00"/>
    <s v="Light Rain"/>
    <n v="64"/>
    <s v="Lewiston"/>
    <n v="114.44"/>
    <n v="5.97"/>
    <n v="142"/>
    <n v="12"/>
    <n v="19.169179229480736"/>
    <n v="-0.7939964258386496"/>
    <n v="9.5366666666666671"/>
    <n v="0.80591549295774645"/>
    <n v="11.833333333333334"/>
    <n v="2.0100502512562817"/>
    <n v="3"/>
    <d v="1899-12-30T00:29:51"/>
    <s v="Order"/>
    <n v="18.58249317868167"/>
    <n v="0.58668605079906655"/>
    <n v="66.428555555555562"/>
    <n v="139.23250000000002"/>
    <n v="-24.792500000000018"/>
  </r>
  <r>
    <d v="2025-08-01T00:00:00"/>
    <x v="4"/>
    <x v="26"/>
    <n v="5"/>
    <s v="QTR3"/>
    <s v="Friday"/>
    <d v="1899-12-30T18:00:00"/>
    <s v="Partially Cloudy"/>
    <n v="73"/>
    <s v="Brunswick/Bath/Freeport"/>
    <n v="152.66"/>
    <n v="6.45"/>
    <n v="153"/>
    <n v="13"/>
    <n v="23.668217054263565"/>
    <n v="1.3546363345778509"/>
    <n v="11.743076923076924"/>
    <n v="0.99777777777777776"/>
    <n v="11.76923076923077"/>
    <n v="2.0155038759689923"/>
    <n v="4"/>
    <d v="1899-12-30T00:29:46"/>
    <s v="Order"/>
    <n v="23.668217054263565"/>
    <n v="0"/>
    <n v="67.287444444444446"/>
    <n v="123.47749999999999"/>
    <n v="29.182500000000005"/>
  </r>
  <r>
    <d v="2025-08-04T00:00:00"/>
    <x v="4"/>
    <x v="51"/>
    <n v="6"/>
    <s v="QTR3"/>
    <s v="Monday"/>
    <d v="1899-12-30T17:30:00"/>
    <s v="Partially Cloudy"/>
    <n v="81"/>
    <s v="Brunswick/Bath/Freeport"/>
    <n v="141.94"/>
    <n v="5.85"/>
    <n v="138"/>
    <n v="11"/>
    <n v="24.263247863247866"/>
    <n v="2.5053034543427835"/>
    <n v="12.903636363636364"/>
    <n v="1.028550724637681"/>
    <n v="12.545454545454545"/>
    <n v="1.8803418803418805"/>
    <n v="2"/>
    <d v="1899-12-30T00:31:55"/>
    <s v="Order"/>
    <n v="21.616253226379811"/>
    <n v="2.6469946368680546"/>
    <n v="65.432666666666648"/>
    <n v="130.10250000000002"/>
    <n v="11.837499999999977"/>
  </r>
  <r>
    <d v="2025-08-06T00:00:00"/>
    <x v="4"/>
    <x v="51"/>
    <n v="6"/>
    <s v="QTR3"/>
    <s v="Wednesday"/>
    <d v="1899-12-30T18:30:00"/>
    <s v="Clear"/>
    <n v="73"/>
    <s v="Lewiston"/>
    <n v="71.12"/>
    <n v="4.3"/>
    <n v="88"/>
    <n v="6"/>
    <n v="16.539534883720933"/>
    <n v="-0.24607278591820503"/>
    <n v="11.853333333333333"/>
    <n v="0.80818181818181822"/>
    <n v="14.666666666666666"/>
    <n v="1.3953488372093024"/>
    <n v="3"/>
    <d v="1899-12-30T00:43:00"/>
    <s v="Order"/>
    <n v="15.763025868826759"/>
    <n v="0.77650901489417379"/>
    <n v="63.388555555555548"/>
    <n v="120.04"/>
    <n v="-48.92"/>
  </r>
  <r>
    <d v="2025-08-08T00:00:00"/>
    <x v="4"/>
    <x v="51"/>
    <n v="6"/>
    <s v="QTR3"/>
    <s v="Friday"/>
    <d v="1899-12-30T19:30:00"/>
    <s v="Sunny"/>
    <n v="73"/>
    <s v="Brunswick/Bath/Freeport"/>
    <n v="52.25"/>
    <n v="3.18"/>
    <n v="45.8"/>
    <n v="6"/>
    <n v="16.430817610062892"/>
    <n v="-5.9956494708376411"/>
    <n v="8.7083333333333339"/>
    <n v="1.1408296943231442"/>
    <n v="7.6333333333333329"/>
    <n v="1.8867924528301885"/>
    <n v="2"/>
    <d v="1899-12-30T00:31:48"/>
    <s v="Order"/>
    <n v="17.967106899099438"/>
    <n v="-1.5362892890365458"/>
    <n v="62.901555555555539"/>
    <n v="104.49250000000001"/>
    <n v="-52.242500000000007"/>
  </r>
  <r>
    <d v="2025-08-09T00:00:00"/>
    <x v="4"/>
    <x v="51"/>
    <n v="6"/>
    <s v="QTR3"/>
    <s v="Saturday"/>
    <d v="1899-12-30T17:00:00"/>
    <s v="Clear"/>
    <n v="75"/>
    <s v="Brunswick/Bath/Freeport"/>
    <n v="135.98000000000002"/>
    <n v="6.57"/>
    <n v="128"/>
    <n v="13"/>
    <n v="20.697108066971083"/>
    <n v="1.5048789158020242"/>
    <n v="10.46"/>
    <n v="1.0623437500000001"/>
    <n v="9.8461538461538467"/>
    <n v="1.9786910197869101"/>
    <n v="3"/>
    <d v="1899-12-30T00:30:19"/>
    <s v="Hourly"/>
    <n v="19.537625371175935"/>
    <n v="1.1594826957951483"/>
    <n v="63.006333333333309"/>
    <n v="100.32250000000001"/>
    <n v="35.657500000000013"/>
  </r>
  <r>
    <d v="2025-08-10T00:00:00"/>
    <x v="4"/>
    <x v="51"/>
    <n v="6"/>
    <s v="QTR3"/>
    <s v="Sunday"/>
    <d v="1899-12-30T17:00:00"/>
    <s v="Clear"/>
    <n v="82"/>
    <s v="Lewiston"/>
    <n v="141.4"/>
    <n v="6.22"/>
    <n v="112"/>
    <n v="11"/>
    <n v="22.733118971061096"/>
    <n v="3.7379112250644262"/>
    <n v="12.854545454545455"/>
    <n v="1.2625"/>
    <n v="10.181818181818182"/>
    <n v="1.7684887459807075"/>
    <n v="3"/>
    <d v="1899-12-30T00:33:56"/>
    <s v="Order"/>
    <n v="22.915748241573912"/>
    <n v="-0.18262927051281608"/>
    <n v="63.78044444444442"/>
    <n v="100.1875"/>
    <n v="41.212500000000006"/>
  </r>
  <r>
    <d v="2025-08-11T00:00:00"/>
    <x v="4"/>
    <x v="46"/>
    <n v="7"/>
    <s v="QTR3"/>
    <s v="Monday"/>
    <d v="1899-12-30T18:00:00"/>
    <s v="Clear"/>
    <n v="88"/>
    <s v="Lewiston"/>
    <n v="83.75"/>
    <n v="5.08"/>
    <n v="96"/>
    <n v="10"/>
    <n v="16.486220472440944"/>
    <n v="5.0486081738725375E-3"/>
    <n v="8.375"/>
    <n v="0.87239583333333337"/>
    <n v="9.6"/>
    <n v="1.9685039370078741"/>
    <n v="3"/>
    <d v="1899-12-30T00:30:29"/>
    <s v="Order"/>
    <n v="15.658282216918668"/>
    <n v="0.82793825552227673"/>
    <n v="63.373888888888864"/>
    <n v="103.345"/>
    <n v="-19.594999999999999"/>
  </r>
  <r>
    <d v="2025-08-12T00:00:00"/>
    <x v="4"/>
    <x v="46"/>
    <n v="7"/>
    <s v="QTR3"/>
    <s v="Tuesday"/>
    <d v="1899-12-30T17:30:00"/>
    <s v="Clear"/>
    <n v="90"/>
    <s v="Lewiston"/>
    <n v="96.26"/>
    <n v="5.85"/>
    <n v="140"/>
    <n v="8"/>
    <n v="16.454700854700857"/>
    <n v="2.0110967306419685"/>
    <n v="12.032500000000001"/>
    <n v="0.68757142857142861"/>
    <n v="17.5"/>
    <n v="1.3675213675213675"/>
    <n v="2"/>
    <d v="1899-12-30T00:43:53"/>
    <s v="Order"/>
    <n v="17.127735570511192"/>
    <n v="-0.67303471581033492"/>
    <n v="63.143222222222214"/>
    <n v="114.3475"/>
    <n v="-18.087499999999991"/>
  </r>
  <r>
    <d v="2025-08-13T00:00:00"/>
    <x v="4"/>
    <x v="46"/>
    <n v="7"/>
    <s v="QTR3"/>
    <s v="Wednesday"/>
    <d v="1899-12-30T19:30:00"/>
    <s v="Partially Cloudy"/>
    <n v="79"/>
    <s v="Brunswick/Bath/Freeport"/>
    <n v="65.989999999999995"/>
    <n v="3.13"/>
    <n v="54"/>
    <n v="6"/>
    <n v="21.083067092651756"/>
    <n v="-2.0966481821750769"/>
    <n v="10.998333333333333"/>
    <n v="1.222037037037037"/>
    <n v="9"/>
    <n v="1.9169329073482428"/>
    <n v="2"/>
    <d v="1899-12-30T00:31:18"/>
    <s v="Order"/>
    <n v="21.900354654253771"/>
    <n v="-0.81728756160201499"/>
    <n v="63.876444444444438"/>
    <n v="96.850000000000009"/>
    <n v="-30.860000000000014"/>
  </r>
  <r>
    <d v="2025-08-14T00:00:00"/>
    <x v="4"/>
    <x v="46"/>
    <n v="7"/>
    <s v="QTR3"/>
    <s v="Thursday"/>
    <d v="1899-12-30T19:30:00"/>
    <s v="Partially Cloudy"/>
    <n v="84"/>
    <s v="Lewiston"/>
    <n v="61.97"/>
    <n v="4.07"/>
    <n v="82"/>
    <n v="9"/>
    <n v="15.226044226044225"/>
    <n v="-4.6378818760453289"/>
    <n v="6.8855555555555554"/>
    <n v="0.75573170731707318"/>
    <n v="9.1111111111111107"/>
    <n v="2.2113022113022112"/>
    <n v="4"/>
    <d v="1899-12-30T00:27:08"/>
    <s v="Order"/>
    <n v="17.47428262633742"/>
    <n v="-2.2482384002931948"/>
    <n v="62.881999999999984"/>
    <n v="76.992500000000007"/>
    <n v="-15.022500000000008"/>
  </r>
  <r>
    <d v="2025-08-15T00:00:00"/>
    <x v="4"/>
    <x v="46"/>
    <n v="7"/>
    <s v="QTR3"/>
    <s v="Friday"/>
    <d v="1899-12-30T18:00:00"/>
    <s v="Clear"/>
    <n v="81"/>
    <s v="Brunswick/Bath/Freeport"/>
    <n v="131.12"/>
    <n v="6.38"/>
    <n v="145"/>
    <n v="13"/>
    <n v="20.551724137931036"/>
    <n v="-1.4135391375204485"/>
    <n v="10.086153846153847"/>
    <n v="0.9042758620689656"/>
    <n v="11.153846153846153"/>
    <n v="2.0376175548589344"/>
    <n v="1"/>
    <d v="1899-12-30T00:29:27"/>
    <s v="Order"/>
    <n v="19.306427700229733"/>
    <n v="1.2452964377013025"/>
    <n v="62.840999999999966"/>
    <n v="88.835000000000008"/>
    <n v="42.284999999999997"/>
  </r>
  <r>
    <d v="2025-08-16T00:00:00"/>
    <x v="4"/>
    <x v="46"/>
    <n v="7"/>
    <s v="QTR3"/>
    <s v="Saturday"/>
    <d v="1899-12-30T10:30:00"/>
    <s v="Partially Cloudy"/>
    <n v="81"/>
    <s v="Portland"/>
    <n v="121.64"/>
    <n v="7.33"/>
    <n v="172"/>
    <n v="15"/>
    <n v="16.594815825375171"/>
    <n v="-4.8176450126944417"/>
    <n v="8.1093333333333337"/>
    <n v="0.70720930232558143"/>
    <n v="11.466666666666667"/>
    <n v="2.0463847203274215"/>
    <n v="1"/>
    <d v="1899-12-30T00:29:19"/>
    <s v="Order"/>
    <n v="21.324966967805693"/>
    <n v="-4.7301511424305218"/>
    <n v="64.192555555555529"/>
    <n v="95.179999999999993"/>
    <n v="26.460000000000008"/>
  </r>
  <r>
    <d v="2025-08-17T00:00:00"/>
    <x v="4"/>
    <x v="46"/>
    <n v="7"/>
    <s v="QTR3"/>
    <s v="Sunday"/>
    <d v="1899-12-30T12:30:00"/>
    <s v="Partially Cloudy"/>
    <n v="84"/>
    <s v="Portland"/>
    <n v="71"/>
    <n v="3.02"/>
    <n v="56"/>
    <n v="6"/>
    <n v="23.509933774834437"/>
    <n v="-0.61170567880542848"/>
    <n v="11.833333333333334"/>
    <n v="1.2678571428571428"/>
    <n v="9.3333333333333339"/>
    <n v="1.9867549668874172"/>
    <n v="3"/>
    <d v="1899-12-30T00:30:12"/>
    <s v="Order"/>
    <n v="20.923641586212398"/>
    <n v="2.5862921886220391"/>
    <n v="64.981444444444406"/>
    <n v="96.432500000000005"/>
    <n v="-25.432500000000005"/>
  </r>
  <r>
    <d v="2025-08-18T00:00:00"/>
    <x v="4"/>
    <x v="47"/>
    <n v="8"/>
    <s v="QTR3"/>
    <s v="Monday"/>
    <d v="1899-12-30T18:30:00"/>
    <s v="Clear"/>
    <n v="68"/>
    <s v="Portland"/>
    <n v="133.47"/>
    <n v="5.13"/>
    <n v="114"/>
    <n v="10"/>
    <n v="26.017543859649123"/>
    <n v="2.7585488841069292"/>
    <n v="13.347"/>
    <n v="1.1707894736842106"/>
    <n v="11.4"/>
    <n v="1.9493177387914231"/>
    <n v="3"/>
    <d v="1899-12-30T00:30:47"/>
    <s v="Hourly"/>
    <n v="26.017543859649123"/>
    <n v="0"/>
    <n v="65.251555555555527"/>
    <n v="114.3075"/>
    <n v="19.162499999999994"/>
  </r>
  <r>
    <d v="2025-08-20T00:00:00"/>
    <x v="4"/>
    <x v="47"/>
    <n v="8"/>
    <s v="QTR3"/>
    <s v="Wednesday"/>
    <d v="1899-12-30T18:30:00"/>
    <s v="Clear"/>
    <n v="64"/>
    <s v="Portland"/>
    <n v="122.98"/>
    <n v="7.05"/>
    <n v="155"/>
    <n v="15"/>
    <n v="17.443971631205674"/>
    <n v="-5.1171693376148966"/>
    <n v="8.1986666666666661"/>
    <n v="0.79341935483870973"/>
    <n v="10.333333333333334"/>
    <n v="2.1276595744680851"/>
    <n v="2"/>
    <d v="1899-12-30T00:28:12"/>
    <s v="Order"/>
    <n v="23.323781261793304"/>
    <n v="-5.87980963058763"/>
    <n v="64.33299999999997"/>
    <n v="112.27250000000001"/>
    <n v="10.707499999999996"/>
  </r>
  <r>
    <d v="2025-08-21T00:00:00"/>
    <x v="4"/>
    <x v="47"/>
    <n v="8"/>
    <s v="QTR3"/>
    <s v="Thursday"/>
    <d v="1899-12-30T17:30:00"/>
    <s v="Clear"/>
    <n v="72"/>
    <s v="Lewiston"/>
    <n v="124.34"/>
    <n v="6.88"/>
    <n v="168"/>
    <n v="11"/>
    <n v="18.072674418604652"/>
    <n v="-1.2759314750354207"/>
    <n v="11.303636363636365"/>
    <n v="0.74011904761904768"/>
    <n v="15.272727272727273"/>
    <n v="1.5988372093023255"/>
    <n v="2"/>
    <d v="1899-12-30T00:37:32"/>
    <s v="Order"/>
    <n v="20.801092160105405"/>
    <n v="-2.7284177415007527"/>
    <n v="65.714555555555535"/>
    <n v="112.94749999999999"/>
    <n v="11.392500000000013"/>
  </r>
  <r>
    <d v="2025-08-22T00:00:00"/>
    <x v="4"/>
    <x v="47"/>
    <n v="8"/>
    <s v="QTR3"/>
    <s v="Friday"/>
    <d v="1899-12-30T19:00:00"/>
    <s v="Clear"/>
    <n v="81"/>
    <s v="Brunswick/Bath/Freeport"/>
    <n v="177.68"/>
    <n v="6.55"/>
    <n v="177"/>
    <n v="13"/>
    <n v="27.126717557251911"/>
    <n v="5.2624213630518888"/>
    <n v="13.667692307692308"/>
    <n v="1.0038418079096045"/>
    <n v="13.615384615384615"/>
    <n v="1.9847328244274809"/>
    <n v="3"/>
    <d v="1899-12-30T00:30:14"/>
    <s v="Order"/>
    <n v="25.991327331647295"/>
    <n v="1.1353902256046169"/>
    <n v="67.688777777777759"/>
    <n v="139.61750000000001"/>
    <n v="38.0625"/>
  </r>
  <r>
    <d v="2025-08-25T00:00:00"/>
    <x v="4"/>
    <x v="48"/>
    <n v="9"/>
    <s v="QTR3"/>
    <s v="Monday"/>
    <d v="1899-12-30T17:30:00"/>
    <s v="Partially Cloudy"/>
    <n v="66"/>
    <s v="Portland"/>
    <n v="141.60999999999999"/>
    <n v="6.42"/>
    <n v="129"/>
    <n v="14"/>
    <n v="22.057632398753892"/>
    <n v="-1.3465493601623493"/>
    <n v="10.114999999999998"/>
    <n v="1.097751937984496"/>
    <n v="9.2142857142857135"/>
    <n v="2.180685358255452"/>
    <n v="3"/>
    <d v="1899-12-30T00:27:31"/>
    <s v="Order"/>
    <n v="22.565375230269186"/>
    <n v="-0.50774283151529431"/>
    <n v="66.806888888888864"/>
    <n v="141.6525"/>
    <n v="-4.250000000001819E-2"/>
  </r>
  <r>
    <d v="2025-08-27T00:00:00"/>
    <x v="4"/>
    <x v="48"/>
    <n v="9"/>
    <s v="QTR3"/>
    <s v="Wednesday"/>
    <d v="1899-12-30T17:00:00"/>
    <s v="Mostly Cloudy"/>
    <n v="63"/>
    <s v="Brunswick/Bath/Freeport"/>
    <n v="201.32999999999998"/>
    <n v="6.45"/>
    <n v="150"/>
    <n v="14"/>
    <n v="31.213953488372091"/>
    <n v="8.1955188429433434"/>
    <n v="14.380714285714285"/>
    <n v="1.3421999999999998"/>
    <n v="10.714285714285714"/>
    <n v="2.1705426356589146"/>
    <n v="2"/>
    <d v="1899-12-30T00:27:39"/>
    <s v="Order"/>
    <n v="24.84553283501565"/>
    <n v="6.3684206533564414"/>
    <n v="66.499222222222215"/>
    <n v="161.24"/>
    <n v="40.089999999999975"/>
  </r>
  <r>
    <d v="2025-08-28T00:00:00"/>
    <x v="4"/>
    <x v="48"/>
    <n v="9"/>
    <s v="QTR3"/>
    <s v="Thursday"/>
    <d v="1899-12-30T19:00:00"/>
    <s v="Clear"/>
    <n v="66"/>
    <s v="Brunswick/Bath/Freeport"/>
    <n v="124.21000000000001"/>
    <n v="6.13"/>
    <n v="154"/>
    <n v="12"/>
    <n v="20.262642740619903"/>
    <n v="0.35848603014598979"/>
    <n v="10.350833333333334"/>
    <n v="0.80655844155844159"/>
    <n v="12.833333333333334"/>
    <n v="1.9575856443719413"/>
    <n v="2"/>
    <d v="1899-12-30T00:30:39"/>
    <s v="Order"/>
    <n v="18.697475216463797"/>
    <n v="1.5651675241561058"/>
    <n v="66.275555555555542"/>
    <n v="161.20749999999998"/>
    <n v="-36.997499999999974"/>
  </r>
  <r>
    <d v="2025-08-29T00:00:00"/>
    <x v="4"/>
    <x v="48"/>
    <n v="9"/>
    <s v="QTR3"/>
    <s v="Friday"/>
    <d v="1899-12-30T18:30:00"/>
    <s v="Overcast"/>
    <n v="63"/>
    <s v="Brunswick/Bath/Freeport"/>
    <n v="150.69"/>
    <n v="6.98"/>
    <n v="208"/>
    <n v="12"/>
    <n v="21.58882521489971"/>
    <n v="-0.62629907017043962"/>
    <n v="12.557499999999999"/>
    <n v="0.72447115384615379"/>
    <n v="17.333333333333332"/>
    <n v="1.7191977077363896"/>
    <n v="2"/>
    <d v="1899-12-30T00:34:54"/>
    <s v="Order"/>
    <n v="23.151453859227949"/>
    <n v="-1.5626286443282389"/>
    <n v="67.949888888888879"/>
    <n v="154.45999999999998"/>
    <n v="-3.7699999999999818"/>
  </r>
  <r>
    <d v="2025-08-31T00:00:00"/>
    <x v="4"/>
    <x v="48"/>
    <n v="9"/>
    <s v="QTR3"/>
    <s v="Sunday"/>
    <d v="1899-12-30T19:00:00"/>
    <s v="Clear"/>
    <n v="73"/>
    <s v="Brunswick/Bath/Freeport"/>
    <n v="21.04"/>
    <n v="0.97"/>
    <n v="28"/>
    <n v="1"/>
    <n v="21.690721649484537"/>
    <n v="-1.8969465512972299"/>
    <n v="21.04"/>
    <n v="0.75142857142857145"/>
    <n v="28"/>
    <n v="1.0309278350515465"/>
    <n v="1"/>
    <d v="1899-12-30T00:58:12"/>
    <s v="Order"/>
    <n v="21.690721649484537"/>
    <n v="0"/>
    <n v="66.312666666666644"/>
    <n v="124.3175"/>
    <n v="-103.277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98">
  <r>
    <n v="1"/>
    <s v="UE"/>
    <s v="Order"/>
    <n v="1"/>
    <s v="Friday"/>
    <x v="0"/>
    <n v="1"/>
    <n v="28.21"/>
    <d v="1899-12-30T04:20:00"/>
    <n v="4.333333333333333"/>
    <n v="4.25"/>
    <s v="Dinner"/>
    <s v="Brunswick/Bath/Freeport"/>
    <n v="2"/>
  </r>
  <r>
    <n v="2"/>
    <s v="UE"/>
    <s v="Order"/>
    <n v="1"/>
    <s v="Saturday"/>
    <x v="1"/>
    <n v="4"/>
    <n v="53.14"/>
    <d v="1899-12-30T03:06:00"/>
    <n v="3.1000000000000005"/>
    <n v="3"/>
    <s v="Lunch"/>
    <s v="Portland"/>
    <n v="4"/>
  </r>
  <r>
    <n v="3"/>
    <s v="UE"/>
    <s v="Order"/>
    <n v="2"/>
    <s v="Friday"/>
    <x v="2"/>
    <n v="2"/>
    <n v="12.04"/>
    <d v="1899-12-30T02:03:00"/>
    <n v="2.0499999999999998"/>
    <n v="2"/>
    <s v="Dinner"/>
    <s v="Portland"/>
    <n v="4"/>
  </r>
  <r>
    <n v="4"/>
    <s v="UE"/>
    <s v="Order"/>
    <n v="2"/>
    <s v="Sunday"/>
    <x v="3"/>
    <n v="5"/>
    <n v="63.93"/>
    <d v="1899-12-30T06:37:00"/>
    <n v="6.6166666666666671"/>
    <n v="6.5"/>
    <s v="Dinner"/>
    <s v="Portland"/>
    <n v="4"/>
  </r>
  <r>
    <n v="5"/>
    <s v="UE"/>
    <s v="Order"/>
    <n v="3"/>
    <s v="Sunday"/>
    <x v="4"/>
    <n v="2"/>
    <n v="35.950000000000003"/>
    <d v="1899-12-30T03:40:00"/>
    <n v="3.6666666666666661"/>
    <n v="3.75"/>
    <s v="Dinner"/>
    <s v="Portland"/>
    <n v="4"/>
  </r>
  <r>
    <n v="6"/>
    <s v="UE"/>
    <s v="Order"/>
    <n v="5"/>
    <s v="Saturday"/>
    <x v="5"/>
    <n v="7"/>
    <n v="100.51"/>
    <d v="1899-12-30T07:10:00"/>
    <n v="7.1666666666666661"/>
    <n v="7.25"/>
    <s v="Dinner"/>
    <s v="Portland"/>
    <n v="4"/>
  </r>
  <r>
    <n v="7"/>
    <s v="UE"/>
    <s v="Order"/>
    <n v="5"/>
    <s v="Sunday"/>
    <x v="6"/>
    <n v="1"/>
    <n v="8.68"/>
    <d v="1899-12-30T02:21:00"/>
    <n v="2.35"/>
    <n v="2.25"/>
    <s v="Dinner"/>
    <s v="Lewiston"/>
    <n v="3"/>
  </r>
  <r>
    <n v="8"/>
    <s v="UE"/>
    <s v="Order"/>
    <n v="6"/>
    <s v="Monday"/>
    <x v="7"/>
    <n v="2"/>
    <n v="24.85"/>
    <d v="1899-12-30T02:09:00"/>
    <n v="2.15"/>
    <n v="2.25"/>
    <s v="Lunch"/>
    <s v="Portland"/>
    <n v="4"/>
  </r>
  <r>
    <n v="9"/>
    <s v="UE"/>
    <s v="Order"/>
    <n v="6"/>
    <s v="Tuesday"/>
    <x v="8"/>
    <n v="5"/>
    <n v="53.84"/>
    <d v="1899-12-30T04:58:00"/>
    <n v="4.9666666666666668"/>
    <n v="5"/>
    <s v="Lunch"/>
    <s v="Portland"/>
    <n v="4"/>
  </r>
  <r>
    <n v="10"/>
    <s v="UE"/>
    <s v="Order"/>
    <n v="6"/>
    <s v="Sunday"/>
    <x v="9"/>
    <n v="6"/>
    <n v="74.709999999999994"/>
    <d v="1899-12-30T05:24:00"/>
    <n v="5.4"/>
    <n v="5.5"/>
    <s v="Dinner"/>
    <s v="Portland"/>
    <n v="4"/>
  </r>
  <r>
    <n v="11"/>
    <s v="UE"/>
    <s v="Order"/>
    <n v="7"/>
    <s v="Sunday"/>
    <x v="10"/>
    <n v="8"/>
    <n v="174.88"/>
    <d v="1899-12-30T06:15:00"/>
    <n v="6.25"/>
    <n v="6.25"/>
    <s v="Dinner"/>
    <s v="Brunswick/Bath/Freeport"/>
    <n v="2"/>
  </r>
  <r>
    <n v="12"/>
    <s v="DD"/>
    <s v="Order"/>
    <n v="8"/>
    <s v="Saturday"/>
    <x v="11"/>
    <n v="10"/>
    <n v="89.93"/>
    <d v="1899-12-30T05:13:00"/>
    <n v="5.2166666666666668"/>
    <n v="5.25"/>
    <s v="Dinner"/>
    <s v="Brunswick/Bath/Freeport"/>
    <n v="2"/>
  </r>
  <r>
    <n v="13"/>
    <s v="DD"/>
    <s v="Order"/>
    <n v="8"/>
    <s v="Sunday"/>
    <x v="12"/>
    <n v="12"/>
    <n v="90.75"/>
    <d v="1899-12-30T04:36:00"/>
    <n v="4.5999999999999996"/>
    <n v="4.5"/>
    <s v="Lunch"/>
    <s v="Brunswick/Bath/Freeport"/>
    <n v="2"/>
  </r>
  <r>
    <n v="14"/>
    <s v="DD"/>
    <s v="Order"/>
    <n v="9"/>
    <s v="Saturday"/>
    <x v="13"/>
    <n v="8"/>
    <n v="55.9"/>
    <d v="1899-12-30T03:43:00"/>
    <n v="3.7166666666666668"/>
    <n v="3.75"/>
    <s v="Dinner"/>
    <s v="Lewiston"/>
    <n v="3"/>
  </r>
  <r>
    <n v="15"/>
    <s v="DD"/>
    <s v="Order"/>
    <n v="10"/>
    <s v="Monday"/>
    <x v="14"/>
    <n v="4"/>
    <n v="37.5"/>
    <d v="1899-12-30T01:52:00"/>
    <n v="1.8666666666666667"/>
    <n v="1.75"/>
    <s v="Dinner"/>
    <s v="Brunswick/Bath/Freeport"/>
    <n v="2"/>
  </r>
  <r>
    <n v="16"/>
    <s v="DD"/>
    <s v="Order"/>
    <n v="10"/>
    <s v="Tuesday"/>
    <x v="15"/>
    <n v="4"/>
    <n v="29.5"/>
    <d v="1899-12-30T01:30:00"/>
    <n v="1.5"/>
    <n v="1.5"/>
    <s v="Dinner"/>
    <s v="Lewiston"/>
    <n v="3"/>
  </r>
  <r>
    <n v="17"/>
    <s v="UE"/>
    <s v="Order"/>
    <n v="10"/>
    <s v="Friday"/>
    <x v="16"/>
    <n v="7"/>
    <n v="142.68"/>
    <d v="1899-12-30T04:21:00"/>
    <n v="4.3499999999999996"/>
    <n v="4.25"/>
    <s v="Dinner"/>
    <s v="Portland"/>
    <n v="4"/>
  </r>
  <r>
    <n v="18"/>
    <s v="DD"/>
    <s v="Order"/>
    <n v="10"/>
    <s v="Saturday"/>
    <x v="17"/>
    <n v="1"/>
    <n v="8.75"/>
    <d v="1899-12-30T00:38:00"/>
    <n v="0.6333333333333333"/>
    <n v="0.75"/>
    <s v="Dinner"/>
    <s v="Brunswick/Bath/Freeport"/>
    <n v="2"/>
  </r>
  <r>
    <n v="19"/>
    <s v="UE"/>
    <s v="Order"/>
    <n v="10"/>
    <s v="Saturday"/>
    <x v="17"/>
    <n v="1"/>
    <n v="22.3"/>
    <d v="1899-12-30T00:29:00"/>
    <n v="0.48333333333333339"/>
    <n v="0.5"/>
    <s v="Dinner"/>
    <s v="Brunswick/Bath/Freeport"/>
    <n v="2"/>
  </r>
  <r>
    <n v="20"/>
    <s v="DD"/>
    <s v="Order"/>
    <n v="11"/>
    <s v="Tuesday"/>
    <x v="18"/>
    <n v="3"/>
    <n v="30.52"/>
    <d v="1899-12-30T00:58:00"/>
    <n v="0.96666666666666679"/>
    <n v="1"/>
    <s v="Dinner"/>
    <s v="Brunswick/Bath/Freeport"/>
    <n v="2"/>
  </r>
  <r>
    <n v="21"/>
    <s v="UE"/>
    <s v="Order"/>
    <n v="11"/>
    <s v="Tuesday"/>
    <x v="18"/>
    <n v="1"/>
    <n v="39.89"/>
    <d v="1899-12-30T01:17:00"/>
    <n v="1.2833333333333332"/>
    <n v="1.25"/>
    <s v="Dinner"/>
    <s v="Brunswick/Bath/Freeport"/>
    <n v="2"/>
  </r>
  <r>
    <n v="22"/>
    <s v="DD"/>
    <s v="Order"/>
    <n v="11"/>
    <s v="Wednesday"/>
    <x v="19"/>
    <n v="3"/>
    <n v="24"/>
    <d v="1899-12-30T01:25:00"/>
    <n v="1.4166666666666667"/>
    <n v="1.5"/>
    <s v="Dinner"/>
    <s v="Brunswick/Bath/Freeport"/>
    <n v="2"/>
  </r>
  <r>
    <n v="23"/>
    <s v="UE"/>
    <s v="Order"/>
    <n v="11"/>
    <s v="Wednesday"/>
    <x v="19"/>
    <n v="1"/>
    <n v="17.62"/>
    <d v="1899-12-30T00:58:00"/>
    <n v="0.96666666666666679"/>
    <n v="1"/>
    <s v="Dinner"/>
    <s v="Brunswick/Bath/Freeport"/>
    <n v="2"/>
  </r>
  <r>
    <n v="24"/>
    <s v="DD"/>
    <s v="Order"/>
    <n v="11"/>
    <s v="Friday"/>
    <x v="20"/>
    <n v="4"/>
    <n v="20.25"/>
    <d v="1899-12-30T01:53:00"/>
    <n v="1.8833333333333333"/>
    <n v="2"/>
    <s v="Dinner"/>
    <s v="Brunswick/Bath/Freeport"/>
    <n v="2"/>
  </r>
  <r>
    <n v="25"/>
    <s v="UE"/>
    <s v="Order"/>
    <n v="11"/>
    <s v="Friday"/>
    <x v="20"/>
    <n v="1"/>
    <n v="20.61"/>
    <d v="1899-12-30T00:31:00"/>
    <n v="0.51666666666666672"/>
    <n v="0.5"/>
    <s v="Dinner"/>
    <s v="Brunswick/Bath/Freeport"/>
    <n v="2"/>
  </r>
  <r>
    <n v="26"/>
    <s v="DD"/>
    <s v="Order"/>
    <n v="12"/>
    <s v="Monday"/>
    <x v="21"/>
    <n v="5"/>
    <n v="61.5"/>
    <d v="1899-12-30T01:59:00"/>
    <n v="1.9833333333333334"/>
    <n v="2"/>
    <s v="Dinner"/>
    <s v="Brunswick/Bath/Freeport"/>
    <n v="2"/>
  </r>
  <r>
    <n v="27"/>
    <s v="UE"/>
    <s v="Order"/>
    <n v="12"/>
    <s v="Monday"/>
    <x v="21"/>
    <n v="1"/>
    <n v="20.5"/>
    <d v="1899-12-30T00:52:00"/>
    <n v="0.8666666666666667"/>
    <n v="0.75"/>
    <s v="Dinner"/>
    <s v="Brunswick/Bath/Freeport"/>
    <n v="2"/>
  </r>
  <r>
    <n v="28"/>
    <s v="DD"/>
    <s v="Order"/>
    <n v="12"/>
    <s v="Wednesday"/>
    <x v="22"/>
    <n v="5"/>
    <n v="43.620000000000005"/>
    <d v="1899-12-30T01:51:00"/>
    <n v="1.85"/>
    <n v="1.75"/>
    <s v="Dinner"/>
    <s v="Brunswick/Bath/Freeport"/>
    <n v="2"/>
  </r>
  <r>
    <n v="29"/>
    <s v="UE"/>
    <s v="Order"/>
    <n v="12"/>
    <s v="Wednesday"/>
    <x v="22"/>
    <n v="2"/>
    <n v="40.17"/>
    <d v="1899-12-30T01:28:00"/>
    <n v="1.4666666666666668"/>
    <n v="1.5"/>
    <s v="Dinner"/>
    <s v="Brunswick/Bath/Freeport"/>
    <n v="2"/>
  </r>
  <r>
    <n v="30"/>
    <s v="UE"/>
    <s v="Order"/>
    <n v="12"/>
    <s v="Friday"/>
    <x v="23"/>
    <n v="6"/>
    <n v="122.86"/>
    <d v="1899-12-30T03:36:00"/>
    <n v="3.5999999999999996"/>
    <n v="3.5"/>
    <s v="Dinner"/>
    <s v="Portland"/>
    <n v="4"/>
  </r>
  <r>
    <n v="31"/>
    <s v="UE"/>
    <s v="Order"/>
    <n v="13"/>
    <s v="Monday"/>
    <x v="24"/>
    <n v="2"/>
    <n v="35.35"/>
    <d v="1899-12-30T00:50:00"/>
    <n v="0.83333333333333337"/>
    <n v="0.75"/>
    <s v="Dinner"/>
    <s v="Brunswick/Bath/Freeport"/>
    <n v="2"/>
  </r>
  <r>
    <n v="32"/>
    <s v="DD"/>
    <s v="Order"/>
    <n v="13"/>
    <s v="Monday"/>
    <x v="24"/>
    <n v="3"/>
    <n v="32.5"/>
    <d v="1899-12-30T01:29:00"/>
    <n v="1.4833333333333334"/>
    <n v="1.5"/>
    <s v="Dinner"/>
    <s v="Brunswick/Bath/Freeport"/>
    <n v="2"/>
  </r>
  <r>
    <n v="33"/>
    <s v="UE"/>
    <s v="Order"/>
    <n v="13"/>
    <s v="Wednesday"/>
    <x v="25"/>
    <n v="2"/>
    <n v="50.59"/>
    <d v="1899-12-30T01:39:00"/>
    <n v="1.65"/>
    <n v="1.75"/>
    <s v="Dinner"/>
    <s v="Brunswick/Bath/Freeport"/>
    <n v="2"/>
  </r>
  <r>
    <n v="34"/>
    <s v="DD"/>
    <s v="Order"/>
    <n v="13"/>
    <s v="Wednesday"/>
    <x v="25"/>
    <n v="4"/>
    <n v="40"/>
    <d v="1899-12-30T01:37:00"/>
    <n v="1.6166666666666667"/>
    <n v="1.5"/>
    <s v="Dinner"/>
    <s v="Brunswick/Bath/Freeport"/>
    <n v="2"/>
  </r>
  <r>
    <n v="35"/>
    <s v="UE"/>
    <s v="Order"/>
    <n v="13"/>
    <s v="Saturday"/>
    <x v="26"/>
    <n v="8"/>
    <n v="157.85"/>
    <d v="1899-12-30T06:00:00"/>
    <n v="6"/>
    <n v="6"/>
    <s v="Dinner"/>
    <s v="Brunswick/Bath/Freeport"/>
    <n v="2"/>
  </r>
  <r>
    <n v="36"/>
    <s v="DD"/>
    <s v="Order"/>
    <n v="13"/>
    <s v="Saturday"/>
    <x v="26"/>
    <n v="9"/>
    <n v="99.2"/>
    <d v="1899-12-30T04:19:00"/>
    <n v="4.3166666666666664"/>
    <n v="4.25"/>
    <s v="Dinner"/>
    <s v="Brunswick/Bath/Freeport"/>
    <n v="2"/>
  </r>
  <r>
    <n v="37"/>
    <s v="UE"/>
    <s v="Order"/>
    <n v="14"/>
    <s v="Saturday"/>
    <x v="27"/>
    <n v="1"/>
    <n v="17.739999999999998"/>
    <d v="1899-12-30T00:51:00"/>
    <n v="0.85"/>
    <n v="0.75"/>
    <s v="Lunch"/>
    <s v="Brunswick/Bath/Freeport"/>
    <n v="2"/>
  </r>
  <r>
    <n v="38"/>
    <s v="DD"/>
    <s v="Order"/>
    <n v="14"/>
    <s v="Saturday"/>
    <x v="27"/>
    <n v="2"/>
    <n v="18"/>
    <d v="1899-12-30T00:45:00"/>
    <n v="0.75"/>
    <n v="0.75"/>
    <s v="Lunch"/>
    <s v="Brunswick/Bath/Freeport"/>
    <n v="2"/>
  </r>
  <r>
    <n v="39"/>
    <s v="DD"/>
    <s v="Order"/>
    <n v="16"/>
    <s v="Friday"/>
    <x v="28"/>
    <n v="8"/>
    <n v="81"/>
    <d v="1899-12-30T05:32:00"/>
    <n v="5.5333333333333332"/>
    <n v="5.5"/>
    <s v="Dinner"/>
    <s v="Portland"/>
    <n v="4"/>
  </r>
  <r>
    <n v="40"/>
    <s v="UE"/>
    <s v="Order"/>
    <n v="16"/>
    <s v="Friday"/>
    <x v="28"/>
    <n v="4"/>
    <n v="58.62"/>
    <d v="1899-12-30T04:19:00"/>
    <n v="4.3166666666666664"/>
    <n v="4.25"/>
    <s v="Dinner"/>
    <s v="Portland"/>
    <n v="4"/>
  </r>
  <r>
    <n v="41"/>
    <s v="DD"/>
    <s v="Order"/>
    <n v="16"/>
    <s v="Saturday"/>
    <x v="29"/>
    <n v="3"/>
    <n v="24"/>
    <d v="1899-12-30T02:00:00"/>
    <n v="2"/>
    <n v="2"/>
    <s v="Dinner"/>
    <s v="Brunswick/Bath/Freeport"/>
    <n v="2"/>
  </r>
  <r>
    <n v="42"/>
    <s v="UE"/>
    <s v="Order"/>
    <n v="16"/>
    <s v="Saturday"/>
    <x v="29"/>
    <n v="3"/>
    <n v="59.04"/>
    <d v="1899-12-30T01:46:00"/>
    <n v="1.7666666666666666"/>
    <n v="1.75"/>
    <s v="Dinner"/>
    <s v="Brunswick/Bath/Freeport"/>
    <n v="2"/>
  </r>
  <r>
    <n v="43"/>
    <s v="DD"/>
    <s v="Order"/>
    <n v="16"/>
    <s v="Sunday"/>
    <x v="30"/>
    <n v="4"/>
    <n v="30.67"/>
    <d v="1899-12-30T01:34:00"/>
    <n v="1.5666666666666669"/>
    <n v="1.5"/>
    <s v="Lunch"/>
    <s v="Portland"/>
    <n v="4"/>
  </r>
  <r>
    <n v="44"/>
    <s v="DD"/>
    <s v="Order"/>
    <n v="17"/>
    <s v="Sunday"/>
    <x v="31"/>
    <n v="5"/>
    <n v="41"/>
    <d v="1899-12-30T01:41:00"/>
    <n v="1.6833333333333333"/>
    <n v="1.75"/>
    <s v="Lunch"/>
    <s v="Brunswick/Bath/Freeport"/>
    <n v="2"/>
  </r>
  <r>
    <n v="45"/>
    <s v="UE"/>
    <s v="Order"/>
    <n v="17"/>
    <s v="Sunday"/>
    <x v="31"/>
    <n v="0"/>
    <n v="0"/>
    <d v="1899-12-30T00:47:00"/>
    <n v="0.78333333333333344"/>
    <n v="0.75"/>
    <s v="Lunch"/>
    <s v="Brunswick/Bath/Freeport"/>
    <n v="2"/>
  </r>
  <r>
    <n v="46"/>
    <s v="DD"/>
    <s v="Order"/>
    <n v="18"/>
    <s v="Sunday"/>
    <x v="32"/>
    <n v="6"/>
    <n v="41"/>
    <d v="1899-12-30T02:46:00"/>
    <n v="2.7666666666666666"/>
    <n v="2.75"/>
    <s v="Dinner"/>
    <s v="Brunswick/Bath/Freeport"/>
    <n v="2"/>
  </r>
  <r>
    <n v="47"/>
    <s v="UE"/>
    <s v="Order"/>
    <n v="18"/>
    <s v="Sunday"/>
    <x v="32"/>
    <n v="0"/>
    <n v="0"/>
    <d v="1899-12-30T01:08:00"/>
    <n v="1.1333333333333333"/>
    <n v="1.25"/>
    <s v="Dinner"/>
    <s v="Brunswick/Bath/Freeport"/>
    <n v="2"/>
  </r>
  <r>
    <n v="48"/>
    <s v="UE"/>
    <s v="Order"/>
    <n v="19"/>
    <s v="Monday"/>
    <x v="33"/>
    <n v="2"/>
    <n v="36.549999999999997"/>
    <d v="1899-12-30T01:35:00"/>
    <n v="1.5833333333333335"/>
    <n v="1.5"/>
    <s v="Dinner"/>
    <s v="Brunswick/Bath/Freeport"/>
    <n v="2"/>
  </r>
  <r>
    <n v="49"/>
    <s v="DD"/>
    <s v="Order"/>
    <n v="19"/>
    <s v="Monday"/>
    <x v="33"/>
    <n v="5"/>
    <n v="37.58"/>
    <d v="1899-12-30T02:52:00"/>
    <n v="2.8666666666666667"/>
    <n v="2.75"/>
    <s v="Dinner"/>
    <s v="Brunswick/Bath/Freeport"/>
    <n v="2"/>
  </r>
  <r>
    <n v="50"/>
    <s v="DD"/>
    <s v="Order"/>
    <n v="19"/>
    <s v="Tuesday"/>
    <x v="34"/>
    <n v="3"/>
    <n v="26"/>
    <d v="1899-12-30T01:23:00"/>
    <n v="1.3833333333333333"/>
    <n v="1.5"/>
    <s v="Dinner"/>
    <s v="Brunswick/Bath/Freeport"/>
    <n v="2"/>
  </r>
  <r>
    <n v="51"/>
    <s v="UE"/>
    <s v="Order"/>
    <n v="19"/>
    <s v="Tuesday"/>
    <x v="34"/>
    <n v="0"/>
    <n v="0"/>
    <d v="1899-12-30T01:37:00"/>
    <n v="1.6166666666666667"/>
    <n v="1.5"/>
    <s v="Dinner"/>
    <s v="Brunswick/Bath/Freeport"/>
    <n v="2"/>
  </r>
  <r>
    <n v="52"/>
    <s v="UE"/>
    <s v="Order"/>
    <n v="19"/>
    <s v="Wednesday"/>
    <x v="35"/>
    <n v="7"/>
    <n v="104.94"/>
    <d v="1899-12-30T04:05:00"/>
    <n v="4.083333333333333"/>
    <n v="4"/>
    <s v="Dinner"/>
    <s v="Brunswick/Bath/Freeport"/>
    <n v="2"/>
  </r>
  <r>
    <n v="53"/>
    <s v="UE"/>
    <s v="Order"/>
    <n v="19"/>
    <s v="Thursday"/>
    <x v="36"/>
    <n v="3"/>
    <n v="30.47"/>
    <d v="1899-12-30T02:48:00"/>
    <n v="2.8"/>
    <n v="2.75"/>
    <s v="Dinner"/>
    <s v="Portland"/>
    <n v="4"/>
  </r>
  <r>
    <n v="54"/>
    <s v="DD"/>
    <s v="Order"/>
    <n v="19"/>
    <s v="Thursday"/>
    <x v="36"/>
    <n v="3"/>
    <n v="36.5"/>
    <d v="1899-12-30T02:36:00"/>
    <n v="2.6"/>
    <n v="2.5"/>
    <s v="Dinner"/>
    <s v="Portland"/>
    <n v="4"/>
  </r>
  <r>
    <n v="55"/>
    <s v="UE"/>
    <s v="Order"/>
    <n v="19"/>
    <s v="Friday"/>
    <x v="37"/>
    <n v="2"/>
    <n v="31.57"/>
    <d v="1899-12-30T02:16:00"/>
    <n v="2.2666666666666666"/>
    <n v="2.25"/>
    <s v="Dinner"/>
    <s v="Portland"/>
    <n v="4"/>
  </r>
  <r>
    <n v="56"/>
    <s v="DD"/>
    <s v="Order"/>
    <n v="19"/>
    <s v="Friday"/>
    <x v="37"/>
    <n v="9"/>
    <n v="55"/>
    <d v="1899-12-30T05:16:00"/>
    <n v="5.2666666666666666"/>
    <n v="5.25"/>
    <s v="Dinner"/>
    <s v="Portland"/>
    <n v="4"/>
  </r>
  <r>
    <n v="57"/>
    <s v="UE"/>
    <s v="Order"/>
    <n v="20"/>
    <s v="Wednesday"/>
    <x v="38"/>
    <n v="7"/>
    <n v="115.58"/>
    <d v="1899-12-30T03:57:00"/>
    <n v="3.95"/>
    <n v="4"/>
    <s v="Dinner"/>
    <s v="Brunswick/Bath/Freeport"/>
    <n v="2"/>
  </r>
  <r>
    <n v="58"/>
    <s v="DD"/>
    <s v="Order"/>
    <n v="20"/>
    <s v="Wednesday"/>
    <x v="38"/>
    <n v="4"/>
    <n v="30.5"/>
    <d v="1899-12-30T02:11:00"/>
    <n v="2.1833333333333331"/>
    <n v="2.25"/>
    <s v="Dinner"/>
    <s v="Brunswick/Bath/Freeport"/>
    <n v="2"/>
  </r>
  <r>
    <n v="59"/>
    <s v="UE"/>
    <s v="Order"/>
    <n v="20"/>
    <s v="Friday"/>
    <x v="39"/>
    <n v="4"/>
    <n v="86.24"/>
    <d v="1899-12-30T01:41:00"/>
    <n v="1.6833333333333333"/>
    <n v="1.75"/>
    <s v="Dinner"/>
    <s v="Portland"/>
    <n v="4"/>
  </r>
  <r>
    <n v="60"/>
    <s v="DD"/>
    <s v="Order"/>
    <n v="21"/>
    <s v="Monday"/>
    <x v="40"/>
    <n v="6"/>
    <n v="42"/>
    <d v="1899-12-30T03:14:00"/>
    <n v="3.2333333333333334"/>
    <n v="3.25"/>
    <s v="Dinner"/>
    <s v="Brunswick/Bath/Freeport"/>
    <n v="2"/>
  </r>
  <r>
    <n v="61"/>
    <s v="UE"/>
    <s v="Order"/>
    <n v="21"/>
    <s v="Monday"/>
    <x v="40"/>
    <n v="3"/>
    <n v="37.729999999999997"/>
    <d v="1899-12-30T01:58:00"/>
    <n v="1.9666666666666668"/>
    <n v="2"/>
    <s v="Dinner"/>
    <s v="Brunswick/Bath/Freeport"/>
    <n v="2"/>
  </r>
  <r>
    <n v="62"/>
    <s v="UE"/>
    <s v="Order"/>
    <n v="21"/>
    <s v="Thursday"/>
    <x v="41"/>
    <n v="2"/>
    <n v="19.61"/>
    <d v="1899-12-30T00:58:00"/>
    <n v="0.96666666666666679"/>
    <n v="1"/>
    <s v="Dinner"/>
    <s v="Brunswick/Bath/Freeport"/>
    <n v="2"/>
  </r>
  <r>
    <n v="63"/>
    <s v="UE"/>
    <s v="Order"/>
    <n v="21"/>
    <s v="Friday"/>
    <x v="42"/>
    <n v="3"/>
    <n v="43.87"/>
    <d v="1899-12-30T01:36:00"/>
    <n v="1.6"/>
    <n v="1.5"/>
    <s v="Dinner"/>
    <s v="Portland"/>
    <n v="4"/>
  </r>
  <r>
    <n v="64"/>
    <s v="DD"/>
    <s v="Order"/>
    <n v="21"/>
    <s v="Sunday"/>
    <x v="43"/>
    <n v="9"/>
    <n v="97.75"/>
    <d v="1899-12-30T05:39:00"/>
    <n v="5.65"/>
    <n v="5.75"/>
    <s v="Dinner"/>
    <s v="Portland"/>
    <n v="4"/>
  </r>
  <r>
    <n v="65"/>
    <s v="UE"/>
    <s v="Order"/>
    <n v="21"/>
    <s v="Sunday"/>
    <x v="43"/>
    <n v="5"/>
    <n v="92.05"/>
    <d v="1899-12-30T03:45:00"/>
    <n v="3.75"/>
    <n v="3.75"/>
    <s v="Lunch"/>
    <s v="Portland"/>
    <n v="4"/>
  </r>
  <r>
    <n v="66"/>
    <s v="UE"/>
    <s v="Order"/>
    <n v="22"/>
    <s v="Wednesday"/>
    <x v="44"/>
    <n v="3"/>
    <n v="23.91"/>
    <d v="1899-12-30T01:19:00"/>
    <n v="1.3166666666666667"/>
    <n v="1.25"/>
    <s v="Dinner"/>
    <s v="Lewiston"/>
    <n v="3"/>
  </r>
  <r>
    <n v="67"/>
    <s v="DD"/>
    <s v="Order"/>
    <n v="22"/>
    <s v="Wednesday"/>
    <x v="44"/>
    <n v="10"/>
    <n v="78.94"/>
    <d v="1899-12-30T03:57:00"/>
    <n v="3.95"/>
    <n v="4"/>
    <s v="Dinner"/>
    <s v="Lewiston"/>
    <n v="3"/>
  </r>
  <r>
    <n v="68"/>
    <s v="UE"/>
    <s v="Order"/>
    <n v="22"/>
    <s v="Saturday"/>
    <x v="45"/>
    <n v="1"/>
    <n v="12.75"/>
    <d v="1899-12-30T01:41:00"/>
    <n v="1.6833333333333333"/>
    <n v="1.75"/>
    <s v="Dinner"/>
    <s v="Brunswick/Bath/Freeport"/>
    <n v="2"/>
  </r>
  <r>
    <n v="69"/>
    <s v="DD"/>
    <s v="Order"/>
    <n v="22"/>
    <s v="Saturday"/>
    <x v="45"/>
    <n v="6"/>
    <n v="53.75"/>
    <d v="1899-12-30T04:57:00"/>
    <n v="4.9499999999999993"/>
    <n v="5"/>
    <s v="Dinner"/>
    <s v="Brunswick/Bath/Freeport"/>
    <n v="2"/>
  </r>
  <r>
    <n v="70"/>
    <s v="UE"/>
    <s v="Order"/>
    <n v="23"/>
    <s v="Monday"/>
    <x v="46"/>
    <n v="1"/>
    <n v="24.82"/>
    <d v="1899-12-30T01:37:00"/>
    <n v="1.6166666666666667"/>
    <n v="1.5"/>
    <s v="Dinner"/>
    <s v="Brunswick/Bath/Freeport"/>
    <n v="2"/>
  </r>
  <r>
    <n v="71"/>
    <s v="DD"/>
    <s v="Order"/>
    <n v="23"/>
    <s v="Monday"/>
    <x v="46"/>
    <n v="10"/>
    <n v="73.540000000000006"/>
    <d v="1899-12-30T03:47:00"/>
    <n v="3.7833333333333332"/>
    <n v="3.75"/>
    <s v="Dinner"/>
    <s v="Brunswick/Bath/Freeport"/>
    <n v="2"/>
  </r>
  <r>
    <n v="72"/>
    <s v="UE"/>
    <s v="Order"/>
    <n v="23"/>
    <s v="Thursday"/>
    <x v="47"/>
    <n v="0"/>
    <n v="0"/>
    <d v="1899-12-30T01:04:00"/>
    <n v="1.0666666666666667"/>
    <n v="1"/>
    <s v="Dinner"/>
    <s v="Lewiston"/>
    <n v="3"/>
  </r>
  <r>
    <n v="73"/>
    <s v="DD"/>
    <s v="Order"/>
    <n v="23"/>
    <s v="Thursday"/>
    <x v="47"/>
    <n v="6"/>
    <n v="56"/>
    <d v="1899-12-30T02:45:00"/>
    <n v="2.75"/>
    <n v="2.75"/>
    <s v="Dinner"/>
    <s v="Lewiston"/>
    <n v="3"/>
  </r>
  <r>
    <n v="74"/>
    <s v="UE"/>
    <s v="Order"/>
    <n v="23"/>
    <s v="Friday"/>
    <x v="48"/>
    <n v="4"/>
    <n v="47.64"/>
    <d v="1899-12-30T02:10:00"/>
    <n v="2.1666666666666665"/>
    <n v="2.25"/>
    <s v="Dinner"/>
    <s v="Lewiston"/>
    <n v="3"/>
  </r>
  <r>
    <n v="75"/>
    <s v="DD"/>
    <s v="Order"/>
    <n v="23"/>
    <s v="Friday"/>
    <x v="48"/>
    <n v="4"/>
    <n v="29.75"/>
    <d v="1899-12-30T03:48:00"/>
    <n v="3.8"/>
    <n v="3.75"/>
    <s v="Dinner"/>
    <s v="Lewiston"/>
    <n v="3"/>
  </r>
  <r>
    <n v="76"/>
    <s v="UE"/>
    <s v="Order"/>
    <n v="24"/>
    <s v="Monday"/>
    <x v="49"/>
    <n v="0"/>
    <n v="0"/>
    <d v="1899-12-30T01:07:00"/>
    <n v="1.1166666666666667"/>
    <n v="1"/>
    <s v="Dinner"/>
    <s v="Lewiston"/>
    <n v="3"/>
  </r>
  <r>
    <n v="77"/>
    <s v="DD"/>
    <s v="Order"/>
    <n v="24"/>
    <s v="Monday"/>
    <x v="49"/>
    <n v="5"/>
    <n v="24.75"/>
    <d v="1899-12-30T01:53:00"/>
    <n v="1.8833333333333333"/>
    <n v="2"/>
    <s v="Dinner"/>
    <s v="Lewiston"/>
    <n v="3"/>
  </r>
  <r>
    <n v="78"/>
    <s v="UE"/>
    <s v="Order"/>
    <n v="24"/>
    <s v="Saturday"/>
    <x v="50"/>
    <n v="2"/>
    <n v="26.34"/>
    <d v="1899-12-30T01:28:00"/>
    <n v="1.4666666666666668"/>
    <n v="1.5"/>
    <s v="Lunch"/>
    <s v="Portland"/>
    <n v="4"/>
  </r>
  <r>
    <n v="79"/>
    <s v="UE"/>
    <s v="Order"/>
    <n v="25"/>
    <s v="Monday"/>
    <x v="51"/>
    <n v="0"/>
    <n v="0"/>
    <d v="1899-12-30T01:09:00"/>
    <n v="1.1499999999999999"/>
    <n v="1.25"/>
    <s v="Dinner"/>
    <s v="Brunswick/Bath/Freeport"/>
    <n v="2"/>
  </r>
  <r>
    <n v="80"/>
    <s v="DD"/>
    <s v="Order"/>
    <n v="25"/>
    <s v="Monday"/>
    <x v="51"/>
    <n v="4"/>
    <n v="35.75"/>
    <d v="1899-12-30T02:33:00"/>
    <n v="2.5499999999999998"/>
    <n v="2.5"/>
    <s v="Dinner"/>
    <s v="Brunswick/Bath/Freeport"/>
    <n v="2"/>
  </r>
  <r>
    <n v="81"/>
    <s v="UE"/>
    <s v="Order"/>
    <n v="25"/>
    <s v="Saturday"/>
    <x v="52"/>
    <n v="7"/>
    <n v="87.73"/>
    <d v="1899-12-30T04:21:00"/>
    <n v="4.3499999999999996"/>
    <n v="4.25"/>
    <s v="Dinner"/>
    <s v="Portland"/>
    <n v="4"/>
  </r>
  <r>
    <n v="82"/>
    <s v="DD"/>
    <s v="Order"/>
    <n v="25"/>
    <s v="Saturday"/>
    <x v="52"/>
    <n v="8"/>
    <n v="55.25"/>
    <d v="1899-12-30T04:20:00"/>
    <n v="4.333333333333333"/>
    <n v="4.25"/>
    <s v="Dinner"/>
    <s v="Portland"/>
    <n v="4"/>
  </r>
  <r>
    <n v="83"/>
    <s v="UE"/>
    <s v="Order"/>
    <n v="25"/>
    <s v="Sunday"/>
    <x v="53"/>
    <n v="4"/>
    <n v="102.39"/>
    <d v="1899-12-30T04:00:00"/>
    <n v="4"/>
    <n v="4"/>
    <s v="Dinner"/>
    <s v="Portland"/>
    <n v="4"/>
  </r>
  <r>
    <n v="84"/>
    <s v="DD"/>
    <s v="Order"/>
    <n v="25"/>
    <s v="Sunday"/>
    <x v="53"/>
    <n v="1"/>
    <n v="8.5"/>
    <d v="1899-12-30T01:29:00"/>
    <n v="1.4833333333333334"/>
    <n v="1.5"/>
    <s v="Dinner"/>
    <s v="Portland"/>
    <n v="4"/>
  </r>
  <r>
    <n v="85"/>
    <s v="UE"/>
    <s v="Order"/>
    <n v="26"/>
    <s v="Tuesday"/>
    <x v="54"/>
    <n v="1"/>
    <n v="30.28"/>
    <d v="1899-12-30T01:31:00"/>
    <n v="1.5166666666666666"/>
    <n v="1.5"/>
    <s v="Dinner"/>
    <s v="Brunswick/Bath/Freeport"/>
    <n v="2"/>
  </r>
  <r>
    <n v="86"/>
    <s v="DD"/>
    <s v="Order"/>
    <n v="26"/>
    <s v="Tuesday"/>
    <x v="54"/>
    <n v="1"/>
    <n v="2.63"/>
    <d v="1899-12-30T01:43:00"/>
    <n v="1.7166666666666668"/>
    <n v="1.75"/>
    <s v="Dinner"/>
    <s v="Brunswick/Bath/Freeport"/>
    <n v="2"/>
  </r>
  <r>
    <n v="87"/>
    <s v="UE"/>
    <s v="Order"/>
    <n v="26"/>
    <s v="Thursday"/>
    <x v="55"/>
    <n v="1"/>
    <n v="15.25"/>
    <d v="1899-12-30T01:05:00"/>
    <n v="1.0833333333333333"/>
    <n v="1"/>
    <s v="Dinner"/>
    <s v="Brunswick/Bath/Freeport"/>
    <n v="2"/>
  </r>
  <r>
    <n v="88"/>
    <s v="DD"/>
    <s v="Order"/>
    <n v="26"/>
    <s v="Thursday"/>
    <x v="55"/>
    <n v="7"/>
    <n v="53.56"/>
    <d v="1899-12-30T02:59:00"/>
    <n v="2.9833333333333334"/>
    <n v="3"/>
    <s v="Dinner"/>
    <s v="Brunswick/Bath/Freeport"/>
    <n v="2"/>
  </r>
  <r>
    <n v="89"/>
    <s v="UE"/>
    <s v="Order"/>
    <n v="26"/>
    <s v="Saturday"/>
    <x v="56"/>
    <n v="5"/>
    <n v="51.54"/>
    <d v="1899-12-30T03:32:00"/>
    <n v="3.5333333333333332"/>
    <n v="3.5"/>
    <s v="Dinner"/>
    <s v="Portland"/>
    <n v="4"/>
  </r>
  <r>
    <n v="90"/>
    <s v="DD"/>
    <s v="Order"/>
    <n v="26"/>
    <s v="Saturday"/>
    <x v="56"/>
    <n v="13"/>
    <n v="82.82"/>
    <d v="1899-12-30T05:43:00"/>
    <n v="5.7166666666666668"/>
    <n v="5.75"/>
    <s v="Dinner"/>
    <s v="Portland"/>
    <n v="4"/>
  </r>
  <r>
    <n v="91"/>
    <s v="UE"/>
    <s v="Order"/>
    <n v="27"/>
    <s v="Tuesday"/>
    <x v="57"/>
    <n v="2"/>
    <n v="37.43"/>
    <d v="1899-12-30T01:19:00"/>
    <n v="1.3166666666666667"/>
    <n v="1.25"/>
    <s v="Dinner"/>
    <s v="Brunswick/Bath/Freeport"/>
    <n v="2"/>
  </r>
  <r>
    <n v="92"/>
    <s v="DD"/>
    <s v="Order"/>
    <n v="27"/>
    <s v="Tuesday"/>
    <x v="57"/>
    <n v="7"/>
    <n v="60.75"/>
    <d v="1899-12-30T03:34:00"/>
    <n v="3.5666666666666664"/>
    <n v="3.5"/>
    <s v="Dinner"/>
    <s v="Brunswick/Bath/Freeport"/>
    <n v="2"/>
  </r>
  <r>
    <n v="93"/>
    <s v="UE"/>
    <s v="Order"/>
    <n v="27"/>
    <s v="Friday"/>
    <x v="58"/>
    <n v="0"/>
    <n v="0"/>
    <d v="1899-12-30T01:27:00"/>
    <n v="1.45"/>
    <n v="1.5"/>
    <s v="Dinner"/>
    <s v="Portland"/>
    <n v="4"/>
  </r>
  <r>
    <n v="94"/>
    <s v="DD"/>
    <s v="Order"/>
    <n v="27"/>
    <s v="Friday"/>
    <x v="58"/>
    <n v="7"/>
    <n v="50.5"/>
    <d v="1899-12-30T03:14:00"/>
    <n v="3.2333333333333334"/>
    <n v="3.25"/>
    <s v="Dinner"/>
    <s v="Portland"/>
    <n v="4"/>
  </r>
  <r>
    <n v="95"/>
    <s v="UE"/>
    <s v="Order"/>
    <n v="27"/>
    <s v="Saturday"/>
    <x v="59"/>
    <n v="0"/>
    <n v="0"/>
    <d v="1899-12-30T02:10:00"/>
    <n v="2.1666666666666665"/>
    <n v="2.25"/>
    <s v="Lunch"/>
    <s v="Brunswick/Bath/Freeport"/>
    <n v="2"/>
  </r>
  <r>
    <n v="96"/>
    <s v="DD"/>
    <s v="Order"/>
    <n v="27"/>
    <s v="Saturday"/>
    <x v="59"/>
    <n v="7"/>
    <n v="52"/>
    <d v="1899-12-30T04:20:00"/>
    <n v="4.3333333333333339"/>
    <n v="4.25"/>
    <s v="Lunch"/>
    <s v="Brunswick/Bath/Freeport"/>
    <n v="2"/>
  </r>
  <r>
    <n v="97"/>
    <s v="UE"/>
    <s v="Order"/>
    <n v="30"/>
    <s v="Saturday"/>
    <x v="60"/>
    <n v="0"/>
    <n v="0"/>
    <d v="1899-12-30T00:38:00"/>
    <n v="0.6333333333333333"/>
    <n v="0.75"/>
    <s v="Dinner"/>
    <s v="Brunswick/Bath/Freeport"/>
    <n v="2"/>
  </r>
  <r>
    <n v="98"/>
    <s v="DD"/>
    <s v="Order"/>
    <n v="30"/>
    <s v="Saturday"/>
    <x v="60"/>
    <n v="3"/>
    <n v="24"/>
    <d v="1899-12-30T01:34:00"/>
    <n v="1.5666666666666669"/>
    <n v="1.5"/>
    <s v="Dinner"/>
    <s v="Brunswick/Bath/Freeport"/>
    <n v="2"/>
  </r>
  <r>
    <n v="99"/>
    <s v="UE"/>
    <s v="Order"/>
    <n v="31"/>
    <s v="Saturday"/>
    <x v="61"/>
    <n v="1"/>
    <n v="14.2"/>
    <d v="1899-12-30T00:40:00"/>
    <n v="0.66666666666666663"/>
    <n v="0.75"/>
    <s v="Lunch"/>
    <s v="Brunswick/Bath/Freeport"/>
    <n v="2"/>
  </r>
  <r>
    <n v="100"/>
    <s v="DD"/>
    <s v="Order"/>
    <n v="31"/>
    <s v="Saturday"/>
    <x v="61"/>
    <n v="2"/>
    <n v="14"/>
    <d v="1899-12-30T00:48:00"/>
    <n v="0.8"/>
    <n v="0.75"/>
    <s v="Lunch"/>
    <s v="Brunswick/Bath/Freeport"/>
    <n v="2"/>
  </r>
  <r>
    <n v="101"/>
    <s v="UE"/>
    <s v="Order"/>
    <n v="31"/>
    <s v="Sunday"/>
    <x v="62"/>
    <n v="2"/>
    <n v="27.8"/>
    <d v="1899-12-30T00:50:00"/>
    <n v="0.83333333333333337"/>
    <n v="0.75"/>
    <s v="Dinner"/>
    <s v="Brunswick/Bath/Freeport"/>
    <n v="2"/>
  </r>
  <r>
    <n v="102"/>
    <s v="DD"/>
    <s v="Order"/>
    <n v="36"/>
    <s v="Monday"/>
    <x v="63"/>
    <n v="2"/>
    <n v="16"/>
    <d v="1899-12-30T00:54:00"/>
    <n v="0.89999999999999991"/>
    <n v="1"/>
    <s v="Dinner"/>
    <s v="Brunswick/Bath/Freeport"/>
    <n v="2"/>
  </r>
  <r>
    <n v="103"/>
    <s v="DD"/>
    <s v="Order"/>
    <n v="36"/>
    <s v="Tuesday"/>
    <x v="64"/>
    <n v="4"/>
    <n v="23.25"/>
    <d v="1899-12-30T01:27:00"/>
    <n v="1.45"/>
    <n v="1.5"/>
    <s v="Dinner"/>
    <s v="Brunswick/Bath/Freeport"/>
    <n v="2"/>
  </r>
  <r>
    <n v="104"/>
    <s v="UE"/>
    <s v="Order"/>
    <n v="36"/>
    <s v="Tuesday"/>
    <x v="64"/>
    <n v="2"/>
    <n v="30.41"/>
    <d v="1899-12-30T01:13:00"/>
    <n v="1.2166666666666668"/>
    <n v="1.25"/>
    <s v="Dinner"/>
    <s v="Brunswick/Bath/Freeport"/>
    <n v="2"/>
  </r>
  <r>
    <n v="105"/>
    <s v="DD"/>
    <s v="Order"/>
    <n v="37"/>
    <s v="Friday"/>
    <x v="65"/>
    <n v="10"/>
    <n v="83.36"/>
    <d v="1899-12-30T03:43:00"/>
    <n v="3.7166666666666668"/>
    <n v="3.75"/>
    <s v="Dinner"/>
    <s v="Brunswick/Bath/Freeport"/>
    <n v="2"/>
  </r>
  <r>
    <n v="106"/>
    <s v="DD"/>
    <s v="Order"/>
    <n v="37"/>
    <s v="Sunday"/>
    <x v="66"/>
    <n v="2"/>
    <n v="20.149999999999999"/>
    <d v="1899-12-30T00:43:00"/>
    <n v="0.71666666666666667"/>
    <n v="0.75"/>
    <s v="Dinner"/>
    <s v="Brunswick/Bath/Freeport"/>
    <n v="2"/>
  </r>
  <r>
    <n v="107"/>
    <s v="DD"/>
    <s v="Order"/>
    <n v="38"/>
    <s v="Thursday"/>
    <x v="67"/>
    <n v="4"/>
    <n v="39.5"/>
    <d v="1899-12-30T02:15:00"/>
    <n v="2.25"/>
    <n v="2.25"/>
    <s v="Dinner"/>
    <s v="Brunswick/Bath/Freeport"/>
    <n v="2"/>
  </r>
  <r>
    <n v="108"/>
    <s v="DD"/>
    <s v="Order"/>
    <n v="39"/>
    <s v="Saturday"/>
    <x v="68"/>
    <n v="14"/>
    <n v="142.32"/>
    <d v="1899-12-30T08:50:00"/>
    <n v="8.8333333333333339"/>
    <n v="8.75"/>
    <s v="Dinner"/>
    <s v="Brunswick/Bath/Freeport"/>
    <n v="2"/>
  </r>
  <r>
    <n v="109"/>
    <s v="UE"/>
    <s v="Order"/>
    <n v="39"/>
    <s v="Saturday"/>
    <x v="68"/>
    <n v="2"/>
    <n v="37.08"/>
    <d v="1899-12-30T01:34:00"/>
    <n v="1.5666666666666669"/>
    <n v="1.5"/>
    <s v="Dinner"/>
    <s v="Brunswick/Bath/Freeport"/>
    <n v="2"/>
  </r>
  <r>
    <n v="110"/>
    <s v="DD"/>
    <s v="Order"/>
    <n v="40"/>
    <s v="Saturday"/>
    <x v="69"/>
    <n v="5"/>
    <n v="35.75"/>
    <d v="1899-12-30T02:24:00"/>
    <n v="2.4"/>
    <n v="2.5"/>
    <s v="Dinner"/>
    <s v="Brunswick/Bath/Freeport"/>
    <n v="2"/>
  </r>
  <r>
    <n v="111"/>
    <s v="DD"/>
    <s v="Order"/>
    <n v="41"/>
    <s v="Sunday"/>
    <x v="70"/>
    <n v="2"/>
    <n v="22.5"/>
    <d v="1899-12-30T01:02:00"/>
    <n v="1.0333333333333334"/>
    <n v="1"/>
    <s v="Dinner"/>
    <s v="Brunswick/Bath/Freeport"/>
    <n v="2"/>
  </r>
  <r>
    <n v="112"/>
    <s v="DD"/>
    <s v="Order"/>
    <n v="42"/>
    <s v="Monday"/>
    <x v="71"/>
    <n v="3"/>
    <n v="43.75"/>
    <d v="1899-12-30T02:45:00"/>
    <n v="2.75"/>
    <n v="2.75"/>
    <s v="Dinner"/>
    <s v="Brunswick/Bath/Freeport"/>
    <n v="2"/>
  </r>
  <r>
    <n v="113"/>
    <s v="DD"/>
    <s v="Order"/>
    <n v="43"/>
    <s v="Sunday"/>
    <x v="72"/>
    <n v="12"/>
    <n v="99.44"/>
    <d v="1899-12-30T04:52:00"/>
    <n v="4.8666666666666671"/>
    <n v="4.75"/>
    <s v="Dinner"/>
    <s v="Brunswick/Bath/Freeport"/>
    <n v="2"/>
  </r>
  <r>
    <n v="114"/>
    <s v="UE"/>
    <s v="Order"/>
    <n v="43"/>
    <s v="Sunday"/>
    <x v="72"/>
    <n v="2"/>
    <n v="38.07"/>
    <d v="1899-12-30T01:38:00"/>
    <n v="1.6333333333333333"/>
    <n v="1.75"/>
    <s v="Dinner"/>
    <s v="Brunswick/Bath/Freeport"/>
    <n v="2"/>
  </r>
  <r>
    <n v="115"/>
    <s v="DD"/>
    <s v="Order"/>
    <n v="44"/>
    <s v="Monday"/>
    <x v="73"/>
    <n v="8"/>
    <n v="67.37"/>
    <d v="1899-12-30T03:23:00"/>
    <n v="3.3833333333333333"/>
    <n v="3.5"/>
    <s v="Dinner"/>
    <s v="Brunswick/Bath/Freeport"/>
    <n v="2"/>
  </r>
  <r>
    <n v="116"/>
    <s v="UE"/>
    <s v="Order"/>
    <n v="44"/>
    <s v="Monday"/>
    <x v="73"/>
    <n v="1"/>
    <n v="12.84"/>
    <d v="1899-12-30T01:18:00"/>
    <n v="1.3"/>
    <n v="1.25"/>
    <s v="Dinner"/>
    <s v="Brunswick/Bath/Freeport"/>
    <n v="2"/>
  </r>
  <r>
    <n v="117"/>
    <s v="DD"/>
    <s v="Order"/>
    <n v="45"/>
    <s v="Tuesday"/>
    <x v="74"/>
    <n v="4"/>
    <n v="27.5"/>
    <d v="1899-12-30T01:06:00"/>
    <n v="1.1000000000000001"/>
    <n v="1"/>
    <s v="Dinner"/>
    <s v="Brunswick/Bath/Freeport"/>
    <n v="2"/>
  </r>
  <r>
    <n v="118"/>
    <s v="DD"/>
    <s v="Order"/>
    <n v="45"/>
    <s v="Friday"/>
    <x v="75"/>
    <n v="3"/>
    <n v="32.5"/>
    <d v="1899-12-30T02:32:00"/>
    <n v="2.5333333333333337"/>
    <n v="2.5"/>
    <s v="Dinner"/>
    <s v="Brunswick/Bath/Freeport"/>
    <n v="2"/>
  </r>
  <r>
    <n v="119"/>
    <s v="UE"/>
    <s v="Order"/>
    <n v="45"/>
    <s v="Friday"/>
    <x v="75"/>
    <n v="3"/>
    <n v="44.6"/>
    <d v="1899-12-30T03:13:00"/>
    <n v="3.2166666666666668"/>
    <n v="3.25"/>
    <s v="Dinner"/>
    <s v="Brunswick/Bath/Freeport"/>
    <n v="2"/>
  </r>
  <r>
    <n v="120"/>
    <s v="DD"/>
    <s v="Order"/>
    <n v="45"/>
    <s v="Sunday"/>
    <x v="76"/>
    <n v="4"/>
    <n v="30.46"/>
    <d v="1899-12-30T02:11:00"/>
    <n v="2.1833333333333331"/>
    <n v="2.25"/>
    <s v="Lunch"/>
    <s v="Lewiston"/>
    <n v="3"/>
  </r>
  <r>
    <n v="121"/>
    <s v="UE"/>
    <s v="Order"/>
    <n v="45"/>
    <s v="Sunday"/>
    <x v="76"/>
    <n v="1"/>
    <n v="9.94"/>
    <d v="1899-12-30T00:17:00"/>
    <n v="0.28333333333333333"/>
    <n v="0.25"/>
    <s v="Lunch"/>
    <s v="Lewiston"/>
    <n v="3"/>
  </r>
  <r>
    <n v="122"/>
    <s v="UE"/>
    <s v="Order"/>
    <n v="46"/>
    <s v="Tuesday"/>
    <x v="77"/>
    <n v="6"/>
    <n v="97.49"/>
    <d v="1899-12-30T03:06:00"/>
    <n v="3.1000000000000005"/>
    <n v="3"/>
    <s v="Dinner"/>
    <s v="Brunswick/Bath/Freeport"/>
    <n v="2"/>
  </r>
  <r>
    <n v="123"/>
    <s v="DD"/>
    <s v="Order"/>
    <n v="46"/>
    <s v="Tuesday"/>
    <x v="77"/>
    <n v="3"/>
    <n v="22.25"/>
    <d v="1899-12-30T02:26:00"/>
    <n v="2.4333333333333336"/>
    <n v="2.5"/>
    <s v="Dinner"/>
    <s v="Brunswick/Bath/Freeport"/>
    <n v="2"/>
  </r>
  <r>
    <n v="124"/>
    <s v="UE"/>
    <s v="Order"/>
    <n v="46"/>
    <s v="Thursday"/>
    <x v="78"/>
    <n v="3"/>
    <n v="47.14"/>
    <d v="1899-12-30T02:37:00"/>
    <n v="2.6166666666666667"/>
    <n v="2.5"/>
    <s v="Dinner"/>
    <s v="Brunswick/Bath/Freeport"/>
    <n v="2"/>
  </r>
  <r>
    <n v="125"/>
    <s v="DD"/>
    <s v="Order"/>
    <n v="46"/>
    <s v="Thursday"/>
    <x v="78"/>
    <n v="2"/>
    <n v="13.84"/>
    <d v="1899-12-30T01:06:00"/>
    <n v="1.1000000000000001"/>
    <n v="1"/>
    <s v="Dinner"/>
    <s v="Brunswick/Bath/Freeport"/>
    <n v="2"/>
  </r>
  <r>
    <n v="126"/>
    <s v="DD"/>
    <s v="Order"/>
    <n v="46"/>
    <s v="Thursday"/>
    <x v="78"/>
    <n v="4"/>
    <n v="22.25"/>
    <d v="1899-12-30T01:29:00"/>
    <n v="1.4833333333333334"/>
    <n v="1.5"/>
    <s v="Dinner"/>
    <s v="Portland"/>
    <n v="4"/>
  </r>
  <r>
    <n v="127"/>
    <s v="DD"/>
    <s v="Order"/>
    <n v="46"/>
    <s v="Sunday"/>
    <x v="79"/>
    <n v="6"/>
    <n v="44.5"/>
    <d v="1899-12-30T03:28:00"/>
    <n v="3.4666666666666663"/>
    <n v="3.5"/>
    <s v="Dinner"/>
    <s v="Lewiston"/>
    <n v="3"/>
  </r>
  <r>
    <n v="128"/>
    <s v="UE"/>
    <s v="Order"/>
    <n v="46"/>
    <s v="Sunday"/>
    <x v="79"/>
    <n v="6"/>
    <n v="57.949999999999996"/>
    <d v="1899-12-30T01:35:00"/>
    <n v="1.5833333333333335"/>
    <n v="1.5"/>
    <s v="Dinner"/>
    <s v="Lewiston"/>
    <n v="3"/>
  </r>
  <r>
    <n v="129"/>
    <s v="DD"/>
    <s v="Order"/>
    <n v="47"/>
    <s v="Monday"/>
    <x v="80"/>
    <n v="7"/>
    <n v="55.69"/>
    <d v="1899-12-30T04:14:00"/>
    <n v="4.2333333333333334"/>
    <n v="4.25"/>
    <s v="Dinner"/>
    <s v="Portland"/>
    <n v="4"/>
  </r>
  <r>
    <n v="130"/>
    <s v="UE"/>
    <s v="Order"/>
    <n v="47"/>
    <s v="Monday"/>
    <x v="80"/>
    <n v="6"/>
    <n v="61.12"/>
    <d v="1899-12-30T02:52:00"/>
    <n v="2.8666666666666667"/>
    <n v="2.75"/>
    <s v="Dinner"/>
    <s v="Portland"/>
    <n v="4"/>
  </r>
  <r>
    <n v="131"/>
    <s v="DD"/>
    <s v="Order"/>
    <n v="47"/>
    <s v="Tuesday"/>
    <x v="81"/>
    <n v="6"/>
    <n v="40"/>
    <d v="1899-12-30T03:30:00"/>
    <n v="3.5"/>
    <n v="3.5"/>
    <s v="Dinner"/>
    <s v="Portland"/>
    <n v="4"/>
  </r>
  <r>
    <n v="132"/>
    <s v="UE"/>
    <s v="Order"/>
    <n v="47"/>
    <s v="Tuesday"/>
    <x v="81"/>
    <n v="5"/>
    <n v="47.54"/>
    <d v="1899-12-30T03:02:00"/>
    <n v="3.0333333333333332"/>
    <n v="3"/>
    <s v="Dinner"/>
    <s v="Portland"/>
    <n v="4"/>
  </r>
  <r>
    <n v="133"/>
    <s v="DD"/>
    <s v="Order"/>
    <n v="47"/>
    <s v="Wednesday"/>
    <x v="82"/>
    <n v="2"/>
    <n v="13.25"/>
    <d v="1899-12-30T01:32:00"/>
    <n v="1.5333333333333332"/>
    <n v="1.5"/>
    <s v="Dinner"/>
    <s v="Portland"/>
    <n v="4"/>
  </r>
  <r>
    <n v="134"/>
    <s v="UE"/>
    <s v="Order"/>
    <n v="47"/>
    <s v="Friday"/>
    <x v="83"/>
    <n v="4"/>
    <n v="36.28"/>
    <d v="1899-12-30T03:45:00"/>
    <n v="3.75"/>
    <n v="3.75"/>
    <s v="Late Night"/>
    <s v="Lewiston"/>
    <n v="3"/>
  </r>
  <r>
    <n v="135"/>
    <s v="DD"/>
    <s v="Order"/>
    <n v="47"/>
    <s v="Friday"/>
    <x v="83"/>
    <n v="1"/>
    <n v="12.5"/>
    <d v="1899-12-30T01:28:00"/>
    <n v="1.4666666666666668"/>
    <n v="1.5"/>
    <s v="Late Night"/>
    <s v="Lewiston"/>
    <n v="3"/>
  </r>
  <r>
    <n v="136"/>
    <s v="DD"/>
    <s v="Order"/>
    <n v="47"/>
    <s v="Friday"/>
    <x v="83"/>
    <n v="3"/>
    <n v="24.25"/>
    <d v="1899-12-30T01:45:00"/>
    <n v="1.75"/>
    <n v="1.75"/>
    <s v="Late Night"/>
    <s v="Portland"/>
    <n v="4"/>
  </r>
  <r>
    <n v="137"/>
    <s v="DD"/>
    <s v="Order"/>
    <n v="47"/>
    <s v="Sunday"/>
    <x v="84"/>
    <n v="3"/>
    <n v="19.75"/>
    <d v="1899-12-30T02:50:00"/>
    <n v="2.833333333333333"/>
    <n v="2.75"/>
    <s v="Dinner"/>
    <s v="Lewiston"/>
    <n v="3"/>
  </r>
  <r>
    <n v="138"/>
    <s v="UE"/>
    <s v="Order"/>
    <n v="47"/>
    <s v="Sunday"/>
    <x v="84"/>
    <n v="3"/>
    <n v="43.5"/>
    <d v="1899-12-30T01:52:00"/>
    <n v="1.8666666666666667"/>
    <n v="1.75"/>
    <s v="Dinner"/>
    <s v="Lewiston"/>
    <n v="3"/>
  </r>
  <r>
    <n v="139"/>
    <s v="DD"/>
    <s v="Order"/>
    <n v="48"/>
    <s v="Monday"/>
    <x v="85"/>
    <n v="7"/>
    <n v="61.57"/>
    <d v="1899-12-30T03:30:00"/>
    <n v="3.5"/>
    <n v="3.5"/>
    <s v="Dinner"/>
    <s v="Brunswick/Bath/Freeport"/>
    <n v="2"/>
  </r>
  <r>
    <n v="140"/>
    <s v="UE"/>
    <s v="Order"/>
    <n v="48"/>
    <s v="Monday"/>
    <x v="85"/>
    <n v="4"/>
    <n v="58.43"/>
    <d v="1899-12-30T02:42:00"/>
    <n v="2.7"/>
    <n v="2.75"/>
    <s v="Dinner"/>
    <s v="Brunswick/Bath/Freeport"/>
    <n v="2"/>
  </r>
  <r>
    <n v="141"/>
    <s v="UE"/>
    <s v="Order"/>
    <n v="48"/>
    <s v="Saturday"/>
    <x v="86"/>
    <n v="9"/>
    <n v="126.7"/>
    <d v="1899-12-30T06:15:00"/>
    <n v="6.25"/>
    <n v="6.25"/>
    <s v="Dinner"/>
    <s v="Portland"/>
    <n v="4"/>
  </r>
  <r>
    <n v="142"/>
    <s v="DD"/>
    <s v="Order"/>
    <n v="48"/>
    <s v="Saturday"/>
    <x v="86"/>
    <n v="15"/>
    <n v="135.25"/>
    <d v="1899-12-30T06:37:00"/>
    <n v="6.6166666666666671"/>
    <n v="6.5"/>
    <s v="Dinner"/>
    <s v="Portland"/>
    <n v="4"/>
  </r>
  <r>
    <n v="143"/>
    <s v="DD"/>
    <s v="Order"/>
    <n v="48"/>
    <s v="Saturday"/>
    <x v="86"/>
    <n v="2"/>
    <n v="18.5"/>
    <d v="1899-12-30T02:03:00"/>
    <n v="2.0499999999999998"/>
    <n v="2"/>
    <s v="Late Night"/>
    <s v="Portland"/>
    <n v="4"/>
  </r>
  <r>
    <n v="144"/>
    <s v="UE"/>
    <s v="Order"/>
    <n v="49"/>
    <s v="Monday"/>
    <x v="87"/>
    <n v="10"/>
    <n v="80"/>
    <d v="1899-12-30T03:48:00"/>
    <n v="3.8"/>
    <n v="3.75"/>
    <s v="Dinner"/>
    <s v="Lewiston"/>
    <n v="3"/>
  </r>
  <r>
    <n v="145"/>
    <s v="DD"/>
    <s v="Order"/>
    <n v="49"/>
    <s v="Monday"/>
    <x v="87"/>
    <n v="4"/>
    <n v="33"/>
    <d v="1899-12-30T03:22:00"/>
    <n v="3.3666666666666667"/>
    <n v="3.25"/>
    <s v="Dinner"/>
    <s v="Lewiston"/>
    <n v="3"/>
  </r>
  <r>
    <n v="146"/>
    <s v="UE"/>
    <s v="Order"/>
    <n v="49"/>
    <s v="Friday"/>
    <x v="88"/>
    <n v="4"/>
    <n v="40.909999999999997"/>
    <d v="1899-12-30T02:57:00"/>
    <n v="2.95"/>
    <n v="3"/>
    <s v="Dinner"/>
    <s v="Portland"/>
    <n v="4"/>
  </r>
  <r>
    <n v="147"/>
    <s v="DD"/>
    <s v="Order"/>
    <n v="49"/>
    <s v="Friday"/>
    <x v="88"/>
    <n v="5"/>
    <n v="46.25"/>
    <d v="1899-12-30T03:02:00"/>
    <n v="3.0333333333333332"/>
    <n v="3"/>
    <s v="Dinner"/>
    <s v="Portland"/>
    <n v="4"/>
  </r>
  <r>
    <n v="148"/>
    <s v="DD"/>
    <s v="Order"/>
    <n v="49"/>
    <s v="Friday"/>
    <x v="88"/>
    <n v="2"/>
    <n v="28.5"/>
    <d v="1899-12-30T01:45:00"/>
    <n v="1.75"/>
    <n v="1.75"/>
    <s v="Late Night"/>
    <s v="Portland"/>
    <n v="4"/>
  </r>
  <r>
    <n v="149"/>
    <s v="UE"/>
    <s v="Order"/>
    <n v="50"/>
    <s v="Monday"/>
    <x v="89"/>
    <n v="2"/>
    <n v="30.71"/>
    <d v="1899-12-30T02:02:00"/>
    <n v="2.0333333333333332"/>
    <n v="2"/>
    <s v="Dinner"/>
    <s v="Brunswick/Bath/Freeport"/>
    <n v="2"/>
  </r>
  <r>
    <n v="150"/>
    <s v="DD"/>
    <s v="Order"/>
    <n v="50"/>
    <s v="Monday"/>
    <x v="89"/>
    <n v="8"/>
    <n v="76.75"/>
    <d v="1899-12-30T03:51:00"/>
    <n v="3.8500000000000005"/>
    <n v="3.75"/>
    <s v="Dinner"/>
    <s v="Brunswick/Bath/Freeport"/>
    <n v="2"/>
  </r>
  <r>
    <n v="151"/>
    <s v="DD"/>
    <s v="Order"/>
    <n v="50"/>
    <s v="Monday"/>
    <x v="89"/>
    <n v="1"/>
    <n v="9.75"/>
    <d v="1899-12-30T01:23:00"/>
    <n v="1.3833333333333333"/>
    <n v="1.5"/>
    <s v="Late Night"/>
    <s v="Portland"/>
    <n v="4"/>
  </r>
  <r>
    <n v="152"/>
    <s v="UE"/>
    <s v="Order"/>
    <n v="50"/>
    <s v="Tuesday"/>
    <x v="90"/>
    <n v="1"/>
    <n v="25.57"/>
    <d v="1899-12-30T01:29:00"/>
    <n v="1.4833333333333334"/>
    <n v="1.5"/>
    <s v="Dinner"/>
    <s v="Lewiston"/>
    <n v="3"/>
  </r>
  <r>
    <n v="153"/>
    <s v="DD"/>
    <s v="Order"/>
    <n v="50"/>
    <s v="Tuesday"/>
    <x v="90"/>
    <n v="5"/>
    <n v="37"/>
    <d v="1899-12-30T01:38:00"/>
    <n v="1.6333333333333333"/>
    <n v="1.75"/>
    <s v="Dinner"/>
    <s v="Lewiston"/>
    <n v="3"/>
  </r>
  <r>
    <n v="154"/>
    <s v="UE"/>
    <s v="Order"/>
    <n v="50"/>
    <s v="Friday"/>
    <x v="91"/>
    <n v="3"/>
    <n v="37.729999999999997"/>
    <d v="1899-12-30T03:50:00"/>
    <n v="3.8333333333333339"/>
    <n v="3.75"/>
    <s v="Late Night"/>
    <s v="Portland"/>
    <n v="4"/>
  </r>
  <r>
    <n v="155"/>
    <s v="DD"/>
    <s v="Order"/>
    <n v="50"/>
    <s v="Friday"/>
    <x v="91"/>
    <n v="5"/>
    <n v="48.62"/>
    <d v="1899-12-30T02:31:00"/>
    <n v="2.5166666666666666"/>
    <n v="2.5"/>
    <s v="Dinner"/>
    <s v="Portland"/>
    <n v="4"/>
  </r>
  <r>
    <n v="156"/>
    <s v="DD"/>
    <s v="Order"/>
    <n v="50"/>
    <s v="Friday"/>
    <x v="91"/>
    <n v="3"/>
    <n v="23"/>
    <d v="1899-12-30T02:30:00"/>
    <n v="2.5"/>
    <n v="2.5"/>
    <s v="Late Night"/>
    <s v="Portland"/>
    <n v="4"/>
  </r>
  <r>
    <n v="157"/>
    <s v="UE"/>
    <s v="Order"/>
    <n v="51"/>
    <s v="Wednesday"/>
    <x v="92"/>
    <n v="1"/>
    <n v="12.63"/>
    <d v="1899-12-30T01:09:00"/>
    <n v="1.1499999999999999"/>
    <n v="1.25"/>
    <s v="Dinner"/>
    <s v="Brunswick/Bath/Freeport"/>
    <n v="2"/>
  </r>
  <r>
    <n v="158"/>
    <s v="DD"/>
    <s v="Order"/>
    <n v="51"/>
    <s v="Wednesday"/>
    <x v="92"/>
    <n v="7"/>
    <n v="66.92"/>
    <d v="1899-12-30T03:17:00"/>
    <n v="3.2833333333333332"/>
    <n v="3.25"/>
    <s v="Dinner"/>
    <s v="Brunswick/Bath/Freeport"/>
    <n v="2"/>
  </r>
  <r>
    <n v="159"/>
    <s v="UE"/>
    <s v="Order"/>
    <n v="1"/>
    <s v="Monday"/>
    <x v="93"/>
    <n v="2"/>
    <n v="40.049999999999997"/>
    <d v="1899-12-30T01:37:00"/>
    <n v="1.6166666666666667"/>
    <n v="1.5"/>
    <s v="Dinner"/>
    <s v="Brunswick/Bath/Freeport"/>
    <n v="2"/>
  </r>
  <r>
    <n v="160"/>
    <s v="UE"/>
    <s v="Order"/>
    <n v="1"/>
    <s v="Friday"/>
    <x v="94"/>
    <n v="3"/>
    <n v="77.58"/>
    <d v="1899-12-30T02:46:00"/>
    <n v="2.7666666666666666"/>
    <n v="2.75"/>
    <s v="Dinner"/>
    <s v="Brunswick/Bath/Freeport"/>
    <n v="2"/>
  </r>
  <r>
    <n v="161"/>
    <s v="DD"/>
    <s v="Order"/>
    <n v="1"/>
    <s v="Friday"/>
    <x v="94"/>
    <n v="7"/>
    <n v="72.599999999999994"/>
    <d v="1899-12-30T03:35:00"/>
    <n v="3.583333333333333"/>
    <n v="3.5"/>
    <s v="Dinner"/>
    <s v="Brunswick/Bath/Freeport"/>
    <n v="2"/>
  </r>
  <r>
    <n v="162"/>
    <s v="UE"/>
    <s v="Order"/>
    <n v="3"/>
    <s v="Tuesday"/>
    <x v="95"/>
    <n v="2"/>
    <n v="27.95"/>
    <d v="1899-12-30T01:41:00"/>
    <n v="1.6833333333333333"/>
    <n v="1.75"/>
    <s v="Dinner"/>
    <s v="Brunswick/Bath/Freeport"/>
    <n v="2"/>
  </r>
  <r>
    <n v="163"/>
    <s v="DD"/>
    <s v="Order"/>
    <n v="3"/>
    <s v="Tuesday"/>
    <x v="95"/>
    <n v="6"/>
    <n v="51.5"/>
    <d v="1899-12-30T03:12:00"/>
    <n v="3.2"/>
    <n v="3.25"/>
    <s v="Dinner"/>
    <s v="Brunswick/Bath/Freeport"/>
    <n v="2"/>
  </r>
  <r>
    <n v="164"/>
    <s v="UE"/>
    <s v="Order"/>
    <n v="3"/>
    <s v="Saturday"/>
    <x v="96"/>
    <n v="1"/>
    <n v="11.25"/>
    <d v="1899-12-30T01:14:00"/>
    <n v="1.2333333333333334"/>
    <n v="1.25"/>
    <s v="Dinner"/>
    <s v="Lewiston"/>
    <n v="3"/>
  </r>
  <r>
    <n v="165"/>
    <s v="DD"/>
    <s v="Order"/>
    <n v="3"/>
    <s v="Saturday"/>
    <x v="96"/>
    <n v="7"/>
    <n v="56.5"/>
    <d v="1899-12-30T02:54:00"/>
    <n v="2.9"/>
    <n v="3"/>
    <s v="Dinner"/>
    <s v="Lewiston"/>
    <n v="3"/>
  </r>
  <r>
    <n v="166"/>
    <s v="DD"/>
    <s v="Order"/>
    <n v="3"/>
    <s v="Saturday"/>
    <x v="96"/>
    <n v="6"/>
    <n v="32.5"/>
    <d v="1899-12-30T03:35:00"/>
    <n v="3.583333333333333"/>
    <n v="3.5"/>
    <s v="Dinner"/>
    <s v="Lewiston"/>
    <n v="3"/>
  </r>
  <r>
    <n v="167"/>
    <s v="DD"/>
    <s v="Order"/>
    <n v="5"/>
    <s v="Monday"/>
    <x v="97"/>
    <n v="2"/>
    <n v="15.5"/>
    <d v="1899-12-30T01:20:00"/>
    <n v="1.3333333333333333"/>
    <n v="1.25"/>
    <s v="Dinner"/>
    <s v="Brunswick/Bath/Freeport"/>
    <n v="2"/>
  </r>
  <r>
    <n v="168"/>
    <s v="UE"/>
    <s v="Order"/>
    <n v="5"/>
    <s v="Monday"/>
    <x v="97"/>
    <n v="2"/>
    <n v="22.93"/>
    <d v="1899-12-30T01:21:00"/>
    <n v="1.35"/>
    <n v="1.25"/>
    <s v="Dinner"/>
    <s v="Brunswick/Bath/Freeport"/>
    <n v="2"/>
  </r>
  <r>
    <n v="169"/>
    <s v="DD"/>
    <s v="Order"/>
    <n v="6"/>
    <s v="Thursday"/>
    <x v="98"/>
    <n v="8"/>
    <n v="55.89"/>
    <d v="1899-12-30T02:58:00"/>
    <n v="2.9666666666666668"/>
    <n v="3"/>
    <s v="Dinner"/>
    <s v="Brunswick/Bath/Freeport"/>
    <n v="2"/>
  </r>
  <r>
    <n v="170"/>
    <s v="UE"/>
    <s v="Order"/>
    <n v="7"/>
    <s v="Tuesday"/>
    <x v="99"/>
    <n v="5"/>
    <n v="90.74"/>
    <d v="1899-12-30T02:58:00"/>
    <n v="2.9666666666666668"/>
    <n v="3"/>
    <s v="Dinner"/>
    <s v="Brunswick/Bath/Freeport"/>
    <n v="2"/>
  </r>
  <r>
    <n v="171"/>
    <s v="DD"/>
    <s v="Order"/>
    <n v="7"/>
    <s v="Tuesday"/>
    <x v="99"/>
    <n v="1"/>
    <n v="20"/>
    <d v="1899-12-30T00:32:00"/>
    <n v="0.53333333333333333"/>
    <n v="0.5"/>
    <s v="Dinner"/>
    <s v="Brunswick/Bath/Freeport"/>
    <n v="2"/>
  </r>
  <r>
    <n v="172"/>
    <s v="DD"/>
    <s v="Order"/>
    <n v="7"/>
    <s v="Saturday"/>
    <x v="100"/>
    <n v="14"/>
    <n v="102.55"/>
    <d v="1899-12-30T06:18:00"/>
    <n v="6.3000000000000007"/>
    <n v="6.25"/>
    <s v="Dinner"/>
    <s v="Brunswick/Bath/Freeport"/>
    <n v="2"/>
  </r>
  <r>
    <n v="173"/>
    <s v="DD"/>
    <s v="Order"/>
    <n v="8"/>
    <s v="Monday"/>
    <x v="101"/>
    <n v="2"/>
    <n v="21.75"/>
    <d v="1899-12-30T00:49:00"/>
    <n v="0.81666666666666665"/>
    <n v="0.75"/>
    <s v="Dinner"/>
    <s v="Brunswick/Bath/Freeport"/>
    <n v="2"/>
  </r>
  <r>
    <n v="174"/>
    <s v="UE"/>
    <s v="Order"/>
    <n v="9"/>
    <s v="Thursday"/>
    <x v="102"/>
    <n v="2"/>
    <n v="28.42"/>
    <d v="1899-12-30T01:34:00"/>
    <n v="1.5666666666666669"/>
    <n v="1.5"/>
    <s v="Dinner"/>
    <s v="Lewiston"/>
    <n v="3"/>
  </r>
  <r>
    <n v="175"/>
    <s v="DD"/>
    <s v="Order"/>
    <n v="9"/>
    <s v="Thursday"/>
    <x v="102"/>
    <n v="8"/>
    <n v="44.51"/>
    <d v="1899-12-30T04:25:00"/>
    <n v="4.416666666666667"/>
    <n v="4.5"/>
    <s v="Dinner"/>
    <s v="Lewiston"/>
    <n v="3"/>
  </r>
  <r>
    <n v="176"/>
    <s v="UE"/>
    <s v="Order"/>
    <n v="9"/>
    <s v="Sunday"/>
    <x v="103"/>
    <n v="11"/>
    <n v="106.85"/>
    <d v="1899-12-30T04:18:00"/>
    <n v="4.2999999999999989"/>
    <n v="4.25"/>
    <s v="Dinner"/>
    <s v="Portland"/>
    <n v="4"/>
  </r>
  <r>
    <n v="177"/>
    <s v="DD"/>
    <s v="Order"/>
    <n v="9"/>
    <s v="Sunday"/>
    <x v="103"/>
    <n v="5"/>
    <n v="38.25"/>
    <d v="1899-12-30T02:07:00"/>
    <n v="2.1166666666666663"/>
    <n v="2"/>
    <s v="Dinner"/>
    <s v="Portland"/>
    <n v="4"/>
  </r>
  <r>
    <n v="178"/>
    <s v="UE"/>
    <s v="Order"/>
    <n v="10"/>
    <s v="Monday"/>
    <x v="104"/>
    <n v="6"/>
    <n v="74.23"/>
    <d v="1899-12-30T03:04:00"/>
    <n v="3.0666666666666673"/>
    <n v="3"/>
    <s v="Dinner"/>
    <s v="Brunswick/Bath/Freeport"/>
    <n v="2"/>
  </r>
  <r>
    <n v="179"/>
    <s v="DD"/>
    <s v="Order"/>
    <n v="10"/>
    <s v="Monday"/>
    <x v="104"/>
    <n v="5"/>
    <n v="48.12"/>
    <d v="1899-12-30T03:10:00"/>
    <n v="3.166666666666667"/>
    <n v="3.25"/>
    <s v="Dinner"/>
    <s v="Brunswick/Bath/Freeport"/>
    <n v="2"/>
  </r>
  <r>
    <n v="180"/>
    <s v="DD"/>
    <s v="Order"/>
    <n v="11"/>
    <s v="Monday"/>
    <x v="105"/>
    <n v="3"/>
    <n v="20"/>
    <d v="1899-12-30T01:31:00"/>
    <n v="1.5166666666666666"/>
    <n v="1.5"/>
    <s v="Dinner"/>
    <s v="Brunswick/Bath/Freeport"/>
    <n v="2"/>
  </r>
  <r>
    <n v="181"/>
    <s v="UE"/>
    <s v="Order"/>
    <n v="11"/>
    <s v="Monday"/>
    <x v="105"/>
    <n v="3"/>
    <n v="52.14"/>
    <d v="1899-12-30T01:06:00"/>
    <n v="1.1000000000000001"/>
    <n v="1"/>
    <s v="Dinner"/>
    <s v="Brunswick/Bath/Freeport"/>
    <n v="2"/>
  </r>
  <r>
    <n v="182"/>
    <s v="DD"/>
    <s v="Order"/>
    <n v="11"/>
    <s v="Saturday"/>
    <x v="106"/>
    <n v="7"/>
    <n v="87.78"/>
    <d v="1899-12-30T05:01:00"/>
    <n v="5.0166666666666666"/>
    <n v="5"/>
    <s v="Dinner"/>
    <s v="Brunswick/Bath/Freeport"/>
    <n v="2"/>
  </r>
  <r>
    <n v="183"/>
    <s v="UE"/>
    <s v="Order"/>
    <n v="11"/>
    <s v="Saturday"/>
    <x v="106"/>
    <n v="4"/>
    <n v="57.36"/>
    <d v="1899-12-30T02:01:00"/>
    <n v="2.0166666666666666"/>
    <n v="2"/>
    <s v="Lunch"/>
    <s v="Brunswick/Bath/Freeport"/>
    <n v="2"/>
  </r>
  <r>
    <n v="184"/>
    <s v="DD"/>
    <s v="Order"/>
    <n v="12"/>
    <s v="Monday"/>
    <x v="107"/>
    <n v="10"/>
    <n v="73.62"/>
    <d v="1899-12-30T05:22:00"/>
    <n v="5.3666666666666663"/>
    <n v="5.25"/>
    <s v="Dinner"/>
    <s v="Brunswick/Bath/Freeport"/>
    <n v="2"/>
  </r>
  <r>
    <n v="185"/>
    <s v="UE"/>
    <s v="Order"/>
    <n v="12"/>
    <s v="Monday"/>
    <x v="107"/>
    <n v="1"/>
    <n v="15.05"/>
    <d v="1899-12-30T02:15:00"/>
    <n v="2.25"/>
    <n v="2.25"/>
    <s v="Dinner"/>
    <s v="Brunswick/Bath/Freeport"/>
    <n v="2"/>
  </r>
  <r>
    <n v="186"/>
    <s v="UE"/>
    <s v="Order"/>
    <n v="12"/>
    <s v="Saturday"/>
    <x v="108"/>
    <n v="3"/>
    <n v="51.91"/>
    <d v="1899-12-30T03:28:00"/>
    <n v="3.4666666666666668"/>
    <n v="3.5"/>
    <s v="Dinner"/>
    <s v="Brunswick/Bath/Freeport"/>
    <n v="2"/>
  </r>
  <r>
    <n v="187"/>
    <s v="DD"/>
    <s v="Order"/>
    <n v="12"/>
    <s v="Saturday"/>
    <x v="108"/>
    <n v="11"/>
    <n v="103.52"/>
    <d v="1899-12-30T04:42:00"/>
    <n v="4.7"/>
    <n v="4.75"/>
    <s v="Lunch"/>
    <s v="Brunswick/Bath/Freeport"/>
    <n v="2"/>
  </r>
  <r>
    <n v="188"/>
    <s v="DD"/>
    <s v="Order"/>
    <n v="12"/>
    <s v="Saturday"/>
    <x v="108"/>
    <n v="6"/>
    <n v="47.5"/>
    <d v="1899-12-30T03:24:00"/>
    <n v="3.4"/>
    <n v="3.5"/>
    <s v="Dinner"/>
    <s v="Brunswick/Bath/Freeport"/>
    <n v="2"/>
  </r>
  <r>
    <n v="189"/>
    <s v="DD"/>
    <s v="Order"/>
    <n v="12"/>
    <s v="Saturday"/>
    <x v="108"/>
    <n v="3"/>
    <n v="19.5"/>
    <d v="1899-12-30T01:15:00"/>
    <n v="1.25"/>
    <n v="1.25"/>
    <s v="Late Night"/>
    <s v="Lewiston"/>
    <n v="3"/>
  </r>
  <r>
    <n v="190"/>
    <s v="UE"/>
    <s v="Order"/>
    <n v="12"/>
    <s v="Sunday"/>
    <x v="109"/>
    <n v="11"/>
    <n v="96.81"/>
    <d v="1899-12-30T04:39:00"/>
    <n v="4.6500000000000004"/>
    <n v="4.75"/>
    <s v="Dinner"/>
    <s v="Brunswick/Bath/Freeport"/>
    <n v="2"/>
  </r>
  <r>
    <n v="191"/>
    <s v="DD"/>
    <s v="Order"/>
    <n v="12"/>
    <s v="Sunday"/>
    <x v="109"/>
    <n v="2"/>
    <n v="13.89"/>
    <d v="1899-12-30T01:16:00"/>
    <n v="1.2666666666666666"/>
    <n v="1.25"/>
    <s v="Dinner"/>
    <s v="Brunswick/Bath/Freeport"/>
    <n v="2"/>
  </r>
  <r>
    <n v="192"/>
    <s v="DD"/>
    <s v="Order"/>
    <n v="13"/>
    <s v="Thursday"/>
    <x v="110"/>
    <n v="2"/>
    <n v="26.25"/>
    <d v="1899-12-30T01:11:00"/>
    <n v="1.1833333333333333"/>
    <n v="1.25"/>
    <s v="Dinner"/>
    <s v="Brunswick/Bath/Freeport"/>
    <n v="2"/>
  </r>
  <r>
    <n v="193"/>
    <s v="UE"/>
    <s v="Order"/>
    <n v="13"/>
    <s v="Friday"/>
    <x v="111"/>
    <n v="3"/>
    <n v="19.649999999999999"/>
    <d v="1899-12-30T01:39:00"/>
    <n v="1.65"/>
    <n v="1.75"/>
    <s v="Late Night"/>
    <s v="Portland"/>
    <n v="4"/>
  </r>
  <r>
    <n v="194"/>
    <s v="DD"/>
    <s v="Order"/>
    <n v="13"/>
    <s v="Friday"/>
    <x v="111"/>
    <n v="12"/>
    <n v="82.92"/>
    <d v="1899-12-30T04:45:00"/>
    <n v="4.75"/>
    <n v="4.75"/>
    <s v="Late Night"/>
    <s v="Portland"/>
    <n v="4"/>
  </r>
  <r>
    <n v="195"/>
    <s v="UE"/>
    <s v="Order"/>
    <n v="13"/>
    <s v="Saturday"/>
    <x v="112"/>
    <n v="4"/>
    <n v="84.47"/>
    <d v="1899-12-30T02:46:00"/>
    <n v="2.7666666666666666"/>
    <n v="2.75"/>
    <s v="Dinner"/>
    <s v="Brunswick/Bath/Freeport"/>
    <n v="2"/>
  </r>
  <r>
    <n v="196"/>
    <s v="DD"/>
    <s v="Order"/>
    <n v="13"/>
    <s v="Saturday"/>
    <x v="112"/>
    <n v="5"/>
    <n v="45.5"/>
    <d v="1899-12-30T03:12:00"/>
    <n v="3.2"/>
    <n v="3.25"/>
    <s v="Lunch"/>
    <s v="Brunswick/Bath/Freeport"/>
    <n v="2"/>
  </r>
  <r>
    <n v="197"/>
    <s v="DD"/>
    <s v="Order"/>
    <n v="14"/>
    <s v="Tuesday"/>
    <x v="113"/>
    <n v="1"/>
    <n v="15.75"/>
    <d v="1899-12-30T02:15:00"/>
    <n v="2.25"/>
    <n v="2.25"/>
    <s v="Dinner"/>
    <s v="Brunswick/Bath/Freeport"/>
    <n v="2"/>
  </r>
  <r>
    <n v="198"/>
    <s v="UE"/>
    <s v="Order"/>
    <n v="14"/>
    <s v="Tuesday"/>
    <x v="113"/>
    <n v="3"/>
    <n v="40.89"/>
    <d v="1899-12-30T01:56:00"/>
    <n v="1.9333333333333336"/>
    <n v="2"/>
    <s v="Dinner"/>
    <s v="Brunswick/Bath/Freeport"/>
    <n v="2"/>
  </r>
  <r>
    <n v="199"/>
    <s v="DD"/>
    <s v="Order"/>
    <n v="14"/>
    <s v="Thursday"/>
    <x v="114"/>
    <n v="10"/>
    <n v="71.25"/>
    <d v="1899-12-30T04:21:00"/>
    <n v="4.3499999999999996"/>
    <n v="4.25"/>
    <s v="Dinner"/>
    <s v="Brunswick/Bath/Freeport"/>
    <n v="2"/>
  </r>
  <r>
    <n v="200"/>
    <s v="UE"/>
    <s v="Order"/>
    <n v="14"/>
    <s v="Saturday"/>
    <x v="115"/>
    <n v="2"/>
    <n v="32.82"/>
    <d v="1899-12-30T02:04:00"/>
    <n v="2.0666666666666669"/>
    <n v="2"/>
    <s v="Lunch"/>
    <s v="Brunswick/Bath/Freeport"/>
    <n v="2"/>
  </r>
  <r>
    <n v="201"/>
    <s v="DD"/>
    <s v="Order"/>
    <n v="14"/>
    <s v="Saturday"/>
    <x v="115"/>
    <n v="5"/>
    <n v="42.25"/>
    <d v="1899-12-30T03:13:00"/>
    <n v="3.2166666666666668"/>
    <n v="3.25"/>
    <s v="Lunch"/>
    <s v="Brunswick/Bath/Freeport"/>
    <n v="2"/>
  </r>
  <r>
    <n v="202"/>
    <s v="DD"/>
    <s v="Order"/>
    <n v="15"/>
    <s v="Saturday"/>
    <x v="116"/>
    <n v="5"/>
    <n v="45.6"/>
    <d v="1899-12-30T02:52:00"/>
    <n v="2.8666666666666667"/>
    <n v="2.75"/>
    <s v="Dinner"/>
    <s v="Brunswick/Bath/Freeport"/>
    <n v="2"/>
  </r>
  <r>
    <n v="203"/>
    <s v="DD"/>
    <s v="Order"/>
    <n v="15"/>
    <s v="Saturday"/>
    <x v="116"/>
    <n v="1"/>
    <n v="5.25"/>
    <d v="1899-12-30T00:43:00"/>
    <n v="0.71666666666666667"/>
    <n v="0.75"/>
    <s v="Late Night"/>
    <s v="Brunswick/Bath/Freeport"/>
    <n v="2"/>
  </r>
  <r>
    <n v="204"/>
    <s v="UE"/>
    <s v="Order"/>
    <n v="15"/>
    <s v="Saturday"/>
    <x v="116"/>
    <n v="2"/>
    <n v="19.47"/>
    <d v="1899-12-30T01:49:00"/>
    <n v="1.8166666666666664"/>
    <n v="1.75"/>
    <s v="Dinner"/>
    <s v="Brunswick/Bath/Freeport"/>
    <n v="2"/>
  </r>
  <r>
    <n v="205"/>
    <s v="DD"/>
    <s v="Order"/>
    <n v="17"/>
    <s v="Friday"/>
    <x v="117"/>
    <n v="1"/>
    <n v="7"/>
    <d v="1899-12-30T00:56:00"/>
    <n v="0.93333333333333335"/>
    <n v="1"/>
    <s v="Dinner"/>
    <s v="Portland"/>
    <n v="4"/>
  </r>
  <r>
    <n v="206"/>
    <s v="DD"/>
    <s v="Order"/>
    <n v="17"/>
    <s v="Friday"/>
    <x v="117"/>
    <n v="3"/>
    <n v="34.75"/>
    <d v="1899-12-30T01:22:00"/>
    <n v="1.3666666666666667"/>
    <n v="1.25"/>
    <s v="Dinner"/>
    <s v="Portland"/>
    <n v="4"/>
  </r>
  <r>
    <n v="207"/>
    <s v="DD"/>
    <s v="Order"/>
    <n v="17"/>
    <s v="Friday"/>
    <x v="117"/>
    <n v="7"/>
    <n v="47.75"/>
    <d v="1899-12-30T03:29:00"/>
    <n v="3.4833333333333334"/>
    <n v="3.5"/>
    <s v="Late Night"/>
    <s v="Portland"/>
    <n v="4"/>
  </r>
  <r>
    <n v="208"/>
    <s v="UE"/>
    <s v="Order"/>
    <n v="17"/>
    <s v="Friday"/>
    <x v="117"/>
    <n v="7"/>
    <n v="106.23"/>
    <d v="1899-12-30T05:18:00"/>
    <n v="5.3"/>
    <n v="5.25"/>
    <s v="Dinner"/>
    <s v="Portland"/>
    <n v="4"/>
  </r>
  <r>
    <n v="209"/>
    <s v="DD"/>
    <s v="Order"/>
    <n v="19"/>
    <s v="Tuesday"/>
    <x v="118"/>
    <n v="7"/>
    <n v="41.5"/>
    <d v="1899-12-30T03:16:00"/>
    <n v="3.2666666666666666"/>
    <n v="3.25"/>
    <s v="Dinner"/>
    <s v="Lewiston"/>
    <n v="3"/>
  </r>
  <r>
    <n v="210"/>
    <s v="UE"/>
    <s v="Order"/>
    <n v="19"/>
    <s v="Tuesday"/>
    <x v="118"/>
    <n v="1"/>
    <n v="9.18"/>
    <d v="1899-12-30T01:08:00"/>
    <n v="1.1333333333333333"/>
    <n v="1.25"/>
    <s v="Dinner"/>
    <s v="Lewiston"/>
    <n v="3"/>
  </r>
  <r>
    <n v="211"/>
    <s v="UE"/>
    <s v="Order"/>
    <n v="19"/>
    <s v="Wednesday"/>
    <x v="119"/>
    <n v="9"/>
    <n v="82.49"/>
    <d v="1899-12-30T04:13:00"/>
    <n v="4.2166666666666668"/>
    <n v="4.25"/>
    <s v="Dinner"/>
    <s v="Portland"/>
    <n v="4"/>
  </r>
  <r>
    <n v="212"/>
    <s v="UE"/>
    <s v="Order"/>
    <n v="19"/>
    <s v="Saturday"/>
    <x v="120"/>
    <n v="6"/>
    <n v="91.28"/>
    <d v="1899-12-30T07:01:00"/>
    <n v="7.0166666666666675"/>
    <n v="7"/>
    <s v="Dinner"/>
    <s v="Brunswick/Bath/Freeport"/>
    <n v="2"/>
  </r>
  <r>
    <n v="213"/>
    <s v="DD"/>
    <s v="Order"/>
    <n v="19"/>
    <s v="Saturday"/>
    <x v="120"/>
    <n v="4"/>
    <n v="28"/>
    <d v="1899-12-30T01:38:00"/>
    <n v="1.6333333333333333"/>
    <n v="1.75"/>
    <s v="Dinner"/>
    <s v="Brunswick/Bath/Freeport"/>
    <n v="2"/>
  </r>
  <r>
    <n v="214"/>
    <s v="DD"/>
    <s v="Order"/>
    <n v="19"/>
    <s v="Saturday"/>
    <x v="120"/>
    <n v="8"/>
    <n v="58.25"/>
    <d v="1899-12-30T03:21:00"/>
    <n v="3.35"/>
    <n v="3.25"/>
    <s v="Late Night"/>
    <s v="Brunswick/Bath/Freeport"/>
    <n v="2"/>
  </r>
  <r>
    <n v="215"/>
    <s v="UE"/>
    <s v="Order"/>
    <n v="20"/>
    <s v="Wednesday"/>
    <x v="121"/>
    <n v="2"/>
    <n v="16.27"/>
    <d v="1899-12-30T02:49:00"/>
    <n v="2.8166666666666664"/>
    <n v="2.75"/>
    <s v="Dinner"/>
    <s v="Brunswick/Bath/Freeport"/>
    <n v="2"/>
  </r>
  <r>
    <n v="216"/>
    <s v="DD"/>
    <s v="Order"/>
    <n v="20"/>
    <s v="Wednesday"/>
    <x v="121"/>
    <n v="6"/>
    <n v="48.07"/>
    <d v="1899-12-30T03:19:00"/>
    <n v="3.3166666666666664"/>
    <n v="3.25"/>
    <s v="Dinner"/>
    <s v="Brunswick/Bath/Freeport"/>
    <n v="2"/>
  </r>
  <r>
    <n v="217"/>
    <s v="UE"/>
    <s v="Order"/>
    <n v="20"/>
    <s v="Thursday"/>
    <x v="122"/>
    <n v="2"/>
    <n v="12.96"/>
    <d v="1899-12-30T02:48:00"/>
    <n v="2.8"/>
    <n v="2.75"/>
    <s v="Dinner"/>
    <s v="Lewiston"/>
    <n v="3"/>
  </r>
  <r>
    <n v="218"/>
    <s v="DD"/>
    <s v="Order"/>
    <n v="20"/>
    <s v="Thursday"/>
    <x v="122"/>
    <n v="5"/>
    <n v="27.44"/>
    <d v="1899-12-30T02:06:00"/>
    <n v="2.1"/>
    <n v="2"/>
    <s v="Dinner"/>
    <s v="Lewiston"/>
    <n v="3"/>
  </r>
  <r>
    <n v="219"/>
    <s v="DD"/>
    <s v="Order"/>
    <n v="20"/>
    <s v="Friday"/>
    <x v="123"/>
    <n v="1"/>
    <n v="9"/>
    <d v="1899-12-30T01:20:00"/>
    <n v="1.3333333333333333"/>
    <n v="1.25"/>
    <s v="Dinner"/>
    <s v="Brunswick/Bath/Freeport"/>
    <n v="2"/>
  </r>
  <r>
    <n v="220"/>
    <s v="DD"/>
    <s v="Order"/>
    <n v="20"/>
    <s v="Friday"/>
    <x v="123"/>
    <n v="5"/>
    <n v="41.75"/>
    <d v="1899-12-30T01:59:00"/>
    <n v="1.9833333333333334"/>
    <n v="2"/>
    <s v="Dinner"/>
    <s v="Brunswick/Bath/Freeport"/>
    <n v="2"/>
  </r>
  <r>
    <n v="221"/>
    <s v="UE"/>
    <s v="Order"/>
    <n v="20"/>
    <s v="Friday"/>
    <x v="123"/>
    <n v="5"/>
    <n v="73.86"/>
    <d v="1899-12-30T06:24:00"/>
    <n v="6.4"/>
    <n v="6.5"/>
    <s v="Dinner"/>
    <s v="Brunswick/Bath/Freeport"/>
    <n v="2"/>
  </r>
  <r>
    <n v="222"/>
    <s v="DD"/>
    <s v="Order"/>
    <n v="21"/>
    <s v="Thursday"/>
    <x v="124"/>
    <n v="3"/>
    <n v="21.5"/>
    <d v="1899-12-30T01:54:00"/>
    <n v="1.9"/>
    <n v="2"/>
    <s v="Dinner"/>
    <s v="Brunswick/Bath/Freeport"/>
    <n v="2"/>
  </r>
  <r>
    <n v="223"/>
    <s v="UE"/>
    <s v="Order"/>
    <n v="21"/>
    <s v="Thursday"/>
    <x v="124"/>
    <n v="2"/>
    <n v="22.93"/>
    <d v="1899-12-30T03:34:00"/>
    <n v="3.5666666666666664"/>
    <n v="3.5"/>
    <s v="Dinner"/>
    <s v="Brunswick/Bath/Freeport"/>
    <n v="2"/>
  </r>
  <r>
    <n v="224"/>
    <s v="DD"/>
    <s v="Order"/>
    <n v="21"/>
    <s v="Thursday"/>
    <x v="124"/>
    <n v="2"/>
    <n v="16"/>
    <d v="1899-12-30T01:32:00"/>
    <n v="1.5333333333333332"/>
    <n v="1.5"/>
    <s v="Dinner"/>
    <s v="Brunswick/Bath/Freeport"/>
    <n v="2"/>
  </r>
  <r>
    <n v="225"/>
    <s v="UE"/>
    <s v="Order"/>
    <n v="21"/>
    <s v="Friday"/>
    <x v="125"/>
    <n v="5"/>
    <n v="23.25"/>
    <d v="1899-12-30T02:01:00"/>
    <n v="2.0166666666666666"/>
    <n v="2"/>
    <s v="Dinner"/>
    <s v="Lewiston"/>
    <n v="3"/>
  </r>
  <r>
    <n v="226"/>
    <s v="UE"/>
    <s v="Order"/>
    <n v="22"/>
    <s v="Monday"/>
    <x v="126"/>
    <n v="4"/>
    <n v="52.4"/>
    <d v="1899-12-30T04:56:00"/>
    <n v="4.9333333333333336"/>
    <n v="5"/>
    <s v="Dinner"/>
    <s v="Portland"/>
    <n v="4"/>
  </r>
  <r>
    <n v="227"/>
    <s v="DD"/>
    <s v="Order"/>
    <n v="22"/>
    <s v="Monday"/>
    <x v="126"/>
    <n v="2"/>
    <n v="10.5"/>
    <d v="1899-12-30T01:35:00"/>
    <n v="1.5833333333333335"/>
    <n v="1.5"/>
    <s v="Dinner"/>
    <s v="Portland"/>
    <n v="4"/>
  </r>
  <r>
    <n v="228"/>
    <s v="DD"/>
    <s v="Order"/>
    <n v="22"/>
    <s v="Monday"/>
    <x v="126"/>
    <n v="2"/>
    <n v="17"/>
    <d v="1899-12-30T00:59:00"/>
    <n v="0.98333333333333339"/>
    <n v="1"/>
    <s v="Dinner"/>
    <s v="Portland"/>
    <n v="4"/>
  </r>
  <r>
    <n v="229"/>
    <s v="DD"/>
    <s v="Order"/>
    <n v="22"/>
    <s v="Monday"/>
    <x v="126"/>
    <n v="5"/>
    <n v="29.5"/>
    <d v="1899-12-30T01:40:00"/>
    <n v="1.6666666666666665"/>
    <n v="1.75"/>
    <s v="Dinner"/>
    <s v="Portland"/>
    <n v="4"/>
  </r>
  <r>
    <n v="230"/>
    <s v="UE"/>
    <s v="Order"/>
    <n v="23"/>
    <s v="Thursday"/>
    <x v="127"/>
    <n v="2"/>
    <n v="53.15"/>
    <d v="1899-12-30T03:52:00"/>
    <n v="3.8666666666666671"/>
    <n v="3.75"/>
    <s v="Dinner"/>
    <s v="Brunswick/Bath/Freeport"/>
    <n v="2"/>
  </r>
  <r>
    <n v="231"/>
    <s v="DD"/>
    <s v="Order"/>
    <n v="23"/>
    <s v="Thursday"/>
    <x v="127"/>
    <n v="2"/>
    <n v="20.5"/>
    <d v="1899-12-30T02:13:00"/>
    <n v="2.2166666666666668"/>
    <n v="2.25"/>
    <s v="Dinner"/>
    <s v="Brunswick/Bath/Freeport"/>
    <n v="2"/>
  </r>
  <r>
    <n v="232"/>
    <s v="DD"/>
    <s v="Order"/>
    <n v="23"/>
    <s v="Thursday"/>
    <x v="127"/>
    <n v="2"/>
    <n v="17.75"/>
    <d v="1899-12-30T00:53:00"/>
    <n v="0.8833333333333333"/>
    <n v="1"/>
    <s v="Dinner"/>
    <s v="Brunswick/Bath/Freeport"/>
    <n v="2"/>
  </r>
  <r>
    <n v="233"/>
    <s v="DD"/>
    <s v="Order"/>
    <n v="23"/>
    <s v="Friday"/>
    <x v="128"/>
    <n v="1"/>
    <n v="11.75"/>
    <d v="1899-12-30T00:51:00"/>
    <n v="0.85"/>
    <n v="0.75"/>
    <s v="Dinner"/>
    <s v="Portland"/>
    <n v="4"/>
  </r>
  <r>
    <n v="234"/>
    <s v="DD"/>
    <s v="Order"/>
    <n v="23"/>
    <s v="Friday"/>
    <x v="128"/>
    <n v="2"/>
    <n v="19.5"/>
    <d v="1899-12-30T01:36:00"/>
    <n v="1.6"/>
    <n v="1.5"/>
    <s v="Dinner"/>
    <s v="Portland"/>
    <n v="4"/>
  </r>
  <r>
    <n v="235"/>
    <s v="UE"/>
    <s v="Order"/>
    <n v="23"/>
    <s v="Friday"/>
    <x v="128"/>
    <n v="1"/>
    <n v="9.9700000000000006"/>
    <d v="1899-12-30T03:51:00"/>
    <n v="3.8500000000000005"/>
    <n v="3.75"/>
    <s v="Dinner"/>
    <s v="Portland"/>
    <n v="4"/>
  </r>
  <r>
    <n v="236"/>
    <s v="UE"/>
    <s v="Order"/>
    <n v="24"/>
    <s v="Thursday"/>
    <x v="129"/>
    <n v="1"/>
    <n v="11.52"/>
    <d v="1899-12-30T05:07:00"/>
    <n v="5.1166666666666663"/>
    <n v="5"/>
    <s v="Dinner"/>
    <s v="Brunswick/Bath/Freeport"/>
    <n v="2"/>
  </r>
  <r>
    <n v="237"/>
    <s v="DD"/>
    <s v="Order"/>
    <n v="24"/>
    <s v="Thursday"/>
    <x v="129"/>
    <n v="10"/>
    <n v="77.11"/>
    <d v="1899-12-30T05:47:00"/>
    <n v="5.7833333333333332"/>
    <n v="5.75"/>
    <s v="Dinner"/>
    <s v="Brunswick/Bath/Freeport"/>
    <n v="2"/>
  </r>
  <r>
    <n v="238"/>
    <s v="UE"/>
    <s v="Order"/>
    <n v="24"/>
    <s v="Friday"/>
    <x v="130"/>
    <n v="2"/>
    <n v="48.75"/>
    <d v="1899-12-30T05:36:00"/>
    <n v="5.6"/>
    <n v="5.5"/>
    <s v="Dinner"/>
    <s v="Portland"/>
    <n v="4"/>
  </r>
  <r>
    <n v="239"/>
    <s v="DD"/>
    <s v="Order"/>
    <n v="24"/>
    <s v="Friday"/>
    <x v="130"/>
    <n v="8"/>
    <n v="57.5"/>
    <d v="1899-12-30T02:35:00"/>
    <n v="2.5833333333333335"/>
    <n v="2.5"/>
    <s v="Late Night"/>
    <s v="Portland"/>
    <n v="4"/>
  </r>
  <r>
    <n v="240"/>
    <s v="DD"/>
    <s v="Order"/>
    <n v="24"/>
    <s v="Friday"/>
    <x v="130"/>
    <n v="6"/>
    <n v="48.25"/>
    <d v="1899-12-30T02:37:00"/>
    <n v="2.6166666666666667"/>
    <n v="2.5"/>
    <s v="Late Night"/>
    <s v="Portland"/>
    <n v="4"/>
  </r>
  <r>
    <n v="241"/>
    <s v="UE"/>
    <s v="Order"/>
    <n v="24"/>
    <s v="Sunday"/>
    <x v="131"/>
    <n v="3"/>
    <n v="43.01"/>
    <d v="1899-12-30T05:37:00"/>
    <n v="5.616666666666668"/>
    <n v="5.5"/>
    <s v="Dinner"/>
    <s v="Portland"/>
    <n v="4"/>
  </r>
  <r>
    <n v="242"/>
    <s v="DD"/>
    <s v="Order"/>
    <n v="24"/>
    <s v="Sunday"/>
    <x v="131"/>
    <n v="10"/>
    <n v="101.63"/>
    <d v="1899-12-30T05:56:00"/>
    <n v="5.9333333333333336"/>
    <n v="6"/>
    <s v="Dinner"/>
    <s v="Portland"/>
    <n v="4"/>
  </r>
  <r>
    <n v="243"/>
    <s v="UE"/>
    <s v="Order"/>
    <n v="25"/>
    <s v="Thursday"/>
    <x v="132"/>
    <n v="7"/>
    <n v="83.72"/>
    <d v="1899-12-30T05:49:00"/>
    <n v="5.8166666666666664"/>
    <n v="5.75"/>
    <s v="Dinner"/>
    <s v="Portland"/>
    <n v="4"/>
  </r>
  <r>
    <n v="244"/>
    <s v="DD"/>
    <s v="Order"/>
    <n v="25"/>
    <s v="Thursday"/>
    <x v="132"/>
    <n v="1"/>
    <n v="10.25"/>
    <d v="1899-12-30T01:16:00"/>
    <n v="1.2666666666666666"/>
    <n v="1.25"/>
    <s v="Dinner"/>
    <s v="Portland"/>
    <n v="4"/>
  </r>
  <r>
    <n v="245"/>
    <s v="DD"/>
    <s v="Order"/>
    <n v="25"/>
    <s v="Thursday"/>
    <x v="132"/>
    <n v="1"/>
    <n v="9.75"/>
    <d v="1899-12-30T00:48:00"/>
    <n v="0.8"/>
    <n v="0.75"/>
    <s v="Dinner"/>
    <s v="Portland"/>
    <n v="4"/>
  </r>
  <r>
    <n v="246"/>
    <s v="DD"/>
    <s v="Order"/>
    <n v="25"/>
    <s v="Thursday"/>
    <x v="132"/>
    <n v="1"/>
    <n v="20"/>
    <d v="1899-12-30T00:51:00"/>
    <n v="0.85"/>
    <n v="0.75"/>
    <s v="Late Night"/>
    <s v="Portland"/>
    <n v="4"/>
  </r>
  <r>
    <n v="247"/>
    <s v="UE"/>
    <s v="Order"/>
    <n v="25"/>
    <s v="Saturday"/>
    <x v="133"/>
    <n v="7"/>
    <n v="84.91"/>
    <d v="1899-12-30T06:00:00"/>
    <n v="6"/>
    <n v="6"/>
    <s v="Dinner"/>
    <s v="Lewiston"/>
    <n v="3"/>
  </r>
  <r>
    <n v="248"/>
    <s v="DD"/>
    <s v="Order"/>
    <n v="25"/>
    <s v="Saturday"/>
    <x v="133"/>
    <n v="8"/>
    <n v="57.5"/>
    <d v="1899-12-30T04:55:00"/>
    <n v="4.916666666666667"/>
    <n v="5"/>
    <s v="Dinner"/>
    <s v="Lewiston"/>
    <n v="3"/>
  </r>
  <r>
    <n v="249"/>
    <s v="DD"/>
    <s v="Order"/>
    <n v="25"/>
    <s v="Saturday"/>
    <x v="133"/>
    <n v="1"/>
    <n v="13"/>
    <d v="1899-12-30T01:13:00"/>
    <n v="1.2166666666666668"/>
    <n v="1.25"/>
    <s v="Late Night"/>
    <s v="Lewiston"/>
    <n v="3"/>
  </r>
  <r>
    <n v="250"/>
    <s v="DD"/>
    <s v="Order"/>
    <n v="25"/>
    <s v="Saturday"/>
    <x v="133"/>
    <n v="1"/>
    <n v="7"/>
    <d v="1899-12-30T00:37:00"/>
    <n v="0.6166666666666667"/>
    <n v="0.5"/>
    <s v="Late Night"/>
    <s v="Lewiston"/>
    <n v="3"/>
  </r>
  <r>
    <n v="251"/>
    <s v="UE"/>
    <s v="Order"/>
    <n v="26"/>
    <s v="Wednesday"/>
    <x v="134"/>
    <n v="2"/>
    <n v="13.98"/>
    <d v="1899-12-30T03:07:00"/>
    <n v="3.1166666666666671"/>
    <n v="3"/>
    <s v="Dinner"/>
    <s v="Lewiston"/>
    <n v="3"/>
  </r>
  <r>
    <n v="252"/>
    <s v="DD"/>
    <s v="Order"/>
    <n v="26"/>
    <s v="Wednesday"/>
    <x v="134"/>
    <n v="1"/>
    <n v="6.25"/>
    <d v="1899-12-30T01:47:00"/>
    <n v="1.7833333333333332"/>
    <n v="1.75"/>
    <s v="Dinner"/>
    <s v="Lewiston"/>
    <n v="3"/>
  </r>
  <r>
    <n v="253"/>
    <s v="DD"/>
    <s v="Order"/>
    <n v="26"/>
    <s v="Wednesday"/>
    <x v="134"/>
    <n v="2"/>
    <n v="7.5"/>
    <d v="1899-12-30T01:34:00"/>
    <n v="1.5666666666666669"/>
    <n v="1.5"/>
    <s v="Dinner"/>
    <s v="Lewiston"/>
    <n v="3"/>
  </r>
  <r>
    <n v="254"/>
    <s v="UE"/>
    <s v="Order"/>
    <n v="26"/>
    <s v="Friday"/>
    <x v="135"/>
    <n v="3"/>
    <n v="46.44"/>
    <d v="1899-12-30T04:51:00"/>
    <n v="4.8499999999999996"/>
    <n v="4.75"/>
    <s v="Dinner"/>
    <s v="Brunswick/Bath/Freeport"/>
    <n v="2"/>
  </r>
  <r>
    <n v="255"/>
    <s v="DD"/>
    <s v="Order"/>
    <n v="26"/>
    <s v="Friday"/>
    <x v="135"/>
    <n v="3"/>
    <n v="41.9"/>
    <d v="1899-12-30T02:48:00"/>
    <n v="2.8"/>
    <n v="2.75"/>
    <s v="Dinner"/>
    <s v="Brunswick/Bath/Freeport"/>
    <n v="2"/>
  </r>
  <r>
    <n v="256"/>
    <s v="DD"/>
    <s v="Order"/>
    <n v="26"/>
    <s v="Friday"/>
    <x v="135"/>
    <n v="2"/>
    <n v="28.75"/>
    <d v="1899-12-30T01:09:00"/>
    <n v="1.1499999999999999"/>
    <n v="1.25"/>
    <s v="Dinner"/>
    <s v="Brunswick/Bath/Freeport"/>
    <n v="2"/>
  </r>
  <r>
    <n v="257"/>
    <s v="DD"/>
    <s v="Order"/>
    <n v="26"/>
    <s v="Friday"/>
    <x v="135"/>
    <n v="1"/>
    <n v="7"/>
    <d v="1899-12-30T01:45:00"/>
    <n v="1.75"/>
    <n v="1.75"/>
    <s v="Late Night"/>
    <s v="Lewiston"/>
    <n v="3"/>
  </r>
  <r>
    <n v="258"/>
    <s v="UE"/>
    <s v="Order"/>
    <n v="26"/>
    <s v="Saturday"/>
    <x v="136"/>
    <n v="3"/>
    <n v="37.93"/>
    <d v="1899-12-30T05:13:00"/>
    <n v="5.2166666666666668"/>
    <n v="5.25"/>
    <s v="Dinner"/>
    <s v="Lewiston"/>
    <n v="3"/>
  </r>
  <r>
    <n v="259"/>
    <s v="DD"/>
    <s v="Order"/>
    <n v="26"/>
    <s v="Saturday"/>
    <x v="136"/>
    <n v="13"/>
    <n v="80.75"/>
    <d v="1899-12-30T05:48:00"/>
    <n v="5.8"/>
    <n v="5.75"/>
    <s v="Dinner"/>
    <s v="Lewiston"/>
    <n v="3"/>
  </r>
  <r>
    <n v="260"/>
    <s v="UE"/>
    <s v="Order"/>
    <n v="26"/>
    <s v="Sunday"/>
    <x v="137"/>
    <n v="5"/>
    <n v="44.9"/>
    <d v="1899-12-30T05:15:00"/>
    <n v="5.25"/>
    <n v="5.25"/>
    <s v="Dinner"/>
    <s v="Lewiston"/>
    <n v="3"/>
  </r>
  <r>
    <n v="261"/>
    <s v="DD"/>
    <s v="Order"/>
    <n v="26"/>
    <s v="Sunday"/>
    <x v="137"/>
    <n v="6"/>
    <n v="45.89"/>
    <d v="1899-12-30T03:33:00"/>
    <n v="3.55"/>
    <n v="3.5"/>
    <s v="Dinner"/>
    <s v="Lewiston"/>
    <n v="3"/>
  </r>
  <r>
    <n v="262"/>
    <s v="DD"/>
    <s v="Order"/>
    <n v="26"/>
    <s v="Sunday"/>
    <x v="137"/>
    <n v="5"/>
    <n v="32.79"/>
    <d v="1899-12-30T02:42:00"/>
    <n v="2.7"/>
    <n v="2.75"/>
    <s v="Dinner"/>
    <s v="Lewiston"/>
    <n v="3"/>
  </r>
  <r>
    <n v="263"/>
    <s v="UE"/>
    <s v="Order"/>
    <n v="27"/>
    <s v="Tuesday"/>
    <x v="138"/>
    <n v="2"/>
    <n v="24.87"/>
    <d v="1899-12-30T02:25:00"/>
    <n v="2.4166666666666665"/>
    <n v="2.5"/>
    <s v="Dinner"/>
    <s v="Portland"/>
    <n v="4"/>
  </r>
  <r>
    <n v="264"/>
    <s v="DD"/>
    <s v="Order"/>
    <n v="27"/>
    <s v="Tuesday"/>
    <x v="138"/>
    <n v="1"/>
    <n v="16"/>
    <d v="1899-12-30T01:19:00"/>
    <n v="1.3166666666666667"/>
    <n v="1.25"/>
    <s v="Dinner"/>
    <s v="Portland"/>
    <n v="4"/>
  </r>
  <r>
    <n v="265"/>
    <s v="DD"/>
    <s v="Order"/>
    <n v="27"/>
    <s v="Tuesday"/>
    <x v="138"/>
    <n v="2"/>
    <n v="20"/>
    <d v="1899-12-30T02:03:00"/>
    <n v="2.0499999999999998"/>
    <n v="2"/>
    <s v="Dinner"/>
    <s v="Portland"/>
    <n v="4"/>
  </r>
  <r>
    <n v="266"/>
    <s v="UE"/>
    <s v="Order"/>
    <n v="27"/>
    <s v="Friday"/>
    <x v="139"/>
    <n v="8"/>
    <n v="92.86"/>
    <d v="1899-12-30T08:05:00"/>
    <n v="8.0833333333333339"/>
    <n v="8"/>
    <s v="Dinner"/>
    <s v="Lewiston"/>
    <n v="3"/>
  </r>
  <r>
    <n v="267"/>
    <s v="DD"/>
    <s v="Order"/>
    <n v="27"/>
    <s v="Friday"/>
    <x v="139"/>
    <n v="2"/>
    <n v="12.25"/>
    <d v="1899-12-30T01:44:00"/>
    <n v="1.7333333333333334"/>
    <n v="1.75"/>
    <s v="Dinner"/>
    <s v="Lewiston"/>
    <n v="3"/>
  </r>
  <r>
    <n v="268"/>
    <s v="DD"/>
    <s v="Order"/>
    <n v="27"/>
    <s v="Friday"/>
    <x v="139"/>
    <n v="2"/>
    <n v="5.75"/>
    <d v="1899-12-30T01:09:00"/>
    <n v="1.1499999999999999"/>
    <n v="1.25"/>
    <s v="Late Night"/>
    <s v="Lewiston"/>
    <n v="3"/>
  </r>
  <r>
    <n v="269"/>
    <s v="DD"/>
    <s v="Order"/>
    <n v="27"/>
    <s v="Saturday"/>
    <x v="140"/>
    <n v="5"/>
    <n v="40.409999999999997"/>
    <d v="1899-12-30T03:19:00"/>
    <n v="3.3166666666666664"/>
    <n v="3.25"/>
    <s v="Late Night"/>
    <s v="Portland"/>
    <n v="4"/>
  </r>
  <r>
    <n v="270"/>
    <s v="UE"/>
    <s v="Order"/>
    <n v="27"/>
    <s v="Saturday"/>
    <x v="140"/>
    <n v="3"/>
    <n v="23.88"/>
    <d v="1899-12-30T05:16:00"/>
    <n v="5.2666666666666666"/>
    <n v="5.25"/>
    <s v="Dinner"/>
    <s v="Lewiston"/>
    <n v="3"/>
  </r>
  <r>
    <n v="271"/>
    <s v="DD"/>
    <s v="Order"/>
    <n v="27"/>
    <s v="Saturday"/>
    <x v="140"/>
    <n v="7"/>
    <n v="68.25"/>
    <d v="1899-12-30T03:38:00"/>
    <n v="3.6333333333333329"/>
    <n v="3.75"/>
    <s v="Dinner"/>
    <s v="Lewiston"/>
    <n v="3"/>
  </r>
  <r>
    <n v="272"/>
    <s v="DD"/>
    <s v="Order"/>
    <n v="27"/>
    <s v="Saturday"/>
    <x v="140"/>
    <n v="4"/>
    <n v="37.25"/>
    <d v="1899-12-30T02:57:00"/>
    <n v="2.95"/>
    <n v="3"/>
    <s v="Late Night"/>
    <s v="Lewiston"/>
    <n v="3"/>
  </r>
  <r>
    <n v="273"/>
    <s v="DD"/>
    <s v="Order"/>
    <n v="27"/>
    <s v="Saturday"/>
    <x v="140"/>
    <n v="1"/>
    <n v="18"/>
    <d v="1899-12-30T00:43:00"/>
    <n v="0.71666666666666667"/>
    <n v="0.75"/>
    <s v="Late Night"/>
    <s v="Portland"/>
    <n v="4"/>
  </r>
  <r>
    <n v="274"/>
    <s v="DD"/>
    <s v="Order"/>
    <n v="28"/>
    <s v="Tuesday"/>
    <x v="141"/>
    <n v="8"/>
    <n v="60.43"/>
    <d v="1899-12-30T03:07:00"/>
    <n v="3.1166666666666671"/>
    <n v="3"/>
    <s v="Dinner"/>
    <s v="Lewiston"/>
    <n v="3"/>
  </r>
  <r>
    <n v="275"/>
    <s v="UE"/>
    <s v="Order"/>
    <n v="28"/>
    <s v="Wednesday"/>
    <x v="142"/>
    <n v="2"/>
    <n v="45.68"/>
    <d v="1899-12-30T03:09:00"/>
    <n v="3.1500000000000004"/>
    <n v="3.25"/>
    <s v="Dinner"/>
    <s v="Brunswick/Bath/Freeport"/>
    <n v="2"/>
  </r>
  <r>
    <n v="276"/>
    <s v="DD"/>
    <s v="Order"/>
    <n v="28"/>
    <s v="Wednesday"/>
    <x v="142"/>
    <n v="3"/>
    <n v="19.25"/>
    <d v="1899-12-30T01:16:00"/>
    <n v="1.2666666666666666"/>
    <n v="1.25"/>
    <s v="Dinner"/>
    <s v="Brunswick/Bath/Freeport"/>
    <n v="2"/>
  </r>
  <r>
    <n v="277"/>
    <s v="DD"/>
    <s v="Order"/>
    <n v="28"/>
    <s v="Wednesday"/>
    <x v="142"/>
    <n v="1"/>
    <n v="2.5"/>
    <d v="1899-12-30T00:49:00"/>
    <n v="0.81666666666666665"/>
    <n v="0.75"/>
    <s v="Dinner"/>
    <s v="Brunswick/Bath/Freeport"/>
    <n v="2"/>
  </r>
  <r>
    <n v="278"/>
    <s v="UE"/>
    <s v="Order"/>
    <n v="28"/>
    <s v="Thursday"/>
    <x v="143"/>
    <n v="1"/>
    <n v="8.6999999999999993"/>
    <d v="1899-12-30T03:30:00"/>
    <n v="3.5"/>
    <n v="3.5"/>
    <s v="Dinner"/>
    <s v="Portland"/>
    <n v="4"/>
  </r>
  <r>
    <n v="279"/>
    <s v="DD"/>
    <s v="Order"/>
    <n v="28"/>
    <s v="Thursday"/>
    <x v="143"/>
    <n v="5"/>
    <n v="38.5"/>
    <d v="1899-12-30T02:03:00"/>
    <n v="2.0499999999999998"/>
    <n v="2"/>
    <s v="Dinner"/>
    <s v="Portland"/>
    <n v="4"/>
  </r>
  <r>
    <n v="280"/>
    <s v="DD"/>
    <s v="Order"/>
    <n v="28"/>
    <s v="Thursday"/>
    <x v="143"/>
    <n v="7"/>
    <n v="44"/>
    <d v="1899-12-30T02:23:00"/>
    <n v="2.3833333333333333"/>
    <n v="2.5"/>
    <s v="Late Night"/>
    <s v="Portland"/>
    <n v="4"/>
  </r>
  <r>
    <n v="281"/>
    <s v="DD"/>
    <s v="Order"/>
    <n v="28"/>
    <s v="Friday"/>
    <x v="144"/>
    <n v="7"/>
    <n v="65.73"/>
    <d v="1899-12-30T03:40:00"/>
    <n v="3.6666666666666661"/>
    <n v="3.75"/>
    <s v="Dinner"/>
    <s v="Brunswick/Bath/Freeport"/>
    <n v="2"/>
  </r>
  <r>
    <n v="282"/>
    <s v="DD"/>
    <s v="Order"/>
    <n v="28"/>
    <s v="Friday"/>
    <x v="144"/>
    <n v="4"/>
    <n v="25.5"/>
    <d v="1899-12-30T01:10:00"/>
    <n v="1.1666666666666667"/>
    <n v="1.25"/>
    <s v="Late Night"/>
    <s v="Portland"/>
    <n v="4"/>
  </r>
  <r>
    <n v="283"/>
    <s v="DD"/>
    <s v="Order"/>
    <n v="28"/>
    <s v="Friday"/>
    <x v="144"/>
    <n v="7"/>
    <n v="54.34"/>
    <d v="1899-12-30T03:34:00"/>
    <n v="3.5666666666666664"/>
    <n v="3.5"/>
    <s v="Late Night"/>
    <s v="Portland"/>
    <n v="4"/>
  </r>
  <r>
    <n v="284"/>
    <s v="UE"/>
    <s v="Order"/>
    <n v="29"/>
    <s v="Monday"/>
    <x v="145"/>
    <n v="9"/>
    <n v="112.81"/>
    <d v="1899-12-30T05:11:00"/>
    <n v="5.1833333333333336"/>
    <n v="5.25"/>
    <s v="Dinner"/>
    <s v="Portland"/>
    <n v="4"/>
  </r>
  <r>
    <n v="285"/>
    <s v="DD"/>
    <s v="Order"/>
    <n v="29"/>
    <s v="Monday"/>
    <x v="145"/>
    <n v="1"/>
    <n v="9.75"/>
    <d v="1899-12-30T00:55:00"/>
    <n v="0.91666666666666652"/>
    <n v="1"/>
    <s v="Dinner"/>
    <s v="Portland"/>
    <n v="4"/>
  </r>
  <r>
    <n v="286"/>
    <s v="UE"/>
    <s v="Order"/>
    <n v="29"/>
    <s v="Wednesday"/>
    <x v="146"/>
    <n v="4"/>
    <n v="90.59"/>
    <d v="1899-12-30T04:20:00"/>
    <n v="4.333333333333333"/>
    <n v="4.25"/>
    <s v="Dinner"/>
    <s v="Portland"/>
    <n v="4"/>
  </r>
  <r>
    <n v="287"/>
    <s v="DD"/>
    <s v="Order"/>
    <n v="29"/>
    <s v="Wednesday"/>
    <x v="146"/>
    <n v="4"/>
    <n v="38.619999999999997"/>
    <d v="1899-12-30T02:46:00"/>
    <n v="2.7666666666666666"/>
    <n v="2.75"/>
    <s v="Dinner"/>
    <s v="Portland"/>
    <n v="4"/>
  </r>
  <r>
    <n v="288"/>
    <s v="UE"/>
    <s v="Order"/>
    <n v="29"/>
    <s v="Friday"/>
    <x v="147"/>
    <n v="2"/>
    <n v="22.83"/>
    <d v="1899-12-30T00:55:34"/>
    <n v="0.92611111111111111"/>
    <n v="1"/>
    <s v="Dinner"/>
    <s v="Brunswick/Bath/Freeport"/>
    <n v="2"/>
  </r>
  <r>
    <n v="289"/>
    <s v="DD"/>
    <s v="Order"/>
    <n v="29"/>
    <s v="Friday"/>
    <x v="147"/>
    <n v="2"/>
    <n v="12.75"/>
    <d v="1899-12-30T01:18:00"/>
    <n v="1.3"/>
    <n v="1.25"/>
    <s v="Dinner"/>
    <s v="Brunswick/Bath/Freeport"/>
    <n v="2"/>
  </r>
  <r>
    <n v="290"/>
    <s v="DD"/>
    <s v="Order"/>
    <n v="29"/>
    <s v="Friday"/>
    <x v="147"/>
    <n v="1"/>
    <n v="6.5"/>
    <d v="1899-12-30T01:31:00"/>
    <n v="1.5166666666666666"/>
    <n v="1.5"/>
    <s v="Dinner"/>
    <s v="Portland"/>
    <n v="4"/>
  </r>
  <r>
    <n v="291"/>
    <s v="UE"/>
    <s v="Order"/>
    <n v="29"/>
    <s v="Friday"/>
    <x v="147"/>
    <n v="6"/>
    <n v="58.040000000000006"/>
    <d v="1899-12-30T05:44:26"/>
    <n v="5.7405555555555559"/>
    <n v="5.75"/>
    <s v="Dinner"/>
    <s v="Portland"/>
    <n v="4"/>
  </r>
  <r>
    <n v="292"/>
    <s v="UE"/>
    <s v="Order"/>
    <n v="29"/>
    <s v="Saturday"/>
    <x v="148"/>
    <n v="2"/>
    <n v="15.01"/>
    <d v="1899-12-30T04:35:00"/>
    <n v="4.583333333333333"/>
    <n v="4.5"/>
    <s v="Dinner"/>
    <s v="Portland"/>
    <n v="4"/>
  </r>
  <r>
    <n v="293"/>
    <s v="DD"/>
    <s v="Order"/>
    <n v="29"/>
    <s v="Saturday"/>
    <x v="148"/>
    <n v="3"/>
    <n v="26.75"/>
    <d v="1899-12-30T03:34:00"/>
    <n v="3.5666666666666664"/>
    <n v="3.5"/>
    <s v="Dinner"/>
    <s v="Brunswick/Bath/Freeport"/>
    <n v="2"/>
  </r>
  <r>
    <n v="294"/>
    <s v="DD"/>
    <s v="Order"/>
    <n v="29"/>
    <s v="Saturday"/>
    <x v="148"/>
    <n v="9"/>
    <n v="88.21"/>
    <d v="1899-12-30T03:10:00"/>
    <n v="3.166666666666667"/>
    <n v="3.25"/>
    <s v="Late Night"/>
    <s v="Portland"/>
    <n v="4"/>
  </r>
  <r>
    <n v="295"/>
    <s v="UE"/>
    <s v="Order"/>
    <n v="30"/>
    <s v="Wednesday"/>
    <x v="149"/>
    <n v="7"/>
    <n v="79.959999999999994"/>
    <d v="1899-12-30T04:46:00"/>
    <n v="4.7666666666666666"/>
    <n v="4.75"/>
    <s v="Dinner"/>
    <s v="Portland"/>
    <n v="4"/>
  </r>
  <r>
    <n v="296"/>
    <s v="DD"/>
    <s v="Order"/>
    <n v="30"/>
    <s v="Wednesday"/>
    <x v="149"/>
    <n v="5"/>
    <n v="56.75"/>
    <d v="1899-12-30T02:09:00"/>
    <n v="2.15"/>
    <n v="2.25"/>
    <s v="Dinner"/>
    <s v="Portland"/>
    <n v="4"/>
  </r>
  <r>
    <n v="297"/>
    <s v="UE"/>
    <s v="Order"/>
    <n v="30"/>
    <s v="Thursday"/>
    <x v="150"/>
    <n v="5"/>
    <n v="57.42"/>
    <d v="1899-12-30T03:42:00"/>
    <n v="3.7"/>
    <n v="3.75"/>
    <s v="Dinner"/>
    <s v="Brunswick/Bath/Freeport"/>
    <n v="2"/>
  </r>
  <r>
    <n v="298"/>
    <s v="DD"/>
    <s v="Order"/>
    <n v="30"/>
    <s v="Thursday"/>
    <x v="150"/>
    <n v="7"/>
    <n v="56.75"/>
    <d v="1899-12-30T03:32:00"/>
    <n v="3.5333333333333332"/>
    <n v="3.5"/>
    <s v="Dinner"/>
    <s v="Portland"/>
    <n v="4"/>
  </r>
  <r>
    <n v="299"/>
    <s v="UE"/>
    <s v="Order"/>
    <n v="33"/>
    <s v="Monday"/>
    <x v="151"/>
    <n v="2"/>
    <n v="8.99"/>
    <d v="1899-12-30T02:09:00"/>
    <n v="2.15"/>
    <n v="2.25"/>
    <s v="Dinner"/>
    <s v="Lewiston"/>
    <n v="3"/>
  </r>
  <r>
    <n v="300"/>
    <s v="DD"/>
    <s v="Order"/>
    <n v="33"/>
    <s v="Monday"/>
    <x v="151"/>
    <n v="3"/>
    <n v="20.75"/>
    <d v="1899-12-30T01:54:00"/>
    <n v="1.9"/>
    <n v="2"/>
    <s v="Dinner"/>
    <s v="Lewiston"/>
    <n v="3"/>
  </r>
  <r>
    <n v="301"/>
    <s v="DD"/>
    <s v="Order"/>
    <n v="33"/>
    <s v="Monday"/>
    <x v="151"/>
    <n v="5"/>
    <n v="26.84"/>
    <d v="1899-12-30T01:59:00"/>
    <n v="1.9833333333333334"/>
    <n v="2"/>
    <s v="Dinner"/>
    <s v="Lewiston"/>
    <n v="3"/>
  </r>
  <r>
    <n v="302"/>
    <s v="UE"/>
    <s v="Order"/>
    <n v="33"/>
    <s v="Tuesday"/>
    <x v="152"/>
    <n v="7"/>
    <n v="71.319999999999993"/>
    <d v="1899-12-30T03:30:00"/>
    <n v="3.5"/>
    <n v="3.5"/>
    <s v="Dinner"/>
    <s v="Portland"/>
    <n v="4"/>
  </r>
  <r>
    <n v="303"/>
    <s v="DD"/>
    <s v="Order"/>
    <n v="33"/>
    <s v="Tuesday"/>
    <x v="152"/>
    <n v="5"/>
    <n v="43.25"/>
    <d v="1899-12-30T01:57:00"/>
    <n v="1.9500000000000002"/>
    <n v="2"/>
    <s v="Dinner"/>
    <s v="Portland"/>
    <n v="4"/>
  </r>
  <r>
    <n v="304"/>
    <s v="UE"/>
    <s v="Order"/>
    <n v="33"/>
    <s v="Wednesday"/>
    <x v="153"/>
    <n v="4"/>
    <n v="47.5"/>
    <d v="1899-12-30T04:22:00"/>
    <n v="4.3666666666666663"/>
    <n v="4.25"/>
    <s v="Dinner"/>
    <s v="Lewiston"/>
    <n v="3"/>
  </r>
  <r>
    <n v="305"/>
    <s v="DD"/>
    <s v="Order"/>
    <n v="33"/>
    <s v="Wednesday"/>
    <x v="153"/>
    <n v="2"/>
    <n v="11"/>
    <d v="1899-12-30T00:46:00"/>
    <n v="0.76666666666666683"/>
    <n v="0.75"/>
    <s v="Dinner"/>
    <s v="Lewiston"/>
    <n v="3"/>
  </r>
  <r>
    <n v="306"/>
    <s v="DD"/>
    <s v="Order"/>
    <n v="33"/>
    <s v="Wednesday"/>
    <x v="153"/>
    <n v="5"/>
    <n v="29"/>
    <d v="1899-12-30T02:39:00"/>
    <n v="2.65"/>
    <n v="2.75"/>
    <s v="Late Night"/>
    <s v="Lewiston"/>
    <n v="3"/>
  </r>
  <r>
    <n v="307"/>
    <s v="DD"/>
    <s v="Order"/>
    <n v="33"/>
    <s v="Wednesday"/>
    <x v="153"/>
    <n v="1"/>
    <n v="12.5"/>
    <d v="1899-12-30T00:21:00"/>
    <n v="0.35"/>
    <n v="0.25"/>
    <s v="Late Night"/>
    <s v="Lewiston"/>
    <n v="3"/>
  </r>
  <r>
    <n v="308"/>
    <s v="UE"/>
    <s v="Order"/>
    <n v="34"/>
    <s v="Tuesday"/>
    <x v="154"/>
    <n v="1"/>
    <n v="21.47"/>
    <d v="1899-12-30T04:21:00"/>
    <n v="4.3499999999999996"/>
    <n v="4.25"/>
    <s v="Dinner"/>
    <s v="Brunswick/Bath/Freeport"/>
    <n v="2"/>
  </r>
  <r>
    <n v="309"/>
    <s v="DD"/>
    <s v="Order"/>
    <n v="34"/>
    <s v="Tuesday"/>
    <x v="154"/>
    <n v="7"/>
    <n v="65.25"/>
    <d v="1899-12-30T04:11:00"/>
    <n v="4.1833333333333336"/>
    <n v="4.25"/>
    <s v="Dinner"/>
    <s v="Brunswick/Bath/Freeport"/>
    <n v="2"/>
  </r>
  <r>
    <n v="310"/>
    <s v="UE"/>
    <s v="Order"/>
    <n v="34"/>
    <s v="Wednesday"/>
    <x v="155"/>
    <n v="5"/>
    <n v="89.63"/>
    <d v="1899-12-30T05:01:00"/>
    <n v="5.0166666666666666"/>
    <n v="5"/>
    <s v="Dinner"/>
    <s v="Portland"/>
    <n v="4"/>
  </r>
  <r>
    <n v="311"/>
    <s v="DD"/>
    <s v="Order"/>
    <n v="34"/>
    <s v="Wednesday"/>
    <x v="155"/>
    <n v="2"/>
    <n v="11.75"/>
    <d v="1899-12-30T00:59:00"/>
    <n v="0.98333333333333339"/>
    <n v="1"/>
    <s v="Dinner"/>
    <s v="Portland"/>
    <n v="4"/>
  </r>
  <r>
    <n v="312"/>
    <s v="DD"/>
    <s v="Order"/>
    <n v="34"/>
    <s v="Wednesday"/>
    <x v="155"/>
    <n v="3"/>
    <n v="29.25"/>
    <d v="1899-12-30T02:28:00"/>
    <n v="2.4666666666666668"/>
    <n v="2.5"/>
    <s v="Dinner"/>
    <s v="Portland"/>
    <n v="4"/>
  </r>
  <r>
    <n v="313"/>
    <s v="UE"/>
    <s v="Order"/>
    <n v="34"/>
    <s v="Thursday"/>
    <x v="156"/>
    <n v="3"/>
    <n v="31.37"/>
    <d v="1899-12-30T03:59:00"/>
    <n v="3.9833333333333334"/>
    <n v="4"/>
    <s v="Dinner"/>
    <s v="Portland"/>
    <n v="4"/>
  </r>
  <r>
    <n v="314"/>
    <s v="DD"/>
    <s v="Order"/>
    <n v="34"/>
    <s v="Thursday"/>
    <x v="156"/>
    <n v="1"/>
    <n v="6.82"/>
    <d v="1899-12-30T01:39:00"/>
    <n v="1.65"/>
    <n v="1.75"/>
    <s v="Dinner"/>
    <s v="Portland"/>
    <n v="4"/>
  </r>
  <r>
    <n v="315"/>
    <s v="DD"/>
    <s v="Order"/>
    <n v="34"/>
    <s v="Thursday"/>
    <x v="156"/>
    <n v="2"/>
    <n v="23.88"/>
    <d v="1899-12-30T01:57:00"/>
    <n v="1.9500000000000002"/>
    <n v="2"/>
    <s v="Dinner"/>
    <s v="Portland"/>
    <n v="4"/>
  </r>
  <r>
    <n v="316"/>
    <s v="DD"/>
    <s v="Order"/>
    <n v="34"/>
    <s v="Thursday"/>
    <x v="156"/>
    <n v="2"/>
    <n v="21.75"/>
    <d v="1899-12-30T01:13:00"/>
    <n v="1.2166666666666668"/>
    <n v="1.25"/>
    <s v="Dinner"/>
    <s v="Portland"/>
    <n v="4"/>
  </r>
  <r>
    <n v="317"/>
    <s v="UE"/>
    <s v="Order"/>
    <n v="34"/>
    <s v="Saturday"/>
    <x v="157"/>
    <n v="4"/>
    <n v="70.52"/>
    <d v="1899-12-30T05:36:00"/>
    <n v="5.6"/>
    <n v="5.5"/>
    <s v="Dinner"/>
    <s v="Brunswick/Bath/Freeport"/>
    <n v="2"/>
  </r>
  <r>
    <n v="318"/>
    <s v="DD"/>
    <s v="Order"/>
    <n v="34"/>
    <s v="Saturday"/>
    <x v="157"/>
    <n v="6"/>
    <n v="39.25"/>
    <d v="1899-12-30T03:23:00"/>
    <n v="3.3833333333333333"/>
    <n v="3.5"/>
    <s v="Dinner"/>
    <s v="Brunswick/Bath/Freeport"/>
    <n v="2"/>
  </r>
  <r>
    <n v="319"/>
    <s v="DD"/>
    <s v="Order"/>
    <n v="34"/>
    <s v="Saturday"/>
    <x v="157"/>
    <n v="3"/>
    <n v="17.5"/>
    <d v="1899-12-30T01:33:00"/>
    <n v="1.5500000000000003"/>
    <n v="1.5"/>
    <s v="Dinner"/>
    <s v="Brunswick/Bath/Freeport"/>
    <n v="2"/>
  </r>
  <r>
    <n v="320"/>
    <s v="UE"/>
    <s v="Order"/>
    <n v="35"/>
    <s v="Monday"/>
    <x v="158"/>
    <n v="2"/>
    <n v="25.72"/>
    <d v="1899-12-30T02:11:00"/>
    <n v="2.1833333333333331"/>
    <n v="2.25"/>
    <s v="Dinner"/>
    <s v="Portland"/>
    <n v="4"/>
  </r>
  <r>
    <n v="321"/>
    <s v="DD"/>
    <s v="Order"/>
    <n v="35"/>
    <s v="Monday"/>
    <x v="158"/>
    <n v="7"/>
    <n v="75"/>
    <d v="1899-12-30T05:06:00"/>
    <n v="5.0999999999999996"/>
    <n v="5"/>
    <s v="Dinner"/>
    <s v="Portland"/>
    <n v="4"/>
  </r>
  <r>
    <n v="322"/>
    <s v="UE"/>
    <s v="Order"/>
    <n v="35"/>
    <s v="Saturday"/>
    <x v="159"/>
    <n v="5"/>
    <n v="89.85"/>
    <d v="1899-12-30T06:38:00"/>
    <n v="6.6333333333333329"/>
    <n v="6.75"/>
    <s v="Dinner"/>
    <s v="Brunswick/Bath/Freeport"/>
    <n v="2"/>
  </r>
  <r>
    <n v="323"/>
    <s v="DD"/>
    <s v="Order"/>
    <n v="35"/>
    <s v="Saturday"/>
    <x v="159"/>
    <n v="1"/>
    <n v="7.5"/>
    <d v="1899-12-30T01:06:00"/>
    <n v="1.1000000000000001"/>
    <n v="1"/>
    <s v="Dinner"/>
    <s v="Brunswick/Bath/Freeport"/>
    <n v="2"/>
  </r>
  <r>
    <n v="324"/>
    <s v="DD"/>
    <s v="Order"/>
    <n v="35"/>
    <s v="Saturday"/>
    <x v="159"/>
    <n v="2"/>
    <n v="17.75"/>
    <d v="1899-12-30T01:20:00"/>
    <n v="1.3333333333333333"/>
    <n v="1.25"/>
    <s v="Late Night"/>
    <s v="Brunswick/Bath/Freeport"/>
    <n v="2"/>
  </r>
  <r>
    <n v="325"/>
    <s v="DD"/>
    <s v="Order"/>
    <n v="35"/>
    <s v="Saturday"/>
    <x v="159"/>
    <n v="1"/>
    <n v="7"/>
    <d v="1899-12-30T01:31:00"/>
    <n v="1.5166666666666666"/>
    <n v="1.5"/>
    <s v="Late Night"/>
    <s v="Brunswick/Bath/Freeport"/>
    <n v="2"/>
  </r>
  <r>
    <n v="326"/>
    <s v="UE"/>
    <s v="Order"/>
    <n v="36"/>
    <s v="Monday"/>
    <x v="160"/>
    <n v="1"/>
    <n v="17.79"/>
    <d v="1899-12-30T03:46:00"/>
    <n v="3.7666666666666666"/>
    <n v="3.75"/>
    <s v="Dinner"/>
    <s v="Brunswick/Bath/Freeport"/>
    <n v="2"/>
  </r>
  <r>
    <n v="327"/>
    <s v="DD"/>
    <s v="Order"/>
    <n v="36"/>
    <s v="Monday"/>
    <x v="160"/>
    <n v="6"/>
    <n v="62"/>
    <d v="1899-12-30T05:16:00"/>
    <n v="5.2666666666666666"/>
    <n v="5.25"/>
    <s v="Dinner"/>
    <s v="Brunswick/Bath/Freeport"/>
    <n v="2"/>
  </r>
  <r>
    <n v="328"/>
    <s v="UE"/>
    <s v="Order"/>
    <n v="36"/>
    <s v="Tuesday"/>
    <x v="161"/>
    <n v="9"/>
    <n v="96.78"/>
    <d v="1899-12-30T04:20:00"/>
    <n v="4.333333333333333"/>
    <n v="4.25"/>
    <s v="Dinner"/>
    <s v="Portland"/>
    <n v="4"/>
  </r>
  <r>
    <n v="329"/>
    <s v="DD"/>
    <s v="Order"/>
    <n v="36"/>
    <s v="Tuesday"/>
    <x v="161"/>
    <n v="1"/>
    <n v="10.5"/>
    <d v="1899-12-30T00:30:00"/>
    <n v="0.5"/>
    <n v="0.5"/>
    <s v="Dinner"/>
    <s v="Portland"/>
    <n v="4"/>
  </r>
  <r>
    <n v="330"/>
    <s v="DD"/>
    <s v="Order"/>
    <n v="36"/>
    <s v="Tuesday"/>
    <x v="161"/>
    <n v="2"/>
    <n v="11"/>
    <d v="1899-12-30T00:58:00"/>
    <n v="0.96666666666666679"/>
    <n v="1"/>
    <s v="Late Night"/>
    <s v="Portland"/>
    <n v="4"/>
  </r>
  <r>
    <n v="331"/>
    <s v="UE"/>
    <s v="Order"/>
    <n v="36"/>
    <s v="Wednesday"/>
    <x v="162"/>
    <n v="5"/>
    <n v="94.24"/>
    <d v="1899-12-30T04:12:00"/>
    <n v="4.2"/>
    <n v="4.25"/>
    <s v="Dinner"/>
    <s v="Portland"/>
    <n v="4"/>
  </r>
  <r>
    <n v="332"/>
    <s v="DD"/>
    <s v="Order"/>
    <n v="36"/>
    <s v="Wednesday"/>
    <x v="162"/>
    <n v="5"/>
    <n v="31.25"/>
    <d v="1899-12-30T01:53:00"/>
    <n v="1.8833333333333333"/>
    <n v="2"/>
    <s v="Late Night"/>
    <s v="Portland"/>
    <n v="4"/>
  </r>
  <r>
    <n v="333"/>
    <s v="DD"/>
    <s v="Order"/>
    <n v="36"/>
    <s v="Thursday"/>
    <x v="163"/>
    <n v="11"/>
    <n v="78.5"/>
    <d v="1899-12-30T05:11:00"/>
    <n v="5.1833333333333336"/>
    <n v="5.25"/>
    <s v="Dinner"/>
    <s v="Lewiston"/>
    <n v="3"/>
  </r>
  <r>
    <n v="334"/>
    <s v="UE"/>
    <s v="Order"/>
    <n v="36"/>
    <s v="Friday"/>
    <x v="164"/>
    <n v="2"/>
    <n v="28.37"/>
    <d v="1899-12-30T03:15:00"/>
    <n v="3.25"/>
    <n v="3.25"/>
    <s v="Lunch"/>
    <s v="Brunswick/Bath/Freeport"/>
    <n v="2"/>
  </r>
  <r>
    <n v="335"/>
    <s v="DD"/>
    <s v="Order"/>
    <n v="36"/>
    <s v="Friday"/>
    <x v="164"/>
    <n v="6"/>
    <n v="78.91"/>
    <d v="1899-12-30T02:36:00"/>
    <n v="2.6"/>
    <n v="2.5"/>
    <s v="Lunch"/>
    <s v="Brunswick/Bath/Freeport"/>
    <n v="2"/>
  </r>
  <r>
    <n v="336"/>
    <s v="DD"/>
    <s v="Order"/>
    <n v="36"/>
    <s v="Friday"/>
    <x v="164"/>
    <n v="3"/>
    <n v="28.75"/>
    <d v="1899-12-30T01:16:00"/>
    <n v="1.2666666666666666"/>
    <n v="1.25"/>
    <s v="Dinner"/>
    <s v="Brunswick/Bath/Freeport"/>
    <n v="2"/>
  </r>
  <r>
    <n v="337"/>
    <s v="UE"/>
    <s v="Order"/>
    <n v="36"/>
    <s v="Saturday"/>
    <x v="165"/>
    <n v="5"/>
    <n v="72.39"/>
    <d v="1899-12-30T06:48:00"/>
    <n v="6.8"/>
    <n v="6.75"/>
    <s v="Dinner"/>
    <s v="Brunswick/Bath/Freeport"/>
    <n v="2"/>
  </r>
  <r>
    <n v="338"/>
    <s v="DD"/>
    <s v="Order"/>
    <n v="36"/>
    <s v="Saturday"/>
    <x v="165"/>
    <n v="5"/>
    <n v="46.17"/>
    <d v="1899-12-30T01:36:00"/>
    <n v="1.6"/>
    <n v="1.5"/>
    <s v="Dinner"/>
    <s v="Brunswick/Bath/Freeport"/>
    <n v="2"/>
  </r>
  <r>
    <n v="339"/>
    <s v="DD"/>
    <s v="Order"/>
    <n v="36"/>
    <s v="Saturday"/>
    <x v="165"/>
    <n v="2"/>
    <n v="20"/>
    <d v="1899-12-30T01:17:00"/>
    <n v="1.2833333333333332"/>
    <n v="1.25"/>
    <s v="Dinner"/>
    <s v="Brunswick/Bath/Freeport"/>
    <n v="2"/>
  </r>
  <r>
    <n v="340"/>
    <s v="DD"/>
    <s v="Order"/>
    <n v="36"/>
    <s v="Saturday"/>
    <x v="165"/>
    <n v="1"/>
    <n v="8"/>
    <d v="1899-12-30T00:49:00"/>
    <n v="0.81666666666666665"/>
    <n v="0.75"/>
    <s v="Late Night"/>
    <s v="Brunswick/Bath/Freeport"/>
    <n v="2"/>
  </r>
  <r>
    <n v="341"/>
    <s v="DD"/>
    <s v="Order"/>
    <n v="36"/>
    <s v="Saturday"/>
    <x v="165"/>
    <n v="4"/>
    <n v="39.43"/>
    <d v="1899-12-30T01:56:00"/>
    <n v="1.9333333333333336"/>
    <n v="2"/>
    <s v="Late Night"/>
    <s v="Portland"/>
    <n v="4"/>
  </r>
  <r>
    <n v="342"/>
    <s v="UE"/>
    <s v="Order"/>
    <n v="37"/>
    <s v="Monday"/>
    <x v="166"/>
    <n v="10"/>
    <n v="127.1"/>
    <d v="1899-12-30T07:14:00"/>
    <n v="7.2333333333333325"/>
    <n v="7.25"/>
    <s v="Dinner"/>
    <s v="Portland"/>
    <n v="4"/>
  </r>
  <r>
    <n v="343"/>
    <s v="DD"/>
    <s v="Order"/>
    <n v="37"/>
    <s v="Monday"/>
    <x v="166"/>
    <n v="2"/>
    <n v="24.5"/>
    <d v="1899-12-30T01:50:00"/>
    <n v="1.8333333333333335"/>
    <n v="1.75"/>
    <s v="Late Night"/>
    <s v="Portland"/>
    <n v="4"/>
  </r>
  <r>
    <n v="344"/>
    <s v="DD"/>
    <s v="Order"/>
    <n v="37"/>
    <s v="Monday"/>
    <x v="166"/>
    <n v="2"/>
    <n v="22.5"/>
    <d v="1899-12-30T01:14:00"/>
    <n v="1.2333333333333334"/>
    <n v="1.25"/>
    <s v="Late Night"/>
    <s v="Portland"/>
    <n v="4"/>
  </r>
  <r>
    <n v="345"/>
    <s v="UE"/>
    <s v="Order"/>
    <n v="37"/>
    <s v="Tuesday"/>
    <x v="167"/>
    <n v="6"/>
    <n v="95.26"/>
    <d v="1899-12-30T05:09:00"/>
    <n v="5.15"/>
    <n v="5.25"/>
    <s v="Dinner"/>
    <s v="Portland"/>
    <n v="4"/>
  </r>
  <r>
    <n v="346"/>
    <s v="DD"/>
    <s v="Order"/>
    <n v="37"/>
    <s v="Tuesday"/>
    <x v="167"/>
    <n v="3"/>
    <n v="14.75"/>
    <d v="1899-12-30T00:57:00"/>
    <n v="0.95"/>
    <n v="1"/>
    <s v="Dinner"/>
    <s v="Portland"/>
    <n v="4"/>
  </r>
  <r>
    <n v="347"/>
    <s v="UE"/>
    <s v="Order"/>
    <n v="37"/>
    <s v="Wednesday"/>
    <x v="168"/>
    <n v="3"/>
    <n v="18.829999999999998"/>
    <d v="1899-12-30T02:49:00"/>
    <n v="2.8166666666666664"/>
    <n v="2.75"/>
    <s v="Dinner"/>
    <s v="Portland"/>
    <n v="4"/>
  </r>
  <r>
    <n v="348"/>
    <s v="UE"/>
    <s v="Order"/>
    <n v="37"/>
    <s v="Thursday"/>
    <x v="169"/>
    <n v="11"/>
    <n v="96.87"/>
    <d v="1899-12-30T04:43:00"/>
    <n v="4.7166666666666668"/>
    <n v="4.75"/>
    <s v="Dinner"/>
    <s v="Portland"/>
    <n v="4"/>
  </r>
  <r>
    <n v="349"/>
    <s v="DD"/>
    <s v="Order"/>
    <n v="37"/>
    <s v="Thursday"/>
    <x v="169"/>
    <n v="1"/>
    <n v="8.9"/>
    <d v="1899-12-30T00:59:00"/>
    <n v="0.98333333333333339"/>
    <n v="1"/>
    <s v="Dinner"/>
    <s v="Portland"/>
    <n v="4"/>
  </r>
  <r>
    <n v="350"/>
    <s v="DD"/>
    <s v="Order"/>
    <n v="37"/>
    <s v="Thursday"/>
    <x v="169"/>
    <n v="2"/>
    <n v="9"/>
    <d v="1899-12-30T00:40:00"/>
    <n v="0.66666666666666663"/>
    <n v="0.75"/>
    <s v="Dinner"/>
    <s v="Portland"/>
    <n v="4"/>
  </r>
  <r>
    <n v="351"/>
    <s v="UE"/>
    <s v="Order"/>
    <n v="37"/>
    <s v="Friday"/>
    <x v="170"/>
    <n v="1"/>
    <n v="4.7300000000000004"/>
    <d v="1899-12-30T07:06:00"/>
    <n v="7.1"/>
    <n v="7"/>
    <s v="Late Night"/>
    <s v="Portland"/>
    <n v="4"/>
  </r>
  <r>
    <n v="352"/>
    <s v="DD"/>
    <s v="Order"/>
    <n v="37"/>
    <s v="Friday"/>
    <x v="170"/>
    <n v="7"/>
    <n v="75.11"/>
    <d v="1899-12-30T04:34:00"/>
    <n v="4.5666666666666664"/>
    <n v="4.5"/>
    <s v="Dinner"/>
    <s v="Brunswick/Bath/Freeport"/>
    <n v="2"/>
  </r>
  <r>
    <n v="353"/>
    <s v="DD"/>
    <s v="Order"/>
    <n v="37"/>
    <s v="Friday"/>
    <x v="170"/>
    <n v="2"/>
    <n v="30.75"/>
    <d v="1899-12-30T01:54:00"/>
    <n v="1.9"/>
    <n v="2"/>
    <s v="Late Night"/>
    <s v="Portland"/>
    <n v="4"/>
  </r>
  <r>
    <n v="354"/>
    <s v="DD"/>
    <s v="Order"/>
    <n v="37"/>
    <s v="Saturday"/>
    <x v="171"/>
    <n v="1"/>
    <n v="8.7799999999999994"/>
    <d v="1899-12-30T01:40:00"/>
    <n v="1.6666666666666665"/>
    <n v="1.75"/>
    <s v="Late Night"/>
    <s v="Portland"/>
    <n v="4"/>
  </r>
  <r>
    <n v="355"/>
    <s v="UE"/>
    <s v="Order"/>
    <n v="37"/>
    <s v="Saturday"/>
    <x v="171"/>
    <n v="4"/>
    <n v="29.02"/>
    <d v="1899-12-30T02:31:00"/>
    <n v="2.5166666666666666"/>
    <n v="2.5"/>
    <s v="Dinner"/>
    <s v="Lewiston"/>
    <n v="3"/>
  </r>
  <r>
    <n v="356"/>
    <s v="DD"/>
    <s v="Order"/>
    <n v="37"/>
    <s v="Saturday"/>
    <x v="171"/>
    <n v="1"/>
    <n v="8.5"/>
    <d v="1899-12-30T00:20:00"/>
    <n v="0.33333333333333331"/>
    <n v="0.25"/>
    <s v="Lunch"/>
    <s v="Lewiston"/>
    <n v="3"/>
  </r>
  <r>
    <n v="357"/>
    <s v="DD"/>
    <s v="Order"/>
    <n v="37"/>
    <s v="Saturday"/>
    <x v="171"/>
    <n v="6"/>
    <n v="57.5"/>
    <d v="1899-12-30T04:04:00"/>
    <n v="4.0666666666666664"/>
    <n v="4"/>
    <s v="Dinner"/>
    <s v="Lewiston"/>
    <n v="3"/>
  </r>
  <r>
    <n v="358"/>
    <s v="DD"/>
    <s v="Order"/>
    <n v="37"/>
    <s v="Saturday"/>
    <x v="171"/>
    <n v="1"/>
    <n v="8.5"/>
    <d v="1899-12-30T00:26:00"/>
    <n v="0.43333333333333335"/>
    <n v="0.5"/>
    <s v="Dinner"/>
    <s v="Lewiston"/>
    <n v="3"/>
  </r>
  <r>
    <n v="359"/>
    <s v="UE"/>
    <s v="Order"/>
    <n v="37"/>
    <s v="Sunday"/>
    <x v="172"/>
    <n v="7"/>
    <n v="43.47"/>
    <d v="1899-12-30T07:19:00"/>
    <n v="7.3166666666666664"/>
    <n v="7.25"/>
    <s v="Dinner"/>
    <s v="Lewiston"/>
    <n v="3"/>
  </r>
  <r>
    <n v="360"/>
    <s v="DD"/>
    <s v="Order"/>
    <n v="37"/>
    <s v="Sunday"/>
    <x v="172"/>
    <n v="1"/>
    <n v="6"/>
    <d v="1899-12-30T00:57:00"/>
    <n v="0.95"/>
    <n v="1"/>
    <s v="Lunch"/>
    <s v="Lewiston"/>
    <n v="3"/>
  </r>
  <r>
    <n v="361"/>
    <s v="DD"/>
    <s v="Order"/>
    <n v="37"/>
    <s v="Sunday"/>
    <x v="172"/>
    <n v="15"/>
    <n v="100.32"/>
    <d v="1899-12-30T06:43:00"/>
    <n v="6.7166666666666668"/>
    <n v="6.75"/>
    <s v="Dinner"/>
    <s v="Lewiston"/>
    <n v="3"/>
  </r>
  <r>
    <n v="362"/>
    <s v="UE"/>
    <s v="Order"/>
    <n v="38"/>
    <s v="Monday"/>
    <x v="173"/>
    <n v="8"/>
    <n v="78.94"/>
    <d v="1899-12-30T04:09:00"/>
    <n v="4.1500000000000004"/>
    <n v="4.25"/>
    <s v="Dinner"/>
    <s v="Portland"/>
    <n v="4"/>
  </r>
  <r>
    <n v="363"/>
    <s v="DD"/>
    <s v="Order"/>
    <n v="38"/>
    <s v="Monday"/>
    <x v="173"/>
    <n v="4"/>
    <n v="27.25"/>
    <d v="1899-12-30T01:39:00"/>
    <n v="1.65"/>
    <n v="1.75"/>
    <s v="Dinner"/>
    <s v="Portland"/>
    <n v="4"/>
  </r>
  <r>
    <n v="364"/>
    <s v="UE"/>
    <s v="Order"/>
    <n v="38"/>
    <s v="Thursday"/>
    <x v="174"/>
    <n v="15"/>
    <n v="157.62"/>
    <d v="1899-12-30T07:12:00"/>
    <n v="7.1999999999999993"/>
    <n v="7.25"/>
    <s v="Dinner"/>
    <s v="Lewiston"/>
    <n v="3"/>
  </r>
  <r>
    <n v="365"/>
    <s v="DD"/>
    <s v="Order"/>
    <n v="38"/>
    <s v="Thursday"/>
    <x v="174"/>
    <n v="1"/>
    <n v="11"/>
    <d v="1899-12-30T01:59:00"/>
    <n v="1.9833333333333334"/>
    <n v="2"/>
    <s v="Dinner"/>
    <s v="Lewiston"/>
    <n v="3"/>
  </r>
  <r>
    <n v="366"/>
    <s v="UE"/>
    <s v="Order"/>
    <n v="38"/>
    <s v="Friday"/>
    <x v="175"/>
    <n v="3"/>
    <n v="48.28"/>
    <d v="1899-12-30T02:08:00"/>
    <n v="2.1333333333333333"/>
    <n v="2.25"/>
    <s v="Dinner"/>
    <s v="Brunswick/Bath/Freeport"/>
    <n v="2"/>
  </r>
  <r>
    <n v="367"/>
    <s v="DD"/>
    <s v="Order"/>
    <n v="38"/>
    <s v="Friday"/>
    <x v="175"/>
    <n v="3"/>
    <n v="17.5"/>
    <d v="1899-12-30T01:45:00"/>
    <n v="1.75"/>
    <n v="1.75"/>
    <s v="Dinner"/>
    <s v="Brunswick/Bath/Freeport"/>
    <n v="2"/>
  </r>
  <r>
    <n v="368"/>
    <s v="UE"/>
    <s v="Order"/>
    <n v="38"/>
    <s v="Sunday"/>
    <x v="176"/>
    <n v="4"/>
    <n v="77.679999999999993"/>
    <d v="1899-12-30T03:14:00"/>
    <n v="3.2333333333333334"/>
    <n v="3.25"/>
    <s v="Dinner"/>
    <s v="Brunswick/Bath/Freeport"/>
    <n v="2"/>
  </r>
  <r>
    <n v="369"/>
    <s v="DD"/>
    <s v="Order"/>
    <n v="38"/>
    <s v="Sunday"/>
    <x v="176"/>
    <n v="7"/>
    <n v="84.15"/>
    <d v="1899-12-30T05:19:00"/>
    <n v="5.3166666666666664"/>
    <n v="5.25"/>
    <s v="Dinner"/>
    <s v="Brunswick/Bath/Freeport"/>
    <n v="2"/>
  </r>
  <r>
    <n v="370"/>
    <s v="UE"/>
    <s v="Order"/>
    <n v="39"/>
    <s v="Monday"/>
    <x v="177"/>
    <n v="5"/>
    <n v="59.41"/>
    <d v="1899-12-30T04:27:00"/>
    <n v="4.45"/>
    <n v="4.5"/>
    <s v="Dinner"/>
    <s v="Portland"/>
    <n v="4"/>
  </r>
  <r>
    <n v="371"/>
    <s v="DD"/>
    <s v="Order"/>
    <n v="39"/>
    <s v="Monday"/>
    <x v="177"/>
    <n v="3"/>
    <n v="19.11"/>
    <d v="1899-12-30T01:47:00"/>
    <n v="1.7833333333333332"/>
    <n v="1.75"/>
    <s v="Dinner"/>
    <s v="Portland"/>
    <n v="4"/>
  </r>
  <r>
    <n v="372"/>
    <s v="UE"/>
    <s v="Order"/>
    <n v="39"/>
    <s v="Tuesday"/>
    <x v="178"/>
    <n v="3"/>
    <n v="35.19"/>
    <d v="1899-12-30T02:18:00"/>
    <n v="2.2999999999999998"/>
    <n v="2.25"/>
    <s v="Dinner"/>
    <s v="Lewiston"/>
    <n v="3"/>
  </r>
  <r>
    <n v="373"/>
    <s v="UE"/>
    <s v="Order"/>
    <n v="39"/>
    <s v="Wednesday"/>
    <x v="179"/>
    <n v="1"/>
    <n v="4.3499999999999996"/>
    <d v="1899-12-30T02:28:00"/>
    <n v="2.4666666666666668"/>
    <n v="2.5"/>
    <s v="Dinner"/>
    <s v="Lewiston"/>
    <n v="3"/>
  </r>
  <r>
    <n v="374"/>
    <s v="DD"/>
    <s v="Order"/>
    <n v="39"/>
    <s v="Wednesday"/>
    <x v="179"/>
    <n v="5"/>
    <n v="28.25"/>
    <d v="1899-12-30T02:03:00"/>
    <n v="2.0499999999999998"/>
    <n v="2"/>
    <s v="Dinner"/>
    <s v="Lewiston"/>
    <n v="3"/>
  </r>
  <r>
    <n v="375"/>
    <s v="DD"/>
    <s v="Order"/>
    <n v="39"/>
    <s v="Wednesday"/>
    <x v="179"/>
    <n v="4"/>
    <n v="13.25"/>
    <d v="1899-12-30T01:18:00"/>
    <n v="1.3"/>
    <n v="1.25"/>
    <s v="Dinner"/>
    <s v="Lewiston"/>
    <n v="3"/>
  </r>
  <r>
    <n v="376"/>
    <s v="UE"/>
    <s v="Order"/>
    <n v="39"/>
    <s v="Friday"/>
    <x v="180"/>
    <n v="2"/>
    <n v="17.72"/>
    <d v="1899-12-30T04:53:00"/>
    <n v="4.8833333333333329"/>
    <n v="5"/>
    <s v="Dinner"/>
    <s v="Brunswick/Bath/Freeport"/>
    <n v="2"/>
  </r>
  <r>
    <n v="377"/>
    <s v="DD"/>
    <s v="Order"/>
    <n v="39"/>
    <s v="Friday"/>
    <x v="180"/>
    <n v="11"/>
    <n v="76.31"/>
    <d v="1899-12-30T06:46:00"/>
    <n v="6.7666666666666666"/>
    <n v="6.75"/>
    <s v="Dinner"/>
    <s v="Brunswick/Bath/Freeport"/>
    <n v="2"/>
  </r>
  <r>
    <n v="378"/>
    <s v="UE"/>
    <s v="Order"/>
    <n v="39"/>
    <s v="Sunday"/>
    <x v="181"/>
    <n v="1"/>
    <n v="18.97"/>
    <d v="1899-12-30T03:19:00"/>
    <n v="3.3166666666666664"/>
    <n v="3.25"/>
    <s v="Dinner"/>
    <s v="Brunswick/Bath/Freeport"/>
    <n v="2"/>
  </r>
  <r>
    <n v="379"/>
    <s v="DD"/>
    <s v="Order"/>
    <n v="39"/>
    <s v="Sunday"/>
    <x v="181"/>
    <n v="5"/>
    <n v="46"/>
    <d v="1899-12-30T02:59:00"/>
    <n v="2.9833333333333334"/>
    <n v="3"/>
    <s v="Dinner"/>
    <s v="Brunswick/Bath/Freeport"/>
    <n v="2"/>
  </r>
  <r>
    <n v="380"/>
    <s v="UE"/>
    <s v="Order"/>
    <n v="40"/>
    <s v="Monday"/>
    <x v="182"/>
    <n v="6"/>
    <n v="80.540000000000006"/>
    <d v="1899-12-30T05:54:00"/>
    <n v="5.9"/>
    <n v="6"/>
    <s v="Dinner"/>
    <s v="Portland"/>
    <n v="4"/>
  </r>
  <r>
    <n v="381"/>
    <s v="DD"/>
    <s v="Order"/>
    <n v="40"/>
    <s v="Monday"/>
    <x v="182"/>
    <n v="4"/>
    <n v="27"/>
    <d v="1899-12-30T02:25:00"/>
    <n v="2.4166666666666665"/>
    <n v="2.5"/>
    <s v="Dinner"/>
    <s v="Portland"/>
    <n v="4"/>
  </r>
  <r>
    <n v="382"/>
    <s v="DD"/>
    <s v="Order"/>
    <n v="40"/>
    <s v="Monday"/>
    <x v="182"/>
    <n v="1"/>
    <n v="7.3"/>
    <d v="1899-12-30T00:42:00"/>
    <n v="0.7"/>
    <n v="0.75"/>
    <s v="Late Night"/>
    <s v="Portland"/>
    <n v="4"/>
  </r>
  <r>
    <n v="383"/>
    <s v="DD"/>
    <s v="Order"/>
    <n v="40"/>
    <s v="Monday"/>
    <x v="182"/>
    <n v="5"/>
    <n v="52.75"/>
    <d v="1899-12-30T01:29:00"/>
    <n v="1.4833333333333334"/>
    <n v="1.5"/>
    <s v="Late Night"/>
    <s v="Portland"/>
    <n v="4"/>
  </r>
  <r>
    <n v="384"/>
    <s v="UE"/>
    <s v="Order"/>
    <n v="40"/>
    <s v="Tuesday"/>
    <x v="183"/>
    <n v="4"/>
    <n v="24.42"/>
    <d v="1899-12-30T06:01:00"/>
    <n v="6.0166666666666666"/>
    <n v="6"/>
    <s v="Dinner"/>
    <s v="Portland"/>
    <n v="4"/>
  </r>
  <r>
    <n v="385"/>
    <s v="DD"/>
    <s v="Order"/>
    <n v="40"/>
    <s v="Tuesday"/>
    <x v="183"/>
    <n v="2"/>
    <n v="12"/>
    <d v="1899-12-30T01:02:00"/>
    <n v="1.0333333333333334"/>
    <n v="1"/>
    <s v="Dinner"/>
    <s v="Portland"/>
    <n v="4"/>
  </r>
  <r>
    <n v="386"/>
    <s v="DD"/>
    <s v="Order"/>
    <n v="40"/>
    <s v="Tuesday"/>
    <x v="183"/>
    <n v="7"/>
    <n v="49.5"/>
    <d v="1899-12-30T03:36:00"/>
    <n v="3.5999999999999996"/>
    <n v="3.5"/>
    <s v="Dinner"/>
    <s v="Portland"/>
    <n v="4"/>
  </r>
  <r>
    <n v="387"/>
    <s v="UE"/>
    <s v="Order"/>
    <n v="40"/>
    <s v="Thursday"/>
    <x v="184"/>
    <n v="7"/>
    <n v="76.180000000000007"/>
    <d v="1899-12-30T04:48:00"/>
    <n v="4.8"/>
    <n v="4.75"/>
    <s v="Dinner"/>
    <s v="Portland"/>
    <n v="4"/>
  </r>
  <r>
    <n v="388"/>
    <s v="DD"/>
    <s v="Order"/>
    <n v="40"/>
    <s v="Thursday"/>
    <x v="184"/>
    <n v="3"/>
    <n v="25.75"/>
    <d v="1899-12-30T02:04:00"/>
    <n v="2.0666666666666669"/>
    <n v="2"/>
    <s v="Dinner"/>
    <s v="Portland"/>
    <n v="4"/>
  </r>
  <r>
    <n v="389"/>
    <s v="UE"/>
    <s v="Order"/>
    <n v="40"/>
    <s v="Friday"/>
    <x v="185"/>
    <n v="5"/>
    <n v="63.46"/>
    <d v="1899-12-30T02:15:00"/>
    <n v="2.25"/>
    <n v="2.25"/>
    <s v="Dinner"/>
    <s v="Brunswick/Bath/Freeport"/>
    <n v="2"/>
  </r>
  <r>
    <n v="390"/>
    <s v="DD"/>
    <s v="Order"/>
    <n v="40"/>
    <s v="Friday"/>
    <x v="185"/>
    <n v="2"/>
    <n v="22"/>
    <d v="1899-12-30T01:31:00"/>
    <n v="1.5166666666666666"/>
    <n v="1.5"/>
    <s v="Dinner"/>
    <s v="Brunswick/Bath/Freeport"/>
    <n v="2"/>
  </r>
  <r>
    <n v="391"/>
    <s v="UE"/>
    <s v="Order"/>
    <n v="40"/>
    <s v="Sunday"/>
    <x v="186"/>
    <n v="1"/>
    <n v="9.83"/>
    <d v="1899-12-30T02:45:00"/>
    <n v="2.75"/>
    <n v="2.75"/>
    <s v="Dinner"/>
    <s v="Brunswick/Bath/Freeport"/>
    <n v="2"/>
  </r>
  <r>
    <n v="392"/>
    <s v="DD"/>
    <s v="Order"/>
    <n v="40"/>
    <s v="Sunday"/>
    <x v="186"/>
    <n v="3"/>
    <n v="36"/>
    <d v="1899-12-30T01:36:00"/>
    <n v="1.6"/>
    <n v="1.5"/>
    <s v="Dinner"/>
    <s v="Brunswick/Bath/Freeport"/>
    <n v="2"/>
  </r>
  <r>
    <n v="393"/>
    <s v="UE"/>
    <s v="Order"/>
    <n v="41"/>
    <s v="Monday"/>
    <x v="187"/>
    <n v="6"/>
    <n v="36.9"/>
    <d v="1899-12-30T05:57:00"/>
    <n v="5.95"/>
    <n v="6"/>
    <s v="Dinner"/>
    <s v="Lewiston"/>
    <n v="3"/>
  </r>
  <r>
    <n v="394"/>
    <s v="DD"/>
    <s v="Order"/>
    <n v="41"/>
    <s v="Monday"/>
    <x v="187"/>
    <n v="2"/>
    <n v="14"/>
    <d v="1899-12-30T01:03:00"/>
    <n v="1.05"/>
    <n v="1"/>
    <s v="Dinner"/>
    <s v="Lewiston"/>
    <n v="3"/>
  </r>
  <r>
    <n v="395"/>
    <s v="DD"/>
    <s v="Order"/>
    <n v="41"/>
    <s v="Monday"/>
    <x v="187"/>
    <n v="4"/>
    <n v="32"/>
    <d v="1899-12-30T01:53:00"/>
    <n v="1.8833333333333333"/>
    <n v="2"/>
    <s v="Late Night"/>
    <s v="Lewiston"/>
    <n v="3"/>
  </r>
  <r>
    <n v="396"/>
    <s v="UE"/>
    <s v="Order"/>
    <n v="41"/>
    <s v="Wednesday"/>
    <x v="188"/>
    <n v="8"/>
    <n v="95.1"/>
    <d v="1899-12-30T07:04:00"/>
    <n v="7.0666666666666664"/>
    <n v="7"/>
    <s v="Dinner"/>
    <s v="Portland"/>
    <n v="4"/>
  </r>
  <r>
    <n v="397"/>
    <s v="DD"/>
    <s v="Order"/>
    <n v="41"/>
    <s v="Wednesday"/>
    <x v="188"/>
    <n v="5"/>
    <n v="37"/>
    <d v="1899-12-30T03:43:00"/>
    <n v="3.7166666666666668"/>
    <n v="3.75"/>
    <s v="Late Night"/>
    <s v="Portland"/>
    <n v="4"/>
  </r>
  <r>
    <n v="398"/>
    <s v="UE"/>
    <s v="Order"/>
    <n v="41"/>
    <s v="Thursday"/>
    <x v="189"/>
    <n v="8"/>
    <n v="148.06"/>
    <d v="1899-12-30T04:36:00"/>
    <n v="4.5999999999999996"/>
    <n v="4.5"/>
    <s v="Dinner"/>
    <s v="Brunswick/Bath/Freeport"/>
    <n v="2"/>
  </r>
  <r>
    <n v="399"/>
    <s v="DD"/>
    <s v="Order"/>
    <n v="41"/>
    <s v="Thursday"/>
    <x v="189"/>
    <n v="4"/>
    <n v="19.5"/>
    <d v="1899-12-30T01:43:00"/>
    <n v="1.7166666666666668"/>
    <n v="1.75"/>
    <s v="Late Night"/>
    <s v="Brunswick/Bath/Freeport"/>
    <n v="2"/>
  </r>
  <r>
    <n v="400"/>
    <s v="DD"/>
    <s v="Order"/>
    <n v="41"/>
    <s v="Thursday"/>
    <x v="189"/>
    <n v="2"/>
    <n v="9.75"/>
    <d v="1899-12-30T00:41:00"/>
    <n v="0.68333333333333335"/>
    <n v="0.75"/>
    <s v="Late Night"/>
    <s v="Brunswick/Bath/Freeport"/>
    <n v="2"/>
  </r>
  <r>
    <n v="401"/>
    <s v="UE"/>
    <s v="Order"/>
    <n v="41"/>
    <s v="Friday"/>
    <x v="190"/>
    <n v="16"/>
    <n v="164.45"/>
    <d v="1899-12-30T10:29:00"/>
    <n v="10.483333333333333"/>
    <n v="10.5"/>
    <s v="Lunch"/>
    <s v="Brunswick/Bath/Freeport"/>
    <n v="2"/>
  </r>
  <r>
    <n v="402"/>
    <s v="DD"/>
    <s v="Order"/>
    <n v="41"/>
    <s v="Friday"/>
    <x v="190"/>
    <n v="5"/>
    <n v="34.54"/>
    <d v="1899-12-30T02:37:00"/>
    <n v="2.6166666666666667"/>
    <n v="2.5"/>
    <s v="Lunch"/>
    <s v="Brunswick/Bath/Freeport"/>
    <n v="2"/>
  </r>
  <r>
    <n v="403"/>
    <s v="DD"/>
    <s v="Order"/>
    <n v="41"/>
    <s v="Friday"/>
    <x v="190"/>
    <n v="1"/>
    <n v="10"/>
    <d v="1899-12-30T01:59:00"/>
    <n v="1.9833333333333334"/>
    <n v="2"/>
    <s v="Dinner"/>
    <s v="Brunswick/Bath/Freeport"/>
    <n v="2"/>
  </r>
  <r>
    <n v="404"/>
    <s v="UE"/>
    <s v="Order"/>
    <n v="41"/>
    <s v="Saturday"/>
    <x v="191"/>
    <n v="5"/>
    <n v="55.79"/>
    <d v="1899-12-30T07:58:00"/>
    <n v="7.9666666666666668"/>
    <n v="8"/>
    <s v="Dinner"/>
    <s v="Lewiston"/>
    <n v="3"/>
  </r>
  <r>
    <n v="405"/>
    <s v="DD"/>
    <s v="Order"/>
    <n v="41"/>
    <s v="Saturday"/>
    <x v="191"/>
    <n v="1"/>
    <n v="9.5"/>
    <d v="1899-12-30T01:10:00"/>
    <n v="1.1666666666666667"/>
    <n v="1.25"/>
    <s v="Dinner"/>
    <s v="Lewiston"/>
    <n v="3"/>
  </r>
  <r>
    <n v="406"/>
    <s v="DD"/>
    <s v="Order"/>
    <n v="41"/>
    <s v="Saturday"/>
    <x v="191"/>
    <n v="6"/>
    <n v="62.17"/>
    <d v="1899-12-30T03:29:00"/>
    <n v="3.4833333333333334"/>
    <n v="3.5"/>
    <s v="Dinner"/>
    <s v="Lewiston"/>
    <n v="3"/>
  </r>
  <r>
    <n v="407"/>
    <s v="DD"/>
    <s v="Order"/>
    <n v="41"/>
    <s v="Saturday"/>
    <x v="191"/>
    <n v="6"/>
    <n v="48"/>
    <d v="1899-12-30T02:38:00"/>
    <n v="2.6333333333333333"/>
    <n v="2.75"/>
    <s v="Dinner"/>
    <s v="Lewiston"/>
    <n v="3"/>
  </r>
  <r>
    <n v="408"/>
    <s v="DD"/>
    <s v="Order"/>
    <n v="41"/>
    <s v="Saturday"/>
    <x v="191"/>
    <n v="3"/>
    <n v="31"/>
    <d v="1899-12-30T01:34:00"/>
    <n v="1.5666666666666669"/>
    <n v="1.5"/>
    <s v="Late Night"/>
    <s v="Lewiston"/>
    <n v="3"/>
  </r>
  <r>
    <n v="409"/>
    <s v="UE"/>
    <s v="Order"/>
    <n v="42"/>
    <s v="Tuesday"/>
    <x v="192"/>
    <n v="1"/>
    <n v="3.27"/>
    <d v="1899-12-30T02:53:00"/>
    <n v="2.8833333333333333"/>
    <n v="3"/>
    <s v="Dinner"/>
    <s v="Lewiston"/>
    <n v="3"/>
  </r>
  <r>
    <n v="410"/>
    <s v="DD"/>
    <s v="Order"/>
    <n v="42"/>
    <s v="Tuesday"/>
    <x v="192"/>
    <n v="9"/>
    <n v="69.75"/>
    <d v="1899-12-30T04:19:00"/>
    <n v="4.3166666666666664"/>
    <n v="4.25"/>
    <s v="Dinner"/>
    <s v="Lewiston"/>
    <n v="3"/>
  </r>
  <r>
    <n v="411"/>
    <s v="UE"/>
    <s v="Order"/>
    <n v="42"/>
    <s v="Wednesday"/>
    <x v="193"/>
    <n v="1"/>
    <n v="24.7"/>
    <d v="1899-12-30T03:25:00"/>
    <n v="3.4166666666666665"/>
    <n v="3.5"/>
    <s v="Dinner"/>
    <s v="Brunswick/Bath/Freeport"/>
    <n v="2"/>
  </r>
  <r>
    <n v="412"/>
    <s v="DD"/>
    <s v="Order"/>
    <n v="42"/>
    <s v="Wednesday"/>
    <x v="193"/>
    <n v="1"/>
    <n v="6.75"/>
    <d v="1899-12-30T01:02:00"/>
    <n v="1.0333333333333334"/>
    <n v="1"/>
    <s v="Dinner"/>
    <s v="Brunswick/Bath/Freeport"/>
    <n v="2"/>
  </r>
  <r>
    <n v="413"/>
    <s v="DD"/>
    <s v="Order"/>
    <n v="42"/>
    <s v="Wednesday"/>
    <x v="193"/>
    <n v="4"/>
    <n v="37.5"/>
    <d v="1899-12-30T01:47:00"/>
    <n v="1.7833333333333332"/>
    <n v="1.75"/>
    <s v="Dinner"/>
    <s v="Brunswick/Bath/Freeport"/>
    <n v="2"/>
  </r>
  <r>
    <n v="414"/>
    <s v="DD"/>
    <s v="Order"/>
    <n v="42"/>
    <s v="Wednesday"/>
    <x v="193"/>
    <n v="3"/>
    <n v="22"/>
    <d v="1899-12-30T01:38:00"/>
    <n v="1.6333333333333333"/>
    <n v="1.75"/>
    <s v="Late Night"/>
    <s v="Brunswick/Bath/Freeport"/>
    <n v="2"/>
  </r>
  <r>
    <n v="415"/>
    <s v="UE"/>
    <s v="Order"/>
    <n v="42"/>
    <s v="Friday"/>
    <x v="194"/>
    <n v="9"/>
    <n v="159.03"/>
    <d v="1899-12-30T06:49:00"/>
    <n v="6.8166666666666664"/>
    <n v="6.75"/>
    <s v="Dinner"/>
    <s v="Brunswick/Bath/Freeport"/>
    <n v="2"/>
  </r>
  <r>
    <n v="416"/>
    <s v="DD"/>
    <s v="Order"/>
    <n v="42"/>
    <s v="Friday"/>
    <x v="194"/>
    <n v="1"/>
    <n v="5.75"/>
    <d v="1899-12-30T00:34:00"/>
    <n v="0.56666666666666665"/>
    <n v="0.5"/>
    <s v="Dinner"/>
    <s v="Brunswick/Bath/Freeport"/>
    <n v="2"/>
  </r>
  <r>
    <n v="417"/>
    <s v="DD"/>
    <s v="Order"/>
    <n v="42"/>
    <s v="Friday"/>
    <x v="194"/>
    <n v="1"/>
    <n v="4.25"/>
    <d v="1899-12-30T00:21:00"/>
    <n v="0.35"/>
    <n v="0.25"/>
    <s v="Late Night"/>
    <s v="Brunswick/Bath/Freeport"/>
    <n v="2"/>
  </r>
  <r>
    <n v="418"/>
    <s v="DD"/>
    <s v="Order"/>
    <n v="42"/>
    <s v="Friday"/>
    <x v="194"/>
    <n v="1"/>
    <n v="8.5"/>
    <d v="1899-12-30T01:14:00"/>
    <n v="1.2333333333333334"/>
    <n v="1.25"/>
    <s v="Late Night"/>
    <s v="Brunswick/Bath/Freeport"/>
    <n v="2"/>
  </r>
  <r>
    <n v="419"/>
    <s v="UE"/>
    <s v="Order"/>
    <n v="45"/>
    <s v="Friday"/>
    <x v="195"/>
    <n v="1"/>
    <n v="22.03"/>
    <d v="1899-12-30T03:46:00"/>
    <n v="3.7666666666666666"/>
    <n v="3.75"/>
    <s v="Dinner"/>
    <s v="Brunswick/Bath/Freeport"/>
    <n v="2"/>
  </r>
  <r>
    <n v="420"/>
    <s v="DD"/>
    <s v="Order"/>
    <n v="45"/>
    <s v="Friday"/>
    <x v="195"/>
    <n v="5"/>
    <n v="41"/>
    <d v="1899-12-30T02:07:00"/>
    <n v="2.1166666666666667"/>
    <n v="2"/>
    <s v="Dinner"/>
    <s v="Brunswick/Bath/Freeport"/>
    <n v="2"/>
  </r>
  <r>
    <n v="421"/>
    <s v="DD"/>
    <s v="Hourly"/>
    <n v="45"/>
    <s v="Friday"/>
    <x v="195"/>
    <n v="2"/>
    <n v="22.17"/>
    <d v="1899-12-30T01:32:00"/>
    <n v="1.5333333333333332"/>
    <n v="1.5"/>
    <s v="Late Night"/>
    <s v="Brunswick/Bath/Freeport"/>
    <n v="2"/>
  </r>
  <r>
    <n v="422"/>
    <s v="DD"/>
    <s v="Hourly"/>
    <n v="45"/>
    <s v="Friday"/>
    <x v="195"/>
    <n v="1"/>
    <n v="10.01"/>
    <d v="1899-12-30T00:45:00"/>
    <n v="0.75"/>
    <n v="0.75"/>
    <s v="Late Night"/>
    <s v="Brunswick/Bath/Freeport"/>
    <n v="2"/>
  </r>
  <r>
    <n v="423"/>
    <s v="UE"/>
    <s v="Order"/>
    <n v="46"/>
    <s v="Monday"/>
    <x v="196"/>
    <n v="7"/>
    <n v="82.87"/>
    <d v="1899-12-30T03:21:00"/>
    <n v="3.35"/>
    <n v="3.25"/>
    <s v="Dinner"/>
    <s v="Portland"/>
    <n v="4"/>
  </r>
  <r>
    <n v="424"/>
    <s v="DD"/>
    <s v="Hourly"/>
    <n v="46"/>
    <s v="Monday"/>
    <x v="196"/>
    <n v="1"/>
    <n v="8.16"/>
    <d v="1899-12-30T01:33:00"/>
    <n v="1.5500000000000003"/>
    <n v="1.5"/>
    <s v="Dinner"/>
    <s v="Portland"/>
    <n v="4"/>
  </r>
  <r>
    <n v="425"/>
    <s v="DD"/>
    <s v="Hourly"/>
    <n v="46"/>
    <s v="Monday"/>
    <x v="196"/>
    <n v="3"/>
    <n v="38.14"/>
    <d v="1899-12-30T01:34:00"/>
    <n v="1.5666666666666669"/>
    <n v="1.5"/>
    <s v="Late Night"/>
    <s v="Portland"/>
    <n v="4"/>
  </r>
  <r>
    <n v="426"/>
    <s v="UE"/>
    <s v="Order"/>
    <n v="46"/>
    <s v="Wednesday"/>
    <x v="197"/>
    <n v="1"/>
    <n v="8.09"/>
    <d v="1899-12-30T00:57:00"/>
    <n v="0.95"/>
    <n v="1"/>
    <s v="Dinner"/>
    <s v="Lewiston"/>
    <n v="3"/>
  </r>
  <r>
    <n v="427"/>
    <s v="DD"/>
    <s v="Order"/>
    <n v="46"/>
    <s v="Wednesday"/>
    <x v="197"/>
    <n v="4"/>
    <n v="37"/>
    <d v="1899-12-30T02:24:00"/>
    <n v="2.4"/>
    <n v="2.5"/>
    <s v="Dinner"/>
    <s v="Lewiston"/>
    <n v="3"/>
  </r>
  <r>
    <n v="428"/>
    <s v="UE"/>
    <s v="Order"/>
    <n v="46"/>
    <s v="Thursday"/>
    <x v="198"/>
    <n v="6"/>
    <n v="53.99"/>
    <d v="1899-12-30T04:11:00"/>
    <n v="4.1833333333333336"/>
    <n v="4.25"/>
    <s v="Dinner"/>
    <s v="Portland"/>
    <n v="4"/>
  </r>
  <r>
    <n v="429"/>
    <s v="DD"/>
    <s v="Hourly"/>
    <n v="46"/>
    <s v="Thursday"/>
    <x v="198"/>
    <n v="3"/>
    <n v="27.87"/>
    <d v="1899-12-30T01:40:00"/>
    <n v="1.6666666666666665"/>
    <n v="1.75"/>
    <s v="Dinner"/>
    <s v="Portland"/>
    <n v="4"/>
  </r>
  <r>
    <n v="430"/>
    <s v="UE"/>
    <s v="Order"/>
    <n v="46"/>
    <s v="Friday"/>
    <x v="199"/>
    <n v="4"/>
    <n v="69.34"/>
    <d v="1899-12-30T03:24:00"/>
    <n v="3.4"/>
    <n v="3.5"/>
    <s v="Dinner"/>
    <s v="Brunswick/Bath/Freeport"/>
    <n v="2"/>
  </r>
  <r>
    <n v="431"/>
    <s v="DD"/>
    <s v="Order"/>
    <n v="46"/>
    <s v="Friday"/>
    <x v="199"/>
    <n v="2"/>
    <n v="17.5"/>
    <d v="1899-12-30T01:05:00"/>
    <n v="1.0833333333333333"/>
    <n v="1"/>
    <s v="Dinner"/>
    <s v="Brunswick/Bath/Freeport"/>
    <n v="2"/>
  </r>
  <r>
    <n v="432"/>
    <s v="DD"/>
    <s v="Hourly"/>
    <n v="46"/>
    <s v="Friday"/>
    <x v="199"/>
    <n v="4"/>
    <n v="41.84"/>
    <d v="1899-12-30T03:33:00"/>
    <n v="3.55"/>
    <n v="3.5"/>
    <s v="Dinner"/>
    <s v="Brunswick/Bath/Freeport"/>
    <n v="2"/>
  </r>
  <r>
    <n v="433"/>
    <s v="DD"/>
    <s v="Hourly"/>
    <n v="46"/>
    <s v="Friday"/>
    <x v="199"/>
    <n v="1"/>
    <n v="9.7100000000000009"/>
    <d v="1899-12-30T01:03:00"/>
    <n v="1.05"/>
    <n v="1"/>
    <s v="Late Night"/>
    <s v="Brunswick/Bath/Freeport"/>
    <n v="2"/>
  </r>
  <r>
    <n v="434"/>
    <s v="UE"/>
    <s v="Order"/>
    <n v="47"/>
    <s v="Thursday"/>
    <x v="200"/>
    <n v="4"/>
    <n v="68.91"/>
    <d v="1899-12-30T03:11:00"/>
    <n v="3.1833333333333336"/>
    <n v="3.25"/>
    <s v="Dinner"/>
    <s v="Brunswick/Bath/Freeport"/>
    <n v="2"/>
  </r>
  <r>
    <n v="435"/>
    <s v="DD"/>
    <s v="Order"/>
    <n v="47"/>
    <s v="Thursday"/>
    <x v="200"/>
    <n v="3"/>
    <n v="26.75"/>
    <d v="1899-12-30T01:39:00"/>
    <n v="1.65"/>
    <n v="1.75"/>
    <s v="Dinner"/>
    <s v="Brunswick/Bath/Freeport"/>
    <n v="2"/>
  </r>
  <r>
    <n v="436"/>
    <s v="DD"/>
    <s v="Hourly"/>
    <n v="47"/>
    <s v="Thursday"/>
    <x v="200"/>
    <n v="1"/>
    <n v="9.2899999999999991"/>
    <d v="1899-12-30T00:32:00"/>
    <n v="0.53333333333333333"/>
    <n v="0.5"/>
    <s v="Dinner"/>
    <s v="Brunswick/Bath/Freeport"/>
    <n v="2"/>
  </r>
  <r>
    <n v="437"/>
    <s v="DD"/>
    <s v="Hourly"/>
    <n v="47"/>
    <s v="Thursday"/>
    <x v="200"/>
    <n v="1"/>
    <n v="7.08"/>
    <d v="1899-12-30T00:26:00"/>
    <n v="0.43333333333333335"/>
    <n v="0.5"/>
    <s v="Late Night"/>
    <s v="Brunswick/Bath/Freeport"/>
    <n v="2"/>
  </r>
  <r>
    <n v="438"/>
    <s v="UE"/>
    <s v="Order"/>
    <n v="47"/>
    <s v="Friday"/>
    <x v="201"/>
    <n v="4"/>
    <n v="113"/>
    <d v="1899-12-30T04:32:00"/>
    <n v="4.5333333333333332"/>
    <n v="4.5"/>
    <s v="Dinner"/>
    <s v="Brunswick/Bath/Freeport"/>
    <n v="2"/>
  </r>
  <r>
    <n v="439"/>
    <s v="DD"/>
    <s v="Hourly"/>
    <n v="47"/>
    <s v="Friday"/>
    <x v="201"/>
    <n v="4"/>
    <n v="29.51"/>
    <d v="1899-12-30T01:32:00"/>
    <n v="1.5333333333333332"/>
    <n v="1.5"/>
    <s v="Dinner"/>
    <s v="Brunswick/Bath/Freeport"/>
    <n v="2"/>
  </r>
  <r>
    <n v="440"/>
    <s v="DD"/>
    <s v="Hourly"/>
    <n v="47"/>
    <s v="Friday"/>
    <x v="201"/>
    <n v="5"/>
    <n v="58.52"/>
    <d v="1899-12-30T02:40:00"/>
    <n v="2.6666666666666665"/>
    <n v="2.75"/>
    <s v="Late Night"/>
    <s v="Portland"/>
    <n v="4"/>
  </r>
  <r>
    <n v="441"/>
    <s v="DD"/>
    <s v="Hourly"/>
    <n v="47"/>
    <s v="Friday"/>
    <x v="201"/>
    <n v="2"/>
    <n v="13.95"/>
    <d v="1899-12-30T01:13:00"/>
    <n v="1.2166666666666668"/>
    <n v="1.25"/>
    <s v="Late Night"/>
    <s v="Portland"/>
    <n v="4"/>
  </r>
  <r>
    <n v="442"/>
    <s v="UE"/>
    <s v="Order"/>
    <n v="48"/>
    <s v="Monday"/>
    <x v="202"/>
    <n v="5"/>
    <n v="99.72"/>
    <d v="1899-12-30T04:18:00"/>
    <n v="4.3"/>
    <n v="4.25"/>
    <s v="Dinner"/>
    <s v="Portland"/>
    <n v="4"/>
  </r>
  <r>
    <n v="443"/>
    <s v="DD"/>
    <s v="Hourly"/>
    <n v="48"/>
    <s v="Monday"/>
    <x v="202"/>
    <n v="5"/>
    <n v="41.05"/>
    <d v="1899-12-30T03:47:00"/>
    <n v="3.7833333333333332"/>
    <n v="3.75"/>
    <s v="Dinner"/>
    <s v="Portland"/>
    <n v="4"/>
  </r>
  <r>
    <n v="444"/>
    <s v="UE"/>
    <s v="Order"/>
    <n v="48"/>
    <s v="Wednesday"/>
    <x v="203"/>
    <n v="6"/>
    <n v="78.02"/>
    <d v="1899-12-30T04:00:00"/>
    <n v="4"/>
    <n v="4"/>
    <s v="Dinner"/>
    <s v="Brunswick/Bath/Freeport"/>
    <n v="2"/>
  </r>
  <r>
    <n v="445"/>
    <s v="DD"/>
    <s v="Hourly"/>
    <n v="48"/>
    <s v="Wednesday"/>
    <x v="203"/>
    <n v="1"/>
    <n v="5.7"/>
    <d v="1899-12-30T00:30:00"/>
    <n v="0.5"/>
    <n v="0.5"/>
    <s v="Dinner"/>
    <s v="Brunswick/Bath/Freeport"/>
    <n v="2"/>
  </r>
  <r>
    <n v="446"/>
    <s v="DD"/>
    <s v="Hourly"/>
    <n v="48"/>
    <s v="Wednesday"/>
    <x v="203"/>
    <n v="4"/>
    <n v="36.44"/>
    <d v="1899-12-30T02:11:00"/>
    <n v="2.1833333333333331"/>
    <n v="2.25"/>
    <s v="Late Night"/>
    <s v="Brunswick/Bath/Freeport"/>
    <n v="2"/>
  </r>
  <r>
    <n v="447"/>
    <s v="UE"/>
    <s v="Order"/>
    <n v="48"/>
    <s v="Friday"/>
    <x v="204"/>
    <n v="5"/>
    <n v="68.28"/>
    <d v="1899-12-30T03:33:00"/>
    <n v="3.55"/>
    <n v="3.5"/>
    <s v="Dinner"/>
    <s v="Brunswick/Bath/Freeport"/>
    <n v="2"/>
  </r>
  <r>
    <n v="448"/>
    <s v="DD"/>
    <s v="Hourly"/>
    <n v="48"/>
    <s v="Friday"/>
    <x v="204"/>
    <n v="2"/>
    <n v="14.9"/>
    <d v="1899-12-30T00:57:00"/>
    <n v="0.95"/>
    <n v="1"/>
    <s v="Dinner"/>
    <s v="Brunswick/Bath/Freeport"/>
    <n v="2"/>
  </r>
  <r>
    <n v="449"/>
    <s v="DD"/>
    <s v="Hourly"/>
    <n v="48"/>
    <s v="Friday"/>
    <x v="204"/>
    <n v="2"/>
    <n v="13.24"/>
    <d v="1899-12-30T01:14:00"/>
    <n v="1.2333333333333334"/>
    <n v="1.25"/>
    <s v="Late Night"/>
    <s v="Brunswick/Bath/Freeport"/>
    <n v="2"/>
  </r>
  <r>
    <n v="450"/>
    <s v="UE"/>
    <s v="Order"/>
    <n v="48"/>
    <s v="Saturday"/>
    <x v="205"/>
    <n v="3"/>
    <n v="40.049999999999997"/>
    <d v="1899-12-30T04:33:00"/>
    <n v="4.55"/>
    <n v="4.5"/>
    <s v="Dinner"/>
    <s v="Augusta"/>
    <n v="1"/>
  </r>
  <r>
    <n v="451"/>
    <s v="DD"/>
    <s v="Order"/>
    <n v="48"/>
    <s v="Saturday"/>
    <x v="205"/>
    <n v="4"/>
    <n v="25"/>
    <d v="1899-12-30T02:56:00"/>
    <n v="2.9333333333333336"/>
    <n v="3"/>
    <s v="Dinner"/>
    <s v="Augusta"/>
    <n v="1"/>
  </r>
  <r>
    <n v="452"/>
    <s v="DD"/>
    <s v="Order"/>
    <n v="48"/>
    <s v="Saturday"/>
    <x v="205"/>
    <n v="2"/>
    <n v="15.75"/>
    <d v="1899-12-30T01:16:00"/>
    <n v="1.2666666666666666"/>
    <n v="1.25"/>
    <s v="Dinner"/>
    <s v="Augusta"/>
    <n v="1"/>
  </r>
  <r>
    <n v="453"/>
    <s v="DD"/>
    <s v="Hourly"/>
    <n v="48"/>
    <s v="Saturday"/>
    <x v="205"/>
    <n v="3"/>
    <n v="27.27"/>
    <d v="1899-12-30T01:52:00"/>
    <n v="1.8666666666666667"/>
    <n v="1.75"/>
    <s v="Late Night"/>
    <s v="Brunswick/Bath/Freeport"/>
    <n v="2"/>
  </r>
  <r>
    <n v="454"/>
    <s v="UE"/>
    <s v="Order"/>
    <n v="48"/>
    <s v="Sunday"/>
    <x v="206"/>
    <n v="1"/>
    <n v="12.08"/>
    <d v="1899-12-30T02:09:00"/>
    <n v="2.15"/>
    <n v="2.25"/>
    <s v="Dinner"/>
    <s v="Brunswick/Bath/Freeport"/>
    <n v="2"/>
  </r>
  <r>
    <n v="455"/>
    <s v="DD"/>
    <s v="Hourly"/>
    <n v="48"/>
    <s v="Sunday"/>
    <x v="206"/>
    <n v="2"/>
    <n v="20.89"/>
    <d v="1899-12-30T00:45:00"/>
    <n v="0.75"/>
    <n v="0.75"/>
    <s v="Dinner"/>
    <s v="Brunswick/Bath/Freeport"/>
    <n v="2"/>
  </r>
  <r>
    <n v="456"/>
    <s v="DD"/>
    <s v="Hourly"/>
    <n v="48"/>
    <s v="Sunday"/>
    <x v="206"/>
    <n v="6"/>
    <n v="35.630000000000003"/>
    <d v="1899-12-30T02:35:00"/>
    <n v="2.5833333333333335"/>
    <n v="2.5"/>
    <s v="Dinner"/>
    <s v="Brunswick/Bath/Freeport"/>
    <n v="2"/>
  </r>
  <r>
    <n v="457"/>
    <s v="DD"/>
    <s v="Hourly"/>
    <n v="48"/>
    <s v="Sunday"/>
    <x v="206"/>
    <n v="2"/>
    <n v="30.42"/>
    <d v="1899-12-30T00:55:00"/>
    <n v="0.91666666666666652"/>
    <n v="1"/>
    <s v="Late Night"/>
    <s v="Brunswick/Bath/Freeport"/>
    <n v="2"/>
  </r>
  <r>
    <n v="458"/>
    <s v="UE"/>
    <s v="Order"/>
    <n v="49"/>
    <s v="Monday"/>
    <x v="207"/>
    <n v="5"/>
    <n v="46.61"/>
    <d v="1899-12-30T03:18:00"/>
    <n v="3.3"/>
    <n v="3.25"/>
    <s v="Dinner"/>
    <s v="Portland"/>
    <n v="4"/>
  </r>
  <r>
    <n v="459"/>
    <s v="UE"/>
    <s v="Order"/>
    <n v="49"/>
    <s v="Thursday"/>
    <x v="208"/>
    <n v="3"/>
    <n v="38.17"/>
    <d v="1899-12-30T02:24:00"/>
    <n v="2.4"/>
    <n v="2.5"/>
    <s v="Dinner"/>
    <s v="Brunswick/Bath/Freeport"/>
    <n v="2"/>
  </r>
  <r>
    <n v="460"/>
    <s v="DD"/>
    <s v="Hourly"/>
    <n v="49"/>
    <s v="Thursday"/>
    <x v="208"/>
    <n v="2"/>
    <n v="25.55"/>
    <d v="1899-12-30T02:25:00"/>
    <n v="2.4166666666666665"/>
    <n v="2.5"/>
    <s v="Dinner"/>
    <s v="Brunswick/Bath/Freeport"/>
    <n v="2"/>
  </r>
  <r>
    <n v="461"/>
    <s v="DD"/>
    <s v="Hourly"/>
    <n v="49"/>
    <s v="Thursday"/>
    <x v="208"/>
    <n v="1"/>
    <n v="10.15"/>
    <d v="1899-12-30T00:44:00"/>
    <n v="0.73333333333333328"/>
    <n v="0.75"/>
    <s v="Dinner"/>
    <s v="Brunswick/Bath/Freeport"/>
    <n v="2"/>
  </r>
  <r>
    <n v="462"/>
    <s v="UE"/>
    <s v="Order"/>
    <n v="49"/>
    <s v="Saturday"/>
    <x v="209"/>
    <n v="7"/>
    <n v="65.33"/>
    <d v="1899-12-30T04:33:00"/>
    <n v="4.55"/>
    <n v="4.5"/>
    <s v="Dinner"/>
    <s v="Lewiston"/>
    <n v="3"/>
  </r>
  <r>
    <n v="463"/>
    <s v="DD"/>
    <s v="Order"/>
    <n v="49"/>
    <s v="Saturday"/>
    <x v="209"/>
    <n v="1"/>
    <n v="10"/>
    <d v="1899-12-30T00:33:00"/>
    <n v="0.55000000000000004"/>
    <n v="0.5"/>
    <s v="Dinner"/>
    <s v="Lewiston"/>
    <n v="3"/>
  </r>
  <r>
    <n v="464"/>
    <s v="DD"/>
    <s v="Order"/>
    <n v="49"/>
    <s v="Saturday"/>
    <x v="209"/>
    <n v="1"/>
    <n v="4.25"/>
    <d v="1899-12-30T01:01:00"/>
    <n v="1.0166666666666666"/>
    <n v="1"/>
    <s v="Dinner"/>
    <s v="Lewiston"/>
    <n v="3"/>
  </r>
  <r>
    <n v="465"/>
    <s v="DD"/>
    <s v="Order"/>
    <n v="49"/>
    <s v="Saturday"/>
    <x v="209"/>
    <n v="5"/>
    <n v="38.5"/>
    <d v="1899-12-30T02:10:00"/>
    <n v="2.1666666666666665"/>
    <n v="2.25"/>
    <s v="Dinner"/>
    <s v="Lewiston"/>
    <n v="3"/>
  </r>
  <r>
    <n v="466"/>
    <s v="DD"/>
    <s v="Order"/>
    <n v="49"/>
    <s v="Saturday"/>
    <x v="209"/>
    <n v="2"/>
    <n v="16.5"/>
    <d v="1899-12-30T01:11:00"/>
    <n v="1.1833333333333333"/>
    <n v="1.25"/>
    <s v="Late Night"/>
    <s v="Lewiston"/>
    <n v="3"/>
  </r>
  <r>
    <n v="467"/>
    <s v="DD"/>
    <s v="Order"/>
    <n v="49"/>
    <s v="Saturday"/>
    <x v="209"/>
    <n v="5"/>
    <n v="34.5"/>
    <d v="1899-12-30T01:43:00"/>
    <n v="1.7166666666666668"/>
    <n v="1.75"/>
    <s v="Late Night"/>
    <s v="Lewiston"/>
    <n v="3"/>
  </r>
  <r>
    <n v="468"/>
    <s v="UE"/>
    <s v="Order"/>
    <n v="50"/>
    <s v="Monday"/>
    <x v="210"/>
    <n v="8"/>
    <n v="67"/>
    <d v="1899-12-30T04:06:00"/>
    <n v="4.0999999999999996"/>
    <n v="4"/>
    <s v="Dinner"/>
    <s v="Portland"/>
    <n v="4"/>
  </r>
  <r>
    <n v="469"/>
    <s v="DD"/>
    <s v="Hourly"/>
    <n v="50"/>
    <s v="Monday"/>
    <x v="210"/>
    <n v="1"/>
    <n v="4.63"/>
    <d v="1899-12-30T00:21:00"/>
    <n v="0.35"/>
    <n v="0.25"/>
    <s v="Dinner"/>
    <s v="Portland"/>
    <n v="4"/>
  </r>
  <r>
    <n v="470"/>
    <s v="UE"/>
    <s v="Order"/>
    <n v="50"/>
    <s v="Wednesday"/>
    <x v="211"/>
    <n v="5"/>
    <n v="66.23"/>
    <d v="1899-12-30T03:46:00"/>
    <n v="3.7666666666666666"/>
    <n v="3.75"/>
    <s v="Dinner"/>
    <s v="Brunswick/Bath/Freeport"/>
    <n v="2"/>
  </r>
  <r>
    <n v="471"/>
    <s v="DD"/>
    <s v="Hourly"/>
    <n v="50"/>
    <s v="Wednesday"/>
    <x v="211"/>
    <n v="7"/>
    <n v="78.510000000000005"/>
    <d v="1899-12-30T04:11:00"/>
    <n v="4.1833333333333336"/>
    <n v="4.25"/>
    <s v="Dinner"/>
    <s v="Brunswick/Bath/Freeport"/>
    <n v="2"/>
  </r>
  <r>
    <n v="472"/>
    <s v="DD"/>
    <s v="Hourly"/>
    <n v="50"/>
    <s v="Wednesday"/>
    <x v="211"/>
    <n v="2"/>
    <n v="20.49"/>
    <d v="1899-12-30T01:17:00"/>
    <n v="1.2833333333333332"/>
    <n v="1.25"/>
    <s v="Dinner"/>
    <s v="Brunswick/Bath/Freeport"/>
    <n v="2"/>
  </r>
  <r>
    <n v="473"/>
    <s v="UE"/>
    <s v="Order"/>
    <n v="50"/>
    <s v="Thursday"/>
    <x v="212"/>
    <n v="2"/>
    <n v="23.75"/>
    <d v="1899-12-30T02:19:00"/>
    <n v="2.3166666666666664"/>
    <n v="2.25"/>
    <s v="Dinner"/>
    <s v="Brunswick/Bath/Freeport"/>
    <n v="2"/>
  </r>
  <r>
    <n v="474"/>
    <s v="DD"/>
    <s v="Hourly"/>
    <n v="50"/>
    <s v="Thursday"/>
    <x v="212"/>
    <n v="5"/>
    <n v="49.68"/>
    <d v="1899-12-30T03:09:00"/>
    <n v="3.1500000000000004"/>
    <n v="3.25"/>
    <s v="Dinner"/>
    <s v="Brunswick/Bath/Freeport"/>
    <n v="2"/>
  </r>
  <r>
    <n v="475"/>
    <s v="DD"/>
    <s v="Hourly"/>
    <n v="50"/>
    <s v="Thursday"/>
    <x v="212"/>
    <n v="2"/>
    <n v="23.08"/>
    <d v="1899-12-30T01:01:00"/>
    <n v="1.0166666666666666"/>
    <n v="1"/>
    <s v="Late Night"/>
    <s v="Brunswick/Bath/Freeport"/>
    <n v="2"/>
  </r>
  <r>
    <n v="476"/>
    <s v="UE"/>
    <s v="Order"/>
    <n v="50"/>
    <s v="Friday"/>
    <x v="213"/>
    <n v="7"/>
    <n v="97.37"/>
    <d v="1899-12-30T04:23:00"/>
    <n v="4.3833333333333337"/>
    <n v="4.5"/>
    <s v="Dinner"/>
    <s v="Brunswick/Bath/Freeport"/>
    <n v="2"/>
  </r>
  <r>
    <n v="477"/>
    <s v="DD"/>
    <s v="Hourly"/>
    <n v="50"/>
    <s v="Friday"/>
    <x v="213"/>
    <n v="5"/>
    <n v="45.08"/>
    <d v="1899-12-30T02:16:00"/>
    <n v="2.2666666666666666"/>
    <n v="2.25"/>
    <s v="Dinner"/>
    <s v="Brunswick/Bath/Freeport"/>
    <n v="2"/>
  </r>
  <r>
    <n v="478"/>
    <s v="UE"/>
    <s v="Order"/>
    <n v="50"/>
    <s v="Sunday"/>
    <x v="214"/>
    <n v="5"/>
    <n v="51.13"/>
    <d v="1899-12-30T03:31:00"/>
    <n v="3.5166666666666666"/>
    <n v="3.5"/>
    <s v="Dinner"/>
    <s v="Augusta"/>
    <n v="1"/>
  </r>
  <r>
    <n v="479"/>
    <s v="UE"/>
    <s v="Order"/>
    <n v="51"/>
    <s v="Monday"/>
    <x v="215"/>
    <n v="3"/>
    <n v="23.689999999999998"/>
    <d v="1899-12-30T02:09:00"/>
    <n v="2.15"/>
    <n v="2.25"/>
    <s v="Dinner"/>
    <s v="Lewiston"/>
    <n v="3"/>
  </r>
  <r>
    <n v="480"/>
    <s v="UE"/>
    <s v="Order"/>
    <n v="51"/>
    <s v="Monday"/>
    <x v="215"/>
    <n v="3"/>
    <n v="26.71"/>
    <d v="1899-12-30T01:46:00"/>
    <n v="1.7666666666666666"/>
    <n v="1.75"/>
    <s v="Dinner"/>
    <s v="Lewiston"/>
    <n v="3"/>
  </r>
  <r>
    <n v="481"/>
    <s v="UE"/>
    <s v="Order"/>
    <n v="51"/>
    <s v="Monday"/>
    <x v="215"/>
    <n v="6"/>
    <n v="34.5"/>
    <d v="1899-12-30T02:28:00"/>
    <n v="2.4666666666666668"/>
    <n v="2.5"/>
    <s v="Dinner"/>
    <s v="Lewiston"/>
    <n v="3"/>
  </r>
  <r>
    <n v="482"/>
    <s v="UE"/>
    <s v="Order"/>
    <n v="51"/>
    <s v="Tuesday"/>
    <x v="216"/>
    <n v="2"/>
    <n v="41.1"/>
    <d v="1899-12-30T01:55:00"/>
    <n v="1.9166666666666665"/>
    <n v="2"/>
    <s v="Dinner"/>
    <s v="Brunswick/Bath/Freeport"/>
    <n v="2"/>
  </r>
  <r>
    <n v="483"/>
    <s v="DD"/>
    <s v="Hourly"/>
    <n v="51"/>
    <s v="Tuesday"/>
    <x v="216"/>
    <n v="4"/>
    <n v="35.72"/>
    <d v="1899-12-30T02:58:00"/>
    <n v="2.9666666666666668"/>
    <n v="3"/>
    <s v="Dinner"/>
    <s v="Brunswick/Bath/Freeport"/>
    <n v="2"/>
  </r>
  <r>
    <n v="484"/>
    <s v="DD"/>
    <s v="Hourly"/>
    <n v="51"/>
    <s v="Tuesday"/>
    <x v="216"/>
    <n v="1"/>
    <n v="8.23"/>
    <d v="1899-12-30T00:45:00"/>
    <n v="0.75"/>
    <n v="0.75"/>
    <s v="Dinner"/>
    <s v="Brunswick/Bath/Freeport"/>
    <n v="2"/>
  </r>
  <r>
    <n v="485"/>
    <s v="DD"/>
    <s v="Hourly"/>
    <n v="51"/>
    <s v="Wednesday"/>
    <x v="217"/>
    <n v="11"/>
    <n v="98.96"/>
    <d v="1899-12-30T05:00:00"/>
    <n v="5"/>
    <n v="5"/>
    <s v="Dinner"/>
    <s v="Brunswick/Bath/Freeport"/>
    <n v="2"/>
  </r>
  <r>
    <n v="486"/>
    <s v="DD"/>
    <s v="Hourly"/>
    <n v="51"/>
    <s v="Wednesday"/>
    <x v="217"/>
    <n v="1"/>
    <n v="5.15"/>
    <d v="1899-12-30T02:14:00"/>
    <n v="2.2333333333333334"/>
    <n v="2.25"/>
    <s v="Late Night"/>
    <s v="Brunswick/Bath/Freeport"/>
    <n v="2"/>
  </r>
  <r>
    <n v="487"/>
    <s v="UE"/>
    <s v="Order"/>
    <n v="51"/>
    <s v="Thursday"/>
    <x v="218"/>
    <n v="4"/>
    <n v="53.54"/>
    <d v="1899-12-30T04:44:00"/>
    <n v="4.7333333333333334"/>
    <n v="4.75"/>
    <s v="Dinner"/>
    <s v="Augusta"/>
    <n v="1"/>
  </r>
  <r>
    <n v="488"/>
    <s v="DD"/>
    <s v="Order"/>
    <n v="51"/>
    <s v="Thursday"/>
    <x v="218"/>
    <n v="12"/>
    <n v="111.25"/>
    <d v="1899-12-30T09:13:00"/>
    <n v="9.2166666666666668"/>
    <n v="9.25"/>
    <s v="Dinner"/>
    <s v="Augusta"/>
    <n v="1"/>
  </r>
  <r>
    <n v="489"/>
    <s v="UE"/>
    <s v="Order"/>
    <n v="51"/>
    <s v="Friday"/>
    <x v="219"/>
    <n v="2"/>
    <n v="54.52"/>
    <d v="1899-12-30T03:01:00"/>
    <n v="3.0166666666666666"/>
    <n v="3"/>
    <s v="Dinner"/>
    <s v="Brunswick/Bath/Freeport"/>
    <n v="2"/>
  </r>
  <r>
    <n v="490"/>
    <s v="DD"/>
    <s v="Hourly"/>
    <n v="51"/>
    <s v="Friday"/>
    <x v="219"/>
    <n v="5"/>
    <n v="44.23"/>
    <d v="1899-12-30T03:42:00"/>
    <n v="3.7"/>
    <n v="3.75"/>
    <s v="Dinner"/>
    <s v="Brunswick/Bath/Freeport"/>
    <n v="2"/>
  </r>
  <r>
    <n v="491"/>
    <s v="DD"/>
    <s v="Hourly"/>
    <n v="51"/>
    <s v="Friday"/>
    <x v="219"/>
    <n v="3"/>
    <n v="37.18"/>
    <d v="1899-12-30T02:18:00"/>
    <n v="2.2999999999999998"/>
    <n v="2.25"/>
    <s v="Late Night"/>
    <s v="Brunswick/Bath/Freeport"/>
    <n v="2"/>
  </r>
  <r>
    <n v="492"/>
    <s v="UE"/>
    <s v="Order"/>
    <n v="51"/>
    <s v="Saturday"/>
    <x v="220"/>
    <n v="1"/>
    <n v="13.01"/>
    <d v="1899-12-30T01:06:00"/>
    <n v="1.1000000000000001"/>
    <n v="1"/>
    <s v="Dinner"/>
    <s v="Lewiston"/>
    <n v="3"/>
  </r>
  <r>
    <n v="493"/>
    <s v="UE"/>
    <s v="Order"/>
    <n v="51"/>
    <s v="Sunday"/>
    <x v="221"/>
    <n v="5"/>
    <n v="33.75"/>
    <d v="1899-12-30T03:47:00"/>
    <n v="3.7833333333333332"/>
    <n v="3.75"/>
    <s v="Dinner"/>
    <s v="Portland"/>
    <n v="4"/>
  </r>
  <r>
    <n v="494"/>
    <s v="DD"/>
    <s v="Hourly"/>
    <n v="51"/>
    <s v="Sunday"/>
    <x v="221"/>
    <n v="4"/>
    <n v="43.16"/>
    <d v="1899-12-30T01:41:00"/>
    <n v="1.6833333333333333"/>
    <n v="1.75"/>
    <s v="Lunch"/>
    <s v="Brunswick/Bath/Freeport"/>
    <n v="2"/>
  </r>
  <r>
    <n v="495"/>
    <s v="DD"/>
    <s v="Hourly"/>
    <n v="51"/>
    <s v="Sunday"/>
    <x v="221"/>
    <n v="4"/>
    <n v="26.19"/>
    <d v="1899-12-30T01:29:00"/>
    <n v="1.4833333333333334"/>
    <n v="1.5"/>
    <s v="Late Night"/>
    <s v="Portland"/>
    <n v="4"/>
  </r>
  <r>
    <n v="496"/>
    <s v="DD"/>
    <s v="Hourly"/>
    <n v="51"/>
    <s v="Sunday"/>
    <x v="221"/>
    <n v="2"/>
    <n v="23.86"/>
    <d v="1899-12-30T01:17:00"/>
    <n v="1.2833333333333332"/>
    <n v="1.25"/>
    <s v="Late Night"/>
    <s v="Portland"/>
    <n v="4"/>
  </r>
  <r>
    <n v="497"/>
    <s v="DD"/>
    <s v="Hourly"/>
    <n v="51"/>
    <s v="Sunday"/>
    <x v="221"/>
    <n v="2"/>
    <n v="21.18"/>
    <d v="1899-12-30T02:00:00"/>
    <n v="2"/>
    <n v="2"/>
    <s v="Late Night"/>
    <s v="Portland"/>
    <n v="4"/>
  </r>
  <r>
    <n v="498"/>
    <s v="DD"/>
    <s v="Order"/>
    <n v="52"/>
    <s v="Monday"/>
    <x v="222"/>
    <n v="1"/>
    <n v="16"/>
    <d v="1899-12-30T00:42:00"/>
    <n v="0.7"/>
    <n v="0.75"/>
    <s v="Dinner"/>
    <s v="Lewiston"/>
    <n v="3"/>
  </r>
  <r>
    <n v="499"/>
    <s v="UE"/>
    <s v="Order"/>
    <n v="52"/>
    <s v="Tuesday"/>
    <x v="223"/>
    <n v="3"/>
    <n v="27.49"/>
    <d v="1899-12-30T03:00:00"/>
    <n v="3"/>
    <n v="3"/>
    <s v="Dinner"/>
    <s v="Brunswick/Bath/Freeport"/>
    <n v="2"/>
  </r>
  <r>
    <n v="500"/>
    <s v="DD"/>
    <s v="Hourly"/>
    <n v="52"/>
    <s v="Tuesday"/>
    <x v="223"/>
    <n v="6"/>
    <n v="47.17"/>
    <d v="1899-12-30T04:06:00"/>
    <n v="4.0999999999999996"/>
    <n v="4"/>
    <s v="Lunch"/>
    <s v="Brunswick/Bath/Freeport"/>
    <n v="2"/>
  </r>
  <r>
    <n v="501"/>
    <s v="DD"/>
    <s v="Order"/>
    <n v="52"/>
    <s v="Tuesday"/>
    <x v="223"/>
    <n v="4"/>
    <n v="23.25"/>
    <d v="1899-12-30T01:29:00"/>
    <n v="1.4833333333333334"/>
    <n v="1.5"/>
    <s v="Dinner"/>
    <s v="Brunswick/Bath/Freeport"/>
    <n v="2"/>
  </r>
  <r>
    <n v="502"/>
    <s v="DD"/>
    <s v="Order"/>
    <n v="52"/>
    <s v="Tuesday"/>
    <x v="223"/>
    <n v="2"/>
    <n v="15.5"/>
    <d v="1899-12-30T01:04:00"/>
    <n v="1.0666666666666667"/>
    <n v="1"/>
    <s v="Dinner"/>
    <s v="Brunswick/Bath/Freeport"/>
    <n v="2"/>
  </r>
  <r>
    <n v="503"/>
    <s v="DD"/>
    <s v="Order"/>
    <n v="52"/>
    <s v="Tuesday"/>
    <x v="223"/>
    <n v="3"/>
    <n v="26.75"/>
    <d v="1899-12-30T01:36:00"/>
    <n v="1.6"/>
    <n v="1.5"/>
    <s v="Dinner"/>
    <s v="Brunswick/Bath/Freeport"/>
    <n v="2"/>
  </r>
  <r>
    <n v="504"/>
    <s v="UE"/>
    <s v="Order"/>
    <n v="1"/>
    <s v="Tuesday"/>
    <x v="224"/>
    <n v="4"/>
    <n v="31.18"/>
    <d v="1899-12-30T02:29:00"/>
    <n v="2.4833333333333334"/>
    <n v="2.5"/>
    <s v="Dinner"/>
    <s v="Augusta"/>
    <n v="1"/>
  </r>
  <r>
    <n v="505"/>
    <s v="DD"/>
    <s v="Order"/>
    <n v="1"/>
    <s v="Tuesday"/>
    <x v="224"/>
    <n v="4"/>
    <n v="22"/>
    <d v="1899-12-30T02:40:00"/>
    <n v="2.6666666666666665"/>
    <n v="2.75"/>
    <s v="Dinner"/>
    <s v="Augusta"/>
    <n v="1"/>
  </r>
  <r>
    <n v="506"/>
    <s v="DD"/>
    <s v="Order"/>
    <n v="1"/>
    <s v="Tuesday"/>
    <x v="224"/>
    <n v="1"/>
    <n v="7"/>
    <d v="1899-12-30T00:23:00"/>
    <n v="0.38333333333333341"/>
    <n v="0.5"/>
    <s v="Late Night"/>
    <s v="Augusta"/>
    <n v="1"/>
  </r>
  <r>
    <n v="507"/>
    <s v="UE"/>
    <s v="Order"/>
    <n v="1"/>
    <s v="Thursday"/>
    <x v="225"/>
    <n v="2"/>
    <n v="24.66"/>
    <d v="1899-12-30T03:24:00"/>
    <n v="3.4"/>
    <n v="3.5"/>
    <s v="Dinner"/>
    <s v="Brunswick/Bath/Freeport"/>
    <n v="2"/>
  </r>
  <r>
    <n v="508"/>
    <s v="DD"/>
    <s v="Order"/>
    <n v="1"/>
    <s v="Thursday"/>
    <x v="225"/>
    <n v="4"/>
    <n v="33.75"/>
    <d v="1899-12-30T03:24:00"/>
    <n v="3.4"/>
    <n v="3.5"/>
    <s v="Dinner"/>
    <s v="Brunswick/Bath/Freeport"/>
    <n v="2"/>
  </r>
  <r>
    <n v="509"/>
    <s v="DD"/>
    <s v="Hourly"/>
    <n v="1"/>
    <s v="Thursday"/>
    <x v="225"/>
    <n v="4"/>
    <n v="48.08"/>
    <d v="1899-12-30T03:42:00"/>
    <n v="3.7"/>
    <n v="3.75"/>
    <s v="Late Night"/>
    <s v="Brunswick/Bath/Freeport"/>
    <n v="2"/>
  </r>
  <r>
    <n v="510"/>
    <s v="UE"/>
    <s v="Order"/>
    <n v="1"/>
    <s v="Friday"/>
    <x v="226"/>
    <n v="3"/>
    <n v="58.57"/>
    <d v="1899-12-30T04:19:00"/>
    <n v="4.3166666666666664"/>
    <n v="4.25"/>
    <s v="Dinner"/>
    <s v="Brunswick/Bath/Freeport"/>
    <n v="2"/>
  </r>
  <r>
    <n v="511"/>
    <s v="DD"/>
    <s v="Hourly"/>
    <n v="1"/>
    <s v="Friday"/>
    <x v="226"/>
    <n v="5"/>
    <n v="54.29"/>
    <d v="1899-12-30T05:05:00"/>
    <n v="5.083333333333333"/>
    <n v="5"/>
    <s v="Dinner"/>
    <s v="Brunswick/Bath/Freeport"/>
    <n v="2"/>
  </r>
  <r>
    <n v="512"/>
    <s v="UE"/>
    <s v="Order"/>
    <n v="1"/>
    <s v="Sunday"/>
    <x v="227"/>
    <n v="2"/>
    <n v="25.74"/>
    <d v="1899-12-30T03:30:00"/>
    <n v="3.5"/>
    <n v="3.5"/>
    <s v="Dinner"/>
    <s v="Brunswick/Bath/Freeport"/>
    <n v="2"/>
  </r>
  <r>
    <n v="513"/>
    <s v="DD"/>
    <s v="Hourly"/>
    <n v="1"/>
    <s v="Sunday"/>
    <x v="227"/>
    <n v="10"/>
    <n v="93.79"/>
    <d v="1899-12-30T05:24:00"/>
    <n v="5.4"/>
    <n v="5.5"/>
    <s v="Dinner"/>
    <s v="Brunswick/Bath/Freeport"/>
    <n v="2"/>
  </r>
  <r>
    <n v="514"/>
    <s v="DD"/>
    <s v="Hourly"/>
    <n v="1"/>
    <s v="Sunday"/>
    <x v="227"/>
    <n v="2"/>
    <n v="21.68"/>
    <d v="1899-12-30T00:56:00"/>
    <n v="0.93333333333333335"/>
    <n v="1"/>
    <s v="Late Night"/>
    <s v="Brunswick/Bath/Freeport"/>
    <n v="2"/>
  </r>
  <r>
    <n v="515"/>
    <s v="DD"/>
    <s v="Hourly"/>
    <n v="1"/>
    <s v="Sunday"/>
    <x v="227"/>
    <n v="1"/>
    <n v="14.26"/>
    <d v="1899-12-30T02:03:00"/>
    <n v="2.0499999999999998"/>
    <n v="2"/>
    <s v="Late Night"/>
    <s v="Brunswick/Bath/Freeport"/>
    <n v="2"/>
  </r>
  <r>
    <n v="516"/>
    <s v="DD"/>
    <s v="Hourly"/>
    <n v="2"/>
    <s v="Tuesday"/>
    <x v="228"/>
    <n v="4"/>
    <n v="35.85"/>
    <d v="1899-12-30T02:54:00"/>
    <n v="2.9"/>
    <n v="3"/>
    <s v="Dinner"/>
    <s v="Brunswick/Bath/Freeport"/>
    <n v="2"/>
  </r>
  <r>
    <n v="517"/>
    <s v="DD"/>
    <s v="Order"/>
    <n v="2"/>
    <s v="Tuesday"/>
    <x v="228"/>
    <n v="6"/>
    <n v="55"/>
    <d v="1899-12-30T03:32:00"/>
    <n v="3.5333333333333332"/>
    <n v="3.5"/>
    <s v="Late Night"/>
    <s v="Brunswick/Bath/Freeport"/>
    <n v="2"/>
  </r>
  <r>
    <n v="518"/>
    <s v="UE"/>
    <s v="Order"/>
    <n v="2"/>
    <s v="Wednesday"/>
    <x v="229"/>
    <n v="4"/>
    <n v="38.630000000000003"/>
    <d v="1899-12-30T03:27:00"/>
    <n v="3.45"/>
    <n v="3.5"/>
    <s v="Dinner"/>
    <s v="Portland"/>
    <n v="4"/>
  </r>
  <r>
    <n v="519"/>
    <s v="DD"/>
    <s v="Hourly"/>
    <n v="2"/>
    <s v="Wednesday"/>
    <x v="229"/>
    <n v="2"/>
    <n v="9.82"/>
    <d v="1899-12-30T00:59:00"/>
    <n v="0.98333333333333339"/>
    <n v="1"/>
    <s v="Dinner"/>
    <s v="Portland"/>
    <n v="4"/>
  </r>
  <r>
    <n v="520"/>
    <s v="DD"/>
    <s v="Hourly"/>
    <n v="2"/>
    <s v="Wednesday"/>
    <x v="229"/>
    <n v="4"/>
    <n v="43.58"/>
    <d v="1899-12-30T02:04:00"/>
    <n v="2.0666666666666669"/>
    <n v="2"/>
    <s v="Dinner"/>
    <s v="Portland"/>
    <n v="4"/>
  </r>
  <r>
    <n v="521"/>
    <s v="DD"/>
    <s v="Hourly"/>
    <n v="2"/>
    <s v="Wednesday"/>
    <x v="229"/>
    <n v="2"/>
    <n v="18.47"/>
    <d v="1899-12-30T00:53:00"/>
    <n v="0.8833333333333333"/>
    <n v="1"/>
    <s v="Dinner"/>
    <s v="Portland"/>
    <n v="4"/>
  </r>
  <r>
    <n v="522"/>
    <s v="DD"/>
    <s v="Hourly"/>
    <n v="2"/>
    <s v="Wednesday"/>
    <x v="229"/>
    <n v="1"/>
    <n v="13.96"/>
    <d v="1899-12-30T00:47:00"/>
    <n v="0.78333333333333344"/>
    <n v="0.75"/>
    <s v="Late Night"/>
    <s v="Portland"/>
    <n v="4"/>
  </r>
  <r>
    <n v="523"/>
    <s v="UE"/>
    <s v="Order"/>
    <n v="2"/>
    <s v="Thursday"/>
    <x v="230"/>
    <n v="4"/>
    <n v="30.13"/>
    <d v="1899-12-30T02:51:00"/>
    <n v="2.85"/>
    <n v="2.75"/>
    <s v="Dinner"/>
    <s v="Portland"/>
    <n v="4"/>
  </r>
  <r>
    <n v="524"/>
    <s v="DD"/>
    <s v="Hourly"/>
    <n v="2"/>
    <s v="Thursday"/>
    <x v="230"/>
    <n v="2"/>
    <n v="17.82"/>
    <d v="1899-12-30T00:59:00"/>
    <n v="0.98333333333333339"/>
    <n v="1"/>
    <s v="Dinner"/>
    <s v="Portland"/>
    <n v="4"/>
  </r>
  <r>
    <n v="525"/>
    <s v="DD"/>
    <s v="Hourly"/>
    <n v="2"/>
    <s v="Thursday"/>
    <x v="230"/>
    <n v="4"/>
    <n v="36.03"/>
    <d v="1899-12-30T02:04:00"/>
    <n v="2.0666666666666669"/>
    <n v="2"/>
    <s v="Dinner"/>
    <s v="Portland"/>
    <n v="4"/>
  </r>
  <r>
    <n v="526"/>
    <s v="UE"/>
    <s v="Order"/>
    <n v="2"/>
    <s v="Sunday"/>
    <x v="231"/>
    <n v="3"/>
    <n v="35.299999999999997"/>
    <d v="1899-12-30T03:54:00"/>
    <n v="3.9000000000000004"/>
    <n v="4"/>
    <s v="Dinner"/>
    <s v="Augusta"/>
    <n v="1"/>
  </r>
  <r>
    <n v="527"/>
    <s v="DD"/>
    <s v="Order"/>
    <n v="2"/>
    <s v="Sunday"/>
    <x v="231"/>
    <n v="6"/>
    <n v="42"/>
    <d v="1899-12-30T03:06:00"/>
    <n v="3.1000000000000005"/>
    <n v="3"/>
    <s v="Dinner"/>
    <s v="Augusta"/>
    <n v="1"/>
  </r>
  <r>
    <n v="528"/>
    <s v="UE"/>
    <s v="Order"/>
    <n v="3"/>
    <s v="Monday"/>
    <x v="232"/>
    <n v="4"/>
    <n v="33.200000000000003"/>
    <d v="1899-12-30T03:04:00"/>
    <n v="3.0666666666666673"/>
    <n v="3"/>
    <s v="Dinner"/>
    <s v="Lewiston"/>
    <n v="3"/>
  </r>
  <r>
    <n v="529"/>
    <s v="DD"/>
    <s v="Order"/>
    <n v="3"/>
    <s v="Monday"/>
    <x v="232"/>
    <n v="5"/>
    <n v="53.27"/>
    <d v="1899-12-30T04:27:00"/>
    <n v="4.45"/>
    <n v="4.5"/>
    <s v="Dinner"/>
    <s v="Lewiston"/>
    <n v="3"/>
  </r>
  <r>
    <n v="530"/>
    <s v="DD"/>
    <s v="Order"/>
    <n v="3"/>
    <s v="Monday"/>
    <x v="232"/>
    <n v="1"/>
    <n v="8.25"/>
    <d v="1899-12-30T00:33:00"/>
    <n v="0.55000000000000004"/>
    <n v="0.5"/>
    <s v="Late Night"/>
    <s v="Lewiston"/>
    <n v="3"/>
  </r>
  <r>
    <n v="531"/>
    <s v="DD"/>
    <s v="Order"/>
    <n v="3"/>
    <s v="Monday"/>
    <x v="232"/>
    <n v="1"/>
    <n v="10"/>
    <d v="1899-12-30T00:51:00"/>
    <n v="0.85"/>
    <n v="0.75"/>
    <s v="Late Night"/>
    <s v="Lewiston"/>
    <n v="3"/>
  </r>
  <r>
    <n v="532"/>
    <s v="UE"/>
    <s v="Order"/>
    <n v="3"/>
    <s v="Tuesday"/>
    <x v="233"/>
    <n v="6"/>
    <n v="65.650000000000006"/>
    <d v="1899-12-30T04:33:00"/>
    <n v="4.55"/>
    <n v="4.5"/>
    <s v="Dinner"/>
    <s v="Augusta"/>
    <n v="1"/>
  </r>
  <r>
    <n v="533"/>
    <s v="DD"/>
    <s v="Order"/>
    <n v="3"/>
    <s v="Tuesday"/>
    <x v="233"/>
    <n v="1"/>
    <n v="7"/>
    <d v="1899-12-30T00:26:00"/>
    <n v="0.43333333333333335"/>
    <n v="0.5"/>
    <s v="Dinner"/>
    <s v="Augusta"/>
    <n v="1"/>
  </r>
  <r>
    <n v="534"/>
    <s v="DD"/>
    <s v="Order"/>
    <n v="3"/>
    <s v="Tuesday"/>
    <x v="233"/>
    <n v="1"/>
    <n v="8.5"/>
    <d v="1899-12-30T00:56:00"/>
    <n v="0.93333333333333335"/>
    <n v="1"/>
    <s v="Dinner"/>
    <s v="Augusta"/>
    <n v="1"/>
  </r>
  <r>
    <n v="535"/>
    <s v="DD"/>
    <s v="Order"/>
    <n v="3"/>
    <s v="Tuesday"/>
    <x v="233"/>
    <n v="1"/>
    <n v="11.5"/>
    <d v="1899-12-30T01:13:00"/>
    <n v="1.2166666666666668"/>
    <n v="1.25"/>
    <s v="Late Night"/>
    <s v="Augusta"/>
    <n v="1"/>
  </r>
  <r>
    <n v="536"/>
    <s v="DD"/>
    <s v="Order"/>
    <n v="3"/>
    <s v="Wednesday"/>
    <x v="234"/>
    <n v="1"/>
    <n v="7.5"/>
    <d v="1899-12-30T02:16:00"/>
    <n v="2.2666666666666666"/>
    <n v="2.25"/>
    <s v="Dinner"/>
    <s v="Lewiston"/>
    <n v="3"/>
  </r>
  <r>
    <n v="537"/>
    <s v="UE"/>
    <s v="Order"/>
    <n v="3"/>
    <s v="Thursday"/>
    <x v="235"/>
    <n v="4"/>
    <n v="45.88"/>
    <d v="1899-12-30T04:32:00"/>
    <n v="4.5333333333333332"/>
    <n v="4.5"/>
    <s v="Dinner"/>
    <s v="Augusta"/>
    <n v="1"/>
  </r>
  <r>
    <n v="538"/>
    <s v="DD"/>
    <s v="Order"/>
    <n v="3"/>
    <s v="Thursday"/>
    <x v="235"/>
    <n v="2"/>
    <n v="11.89"/>
    <d v="1899-12-30T00:34:00"/>
    <n v="0.56666666666666665"/>
    <n v="0.5"/>
    <s v="Dinner"/>
    <s v="Augusta"/>
    <n v="1"/>
  </r>
  <r>
    <n v="539"/>
    <s v="DD"/>
    <s v="Order"/>
    <n v="3"/>
    <s v="Thursday"/>
    <x v="235"/>
    <n v="2"/>
    <n v="21.25"/>
    <d v="1899-12-30T02:16:00"/>
    <n v="2.2666666666666666"/>
    <n v="2.25"/>
    <s v="Late Night"/>
    <s v="Augusta"/>
    <n v="1"/>
  </r>
  <r>
    <n v="540"/>
    <s v="UE"/>
    <s v="Order"/>
    <n v="3"/>
    <s v="Friday"/>
    <x v="236"/>
    <n v="10"/>
    <n v="113.57"/>
    <d v="1899-12-30T05:51:00"/>
    <n v="5.85"/>
    <n v="5.75"/>
    <s v="Dinner"/>
    <s v="Lewiston"/>
    <n v="3"/>
  </r>
  <r>
    <n v="541"/>
    <s v="DD"/>
    <s v="Order"/>
    <n v="3"/>
    <s v="Friday"/>
    <x v="236"/>
    <n v="11"/>
    <n v="94.5"/>
    <d v="1899-12-30T05:05:00"/>
    <n v="5.083333333333333"/>
    <n v="5"/>
    <s v="Late Night"/>
    <s v="Lewiston"/>
    <n v="3"/>
  </r>
  <r>
    <n v="542"/>
    <s v="UE"/>
    <s v="Order"/>
    <n v="4"/>
    <s v="Monday"/>
    <x v="237"/>
    <n v="1"/>
    <n v="7.04"/>
    <d v="1899-12-30T02:24:00"/>
    <n v="2.4"/>
    <n v="2.5"/>
    <s v="Dinner"/>
    <s v="Augusta"/>
    <n v="1"/>
  </r>
  <r>
    <n v="543"/>
    <s v="DD"/>
    <s v="Order"/>
    <n v="4"/>
    <s v="Monday"/>
    <x v="237"/>
    <n v="2"/>
    <n v="17.5"/>
    <d v="1899-12-30T02:35:00"/>
    <n v="2.5833333333333335"/>
    <n v="2.5"/>
    <s v="Dinner"/>
    <s v="Augusta"/>
    <n v="1"/>
  </r>
  <r>
    <n v="544"/>
    <s v="DD"/>
    <s v="Order"/>
    <n v="4"/>
    <s v="Monday"/>
    <x v="237"/>
    <n v="7"/>
    <n v="68.75"/>
    <d v="1899-12-30T03:33:00"/>
    <n v="3.55"/>
    <n v="3.5"/>
    <s v="Dinner"/>
    <s v="Augusta"/>
    <n v="1"/>
  </r>
  <r>
    <n v="545"/>
    <s v="UE"/>
    <s v="Order"/>
    <n v="4"/>
    <s v="Thursday"/>
    <x v="238"/>
    <n v="4"/>
    <n v="40"/>
    <d v="1899-12-30T03:05:00"/>
    <n v="3.0833333333333339"/>
    <n v="3"/>
    <s v="Dinner"/>
    <s v="Lewiston"/>
    <n v="3"/>
  </r>
  <r>
    <n v="546"/>
    <s v="DD"/>
    <s v="Order"/>
    <n v="4"/>
    <s v="Thursday"/>
    <x v="238"/>
    <n v="6"/>
    <n v="52.5"/>
    <d v="1899-12-30T03:15:00"/>
    <n v="3.25"/>
    <n v="3.25"/>
    <s v="Dinner"/>
    <s v="Lewiston"/>
    <n v="3"/>
  </r>
  <r>
    <n v="547"/>
    <s v="DD"/>
    <s v="Order"/>
    <n v="4"/>
    <s v="Thursday"/>
    <x v="238"/>
    <n v="1"/>
    <n v="7"/>
    <d v="1899-12-30T00:42:00"/>
    <n v="0.7"/>
    <n v="0.75"/>
    <s v="Dinner"/>
    <s v="Lewiston"/>
    <n v="3"/>
  </r>
  <r>
    <n v="548"/>
    <s v="DD"/>
    <s v="Order"/>
    <n v="4"/>
    <s v="Thursday"/>
    <x v="238"/>
    <n v="1"/>
    <n v="15.25"/>
    <d v="1899-12-30T00:36:00"/>
    <n v="0.6"/>
    <n v="0.5"/>
    <s v="Late Night"/>
    <s v="Lewiston"/>
    <n v="3"/>
  </r>
  <r>
    <n v="549"/>
    <s v="DD"/>
    <s v="Order"/>
    <n v="4"/>
    <s v="Thursday"/>
    <x v="238"/>
    <n v="2"/>
    <n v="14.5"/>
    <d v="1899-12-30T00:51:00"/>
    <n v="0.85"/>
    <n v="0.75"/>
    <s v="Late Night"/>
    <s v="Lewiston"/>
    <n v="3"/>
  </r>
  <r>
    <n v="550"/>
    <s v="UE"/>
    <s v="Order"/>
    <n v="4"/>
    <s v="Saturday"/>
    <x v="239"/>
    <n v="4"/>
    <n v="57.23"/>
    <d v="1899-12-30T04:39:00"/>
    <n v="4.6500000000000004"/>
    <n v="4.75"/>
    <s v="Dinner"/>
    <s v="Augusta"/>
    <n v="1"/>
  </r>
  <r>
    <n v="551"/>
    <s v="DD"/>
    <s v="Order"/>
    <n v="4"/>
    <s v="Saturday"/>
    <x v="239"/>
    <n v="3"/>
    <n v="38"/>
    <d v="1899-12-30T02:11:00"/>
    <n v="2.1833333333333331"/>
    <n v="2.25"/>
    <s v="Dinner"/>
    <s v="Augusta"/>
    <n v="1"/>
  </r>
  <r>
    <n v="552"/>
    <s v="DD"/>
    <s v="Order"/>
    <n v="4"/>
    <s v="Saturday"/>
    <x v="239"/>
    <n v="3"/>
    <n v="20.25"/>
    <d v="1899-12-30T01:50:00"/>
    <n v="1.8333333333333335"/>
    <n v="1.75"/>
    <s v="Late Night"/>
    <s v="Augusta"/>
    <n v="1"/>
  </r>
  <r>
    <n v="553"/>
    <s v="DD"/>
    <s v="Order"/>
    <n v="4"/>
    <s v="Saturday"/>
    <x v="239"/>
    <n v="3"/>
    <n v="33"/>
    <d v="1899-12-30T01:57:00"/>
    <n v="1.9500000000000002"/>
    <n v="2"/>
    <s v="Late Night"/>
    <s v="Augusta"/>
    <n v="1"/>
  </r>
  <r>
    <n v="554"/>
    <s v="UE"/>
    <s v="Order"/>
    <n v="5"/>
    <s v="Wednesday"/>
    <x v="240"/>
    <n v="1"/>
    <n v="11.54"/>
    <d v="1899-12-30T01:07:00"/>
    <n v="1.1166666666666667"/>
    <n v="1"/>
    <s v="Dinner"/>
    <s v="Augusta"/>
    <n v="1"/>
  </r>
  <r>
    <n v="555"/>
    <s v="DD"/>
    <s v="Order"/>
    <n v="5"/>
    <s v="Wednesday"/>
    <x v="240"/>
    <n v="5"/>
    <n v="32"/>
    <d v="1899-12-30T02:39:00"/>
    <n v="2.65"/>
    <n v="2.75"/>
    <s v="Dinner"/>
    <s v="Augusta"/>
    <n v="1"/>
  </r>
  <r>
    <n v="556"/>
    <s v="UE"/>
    <s v="Order"/>
    <n v="5"/>
    <s v="Thursday"/>
    <x v="241"/>
    <n v="3"/>
    <n v="46.52"/>
    <d v="1899-12-30T02:31:00"/>
    <n v="2.5166666666666666"/>
    <n v="2.5"/>
    <s v="Dinner"/>
    <s v="Lewiston"/>
    <n v="3"/>
  </r>
  <r>
    <n v="557"/>
    <s v="DD"/>
    <s v="Order"/>
    <n v="5"/>
    <s v="Thursday"/>
    <x v="241"/>
    <n v="4"/>
    <n v="31.2"/>
    <d v="1899-12-30T02:03:00"/>
    <n v="2.0499999999999998"/>
    <n v="2"/>
    <s v="Dinner"/>
    <s v="Lewiston"/>
    <n v="3"/>
  </r>
  <r>
    <n v="558"/>
    <s v="DD"/>
    <s v="Order"/>
    <n v="5"/>
    <s v="Thursday"/>
    <x v="241"/>
    <n v="1"/>
    <n v="14.75"/>
    <d v="1899-12-30T00:26:00"/>
    <n v="0.43333333333333335"/>
    <n v="0.5"/>
    <s v="Dinner"/>
    <s v="Lewiston"/>
    <n v="3"/>
  </r>
  <r>
    <n v="559"/>
    <s v="DD"/>
    <s v="Order"/>
    <n v="5"/>
    <s v="Thursday"/>
    <x v="241"/>
    <n v="5"/>
    <n v="37.85"/>
    <d v="1899-12-30T02:50:00"/>
    <n v="2.8333333333333335"/>
    <n v="2.75"/>
    <s v="Late Night"/>
    <s v="Lewiston"/>
    <n v="3"/>
  </r>
  <r>
    <n v="560"/>
    <s v="UE"/>
    <s v="Order"/>
    <n v="5"/>
    <s v="Friday"/>
    <x v="242"/>
    <n v="3"/>
    <n v="24.33"/>
    <d v="1899-12-30T03:13:00"/>
    <n v="3.2166666666666668"/>
    <n v="3.25"/>
    <s v="Dinner"/>
    <s v="Augusta"/>
    <n v="1"/>
  </r>
  <r>
    <n v="561"/>
    <s v="DD"/>
    <s v="Order"/>
    <n v="5"/>
    <s v="Friday"/>
    <x v="242"/>
    <n v="8"/>
    <n v="58.75"/>
    <d v="1899-12-30T04:47:00"/>
    <n v="4.7833333333333332"/>
    <n v="4.75"/>
    <s v="Dinner"/>
    <s v="Augusta"/>
    <n v="1"/>
  </r>
  <r>
    <n v="562"/>
    <s v="UE"/>
    <s v="Order"/>
    <n v="5"/>
    <s v="Saturday"/>
    <x v="243"/>
    <n v="2"/>
    <n v="25.1"/>
    <d v="1899-12-30T02:22:00"/>
    <n v="2.3666666666666667"/>
    <n v="2.25"/>
    <s v="Dinner"/>
    <s v="Brunswick/Bath/Freeport"/>
    <n v="2"/>
  </r>
  <r>
    <n v="563"/>
    <s v="DD"/>
    <s v="Hourly"/>
    <n v="5"/>
    <s v="Saturday"/>
    <x v="243"/>
    <n v="4"/>
    <n v="39.86"/>
    <d v="1899-12-30T02:06:00"/>
    <n v="2.1"/>
    <n v="2"/>
    <s v="Dinner"/>
    <s v="Brunswick/Bath/Freeport"/>
    <n v="2"/>
  </r>
  <r>
    <n v="564"/>
    <s v="DD"/>
    <s v="Hourly"/>
    <n v="5"/>
    <s v="Saturday"/>
    <x v="243"/>
    <n v="2"/>
    <n v="11.4"/>
    <d v="1899-12-30T01:41:00"/>
    <n v="1.6833333333333333"/>
    <n v="1.75"/>
    <s v="Late Night"/>
    <s v="Brunswick/Bath/Freeport"/>
    <n v="2"/>
  </r>
  <r>
    <n v="565"/>
    <s v="DD"/>
    <s v="Order"/>
    <n v="5"/>
    <s v="Saturday"/>
    <x v="243"/>
    <n v="3"/>
    <n v="20.75"/>
    <d v="1899-12-30T01:47:00"/>
    <n v="1.7833333333333332"/>
    <n v="1.75"/>
    <s v="Late Night"/>
    <s v="Brunswick/Bath/Freeport"/>
    <n v="2"/>
  </r>
  <r>
    <n v="566"/>
    <s v="UE"/>
    <s v="Order"/>
    <n v="6"/>
    <s v="Tuesday"/>
    <x v="244"/>
    <n v="9"/>
    <n v="169.18"/>
    <d v="1899-12-30T04:59:00"/>
    <n v="4.9833333333333334"/>
    <n v="5"/>
    <s v="Dinner"/>
    <s v="Brunswick/Bath/Freeport"/>
    <n v="2"/>
  </r>
  <r>
    <n v="567"/>
    <s v="DD"/>
    <s v="Order"/>
    <n v="6"/>
    <s v="Tuesday"/>
    <x v="244"/>
    <n v="2"/>
    <n v="29.72"/>
    <d v="1899-12-30T01:53:00"/>
    <n v="1.8833333333333333"/>
    <n v="2"/>
    <s v="Late Night"/>
    <s v="Brunswick/Bath/Freeport"/>
    <n v="2"/>
  </r>
  <r>
    <n v="568"/>
    <s v="UE"/>
    <s v="Order"/>
    <n v="6"/>
    <s v="Wednesday"/>
    <x v="245"/>
    <n v="6"/>
    <n v="63.64"/>
    <d v="1899-12-30T02:59:00"/>
    <n v="2.9833333333333334"/>
    <n v="3"/>
    <s v="Dinner"/>
    <s v="Lewiston"/>
    <n v="3"/>
  </r>
  <r>
    <n v="569"/>
    <s v="DD"/>
    <s v="Order"/>
    <n v="6"/>
    <s v="Wednesday"/>
    <x v="245"/>
    <n v="1"/>
    <n v="8"/>
    <d v="1899-12-30T00:51:00"/>
    <n v="0.85"/>
    <n v="0.75"/>
    <s v="Dinner"/>
    <s v="Lewiston"/>
    <n v="3"/>
  </r>
  <r>
    <n v="570"/>
    <s v="DD"/>
    <s v="Order"/>
    <n v="6"/>
    <s v="Wednesday"/>
    <x v="245"/>
    <n v="1"/>
    <n v="3.75"/>
    <d v="1899-12-30T00:24:00"/>
    <n v="0.4"/>
    <n v="0.5"/>
    <s v="Dinner"/>
    <s v="Lewiston"/>
    <n v="3"/>
  </r>
  <r>
    <n v="571"/>
    <s v="DD"/>
    <s v="Order"/>
    <n v="6"/>
    <s v="Wednesday"/>
    <x v="245"/>
    <n v="3"/>
    <n v="31.01"/>
    <d v="1899-12-30T02:14:00"/>
    <n v="2.2333333333333334"/>
    <n v="2.25"/>
    <s v="Late Night"/>
    <s v="Lewiston"/>
    <n v="3"/>
  </r>
  <r>
    <n v="572"/>
    <s v="UE"/>
    <s v="Order"/>
    <n v="7"/>
    <s v="Tuesday"/>
    <x v="246"/>
    <n v="6"/>
    <n v="69.31"/>
    <d v="1899-12-30T03:34:00"/>
    <n v="3.5666666666666664"/>
    <n v="3.5"/>
    <s v="Dinner"/>
    <s v="Lewiston"/>
    <n v="3"/>
  </r>
  <r>
    <n v="573"/>
    <s v="DD"/>
    <s v="Order"/>
    <n v="7"/>
    <s v="Tuesday"/>
    <x v="246"/>
    <n v="1"/>
    <n v="3.75"/>
    <d v="1899-12-30T00:30:00"/>
    <n v="0.5"/>
    <n v="0.5"/>
    <s v="Dinner"/>
    <s v="Lewiston"/>
    <n v="3"/>
  </r>
  <r>
    <n v="574"/>
    <s v="DD"/>
    <s v="Order"/>
    <n v="7"/>
    <s v="Tuesday"/>
    <x v="246"/>
    <n v="4"/>
    <n v="47"/>
    <d v="1899-12-30T02:30:00"/>
    <n v="2.5"/>
    <n v="2.5"/>
    <s v="Dinner"/>
    <s v="Lewiston"/>
    <n v="3"/>
  </r>
  <r>
    <n v="575"/>
    <s v="DD"/>
    <s v="Order"/>
    <n v="7"/>
    <s v="Tuesday"/>
    <x v="246"/>
    <n v="1"/>
    <n v="6.05"/>
    <d v="1899-12-30T00:34:00"/>
    <n v="0.56666666666666665"/>
    <n v="0.5"/>
    <s v="Late Night"/>
    <s v="Lewiston"/>
    <n v="3"/>
  </r>
  <r>
    <n v="576"/>
    <s v="UE"/>
    <s v="Order"/>
    <n v="7"/>
    <s v="Wednesday"/>
    <x v="247"/>
    <n v="7"/>
    <n v="90.58"/>
    <d v="1899-12-30T04:19:00"/>
    <n v="4.3166666666666664"/>
    <n v="4.25"/>
    <s v="Dinner"/>
    <s v="Brunswick/Bath/Freeport"/>
    <n v="2"/>
  </r>
  <r>
    <n v="577"/>
    <s v="DD"/>
    <s v="Hourly"/>
    <n v="7"/>
    <s v="Wednesday"/>
    <x v="247"/>
    <n v="1"/>
    <n v="10.37"/>
    <d v="1899-12-30T01:50:00"/>
    <n v="1.8333333333333335"/>
    <n v="1.75"/>
    <s v="Dinner"/>
    <s v="Brunswick/Bath/Freeport"/>
    <n v="2"/>
  </r>
  <r>
    <n v="578"/>
    <s v="DD"/>
    <s v="Order"/>
    <n v="7"/>
    <s v="Thursday"/>
    <x v="248"/>
    <n v="9"/>
    <n v="75.209999999999994"/>
    <d v="1899-12-30T03:24:00"/>
    <n v="3.4"/>
    <n v="3.5"/>
    <s v="Dinner"/>
    <s v="Lewiston"/>
    <n v="3"/>
  </r>
  <r>
    <n v="579"/>
    <s v="UE"/>
    <s v="Order"/>
    <n v="7"/>
    <s v="Friday"/>
    <x v="249"/>
    <n v="1"/>
    <n v="6.4"/>
    <d v="1899-12-30T02:10:00"/>
    <n v="2.1666666666666665"/>
    <n v="2.25"/>
    <s v="Dinner"/>
    <s v="Lewiston"/>
    <n v="3"/>
  </r>
  <r>
    <n v="580"/>
    <s v="DD"/>
    <s v="Order"/>
    <n v="7"/>
    <s v="Friday"/>
    <x v="249"/>
    <n v="17"/>
    <n v="117"/>
    <d v="1899-12-30T06:49:00"/>
    <n v="6.8166666666666664"/>
    <n v="6.75"/>
    <s v="Dinner"/>
    <s v="Lewiston"/>
    <n v="3"/>
  </r>
  <r>
    <n v="581"/>
    <s v="DD"/>
    <s v="Order"/>
    <n v="7"/>
    <s v="Friday"/>
    <x v="249"/>
    <n v="1"/>
    <n v="10"/>
    <d v="1899-12-30T00:33:00"/>
    <n v="0.55000000000000004"/>
    <n v="0.5"/>
    <s v="Late Night"/>
    <s v="Lewiston"/>
    <n v="3"/>
  </r>
  <r>
    <n v="582"/>
    <s v="UE"/>
    <s v="Order"/>
    <n v="7"/>
    <s v="Saturday"/>
    <x v="250"/>
    <n v="2"/>
    <n v="31.78"/>
    <d v="1899-12-30T01:33:00"/>
    <n v="1.5500000000000003"/>
    <n v="1.5"/>
    <s v="Dinner"/>
    <s v="Brunswick/Bath/Freeport"/>
    <n v="2"/>
  </r>
  <r>
    <n v="583"/>
    <s v="DD"/>
    <s v="Order"/>
    <n v="7"/>
    <s v="Saturday"/>
    <x v="250"/>
    <n v="8"/>
    <n v="86.25"/>
    <d v="1899-12-30T04:31:00"/>
    <n v="4.5166666666666666"/>
    <n v="4.5"/>
    <s v="Dinner"/>
    <s v="Brunswick/Bath/Freeport"/>
    <n v="2"/>
  </r>
  <r>
    <n v="584"/>
    <s v="UE"/>
    <s v="Order"/>
    <n v="7"/>
    <s v="Sunday"/>
    <x v="251"/>
    <n v="3"/>
    <n v="40.67"/>
    <d v="1899-12-30T02:19:00"/>
    <n v="2.3166666666666664"/>
    <n v="2.25"/>
    <s v="Dinner"/>
    <s v="Lewiston"/>
    <n v="3"/>
  </r>
  <r>
    <n v="585"/>
    <s v="DD"/>
    <s v="Order"/>
    <n v="7"/>
    <s v="Sunday"/>
    <x v="251"/>
    <n v="8"/>
    <n v="65"/>
    <d v="1899-12-30T05:08:00"/>
    <n v="5.1333333333333337"/>
    <n v="5.25"/>
    <s v="Dinner"/>
    <s v="Lewiston"/>
    <n v="3"/>
  </r>
  <r>
    <n v="586"/>
    <s v="UE"/>
    <s v="Order"/>
    <n v="8"/>
    <s v="Tuesday"/>
    <x v="252"/>
    <n v="8"/>
    <n v="154.87"/>
    <d v="1899-12-30T03:09:00"/>
    <n v="3.1500000000000004"/>
    <n v="3.25"/>
    <s v="Dinner"/>
    <s v="Brunswick/Bath/Freeport"/>
    <n v="2"/>
  </r>
  <r>
    <n v="587"/>
    <s v="DD"/>
    <s v="Order"/>
    <n v="8"/>
    <s v="Tuesday"/>
    <x v="252"/>
    <n v="6"/>
    <n v="39.75"/>
    <d v="1899-12-30T02:21:00"/>
    <n v="2.35"/>
    <n v="2.25"/>
    <s v="Dinner"/>
    <s v="Brunswick/Bath/Freeport"/>
    <n v="2"/>
  </r>
  <r>
    <n v="588"/>
    <s v="UE"/>
    <s v="Order"/>
    <n v="8"/>
    <s v="Wednesday"/>
    <x v="253"/>
    <n v="1"/>
    <n v="14.09"/>
    <d v="1899-12-30T01:09:00"/>
    <n v="1.1499999999999999"/>
    <n v="1.25"/>
    <s v="Dinner"/>
    <s v="Brunswick/Bath/Freeport"/>
    <n v="2"/>
  </r>
  <r>
    <n v="589"/>
    <s v="DD"/>
    <s v="Order"/>
    <n v="8"/>
    <s v="Wednesday"/>
    <x v="253"/>
    <n v="8"/>
    <n v="68.25"/>
    <d v="1899-12-30T03:39:00"/>
    <n v="3.6499999999999995"/>
    <n v="3.75"/>
    <s v="Dinner"/>
    <s v="Brunswick/Bath/Freeport"/>
    <n v="2"/>
  </r>
  <r>
    <n v="590"/>
    <s v="DD"/>
    <s v="Hourly"/>
    <n v="8"/>
    <s v="Wednesday"/>
    <x v="253"/>
    <n v="2"/>
    <n v="20.89"/>
    <d v="1899-12-30T00:49:00"/>
    <n v="0.81666666666666665"/>
    <n v="0.75"/>
    <s v="Late Night"/>
    <s v="Brunswick/Bath/Freeport"/>
    <n v="2"/>
  </r>
  <r>
    <n v="591"/>
    <s v="UE"/>
    <s v="Order"/>
    <n v="8"/>
    <s v="Thursday"/>
    <x v="254"/>
    <n v="2"/>
    <n v="35.520000000000003"/>
    <d v="1899-12-30T02:45:00"/>
    <n v="2.75"/>
    <n v="2.75"/>
    <s v="Dinner"/>
    <s v="Lewiston"/>
    <n v="3"/>
  </r>
  <r>
    <n v="592"/>
    <s v="DD"/>
    <s v="Order"/>
    <n v="8"/>
    <s v="Thursday"/>
    <x v="254"/>
    <n v="2"/>
    <n v="28"/>
    <d v="1899-12-30T01:51:00"/>
    <n v="1.85"/>
    <n v="1.75"/>
    <s v="Dinner"/>
    <s v="Lewiston"/>
    <n v="3"/>
  </r>
  <r>
    <n v="593"/>
    <s v="DD"/>
    <s v="Order"/>
    <n v="8"/>
    <s v="Thursday"/>
    <x v="254"/>
    <n v="6"/>
    <n v="41.75"/>
    <d v="1899-12-30T02:50:00"/>
    <n v="2.8333333333333335"/>
    <n v="2.75"/>
    <s v="Late Night"/>
    <s v="Lewiston"/>
    <n v="3"/>
  </r>
  <r>
    <n v="594"/>
    <s v="UE"/>
    <s v="Order"/>
    <n v="8"/>
    <s v="Friday"/>
    <x v="255"/>
    <n v="1"/>
    <n v="5.0199999999999996"/>
    <d v="1899-12-30T01:44:00"/>
    <n v="1.7333333333333334"/>
    <n v="1.75"/>
    <s v="Dinner"/>
    <s v="Lewiston"/>
    <n v="3"/>
  </r>
  <r>
    <n v="595"/>
    <s v="DD"/>
    <s v="Order"/>
    <n v="8"/>
    <s v="Friday"/>
    <x v="255"/>
    <n v="2"/>
    <n v="24"/>
    <d v="1899-12-30T01:41:00"/>
    <n v="1.6833333333333333"/>
    <n v="1.75"/>
    <s v="Dinner"/>
    <s v="Lewiston"/>
    <n v="3"/>
  </r>
  <r>
    <n v="596"/>
    <s v="DD"/>
    <s v="Order"/>
    <n v="8"/>
    <s v="Friday"/>
    <x v="255"/>
    <n v="2"/>
    <n v="15"/>
    <d v="1899-12-30T00:33:00"/>
    <n v="0.55000000000000004"/>
    <n v="0.5"/>
    <s v="Late Night"/>
    <s v="Lewiston"/>
    <n v="3"/>
  </r>
  <r>
    <n v="597"/>
    <s v="DD"/>
    <s v="Order"/>
    <n v="8"/>
    <s v="Friday"/>
    <x v="255"/>
    <n v="7"/>
    <n v="63.75"/>
    <d v="1899-12-30T03:51:00"/>
    <n v="3.8500000000000005"/>
    <n v="3.75"/>
    <s v="Late Night"/>
    <s v="Lewiston"/>
    <n v="3"/>
  </r>
  <r>
    <n v="598"/>
    <s v="DD"/>
    <s v="Order"/>
    <n v="9"/>
    <s v="Thursday"/>
    <x v="256"/>
    <n v="12"/>
    <n v="116.25"/>
    <d v="1899-12-30T04:04:00"/>
    <n v="4.0666666666666664"/>
    <n v="4"/>
    <s v="Dinner"/>
    <s v="Lewiston"/>
    <n v="3"/>
  </r>
  <r>
    <n v="599"/>
    <s v="DD"/>
    <s v="Order"/>
    <n v="9"/>
    <s v="Friday"/>
    <x v="257"/>
    <n v="1"/>
    <n v="7.25"/>
    <d v="1899-12-30T00:27:00"/>
    <n v="0.44999999999999996"/>
    <n v="0.5"/>
    <s v="Dinner"/>
    <s v="Lewiston"/>
    <n v="3"/>
  </r>
  <r>
    <n v="600"/>
    <s v="DD"/>
    <s v="Order"/>
    <n v="9"/>
    <s v="Friday"/>
    <x v="257"/>
    <n v="7"/>
    <n v="47.5"/>
    <d v="1899-12-30T02:48:00"/>
    <n v="2.8"/>
    <n v="2.75"/>
    <s v="Dinner"/>
    <s v="Lewiston"/>
    <n v="3"/>
  </r>
  <r>
    <n v="601"/>
    <s v="UE"/>
    <s v="Order"/>
    <n v="9"/>
    <s v="Sunday"/>
    <x v="258"/>
    <n v="2"/>
    <n v="41.09"/>
    <d v="1899-12-30T02:09:00"/>
    <n v="2.15"/>
    <n v="2.25"/>
    <s v="Dinner"/>
    <s v="Brunswick/Bath/Freeport"/>
    <n v="2"/>
  </r>
  <r>
    <n v="602"/>
    <s v="DD"/>
    <s v="Order"/>
    <n v="9"/>
    <s v="Sunday"/>
    <x v="258"/>
    <n v="12"/>
    <n v="154.79"/>
    <d v="1899-12-30T04:25:00"/>
    <n v="4.416666666666667"/>
    <n v="4.5"/>
    <s v="Dinner"/>
    <s v="Brunswick/Bath/Freeport"/>
    <n v="2"/>
  </r>
  <r>
    <n v="603"/>
    <s v="DD"/>
    <s v="Order"/>
    <n v="9"/>
    <s v="Sunday"/>
    <x v="258"/>
    <n v="7"/>
    <n v="82"/>
    <d v="1899-12-30T02:35:00"/>
    <n v="2.5833333333333335"/>
    <n v="2.5"/>
    <s v="Dinner"/>
    <s v="Brunswick/Bath/Freeport"/>
    <n v="2"/>
  </r>
  <r>
    <n v="604"/>
    <s v="UE"/>
    <s v="Order"/>
    <n v="10"/>
    <s v="Tuesday"/>
    <x v="259"/>
    <n v="2"/>
    <n v="9.1"/>
    <d v="1899-12-30T00:42:00"/>
    <n v="0.7"/>
    <n v="0.75"/>
    <s v="Dinner"/>
    <s v="Brunswick/Bath/Freeport"/>
    <n v="2"/>
  </r>
  <r>
    <n v="605"/>
    <s v="DD"/>
    <s v="Order"/>
    <n v="10"/>
    <s v="Tuesday"/>
    <x v="259"/>
    <n v="7"/>
    <n v="116.37"/>
    <d v="1899-12-30T04:27:00"/>
    <n v="4.45"/>
    <n v="4.5"/>
    <s v="Dinner"/>
    <s v="Brunswick/Bath/Freeport"/>
    <n v="2"/>
  </r>
  <r>
    <n v="606"/>
    <s v="DD"/>
    <s v="Order"/>
    <n v="10"/>
    <s v="Wednesday"/>
    <x v="260"/>
    <n v="5"/>
    <n v="59.25"/>
    <d v="1899-12-30T03:46:00"/>
    <n v="3.7666666666666666"/>
    <n v="3.75"/>
    <s v="Dinner"/>
    <s v="Augusta"/>
    <n v="1"/>
  </r>
  <r>
    <n v="607"/>
    <s v="DD"/>
    <s v="Order"/>
    <n v="10"/>
    <s v="Wednesday"/>
    <x v="260"/>
    <n v="3"/>
    <n v="16.5"/>
    <d v="1899-12-30T00:54:00"/>
    <n v="0.89999999999999991"/>
    <n v="1"/>
    <s v="Late Night"/>
    <s v="Augusta"/>
    <n v="1"/>
  </r>
  <r>
    <n v="608"/>
    <s v="UE"/>
    <s v="Order"/>
    <n v="10"/>
    <s v="Friday"/>
    <x v="261"/>
    <n v="2"/>
    <n v="31.93"/>
    <d v="1899-12-30T00:55:00"/>
    <n v="0.91666666666666652"/>
    <n v="1"/>
    <s v="Dinner"/>
    <s v="Lewiston"/>
    <n v="3"/>
  </r>
  <r>
    <n v="609"/>
    <s v="DD"/>
    <s v="Order"/>
    <n v="10"/>
    <s v="Friday"/>
    <x v="261"/>
    <n v="1"/>
    <n v="9"/>
    <d v="1899-12-30T00:46:00"/>
    <n v="0.76666666666666683"/>
    <n v="0.75"/>
    <s v="Dinner"/>
    <s v="Lewiston"/>
    <n v="3"/>
  </r>
  <r>
    <n v="610"/>
    <s v="UE"/>
    <s v="Order"/>
    <n v="10"/>
    <s v="Saturday"/>
    <x v="262"/>
    <n v="6"/>
    <n v="121.15"/>
    <d v="1899-12-30T04:00:00"/>
    <n v="4"/>
    <n v="4"/>
    <s v="Dinner"/>
    <s v="Brunswick/Bath/Freeport"/>
    <n v="2"/>
  </r>
  <r>
    <n v="611"/>
    <s v="DD"/>
    <s v="Order"/>
    <n v="10"/>
    <s v="Saturday"/>
    <x v="262"/>
    <n v="1"/>
    <n v="35.5"/>
    <d v="1899-12-30T02:12:00"/>
    <n v="2.2000000000000002"/>
    <n v="2.25"/>
    <s v="Late Night"/>
    <s v="Brunswick/Bath/Freeport"/>
    <n v="2"/>
  </r>
  <r>
    <n v="612"/>
    <s v="DD"/>
    <s v="Order"/>
    <n v="11"/>
    <s v="Tuesday"/>
    <x v="263"/>
    <n v="8"/>
    <n v="68"/>
    <d v="1899-12-30T04:08:00"/>
    <n v="4.1333333333333337"/>
    <n v="4.25"/>
    <s v="Dinner"/>
    <s v="Brunswick/Bath/Freeport"/>
    <n v="2"/>
  </r>
  <r>
    <n v="613"/>
    <s v="UE"/>
    <s v="Order"/>
    <n v="11"/>
    <s v="Thursday"/>
    <x v="264"/>
    <n v="3"/>
    <n v="43.83"/>
    <d v="1899-12-30T01:56:00"/>
    <n v="1.9333333333333336"/>
    <n v="2"/>
    <s v="Dinner"/>
    <s v="Portland"/>
    <n v="4"/>
  </r>
  <r>
    <n v="614"/>
    <s v="DD"/>
    <s v="Order"/>
    <n v="11"/>
    <s v="Thursday"/>
    <x v="264"/>
    <n v="2"/>
    <n v="15"/>
    <d v="1899-12-30T01:43:00"/>
    <n v="1.7166666666666668"/>
    <n v="1.75"/>
    <s v="Dinner"/>
    <s v="Portland"/>
    <n v="4"/>
  </r>
  <r>
    <n v="615"/>
    <s v="UE"/>
    <s v="Order"/>
    <n v="11"/>
    <s v="Friday"/>
    <x v="265"/>
    <n v="1"/>
    <n v="4.7"/>
    <d v="1899-12-30T01:10:00"/>
    <n v="1.1666666666666667"/>
    <n v="1.25"/>
    <s v="Dinner"/>
    <s v="Lewiston"/>
    <n v="3"/>
  </r>
  <r>
    <n v="616"/>
    <s v="DD"/>
    <s v="Order"/>
    <n v="11"/>
    <s v="Friday"/>
    <x v="265"/>
    <n v="8"/>
    <n v="59.38"/>
    <d v="1899-12-30T03:33:00"/>
    <n v="3.55"/>
    <n v="3.5"/>
    <s v="Dinner"/>
    <s v="Lewiston"/>
    <n v="3"/>
  </r>
  <r>
    <n v="617"/>
    <s v="UE"/>
    <s v="Order"/>
    <n v="11"/>
    <s v="Saturday"/>
    <x v="266"/>
    <n v="4"/>
    <n v="42.7"/>
    <d v="1899-12-30T03:36:00"/>
    <n v="3.5999999999999996"/>
    <n v="3.5"/>
    <s v="Dinner"/>
    <s v="Brunswick/Bath/Freeport"/>
    <n v="2"/>
  </r>
  <r>
    <n v="618"/>
    <s v="DD"/>
    <s v="Order"/>
    <n v="11"/>
    <s v="Saturday"/>
    <x v="266"/>
    <n v="4"/>
    <n v="50.25"/>
    <d v="1899-12-30T02:29:00"/>
    <n v="2.4833333333333334"/>
    <n v="2.5"/>
    <s v="Dinner"/>
    <s v="Brunswick/Bath/Freeport"/>
    <n v="2"/>
  </r>
  <r>
    <n v="619"/>
    <s v="DD"/>
    <s v="Order"/>
    <n v="11"/>
    <s v="Saturday"/>
    <x v="266"/>
    <n v="3"/>
    <n v="29.5"/>
    <d v="1899-12-30T01:43:00"/>
    <n v="1.7166666666666668"/>
    <n v="1.75"/>
    <s v="Late Night"/>
    <s v="Brunswick/Bath/Freeport"/>
    <n v="2"/>
  </r>
  <r>
    <n v="620"/>
    <s v="UE"/>
    <s v="Order"/>
    <n v="12"/>
    <s v="Tuesday"/>
    <x v="267"/>
    <n v="1"/>
    <n v="17.3"/>
    <d v="1899-12-30T00:41:00"/>
    <n v="0.68333333333333335"/>
    <n v="0.75"/>
    <s v="Dinner"/>
    <s v="Brunswick/Bath/Freeport"/>
    <n v="2"/>
  </r>
  <r>
    <n v="621"/>
    <s v="DD"/>
    <s v="Order"/>
    <n v="12"/>
    <s v="Tuesday"/>
    <x v="267"/>
    <n v="2"/>
    <n v="43.12"/>
    <d v="1899-12-30T03:13:00"/>
    <n v="3.2166666666666668"/>
    <n v="3.25"/>
    <s v="Dinner"/>
    <s v="Brunswick/Bath/Freeport"/>
    <n v="2"/>
  </r>
  <r>
    <n v="622"/>
    <s v="UE"/>
    <s v="Order"/>
    <n v="12"/>
    <s v="Wednesday"/>
    <x v="268"/>
    <n v="6"/>
    <n v="29.21"/>
    <d v="1899-12-30T02:04:00"/>
    <n v="2.0666666666666669"/>
    <n v="2"/>
    <s v="Dinner"/>
    <s v="Lewiston"/>
    <n v="3"/>
  </r>
  <r>
    <n v="623"/>
    <s v="DD"/>
    <s v="Order"/>
    <n v="12"/>
    <s v="Wednesday"/>
    <x v="268"/>
    <n v="4"/>
    <n v="29"/>
    <d v="1899-12-30T02:32:00"/>
    <n v="2.5333333333333332"/>
    <n v="2.5"/>
    <s v="Dinner"/>
    <s v="Lewiston"/>
    <n v="3"/>
  </r>
  <r>
    <n v="624"/>
    <s v="DD"/>
    <s v="Order"/>
    <n v="12"/>
    <s v="Wednesday"/>
    <x v="268"/>
    <n v="2"/>
    <n v="20"/>
    <d v="1899-12-30T01:18:00"/>
    <n v="1.3"/>
    <n v="1.25"/>
    <s v="Dinner"/>
    <s v="Lewiston"/>
    <n v="3"/>
  </r>
  <r>
    <n v="625"/>
    <s v="DD"/>
    <s v="Order"/>
    <n v="12"/>
    <s v="Wednesday"/>
    <x v="268"/>
    <n v="1"/>
    <n v="7.75"/>
    <d v="1899-12-30T00:24:00"/>
    <n v="0.4"/>
    <n v="0.5"/>
    <s v="Late Night"/>
    <s v="Lewiston"/>
    <n v="3"/>
  </r>
  <r>
    <n v="626"/>
    <s v="IC"/>
    <s v="Order"/>
    <n v="12"/>
    <s v="Thursday"/>
    <x v="269"/>
    <n v="3"/>
    <n v="61.69"/>
    <d v="1899-12-30T04:04:00"/>
    <n v="4.0666666666666664"/>
    <n v="4"/>
    <s v="Dinner"/>
    <s v="Brunswick/Bath/Freeport"/>
    <n v="2"/>
  </r>
  <r>
    <n v="627"/>
    <s v="DD"/>
    <s v="Order"/>
    <n v="12"/>
    <s v="Thursday"/>
    <x v="269"/>
    <n v="1"/>
    <n v="8.5"/>
    <d v="1899-12-30T00:41:00"/>
    <n v="0.68333333333333335"/>
    <n v="0.75"/>
    <s v="Late Night"/>
    <s v="Brunswick/Bath/Freeport"/>
    <n v="2"/>
  </r>
  <r>
    <n v="628"/>
    <s v="DD"/>
    <s v="Order"/>
    <n v="12"/>
    <s v="Friday"/>
    <x v="270"/>
    <n v="8"/>
    <n v="51.5"/>
    <d v="1899-12-30T04:01:00"/>
    <n v="4.0166666666666666"/>
    <n v="4"/>
    <s v="Dinner"/>
    <s v="Lewiston"/>
    <n v="3"/>
  </r>
  <r>
    <n v="629"/>
    <s v="UE"/>
    <s v="Order"/>
    <n v="12"/>
    <s v="Saturday"/>
    <x v="271"/>
    <n v="1"/>
    <n v="13.41"/>
    <d v="1899-12-30T02:06:00"/>
    <n v="2.1"/>
    <n v="2"/>
    <s v="Dinner"/>
    <s v="Brunswick/Bath/Freeport"/>
    <n v="2"/>
  </r>
  <r>
    <n v="630"/>
    <s v="DD"/>
    <s v="Order"/>
    <n v="12"/>
    <s v="Saturday"/>
    <x v="271"/>
    <n v="3"/>
    <n v="33.75"/>
    <d v="1899-12-30T01:25:00"/>
    <n v="1.4166666666666667"/>
    <n v="1.5"/>
    <s v="Dinner"/>
    <s v="Brunswick/Bath/Freeport"/>
    <n v="2"/>
  </r>
  <r>
    <n v="631"/>
    <s v="DD"/>
    <s v="Order"/>
    <n v="12"/>
    <s v="Saturday"/>
    <x v="271"/>
    <n v="5"/>
    <n v="47.75"/>
    <d v="1899-12-30T04:07:00"/>
    <n v="4.1166666666666663"/>
    <n v="4"/>
    <s v="Late Night"/>
    <s v="Brunswick/Bath/Freeport"/>
    <n v="2"/>
  </r>
  <r>
    <n v="632"/>
    <s v="UE"/>
    <s v="Order"/>
    <n v="13"/>
    <s v="Thursday"/>
    <x v="272"/>
    <n v="5"/>
    <n v="49.99"/>
    <d v="1899-12-30T02:18:00"/>
    <n v="2.2999999999999998"/>
    <n v="2.25"/>
    <s v="Dinner"/>
    <s v="Portland"/>
    <n v="4"/>
  </r>
  <r>
    <n v="633"/>
    <s v="DD"/>
    <s v="Order"/>
    <n v="13"/>
    <s v="Thursday"/>
    <x v="272"/>
    <n v="5"/>
    <n v="48.25"/>
    <d v="1899-12-30T02:34:00"/>
    <n v="2.5666666666666664"/>
    <n v="2.5"/>
    <s v="Late Night"/>
    <s v="Portland"/>
    <n v="4"/>
  </r>
  <r>
    <n v="634"/>
    <s v="DD"/>
    <s v="Order"/>
    <n v="13"/>
    <s v="Friday"/>
    <x v="273"/>
    <n v="7"/>
    <n v="56.25"/>
    <d v="1899-12-30T02:28:00"/>
    <n v="2.4666666666666668"/>
    <n v="2.5"/>
    <s v="Dinner"/>
    <s v="Brunswick/Bath/Freeport"/>
    <n v="2"/>
  </r>
  <r>
    <n v="635"/>
    <s v="DD"/>
    <s v="Order"/>
    <n v="13"/>
    <s v="Friday"/>
    <x v="273"/>
    <n v="1"/>
    <n v="9.5"/>
    <d v="1899-12-30T00:43:00"/>
    <n v="0.71666666666666667"/>
    <n v="0.75"/>
    <s v="Late Night"/>
    <s v="Brunswick/Bath/Freeport"/>
    <n v="2"/>
  </r>
  <r>
    <n v="636"/>
    <s v="UE"/>
    <s v="Order"/>
    <n v="13"/>
    <s v="Saturday"/>
    <x v="274"/>
    <n v="7"/>
    <n v="112.55"/>
    <d v="1899-12-30T04:12:00"/>
    <n v="4.2"/>
    <n v="4.25"/>
    <s v="Dinner"/>
    <s v="Brunswick/Bath/Freeport"/>
    <n v="2"/>
  </r>
  <r>
    <n v="637"/>
    <s v="DD"/>
    <s v="Order"/>
    <n v="13"/>
    <s v="Saturday"/>
    <x v="274"/>
    <n v="1"/>
    <n v="4.12"/>
    <d v="1899-12-30T00:05:00"/>
    <n v="8.3333333333333329E-2"/>
    <n v="0"/>
    <s v="Dinner"/>
    <s v="Brunswick/Bath/Freeport"/>
    <n v="2"/>
  </r>
  <r>
    <n v="638"/>
    <s v="UE"/>
    <s v="Order"/>
    <n v="13"/>
    <s v="Sunday"/>
    <x v="275"/>
    <n v="7"/>
    <n v="78.989999999999995"/>
    <d v="1899-12-30T03:13:00"/>
    <n v="3.2166666666666668"/>
    <n v="3.25"/>
    <s v="Dinner"/>
    <s v="Portland"/>
    <n v="4"/>
  </r>
  <r>
    <n v="639"/>
    <s v="DD"/>
    <s v="Order"/>
    <n v="13"/>
    <s v="Sunday"/>
    <x v="275"/>
    <n v="1"/>
    <n v="10"/>
    <d v="1899-12-30T00:37:00"/>
    <n v="0.6166666666666667"/>
    <n v="0.5"/>
    <s v="Late Night"/>
    <s v="Portland"/>
    <n v="4"/>
  </r>
  <r>
    <n v="640"/>
    <s v="DD"/>
    <s v="Hourly"/>
    <n v="13"/>
    <s v="Sunday"/>
    <x v="275"/>
    <n v="2"/>
    <n v="25.54"/>
    <d v="1899-12-30T00:59:00"/>
    <n v="0.98333333333333339"/>
    <n v="1"/>
    <s v="Late Night"/>
    <s v="Portland"/>
    <n v="4"/>
  </r>
  <r>
    <n v="641"/>
    <s v="UE"/>
    <s v="Order"/>
    <n v="14"/>
    <s v="Wednesday"/>
    <x v="276"/>
    <n v="3"/>
    <n v="25.73"/>
    <d v="1899-12-30T02:30:00"/>
    <n v="2.5"/>
    <n v="2.5"/>
    <s v="Dinner"/>
    <s v="Portland"/>
    <n v="4"/>
  </r>
  <r>
    <n v="642"/>
    <s v="DD"/>
    <s v="Order"/>
    <n v="14"/>
    <s v="Wednesday"/>
    <x v="276"/>
    <n v="2"/>
    <n v="9.5"/>
    <d v="1899-12-30T00:49:00"/>
    <n v="0.81666666666666665"/>
    <n v="0.75"/>
    <s v="Dinner"/>
    <s v="Portland"/>
    <n v="4"/>
  </r>
  <r>
    <n v="643"/>
    <s v="DD"/>
    <s v="Order"/>
    <n v="14"/>
    <s v="Wednesday"/>
    <x v="276"/>
    <n v="5"/>
    <n v="31.75"/>
    <d v="1899-12-30T01:54:00"/>
    <n v="1.9"/>
    <n v="2"/>
    <s v="Dinner"/>
    <s v="Portland"/>
    <n v="4"/>
  </r>
  <r>
    <n v="644"/>
    <s v="UE"/>
    <s v="Order"/>
    <n v="14"/>
    <s v="Thursday"/>
    <x v="277"/>
    <n v="3"/>
    <n v="39.200000000000003"/>
    <d v="1899-12-30T02:39:00"/>
    <n v="2.65"/>
    <n v="2.75"/>
    <s v="Dinner"/>
    <s v="Lewiston"/>
    <n v="3"/>
  </r>
  <r>
    <n v="645"/>
    <s v="DD"/>
    <s v="Order"/>
    <n v="14"/>
    <s v="Thursday"/>
    <x v="277"/>
    <n v="3"/>
    <n v="32.19"/>
    <d v="1899-12-30T01:52:00"/>
    <n v="1.8666666666666667"/>
    <n v="1.75"/>
    <s v="Dinner"/>
    <s v="Lewiston"/>
    <n v="3"/>
  </r>
  <r>
    <n v="646"/>
    <s v="DD"/>
    <s v="Order"/>
    <n v="14"/>
    <s v="Thursday"/>
    <x v="277"/>
    <n v="5"/>
    <n v="32"/>
    <d v="1899-12-30T02:54:00"/>
    <n v="2.9"/>
    <n v="3"/>
    <s v="Late Night"/>
    <s v="Lewiston"/>
    <n v="3"/>
  </r>
  <r>
    <n v="647"/>
    <s v="UE"/>
    <s v="Order"/>
    <n v="14"/>
    <s v="Friday"/>
    <x v="278"/>
    <n v="11"/>
    <n v="119.45000000000002"/>
    <d v="1899-12-30T06:48:00"/>
    <n v="6.8"/>
    <n v="6.75"/>
    <s v="Dinner"/>
    <s v="Portland"/>
    <n v="4"/>
  </r>
  <r>
    <n v="648"/>
    <s v="DD"/>
    <s v="Order"/>
    <n v="14"/>
    <s v="Friday"/>
    <x v="278"/>
    <n v="1"/>
    <n v="6.7"/>
    <d v="1899-12-30T00:25:00"/>
    <n v="0.41666666666666669"/>
    <n v="0.5"/>
    <s v="Dinner"/>
    <s v="Portland"/>
    <n v="4"/>
  </r>
  <r>
    <n v="649"/>
    <s v="DD"/>
    <s v="Order"/>
    <n v="14"/>
    <s v="Friday"/>
    <x v="278"/>
    <n v="3"/>
    <n v="47.5"/>
    <d v="1899-12-30T01:26:00"/>
    <n v="1.4333333333333333"/>
    <n v="1.5"/>
    <s v="Late Night"/>
    <s v="Portland"/>
    <n v="4"/>
  </r>
  <r>
    <n v="650"/>
    <s v="DD"/>
    <s v="Order"/>
    <n v="14"/>
    <s v="Friday"/>
    <x v="278"/>
    <n v="3"/>
    <n v="32.81"/>
    <d v="1899-12-30T02:29:00"/>
    <n v="2.4833333333333334"/>
    <n v="2.5"/>
    <s v="Late Night"/>
    <s v="Portland"/>
    <n v="4"/>
  </r>
  <r>
    <n v="651"/>
    <s v="UE"/>
    <s v="Order"/>
    <n v="14"/>
    <s v="Saturday"/>
    <x v="279"/>
    <n v="8"/>
    <n v="68.150000000000006"/>
    <d v="1899-12-30T03:58:00"/>
    <n v="3.9666666666666668"/>
    <n v="4"/>
    <s v="Dinner"/>
    <s v="Portland"/>
    <n v="4"/>
  </r>
  <r>
    <n v="652"/>
    <s v="DD"/>
    <s v="Order"/>
    <n v="14"/>
    <s v="Saturday"/>
    <x v="279"/>
    <n v="1"/>
    <n v="5.5"/>
    <d v="1899-12-30T00:58:00"/>
    <n v="0.96666666666666679"/>
    <n v="1"/>
    <s v="Late Night"/>
    <s v="Portland"/>
    <n v="4"/>
  </r>
  <r>
    <n v="653"/>
    <s v="DD"/>
    <s v="Order"/>
    <n v="14"/>
    <s v="Saturday"/>
    <x v="279"/>
    <n v="1"/>
    <n v="5.25"/>
    <d v="1899-12-30T01:35:00"/>
    <n v="1.5833333333333335"/>
    <n v="1.5"/>
    <s v="Late Night"/>
    <s v="Portland"/>
    <n v="4"/>
  </r>
  <r>
    <n v="654"/>
    <s v="DD"/>
    <s v="Order"/>
    <n v="15"/>
    <s v="Tuesday"/>
    <x v="280"/>
    <n v="3"/>
    <n v="25.5"/>
    <d v="1899-12-30T01:51:00"/>
    <n v="1.85"/>
    <n v="1.75"/>
    <s v="Dinner"/>
    <s v="Brunswick/Bath/Freeport"/>
    <n v="2"/>
  </r>
  <r>
    <n v="655"/>
    <s v="UE"/>
    <s v="Order"/>
    <n v="16"/>
    <s v="Thursday"/>
    <x v="281"/>
    <n v="3"/>
    <n v="55.17"/>
    <d v="1899-12-30T03:01:00"/>
    <n v="3.0166666666666666"/>
    <n v="3"/>
    <s v="Dinner"/>
    <s v="Brunswick/Bath/Freeport"/>
    <n v="2"/>
  </r>
  <r>
    <n v="656"/>
    <s v="DD"/>
    <s v="Order"/>
    <n v="16"/>
    <s v="Thursday"/>
    <x v="281"/>
    <n v="2"/>
    <n v="12"/>
    <d v="1899-12-30T01:30:00"/>
    <n v="1.5"/>
    <n v="1.5"/>
    <s v="Dinner"/>
    <s v="Brunswick/Bath/Freeport"/>
    <n v="2"/>
  </r>
  <r>
    <n v="657"/>
    <s v="DD"/>
    <s v="Order"/>
    <n v="16"/>
    <s v="Thursday"/>
    <x v="281"/>
    <n v="1"/>
    <n v="17.5"/>
    <d v="1899-12-30T01:04:00"/>
    <n v="1.0666666666666667"/>
    <n v="1"/>
    <s v="Dinner"/>
    <s v="Brunswick/Bath/Freeport"/>
    <n v="2"/>
  </r>
  <r>
    <n v="658"/>
    <s v="DD"/>
    <s v="Order"/>
    <n v="16"/>
    <s v="Thursday"/>
    <x v="281"/>
    <n v="2"/>
    <n v="20"/>
    <d v="1899-12-30T01:01:00"/>
    <n v="1.0166666666666666"/>
    <n v="1"/>
    <s v="Dinner"/>
    <s v="Brunswick/Bath/Freeport"/>
    <n v="2"/>
  </r>
  <r>
    <n v="659"/>
    <s v="UE"/>
    <s v="Order"/>
    <n v="16"/>
    <s v="Saturday"/>
    <x v="282"/>
    <n v="2"/>
    <n v="26.93"/>
    <d v="1899-12-30T02:27:00"/>
    <n v="2.4500000000000002"/>
    <n v="2.5"/>
    <s v="Dinner"/>
    <s v="Brunswick/Bath/Freeport"/>
    <n v="2"/>
  </r>
  <r>
    <n v="660"/>
    <s v="DD"/>
    <s v="Order"/>
    <n v="16"/>
    <s v="Saturday"/>
    <x v="282"/>
    <n v="5"/>
    <n v="54.06"/>
    <d v="1899-12-30T02:46:00"/>
    <n v="2.7666666666666666"/>
    <n v="2.75"/>
    <s v="Dinner"/>
    <s v="Brunswick/Bath/Freeport"/>
    <n v="2"/>
  </r>
  <r>
    <n v="661"/>
    <s v="DD"/>
    <s v="Order"/>
    <n v="16"/>
    <s v="Saturday"/>
    <x v="282"/>
    <n v="1"/>
    <n v="5"/>
    <d v="1899-12-30T00:22:00"/>
    <n v="0.36666666666666664"/>
    <n v="0.25"/>
    <s v="Dinner"/>
    <s v="Brunswick/Bath/Freeport"/>
    <n v="2"/>
  </r>
  <r>
    <n v="662"/>
    <s v="DD"/>
    <s v="Order"/>
    <n v="16"/>
    <s v="Saturday"/>
    <x v="282"/>
    <n v="5"/>
    <n v="45.5"/>
    <d v="1899-12-30T02:25:00"/>
    <n v="2.4166666666666665"/>
    <n v="2.5"/>
    <s v="Late Night"/>
    <s v="Brunswick/Bath/Freeport"/>
    <n v="2"/>
  </r>
  <r>
    <n v="663"/>
    <s v="UE"/>
    <s v="Order"/>
    <n v="17"/>
    <s v="Wednesday"/>
    <x v="283"/>
    <n v="1"/>
    <n v="14.59"/>
    <d v="1899-12-30T02:12:00"/>
    <n v="2.2000000000000002"/>
    <n v="2.25"/>
    <s v="Dinner"/>
    <s v="Brunswick/Bath/Freeport"/>
    <n v="2"/>
  </r>
  <r>
    <n v="664"/>
    <s v="DD"/>
    <s v="Order"/>
    <n v="17"/>
    <s v="Wednesday"/>
    <x v="283"/>
    <n v="9"/>
    <n v="76.599999999999994"/>
    <d v="1899-12-30T04:03:00"/>
    <n v="4.05"/>
    <n v="4"/>
    <s v="Dinner"/>
    <s v="Brunswick/Bath/Freeport"/>
    <n v="2"/>
  </r>
  <r>
    <n v="665"/>
    <s v="UE"/>
    <s v="Order"/>
    <n v="17"/>
    <s v="Thursday"/>
    <x v="284"/>
    <n v="4"/>
    <n v="76.72"/>
    <d v="1899-12-30T03:13:00"/>
    <n v="3.2166666666666668"/>
    <n v="3.25"/>
    <s v="Dinner"/>
    <s v="Brunswick/Bath/Freeport"/>
    <n v="2"/>
  </r>
  <r>
    <n v="666"/>
    <s v="DD"/>
    <s v="Order"/>
    <n v="17"/>
    <s v="Thursday"/>
    <x v="284"/>
    <n v="8"/>
    <n v="44.7"/>
    <d v="1899-12-30T03:38:00"/>
    <n v="3.6333333333333329"/>
    <n v="3.75"/>
    <s v="Dinner"/>
    <s v="Brunswick/Bath/Freeport"/>
    <n v="2"/>
  </r>
  <r>
    <n v="667"/>
    <s v="DD"/>
    <s v="Order"/>
    <n v="17"/>
    <s v="Thursday"/>
    <x v="284"/>
    <n v="2"/>
    <n v="13"/>
    <d v="1899-12-30T00:58:00"/>
    <n v="0.96666666666666679"/>
    <n v="1"/>
    <s v="Late Night"/>
    <s v="Brunswick/Bath/Freeport"/>
    <n v="2"/>
  </r>
  <r>
    <n v="668"/>
    <s v="UE"/>
    <s v="Order"/>
    <n v="17"/>
    <s v="Friday"/>
    <x v="285"/>
    <n v="2"/>
    <n v="29.52"/>
    <d v="1899-12-30T01:15:00"/>
    <n v="1.25"/>
    <n v="1.25"/>
    <s v="Dinner"/>
    <s v="Brunswick/Bath/Freeport"/>
    <n v="2"/>
  </r>
  <r>
    <n v="669"/>
    <s v="DD"/>
    <s v="Order"/>
    <n v="17"/>
    <s v="Friday"/>
    <x v="285"/>
    <n v="5"/>
    <n v="46.9"/>
    <d v="1899-12-30T03:09:00"/>
    <n v="3.1500000000000004"/>
    <n v="3.25"/>
    <s v="Dinner"/>
    <s v="Brunswick/Bath/Freeport"/>
    <n v="2"/>
  </r>
  <r>
    <n v="670"/>
    <s v="UE"/>
    <s v="Order"/>
    <n v="17"/>
    <s v="Saturday"/>
    <x v="286"/>
    <n v="7"/>
    <n v="110"/>
    <d v="1899-12-30T05:13:00"/>
    <n v="5.2166666666666668"/>
    <n v="5.25"/>
    <s v="Dinner"/>
    <s v="Brunswick/Bath/Freeport"/>
    <n v="2"/>
  </r>
  <r>
    <n v="671"/>
    <s v="DD"/>
    <s v="Order"/>
    <n v="17"/>
    <s v="Saturday"/>
    <x v="286"/>
    <n v="4"/>
    <n v="24.5"/>
    <d v="1899-12-30T01:31:00"/>
    <n v="1.5166666666666666"/>
    <n v="1.5"/>
    <s v="Dinner"/>
    <s v="Brunswick/Bath/Freeport"/>
    <n v="2"/>
  </r>
  <r>
    <n v="672"/>
    <s v="DD"/>
    <s v="Order"/>
    <n v="17"/>
    <s v="Saturday"/>
    <x v="286"/>
    <n v="2"/>
    <n v="10.5"/>
    <d v="1899-12-30T01:04:00"/>
    <n v="1.0666666666666667"/>
    <n v="1"/>
    <s v="Dinner"/>
    <s v="Brunswick/Bath/Freeport"/>
    <n v="2"/>
  </r>
  <r>
    <n v="673"/>
    <s v="DD"/>
    <s v="Order"/>
    <n v="17"/>
    <s v="Saturday"/>
    <x v="286"/>
    <n v="2"/>
    <n v="16"/>
    <d v="1899-12-30T01:08:00"/>
    <n v="1.1333333333333333"/>
    <n v="1.25"/>
    <s v="Dinner"/>
    <s v="Brunswick/Bath/Freeport"/>
    <n v="2"/>
  </r>
  <r>
    <n v="674"/>
    <s v="UE"/>
    <s v="Order"/>
    <n v="17"/>
    <s v="Sunday"/>
    <x v="287"/>
    <n v="5"/>
    <n v="55.33"/>
    <d v="1899-12-30T03:32:00"/>
    <n v="3.5333333333333332"/>
    <n v="3.5"/>
    <s v="Dinner"/>
    <s v="Augusta"/>
    <n v="1"/>
  </r>
  <r>
    <n v="675"/>
    <s v="DD"/>
    <s v="Order"/>
    <n v="17"/>
    <s v="Sunday"/>
    <x v="287"/>
    <n v="3"/>
    <n v="30.5"/>
    <d v="1899-12-30T01:30:00"/>
    <n v="1.5"/>
    <n v="1.5"/>
    <s v="Dinner"/>
    <s v="Augusta"/>
    <n v="1"/>
  </r>
  <r>
    <n v="676"/>
    <s v="DD"/>
    <s v="Order"/>
    <n v="17"/>
    <s v="Sunday"/>
    <x v="287"/>
    <n v="1"/>
    <n v="13.25"/>
    <d v="1899-12-30T00:42:00"/>
    <n v="0.7"/>
    <n v="0.75"/>
    <s v="Late Night"/>
    <s v="Augusta"/>
    <n v="1"/>
  </r>
  <r>
    <n v="677"/>
    <s v="UE"/>
    <s v="Order"/>
    <n v="18"/>
    <s v="Wednesday"/>
    <x v="288"/>
    <n v="2"/>
    <n v="40.56"/>
    <d v="1899-12-30T02:08:00"/>
    <n v="2.1333333333333333"/>
    <n v="2.25"/>
    <s v="Dinner"/>
    <s v="Portland"/>
    <n v="4"/>
  </r>
  <r>
    <n v="678"/>
    <s v="DD"/>
    <s v="Order"/>
    <n v="18"/>
    <s v="Wednesday"/>
    <x v="288"/>
    <n v="1"/>
    <n v="11"/>
    <d v="1899-12-30T00:29:00"/>
    <n v="0.48333333333333339"/>
    <n v="0.5"/>
    <s v="Dinner"/>
    <s v="Portland"/>
    <n v="4"/>
  </r>
  <r>
    <n v="679"/>
    <s v="DD"/>
    <s v="Order"/>
    <n v="18"/>
    <s v="Wednesday"/>
    <x v="288"/>
    <n v="3"/>
    <n v="29.25"/>
    <d v="1899-12-30T01:10:00"/>
    <n v="1.1666666666666667"/>
    <n v="1.25"/>
    <s v="Dinner"/>
    <s v="Portland"/>
    <n v="4"/>
  </r>
  <r>
    <n v="680"/>
    <s v="DD"/>
    <s v="Order"/>
    <n v="18"/>
    <s v="Wednesday"/>
    <x v="288"/>
    <n v="6"/>
    <n v="40.25"/>
    <d v="1899-12-30T02:10:00"/>
    <n v="2.1666666666666665"/>
    <n v="2.25"/>
    <s v="Dinner"/>
    <s v="Portland"/>
    <n v="4"/>
  </r>
  <r>
    <n v="681"/>
    <s v="DD"/>
    <s v="Order"/>
    <n v="18"/>
    <s v="Thursday"/>
    <x v="289"/>
    <n v="3"/>
    <n v="25.82"/>
    <d v="1899-12-30T01:53:00"/>
    <n v="1.8833333333333333"/>
    <n v="2"/>
    <s v="Dinner"/>
    <s v="Augusta"/>
    <n v="1"/>
  </r>
  <r>
    <n v="682"/>
    <s v="IC"/>
    <s v="Order"/>
    <n v="18"/>
    <s v="Thursday"/>
    <x v="289"/>
    <n v="1"/>
    <n v="16.63"/>
    <d v="1899-12-30T00:36:00"/>
    <n v="0.6"/>
    <n v="0.5"/>
    <s v="Dinner"/>
    <s v="Augusta"/>
    <n v="1"/>
  </r>
  <r>
    <n v="683"/>
    <s v="UE"/>
    <s v="Order"/>
    <n v="18"/>
    <s v="Friday"/>
    <x v="290"/>
    <n v="2"/>
    <n v="42.84"/>
    <d v="1899-12-30T01:56:00"/>
    <n v="1.9333333333333336"/>
    <n v="2"/>
    <s v="Dinner"/>
    <s v="Brunswick/Bath/Freeport"/>
    <n v="2"/>
  </r>
  <r>
    <n v="684"/>
    <s v="DD"/>
    <s v="Order"/>
    <n v="18"/>
    <s v="Friday"/>
    <x v="290"/>
    <n v="6"/>
    <n v="68.08"/>
    <d v="1899-12-30T02:35:00"/>
    <n v="2.5833333333333335"/>
    <n v="2.5"/>
    <s v="Dinner"/>
    <s v="Brunswick/Bath/Freeport"/>
    <n v="2"/>
  </r>
  <r>
    <n v="685"/>
    <s v="DD"/>
    <s v="Order"/>
    <n v="18"/>
    <s v="Friday"/>
    <x v="290"/>
    <n v="1"/>
    <n v="5.5"/>
    <d v="1899-12-30T01:06:00"/>
    <n v="1.1000000000000001"/>
    <n v="1"/>
    <s v="Late Night"/>
    <s v="Brunswick/Bath/Freeport"/>
    <n v="2"/>
  </r>
  <r>
    <n v="686"/>
    <s v="UE"/>
    <s v="Order"/>
    <n v="18"/>
    <s v="Saturday"/>
    <x v="291"/>
    <n v="2"/>
    <n v="27.67"/>
    <d v="1899-12-30T00:46:00"/>
    <n v="0.76666666666666683"/>
    <n v="0.75"/>
    <s v="Dinner"/>
    <s v="Brunswick/Bath/Freeport"/>
    <n v="2"/>
  </r>
  <r>
    <n v="687"/>
    <s v="DD"/>
    <s v="Order"/>
    <n v="18"/>
    <s v="Saturday"/>
    <x v="291"/>
    <n v="1"/>
    <n v="10"/>
    <d v="1899-12-30T01:25:00"/>
    <n v="1.4166666666666667"/>
    <n v="1.5"/>
    <s v="Dinner"/>
    <s v="Brunswick/Bath/Freeport"/>
    <n v="2"/>
  </r>
  <r>
    <n v="688"/>
    <s v="UE"/>
    <s v="Order"/>
    <n v="18"/>
    <s v="Sunday"/>
    <x v="292"/>
    <n v="1"/>
    <n v="10.029999999999999"/>
    <d v="1899-12-30T01:48:00"/>
    <n v="1.7999999999999998"/>
    <n v="1.75"/>
    <s v="Dinner"/>
    <s v="Augusta"/>
    <n v="1"/>
  </r>
  <r>
    <n v="689"/>
    <s v="DD"/>
    <s v="Order"/>
    <n v="18"/>
    <s v="Sunday"/>
    <x v="292"/>
    <n v="6"/>
    <n v="50.75"/>
    <d v="1899-12-30T03:29:00"/>
    <n v="3.4833333333333334"/>
    <n v="3.5"/>
    <s v="Dinner"/>
    <s v="Augusta"/>
    <n v="1"/>
  </r>
  <r>
    <n v="690"/>
    <s v="DD"/>
    <s v="Order"/>
    <n v="18"/>
    <s v="Sunday"/>
    <x v="292"/>
    <n v="1"/>
    <n v="7"/>
    <d v="1899-12-30T00:40:00"/>
    <n v="0.66666666666666663"/>
    <n v="0.75"/>
    <s v="Late Night"/>
    <s v="Augusta"/>
    <n v="1"/>
  </r>
  <r>
    <n v="691"/>
    <s v="UE"/>
    <s v="Order"/>
    <n v="19"/>
    <s v="Tuesday"/>
    <x v="293"/>
    <n v="1"/>
    <n v="7.07"/>
    <d v="1899-12-30T02:00:00"/>
    <n v="2"/>
    <n v="2"/>
    <s v="Dinner"/>
    <s v="Augusta"/>
    <n v="1"/>
  </r>
  <r>
    <n v="692"/>
    <s v="DD"/>
    <s v="Order"/>
    <n v="19"/>
    <s v="Tuesday"/>
    <x v="293"/>
    <n v="8"/>
    <n v="73.75"/>
    <d v="1899-12-30T05:04:00"/>
    <n v="5.0666666666666664"/>
    <n v="5"/>
    <s v="Dinner"/>
    <s v="Augusta"/>
    <n v="1"/>
  </r>
  <r>
    <n v="693"/>
    <s v="UE"/>
    <s v="Order"/>
    <n v="19"/>
    <s v="Wednesday"/>
    <x v="294"/>
    <n v="6"/>
    <n v="43.45"/>
    <d v="1899-12-30T03:21:00"/>
    <n v="3.35"/>
    <n v="3.25"/>
    <s v="Dinner"/>
    <s v="Portland"/>
    <n v="4"/>
  </r>
  <r>
    <n v="694"/>
    <s v="DD"/>
    <s v="Order"/>
    <n v="19"/>
    <s v="Wednesday"/>
    <x v="294"/>
    <n v="2"/>
    <n v="11.37"/>
    <d v="1899-12-30T01:54:00"/>
    <n v="1.9"/>
    <n v="2"/>
    <s v="Dinner"/>
    <s v="Portland"/>
    <n v="4"/>
  </r>
  <r>
    <n v="695"/>
    <s v="DD"/>
    <s v="Order"/>
    <n v="19"/>
    <s v="Wednesday"/>
    <x v="294"/>
    <n v="8"/>
    <n v="54.5"/>
    <d v="1899-12-30T03:37:00"/>
    <n v="3.6166666666666663"/>
    <n v="3.5"/>
    <s v="Late Night"/>
    <s v="Portland"/>
    <n v="4"/>
  </r>
  <r>
    <n v="696"/>
    <s v="UE"/>
    <s v="Order"/>
    <n v="19"/>
    <s v="Thursday"/>
    <x v="295"/>
    <n v="1"/>
    <n v="10.7"/>
    <d v="1899-12-30T01:47:00"/>
    <n v="1.7833333333333332"/>
    <n v="1.75"/>
    <s v="Dinner"/>
    <s v="Brunswick/Bath/Freeport"/>
    <n v="2"/>
  </r>
  <r>
    <n v="697"/>
    <s v="DD"/>
    <s v="Order"/>
    <n v="19"/>
    <s v="Thursday"/>
    <x v="295"/>
    <n v="7"/>
    <n v="58.59"/>
    <d v="1899-12-30T03:43:00"/>
    <n v="3.7166666666666668"/>
    <n v="3.75"/>
    <s v="Dinner"/>
    <s v="Brunswick/Bath/Freeport"/>
    <n v="2"/>
  </r>
  <r>
    <n v="698"/>
    <s v="UE"/>
    <s v="Order"/>
    <n v="19"/>
    <s v="Friday"/>
    <x v="296"/>
    <n v="8"/>
    <n v="93.94"/>
    <d v="1899-12-30T05:29:00"/>
    <n v="5.4833333333333334"/>
    <n v="5.5"/>
    <s v="Dinner"/>
    <s v="Portland"/>
    <n v="4"/>
  </r>
  <r>
    <n v="699"/>
    <s v="DD"/>
    <s v="Order"/>
    <n v="19"/>
    <s v="Friday"/>
    <x v="296"/>
    <n v="7"/>
    <n v="61"/>
    <d v="1899-12-30T03:39:00"/>
    <n v="3.6499999999999995"/>
    <n v="3.75"/>
    <s v="Late Night"/>
    <s v="Portland"/>
    <n v="4"/>
  </r>
  <r>
    <n v="700"/>
    <s v="UE"/>
    <s v="Order"/>
    <n v="19"/>
    <s v="Sunday"/>
    <x v="297"/>
    <n v="6"/>
    <n v="63.84"/>
    <d v="1899-12-30T03:37:00"/>
    <n v="3.6166666666666663"/>
    <n v="3.5"/>
    <s v="Dinner"/>
    <s v="Portland"/>
    <n v="4"/>
  </r>
  <r>
    <n v="701"/>
    <s v="DD"/>
    <s v="Hourly"/>
    <n v="19"/>
    <s v="Sunday"/>
    <x v="297"/>
    <n v="1"/>
    <n v="10.029999999999999"/>
    <d v="1899-12-30T00:39:00"/>
    <n v="0.65"/>
    <n v="0.75"/>
    <s v="Dinner"/>
    <s v="Portland"/>
    <n v="4"/>
  </r>
  <r>
    <n v="702"/>
    <s v="UE"/>
    <s v="Order"/>
    <n v="20"/>
    <s v="Wednesday"/>
    <x v="298"/>
    <n v="2"/>
    <n v="36.46"/>
    <d v="1899-12-30T03:33:00"/>
    <n v="3.55"/>
    <n v="3.5"/>
    <s v="Dinner"/>
    <s v="Brunswick/Bath/Freeport"/>
    <n v="2"/>
  </r>
  <r>
    <n v="703"/>
    <s v="DD"/>
    <s v="Order"/>
    <n v="20"/>
    <s v="Wednesday"/>
    <x v="298"/>
    <n v="4"/>
    <n v="43.5"/>
    <d v="1899-12-30T02:24:00"/>
    <n v="2.4"/>
    <n v="2.5"/>
    <s v="Dinner"/>
    <s v="Brunswick/Bath/Freeport"/>
    <n v="2"/>
  </r>
  <r>
    <n v="704"/>
    <s v="DD"/>
    <s v="Order"/>
    <n v="20"/>
    <s v="Friday"/>
    <x v="299"/>
    <n v="5"/>
    <n v="47.5"/>
    <d v="1899-12-30T02:37:00"/>
    <n v="2.6166666666666667"/>
    <n v="2.5"/>
    <s v="Dinner"/>
    <s v="Brunswick/Bath/Freeport"/>
    <n v="2"/>
  </r>
  <r>
    <n v="705"/>
    <s v="DD"/>
    <s v="Hourly"/>
    <n v="20"/>
    <s v="Friday"/>
    <x v="299"/>
    <n v="2"/>
    <n v="19.93"/>
    <d v="1899-12-30T01:23:00"/>
    <n v="1.3833333333333333"/>
    <n v="1.5"/>
    <s v="Dinner"/>
    <s v="Brunswick/Bath/Freeport"/>
    <n v="2"/>
  </r>
  <r>
    <n v="706"/>
    <s v="DD"/>
    <s v="Hourly"/>
    <n v="20"/>
    <s v="Friday"/>
    <x v="299"/>
    <n v="6"/>
    <n v="60.370000000000005"/>
    <d v="1899-12-30T02:24:00"/>
    <n v="2.4"/>
    <n v="2.5"/>
    <s v="Late Night"/>
    <s v="Brunswick/Bath/Freeport"/>
    <n v="2"/>
  </r>
  <r>
    <n v="707"/>
    <s v="UE"/>
    <s v="Order"/>
    <n v="21"/>
    <s v="Thursday"/>
    <x v="300"/>
    <n v="5"/>
    <n v="47.07"/>
    <d v="1899-12-30T03:22:00"/>
    <n v="3.3666666666666667"/>
    <n v="3.25"/>
    <s v="Dinner"/>
    <s v="Portland"/>
    <n v="4"/>
  </r>
  <r>
    <n v="708"/>
    <s v="DD"/>
    <s v="Hourly"/>
    <n v="21"/>
    <s v="Thursday"/>
    <x v="300"/>
    <n v="1"/>
    <n v="5.5"/>
    <d v="1899-12-30T02:26:00"/>
    <n v="2.4333333333333336"/>
    <n v="2.5"/>
    <s v="Dinner"/>
    <s v="Portland"/>
    <n v="4"/>
  </r>
  <r>
    <n v="709"/>
    <s v="DD"/>
    <s v="Hourly"/>
    <n v="21"/>
    <s v="Thursday"/>
    <x v="300"/>
    <n v="1"/>
    <n v="6.7"/>
    <d v="1899-12-30T00:16:00"/>
    <n v="0.26666666666666666"/>
    <n v="0.25"/>
    <s v="Late Night"/>
    <s v="Portland"/>
    <n v="4"/>
  </r>
  <r>
    <n v="710"/>
    <s v="UE"/>
    <s v="Order"/>
    <n v="21"/>
    <s v="Sunday"/>
    <x v="301"/>
    <n v="3"/>
    <n v="19.8"/>
    <d v="1899-12-30T02:15:00"/>
    <n v="2.25"/>
    <n v="2.25"/>
    <s v="Dinner"/>
    <s v="Portland"/>
    <n v="4"/>
  </r>
  <r>
    <n v="711"/>
    <s v="UE"/>
    <s v="Order"/>
    <n v="22"/>
    <s v="Monday"/>
    <x v="302"/>
    <n v="3"/>
    <n v="28.11"/>
    <d v="1899-12-30T02:47:00"/>
    <n v="2.7833333333333332"/>
    <n v="2.75"/>
    <s v="Dinner"/>
    <s v="Augusta"/>
    <n v="1"/>
  </r>
  <r>
    <n v="712"/>
    <s v="DD"/>
    <s v="Order"/>
    <n v="22"/>
    <s v="Monday"/>
    <x v="302"/>
    <n v="4"/>
    <n v="44.25"/>
    <d v="1899-12-30T02:16:00"/>
    <n v="2.2666666666666666"/>
    <n v="2.25"/>
    <s v="Dinner"/>
    <s v="Augusta"/>
    <n v="1"/>
  </r>
  <r>
    <n v="713"/>
    <s v="DD"/>
    <s v="Order"/>
    <n v="22"/>
    <s v="Monday"/>
    <x v="302"/>
    <n v="1"/>
    <n v="18"/>
    <d v="1899-12-30T01:00:00"/>
    <n v="1"/>
    <n v="1"/>
    <s v="Late Night"/>
    <s v="Augusta"/>
    <n v="1"/>
  </r>
  <r>
    <n v="714"/>
    <s v="UE"/>
    <s v="Order"/>
    <n v="22"/>
    <s v="Wednesday"/>
    <x v="303"/>
    <n v="1"/>
    <n v="12.76"/>
    <d v="1899-12-30T01:48:00"/>
    <n v="1.7999999999999998"/>
    <n v="1.75"/>
    <s v="Dinner"/>
    <s v="Portland"/>
    <n v="4"/>
  </r>
  <r>
    <n v="715"/>
    <s v="DD"/>
    <s v="Order"/>
    <n v="22"/>
    <s v="Wednesday"/>
    <x v="303"/>
    <n v="5"/>
    <n v="37.25"/>
    <d v="1899-12-30T01:46:00"/>
    <n v="1.7666666666666666"/>
    <n v="1.75"/>
    <s v="Dinner"/>
    <s v="Portland"/>
    <n v="4"/>
  </r>
  <r>
    <n v="716"/>
    <s v="DD"/>
    <s v="Order"/>
    <n v="22"/>
    <s v="Wednesday"/>
    <x v="303"/>
    <n v="5"/>
    <n v="50.25"/>
    <d v="1899-12-30T02:00:00"/>
    <n v="2"/>
    <n v="2"/>
    <s v="Late Night"/>
    <s v="Portland"/>
    <n v="4"/>
  </r>
  <r>
    <n v="717"/>
    <s v="UE"/>
    <s v="Order"/>
    <n v="22"/>
    <s v="Friday"/>
    <x v="304"/>
    <n v="3"/>
    <n v="60.95"/>
    <d v="1899-12-30T03:28:00"/>
    <n v="3.4666666666666668"/>
    <n v="3.5"/>
    <s v="Lunch"/>
    <s v="Brunswick/Bath/Freeport"/>
    <n v="2"/>
  </r>
  <r>
    <n v="718"/>
    <s v="DD"/>
    <s v="Hourly"/>
    <n v="22"/>
    <s v="Friday"/>
    <x v="304"/>
    <n v="4"/>
    <n v="37.53"/>
    <d v="1899-12-30T02:03:00"/>
    <n v="2.0499999999999998"/>
    <n v="2"/>
    <s v="Lunch"/>
    <s v="Brunswick/Bath/Freeport"/>
    <n v="2"/>
  </r>
  <r>
    <n v="719"/>
    <s v="DD"/>
    <s v="Hourly"/>
    <n v="22"/>
    <s v="Friday"/>
    <x v="304"/>
    <n v="8"/>
    <n v="84.17"/>
    <d v="1899-12-30T04:10:00"/>
    <n v="4.166666666666667"/>
    <n v="4.25"/>
    <s v="Dinner"/>
    <s v="Brunswick/Bath/Freeport"/>
    <n v="2"/>
  </r>
  <r>
    <n v="720"/>
    <s v="UE"/>
    <s v="Order"/>
    <n v="23"/>
    <s v="Wednesday"/>
    <x v="305"/>
    <n v="5"/>
    <n v="52.38"/>
    <d v="1899-12-30T03:58:00"/>
    <n v="3.9666666666666668"/>
    <n v="4"/>
    <s v="Dinner"/>
    <s v="Portland"/>
    <n v="4"/>
  </r>
  <r>
    <n v="721"/>
    <s v="DD"/>
    <s v="Order"/>
    <n v="23"/>
    <s v="Thursday"/>
    <x v="306"/>
    <n v="13"/>
    <n v="108"/>
    <d v="1899-12-30T05:02:00"/>
    <n v="5.0333333333333332"/>
    <n v="5"/>
    <s v="Dinner"/>
    <s v="Brunswick/Bath/Freeport"/>
    <n v="2"/>
  </r>
  <r>
    <n v="722"/>
    <s v="UE"/>
    <s v="Order"/>
    <n v="23"/>
    <s v="Friday"/>
    <x v="307"/>
    <n v="3"/>
    <n v="50.08"/>
    <d v="1899-12-30T02:56:00"/>
    <n v="2.9333333333333336"/>
    <n v="3"/>
    <s v="Dinner"/>
    <s v="Brunswick/Bath/Freeport"/>
    <n v="2"/>
  </r>
  <r>
    <n v="723"/>
    <s v="DD"/>
    <s v="Order"/>
    <n v="23"/>
    <s v="Friday"/>
    <x v="307"/>
    <n v="6"/>
    <n v="63.5"/>
    <d v="1899-12-30T04:56:00"/>
    <n v="4.9333333333333336"/>
    <n v="5"/>
    <s v="Dinner"/>
    <s v="Brunswick/Bath/Freeport"/>
    <n v="2"/>
  </r>
  <r>
    <n v="724"/>
    <s v="UE"/>
    <s v="Order"/>
    <n v="24"/>
    <s v="Friday"/>
    <x v="308"/>
    <n v="4"/>
    <n v="40.590000000000003"/>
    <d v="1899-12-30T03:01:00"/>
    <n v="3.0166666666666666"/>
    <n v="3"/>
    <s v="Dinner"/>
    <s v="Brunswick/Bath/Freeport"/>
    <n v="2"/>
  </r>
  <r>
    <n v="725"/>
    <s v="DD"/>
    <s v="Hourly"/>
    <n v="24"/>
    <s v="Friday"/>
    <x v="308"/>
    <n v="3"/>
    <n v="26.63"/>
    <d v="1899-12-30T01:41:00"/>
    <n v="1.6833333333333333"/>
    <n v="1.75"/>
    <s v="Dinner"/>
    <s v="Brunswick/Bath/Freeport"/>
    <n v="2"/>
  </r>
  <r>
    <n v="726"/>
    <s v="DD"/>
    <s v="Hourly"/>
    <n v="24"/>
    <s v="Friday"/>
    <x v="308"/>
    <n v="3"/>
    <n v="45.66"/>
    <d v="1899-12-30T02:29:00"/>
    <n v="2.4833333333333334"/>
    <n v="2.5"/>
    <s v="Dinner"/>
    <s v="Brunswick/Bath/Freeport"/>
    <n v="2"/>
  </r>
  <r>
    <n v="727"/>
    <s v="UE"/>
    <s v="Order"/>
    <n v="24"/>
    <s v="Saturday"/>
    <x v="309"/>
    <n v="6"/>
    <n v="59.05"/>
    <d v="1899-12-30T02:18:00"/>
    <n v="2.2999999999999998"/>
    <n v="2.25"/>
    <s v="Dinner"/>
    <s v="Brunswick/Bath/Freeport"/>
    <n v="2"/>
  </r>
  <r>
    <n v="728"/>
    <s v="DD"/>
    <s v="Order"/>
    <n v="24"/>
    <s v="Saturday"/>
    <x v="309"/>
    <n v="6"/>
    <n v="44.5"/>
    <d v="1899-12-30T01:33:00"/>
    <n v="1.5500000000000003"/>
    <n v="1.5"/>
    <s v="Dinner"/>
    <s v="Brunswick/Bath/Freeport"/>
    <n v="2"/>
  </r>
  <r>
    <n v="729"/>
    <s v="DD"/>
    <s v="Order"/>
    <n v="24"/>
    <s v="Saturday"/>
    <x v="309"/>
    <n v="2"/>
    <n v="15.25"/>
    <d v="1899-12-30T00:39:00"/>
    <n v="0.65"/>
    <n v="0.75"/>
    <s v="Dinner"/>
    <s v="Brunswick/Bath/Freeport"/>
    <n v="2"/>
  </r>
  <r>
    <n v="730"/>
    <s v="UE"/>
    <s v="Order"/>
    <n v="26"/>
    <s v="Tuesday"/>
    <x v="310"/>
    <n v="1"/>
    <n v="14.77"/>
    <d v="1899-12-30T01:42:00"/>
    <n v="1.7"/>
    <n v="1.75"/>
    <s v="Dinner"/>
    <s v="Augusta"/>
    <n v="1"/>
  </r>
  <r>
    <n v="731"/>
    <s v="DD"/>
    <s v="Order"/>
    <n v="26"/>
    <s v="Tuesday"/>
    <x v="310"/>
    <n v="4"/>
    <n v="47.05"/>
    <d v="1899-12-30T02:26:00"/>
    <n v="2.4333333333333336"/>
    <n v="2.5"/>
    <s v="Dinner"/>
    <s v="Augusta"/>
    <n v="1"/>
  </r>
  <r>
    <n v="732"/>
    <s v="DD"/>
    <s v="Order"/>
    <n v="26"/>
    <s v="Tuesday"/>
    <x v="310"/>
    <n v="2"/>
    <n v="23.75"/>
    <d v="1899-12-30T01:17:00"/>
    <n v="1.2833333333333332"/>
    <n v="1.25"/>
    <s v="Dinner"/>
    <s v="Augusta"/>
    <n v="1"/>
  </r>
  <r>
    <n v="733"/>
    <s v="DD"/>
    <s v="Order"/>
    <n v="26"/>
    <s v="Tuesday"/>
    <x v="310"/>
    <n v="3"/>
    <n v="19.75"/>
    <d v="1899-12-30T00:51:00"/>
    <n v="0.85"/>
    <n v="0.75"/>
    <s v="Late Night"/>
    <s v="Augusta"/>
    <n v="1"/>
  </r>
  <r>
    <n v="734"/>
    <s v="UE"/>
    <s v="Order"/>
    <n v="26"/>
    <s v="Wednesday"/>
    <x v="311"/>
    <n v="6"/>
    <n v="54.19"/>
    <d v="1899-12-30T03:43:00"/>
    <n v="3.7166666666666668"/>
    <n v="3.75"/>
    <s v="Dinner"/>
    <s v="Portland"/>
    <n v="4"/>
  </r>
  <r>
    <n v="735"/>
    <s v="DD"/>
    <s v="Hourly"/>
    <n v="26"/>
    <s v="Wednesday"/>
    <x v="311"/>
    <n v="1"/>
    <n v="6.99"/>
    <d v="1899-12-30T00:54:00"/>
    <n v="0.89999999999999991"/>
    <n v="1"/>
    <s v="Dinner"/>
    <s v="Portland"/>
    <n v="4"/>
  </r>
  <r>
    <n v="736"/>
    <s v="UE"/>
    <s v="Order"/>
    <n v="26"/>
    <s v="Friday"/>
    <x v="312"/>
    <n v="2"/>
    <n v="53.06"/>
    <d v="1899-12-30T02:27:00"/>
    <n v="2.4500000000000002"/>
    <n v="2.5"/>
    <s v="Dinner"/>
    <s v="Augusta"/>
    <n v="1"/>
  </r>
  <r>
    <n v="737"/>
    <s v="DD"/>
    <s v="Order"/>
    <n v="26"/>
    <s v="Friday"/>
    <x v="312"/>
    <n v="4"/>
    <n v="41.5"/>
    <d v="1899-12-30T03:31:00"/>
    <n v="3.5166666666666666"/>
    <n v="3.5"/>
    <s v="Dinner"/>
    <s v="Augusta"/>
    <n v="1"/>
  </r>
  <r>
    <n v="738"/>
    <s v="DD"/>
    <s v="Order"/>
    <n v="26"/>
    <s v="Friday"/>
    <x v="312"/>
    <n v="2"/>
    <n v="14.9"/>
    <d v="1899-12-30T01:38:00"/>
    <n v="1.6333333333333333"/>
    <n v="1.75"/>
    <s v="Late Night"/>
    <s v="Augusta"/>
    <n v="1"/>
  </r>
  <r>
    <n v="739"/>
    <s v="UE"/>
    <s v="Order"/>
    <n v="28"/>
    <s v="Wednesday"/>
    <x v="313"/>
    <n v="7"/>
    <n v="80.33"/>
    <d v="1899-12-30T04:21:00"/>
    <n v="4.3499999999999996"/>
    <n v="4.25"/>
    <s v="Dinner"/>
    <s v="Portland"/>
    <n v="4"/>
  </r>
  <r>
    <n v="740"/>
    <s v="DD"/>
    <s v="Hourly"/>
    <n v="28"/>
    <s v="Wednesday"/>
    <x v="313"/>
    <n v="1"/>
    <n v="7.78"/>
    <d v="1899-12-30T00:25:00"/>
    <n v="0.41666666666666669"/>
    <n v="0.5"/>
    <s v="Dinner"/>
    <s v="Portland"/>
    <n v="4"/>
  </r>
  <r>
    <n v="741"/>
    <s v="DD"/>
    <s v="Hourly"/>
    <n v="28"/>
    <s v="Wednesday"/>
    <x v="313"/>
    <n v="5"/>
    <n v="32.43"/>
    <d v="1899-12-30T01:17:00"/>
    <n v="1.2833333333333332"/>
    <n v="1.25"/>
    <s v="Late Night"/>
    <s v="Portland"/>
    <n v="4"/>
  </r>
  <r>
    <n v="742"/>
    <s v="UE"/>
    <s v="Order"/>
    <n v="28"/>
    <s v="Friday"/>
    <x v="314"/>
    <n v="6"/>
    <n v="119.08"/>
    <d v="1899-12-30T05:49:00"/>
    <n v="5.8166666666666664"/>
    <n v="5.75"/>
    <s v="Dinner"/>
    <s v="Portland"/>
    <n v="4"/>
  </r>
  <r>
    <n v="743"/>
    <s v="DD"/>
    <s v="Hourly"/>
    <n v="28"/>
    <s v="Friday"/>
    <x v="314"/>
    <n v="5"/>
    <n v="56.05"/>
    <d v="1899-12-30T02:32:00"/>
    <n v="2.5333333333333332"/>
    <n v="2.5"/>
    <s v="Late Night"/>
    <s v="Portland"/>
    <n v="4"/>
  </r>
  <r>
    <n v="744"/>
    <s v="UE"/>
    <s v="Order"/>
    <n v="28"/>
    <s v="Saturday"/>
    <x v="315"/>
    <n v="1"/>
    <n v="22"/>
    <d v="1899-12-30T02:22:00"/>
    <n v="2.3666666666666667"/>
    <n v="2.25"/>
    <s v="Dinner"/>
    <s v="Augusta"/>
    <n v="1"/>
  </r>
  <r>
    <n v="745"/>
    <s v="DD"/>
    <s v="Order"/>
    <n v="28"/>
    <s v="Saturday"/>
    <x v="315"/>
    <n v="7"/>
    <n v="41.76"/>
    <d v="1899-12-30T03:19:00"/>
    <n v="3.3166666666666664"/>
    <n v="3.25"/>
    <s v="Dinner"/>
    <s v="Augusta"/>
    <n v="1"/>
  </r>
  <r>
    <n v="746"/>
    <s v="DD"/>
    <s v="Hourly"/>
    <n v="28"/>
    <s v="Saturday"/>
    <x v="315"/>
    <n v="4"/>
    <n v="33.47"/>
    <d v="1899-12-30T02:05:00"/>
    <n v="2.0833333333333335"/>
    <n v="2"/>
    <s v="Late Night"/>
    <s v="Augusta"/>
    <n v="1"/>
  </r>
  <r>
    <n v="747"/>
    <s v="UE"/>
    <s v="Order"/>
    <n v="28"/>
    <s v="Sunday"/>
    <x v="316"/>
    <n v="1"/>
    <n v="5.05"/>
    <d v="1899-12-30T01:51:00"/>
    <n v="1.85"/>
    <n v="1.75"/>
    <s v="Dinner"/>
    <s v="Lewiston"/>
    <n v="3"/>
  </r>
  <r>
    <n v="748"/>
    <s v="DD"/>
    <s v="Order"/>
    <n v="28"/>
    <s v="Sunday"/>
    <x v="316"/>
    <n v="8"/>
    <n v="66.14"/>
    <d v="1899-12-30T03:24:00"/>
    <n v="3.4"/>
    <n v="3.5"/>
    <s v="Dinner"/>
    <s v="Lewiston"/>
    <n v="3"/>
  </r>
  <r>
    <n v="749"/>
    <s v="DD"/>
    <s v="Order"/>
    <n v="28"/>
    <s v="Sunday"/>
    <x v="316"/>
    <n v="1"/>
    <n v="5"/>
    <d v="1899-12-30T00:25:00"/>
    <n v="0.41666666666666669"/>
    <n v="0.5"/>
    <s v="Dinner"/>
    <s v="Lewiston"/>
    <n v="3"/>
  </r>
  <r>
    <n v="750"/>
    <s v="DD"/>
    <s v="Hourly"/>
    <n v="28"/>
    <s v="Sunday"/>
    <x v="316"/>
    <n v="1"/>
    <n v="10.68"/>
    <d v="1899-12-30T00:47:00"/>
    <n v="0.78333333333333344"/>
    <n v="0.75"/>
    <s v="Late Night"/>
    <s v="Lewiston"/>
    <n v="3"/>
  </r>
  <r>
    <n v="751"/>
    <s v="UE"/>
    <s v="Order"/>
    <n v="29"/>
    <s v="Tuesday"/>
    <x v="317"/>
    <n v="5"/>
    <n v="59.93"/>
    <d v="1899-12-30T04:13:00"/>
    <n v="4.2166666666666668"/>
    <n v="4.25"/>
    <s v="Dinner"/>
    <s v="Portland"/>
    <n v="4"/>
  </r>
  <r>
    <n v="752"/>
    <s v="DD"/>
    <s v="Order"/>
    <n v="29"/>
    <s v="Tuesday"/>
    <x v="317"/>
    <n v="4"/>
    <n v="23.5"/>
    <d v="1899-12-30T01:39:00"/>
    <n v="1.65"/>
    <n v="1.75"/>
    <s v="Dinner"/>
    <s v="Portland"/>
    <n v="4"/>
  </r>
  <r>
    <n v="753"/>
    <s v="DD"/>
    <s v="Order"/>
    <n v="29"/>
    <s v="Tuesday"/>
    <x v="317"/>
    <n v="3"/>
    <n v="29.5"/>
    <d v="1899-12-30T01:34:00"/>
    <n v="1.5666666666666669"/>
    <n v="1.5"/>
    <s v="Late Night"/>
    <s v="Portland"/>
    <n v="4"/>
  </r>
  <r>
    <n v="754"/>
    <s v="UE"/>
    <s v="Order"/>
    <n v="29"/>
    <s v="Wednesday"/>
    <x v="318"/>
    <n v="2"/>
    <n v="18.170000000000002"/>
    <d v="1899-12-30T02:27:00"/>
    <n v="2.4500000000000002"/>
    <n v="2.5"/>
    <s v="Dinner"/>
    <s v="Portland"/>
    <n v="4"/>
  </r>
  <r>
    <n v="755"/>
    <s v="DD"/>
    <s v="Hourly"/>
    <n v="29"/>
    <s v="Wednesday"/>
    <x v="318"/>
    <n v="6"/>
    <n v="50.81"/>
    <d v="1899-12-30T02:26:00"/>
    <n v="2.4333333333333336"/>
    <n v="2.5"/>
    <s v="Dinner"/>
    <s v="Portland"/>
    <n v="4"/>
  </r>
  <r>
    <n v="756"/>
    <s v="DD"/>
    <s v="Order"/>
    <n v="29"/>
    <s v="Wednesday"/>
    <x v="318"/>
    <n v="4"/>
    <n v="35"/>
    <d v="1899-12-30T02:20:00"/>
    <n v="2.3333333333333335"/>
    <n v="2.25"/>
    <s v="Dinner"/>
    <s v="Portland"/>
    <n v="4"/>
  </r>
  <r>
    <n v="757"/>
    <s v="DD"/>
    <s v="Order"/>
    <n v="29"/>
    <s v="Thursday"/>
    <x v="319"/>
    <n v="8"/>
    <n v="64.75"/>
    <d v="1899-12-30T04:46:00"/>
    <n v="4.7666666666666666"/>
    <n v="4.75"/>
    <s v="Dinner"/>
    <s v="Augusta"/>
    <n v="1"/>
  </r>
  <r>
    <n v="758"/>
    <s v="UE"/>
    <s v="Order"/>
    <n v="29"/>
    <s v="Friday"/>
    <x v="320"/>
    <n v="11"/>
    <n v="84.96"/>
    <d v="1899-12-30T05:23:00"/>
    <n v="5.3833333333333337"/>
    <n v="5.5"/>
    <s v="Dinner"/>
    <s v="Portland"/>
    <n v="4"/>
  </r>
  <r>
    <n v="759"/>
    <s v="DD"/>
    <s v="Hourly"/>
    <n v="29"/>
    <s v="Friday"/>
    <x v="320"/>
    <n v="1"/>
    <n v="17.39"/>
    <d v="1899-12-30T00:53:00"/>
    <n v="0.8833333333333333"/>
    <n v="1"/>
    <s v="Dinner"/>
    <s v="Portland"/>
    <n v="4"/>
  </r>
  <r>
    <n v="760"/>
    <s v="DD"/>
    <s v="Hourly"/>
    <n v="29"/>
    <s v="Friday"/>
    <x v="320"/>
    <n v="1"/>
    <n v="11.48"/>
    <d v="1899-12-30T00:51:00"/>
    <n v="0.85"/>
    <n v="0.75"/>
    <s v="Late Night"/>
    <s v="Portland"/>
    <n v="4"/>
  </r>
  <r>
    <n v="761"/>
    <s v="UE"/>
    <s v="Order"/>
    <n v="29"/>
    <s v="Saturday"/>
    <x v="321"/>
    <n v="1"/>
    <n v="7.54"/>
    <d v="1899-12-30T02:07:00"/>
    <n v="2.1166666666666667"/>
    <n v="2"/>
    <s v="Lunch"/>
    <s v="Lewiston"/>
    <n v="3"/>
  </r>
  <r>
    <n v="762"/>
    <s v="DD"/>
    <s v="Order"/>
    <n v="29"/>
    <s v="Saturday"/>
    <x v="321"/>
    <n v="15"/>
    <n v="116.25"/>
    <d v="1899-12-30T05:46:00"/>
    <n v="5.7666666666666666"/>
    <n v="5.75"/>
    <s v="Dinner"/>
    <s v="Lewiston"/>
    <n v="3"/>
  </r>
  <r>
    <n v="763"/>
    <s v="UE"/>
    <s v="Order"/>
    <n v="29"/>
    <s v="Sunday"/>
    <x v="322"/>
    <n v="1"/>
    <n v="17.88"/>
    <d v="1899-12-30T01:18:00"/>
    <n v="1.3"/>
    <n v="1.25"/>
    <s v="Dinner"/>
    <s v="Brunswick/Bath/Freeport"/>
    <n v="2"/>
  </r>
  <r>
    <n v="764"/>
    <s v="DD"/>
    <s v="Order"/>
    <n v="29"/>
    <s v="Sunday"/>
    <x v="322"/>
    <n v="2"/>
    <n v="20.75"/>
    <d v="1899-12-30T00:57:00"/>
    <n v="0.95"/>
    <n v="1"/>
    <s v="Dinner"/>
    <s v="Brunswick/Bath/Freeport"/>
    <n v="2"/>
  </r>
  <r>
    <n v="765"/>
    <s v="DD"/>
    <s v="Order"/>
    <n v="29"/>
    <s v="Sunday"/>
    <x v="322"/>
    <n v="2"/>
    <n v="20"/>
    <d v="1899-12-30T01:21:00"/>
    <n v="1.35"/>
    <n v="1.25"/>
    <s v="Dinner"/>
    <s v="Brunswick/Bath/Freeport"/>
    <n v="2"/>
  </r>
  <r>
    <n v="766"/>
    <s v="UE"/>
    <s v="Order"/>
    <n v="30"/>
    <s v="Monday"/>
    <x v="323"/>
    <n v="11"/>
    <n v="138.4"/>
    <d v="1899-12-30T06:10:00"/>
    <n v="6.1666666666666679"/>
    <n v="6.25"/>
    <s v="Dinner"/>
    <s v="Portland"/>
    <n v="4"/>
  </r>
  <r>
    <n v="767"/>
    <s v="DD"/>
    <s v="Order"/>
    <n v="30"/>
    <s v="Monday"/>
    <x v="323"/>
    <n v="1"/>
    <n v="9.5"/>
    <d v="1899-12-30T00:45:00"/>
    <n v="0.75"/>
    <n v="0.75"/>
    <s v="Late Night"/>
    <s v="Portland"/>
    <n v="4"/>
  </r>
  <r>
    <n v="768"/>
    <s v="DD"/>
    <s v="Order"/>
    <n v="30"/>
    <s v="Monday"/>
    <x v="323"/>
    <n v="2"/>
    <n v="15.5"/>
    <d v="1899-12-30T00:42:00"/>
    <n v="0.7"/>
    <n v="0.75"/>
    <s v="Late Night"/>
    <s v="Portland"/>
    <n v="4"/>
  </r>
  <r>
    <n v="769"/>
    <s v="UE"/>
    <s v="Order"/>
    <n v="30"/>
    <s v="Tuesday"/>
    <x v="324"/>
    <n v="6"/>
    <n v="77.290000000000006"/>
    <d v="1899-12-30T04:10:00"/>
    <n v="4.166666666666667"/>
    <n v="4.25"/>
    <s v="Dinner"/>
    <s v="Portland"/>
    <n v="4"/>
  </r>
  <r>
    <n v="770"/>
    <s v="DD"/>
    <s v="Order"/>
    <n v="30"/>
    <s v="Tuesday"/>
    <x v="324"/>
    <n v="2"/>
    <n v="28"/>
    <d v="1899-12-30T02:43:00"/>
    <n v="2.7166666666666668"/>
    <n v="2.75"/>
    <s v="Dinner"/>
    <s v="Portland"/>
    <n v="4"/>
  </r>
  <r>
    <n v="771"/>
    <s v="DD"/>
    <s v="Order"/>
    <n v="30"/>
    <s v="Tuesday"/>
    <x v="324"/>
    <n v="1"/>
    <n v="10.5"/>
    <d v="1899-12-30T00:31:00"/>
    <n v="0.51666666666666672"/>
    <n v="0.5"/>
    <s v="Late Night"/>
    <s v="Portland"/>
    <n v="4"/>
  </r>
  <r>
    <n v="772"/>
    <s v="UE"/>
    <s v="Order"/>
    <n v="30"/>
    <s v="Saturday"/>
    <x v="325"/>
    <n v="3"/>
    <n v="46.56"/>
    <d v="1899-12-30T04:03:00"/>
    <n v="4.05"/>
    <n v="4"/>
    <s v="Dinner"/>
    <s v="Lewiston"/>
    <n v="3"/>
  </r>
  <r>
    <n v="773"/>
    <s v="DD"/>
    <s v="Order"/>
    <n v="30"/>
    <s v="Saturday"/>
    <x v="325"/>
    <n v="4"/>
    <n v="38.68"/>
    <d v="1899-12-30T02:18:00"/>
    <n v="2.2999999999999998"/>
    <n v="2.25"/>
    <s v="Dinner"/>
    <s v="Lewiston"/>
    <n v="3"/>
  </r>
  <r>
    <n v="774"/>
    <s v="DD"/>
    <s v="Order"/>
    <n v="30"/>
    <s v="Saturday"/>
    <x v="325"/>
    <n v="5"/>
    <n v="52.51"/>
    <d v="1899-12-30T01:50:00"/>
    <n v="1.8333333333333335"/>
    <n v="1.75"/>
    <s v="Dinner"/>
    <s v="Lewiston"/>
    <n v="3"/>
  </r>
  <r>
    <n v="775"/>
    <s v="DD"/>
    <s v="Order"/>
    <n v="30"/>
    <s v="Saturday"/>
    <x v="325"/>
    <n v="6"/>
    <n v="50.5"/>
    <d v="1899-12-30T02:22:00"/>
    <n v="2.3666666666666667"/>
    <n v="2.25"/>
    <s v="Dinner"/>
    <s v="Lewiston"/>
    <n v="3"/>
  </r>
  <r>
    <n v="776"/>
    <s v="DD"/>
    <s v="Order"/>
    <n v="30"/>
    <s v="Saturday"/>
    <x v="325"/>
    <n v="1"/>
    <n v="5.5"/>
    <d v="1899-12-30T00:54:00"/>
    <n v="0.89999999999999991"/>
    <n v="1"/>
    <s v="Late Night"/>
    <s v="Lewiston"/>
    <n v="3"/>
  </r>
  <r>
    <n v="777"/>
    <s v="UE"/>
    <s v="Order"/>
    <n v="31"/>
    <s v="Monday"/>
    <x v="326"/>
    <n v="5"/>
    <n v="42.69"/>
    <d v="1899-12-30T02:55:00"/>
    <n v="2.9166666666666665"/>
    <n v="3"/>
    <s v="Dinner"/>
    <s v="Portland"/>
    <n v="4"/>
  </r>
  <r>
    <n v="778"/>
    <s v="DD"/>
    <s v="Order"/>
    <n v="31"/>
    <s v="Monday"/>
    <x v="326"/>
    <n v="1"/>
    <n v="8"/>
    <d v="1899-12-30T00:38:00"/>
    <n v="0.6333333333333333"/>
    <n v="0.75"/>
    <s v="Dinner"/>
    <s v="Portland"/>
    <n v="4"/>
  </r>
  <r>
    <n v="779"/>
    <s v="UE"/>
    <s v="Order"/>
    <n v="31"/>
    <s v="Saturday"/>
    <x v="327"/>
    <n v="12"/>
    <n v="132.94"/>
    <d v="1899-12-30T06:10:00"/>
    <n v="6.1666666666666679"/>
    <n v="6.25"/>
    <s v="Dinner"/>
    <s v="Lewiston"/>
    <n v="3"/>
  </r>
  <r>
    <n v="780"/>
    <s v="DD"/>
    <s v="Order"/>
    <n v="31"/>
    <s v="Saturday"/>
    <x v="327"/>
    <n v="1"/>
    <n v="8"/>
    <d v="1899-12-30T00:17:00"/>
    <n v="0.28333333333333333"/>
    <n v="0.25"/>
    <s v="Dinner"/>
    <s v="Lewiston"/>
    <n v="3"/>
  </r>
  <r>
    <n v="781"/>
    <s v="DD"/>
    <s v="Order"/>
    <n v="31"/>
    <s v="Saturday"/>
    <x v="327"/>
    <n v="3"/>
    <n v="35.64"/>
    <d v="1899-12-30T02:16:00"/>
    <n v="2.2666666666666666"/>
    <n v="2.25"/>
    <s v="Dinner"/>
    <s v="Lewiston"/>
    <n v="3"/>
  </r>
  <r>
    <n v="782"/>
    <s v="DD"/>
    <s v="Order"/>
    <n v="31"/>
    <s v="Saturday"/>
    <x v="327"/>
    <n v="3"/>
    <n v="21.5"/>
    <d v="1899-12-30T01:29:00"/>
    <n v="1.4833333333333334"/>
    <n v="1.5"/>
    <s v="Dinner"/>
    <s v="Lewiston"/>
    <n v="3"/>
  </r>
  <r>
    <n v="783"/>
    <s v="UE"/>
    <s v="Order"/>
    <n v="32"/>
    <s v="Monday"/>
    <x v="328"/>
    <n v="6"/>
    <n v="71.400000000000006"/>
    <d v="1899-12-30T04:29:00"/>
    <n v="4.4833333333333334"/>
    <n v="4.5"/>
    <s v="Dinner"/>
    <s v="Portland"/>
    <n v="4"/>
  </r>
  <r>
    <n v="784"/>
    <s v="DD"/>
    <s v="Order"/>
    <n v="32"/>
    <s v="Monday"/>
    <x v="328"/>
    <n v="2"/>
    <n v="23"/>
    <d v="1899-12-30T00:36:00"/>
    <n v="0.6"/>
    <n v="0.5"/>
    <s v="Dinner"/>
    <s v="Portland"/>
    <n v="4"/>
  </r>
  <r>
    <n v="785"/>
    <s v="DD"/>
    <s v="Order"/>
    <n v="32"/>
    <s v="Monday"/>
    <x v="328"/>
    <n v="1"/>
    <n v="10.5"/>
    <d v="1899-12-30T00:42:00"/>
    <n v="0.7"/>
    <n v="0.75"/>
    <s v="Late Night"/>
    <s v="Portland"/>
    <n v="4"/>
  </r>
  <r>
    <n v="786"/>
    <s v="UE"/>
    <s v="Order"/>
    <n v="32"/>
    <s v="Wednesday"/>
    <x v="329"/>
    <n v="4"/>
    <n v="35.69"/>
    <d v="1899-12-30T03:30:00"/>
    <n v="3.5"/>
    <n v="3.5"/>
    <s v="Dinner"/>
    <s v="Augusta"/>
    <n v="1"/>
  </r>
  <r>
    <n v="787"/>
    <s v="DD"/>
    <s v="Order"/>
    <n v="32"/>
    <s v="Wednesday"/>
    <x v="329"/>
    <n v="2"/>
    <n v="12.75"/>
    <d v="1899-12-30T01:38:00"/>
    <n v="1.6333333333333333"/>
    <n v="1.75"/>
    <s v="Dinner"/>
    <s v="Augusta"/>
    <n v="1"/>
  </r>
  <r>
    <n v="788"/>
    <s v="DD"/>
    <s v="Order"/>
    <n v="32"/>
    <s v="Wednesday"/>
    <x v="329"/>
    <n v="2"/>
    <n v="18.25"/>
    <d v="1899-12-30T02:25:00"/>
    <n v="2.4166666666666665"/>
    <n v="2.5"/>
    <s v="Dinner"/>
    <s v="Augusta"/>
    <n v="1"/>
  </r>
  <r>
    <n v="789"/>
    <s v="DD"/>
    <s v="Order"/>
    <n v="32"/>
    <s v="Friday"/>
    <x v="330"/>
    <n v="11"/>
    <n v="73.69"/>
    <d v="1899-12-30T04:35:00"/>
    <n v="4.583333333333333"/>
    <n v="4.5"/>
    <s v="Dinner"/>
    <s v="Brunswick/Bath/Freeport"/>
    <n v="2"/>
  </r>
  <r>
    <n v="790"/>
    <s v="UE"/>
    <s v="Order"/>
    <n v="32"/>
    <s v="Saturday"/>
    <x v="331"/>
    <n v="7"/>
    <n v="83.28"/>
    <d v="1899-12-30T05:27:00"/>
    <n v="5.45"/>
    <n v="5.5"/>
    <s v="Dinner"/>
    <s v="Lewiston"/>
    <n v="3"/>
  </r>
  <r>
    <n v="791"/>
    <s v="DD"/>
    <s v="Order"/>
    <n v="32"/>
    <s v="Saturday"/>
    <x v="331"/>
    <n v="6"/>
    <n v="79.75"/>
    <d v="1899-12-30T04:27:00"/>
    <n v="4.45"/>
    <n v="4.5"/>
    <s v="Dinner"/>
    <s v="Lewiston"/>
    <n v="3"/>
  </r>
  <r>
    <n v="792"/>
    <s v="DD"/>
    <s v="Order"/>
    <n v="32"/>
    <s v="Saturday"/>
    <x v="331"/>
    <n v="5"/>
    <n v="28.75"/>
    <d v="1899-12-30T02:13:00"/>
    <n v="2.2166666666666668"/>
    <n v="2.25"/>
    <s v="Late Night"/>
    <s v="Lewiston"/>
    <n v="3"/>
  </r>
  <r>
    <n v="793"/>
    <s v="UE"/>
    <s v="Order"/>
    <n v="32"/>
    <s v="Sunday"/>
    <x v="332"/>
    <n v="3"/>
    <n v="59.31"/>
    <d v="1899-12-30T02:36:00"/>
    <n v="2.6"/>
    <n v="2.5"/>
    <s v="Dinner"/>
    <s v="Lewiston"/>
    <n v="3"/>
  </r>
  <r>
    <n v="794"/>
    <s v="DD"/>
    <s v="Order"/>
    <n v="32"/>
    <s v="Sunday"/>
    <x v="332"/>
    <n v="3"/>
    <n v="15.5"/>
    <d v="1899-12-30T02:35:00"/>
    <n v="2.5833333333333335"/>
    <n v="2.5"/>
    <s v="Dinner"/>
    <s v="Lewiston"/>
    <n v="3"/>
  </r>
  <r>
    <n v="795"/>
    <s v="DD"/>
    <s v="Hourly"/>
    <n v="32"/>
    <s v="Sunday"/>
    <x v="332"/>
    <n v="1"/>
    <n v="4.1500000000000004"/>
    <d v="1899-12-30T00:18:00"/>
    <n v="0.3"/>
    <n v="0.25"/>
    <s v="Dinner"/>
    <s v="Lewiston"/>
    <n v="3"/>
  </r>
  <r>
    <n v="796"/>
    <s v="UE"/>
    <s v="Order"/>
    <n v="33"/>
    <s v="Monday"/>
    <x v="333"/>
    <n v="2"/>
    <n v="15.98"/>
    <d v="1899-12-30T02:57:00"/>
    <n v="2.95"/>
    <n v="3"/>
    <s v="Dinner"/>
    <s v="Augusta"/>
    <n v="1"/>
  </r>
  <r>
    <n v="797"/>
    <s v="DD"/>
    <s v="Hourly"/>
    <n v="33"/>
    <s v="Monday"/>
    <x v="333"/>
    <n v="7"/>
    <n v="69.930000000000007"/>
    <d v="1899-12-30T05:12:00"/>
    <n v="5.2"/>
    <n v="5.25"/>
    <s v="Dinner"/>
    <s v="Augusta"/>
    <n v="1"/>
  </r>
  <r>
    <n v="798"/>
    <s v="UE"/>
    <s v="Order"/>
    <n v="33"/>
    <s v="Tuesday"/>
    <x v="334"/>
    <n v="3"/>
    <n v="44.07"/>
    <d v="1899-12-30T04:51:00"/>
    <n v="4.8499999999999996"/>
    <n v="4.75"/>
    <s v="Dinner"/>
    <s v="Brunswick/Bath/Freeport"/>
    <n v="2"/>
  </r>
  <r>
    <n v="799"/>
    <s v="DD"/>
    <s v="Order"/>
    <n v="33"/>
    <s v="Tuesday"/>
    <x v="334"/>
    <n v="4"/>
    <n v="49.5"/>
    <d v="1899-12-30T02:18:00"/>
    <n v="2.2999999999999998"/>
    <n v="2.25"/>
    <s v="Dinner"/>
    <s v="Brunswick/Bath/Freeport"/>
    <n v="2"/>
  </r>
  <r>
    <n v="800"/>
    <s v="DD"/>
    <s v="Hourly"/>
    <n v="33"/>
    <s v="Tuesday"/>
    <x v="334"/>
    <n v="2"/>
    <n v="12.85"/>
    <d v="1899-12-30T01:13:00"/>
    <n v="1.2166666666666668"/>
    <n v="1.25"/>
    <s v="Dinner"/>
    <s v="Brunswick/Bath/Freeport"/>
    <n v="2"/>
  </r>
  <r>
    <n v="801"/>
    <s v="UE"/>
    <s v="Order"/>
    <n v="33"/>
    <s v="Thursday"/>
    <x v="335"/>
    <n v="4"/>
    <n v="41.14"/>
    <d v="1899-12-30T02:10:00"/>
    <n v="2.1666666666666665"/>
    <n v="2.25"/>
    <s v="Dinner"/>
    <s v="Portland"/>
    <n v="4"/>
  </r>
  <r>
    <n v="802"/>
    <s v="DD"/>
    <s v="Hourly"/>
    <n v="33"/>
    <s v="Thursday"/>
    <x v="335"/>
    <n v="1"/>
    <n v="16.18"/>
    <d v="1899-12-30T01:11:00"/>
    <n v="1.1833333333333333"/>
    <n v="1.25"/>
    <s v="Dinner"/>
    <s v="Portland"/>
    <n v="4"/>
  </r>
  <r>
    <n v="803"/>
    <s v="UE"/>
    <s v="Order"/>
    <n v="33"/>
    <s v="Friday"/>
    <x v="336"/>
    <n v="2"/>
    <n v="22.08"/>
    <d v="1899-12-30T02:07:00"/>
    <n v="2.1166666666666667"/>
    <n v="2"/>
    <s v="Dinner"/>
    <s v="Brunswick/Bath/Freeport"/>
    <n v="2"/>
  </r>
  <r>
    <n v="804"/>
    <s v="DD"/>
    <s v="Hourly"/>
    <n v="33"/>
    <s v="Friday"/>
    <x v="336"/>
    <n v="3"/>
    <n v="29.68"/>
    <d v="1899-12-30T02:38:00"/>
    <n v="2.6333333333333333"/>
    <n v="2.75"/>
    <s v="Dinner"/>
    <s v="Brunswick/Bath/Freeport"/>
    <n v="2"/>
  </r>
  <r>
    <n v="805"/>
    <s v="UE"/>
    <s v="Order"/>
    <n v="34"/>
    <s v="Wednesday"/>
    <x v="337"/>
    <n v="9"/>
    <n v="93.13"/>
    <d v="1899-12-30T04:25:00"/>
    <n v="4.416666666666667"/>
    <n v="4.5"/>
    <s v="Dinner"/>
    <s v="Portland"/>
    <n v="4"/>
  </r>
  <r>
    <n v="806"/>
    <s v="DD"/>
    <s v="Hourly"/>
    <n v="34"/>
    <s v="Wednesday"/>
    <x v="337"/>
    <n v="5"/>
    <n v="38.31"/>
    <d v="1899-12-30T01:34:00"/>
    <n v="1.5666666666666669"/>
    <n v="1.5"/>
    <s v="Dinner"/>
    <s v="Portland"/>
    <n v="4"/>
  </r>
  <r>
    <n v="807"/>
    <s v="UE"/>
    <s v="Order"/>
    <n v="34"/>
    <s v="Thursday"/>
    <x v="338"/>
    <n v="4"/>
    <n v="43.62"/>
    <d v="1899-12-30T02:24:00"/>
    <n v="2.4"/>
    <n v="2.5"/>
    <s v="Dinner"/>
    <s v="Portland"/>
    <n v="4"/>
  </r>
  <r>
    <n v="808"/>
    <s v="DD"/>
    <s v="Hourly"/>
    <n v="34"/>
    <s v="Thursday"/>
    <x v="338"/>
    <n v="7"/>
    <n v="54.18"/>
    <d v="1899-12-30T02:12:00"/>
    <n v="2.2000000000000002"/>
    <n v="2.25"/>
    <s v="Dinner"/>
    <s v="Portland"/>
    <n v="4"/>
  </r>
  <r>
    <n v="809"/>
    <s v="UE"/>
    <s v="Order"/>
    <n v="34"/>
    <s v="Friday"/>
    <x v="339"/>
    <n v="3"/>
    <n v="30.31"/>
    <d v="1899-12-30T02:24:00"/>
    <n v="2.4"/>
    <n v="2.5"/>
    <s v="Dinner"/>
    <s v="Augusta"/>
    <n v="1"/>
  </r>
  <r>
    <n v="810"/>
    <s v="DD"/>
    <s v="Hourly"/>
    <n v="34"/>
    <s v="Friday"/>
    <x v="339"/>
    <n v="4"/>
    <n v="33.369999999999997"/>
    <d v="1899-12-30T01:44:00"/>
    <n v="1.7333333333333334"/>
    <n v="1.75"/>
    <s v="Dinner"/>
    <s v="Augusta"/>
    <n v="1"/>
  </r>
  <r>
    <n v="811"/>
    <s v="DD"/>
    <s v="Hourly"/>
    <n v="34"/>
    <s v="Friday"/>
    <x v="339"/>
    <n v="2"/>
    <n v="14.85"/>
    <d v="1899-12-30T01:27:00"/>
    <n v="1.45"/>
    <n v="1.5"/>
    <s v="Dinner"/>
    <s v="Augusta"/>
    <n v="1"/>
  </r>
  <r>
    <n v="812"/>
    <s v="DD"/>
    <s v="Hourly"/>
    <n v="34"/>
    <s v="Friday"/>
    <x v="339"/>
    <n v="3"/>
    <n v="31.52"/>
    <d v="1899-12-30T01:44:00"/>
    <n v="1.7333333333333334"/>
    <n v="1.75"/>
    <s v="Late Night"/>
    <s v="Augusta"/>
    <n v="1"/>
  </r>
  <r>
    <n v="813"/>
    <s v="DD"/>
    <s v="Hourly"/>
    <n v="34"/>
    <s v="Saturday"/>
    <x v="340"/>
    <n v="10"/>
    <n v="66.97"/>
    <d v="1899-12-30T03:04:00"/>
    <n v="3.0666666666666673"/>
    <n v="3"/>
    <s v="Dinner"/>
    <s v="Lewiston"/>
    <n v="3"/>
  </r>
  <r>
    <n v="814"/>
    <s v="DD"/>
    <s v="Hourly"/>
    <n v="34"/>
    <s v="Saturday"/>
    <x v="340"/>
    <n v="5"/>
    <n v="37.28"/>
    <d v="1899-12-30T02:13:00"/>
    <n v="2.2166666666666668"/>
    <n v="2.25"/>
    <s v="Dinner"/>
    <s v="Lewiston"/>
    <n v="3"/>
  </r>
  <r>
    <n v="815"/>
    <s v="DD"/>
    <s v="Hourly"/>
    <n v="34"/>
    <s v="Sunday"/>
    <x v="341"/>
    <n v="2"/>
    <n v="20.39"/>
    <d v="1899-12-30T01:24:00"/>
    <n v="1.4"/>
    <n v="1.5"/>
    <s v="Dinner"/>
    <s v="Lewiston"/>
    <n v="3"/>
  </r>
  <r>
    <n v="816"/>
    <s v="DD"/>
    <s v="Hourly"/>
    <n v="35"/>
    <s v="Wednesday"/>
    <x v="342"/>
    <n v="8"/>
    <n v="82.61"/>
    <d v="1899-12-30T03:39:00"/>
    <n v="3.6499999999999995"/>
    <n v="3.75"/>
    <s v="Dinner"/>
    <s v="Brunswick/Bath/Freeport"/>
    <n v="2"/>
  </r>
  <r>
    <n v="817"/>
    <s v="UE"/>
    <s v="Order"/>
    <n v="35"/>
    <s v="Thursday"/>
    <x v="343"/>
    <n v="3"/>
    <n v="25.68"/>
    <d v="1899-12-30T02:17:00"/>
    <n v="2.2833333333333332"/>
    <n v="2.25"/>
    <s v="Dinner"/>
    <s v="Portland"/>
    <n v="4"/>
  </r>
  <r>
    <n v="818"/>
    <s v="DD"/>
    <s v="Order"/>
    <n v="35"/>
    <s v="Thursday"/>
    <x v="343"/>
    <n v="1"/>
    <n v="10"/>
    <d v="1899-12-30T01:01:00"/>
    <n v="1.0166666666666666"/>
    <n v="1"/>
    <s v="Dinner"/>
    <s v="Portland"/>
    <n v="4"/>
  </r>
  <r>
    <n v="819"/>
    <s v="DD"/>
    <s v="Order"/>
    <n v="35"/>
    <s v="Thursday"/>
    <x v="343"/>
    <n v="2"/>
    <n v="20"/>
    <d v="1899-12-30T01:35:00"/>
    <n v="1.5833333333333335"/>
    <n v="1.5"/>
    <s v="Dinner"/>
    <s v="Portland"/>
    <n v="4"/>
  </r>
  <r>
    <n v="820"/>
    <s v="UE"/>
    <s v="Order"/>
    <n v="35"/>
    <s v="Friday"/>
    <x v="344"/>
    <n v="4"/>
    <n v="62.74"/>
    <d v="1899-12-30T03:30:00"/>
    <n v="3.5"/>
    <n v="3.5"/>
    <s v="Dinner"/>
    <s v="Brunswick/Bath/Freeport"/>
    <n v="2"/>
  </r>
  <r>
    <n v="821"/>
    <s v="DD"/>
    <s v="Order"/>
    <n v="35"/>
    <s v="Friday"/>
    <x v="344"/>
    <n v="5"/>
    <n v="70.25"/>
    <d v="1899-12-30T02:43:00"/>
    <n v="2.7166666666666668"/>
    <n v="2.75"/>
    <s v="Dinner"/>
    <s v="Brunswick/Bath/Freeport"/>
    <n v="2"/>
  </r>
  <r>
    <n v="822"/>
    <s v="DD"/>
    <s v="Order"/>
    <n v="35"/>
    <s v="Friday"/>
    <x v="344"/>
    <n v="1"/>
    <n v="12"/>
    <d v="1899-12-30T01:34:00"/>
    <n v="1.5666666666666669"/>
    <n v="1.5"/>
    <s v="Late Night"/>
    <s v="Brunswick/Bath/Freeport"/>
    <n v="2"/>
  </r>
  <r>
    <n v="823"/>
    <s v="DD"/>
    <s v="Order"/>
    <n v="35"/>
    <s v="Friday"/>
    <x v="344"/>
    <n v="2"/>
    <n v="16.5"/>
    <d v="1899-12-30T00:54:00"/>
    <n v="0.89999999999999991"/>
    <n v="1"/>
    <s v="Late Night"/>
    <s v="Brunswick/Bath/Freeport"/>
    <n v="2"/>
  </r>
  <r>
    <n v="824"/>
    <s v="DD"/>
    <s v="Order"/>
    <n v="35"/>
    <s v="Friday"/>
    <x v="344"/>
    <n v="1"/>
    <n v="12.25"/>
    <d v="1899-12-30T00:57:00"/>
    <n v="0.95"/>
    <n v="1"/>
    <s v="Late Night"/>
    <s v="Brunswick/Bath/Freeport"/>
    <n v="2"/>
  </r>
  <r>
    <n v="825"/>
    <s v="UE"/>
    <s v="Order"/>
    <n v="35"/>
    <s v="Saturday"/>
    <x v="345"/>
    <n v="10"/>
    <n v="91.95"/>
    <d v="1899-12-30T05:48:00"/>
    <n v="5.8"/>
    <n v="5.75"/>
    <s v="Dinner"/>
    <s v="Portland"/>
    <n v="4"/>
  </r>
  <r>
    <n v="826"/>
    <s v="DD"/>
    <s v="Hourly"/>
    <n v="35"/>
    <s v="Saturday"/>
    <x v="345"/>
    <n v="2"/>
    <n v="19.149999999999999"/>
    <d v="1899-12-30T01:07:00"/>
    <n v="1.1166666666666667"/>
    <n v="1"/>
    <s v="Dinner"/>
    <s v="Portland"/>
    <n v="4"/>
  </r>
  <r>
    <n v="827"/>
    <s v="DD"/>
    <s v="Hourly"/>
    <n v="35"/>
    <s v="Saturday"/>
    <x v="345"/>
    <n v="1"/>
    <n v="5.9"/>
    <d v="1899-12-30T00:57:00"/>
    <n v="0.95"/>
    <n v="1"/>
    <s v="Late Night"/>
    <s v="Portland"/>
    <n v="4"/>
  </r>
  <r>
    <n v="828"/>
    <s v="DD"/>
    <s v="Hourly"/>
    <n v="35"/>
    <s v="Saturday"/>
    <x v="345"/>
    <n v="2"/>
    <n v="9.6999999999999993"/>
    <d v="1899-12-30T01:18:00"/>
    <n v="1.3"/>
    <n v="1.25"/>
    <s v="Late Night"/>
    <s v="Portland"/>
    <n v="4"/>
  </r>
  <r>
    <n v="829"/>
    <s v="DD"/>
    <s v="Hourly"/>
    <n v="35"/>
    <s v="Saturday"/>
    <x v="345"/>
    <n v="1"/>
    <n v="22.88"/>
    <d v="1899-12-30T00:34:00"/>
    <n v="0.56666666666666665"/>
    <n v="0.5"/>
    <s v="Late Night"/>
    <s v="Portland"/>
    <n v="4"/>
  </r>
  <r>
    <n v="830"/>
    <s v="UE"/>
    <s v="Order"/>
    <n v="36"/>
    <s v="Tuesday"/>
    <x v="346"/>
    <n v="1"/>
    <n v="6.69"/>
    <d v="1899-12-30T00:58:00"/>
    <n v="0.96666666666666679"/>
    <n v="1"/>
    <s v="Dinner"/>
    <s v="Brunswick/Bath/Freeport"/>
    <n v="2"/>
  </r>
  <r>
    <n v="831"/>
    <s v="DD"/>
    <s v="Order"/>
    <n v="36"/>
    <s v="Tuesday"/>
    <x v="346"/>
    <n v="8"/>
    <n v="56.75"/>
    <d v="1899-12-30T02:46:00"/>
    <n v="2.7666666666666666"/>
    <n v="2.75"/>
    <s v="Dinner"/>
    <s v="Brunswick/Bath/Freeport"/>
    <n v="2"/>
  </r>
  <r>
    <n v="832"/>
    <s v="DD"/>
    <s v="Order"/>
    <n v="36"/>
    <s v="Tuesday"/>
    <x v="346"/>
    <n v="3"/>
    <n v="17.5"/>
    <d v="1899-12-30T01:06:00"/>
    <n v="1.1000000000000001"/>
    <n v="1"/>
    <s v="Dinner"/>
    <s v="Brunswick/Bath/Freeport"/>
    <n v="2"/>
  </r>
  <r>
    <n v="833"/>
    <s v="UE"/>
    <s v="Order"/>
    <n v="36"/>
    <s v="Wednesday"/>
    <x v="347"/>
    <n v="7"/>
    <n v="67.5"/>
    <d v="1899-12-30T03:51:00"/>
    <n v="3.8500000000000005"/>
    <n v="3.75"/>
    <s v="Dinner"/>
    <s v="Portland"/>
    <n v="4"/>
  </r>
  <r>
    <n v="834"/>
    <s v="DD"/>
    <s v="Hourly"/>
    <n v="36"/>
    <s v="Wednesday"/>
    <x v="347"/>
    <n v="1"/>
    <n v="17"/>
    <d v="1899-12-30T01:05:00"/>
    <n v="1.0833333333333333"/>
    <n v="1"/>
    <s v="Dinner"/>
    <s v="Portland"/>
    <n v="4"/>
  </r>
  <r>
    <n v="835"/>
    <s v="DD"/>
    <s v="Hourly"/>
    <n v="36"/>
    <s v="Wednesday"/>
    <x v="347"/>
    <n v="2"/>
    <n v="21.6"/>
    <d v="1899-12-30T01:17:00"/>
    <n v="1.2833333333333332"/>
    <n v="1.25"/>
    <s v="Late Night"/>
    <s v="Portland"/>
    <n v="4"/>
  </r>
  <r>
    <n v="836"/>
    <s v="UE"/>
    <s v="Order"/>
    <n v="36"/>
    <s v="Thursday"/>
    <x v="348"/>
    <n v="7"/>
    <n v="97.96"/>
    <d v="1899-12-30T04:40:00"/>
    <n v="4.666666666666667"/>
    <n v="4.75"/>
    <s v="Dinner"/>
    <s v="Portland"/>
    <n v="4"/>
  </r>
  <r>
    <n v="837"/>
    <s v="DD"/>
    <s v="Order"/>
    <n v="36"/>
    <s v="Thursday"/>
    <x v="348"/>
    <n v="3"/>
    <n v="21.09"/>
    <d v="1899-12-30T01:11:00"/>
    <n v="1.1833333333333333"/>
    <n v="1.25"/>
    <s v="Dinner"/>
    <s v="Portland"/>
    <n v="4"/>
  </r>
  <r>
    <n v="838"/>
    <s v="DD"/>
    <s v="Order"/>
    <n v="36"/>
    <s v="Thursday"/>
    <x v="348"/>
    <n v="5"/>
    <n v="33"/>
    <d v="1899-12-30T02:02:00"/>
    <n v="2.0333333333333332"/>
    <n v="2"/>
    <s v="Dinner"/>
    <s v="Portland"/>
    <n v="4"/>
  </r>
  <r>
    <n v="839"/>
    <s v="DD"/>
    <s v="Order"/>
    <n v="36"/>
    <s v="Friday"/>
    <x v="349"/>
    <n v="1"/>
    <n v="8.5"/>
    <d v="1899-12-30T00:26:00"/>
    <n v="0.43333333333333335"/>
    <n v="0.5"/>
    <s v="Dinner"/>
    <s v="Lewiston"/>
    <n v="3"/>
  </r>
  <r>
    <n v="840"/>
    <s v="DD"/>
    <s v="Hourly"/>
    <n v="36"/>
    <s v="Friday"/>
    <x v="349"/>
    <n v="7"/>
    <n v="54.52"/>
    <d v="1899-12-30T03:32:00"/>
    <n v="3.5333333333333332"/>
    <n v="3.5"/>
    <s v="Dinner"/>
    <s v="Lewiston"/>
    <n v="3"/>
  </r>
  <r>
    <n v="841"/>
    <s v="UE"/>
    <s v="Order"/>
    <n v="36"/>
    <s v="Saturday"/>
    <x v="350"/>
    <n v="5"/>
    <n v="40.18"/>
    <d v="1899-12-30T03:31:00"/>
    <n v="3.5166666666666666"/>
    <n v="3.5"/>
    <s v="Dinner"/>
    <s v="Brunswick/Bath/Freeport"/>
    <n v="2"/>
  </r>
  <r>
    <n v="842"/>
    <s v="DD"/>
    <s v="Hourly"/>
    <n v="36"/>
    <s v="Saturday"/>
    <x v="350"/>
    <n v="2"/>
    <n v="16.350000000000001"/>
    <d v="1899-12-30T01:32:00"/>
    <n v="1.5333333333333332"/>
    <n v="1.5"/>
    <s v="Dinner"/>
    <s v="Brunswick/Bath/Freeport"/>
    <n v="2"/>
  </r>
  <r>
    <n v="843"/>
    <s v="DD"/>
    <s v="Hourly"/>
    <n v="36"/>
    <s v="Saturday"/>
    <x v="350"/>
    <n v="3"/>
    <n v="23.2"/>
    <d v="1899-12-30T00:56:00"/>
    <n v="0.93333333333333335"/>
    <n v="1"/>
    <s v="Dinner"/>
    <s v="Brunswick/Bath/Freeport"/>
    <n v="2"/>
  </r>
  <r>
    <n v="844"/>
    <s v="DD"/>
    <s v="Hourly"/>
    <n v="36"/>
    <s v="Saturday"/>
    <x v="350"/>
    <n v="4"/>
    <n v="46.77"/>
    <d v="1899-12-30T02:27:00"/>
    <n v="2.4500000000000002"/>
    <n v="2.5"/>
    <s v="Dinner"/>
    <s v="Brunswick/Bath/Freeport"/>
    <n v="2"/>
  </r>
  <r>
    <n v="845"/>
    <s v="DD"/>
    <s v="Hourly"/>
    <n v="36"/>
    <s v="Saturday"/>
    <x v="350"/>
    <n v="1"/>
    <n v="16.91"/>
    <d v="1899-12-30T01:04:00"/>
    <n v="1.0666666666666667"/>
    <n v="1"/>
    <s v="Late Night"/>
    <s v="Brunswick/Bath/Freeport"/>
    <n v="2"/>
  </r>
  <r>
    <n v="846"/>
    <s v="DD"/>
    <s v="Order"/>
    <n v="36"/>
    <s v="Saturday"/>
    <x v="350"/>
    <n v="3"/>
    <n v="30.5"/>
    <d v="1899-12-30T01:16:00"/>
    <n v="1.2666666666666666"/>
    <n v="1.25"/>
    <s v="Late Night"/>
    <s v="Brunswick/Bath/Freeport"/>
    <n v="2"/>
  </r>
  <r>
    <n v="847"/>
    <s v="UE"/>
    <s v="Order"/>
    <n v="37"/>
    <s v="Wednesday"/>
    <x v="351"/>
    <n v="6"/>
    <n v="94.25"/>
    <d v="1899-12-30T03:17:00"/>
    <n v="3.2833333333333332"/>
    <n v="3.25"/>
    <s v="Dinner"/>
    <s v="Brunswick/Bath/Freeport"/>
    <n v="2"/>
  </r>
  <r>
    <n v="848"/>
    <s v="DD"/>
    <s v="Hourly"/>
    <n v="37"/>
    <s v="Wednesday"/>
    <x v="351"/>
    <n v="2"/>
    <n v="27.9"/>
    <d v="1899-12-30T01:31:00"/>
    <n v="1.5166666666666666"/>
    <n v="1.5"/>
    <s v="Dinner"/>
    <s v="Brunswick/Bath/Freeport"/>
    <n v="2"/>
  </r>
  <r>
    <n v="849"/>
    <s v="DD"/>
    <s v="Hourly"/>
    <n v="37"/>
    <s v="Wednesday"/>
    <x v="351"/>
    <n v="2"/>
    <n v="22.94"/>
    <d v="1899-12-30T01:38:00"/>
    <n v="1.6333333333333333"/>
    <n v="1.75"/>
    <s v="Dinner"/>
    <s v="Brunswick/Bath/Freeport"/>
    <n v="2"/>
  </r>
  <r>
    <n v="850"/>
    <s v="UE"/>
    <s v="Order"/>
    <n v="37"/>
    <s v="Thursday"/>
    <x v="352"/>
    <n v="9"/>
    <n v="98.49"/>
    <d v="1899-12-30T05:00:00"/>
    <n v="5"/>
    <n v="5"/>
    <s v="Dinner"/>
    <s v="Portland"/>
    <n v="4"/>
  </r>
  <r>
    <n v="851"/>
    <s v="DD"/>
    <s v="Hourly"/>
    <n v="37"/>
    <s v="Thursday"/>
    <x v="352"/>
    <n v="4"/>
    <n v="36.409999999999997"/>
    <d v="1899-12-30T01:17:00"/>
    <n v="1.2833333333333332"/>
    <n v="1.25"/>
    <s v="Late Night"/>
    <s v="Portland"/>
    <n v="4"/>
  </r>
  <r>
    <n v="852"/>
    <s v="UE"/>
    <s v="Order"/>
    <n v="37"/>
    <s v="Friday"/>
    <x v="353"/>
    <n v="4"/>
    <n v="81.459999999999994"/>
    <d v="1899-12-30T02:58:00"/>
    <n v="2.9666666666666668"/>
    <n v="3"/>
    <s v="Dinner"/>
    <s v="Brunswick/Bath/Freeport"/>
    <n v="2"/>
  </r>
  <r>
    <n v="853"/>
    <s v="DD"/>
    <s v="Hourly"/>
    <n v="37"/>
    <s v="Friday"/>
    <x v="353"/>
    <n v="7"/>
    <n v="58.56"/>
    <d v="1899-12-30T03:34:00"/>
    <n v="3.5666666666666664"/>
    <n v="3.5"/>
    <s v="Dinner"/>
    <s v="Brunswick/Bath/Freeport"/>
    <n v="2"/>
  </r>
  <r>
    <n v="854"/>
    <s v="UE"/>
    <s v="Order"/>
    <n v="37"/>
    <s v="Sunday"/>
    <x v="354"/>
    <n v="7"/>
    <n v="110.85"/>
    <d v="1899-12-30T04:37:00"/>
    <n v="4.6166666666666671"/>
    <n v="4.5"/>
    <s v="Dinner"/>
    <s v="Portland"/>
    <n v="4"/>
  </r>
  <r>
    <n v="855"/>
    <s v="DD"/>
    <s v="Order"/>
    <n v="37"/>
    <s v="Sunday"/>
    <x v="354"/>
    <n v="1"/>
    <n v="4.33"/>
    <d v="1899-12-30T00:15:00"/>
    <n v="0.25"/>
    <n v="0.25"/>
    <s v="Dinner"/>
    <s v="Portland"/>
    <n v="4"/>
  </r>
  <r>
    <n v="856"/>
    <s v="UE"/>
    <s v="Order"/>
    <n v="38"/>
    <s v="Monday"/>
    <x v="355"/>
    <n v="5"/>
    <n v="74.349999999999994"/>
    <d v="1899-12-30T03:03:00"/>
    <n v="3.05"/>
    <n v="3"/>
    <s v="Dinner"/>
    <s v="Brunswick/Bath/Freeport"/>
    <n v="2"/>
  </r>
  <r>
    <n v="857"/>
    <s v="DD"/>
    <s v="Hourly"/>
    <n v="38"/>
    <s v="Monday"/>
    <x v="355"/>
    <n v="3"/>
    <n v="27.5"/>
    <d v="1899-12-30T01:28:00"/>
    <n v="1.4666666666666668"/>
    <n v="1.5"/>
    <s v="Dinner"/>
    <s v="Brunswick/Bath/Freeport"/>
    <n v="2"/>
  </r>
  <r>
    <n v="858"/>
    <s v="DD"/>
    <s v="Hourly"/>
    <n v="38"/>
    <s v="Monday"/>
    <x v="355"/>
    <n v="2"/>
    <n v="14.71"/>
    <d v="1899-12-30T01:03:00"/>
    <n v="1.05"/>
    <n v="1"/>
    <s v="Late Night"/>
    <s v="Brunswick/Bath/Freeport"/>
    <n v="2"/>
  </r>
  <r>
    <n v="859"/>
    <s v="DD"/>
    <s v="Order"/>
    <n v="38"/>
    <s v="Wednesday"/>
    <x v="356"/>
    <n v="8"/>
    <n v="90"/>
    <d v="1899-12-30T03:25:00"/>
    <n v="3.4166666666666665"/>
    <n v="3.5"/>
    <s v="Dinner"/>
    <s v="Brunswick/Bath/Freeport"/>
    <n v="2"/>
  </r>
  <r>
    <n v="860"/>
    <s v="UE"/>
    <s v="Order"/>
    <n v="38"/>
    <s v="Thursday"/>
    <x v="357"/>
    <n v="1"/>
    <n v="21.98"/>
    <d v="1899-12-30T00:53:00"/>
    <n v="0.8833333333333333"/>
    <n v="1"/>
    <s v="Dinner"/>
    <s v="Brunswick/Bath/Freeport"/>
    <n v="2"/>
  </r>
  <r>
    <n v="861"/>
    <s v="UE"/>
    <s v="Order"/>
    <n v="38"/>
    <s v="Saturday"/>
    <x v="358"/>
    <n v="1"/>
    <n v="15.63"/>
    <d v="1899-12-30T01:45:00"/>
    <n v="1.75"/>
    <n v="1.75"/>
    <s v="Dinner"/>
    <s v="Brunswick/Bath/Freeport"/>
    <n v="2"/>
  </r>
  <r>
    <n v="862"/>
    <s v="DD"/>
    <s v="Hourly"/>
    <n v="38"/>
    <s v="Saturday"/>
    <x v="358"/>
    <n v="4"/>
    <n v="44.9"/>
    <d v="1899-12-30T03:08:00"/>
    <n v="3.1333333333333337"/>
    <n v="3.25"/>
    <s v="Dinner"/>
    <s v="Brunswick/Bath/Freeport"/>
    <n v="2"/>
  </r>
  <r>
    <n v="863"/>
    <s v="DD"/>
    <s v="Hourly"/>
    <n v="38"/>
    <s v="Saturday"/>
    <x v="358"/>
    <n v="4"/>
    <n v="38.68"/>
    <d v="1899-12-30T02:16:00"/>
    <n v="2.2666666666666666"/>
    <n v="2.25"/>
    <s v="Dinner"/>
    <s v="Brunswick/Bath/Freeport"/>
    <n v="2"/>
  </r>
  <r>
    <n v="864"/>
    <s v="DD"/>
    <s v="Hourly"/>
    <n v="38"/>
    <s v="Saturday"/>
    <x v="358"/>
    <n v="1"/>
    <n v="5.76"/>
    <d v="1899-12-30T00:19:00"/>
    <n v="0.31666666666666665"/>
    <n v="0.25"/>
    <s v="Late Night"/>
    <s v="Brunswick/Bath/Freeport"/>
    <n v="2"/>
  </r>
  <r>
    <n v="865"/>
    <s v="UE"/>
    <s v="Order"/>
    <n v="39"/>
    <s v="Tuesday"/>
    <x v="359"/>
    <n v="1"/>
    <n v="4.45"/>
    <d v="1899-12-30T01:31:00"/>
    <n v="1.5166666666666666"/>
    <n v="1.5"/>
    <s v="Dinner"/>
    <s v="Augusta"/>
    <n v="1"/>
  </r>
  <r>
    <n v="866"/>
    <s v="DD"/>
    <s v="Order"/>
    <n v="39"/>
    <s v="Tuesday"/>
    <x v="359"/>
    <n v="5"/>
    <n v="50.5"/>
    <d v="1899-12-30T03:42:00"/>
    <n v="3.7"/>
    <n v="3.75"/>
    <s v="Dinner"/>
    <s v="Augusta"/>
    <n v="1"/>
  </r>
  <r>
    <n v="867"/>
    <s v="UE"/>
    <s v="Order"/>
    <n v="39"/>
    <s v="Thursday"/>
    <x v="360"/>
    <n v="5"/>
    <n v="46.19"/>
    <d v="1899-12-30T02:54:00"/>
    <n v="2.9"/>
    <n v="3"/>
    <s v="Dinner"/>
    <s v="Portland"/>
    <n v="4"/>
  </r>
  <r>
    <n v="868"/>
    <s v="DD"/>
    <s v="Order"/>
    <n v="39"/>
    <s v="Friday"/>
    <x v="361"/>
    <n v="1"/>
    <n v="11.5"/>
    <d v="1899-12-30T00:57:00"/>
    <n v="0.95"/>
    <n v="1"/>
    <s v="Dinner"/>
    <s v="Brunswick/Bath/Freeport"/>
    <n v="2"/>
  </r>
  <r>
    <n v="869"/>
    <s v="UE"/>
    <s v="Order"/>
    <n v="39"/>
    <s v="Saturday"/>
    <x v="362"/>
    <n v="2"/>
    <n v="22.08"/>
    <d v="1899-12-30T02:48:00"/>
    <n v="2.8"/>
    <n v="2.75"/>
    <s v="Dinner"/>
    <s v="Lewiston"/>
    <n v="3"/>
  </r>
  <r>
    <n v="870"/>
    <s v="DD"/>
    <s v="Order"/>
    <n v="39"/>
    <s v="Saturday"/>
    <x v="362"/>
    <n v="16"/>
    <n v="122.53"/>
    <d v="1899-12-30T06:06:00"/>
    <n v="6.1"/>
    <n v="6"/>
    <s v="Dinner"/>
    <s v="Lewiston"/>
    <n v="3"/>
  </r>
  <r>
    <n v="871"/>
    <s v="DD"/>
    <s v="Hourly"/>
    <n v="39"/>
    <s v="Saturday"/>
    <x v="362"/>
    <n v="3"/>
    <n v="19.59"/>
    <d v="1899-12-30T01:15:00"/>
    <m/>
    <m/>
    <s v="Late Night"/>
    <s v="Lewiston"/>
    <n v="3"/>
  </r>
  <r>
    <n v="872"/>
    <s v="DD"/>
    <s v="Hourly"/>
    <n v="39"/>
    <s v="Saturday"/>
    <x v="362"/>
    <n v="4"/>
    <n v="44.56"/>
    <d v="1899-12-30T02:13:00"/>
    <n v="2.2166666666666668"/>
    <n v="2.25"/>
    <s v="Late Night"/>
    <s v="Lewiston"/>
    <n v="3"/>
  </r>
  <r>
    <n v="873"/>
    <s v="DD"/>
    <s v="Order"/>
    <n v="39"/>
    <s v="Saturday"/>
    <x v="362"/>
    <n v="1"/>
    <n v="5"/>
    <d v="1899-12-30T00:34:00"/>
    <n v="0.56666666666666665"/>
    <n v="0.5"/>
    <s v="Late Night"/>
    <s v="Lewiston"/>
    <n v="3"/>
  </r>
  <r>
    <n v="874"/>
    <s v="UE"/>
    <s v="Order"/>
    <n v="40"/>
    <s v="Monday"/>
    <x v="363"/>
    <n v="3"/>
    <n v="60.12"/>
    <d v="1899-12-30T02:23:00"/>
    <n v="2.3833333333333333"/>
    <n v="2.5"/>
    <s v="Dinner"/>
    <s v="Brunswick/Bath/Freeport"/>
    <n v="2"/>
  </r>
  <r>
    <n v="875"/>
    <s v="DD"/>
    <s v="Hourly"/>
    <n v="40"/>
    <s v="Monday"/>
    <x v="363"/>
    <n v="2"/>
    <n v="10.85"/>
    <d v="1899-12-30T00:48:00"/>
    <n v="0.8"/>
    <n v="0.75"/>
    <s v="Dinner"/>
    <s v="Brunswick/Bath/Freeport"/>
    <n v="2"/>
  </r>
  <r>
    <n v="876"/>
    <s v="UE"/>
    <s v="Order"/>
    <n v="40"/>
    <s v="Tuesday"/>
    <x v="364"/>
    <n v="1"/>
    <n v="8.5399999999999991"/>
    <d v="1899-12-30T01:13:00"/>
    <n v="1.2166666666666668"/>
    <n v="1.25"/>
    <s v="Dinner"/>
    <s v="Lewiston"/>
    <n v="3"/>
  </r>
  <r>
    <n v="877"/>
    <s v="DD"/>
    <s v="Hourly"/>
    <n v="40"/>
    <s v="Tuesday"/>
    <x v="364"/>
    <n v="6"/>
    <n v="46.58"/>
    <d v="1899-12-30T03:05:00"/>
    <n v="3.0833333333333339"/>
    <n v="3"/>
    <s v="Dinner"/>
    <s v="Lewiston"/>
    <n v="3"/>
  </r>
  <r>
    <n v="878"/>
    <s v="DD"/>
    <s v="Hourly"/>
    <n v="40"/>
    <s v="Tuesday"/>
    <x v="364"/>
    <n v="1"/>
    <n v="5.05"/>
    <d v="1899-12-30T00:18:00"/>
    <n v="0.3"/>
    <n v="0.25"/>
    <s v="Late Night"/>
    <s v="Lewiston"/>
    <n v="3"/>
  </r>
  <r>
    <n v="879"/>
    <s v="UE"/>
    <s v="Order"/>
    <n v="40"/>
    <s v="Wednesday"/>
    <x v="365"/>
    <n v="2"/>
    <n v="22.49"/>
    <d v="1899-12-30T01:37:00"/>
    <n v="1.6166666666666667"/>
    <n v="1.5"/>
    <s v="Dinner"/>
    <s v="Brunswick/Bath/Freeport"/>
    <n v="2"/>
  </r>
  <r>
    <n v="880"/>
    <s v="DD"/>
    <s v="Hourly"/>
    <n v="40"/>
    <s v="Wednesday"/>
    <x v="365"/>
    <n v="5"/>
    <n v="39.17"/>
    <d v="1899-12-30T03:13:00"/>
    <n v="3.2166666666666668"/>
    <n v="3.25"/>
    <s v="Dinner"/>
    <s v="Brunswick/Bath/Freeport"/>
    <n v="2"/>
  </r>
  <r>
    <n v="881"/>
    <s v="UE"/>
    <s v="Order"/>
    <n v="40"/>
    <s v="Thursday"/>
    <x v="366"/>
    <n v="1"/>
    <n v="17.09"/>
    <d v="1899-12-30T01:15:00"/>
    <n v="1.25"/>
    <n v="1.25"/>
    <s v="Dinner"/>
    <s v="Portland"/>
    <n v="4"/>
  </r>
  <r>
    <n v="882"/>
    <s v="DD"/>
    <s v="Hourly"/>
    <n v="40"/>
    <s v="Thursday"/>
    <x v="366"/>
    <n v="1"/>
    <n v="7.9"/>
    <d v="1899-12-30T00:58:00"/>
    <n v="0.96666666666666679"/>
    <n v="1"/>
    <s v="Dinner"/>
    <s v="Portland"/>
    <n v="4"/>
  </r>
  <r>
    <n v="883"/>
    <s v="UE"/>
    <s v="Order"/>
    <n v="40"/>
    <s v="Friday"/>
    <x v="367"/>
    <n v="2"/>
    <n v="26.16"/>
    <d v="1899-12-30T02:28:00"/>
    <n v="2.4666666666666668"/>
    <n v="2.5"/>
    <s v="Dinner"/>
    <s v="Brunswick/Bath/Freeport"/>
    <n v="2"/>
  </r>
  <r>
    <n v="884"/>
    <s v="DD"/>
    <s v="Hourly"/>
    <n v="40"/>
    <s v="Friday"/>
    <x v="367"/>
    <n v="9"/>
    <n v="104.93"/>
    <d v="1899-12-30T05:02:00"/>
    <n v="5.0333333333333332"/>
    <n v="5"/>
    <s v="Dinner"/>
    <s v="Brunswick/Bath/Freeport"/>
    <n v="2"/>
  </r>
  <r>
    <n v="885"/>
    <s v="DD"/>
    <s v="Hourly"/>
    <n v="40"/>
    <s v="Friday"/>
    <x v="367"/>
    <n v="1"/>
    <n v="6.27"/>
    <d v="1899-12-30T00:36:00"/>
    <n v="0.6"/>
    <n v="0.5"/>
    <s v="Late Night"/>
    <s v="Brunswick/Bath/Freeport"/>
    <n v="2"/>
  </r>
  <r>
    <n v="886"/>
    <s v="DD"/>
    <s v="Hourly"/>
    <n v="40"/>
    <s v="Friday"/>
    <x v="367"/>
    <n v="2"/>
    <n v="19.62"/>
    <d v="1899-12-30T01:00:00"/>
    <n v="1"/>
    <n v="1"/>
    <s v="Late Night"/>
    <s v="Brunswick/Bath/Freeport"/>
    <n v="2"/>
  </r>
  <r>
    <n v="887"/>
    <s v="UE"/>
    <s v="Order"/>
    <n v="41"/>
    <s v="Monday"/>
    <x v="368"/>
    <n v="2"/>
    <n v="25.09"/>
    <d v="1899-12-30T01:54:00"/>
    <n v="1.9"/>
    <n v="2"/>
    <s v="Dinner"/>
    <s v="Lewiston"/>
    <n v="3"/>
  </r>
  <r>
    <n v="888"/>
    <s v="DD"/>
    <s v="Hourly"/>
    <n v="41"/>
    <s v="Monday"/>
    <x v="368"/>
    <n v="5"/>
    <n v="34.24"/>
    <d v="1899-12-30T03:06:00"/>
    <n v="3.1000000000000005"/>
    <n v="3"/>
    <s v="Dinner"/>
    <s v="Lewiston"/>
    <n v="3"/>
  </r>
  <r>
    <n v="889"/>
    <s v="DD"/>
    <s v="Hourly"/>
    <n v="41"/>
    <s v="Monday"/>
    <x v="368"/>
    <n v="3"/>
    <n v="18.47"/>
    <d v="1899-12-30T01:02:00"/>
    <n v="1.0333333333333334"/>
    <n v="1"/>
    <s v="Late Night"/>
    <s v="Lewiston"/>
    <n v="3"/>
  </r>
  <r>
    <n v="890"/>
    <s v="UE"/>
    <s v="Order"/>
    <n v="41"/>
    <s v="Thursday"/>
    <x v="369"/>
    <n v="6"/>
    <n v="67.08"/>
    <d v="1899-12-30T02:51:00"/>
    <n v="2.85"/>
    <n v="2.75"/>
    <s v="Dinner"/>
    <s v="Brunswick/Bath/Freeport"/>
    <n v="2"/>
  </r>
  <r>
    <n v="891"/>
    <s v="DD"/>
    <s v="Hourly"/>
    <n v="41"/>
    <s v="Thursday"/>
    <x v="369"/>
    <n v="3"/>
    <n v="27.22"/>
    <d v="1899-12-30T02:32:00"/>
    <n v="2.5333333333333332"/>
    <n v="2.5"/>
    <s v="Dinner"/>
    <s v="Brunswick/Bath/Freeport"/>
    <n v="2"/>
  </r>
  <r>
    <n v="892"/>
    <s v="DD"/>
    <s v="Hourly"/>
    <n v="41"/>
    <s v="Friday"/>
    <x v="370"/>
    <n v="5"/>
    <n v="47.39"/>
    <d v="1899-12-30T02:14:00"/>
    <n v="2.2333333333333334"/>
    <n v="2.25"/>
    <s v="Dinner"/>
    <s v="Brunswick/Bath/Freeport"/>
    <n v="2"/>
  </r>
  <r>
    <n v="893"/>
    <s v="UE"/>
    <s v="Order"/>
    <n v="42"/>
    <s v="Monday"/>
    <x v="371"/>
    <n v="1"/>
    <n v="12.68"/>
    <d v="1899-12-30T02:15:00"/>
    <n v="2.25"/>
    <n v="2.25"/>
    <s v="Dinner"/>
    <s v="Brunswick/Bath/Freeport"/>
    <n v="2"/>
  </r>
  <r>
    <n v="894"/>
    <s v="DD"/>
    <s v="Order"/>
    <n v="42"/>
    <s v="Monday"/>
    <x v="371"/>
    <n v="9"/>
    <n v="109.25"/>
    <d v="1899-12-30T04:02:00"/>
    <n v="4.0333333333333332"/>
    <n v="4"/>
    <s v="Dinner"/>
    <s v="Brunswick/Bath/Freeport"/>
    <n v="2"/>
  </r>
  <r>
    <n v="895"/>
    <s v="DD"/>
    <s v="Hourly"/>
    <n v="42"/>
    <s v="Tuesday"/>
    <x v="372"/>
    <n v="3"/>
    <n v="27.44"/>
    <d v="1899-12-30T01:42:00"/>
    <n v="1.7"/>
    <n v="1.75"/>
    <s v="Dinner"/>
    <s v="Brunswick/Bath/Freeport"/>
    <n v="2"/>
  </r>
  <r>
    <n v="896"/>
    <s v="DD"/>
    <s v="Order"/>
    <n v="42"/>
    <s v="Tuesday"/>
    <x v="372"/>
    <n v="4"/>
    <n v="35"/>
    <d v="1899-12-30T02:10:00"/>
    <n v="2.1666666666666665"/>
    <n v="2.25"/>
    <s v="Dinner"/>
    <s v="Brunswick/Bath/Freeport"/>
    <n v="2"/>
  </r>
  <r>
    <n v="897"/>
    <s v="DD"/>
    <s v="Hourly"/>
    <n v="42"/>
    <s v="Friday"/>
    <x v="373"/>
    <n v="11"/>
    <n v="135.33000000000001"/>
    <d v="1899-12-30T05:28:00"/>
    <n v="5.4666666666666668"/>
    <n v="5.5"/>
    <s v="Dinner"/>
    <s v="Augusta"/>
    <n v="1"/>
  </r>
  <r>
    <n v="898"/>
    <s v="DD"/>
    <s v="Order"/>
    <n v="42"/>
    <s v="Sunday"/>
    <x v="374"/>
    <n v="4"/>
    <n v="50.75"/>
    <d v="1899-12-30T01:44:00"/>
    <n v="1.7333333333333334"/>
    <n v="1.75"/>
    <s v="Dinner"/>
    <s v="Brunswick/Bath/Freeport"/>
    <n v="2"/>
  </r>
  <r>
    <n v="899"/>
    <s v="DD"/>
    <s v="Order"/>
    <n v="43"/>
    <s v="Tuesday"/>
    <x v="375"/>
    <n v="15"/>
    <n v="126.25"/>
    <d v="1899-12-30T04:58:00"/>
    <n v="4.9666666666666668"/>
    <n v="5"/>
    <s v="Dinner"/>
    <s v="Portland"/>
    <n v="4"/>
  </r>
  <r>
    <n v="900"/>
    <s v="UE"/>
    <s v="Order"/>
    <n v="43"/>
    <s v="Wednesday"/>
    <x v="376"/>
    <n v="3"/>
    <n v="56.27"/>
    <d v="1899-12-30T03:21:00"/>
    <n v="3.35"/>
    <n v="3.25"/>
    <s v="Dinner"/>
    <s v="Brunswick/Bath/Freeport"/>
    <n v="2"/>
  </r>
  <r>
    <n v="901"/>
    <s v="DD"/>
    <s v="Order"/>
    <n v="43"/>
    <s v="Wednesday"/>
    <x v="376"/>
    <n v="2"/>
    <n v="37.5"/>
    <d v="1899-12-30T01:23:00"/>
    <n v="1.3833333333333333"/>
    <n v="1.5"/>
    <s v="Dinner"/>
    <s v="Brunswick/Bath/Freeport"/>
    <n v="2"/>
  </r>
  <r>
    <n v="902"/>
    <s v="DD"/>
    <s v="Order"/>
    <n v="43"/>
    <s v="Wednesday"/>
    <x v="376"/>
    <n v="2"/>
    <n v="10.75"/>
    <d v="1899-12-30T01:06:00"/>
    <n v="1.1000000000000001"/>
    <n v="1"/>
    <s v="Dinner"/>
    <s v="Brunswick/Bath/Freeport"/>
    <n v="2"/>
  </r>
  <r>
    <n v="903"/>
    <s v="DD"/>
    <s v="Order"/>
    <n v="43"/>
    <s v="Wednesday"/>
    <x v="376"/>
    <n v="2"/>
    <n v="11"/>
    <d v="1899-12-30T02:06:00"/>
    <n v="2.1"/>
    <n v="2"/>
    <s v="Late Night"/>
    <s v="Brunswick/Bath/Freeport"/>
    <n v="2"/>
  </r>
  <r>
    <n v="904"/>
    <s v="UE"/>
    <s v="Order"/>
    <n v="44"/>
    <s v="Monday"/>
    <x v="377"/>
    <n v="4"/>
    <n v="32.700000000000003"/>
    <d v="1899-12-30T02:36:00"/>
    <n v="2.6"/>
    <n v="2.5"/>
    <s v="Dinner"/>
    <s v="Brunswick/Bath/Freeport"/>
    <n v="2"/>
  </r>
  <r>
    <n v="905"/>
    <s v="DD"/>
    <s v="Order"/>
    <n v="44"/>
    <s v="Monday"/>
    <x v="377"/>
    <n v="2"/>
    <n v="25.25"/>
    <d v="1899-12-30T00:58:00"/>
    <n v="0.96666666666666679"/>
    <n v="1"/>
    <s v="Dinner"/>
    <s v="Brunswick/Bath/Freeport"/>
    <n v="2"/>
  </r>
  <r>
    <n v="906"/>
    <s v="DD"/>
    <s v="Order"/>
    <n v="44"/>
    <s v="Monday"/>
    <x v="377"/>
    <n v="3"/>
    <n v="36"/>
    <d v="1899-12-30T01:50:00"/>
    <n v="1.8333333333333335"/>
    <n v="1.75"/>
    <s v="Dinner"/>
    <s v="Brunswick/Bath/Freeport"/>
    <n v="2"/>
  </r>
  <r>
    <n v="907"/>
    <s v="UE"/>
    <s v="Order"/>
    <n v="44"/>
    <s v="Tuesday"/>
    <x v="378"/>
    <n v="2"/>
    <n v="28.27"/>
    <d v="1899-12-30T01:31:00"/>
    <n v="1.5166666666666666"/>
    <n v="1.5"/>
    <s v="Dinner"/>
    <s v="Brunswick/Bath/Freeport"/>
    <n v="2"/>
  </r>
  <r>
    <n v="908"/>
    <s v="DD"/>
    <s v="Order"/>
    <n v="44"/>
    <s v="Tuesday"/>
    <x v="378"/>
    <n v="8"/>
    <n v="60.91"/>
    <d v="1899-12-30T02:28:00"/>
    <n v="2.4666666666666668"/>
    <n v="2.5"/>
    <s v="Dinner"/>
    <s v="Brunswick/Bath/Freeport"/>
    <n v="2"/>
  </r>
  <r>
    <n v="909"/>
    <s v="DD"/>
    <s v="Order"/>
    <n v="44"/>
    <s v="Wednesday"/>
    <x v="379"/>
    <n v="6"/>
    <n v="50.75"/>
    <d v="1899-12-30T03:14:00"/>
    <n v="3.2333333333333334"/>
    <n v="3.25"/>
    <s v="Dinner"/>
    <s v="Augusta"/>
    <n v="1"/>
  </r>
  <r>
    <n v="910"/>
    <s v="UE"/>
    <s v="Order"/>
    <n v="44"/>
    <s v="Saturday"/>
    <x v="380"/>
    <n v="3"/>
    <n v="58.95"/>
    <d v="1899-12-30T02:45:00"/>
    <n v="2.75"/>
    <n v="2.75"/>
    <s v="Dinner"/>
    <s v="Brunswick/Bath/Freeport"/>
    <n v="2"/>
  </r>
  <r>
    <n v="911"/>
    <s v="DD"/>
    <s v="Order"/>
    <n v="44"/>
    <s v="Saturday"/>
    <x v="380"/>
    <n v="2"/>
    <n v="16.75"/>
    <d v="1899-12-30T00:35:00"/>
    <n v="0.58333333333333337"/>
    <n v="0.5"/>
    <s v="Dinner"/>
    <s v="Brunswick/Bath/Freeport"/>
    <n v="2"/>
  </r>
  <r>
    <n v="912"/>
    <s v="DD"/>
    <s v="Order"/>
    <n v="44"/>
    <s v="Saturday"/>
    <x v="380"/>
    <n v="2"/>
    <n v="50"/>
    <d v="1899-12-30T02:18:00"/>
    <n v="2.2999999999999998"/>
    <n v="2.25"/>
    <s v="Dinner"/>
    <s v="Brunswick/Bath/Freeport"/>
    <n v="2"/>
  </r>
  <r>
    <n v="913"/>
    <s v="DD"/>
    <s v="Order"/>
    <n v="44"/>
    <s v="Saturday"/>
    <x v="380"/>
    <n v="2"/>
    <n v="11"/>
    <d v="1899-12-30T01:10:00"/>
    <n v="1.1666666666666667"/>
    <n v="1.25"/>
    <s v="Dinner"/>
    <s v="Brunswick/Bath/Freeport"/>
    <n v="2"/>
  </r>
  <r>
    <n v="914"/>
    <s v="DD"/>
    <s v="Order"/>
    <n v="44"/>
    <s v="Saturday"/>
    <x v="380"/>
    <n v="1"/>
    <n v="10.5"/>
    <d v="1899-12-30T00:28:00"/>
    <n v="0.46666666666666667"/>
    <n v="0.5"/>
    <s v="Late Night"/>
    <s v="Brunswick/Bath/Freeport"/>
    <n v="2"/>
  </r>
  <r>
    <n v="915"/>
    <s v="UE"/>
    <s v="Order"/>
    <n v="44"/>
    <s v="Sunday"/>
    <x v="381"/>
    <n v="7"/>
    <n v="120.46"/>
    <d v="1899-12-30T04:34:00"/>
    <n v="4.5666666666666664"/>
    <n v="4.5"/>
    <s v="Dinner"/>
    <s v="Brunswick/Bath/Freeport"/>
    <n v="2"/>
  </r>
  <r>
    <n v="916"/>
    <s v="DD"/>
    <s v="Order"/>
    <n v="44"/>
    <s v="Sunday"/>
    <x v="381"/>
    <n v="1"/>
    <n v="4.5"/>
    <d v="1899-12-30T01:16:00"/>
    <n v="1.2666666666666666"/>
    <n v="1.25"/>
    <s v="Dinner"/>
    <s v="Brunswick/Bath/Freeport"/>
    <n v="2"/>
  </r>
  <r>
    <n v="917"/>
    <s v="DD"/>
    <s v="Order"/>
    <n v="44"/>
    <s v="Sunday"/>
    <x v="381"/>
    <n v="4"/>
    <n v="39"/>
    <d v="1899-12-30T02:54:00"/>
    <n v="2.9"/>
    <n v="3"/>
    <s v="Dinner"/>
    <s v="Brunswick/Bath/Freeport"/>
    <n v="2"/>
  </r>
  <r>
    <n v="918"/>
    <s v="DD"/>
    <s v="Order"/>
    <n v="45"/>
    <s v="Monday"/>
    <x v="382"/>
    <n v="10"/>
    <n v="128.74"/>
    <d v="1899-12-30T04:31:00"/>
    <n v="4.5166666666666666"/>
    <n v="4.5"/>
    <s v="Dinner"/>
    <s v="Brunswick/Bath/Freeport"/>
    <n v="2"/>
  </r>
  <r>
    <n v="919"/>
    <s v="UE"/>
    <s v="Order"/>
    <n v="45"/>
    <s v="Tuesday"/>
    <x v="383"/>
    <n v="2"/>
    <n v="22.09"/>
    <d v="1899-12-30T01:13:00"/>
    <n v="1.2166666666666668"/>
    <n v="1.25"/>
    <s v="Dinner"/>
    <s v="Brunswick/Bath/Freeport"/>
    <n v="2"/>
  </r>
  <r>
    <n v="920"/>
    <s v="DD"/>
    <s v="Hourly"/>
    <n v="45"/>
    <s v="Tuesday"/>
    <x v="383"/>
    <n v="8"/>
    <n v="71.819999999999993"/>
    <d v="1899-12-30T03:10:00"/>
    <n v="3.166666666666667"/>
    <n v="3.25"/>
    <s v="Dinner"/>
    <s v="Brunswick/Bath/Freeport"/>
    <n v="2"/>
  </r>
  <r>
    <n v="921"/>
    <s v="UE"/>
    <s v="Order"/>
    <n v="45"/>
    <s v="Wednesday"/>
    <x v="384"/>
    <n v="2"/>
    <n v="26.5"/>
    <d v="1899-12-30T01:51:00"/>
    <n v="1.85"/>
    <n v="1.75"/>
    <s v="Dinner"/>
    <s v="Brunswick/Bath/Freeport"/>
    <n v="2"/>
  </r>
  <r>
    <n v="922"/>
    <s v="DD"/>
    <s v="Hourly"/>
    <n v="45"/>
    <s v="Wednesday"/>
    <x v="384"/>
    <n v="8"/>
    <n v="72.89"/>
    <d v="1899-12-30T04:13:00"/>
    <n v="4.2166666666666668"/>
    <n v="4.25"/>
    <s v="Dinner"/>
    <s v="Brunswick/Bath/Freeport"/>
    <n v="2"/>
  </r>
  <r>
    <n v="923"/>
    <s v="UE"/>
    <s v="Order"/>
    <n v="45"/>
    <s v="Friday"/>
    <x v="385"/>
    <n v="8"/>
    <n v="107.02"/>
    <d v="1899-12-30T04:01:00"/>
    <n v="4.0166666666666666"/>
    <n v="4"/>
    <s v="Dinner"/>
    <s v="Brunswick/Bath/Freeport"/>
    <n v="2"/>
  </r>
  <r>
    <n v="924"/>
    <s v="DD"/>
    <s v="Hourly"/>
    <n v="45"/>
    <s v="Friday"/>
    <x v="385"/>
    <n v="1"/>
    <n v="9.15"/>
    <d v="1899-12-30T00:47:00"/>
    <n v="0.78333333333333344"/>
    <n v="0.75"/>
    <s v="Late Night"/>
    <s v="Brunswick/Bath/Freeport"/>
    <n v="2"/>
  </r>
  <r>
    <n v="925"/>
    <s v="UE"/>
    <s v="Order"/>
    <n v="46"/>
    <s v="Monday"/>
    <x v="386"/>
    <n v="4"/>
    <n v="77.56"/>
    <d v="1899-12-30T03:07:00"/>
    <n v="3.1166666666666671"/>
    <n v="3"/>
    <s v="Dinner"/>
    <s v="Brunswick/Bath/Freeport"/>
    <n v="2"/>
  </r>
  <r>
    <n v="926"/>
    <s v="DD"/>
    <s v="Hourly"/>
    <n v="46"/>
    <s v="Monday"/>
    <x v="386"/>
    <n v="4"/>
    <n v="20.97"/>
    <d v="1899-12-30T02:01:00"/>
    <n v="2.0166666666666666"/>
    <n v="2"/>
    <s v="Dinner"/>
    <s v="Brunswick/Bath/Freeport"/>
    <n v="2"/>
  </r>
  <r>
    <n v="927"/>
    <s v="UE"/>
    <s v="Order"/>
    <n v="46"/>
    <s v="Wednesday"/>
    <x v="387"/>
    <n v="2"/>
    <n v="37.880000000000003"/>
    <d v="1899-12-30T02:59:00"/>
    <n v="2.9833333333333334"/>
    <n v="3"/>
    <s v="Dinner"/>
    <s v="Brunswick/Bath/Freeport"/>
    <n v="2"/>
  </r>
  <r>
    <n v="928"/>
    <s v="DD"/>
    <s v="Hourly"/>
    <n v="46"/>
    <s v="Wednesday"/>
    <x v="387"/>
    <n v="7"/>
    <n v="69.98"/>
    <d v="1899-12-30T03:49:00"/>
    <n v="3.8166666666666664"/>
    <n v="3.75"/>
    <s v="Dinner"/>
    <s v="Brunswick/Bath/Freeport"/>
    <n v="2"/>
  </r>
  <r>
    <n v="929"/>
    <s v="UE"/>
    <s v="Order"/>
    <n v="46"/>
    <s v="Friday"/>
    <x v="388"/>
    <n v="1"/>
    <n v="23.08"/>
    <d v="1899-12-30T01:58:00"/>
    <n v="1.9666666666666668"/>
    <n v="2"/>
    <s v="Dinner"/>
    <s v="Lewiston"/>
    <n v="3"/>
  </r>
  <r>
    <n v="930"/>
    <s v="DD"/>
    <s v="Hourly"/>
    <n v="46"/>
    <s v="Friday"/>
    <x v="388"/>
    <n v="14"/>
    <n v="115.28"/>
    <d v="1899-12-30T06:33:00"/>
    <n v="6.5499999999999989"/>
    <n v="6.5"/>
    <s v="Dinner"/>
    <s v="Lewiston"/>
    <n v="3"/>
  </r>
  <r>
    <n v="931"/>
    <s v="UE"/>
    <s v="Order"/>
    <n v="46"/>
    <s v="Saturday"/>
    <x v="389"/>
    <n v="10"/>
    <n v="84.63"/>
    <d v="1899-12-30T04:34:00"/>
    <n v="4.5666666666666664"/>
    <n v="4.5"/>
    <s v="Dinner"/>
    <s v="Portland"/>
    <n v="4"/>
  </r>
  <r>
    <n v="932"/>
    <s v="DD"/>
    <s v="Hourly"/>
    <n v="46"/>
    <s v="Saturday"/>
    <x v="389"/>
    <n v="3"/>
    <n v="28.87"/>
    <d v="1899-12-30T02:53:00"/>
    <n v="2.8833333333333333"/>
    <n v="3"/>
    <s v="Dinner"/>
    <s v="Portland"/>
    <n v="4"/>
  </r>
  <r>
    <n v="933"/>
    <s v="UE"/>
    <s v="Order"/>
    <n v="46"/>
    <s v="Sunday"/>
    <x v="390"/>
    <n v="4"/>
    <n v="51.49"/>
    <d v="1899-12-30T02:07:00"/>
    <n v="2.1166666666666667"/>
    <n v="2"/>
    <s v="Dinner"/>
    <s v="Brunswick/Bath/Freeport"/>
    <n v="2"/>
  </r>
  <r>
    <n v="934"/>
    <s v="DD"/>
    <s v="Hourly"/>
    <n v="46"/>
    <s v="Sunday"/>
    <x v="390"/>
    <n v="12"/>
    <n v="107.7"/>
    <d v="1899-12-30T05:34:00"/>
    <n v="5.5666666666666664"/>
    <n v="5.5"/>
    <s v="Dinner"/>
    <s v="Brunswick/Bath/Freeport"/>
    <n v="2"/>
  </r>
  <r>
    <n v="935"/>
    <s v="UE"/>
    <s v="Order"/>
    <n v="47"/>
    <s v="Monday"/>
    <x v="391"/>
    <n v="6"/>
    <n v="110.38"/>
    <d v="1899-12-30T03:30:00"/>
    <n v="3.5"/>
    <n v="3.5"/>
    <s v="Dinner"/>
    <s v="Augusta"/>
    <n v="1"/>
  </r>
  <r>
    <n v="936"/>
    <s v="DD"/>
    <s v="Hourly"/>
    <n v="47"/>
    <s v="Monday"/>
    <x v="391"/>
    <n v="2"/>
    <n v="14.78"/>
    <d v="1899-12-30T01:45:00"/>
    <n v="1.75"/>
    <n v="1.75"/>
    <s v="Dinner"/>
    <s v="Augusta"/>
    <n v="1"/>
  </r>
  <r>
    <n v="937"/>
    <s v="DD"/>
    <s v="Hourly"/>
    <n v="47"/>
    <s v="Monday"/>
    <x v="391"/>
    <n v="2"/>
    <n v="18.91"/>
    <d v="1899-12-30T00:47:00"/>
    <n v="0.78333333333333344"/>
    <n v="0.75"/>
    <s v="Late Night"/>
    <s v="Augusta"/>
    <n v="1"/>
  </r>
  <r>
    <n v="938"/>
    <s v="UE"/>
    <s v="Order"/>
    <n v="47"/>
    <s v="Tuesday"/>
    <x v="392"/>
    <n v="3"/>
    <n v="35.06"/>
    <d v="1899-12-30T02:06:00"/>
    <n v="2.1"/>
    <n v="2"/>
    <s v="Dinner"/>
    <s v="Brunswick/Bath/Freeport"/>
    <n v="2"/>
  </r>
  <r>
    <n v="939"/>
    <s v="DD"/>
    <s v="Hourly"/>
    <n v="47"/>
    <s v="Tuesday"/>
    <x v="392"/>
    <n v="5"/>
    <n v="46.56"/>
    <d v="1899-12-30T03:31:00"/>
    <n v="3.5166666666666666"/>
    <n v="3.5"/>
    <s v="Dinner"/>
    <s v="Brunswick/Bath/Freeport"/>
    <n v="2"/>
  </r>
  <r>
    <n v="940"/>
    <s v="UE"/>
    <s v="Order"/>
    <n v="47"/>
    <s v="Thursday"/>
    <x v="393"/>
    <n v="1"/>
    <n v="3.05"/>
    <d v="1899-12-30T00:43:00"/>
    <n v="0.71666666666666667"/>
    <n v="0.75"/>
    <s v="Dinner"/>
    <s v="Lewiston"/>
    <n v="3"/>
  </r>
  <r>
    <n v="941"/>
    <s v="DD"/>
    <s v="Hourly"/>
    <n v="47"/>
    <s v="Thursday"/>
    <x v="393"/>
    <n v="4"/>
    <n v="24.35"/>
    <d v="1899-12-30T02:04:00"/>
    <n v="2.0666666666666669"/>
    <n v="2"/>
    <s v="Dinner"/>
    <s v="Lewiston"/>
    <n v="3"/>
  </r>
  <r>
    <n v="942"/>
    <s v="UE"/>
    <s v="Order"/>
    <n v="47"/>
    <s v="Friday"/>
    <x v="394"/>
    <n v="2"/>
    <n v="16.77"/>
    <d v="1899-12-30T01:01:00"/>
    <n v="1.0166666666666666"/>
    <n v="1"/>
    <s v="Dinner"/>
    <s v="Brunswick/Bath/Freeport"/>
    <n v="2"/>
  </r>
  <r>
    <n v="943"/>
    <s v="UE"/>
    <s v="Order"/>
    <n v="48"/>
    <s v="Monday"/>
    <x v="395"/>
    <n v="2"/>
    <n v="19.350000000000001"/>
    <d v="1899-12-30T02:09:00"/>
    <n v="2.15"/>
    <n v="2.25"/>
    <s v="Dinner"/>
    <s v="Augusta"/>
    <n v="1"/>
  </r>
  <r>
    <n v="944"/>
    <s v="DD"/>
    <s v="Hourly"/>
    <n v="48"/>
    <s v="Monday"/>
    <x v="395"/>
    <n v="8"/>
    <n v="94.06"/>
    <d v="1899-12-30T03:55:00"/>
    <n v="3.916666666666667"/>
    <n v="4"/>
    <s v="Dinner"/>
    <s v="Augusta"/>
    <n v="1"/>
  </r>
  <r>
    <n v="945"/>
    <s v="UE"/>
    <s v="Order"/>
    <n v="48"/>
    <s v="Tuesday"/>
    <x v="396"/>
    <n v="2"/>
    <n v="12.27"/>
    <d v="1899-12-30T01:37:00"/>
    <n v="1.6166666666666667"/>
    <n v="1.5"/>
    <s v="Dinner"/>
    <s v="Lewiston"/>
    <n v="3"/>
  </r>
  <r>
    <n v="946"/>
    <s v="DD"/>
    <s v="Hourly"/>
    <n v="48"/>
    <s v="Tuesday"/>
    <x v="396"/>
    <n v="7"/>
    <n v="61.23"/>
    <d v="1899-12-30T03:59:00"/>
    <n v="3.9833333333333334"/>
    <n v="4"/>
    <s v="Dinner"/>
    <s v="Lewiston"/>
    <n v="3"/>
  </r>
  <r>
    <n v="947"/>
    <s v="UE"/>
    <s v="Order"/>
    <n v="48"/>
    <s v="Wednesday"/>
    <x v="397"/>
    <n v="3"/>
    <n v="32.18"/>
    <d v="1899-12-30T01:49:00"/>
    <n v="1.8166666666666664"/>
    <n v="1.75"/>
    <s v="Dinner"/>
    <s v="Brunswick/Bath/Freeport"/>
    <n v="2"/>
  </r>
  <r>
    <n v="948"/>
    <s v="UE"/>
    <s v="Order"/>
    <n v="48"/>
    <s v="Friday"/>
    <x v="398"/>
    <n v="6"/>
    <n v="100.39"/>
    <d v="1899-12-30T03:57:00"/>
    <n v="3.95"/>
    <n v="4"/>
    <s v="Dinner"/>
    <s v="Brunswick/Bath/Freeport"/>
    <n v="2"/>
  </r>
  <r>
    <n v="949"/>
    <s v="DD"/>
    <s v="Hourly"/>
    <n v="48"/>
    <s v="Friday"/>
    <x v="398"/>
    <n v="2"/>
    <n v="10.44"/>
    <d v="1899-12-30T00:45:00"/>
    <n v="0.75"/>
    <n v="0.75"/>
    <s v="Dinner"/>
    <s v="Brunswick/Bath/Freeport"/>
    <n v="2"/>
  </r>
  <r>
    <n v="950"/>
    <s v="DD"/>
    <s v="Hourly"/>
    <n v="48"/>
    <s v="Friday"/>
    <x v="398"/>
    <n v="7"/>
    <n v="67.92"/>
    <d v="1899-12-30T02:36:00"/>
    <n v="2.6"/>
    <n v="2.5"/>
    <s v="Dinner"/>
    <s v="Brunswick/Bath/Freeport"/>
    <n v="2"/>
  </r>
  <r>
    <n v="951"/>
    <s v="UE"/>
    <s v="Order"/>
    <n v="49"/>
    <s v="Monday"/>
    <x v="399"/>
    <n v="3"/>
    <n v="50.71"/>
    <d v="1899-12-30T01:57:00"/>
    <n v="1.9500000000000002"/>
    <n v="2"/>
    <s v="Dinner"/>
    <s v="Brunswick/Bath/Freeport"/>
    <n v="2"/>
  </r>
  <r>
    <n v="952"/>
    <s v="DD"/>
    <s v="Order"/>
    <n v="49"/>
    <s v="Monday"/>
    <x v="399"/>
    <n v="3"/>
    <n v="36.25"/>
    <d v="1899-12-30T01:09:00"/>
    <n v="1.1499999999999999"/>
    <n v="1.25"/>
    <s v="Dinner"/>
    <s v="Brunswick/Bath/Freeport"/>
    <n v="2"/>
  </r>
  <r>
    <n v="953"/>
    <s v="DD"/>
    <s v="Order"/>
    <n v="49"/>
    <s v="Monday"/>
    <x v="399"/>
    <n v="3"/>
    <n v="25.25"/>
    <d v="1899-12-30T01:10:00"/>
    <n v="1.1666666666666667"/>
    <n v="1.25"/>
    <s v="Dinner"/>
    <s v="Brunswick/Bath/Freeport"/>
    <n v="2"/>
  </r>
  <r>
    <n v="954"/>
    <s v="UE"/>
    <s v="Order"/>
    <n v="49"/>
    <s v="Tuesday"/>
    <x v="400"/>
    <n v="6"/>
    <n v="112.54"/>
    <d v="1899-12-30T04:27:00"/>
    <n v="4.45"/>
    <n v="4.5"/>
    <s v="Dinner"/>
    <s v="Brunswick/Bath/Freeport"/>
    <n v="2"/>
  </r>
  <r>
    <n v="955"/>
    <s v="DD"/>
    <s v="Hourly"/>
    <n v="49"/>
    <s v="Tuesday"/>
    <x v="400"/>
    <n v="2"/>
    <n v="40.869999999999997"/>
    <d v="1899-12-30T01:56:00"/>
    <n v="1.9333333333333336"/>
    <n v="2"/>
    <s v="Dinner"/>
    <s v="Brunswick/Bath/Freeport"/>
    <n v="2"/>
  </r>
  <r>
    <n v="956"/>
    <s v="UE"/>
    <s v="Order"/>
    <n v="49"/>
    <s v="Thursday"/>
    <x v="401"/>
    <n v="3"/>
    <n v="25.63"/>
    <d v="1899-12-30T02:09:00"/>
    <n v="2.15"/>
    <n v="2.25"/>
    <s v="Dinner"/>
    <s v="Portland"/>
    <n v="4"/>
  </r>
  <r>
    <n v="957"/>
    <s v="DD"/>
    <s v="Hourly"/>
    <n v="49"/>
    <s v="Thursday"/>
    <x v="401"/>
    <n v="5"/>
    <n v="42.5"/>
    <d v="1899-12-30T03:25:00"/>
    <n v="3.4166666666666665"/>
    <n v="3.5"/>
    <s v="Dinner"/>
    <s v="Portland"/>
    <n v="4"/>
  </r>
  <r>
    <n v="958"/>
    <s v="UE"/>
    <s v="Order"/>
    <n v="50"/>
    <s v="Wednesday"/>
    <x v="402"/>
    <n v="2"/>
    <n v="14.65"/>
    <d v="1899-12-30T01:37:00"/>
    <n v="1.6166666666666667"/>
    <n v="1.5"/>
    <s v="Dinner"/>
    <s v="Portland"/>
    <n v="4"/>
  </r>
  <r>
    <n v="959"/>
    <s v="DD"/>
    <s v="Hourly"/>
    <n v="50"/>
    <s v="Wednesday"/>
    <x v="402"/>
    <n v="5"/>
    <n v="61.5"/>
    <d v="1899-12-30T03:42:00"/>
    <n v="3.7"/>
    <n v="3.75"/>
    <s v="Dinner"/>
    <s v="Portland"/>
    <n v="4"/>
  </r>
  <r>
    <n v="960"/>
    <s v="UE"/>
    <s v="Order"/>
    <n v="50"/>
    <s v="Thursday"/>
    <x v="403"/>
    <n v="5"/>
    <n v="68.91"/>
    <d v="1899-12-30T02:51:00"/>
    <n v="2.85"/>
    <n v="2.75"/>
    <s v="Dinner"/>
    <s v="Brunswick/Bath/Freeport"/>
    <n v="2"/>
  </r>
  <r>
    <n v="961"/>
    <s v="DD"/>
    <s v="Hourly"/>
    <n v="50"/>
    <s v="Thursday"/>
    <x v="403"/>
    <n v="4"/>
    <n v="43.97"/>
    <d v="1899-12-30T02:24:00"/>
    <n v="2.4"/>
    <n v="2.5"/>
    <s v="Dinner"/>
    <s v="Brunswick/Bath/Freeport"/>
    <n v="2"/>
  </r>
  <r>
    <n v="962"/>
    <s v="UE"/>
    <s v="Order"/>
    <n v="50"/>
    <s v="Friday"/>
    <x v="404"/>
    <n v="5"/>
    <n v="46.79"/>
    <d v="1899-12-30T02:50:00"/>
    <n v="2.8333333333333335"/>
    <n v="2.75"/>
    <s v="Dinner"/>
    <s v="Portland"/>
    <n v="4"/>
  </r>
  <r>
    <n v="963"/>
    <s v="DD"/>
    <s v="Hourly"/>
    <n v="50"/>
    <s v="Friday"/>
    <x v="404"/>
    <n v="1"/>
    <n v="7.55"/>
    <d v="1899-12-30T01:31:00"/>
    <n v="1.5166666666666666"/>
    <n v="1.5"/>
    <s v="Dinner"/>
    <s v="Portland"/>
    <n v="4"/>
  </r>
  <r>
    <n v="964"/>
    <s v="DD"/>
    <s v="Hourly"/>
    <n v="50"/>
    <s v="Saturday"/>
    <x v="405"/>
    <n v="7"/>
    <n v="38.44"/>
    <d v="1899-12-30T02:41:00"/>
    <n v="2.6833333333333336"/>
    <n v="2.75"/>
    <s v="Dinner"/>
    <s v="Lewiston"/>
    <n v="3"/>
  </r>
  <r>
    <n v="965"/>
    <s v="UE"/>
    <s v="Order"/>
    <n v="51"/>
    <s v="Thursday"/>
    <x v="406"/>
    <n v="7"/>
    <n v="97.37"/>
    <d v="1899-12-30T04:25:00"/>
    <n v="4.416666666666667"/>
    <n v="4.5"/>
    <s v="Dinner"/>
    <s v="Brunswick/Bath/Freeport"/>
    <n v="2"/>
  </r>
  <r>
    <n v="966"/>
    <s v="DD"/>
    <s v="Hourly"/>
    <n v="51"/>
    <s v="Thursday"/>
    <x v="406"/>
    <n v="2"/>
    <n v="17.37"/>
    <d v="1899-12-30T00:44:00"/>
    <n v="0.73333333333333328"/>
    <n v="0.75"/>
    <s v="Dinner"/>
    <s v="Brunswick/Bath/Freeport"/>
    <n v="2"/>
  </r>
  <r>
    <n v="967"/>
    <s v="DD"/>
    <s v="Hourly"/>
    <n v="51"/>
    <s v="Thursday"/>
    <x v="406"/>
    <n v="1"/>
    <n v="13.42"/>
    <d v="1899-12-30T00:42:00"/>
    <n v="0.7"/>
    <n v="0.75"/>
    <s v="Late Night"/>
    <s v="Brunswick/Bath/Freeport"/>
    <n v="2"/>
  </r>
  <r>
    <n v="968"/>
    <s v="DD"/>
    <s v="Order"/>
    <n v="51"/>
    <s v="Thursday"/>
    <x v="406"/>
    <n v="2"/>
    <n v="38.5"/>
    <d v="1899-12-30T01:27:00"/>
    <n v="1.45"/>
    <n v="1.5"/>
    <s v="Late Night"/>
    <s v="Brunswick/Bath/Freeport"/>
    <n v="2"/>
  </r>
  <r>
    <n v="969"/>
    <s v="UE"/>
    <s v="Order"/>
    <n v="51"/>
    <s v="Saturday"/>
    <x v="407"/>
    <n v="2"/>
    <n v="29.1"/>
    <d v="1899-12-30T02:12:00"/>
    <n v="2.2000000000000002"/>
    <n v="2.25"/>
    <s v="Dinner"/>
    <s v="Augusta"/>
    <n v="1"/>
  </r>
  <r>
    <n v="970"/>
    <s v="DD"/>
    <s v="Hourly"/>
    <n v="51"/>
    <s v="Saturday"/>
    <x v="407"/>
    <n v="4"/>
    <n v="35.619999999999997"/>
    <d v="1899-12-30T02:17:00"/>
    <n v="2.2833333333333332"/>
    <n v="2.25"/>
    <s v="Dinner"/>
    <s v="Augusta"/>
    <n v="1"/>
  </r>
  <r>
    <n v="971"/>
    <s v="DD"/>
    <s v="Hourly"/>
    <n v="52"/>
    <s v="Monday"/>
    <x v="408"/>
    <n v="3"/>
    <n v="44.82"/>
    <d v="1899-12-30T02:06:00"/>
    <n v="2.1"/>
    <n v="2"/>
    <s v="Dinner"/>
    <s v="Brunswick/Bath/Freeport"/>
    <n v="2"/>
  </r>
  <r>
    <n v="972"/>
    <s v="DD"/>
    <s v="Hourly"/>
    <n v="52"/>
    <s v="Monday"/>
    <x v="408"/>
    <n v="3"/>
    <n v="21.84"/>
    <d v="1899-12-30T01:08:00"/>
    <n v="1.1333333333333333"/>
    <n v="1.25"/>
    <s v="Dinner"/>
    <s v="Brunswick/Bath/Freeport"/>
    <n v="2"/>
  </r>
  <r>
    <n v="973"/>
    <s v="DD"/>
    <s v="Hourly"/>
    <n v="52"/>
    <s v="Monday"/>
    <x v="408"/>
    <n v="2"/>
    <n v="21.1"/>
    <d v="1899-12-30T01:02:00"/>
    <n v="1.0333333333333334"/>
    <n v="1"/>
    <s v="Late Night"/>
    <s v="Brunswick/Bath/Freeport"/>
    <n v="2"/>
  </r>
  <r>
    <n v="974"/>
    <s v="UE"/>
    <s v="Order"/>
    <n v="52"/>
    <s v="Friday"/>
    <x v="409"/>
    <n v="6"/>
    <n v="84.94"/>
    <d v="1899-12-30T03:19:00"/>
    <n v="3.3166666666666664"/>
    <n v="3.25"/>
    <s v="Dinner"/>
    <s v="Brunswick/Bath/Freeport"/>
    <n v="2"/>
  </r>
  <r>
    <n v="975"/>
    <s v="DD"/>
    <s v="Hourly"/>
    <n v="52"/>
    <s v="Friday"/>
    <x v="409"/>
    <n v="3"/>
    <n v="31.37"/>
    <d v="1899-12-30T01:27:00"/>
    <n v="1.45"/>
    <n v="1.5"/>
    <s v="Dinner"/>
    <s v="Brunswick/Bath/Freeport"/>
    <n v="2"/>
  </r>
  <r>
    <n v="976"/>
    <s v="DD"/>
    <s v="Hourly"/>
    <n v="52"/>
    <s v="Friday"/>
    <x v="409"/>
    <n v="1"/>
    <n v="6.73"/>
    <d v="1899-12-30T00:46:00"/>
    <n v="0.76666666666666683"/>
    <n v="0.75"/>
    <s v="Late Night"/>
    <s v="Brunswick/Bath/Freeport"/>
    <n v="2"/>
  </r>
  <r>
    <n v="977"/>
    <s v="UE"/>
    <s v="Order"/>
    <n v="52"/>
    <s v="Saturday"/>
    <x v="410"/>
    <n v="3"/>
    <n v="40.270000000000003"/>
    <d v="1899-12-30T02:21:00"/>
    <n v="2.35"/>
    <n v="2.25"/>
    <s v="Dinner"/>
    <s v="Brunswick/Bath/Freeport"/>
    <n v="2"/>
  </r>
  <r>
    <n v="978"/>
    <s v="DD"/>
    <s v="Hourly"/>
    <n v="52"/>
    <s v="Saturday"/>
    <x v="410"/>
    <n v="4"/>
    <n v="42.83"/>
    <d v="1899-12-30T02:42:00"/>
    <n v="2.7"/>
    <n v="2.75"/>
    <s v="Dinner"/>
    <s v="Brunswick/Bath/Freeport"/>
    <n v="2"/>
  </r>
  <r>
    <n v="979"/>
    <s v="UE"/>
    <s v="Order"/>
    <n v="52"/>
    <s v="Sunday"/>
    <x v="411"/>
    <n v="1"/>
    <n v="13.09"/>
    <d v="1899-12-30T00:54:00"/>
    <n v="0.89999999999999991"/>
    <n v="1"/>
    <s v="Lunch"/>
    <s v="Brunswick/Bath/Freeport"/>
    <n v="2"/>
  </r>
  <r>
    <n v="980"/>
    <s v="DD"/>
    <s v="Hourly"/>
    <n v="52"/>
    <s v="Sunday"/>
    <x v="411"/>
    <n v="1"/>
    <n v="12.99"/>
    <d v="1899-12-30T01:35:00"/>
    <n v="1.5833333333333335"/>
    <n v="1.5"/>
    <s v="Lunch"/>
    <s v="Brunswick/Bath/Freeport"/>
    <n v="2"/>
  </r>
  <r>
    <n v="981"/>
    <s v="UE"/>
    <s v="Order"/>
    <n v="53"/>
    <s v="Wednesday"/>
    <x v="412"/>
    <n v="3"/>
    <n v="52.12"/>
    <d v="1899-12-30T02:42:00"/>
    <n v="2.7"/>
    <n v="2.75"/>
    <s v="Dinner"/>
    <s v="Brunswick/Bath/Freeport"/>
    <n v="2"/>
  </r>
  <r>
    <n v="982"/>
    <s v="DD"/>
    <s v="Order"/>
    <n v="53"/>
    <s v="Wednesday"/>
    <x v="412"/>
    <n v="3"/>
    <n v="14.53"/>
    <d v="1899-12-30T00:49:00"/>
    <n v="0.81666666666666665"/>
    <n v="0.75"/>
    <s v="Dinner"/>
    <s v="Brunswick/Bath/Freeport"/>
    <n v="2"/>
  </r>
  <r>
    <n v="983"/>
    <s v="DD"/>
    <s v="Hourly"/>
    <n v="53"/>
    <s v="Wednesday"/>
    <x v="412"/>
    <n v="2"/>
    <n v="32.909999999999997"/>
    <d v="1899-12-30T01:02:00"/>
    <n v="1.0333333333333334"/>
    <n v="1"/>
    <s v="Dinner"/>
    <s v="Brunswick/Bath/Freeport"/>
    <n v="2"/>
  </r>
  <r>
    <n v="984"/>
    <s v="UE"/>
    <s v="Order"/>
    <n v="53"/>
    <s v="Friday"/>
    <x v="413"/>
    <n v="6"/>
    <n v="91.8"/>
    <d v="1899-12-30T03:42:00"/>
    <n v="3.7"/>
    <n v="3.75"/>
    <s v="Dinner"/>
    <s v="Brunswick/Bath/Freeport"/>
    <n v="2"/>
  </r>
  <r>
    <n v="985"/>
    <s v="DD"/>
    <s v="Hourly"/>
    <n v="53"/>
    <s v="Friday"/>
    <x v="413"/>
    <n v="1"/>
    <n v="11.59"/>
    <d v="1899-12-30T00:52:00"/>
    <n v="0.8666666666666667"/>
    <n v="0.75"/>
    <s v="Dinner"/>
    <s v="Brunswick/Bath/Freeport"/>
    <n v="2"/>
  </r>
  <r>
    <n v="986"/>
    <s v="DD"/>
    <s v="Hourly"/>
    <n v="53"/>
    <s v="Friday"/>
    <x v="413"/>
    <n v="2"/>
    <n v="23.83"/>
    <d v="1899-12-30T00:55:00"/>
    <n v="0.91666666666666652"/>
    <n v="1"/>
    <s v="Dinner"/>
    <s v="Brunswick/Bath/Freeport"/>
    <n v="2"/>
  </r>
  <r>
    <n v="987"/>
    <s v="DD"/>
    <s v="Hourly"/>
    <n v="53"/>
    <s v="Friday"/>
    <x v="413"/>
    <n v="5"/>
    <n v="51.07"/>
    <d v="1899-12-30T02:16:00"/>
    <n v="2.2666666666666666"/>
    <n v="2.25"/>
    <s v="Late Night"/>
    <s v="Brunswick/Bath/Freeport"/>
    <n v="2"/>
  </r>
  <r>
    <n v="988"/>
    <s v="UE"/>
    <s v="Order"/>
    <n v="1"/>
    <s v="Monday"/>
    <x v="414"/>
    <n v="5"/>
    <n v="45.19"/>
    <d v="1899-12-30T02:32:00"/>
    <n v="2.5333333333333332"/>
    <n v="2.5"/>
    <s v="Dinner"/>
    <s v="Portland"/>
    <n v="4"/>
  </r>
  <r>
    <n v="989"/>
    <s v="DD"/>
    <s v="Hourly"/>
    <n v="1"/>
    <s v="Monday"/>
    <x v="414"/>
    <n v="1"/>
    <n v="11.54"/>
    <d v="1899-12-30T00:32:00"/>
    <n v="0.53333333333333333"/>
    <n v="0.5"/>
    <s v="Dinner"/>
    <s v="Portland"/>
    <n v="4"/>
  </r>
  <r>
    <n v="990"/>
    <s v="DD"/>
    <s v="Hourly"/>
    <n v="1"/>
    <s v="Monday"/>
    <x v="414"/>
    <n v="1"/>
    <n v="5.27"/>
    <d v="1899-12-30T00:50:00"/>
    <n v="0.83333333333333337"/>
    <n v="0.75"/>
    <s v="Late Night"/>
    <s v="Portland"/>
    <n v="4"/>
  </r>
  <r>
    <n v="991"/>
    <s v="UE"/>
    <s v="Order"/>
    <n v="1"/>
    <s v="Tuesday"/>
    <x v="415"/>
    <n v="6"/>
    <n v="71.77"/>
    <d v="1899-12-30T03:09:00"/>
    <n v="3.1500000000000004"/>
    <n v="3.25"/>
    <s v="Dinner"/>
    <s v="Portland"/>
    <n v="4"/>
  </r>
  <r>
    <n v="992"/>
    <s v="DD"/>
    <s v="Hourly"/>
    <n v="1"/>
    <s v="Tuesday"/>
    <x v="415"/>
    <n v="1"/>
    <n v="11.26"/>
    <d v="1899-12-30T00:25:00"/>
    <n v="0.41666666666666669"/>
    <n v="0.5"/>
    <s v="Dinner"/>
    <s v="Portland"/>
    <n v="4"/>
  </r>
  <r>
    <n v="993"/>
    <s v="UE"/>
    <s v="Order"/>
    <n v="1"/>
    <s v="Wednesday"/>
    <x v="416"/>
    <n v="4"/>
    <n v="53.99"/>
    <d v="1899-12-30T02:02:00"/>
    <n v="2.0333333333333332"/>
    <n v="2"/>
    <s v="Dinner"/>
    <s v="Brunswick/Bath/Freeport"/>
    <n v="2"/>
  </r>
  <r>
    <n v="994"/>
    <s v="DD"/>
    <s v="Hourly"/>
    <n v="1"/>
    <s v="Wednesday"/>
    <x v="416"/>
    <n v="5"/>
    <n v="38.020000000000003"/>
    <d v="1899-12-30T01:31:00"/>
    <n v="1.5166666666666666"/>
    <n v="1.5"/>
    <s v="Dinner"/>
    <s v="Brunswick/Bath/Freeport"/>
    <n v="2"/>
  </r>
  <r>
    <n v="995"/>
    <s v="UE"/>
    <s v="Order"/>
    <n v="1"/>
    <s v="Friday"/>
    <x v="417"/>
    <n v="4"/>
    <n v="44"/>
    <d v="1899-12-30T02:56:00"/>
    <n v="2.9333333333333336"/>
    <n v="3"/>
    <s v="Dinner"/>
    <s v="Brunswick/Bath/Freeport"/>
    <n v="2"/>
  </r>
  <r>
    <n v="996"/>
    <s v="UE"/>
    <s v="Order"/>
    <n v="1"/>
    <s v="Saturday"/>
    <x v="418"/>
    <n v="4"/>
    <n v="36.24"/>
    <d v="1899-12-30T03:12:00"/>
    <n v="3.2"/>
    <n v="3.25"/>
    <s v="Dinner"/>
    <s v="Portland"/>
    <n v="4"/>
  </r>
  <r>
    <n v="997"/>
    <s v="DD"/>
    <s v="Hourly"/>
    <n v="1"/>
    <s v="Saturday"/>
    <x v="418"/>
    <n v="1"/>
    <n v="12.93"/>
    <d v="1899-12-30T00:39:00"/>
    <n v="0.65"/>
    <n v="0.75"/>
    <s v="Dinner"/>
    <s v="Portland"/>
    <n v="4"/>
  </r>
  <r>
    <n v="998"/>
    <s v="DD"/>
    <s v="Hourly"/>
    <n v="1"/>
    <s v="Saturday"/>
    <x v="418"/>
    <n v="4"/>
    <n v="69.61"/>
    <d v="1899-12-30T01:55:00"/>
    <n v="1.9166666666666665"/>
    <n v="2"/>
    <s v="Dinner"/>
    <s v="Portland"/>
    <n v="4"/>
  </r>
  <r>
    <n v="999"/>
    <s v="DD"/>
    <s v="Hourly"/>
    <n v="1"/>
    <s v="Saturday"/>
    <x v="418"/>
    <n v="1"/>
    <n v="16.63"/>
    <d v="1899-12-30T00:22:00"/>
    <n v="0.36666666666666664"/>
    <n v="0.25"/>
    <s v="Dinner"/>
    <s v="Portland"/>
    <n v="4"/>
  </r>
  <r>
    <n v="1000"/>
    <s v="UE"/>
    <s v="Order"/>
    <n v="1"/>
    <s v="Sunday"/>
    <x v="419"/>
    <n v="4"/>
    <n v="53.84"/>
    <d v="1899-12-30T02:09:00"/>
    <n v="2.15"/>
    <n v="2.25"/>
    <s v="Lunch"/>
    <s v="Brunswick/Bath/Freeport"/>
    <n v="2"/>
  </r>
  <r>
    <n v="1001"/>
    <s v="DD"/>
    <s v="Hourly"/>
    <n v="1"/>
    <s v="Sunday"/>
    <x v="419"/>
    <n v="3"/>
    <n v="38.89"/>
    <d v="1899-12-30T03:13:00"/>
    <n v="3.2166666666666668"/>
    <n v="3.25"/>
    <s v="Lunch"/>
    <s v="Brunswick/Bath/Freeport"/>
    <n v="2"/>
  </r>
  <r>
    <n v="1002"/>
    <s v="UE"/>
    <s v="Order"/>
    <n v="2"/>
    <s v="Monday"/>
    <x v="420"/>
    <n v="2"/>
    <n v="29.1"/>
    <d v="1899-12-30T01:33:00"/>
    <n v="1.5500000000000003"/>
    <n v="1.5"/>
    <s v="Dinner"/>
    <s v="Brunswick/Bath/Freeport"/>
    <n v="2"/>
  </r>
  <r>
    <n v="1003"/>
    <s v="DD"/>
    <s v="Hourly"/>
    <n v="2"/>
    <s v="Monday"/>
    <x v="420"/>
    <n v="3"/>
    <n v="29.24"/>
    <d v="1899-12-30T01:26:00"/>
    <n v="1.4333333333333333"/>
    <n v="1.5"/>
    <s v="Dinner"/>
    <s v="Brunswick/Bath/Freeport"/>
    <n v="2"/>
  </r>
  <r>
    <n v="1004"/>
    <s v="DD"/>
    <s v="Hourly"/>
    <n v="2"/>
    <s v="Monday"/>
    <x v="420"/>
    <n v="1"/>
    <n v="18.5"/>
    <d v="1899-12-30T00:38:00"/>
    <n v="0.6333333333333333"/>
    <n v="0.75"/>
    <s v="Dinner"/>
    <s v="Brunswick/Bath/Freeport"/>
    <n v="2"/>
  </r>
  <r>
    <n v="1005"/>
    <s v="DD"/>
    <s v="Hourly"/>
    <n v="2"/>
    <s v="Tuesday"/>
    <x v="421"/>
    <n v="4"/>
    <n v="48.6"/>
    <d v="1899-12-30T02:17:00"/>
    <n v="2.2833333333333332"/>
    <n v="2.25"/>
    <s v="Dinner"/>
    <s v="Brunswick/Bath/Freeport"/>
    <n v="2"/>
  </r>
  <r>
    <n v="1006"/>
    <s v="DD"/>
    <s v="Hourly"/>
    <n v="2"/>
    <s v="Tuesday"/>
    <x v="421"/>
    <n v="1"/>
    <n v="17.690000000000001"/>
    <d v="1899-12-30T00:30:00"/>
    <n v="0.5"/>
    <n v="0.5"/>
    <s v="Dinner"/>
    <s v="Brunswick/Bath/Freeport"/>
    <n v="2"/>
  </r>
  <r>
    <n v="1007"/>
    <s v="DD"/>
    <s v="Hourly"/>
    <n v="2"/>
    <s v="Wednesday"/>
    <x v="422"/>
    <n v="2"/>
    <n v="19.37"/>
    <d v="1899-12-30T00:45:00"/>
    <n v="0.75"/>
    <n v="0.75"/>
    <s v="Dinner"/>
    <s v="Brunswick/Bath/Freeport"/>
    <n v="2"/>
  </r>
  <r>
    <n v="1008"/>
    <s v="UE"/>
    <s v="Order"/>
    <n v="2"/>
    <s v="Thursday"/>
    <x v="423"/>
    <n v="4"/>
    <n v="61.35"/>
    <d v="1899-12-30T02:52:00"/>
    <n v="2.8666666666666667"/>
    <n v="2.75"/>
    <s v="Dinner"/>
    <s v="Augusta"/>
    <n v="1"/>
  </r>
  <r>
    <n v="1009"/>
    <s v="DD"/>
    <s v="Hourly"/>
    <n v="2"/>
    <s v="Thursday"/>
    <x v="423"/>
    <n v="1"/>
    <n v="10.81"/>
    <d v="1899-12-30T00:46:00"/>
    <n v="0.76666666666666683"/>
    <n v="0.75"/>
    <s v="Dinner"/>
    <s v="Augusta"/>
    <n v="1"/>
  </r>
  <r>
    <n v="1010"/>
    <s v="DD"/>
    <s v="Hourly"/>
    <n v="2"/>
    <s v="Saturday"/>
    <x v="424"/>
    <n v="6"/>
    <n v="56.12"/>
    <d v="1899-12-30T02:12:00"/>
    <n v="2.2000000000000002"/>
    <n v="2.25"/>
    <s v="Dinner"/>
    <s v="Lewiston"/>
    <n v="3"/>
  </r>
  <r>
    <n v="1011"/>
    <s v="UE"/>
    <s v="Order"/>
    <n v="2"/>
    <s v="Sunday"/>
    <x v="425"/>
    <n v="3"/>
    <n v="34.57"/>
    <d v="1899-12-30T02:16:00"/>
    <n v="2.2666666666666666"/>
    <n v="2.25"/>
    <s v="Dinner"/>
    <s v="Brunswick/Bath/Freeport"/>
    <n v="2"/>
  </r>
  <r>
    <n v="1012"/>
    <s v="DD"/>
    <s v="Hourly"/>
    <n v="2"/>
    <s v="Sunday"/>
    <x v="425"/>
    <n v="2"/>
    <n v="27.19"/>
    <d v="1899-12-30T00:38:00"/>
    <n v="0.6333333333333333"/>
    <n v="0.75"/>
    <s v="Dinner"/>
    <s v="Brunswick/Bath/Freeport"/>
    <n v="2"/>
  </r>
  <r>
    <n v="1013"/>
    <s v="DD"/>
    <s v="Hourly"/>
    <n v="2"/>
    <s v="Sunday"/>
    <x v="425"/>
    <n v="2"/>
    <n v="23.75"/>
    <d v="1899-12-30T00:32:00"/>
    <n v="0.53333333333333333"/>
    <n v="0.5"/>
    <s v="Dinner"/>
    <s v="Brunswick/Bath/Freeport"/>
    <n v="2"/>
  </r>
  <r>
    <n v="1014"/>
    <s v="UE"/>
    <s v="Order"/>
    <n v="3"/>
    <s v="Monday"/>
    <x v="426"/>
    <n v="1"/>
    <n v="11.07"/>
    <d v="1899-12-30T01:13:00"/>
    <n v="1.2166666666666668"/>
    <n v="1.25"/>
    <s v="Dinner"/>
    <s v="Brunswick/Bath/Freeport"/>
    <n v="2"/>
  </r>
  <r>
    <n v="1015"/>
    <s v="DD"/>
    <s v="Hourly"/>
    <n v="3"/>
    <s v="Monday"/>
    <x v="426"/>
    <n v="2"/>
    <n v="29.03"/>
    <d v="1899-12-30T00:56:00"/>
    <n v="0.93333333333333335"/>
    <n v="1"/>
    <s v="Dinner"/>
    <s v="Brunswick/Bath/Freeport"/>
    <n v="2"/>
  </r>
  <r>
    <n v="1016"/>
    <s v="DD"/>
    <s v="Hourly"/>
    <n v="3"/>
    <s v="Monday"/>
    <x v="426"/>
    <n v="4"/>
    <n v="33.130000000000003"/>
    <d v="1899-12-30T01:17:00"/>
    <n v="1.2833333333333332"/>
    <n v="1.25"/>
    <s v="Dinner"/>
    <s v="Brunswick/Bath/Freeport"/>
    <n v="2"/>
  </r>
  <r>
    <n v="1017"/>
    <s v="DD"/>
    <s v="Hourly"/>
    <n v="3"/>
    <s v="Monday"/>
    <x v="426"/>
    <n v="1"/>
    <n v="8.9700000000000006"/>
    <d v="1899-12-30T00:31:00"/>
    <n v="0.51666666666666672"/>
    <n v="0.5"/>
    <s v="Dinner"/>
    <s v="Brunswick/Bath/Freeport"/>
    <n v="2"/>
  </r>
  <r>
    <n v="1018"/>
    <s v="UE"/>
    <s v="Order"/>
    <n v="3"/>
    <s v="Tuesday"/>
    <x v="427"/>
    <n v="4"/>
    <n v="102.67"/>
    <d v="1899-12-30T03:00:00"/>
    <n v="3"/>
    <n v="3"/>
    <s v="Dinner"/>
    <s v="Brunswick/Bath/Freeport"/>
    <n v="2"/>
  </r>
  <r>
    <n v="1019"/>
    <s v="DD"/>
    <s v="Hourly"/>
    <n v="3"/>
    <s v="Tuesday"/>
    <x v="427"/>
    <n v="3"/>
    <n v="52.57"/>
    <d v="1899-12-30T02:17:00"/>
    <n v="2.2833333333333332"/>
    <n v="2.25"/>
    <s v="Dinner"/>
    <s v="Brunswick/Bath/Freeport"/>
    <n v="2"/>
  </r>
  <r>
    <n v="1020"/>
    <s v="DD"/>
    <s v="Hourly"/>
    <n v="3"/>
    <s v="Tuesday"/>
    <x v="427"/>
    <n v="2"/>
    <n v="22.25"/>
    <d v="1899-12-30T00:47:00"/>
    <n v="0.78333333333333344"/>
    <n v="0.75"/>
    <s v="Late Night"/>
    <s v="Brunswick/Bath/Freeport"/>
    <n v="2"/>
  </r>
  <r>
    <n v="1021"/>
    <s v="UE"/>
    <s v="Order"/>
    <n v="3"/>
    <s v="Saturday"/>
    <x v="428"/>
    <n v="2"/>
    <n v="20.12"/>
    <d v="1899-12-30T02:25:00"/>
    <n v="2.4166666666666665"/>
    <n v="2.5"/>
    <s v="Dinner"/>
    <s v="Brunswick/Bath/Freeport"/>
    <n v="2"/>
  </r>
  <r>
    <n v="1022"/>
    <s v="DD"/>
    <s v="Hourly"/>
    <n v="3"/>
    <s v="Saturday"/>
    <x v="428"/>
    <n v="6"/>
    <n v="43.79"/>
    <d v="1899-12-30T03:05:00"/>
    <n v="3.0833333333333339"/>
    <n v="3"/>
    <s v="Dinner"/>
    <s v="Brunswick/Bath/Freeport"/>
    <n v="2"/>
  </r>
  <r>
    <n v="1023"/>
    <s v="DD"/>
    <s v="Hourly"/>
    <n v="3"/>
    <s v="Saturday"/>
    <x v="428"/>
    <n v="4"/>
    <n v="33.49"/>
    <d v="1899-12-30T01:52:00"/>
    <n v="1.8666666666666667"/>
    <n v="1.75"/>
    <s v="Late Night"/>
    <s v="Brunswick/Bath/Freeport"/>
    <n v="2"/>
  </r>
  <r>
    <n v="1024"/>
    <s v="UE"/>
    <s v="Order"/>
    <n v="4"/>
    <s v="Monday"/>
    <x v="429"/>
    <n v="1"/>
    <n v="11.08"/>
    <d v="1899-12-30T01:46:00"/>
    <n v="1.7666666666666666"/>
    <n v="1.75"/>
    <s v="Dinner"/>
    <s v="Brunswick/Bath/Freeport"/>
    <n v="2"/>
  </r>
  <r>
    <n v="1025"/>
    <s v="DD"/>
    <s v="Hourly"/>
    <n v="4"/>
    <s v="Monday"/>
    <x v="429"/>
    <n v="3"/>
    <n v="47.36"/>
    <d v="1899-12-30T02:10:00"/>
    <n v="2.1666666666666665"/>
    <n v="2.25"/>
    <s v="Dinner"/>
    <s v="Brunswick/Bath/Freeport"/>
    <n v="2"/>
  </r>
  <r>
    <n v="1026"/>
    <s v="DD"/>
    <s v="Hourly"/>
    <n v="4"/>
    <s v="Monday"/>
    <x v="429"/>
    <n v="1"/>
    <n v="8.26"/>
    <d v="1899-12-30T00:29:00"/>
    <n v="0.48333333333333339"/>
    <n v="0.5"/>
    <s v="Dinner"/>
    <s v="Brunswick/Bath/Freeport"/>
    <n v="2"/>
  </r>
  <r>
    <n v="1027"/>
    <s v="DD"/>
    <s v="Order"/>
    <n v="4"/>
    <s v="Monday"/>
    <x v="429"/>
    <n v="2"/>
    <n v="15"/>
    <d v="1899-12-30T00:35:00"/>
    <n v="0.58333333333333337"/>
    <n v="0.5"/>
    <s v="Dinner"/>
    <s v="Brunswick/Bath/Freeport"/>
    <n v="2"/>
  </r>
  <r>
    <n v="1028"/>
    <s v="DD"/>
    <s v="Hourly"/>
    <n v="4"/>
    <s v="Monday"/>
    <x v="429"/>
    <n v="2"/>
    <n v="16.62"/>
    <d v="1899-12-30T00:47:00"/>
    <n v="0.78333333333333344"/>
    <n v="0.75"/>
    <s v="Late Night"/>
    <s v="Brunswick/Bath/Freeport"/>
    <n v="2"/>
  </r>
  <r>
    <n v="1029"/>
    <s v="UE"/>
    <s v="Order"/>
    <n v="4"/>
    <s v="Tuesday"/>
    <x v="430"/>
    <n v="2"/>
    <n v="16.97"/>
    <d v="1899-12-30T01:31:00"/>
    <n v="1.5166666666666666"/>
    <n v="1.5"/>
    <s v="Dinner"/>
    <s v="Brunswick/Bath/Freeport"/>
    <n v="2"/>
  </r>
  <r>
    <n v="1030"/>
    <s v="DD"/>
    <s v="Hourly"/>
    <n v="4"/>
    <s v="Tuesday"/>
    <x v="430"/>
    <n v="3"/>
    <n v="25.37"/>
    <d v="1899-12-30T01:03:00"/>
    <n v="1.05"/>
    <n v="1"/>
    <s v="Dinner"/>
    <s v="Brunswick/Bath/Freeport"/>
    <n v="2"/>
  </r>
  <r>
    <n v="1031"/>
    <s v="UE"/>
    <s v="Order"/>
    <n v="4"/>
    <s v="Thursday"/>
    <x v="431"/>
    <n v="3"/>
    <n v="51.5"/>
    <d v="1899-12-30T02:40:00"/>
    <n v="2.6666666666666665"/>
    <n v="2.75"/>
    <s v="Dinner"/>
    <s v="Brunswick/Bath/Freeport"/>
    <n v="2"/>
  </r>
  <r>
    <n v="1032"/>
    <s v="DD"/>
    <s v="Hourly"/>
    <n v="4"/>
    <s v="Thursday"/>
    <x v="431"/>
    <n v="1"/>
    <n v="20.41"/>
    <d v="1899-12-30T00:46:00"/>
    <n v="0.76666666666666683"/>
    <n v="0.75"/>
    <s v="Dinner"/>
    <s v="Brunswick/Bath/Freeport"/>
    <n v="2"/>
  </r>
  <r>
    <n v="1033"/>
    <s v="DD"/>
    <s v="Hourly"/>
    <n v="4"/>
    <s v="Thursday"/>
    <x v="431"/>
    <n v="2"/>
    <n v="21.31"/>
    <d v="1899-12-30T01:03:00"/>
    <n v="1.05"/>
    <n v="1"/>
    <s v="Dinner"/>
    <s v="Brunswick/Bath/Freeport"/>
    <n v="2"/>
  </r>
  <r>
    <n v="1034"/>
    <s v="UE"/>
    <s v="Order"/>
    <n v="4"/>
    <s v="Friday"/>
    <x v="432"/>
    <n v="2"/>
    <n v="7.74"/>
    <d v="1899-12-30T01:41:00"/>
    <n v="1.6833333333333333"/>
    <n v="1.75"/>
    <s v="Dinner"/>
    <s v="Lewiston"/>
    <n v="3"/>
  </r>
  <r>
    <n v="1035"/>
    <s v="DD"/>
    <s v="Hourly"/>
    <n v="4"/>
    <s v="Friday"/>
    <x v="432"/>
    <n v="2"/>
    <n v="21.32"/>
    <d v="1899-12-30T01:01:00"/>
    <n v="1.0166666666666666"/>
    <n v="1"/>
    <s v="Dinner"/>
    <s v="Lewiston"/>
    <n v="3"/>
  </r>
  <r>
    <n v="1036"/>
    <s v="DD"/>
    <s v="Hourly"/>
    <n v="4"/>
    <s v="Friday"/>
    <x v="432"/>
    <n v="4"/>
    <n v="34"/>
    <d v="1899-12-30T02:00:00"/>
    <n v="2"/>
    <n v="2"/>
    <s v="Dinner"/>
    <s v="Lewiston"/>
    <n v="3"/>
  </r>
  <r>
    <n v="1037"/>
    <s v="DD"/>
    <s v="Hourly"/>
    <n v="4"/>
    <s v="Friday"/>
    <x v="432"/>
    <n v="4"/>
    <n v="33.75"/>
    <d v="1899-12-30T01:52:00"/>
    <n v="1.8666666666666667"/>
    <n v="1.75"/>
    <s v="Late Night"/>
    <s v="Lewiston"/>
    <n v="3"/>
  </r>
  <r>
    <n v="1038"/>
    <s v="UE"/>
    <s v="Order"/>
    <n v="4"/>
    <s v="Saturday"/>
    <x v="433"/>
    <n v="7"/>
    <n v="99.47"/>
    <d v="1899-12-30T04:09:00"/>
    <n v="4.1500000000000004"/>
    <n v="4.25"/>
    <s v="Dinner"/>
    <s v="Brunswick/Bath/Freeport"/>
    <n v="2"/>
  </r>
  <r>
    <n v="1039"/>
    <s v="DD"/>
    <s v="Hourly"/>
    <n v="4"/>
    <s v="Saturday"/>
    <x v="433"/>
    <n v="1"/>
    <n v="11.25"/>
    <d v="1899-12-30T00:46:00"/>
    <n v="0.76666666666666683"/>
    <n v="0.75"/>
    <s v="Dinner"/>
    <s v="Brunswick/Bath/Freeport"/>
    <n v="2"/>
  </r>
  <r>
    <n v="1040"/>
    <s v="UE"/>
    <s v="Order"/>
    <n v="5"/>
    <s v="Tuesday"/>
    <x v="434"/>
    <n v="5"/>
    <n v="108.86"/>
    <d v="1899-12-30T02:52:00"/>
    <n v="2.8666666666666667"/>
    <n v="2.75"/>
    <s v="Dinner"/>
    <s v="Brunswick/Bath/Freeport"/>
    <n v="2"/>
  </r>
  <r>
    <n v="1041"/>
    <s v="DD"/>
    <s v="Hourly"/>
    <n v="5"/>
    <s v="Tuesday"/>
    <x v="434"/>
    <n v="1"/>
    <n v="13"/>
    <d v="1899-12-30T00:48:00"/>
    <n v="0.8"/>
    <n v="0.75"/>
    <s v="Dinner"/>
    <s v="Brunswick/Bath/Freeport"/>
    <n v="2"/>
  </r>
  <r>
    <n v="1042"/>
    <s v="DD"/>
    <s v="Hourly"/>
    <n v="5"/>
    <s v="Tuesday"/>
    <x v="434"/>
    <n v="4"/>
    <n v="49.41"/>
    <d v="1899-12-30T02:09:00"/>
    <n v="2.15"/>
    <n v="2.25"/>
    <s v="Late Night"/>
    <s v="Brunswick/Bath/Freeport"/>
    <n v="2"/>
  </r>
  <r>
    <n v="1043"/>
    <s v="DD"/>
    <s v="Hourly"/>
    <n v="5"/>
    <s v="Wednesday"/>
    <x v="435"/>
    <n v="3"/>
    <n v="28.75"/>
    <d v="1899-12-30T02:02:00"/>
    <n v="2.0333333333333332"/>
    <n v="2"/>
    <s v="Dinner"/>
    <s v="Augusta"/>
    <n v="1"/>
  </r>
  <r>
    <n v="1044"/>
    <s v="DD"/>
    <s v="Order"/>
    <n v="5"/>
    <s v="Wednesday"/>
    <x v="435"/>
    <n v="2"/>
    <n v="12"/>
    <d v="1899-12-30T00:52:00"/>
    <n v="0.8666666666666667"/>
    <n v="0.75"/>
    <s v="Dinner"/>
    <s v="Augusta"/>
    <n v="1"/>
  </r>
  <r>
    <n v="1045"/>
    <s v="DD"/>
    <s v="Hourly"/>
    <n v="5"/>
    <s v="Wednesday"/>
    <x v="435"/>
    <n v="1"/>
    <n v="9.6"/>
    <d v="1899-12-30T00:21:00"/>
    <n v="0.35"/>
    <n v="0.25"/>
    <s v="Dinner"/>
    <s v="Augusta"/>
    <n v="1"/>
  </r>
  <r>
    <n v="1046"/>
    <s v="UE"/>
    <s v="Order"/>
    <n v="5"/>
    <s v="Thursday"/>
    <x v="436"/>
    <n v="2"/>
    <n v="19.850000000000001"/>
    <d v="1899-12-30T01:06:00"/>
    <n v="1.1000000000000001"/>
    <n v="1"/>
    <s v="Dinner"/>
    <s v="Lewiston"/>
    <n v="3"/>
  </r>
  <r>
    <n v="1047"/>
    <s v="DD"/>
    <s v="Hourly"/>
    <n v="5"/>
    <s v="Thursday"/>
    <x v="436"/>
    <n v="7"/>
    <n v="38.979999999999997"/>
    <d v="1899-12-30T03:16:00"/>
    <n v="3.2666666666666666"/>
    <n v="3.25"/>
    <s v="Dinner"/>
    <s v="Lewiston"/>
    <n v="3"/>
  </r>
  <r>
    <n v="1048"/>
    <s v="UE"/>
    <s v="Order"/>
    <n v="5"/>
    <s v="Friday"/>
    <x v="437"/>
    <n v="4"/>
    <n v="23.07"/>
    <d v="1899-12-30T02:07:00"/>
    <n v="2.1166666666666667"/>
    <n v="2"/>
    <s v="Dinner"/>
    <s v="Lewiston"/>
    <n v="3"/>
  </r>
  <r>
    <n v="1049"/>
    <s v="DD"/>
    <s v="Hourly"/>
    <n v="5"/>
    <s v="Friday"/>
    <x v="437"/>
    <n v="5"/>
    <n v="47.69"/>
    <d v="1899-12-30T02:41:00"/>
    <n v="2.6833333333333336"/>
    <n v="2.75"/>
    <s v="Dinner"/>
    <s v="Lewiston"/>
    <n v="3"/>
  </r>
  <r>
    <n v="1050"/>
    <s v="DD"/>
    <s v="Hourly"/>
    <n v="5"/>
    <s v="Friday"/>
    <x v="437"/>
    <n v="1"/>
    <n v="8.65"/>
    <d v="1899-12-30T00:53:00"/>
    <n v="0.8833333333333333"/>
    <n v="1"/>
    <s v="Dinner"/>
    <s v="Lewiston"/>
    <n v="3"/>
  </r>
  <r>
    <n v="1051"/>
    <s v="DD"/>
    <s v="Hourly"/>
    <n v="5"/>
    <s v="Friday"/>
    <x v="437"/>
    <n v="2"/>
    <n v="9.23"/>
    <d v="1899-12-30T01:03:00"/>
    <n v="1.0499999999999998"/>
    <n v="1"/>
    <s v="Dinner"/>
    <s v="Lewiston"/>
    <n v="3"/>
  </r>
  <r>
    <n v="1052"/>
    <s v="DD"/>
    <s v="Hourly"/>
    <n v="6"/>
    <s v="Monday"/>
    <x v="438"/>
    <n v="5"/>
    <n v="39.82"/>
    <d v="1899-12-30T02:26:00"/>
    <n v="2.4333333333333336"/>
    <n v="2.5"/>
    <s v="Dinner"/>
    <s v="Lewiston"/>
    <n v="3"/>
  </r>
  <r>
    <n v="1053"/>
    <s v="DD"/>
    <s v="Hourly"/>
    <n v="6"/>
    <s v="Wednesday"/>
    <x v="439"/>
    <n v="5"/>
    <n v="54.54"/>
    <d v="1899-12-30T02:59:00"/>
    <n v="2.9833333333333334"/>
    <n v="3"/>
    <s v="Dinner"/>
    <s v="Brunswick/Bath/Freeport"/>
    <n v="2"/>
  </r>
  <r>
    <n v="1054"/>
    <s v="UE"/>
    <s v="Order"/>
    <n v="6"/>
    <s v="Thursday"/>
    <x v="440"/>
    <n v="5"/>
    <n v="52.23"/>
    <d v="1899-12-30T03:33:00"/>
    <n v="3.55"/>
    <n v="3.5"/>
    <s v="Dinner"/>
    <s v="Lewiston"/>
    <n v="3"/>
  </r>
  <r>
    <n v="1055"/>
    <s v="DD"/>
    <s v="Order"/>
    <n v="6"/>
    <s v="Thursday"/>
    <x v="440"/>
    <n v="4"/>
    <n v="46.5"/>
    <d v="1899-12-30T01:59:00"/>
    <n v="1.9833333333333334"/>
    <n v="2"/>
    <s v="Dinner"/>
    <s v="Lewiston"/>
    <n v="3"/>
  </r>
  <r>
    <n v="1056"/>
    <s v="DD"/>
    <s v="Order"/>
    <n v="6"/>
    <s v="Thursday"/>
    <x v="440"/>
    <n v="4"/>
    <n v="20"/>
    <d v="1899-12-30T01:03:00"/>
    <n v="1.0499999999999998"/>
    <n v="1"/>
    <s v="Late Night"/>
    <s v="Lewiston"/>
    <n v="3"/>
  </r>
  <r>
    <n v="1057"/>
    <s v="UE"/>
    <s v="Order"/>
    <n v="6"/>
    <s v="Friday"/>
    <x v="441"/>
    <n v="2"/>
    <n v="25.09"/>
    <d v="1899-12-30T02:21:00"/>
    <n v="2.35"/>
    <n v="2.25"/>
    <s v="Dinner"/>
    <s v="Lewiston"/>
    <n v="3"/>
  </r>
  <r>
    <n v="1058"/>
    <s v="DD"/>
    <s v="Order"/>
    <n v="6"/>
    <s v="Friday"/>
    <x v="441"/>
    <n v="10"/>
    <n v="84.5"/>
    <d v="1899-12-30T05:26:00"/>
    <n v="5.4333333333333336"/>
    <n v="5.5"/>
    <s v="Dinner"/>
    <s v="Lewiston"/>
    <n v="3"/>
  </r>
  <r>
    <n v="1059"/>
    <s v="DD"/>
    <s v="Order"/>
    <n v="6"/>
    <s v="Friday"/>
    <x v="441"/>
    <n v="1"/>
    <n v="11"/>
    <d v="1899-12-30T00:30:00"/>
    <n v="0.5"/>
    <n v="0.5"/>
    <s v="Late Night"/>
    <s v="Lewiston"/>
    <n v="3"/>
  </r>
  <r>
    <n v="1060"/>
    <s v="UE"/>
    <s v="Order"/>
    <n v="6"/>
    <s v="Saturday"/>
    <x v="442"/>
    <n v="1"/>
    <n v="16.02"/>
    <d v="1899-12-30T01:20:00"/>
    <n v="1.3333333333333333"/>
    <n v="1.25"/>
    <s v="Dinner"/>
    <s v="Brunswick/Bath/Freeport"/>
    <n v="2"/>
  </r>
  <r>
    <n v="1061"/>
    <s v="DD"/>
    <s v="Order"/>
    <n v="6"/>
    <s v="Saturday"/>
    <x v="442"/>
    <n v="7"/>
    <n v="53"/>
    <d v="1899-12-30T03:30:00"/>
    <n v="3.5"/>
    <n v="3.5"/>
    <s v="Dinner"/>
    <s v="Brunswick/Bath/Freeport"/>
    <n v="2"/>
  </r>
  <r>
    <n v="1062"/>
    <s v="UE"/>
    <s v="Order"/>
    <n v="7"/>
    <s v="Tuesday"/>
    <x v="443"/>
    <n v="3"/>
    <n v="40.54"/>
    <d v="1899-12-30T01:49:00"/>
    <n v="1.8166666666666664"/>
    <n v="1.75"/>
    <s v="Dinner"/>
    <s v="Brunswick/Bath/Freeport"/>
    <n v="2"/>
  </r>
  <r>
    <n v="1063"/>
    <s v="DD"/>
    <s v="Order"/>
    <n v="7"/>
    <s v="Tuesday"/>
    <x v="443"/>
    <n v="6"/>
    <n v="48.75"/>
    <d v="1899-12-30T02:58:00"/>
    <n v="2.9666666666666668"/>
    <n v="3"/>
    <s v="Dinner"/>
    <s v="Brunswick/Bath/Freeport"/>
    <n v="2"/>
  </r>
  <r>
    <n v="1064"/>
    <s v="DD"/>
    <s v="Order"/>
    <n v="7"/>
    <s v="Tuesday"/>
    <x v="443"/>
    <n v="1"/>
    <n v="11.25"/>
    <d v="1899-12-30T00:36:00"/>
    <n v="0.60000000000000009"/>
    <n v="0.5"/>
    <s v="Late Night"/>
    <s v="Brunswick/Bath/Freeport"/>
    <n v="2"/>
  </r>
  <r>
    <n v="1065"/>
    <s v="UE"/>
    <s v="Order"/>
    <n v="7"/>
    <s v="Wednesday"/>
    <x v="444"/>
    <n v="11"/>
    <n v="166.65"/>
    <d v="1899-12-30T04:20:00"/>
    <n v="4.333333333333333"/>
    <n v="4.25"/>
    <s v="Dinner"/>
    <s v="Brunswick/Bath/Freeport"/>
    <n v="2"/>
  </r>
  <r>
    <n v="1066"/>
    <s v="DD"/>
    <s v="Order"/>
    <n v="7"/>
    <s v="Wednesday"/>
    <x v="444"/>
    <n v="2"/>
    <n v="18.5"/>
    <d v="1899-12-30T01:04:00"/>
    <n v="1.0666666666666667"/>
    <n v="1"/>
    <s v="Dinner"/>
    <s v="Brunswick/Bath/Freeport"/>
    <n v="2"/>
  </r>
  <r>
    <n v="1067"/>
    <s v="DD"/>
    <s v="Order"/>
    <n v="7"/>
    <s v="Wednesday"/>
    <x v="444"/>
    <n v="1"/>
    <n v="7"/>
    <d v="1899-12-30T00:29:00"/>
    <n v="0.48333333333333339"/>
    <n v="0.5"/>
    <s v="Late Night"/>
    <s v="Brunswick/Bath/Freeport"/>
    <n v="2"/>
  </r>
  <r>
    <n v="1068"/>
    <s v="UE"/>
    <s v="Order"/>
    <n v="7"/>
    <s v="Friday"/>
    <x v="445"/>
    <n v="3"/>
    <n v="14.64"/>
    <d v="1899-12-30T01:59:00"/>
    <n v="1.9833333333333334"/>
    <n v="2"/>
    <s v="Dinner"/>
    <s v="Lewiston"/>
    <n v="3"/>
  </r>
  <r>
    <n v="1069"/>
    <s v="DD"/>
    <s v="Order"/>
    <n v="7"/>
    <s v="Friday"/>
    <x v="445"/>
    <n v="8"/>
    <n v="46.65"/>
    <d v="1899-12-30T02:37:00"/>
    <n v="2.6166666666666667"/>
    <n v="2.5"/>
    <s v="Dinner"/>
    <s v="Lewiston"/>
    <n v="3"/>
  </r>
  <r>
    <n v="1070"/>
    <s v="DD"/>
    <s v="Order"/>
    <n v="7"/>
    <s v="Friday"/>
    <x v="445"/>
    <n v="2"/>
    <n v="12.25"/>
    <d v="1899-12-30T00:53:00"/>
    <n v="0.8833333333333333"/>
    <n v="1"/>
    <s v="Dinner"/>
    <s v="Lewiston"/>
    <n v="3"/>
  </r>
  <r>
    <n v="1071"/>
    <s v="DD"/>
    <s v="Order"/>
    <n v="7"/>
    <s v="Friday"/>
    <x v="445"/>
    <n v="2"/>
    <n v="8"/>
    <d v="1899-12-30T00:38:00"/>
    <n v="0.6333333333333333"/>
    <n v="0.75"/>
    <s v="Late Night"/>
    <s v="Lewiston"/>
    <n v="3"/>
  </r>
  <r>
    <n v="1072"/>
    <s v="UE"/>
    <s v="Order"/>
    <n v="7"/>
    <s v="Saturday"/>
    <x v="446"/>
    <n v="4"/>
    <n v="58.71"/>
    <d v="1899-12-30T02:52:00"/>
    <n v="2.8666666666666667"/>
    <n v="2.75"/>
    <s v="Dinner"/>
    <s v="Brunswick/Bath/Freeport"/>
    <n v="2"/>
  </r>
  <r>
    <n v="1073"/>
    <s v="DD"/>
    <s v="Order"/>
    <n v="7"/>
    <s v="Saturday"/>
    <x v="446"/>
    <n v="6"/>
    <n v="53.5"/>
    <d v="1899-12-30T02:18:00"/>
    <n v="2.3000000000000003"/>
    <n v="2.25"/>
    <s v="Dinner"/>
    <s v="Brunswick/Bath/Freeport"/>
    <n v="2"/>
  </r>
  <r>
    <n v="1074"/>
    <s v="DD"/>
    <s v="Order"/>
    <n v="7"/>
    <s v="Saturday"/>
    <x v="446"/>
    <n v="1"/>
    <n v="19.98"/>
    <d v="1899-12-30T01:14:00"/>
    <n v="1.2333333333333334"/>
    <n v="1.25"/>
    <s v="Late Night"/>
    <s v="Brunswick/Bath/Freeport"/>
    <n v="2"/>
  </r>
  <r>
    <n v="1075"/>
    <s v="DD"/>
    <s v="Hourly"/>
    <n v="7"/>
    <s v="Sunday"/>
    <x v="447"/>
    <n v="6"/>
    <n v="52.45"/>
    <d v="1899-12-30T02:44:00"/>
    <n v="2.7333333333333334"/>
    <n v="2.75"/>
    <s v="Lunch"/>
    <s v="Augusta"/>
    <n v="1"/>
  </r>
  <r>
    <n v="1076"/>
    <s v="UE"/>
    <s v="Order"/>
    <n v="8"/>
    <s v="Monday"/>
    <x v="448"/>
    <n v="5"/>
    <n v="68.67"/>
    <d v="1899-12-30T02:28:00"/>
    <n v="2.4666666666666668"/>
    <n v="2.5"/>
    <s v="Dinner"/>
    <s v="Brunswick/Bath/Freeport"/>
    <n v="2"/>
  </r>
  <r>
    <n v="1077"/>
    <s v="DD"/>
    <s v="Hourly"/>
    <n v="8"/>
    <s v="Monday"/>
    <x v="448"/>
    <n v="4"/>
    <n v="26.82"/>
    <d v="1899-12-30T02:16:00"/>
    <n v="2.2666666666666666"/>
    <n v="2.25"/>
    <s v="Dinner"/>
    <s v="Brunswick/Bath/Freeport"/>
    <n v="2"/>
  </r>
  <r>
    <n v="1078"/>
    <s v="DD"/>
    <s v="Order"/>
    <n v="8"/>
    <s v="Monday"/>
    <x v="448"/>
    <n v="1"/>
    <n v="17"/>
    <d v="1899-12-30T00:47:00"/>
    <n v="0.78333333333333344"/>
    <n v="0.75"/>
    <s v="Dinner"/>
    <s v="Brunswick/Bath/Freeport"/>
    <n v="2"/>
  </r>
  <r>
    <n v="1079"/>
    <s v="UE"/>
    <s v="Order"/>
    <n v="8"/>
    <s v="Tuesday"/>
    <x v="449"/>
    <n v="1"/>
    <n v="10.53"/>
    <d v="1899-12-30T00:45:00"/>
    <n v="0.75"/>
    <n v="0.75"/>
    <s v="Dinner"/>
    <s v="Lewiston"/>
    <n v="3"/>
  </r>
  <r>
    <n v="1080"/>
    <s v="DD"/>
    <s v="Hourly"/>
    <n v="8"/>
    <s v="Tuesday"/>
    <x v="449"/>
    <n v="5"/>
    <n v="28.79"/>
    <d v="1899-12-30T02:28:00"/>
    <n v="2.4666666666666668"/>
    <n v="2.5"/>
    <s v="Dinner"/>
    <s v="Lewiston"/>
    <n v="3"/>
  </r>
  <r>
    <n v="1081"/>
    <s v="DD"/>
    <s v="Hourly"/>
    <n v="8"/>
    <s v="Wednesday"/>
    <x v="450"/>
    <n v="4"/>
    <n v="27.94"/>
    <d v="1899-12-30T01:45:00"/>
    <n v="1.75"/>
    <n v="1.75"/>
    <s v="Dinner"/>
    <s v="Lewiston"/>
    <n v="3"/>
  </r>
  <r>
    <n v="1082"/>
    <s v="DD"/>
    <s v="Hourly"/>
    <n v="8"/>
    <s v="Wednesday"/>
    <x v="450"/>
    <n v="1"/>
    <n v="9.7200000000000006"/>
    <d v="1899-12-30T00:28:00"/>
    <n v="0.46666666666666667"/>
    <n v="0.5"/>
    <s v="Dinner"/>
    <s v="Lewiston"/>
    <n v="3"/>
  </r>
  <r>
    <n v="1083"/>
    <s v="UE"/>
    <s v="Order"/>
    <n v="8"/>
    <s v="Thursday"/>
    <x v="451"/>
    <n v="5"/>
    <n v="50.98"/>
    <d v="1899-12-30T02:33:00"/>
    <n v="2.5499999999999998"/>
    <n v="2.5"/>
    <s v="Dinner"/>
    <s v="Lewiston"/>
    <n v="3"/>
  </r>
  <r>
    <n v="1084"/>
    <s v="DD"/>
    <s v="Hourly"/>
    <n v="8"/>
    <s v="Thursday"/>
    <x v="451"/>
    <n v="2"/>
    <n v="29.68"/>
    <d v="1899-12-30T01:29:00"/>
    <n v="1.4833333333333334"/>
    <n v="1.5"/>
    <s v="Dinner"/>
    <s v="Lewiston"/>
    <n v="3"/>
  </r>
  <r>
    <n v="1085"/>
    <s v="DD"/>
    <s v="Hourly"/>
    <n v="8"/>
    <s v="Thursday"/>
    <x v="451"/>
    <n v="1"/>
    <n v="5.43"/>
    <d v="1899-12-30T01:10:00"/>
    <n v="1.1666666666666667"/>
    <n v="1.25"/>
    <s v="Dinner"/>
    <s v="Lewiston"/>
    <n v="3"/>
  </r>
  <r>
    <n v="1086"/>
    <s v="DD"/>
    <s v="Order"/>
    <n v="8"/>
    <s v="Thursday"/>
    <x v="451"/>
    <n v="2"/>
    <n v="19.25"/>
    <d v="1899-12-30T00:48:00"/>
    <n v="0.8"/>
    <n v="0.75"/>
    <s v="Dinner"/>
    <s v="Lewiston"/>
    <n v="3"/>
  </r>
  <r>
    <n v="1087"/>
    <s v="UE"/>
    <s v="Order"/>
    <n v="8"/>
    <s v="Saturday"/>
    <x v="452"/>
    <n v="7"/>
    <n v="91.17"/>
    <d v="1899-12-30T03:09:00"/>
    <n v="3.1500000000000004"/>
    <n v="3.25"/>
    <s v="Dinner"/>
    <s v="Brunswick/Bath/Freeport"/>
    <n v="2"/>
  </r>
  <r>
    <n v="1088"/>
    <s v="DD"/>
    <s v="Hourly"/>
    <n v="8"/>
    <s v="Saturday"/>
    <x v="452"/>
    <n v="1"/>
    <n v="4.6900000000000004"/>
    <d v="1899-12-30T00:48:00"/>
    <n v="0.8"/>
    <n v="0.75"/>
    <s v="Dinner"/>
    <s v="Brunswick/Bath/Freeport"/>
    <n v="2"/>
  </r>
  <r>
    <n v="1089"/>
    <s v="DD"/>
    <s v="Hourly"/>
    <n v="8"/>
    <s v="Saturday"/>
    <x v="452"/>
    <n v="2"/>
    <n v="10.52"/>
    <d v="1899-12-30T00:35:00"/>
    <n v="0.58333333333333337"/>
    <n v="0.5"/>
    <s v="Late Night"/>
    <s v="Brunswick/Bath/Freeport"/>
    <n v="2"/>
  </r>
  <r>
    <n v="1090"/>
    <s v="UE"/>
    <s v="Order"/>
    <n v="9"/>
    <s v="Tuesday"/>
    <x v="453"/>
    <n v="8"/>
    <n v="98.8"/>
    <d v="1899-12-30T03:16:00"/>
    <n v="3.2666666666666666"/>
    <n v="3.25"/>
    <s v="Dinner"/>
    <s v="Brunswick/Bath/Freeport"/>
    <n v="2"/>
  </r>
  <r>
    <n v="1091"/>
    <s v="DD"/>
    <s v="Order"/>
    <n v="9"/>
    <s v="Tuesday"/>
    <x v="453"/>
    <n v="2"/>
    <n v="25.75"/>
    <d v="1899-12-30T01:02:00"/>
    <n v="1.0333333333333332"/>
    <n v="1"/>
    <s v="Late Night"/>
    <s v="Brunswick/Bath/Freeport"/>
    <n v="2"/>
  </r>
  <r>
    <n v="1092"/>
    <s v="UE"/>
    <s v="Order"/>
    <n v="9"/>
    <s v="Wednesday"/>
    <x v="454"/>
    <n v="2"/>
    <n v="20.63"/>
    <d v="1899-12-30T01:16:00"/>
    <n v="1.2666666666666666"/>
    <n v="1.25"/>
    <s v="Dinner"/>
    <s v="Brunswick/Bath/Freeport"/>
    <n v="2"/>
  </r>
  <r>
    <n v="1093"/>
    <s v="DD"/>
    <s v="Order"/>
    <n v="9"/>
    <s v="Wednesday"/>
    <x v="454"/>
    <n v="2"/>
    <n v="22.25"/>
    <d v="1899-12-30T01:04:00"/>
    <n v="1.0666666666666667"/>
    <n v="1"/>
    <s v="Dinner"/>
    <s v="Brunswick/Bath/Freeport"/>
    <n v="2"/>
  </r>
  <r>
    <n v="1094"/>
    <s v="DD"/>
    <s v="Order"/>
    <n v="9"/>
    <s v="Wednesday"/>
    <x v="454"/>
    <n v="4"/>
    <n v="29.5"/>
    <d v="1899-12-30T01:03:00"/>
    <n v="1.0499999999999998"/>
    <n v="1"/>
    <s v="Dinner"/>
    <s v="Brunswick/Bath/Freeport"/>
    <n v="2"/>
  </r>
  <r>
    <n v="1095"/>
    <s v="UE"/>
    <s v="Order"/>
    <n v="9"/>
    <s v="Friday"/>
    <x v="455"/>
    <n v="6"/>
    <n v="85.14"/>
    <d v="1899-12-30T03:39:00"/>
    <n v="3.6499999999999995"/>
    <n v="3.75"/>
    <s v="Dinner"/>
    <s v="Brunswick/Bath/Freeport"/>
    <n v="2"/>
  </r>
  <r>
    <n v="1096"/>
    <s v="UE"/>
    <s v="Order"/>
    <n v="9"/>
    <s v="Saturday"/>
    <x v="456"/>
    <n v="6"/>
    <n v="88.14"/>
    <d v="1899-12-30T03:19:00"/>
    <n v="3.3166666666666669"/>
    <n v="3.25"/>
    <s v="Dinner"/>
    <s v="Brunswick/Bath/Freeport"/>
    <n v="2"/>
  </r>
  <r>
    <n v="1097"/>
    <s v="DD"/>
    <s v="Order"/>
    <n v="9"/>
    <s v="Saturday"/>
    <x v="456"/>
    <n v="1"/>
    <n v="16"/>
    <d v="1899-12-30T00:39:00"/>
    <n v="0.65"/>
    <n v="0.75"/>
    <s v="Dinner"/>
    <s v="Brunswick/Bath/Freeport"/>
    <n v="2"/>
  </r>
  <r>
    <n v="1098"/>
    <s v="DD"/>
    <s v="Order"/>
    <n v="9"/>
    <s v="Saturday"/>
    <x v="456"/>
    <n v="1"/>
    <n v="17.5"/>
    <d v="1899-12-30T01:07:00"/>
    <n v="1.1166666666666667"/>
    <n v="1"/>
    <s v="Dinner"/>
    <s v="Brunswick/Bath/Freeport"/>
    <n v="2"/>
  </r>
  <r>
    <n v="1099"/>
    <s v="DD"/>
    <s v="Order"/>
    <n v="9"/>
    <s v="Saturday"/>
    <x v="456"/>
    <n v="1"/>
    <n v="7.5"/>
    <d v="1899-12-30T00:37:00"/>
    <n v="0.6166666666666667"/>
    <n v="0.5"/>
    <s v="Late Night"/>
    <s v="Brunswick/Bath/Freeport"/>
    <n v="2"/>
  </r>
  <r>
    <n v="1100"/>
    <s v="UE"/>
    <s v="Order"/>
    <n v="9"/>
    <s v="Sunday"/>
    <x v="457"/>
    <n v="2"/>
    <n v="24.46"/>
    <d v="1899-12-30T01:38:00"/>
    <n v="1.6333333333333333"/>
    <n v="1.75"/>
    <s v="Dinner"/>
    <s v="Lewiston"/>
    <n v="3"/>
  </r>
  <r>
    <n v="1101"/>
    <s v="DD"/>
    <s v="Order"/>
    <n v="9"/>
    <s v="Sunday"/>
    <x v="457"/>
    <n v="7"/>
    <n v="54.9"/>
    <d v="1899-12-30T02:58:00"/>
    <n v="2.9666666666666668"/>
    <n v="3"/>
    <s v="Dinner"/>
    <s v="Lewiston"/>
    <n v="3"/>
  </r>
  <r>
    <n v="1102"/>
    <s v="UE"/>
    <s v="Order"/>
    <n v="10"/>
    <s v="Tuesday"/>
    <x v="458"/>
    <n v="1"/>
    <n v="9.02"/>
    <d v="1899-12-30T01:12:00"/>
    <n v="1.2000000000000002"/>
    <n v="1.25"/>
    <s v="Dinner"/>
    <s v="Brunswick/Bath/Freeport"/>
    <n v="2"/>
  </r>
  <r>
    <n v="1103"/>
    <s v="DD"/>
    <s v="Order"/>
    <n v="10"/>
    <s v="Tuesday"/>
    <x v="458"/>
    <n v="6"/>
    <n v="47.5"/>
    <d v="1899-12-30T03:03:00"/>
    <n v="3.05"/>
    <n v="3"/>
    <s v="Dinner"/>
    <s v="Brunswick/Bath/Freeport"/>
    <n v="2"/>
  </r>
  <r>
    <n v="1104"/>
    <s v="DD"/>
    <s v="Hourly"/>
    <n v="10"/>
    <s v="Tuesday"/>
    <x v="458"/>
    <n v="1"/>
    <n v="8.8000000000000007"/>
    <d v="1899-12-30T00:23:00"/>
    <n v="0.3833333333333333"/>
    <n v="0.5"/>
    <s v="Dinner"/>
    <s v="Brunswick/Bath/Freeport"/>
    <n v="2"/>
  </r>
  <r>
    <n v="1105"/>
    <s v="UE"/>
    <s v="Order"/>
    <n v="10"/>
    <s v="Saturday"/>
    <x v="459"/>
    <n v="7"/>
    <n v="123.05"/>
    <d v="1899-12-30T05:00:00"/>
    <n v="5"/>
    <n v="5"/>
    <m/>
    <s v="Brunswick/Bath/Freeport"/>
    <n v="2"/>
  </r>
  <r>
    <n v="1106"/>
    <s v="DD"/>
    <s v="Order"/>
    <n v="10"/>
    <s v="Saturday"/>
    <x v="459"/>
    <n v="2"/>
    <n v="23.05"/>
    <d v="1899-12-30T00:49:00"/>
    <n v="0.81666666666666665"/>
    <n v="0.75"/>
    <s v="Lunch"/>
    <s v="Brunswick/Bath/Freeport"/>
    <n v="2"/>
  </r>
  <r>
    <n v="1107"/>
    <s v="DD"/>
    <s v="Hourly"/>
    <n v="10"/>
    <s v="Saturday"/>
    <x v="459"/>
    <n v="6"/>
    <n v="44.32"/>
    <d v="1899-12-30T03:13:00"/>
    <n v="3.2166666666666668"/>
    <n v="3.25"/>
    <s v="Lunch"/>
    <s v="Brunswick/Bath/Freeport"/>
    <n v="2"/>
  </r>
  <r>
    <n v="1108"/>
    <s v="DD"/>
    <s v="Order"/>
    <n v="10"/>
    <s v="Saturday"/>
    <x v="459"/>
    <n v="1"/>
    <n v="12.5"/>
    <d v="1899-12-30T00:33:00"/>
    <n v="0.54999999999999993"/>
    <n v="0.5"/>
    <s v="Dinner"/>
    <s v="Brunswick/Bath/Freeport"/>
    <n v="2"/>
  </r>
  <r>
    <n v="1109"/>
    <s v="DD"/>
    <s v="Hourly"/>
    <n v="10"/>
    <s v="Saturday"/>
    <x v="459"/>
    <n v="1"/>
    <n v="18.899999999999999"/>
    <d v="1899-12-30T00:42:00"/>
    <n v="0.7"/>
    <n v="0.75"/>
    <s v="Dinner"/>
    <s v="Brunswick/Bath/Freeport"/>
    <n v="2"/>
  </r>
  <r>
    <n v="1110"/>
    <s v="UE"/>
    <s v="Order"/>
    <n v="11"/>
    <s v="Monday"/>
    <x v="460"/>
    <n v="1"/>
    <n v="11.06"/>
    <d v="1899-12-30T01:07:00"/>
    <n v="1.1166666666666667"/>
    <n v="1"/>
    <s v="Dinner"/>
    <s v="Brunswick/Bath/Freeport"/>
    <n v="2"/>
  </r>
  <r>
    <n v="1111"/>
    <s v="DD"/>
    <s v="Order"/>
    <n v="11"/>
    <s v="Monday"/>
    <x v="460"/>
    <n v="9"/>
    <n v="85.63"/>
    <d v="1899-12-30T03:06:00"/>
    <n v="3.1000000000000005"/>
    <n v="3"/>
    <s v="Dinner"/>
    <s v="Brunswick/Bath/Freeport"/>
    <n v="2"/>
  </r>
  <r>
    <n v="1112"/>
    <s v="UE"/>
    <s v="Order"/>
    <n v="11"/>
    <s v="Wednesday"/>
    <x v="461"/>
    <n v="3"/>
    <n v="42.91"/>
    <d v="1899-12-30T01:43:00"/>
    <n v="1.7166666666666666"/>
    <n v="1.75"/>
    <s v="Dinner"/>
    <s v="Portland"/>
    <n v="4"/>
  </r>
  <r>
    <n v="1113"/>
    <s v="DD"/>
    <s v="Order"/>
    <n v="11"/>
    <s v="Wednesday"/>
    <x v="461"/>
    <n v="4"/>
    <n v="56.36"/>
    <d v="1899-12-30T02:20:00"/>
    <n v="2.3333333333333335"/>
    <n v="2.25"/>
    <s v="Dinner"/>
    <s v="Brunswick/Bath/Freeport"/>
    <n v="2"/>
  </r>
  <r>
    <n v="1114"/>
    <s v="DD"/>
    <s v="Order"/>
    <n v="11"/>
    <s v="Wednesday"/>
    <x v="461"/>
    <n v="2"/>
    <n v="15.25"/>
    <d v="1899-12-30T00:41:00"/>
    <n v="0.68333333333333335"/>
    <n v="0.75"/>
    <s v="Dinner"/>
    <s v="Brunswick/Bath/Freeport"/>
    <n v="2"/>
  </r>
  <r>
    <n v="1115"/>
    <s v="UE"/>
    <s v="Order"/>
    <n v="11"/>
    <s v="Thursday"/>
    <x v="462"/>
    <n v="3"/>
    <n v="38.25"/>
    <d v="1899-12-30T02:29:00"/>
    <n v="2.4833333333333334"/>
    <n v="2.5"/>
    <s v="Dinner"/>
    <s v="Portland"/>
    <n v="4"/>
  </r>
  <r>
    <n v="1116"/>
    <s v="DD"/>
    <s v="Order"/>
    <n v="11"/>
    <s v="Thursday"/>
    <x v="462"/>
    <n v="1"/>
    <n v="16.25"/>
    <d v="1899-12-30T01:45:00"/>
    <n v="1.75"/>
    <n v="1.75"/>
    <s v="Dinner"/>
    <s v="Portland"/>
    <n v="4"/>
  </r>
  <r>
    <n v="1117"/>
    <s v="DD"/>
    <s v="Order"/>
    <n v="11"/>
    <s v="Thursday"/>
    <x v="462"/>
    <n v="2"/>
    <n v="21.5"/>
    <d v="1899-12-30T01:10:00"/>
    <n v="1.1666666666666667"/>
    <n v="1.25"/>
    <s v="Dinner"/>
    <s v="Portland"/>
    <n v="4"/>
  </r>
  <r>
    <n v="1118"/>
    <s v="UE"/>
    <s v="Order"/>
    <n v="11"/>
    <s v="Friday"/>
    <x v="463"/>
    <n v="4"/>
    <n v="35.799999999999997"/>
    <d v="1899-12-30T01:34:00"/>
    <n v="1.5666666666666669"/>
    <n v="1.5"/>
    <s v="Dinner"/>
    <s v="Lewiston"/>
    <n v="3"/>
  </r>
  <r>
    <n v="1119"/>
    <s v="DD"/>
    <s v="Order"/>
    <n v="11"/>
    <s v="Friday"/>
    <x v="463"/>
    <n v="1"/>
    <n v="9.5"/>
    <d v="1899-12-30T00:53:00"/>
    <n v="0.8833333333333333"/>
    <n v="1"/>
    <s v="Dinner"/>
    <s v="Lewiston"/>
    <n v="3"/>
  </r>
  <r>
    <n v="1120"/>
    <s v="DD"/>
    <s v="Order"/>
    <n v="11"/>
    <s v="Friday"/>
    <x v="463"/>
    <n v="6"/>
    <n v="39.5"/>
    <d v="1899-12-30T01:49:00"/>
    <n v="1.8166666666666664"/>
    <n v="1.75"/>
    <s v="Dinner"/>
    <s v="Lewiston"/>
    <n v="3"/>
  </r>
  <r>
    <n v="1121"/>
    <s v="DD"/>
    <s v="Order"/>
    <n v="11"/>
    <s v="Friday"/>
    <x v="463"/>
    <n v="1"/>
    <n v="6.25"/>
    <d v="1899-12-30T00:25:00"/>
    <n v="0.41666666666666669"/>
    <n v="0.5"/>
    <s v="Late Night"/>
    <s v="Lewiston"/>
    <n v="3"/>
  </r>
  <r>
    <n v="1122"/>
    <s v="UE"/>
    <s v="Order"/>
    <n v="11"/>
    <s v="Saturday"/>
    <x v="464"/>
    <n v="4"/>
    <n v="53.21"/>
    <d v="1899-12-30T02:46:00"/>
    <n v="2.7666666666666666"/>
    <n v="2.75"/>
    <s v="Lunch"/>
    <s v="Brunswick/Bath/Freeport"/>
    <n v="2"/>
  </r>
  <r>
    <n v="1123"/>
    <s v="DD"/>
    <s v="Order"/>
    <n v="11"/>
    <s v="Saturday"/>
    <x v="464"/>
    <n v="2"/>
    <n v="30.94"/>
    <d v="1899-12-30T02:29:00"/>
    <n v="2.4833333333333334"/>
    <n v="2.5"/>
    <s v="Lunch"/>
    <s v="Brunswick/Bath/Freeport"/>
    <n v="2"/>
  </r>
  <r>
    <n v="1124"/>
    <s v="UE"/>
    <s v="Order"/>
    <n v="12"/>
    <s v="Tuesday"/>
    <x v="465"/>
    <n v="8"/>
    <n v="114.44"/>
    <d v="1899-12-30T03:22:00"/>
    <n v="3.3666666666666667"/>
    <n v="3.25"/>
    <s v="Dinner"/>
    <s v="Brunswick/Bath/Freeport"/>
    <n v="2"/>
  </r>
  <r>
    <n v="1125"/>
    <s v="UE"/>
    <s v="Order"/>
    <n v="13"/>
    <s v="Monday"/>
    <x v="466"/>
    <n v="2"/>
    <n v="44.4"/>
    <d v="1899-12-30T01:27:00"/>
    <n v="1.45"/>
    <n v="1.5"/>
    <s v="Dinner"/>
    <s v="Brunswick/Bath/Freeport"/>
    <n v="2"/>
  </r>
  <r>
    <n v="1126"/>
    <s v="DD"/>
    <s v="Hourly"/>
    <n v="13"/>
    <s v="Monday"/>
    <x v="466"/>
    <n v="1"/>
    <n v="26.54"/>
    <d v="1899-12-30T00:51:00"/>
    <n v="0.85"/>
    <n v="0.75"/>
    <s v="Dinner"/>
    <s v="Brunswick/Bath/Freeport"/>
    <n v="2"/>
  </r>
  <r>
    <n v="1127"/>
    <s v="DD"/>
    <s v="Hourly"/>
    <n v="13"/>
    <s v="Monday"/>
    <x v="466"/>
    <n v="3"/>
    <n v="31.04"/>
    <d v="1899-12-30T01:43:00"/>
    <n v="1.7166666666666666"/>
    <n v="1.75"/>
    <s v="Dinner"/>
    <s v="Brunswick/Bath/Freeport"/>
    <n v="2"/>
  </r>
  <r>
    <n v="1128"/>
    <s v="DD"/>
    <s v="Order"/>
    <n v="13"/>
    <s v="Tuesday"/>
    <x v="467"/>
    <n v="7"/>
    <n v="69.17"/>
    <d v="1899-12-30T02:38:00"/>
    <n v="2.6333333333333333"/>
    <n v="2.75"/>
    <s v="Dinner"/>
    <s v="Brunswick/Bath/Freeport"/>
    <n v="2"/>
  </r>
  <r>
    <n v="1129"/>
    <s v="UE"/>
    <s v="Order"/>
    <n v="13"/>
    <s v="Wednesday"/>
    <x v="468"/>
    <n v="5"/>
    <n v="82.86"/>
    <d v="1899-12-30T02:33:00"/>
    <n v="2.5499999999999998"/>
    <n v="2.5"/>
    <s v="Dinner"/>
    <s v="Brunswick/Bath/Freeport"/>
    <n v="2"/>
  </r>
  <r>
    <n v="1130"/>
    <s v="DD"/>
    <s v="Order"/>
    <n v="13"/>
    <s v="Wednesday"/>
    <x v="468"/>
    <n v="2"/>
    <n v="43.5"/>
    <d v="1899-12-30T00:55:00"/>
    <n v="0.91666666666666674"/>
    <n v="1"/>
    <s v="Dinner"/>
    <s v="Brunswick/Bath/Freeport"/>
    <n v="2"/>
  </r>
  <r>
    <n v="1131"/>
    <s v="UE"/>
    <s v="Order"/>
    <n v="13"/>
    <s v="Friday"/>
    <x v="469"/>
    <n v="9"/>
    <n v="155.94"/>
    <d v="1899-12-30T05:14:00"/>
    <n v="5.2333333333333334"/>
    <n v="5.25"/>
    <s v="Dinner"/>
    <s v="Portland"/>
    <n v="4"/>
  </r>
  <r>
    <n v="1132"/>
    <s v="UE"/>
    <s v="Order"/>
    <n v="14"/>
    <s v="Monday"/>
    <x v="470"/>
    <n v="6"/>
    <n v="60.83"/>
    <d v="1899-12-30T04:05:00"/>
    <n v="4.0833333333333339"/>
    <n v="4"/>
    <s v="Dinner"/>
    <s v="Lewiston"/>
    <n v="3"/>
  </r>
  <r>
    <n v="1133"/>
    <s v="DD"/>
    <s v="Order"/>
    <n v="14"/>
    <s v="Monday"/>
    <x v="470"/>
    <n v="1"/>
    <n v="8"/>
    <d v="1899-12-30T00:51:00"/>
    <n v="0.85"/>
    <n v="0.75"/>
    <s v="Dinner"/>
    <s v="Lewiston"/>
    <n v="3"/>
  </r>
  <r>
    <n v="1134"/>
    <s v="UE"/>
    <s v="Order"/>
    <n v="14"/>
    <s v="Tuesday"/>
    <x v="471"/>
    <n v="2"/>
    <n v="20.7"/>
    <d v="1899-12-30T01:47:00"/>
    <n v="1.7833333333333332"/>
    <n v="1.75"/>
    <s v="Dinner"/>
    <s v="Brunswick/Bath/Freeport"/>
    <n v="2"/>
  </r>
  <r>
    <n v="1135"/>
    <s v="DD"/>
    <s v="Order"/>
    <n v="14"/>
    <s v="Tuesday"/>
    <x v="471"/>
    <n v="8"/>
    <n v="50"/>
    <d v="1899-12-30T02:27:00"/>
    <n v="2.4500000000000002"/>
    <n v="2.5"/>
    <s v="Dinner"/>
    <s v="Brunswick/Bath/Freeport"/>
    <n v="2"/>
  </r>
  <r>
    <n v="1136"/>
    <s v="DD"/>
    <s v="Order"/>
    <n v="14"/>
    <s v="Tuesday"/>
    <x v="471"/>
    <n v="2"/>
    <n v="11"/>
    <d v="1899-12-30T00:37:00"/>
    <n v="0.6166666666666667"/>
    <n v="0.5"/>
    <s v="Dinner"/>
    <s v="Brunswick/Bath/Freeport"/>
    <n v="2"/>
  </r>
  <r>
    <n v="1137"/>
    <s v="DD"/>
    <s v="Order"/>
    <n v="14"/>
    <s v="Wednesday"/>
    <x v="472"/>
    <n v="4"/>
    <n v="33"/>
    <d v="1899-12-30T01:56:00"/>
    <n v="1.9333333333333336"/>
    <n v="2"/>
    <s v="Dinner"/>
    <s v="Lewiston"/>
    <n v="3"/>
  </r>
  <r>
    <n v="1138"/>
    <s v="DD"/>
    <s v="Order"/>
    <n v="14"/>
    <s v="Wednesday"/>
    <x v="472"/>
    <n v="1"/>
    <n v="5.25"/>
    <d v="1899-12-30T00:26:00"/>
    <n v="0.43333333333333329"/>
    <n v="0.5"/>
    <s v="Dinner"/>
    <s v="Lewiston"/>
    <n v="3"/>
  </r>
  <r>
    <n v="1139"/>
    <s v="UE"/>
    <s v="Order"/>
    <n v="14"/>
    <s v="Friday"/>
    <x v="473"/>
    <n v="14"/>
    <n v="225.25"/>
    <d v="1899-12-30T05:58:00"/>
    <n v="5.9666666666666668"/>
    <n v="6"/>
    <s v="Dinner"/>
    <s v="Brunswick/Bath/Freeport"/>
    <n v="2"/>
  </r>
  <r>
    <n v="1140"/>
    <s v="DD"/>
    <s v="Order"/>
    <n v="14"/>
    <s v="Saturday"/>
    <x v="474"/>
    <n v="3"/>
    <n v="20.65"/>
    <d v="1899-12-30T01:10:00"/>
    <n v="1.1666666666666667"/>
    <n v="1.25"/>
    <s v="Dinner"/>
    <s v="Lewiston"/>
    <n v="3"/>
  </r>
  <r>
    <n v="1141"/>
    <s v="DD"/>
    <s v="Order"/>
    <n v="14"/>
    <s v="Saturday"/>
    <x v="474"/>
    <n v="3"/>
    <n v="24.25"/>
    <d v="1899-12-30T01:26:00"/>
    <n v="1.4333333333333333"/>
    <n v="1.5"/>
    <s v="Dinner"/>
    <s v="Lewiston"/>
    <n v="3"/>
  </r>
  <r>
    <n v="1142"/>
    <s v="DD"/>
    <s v="Order"/>
    <n v="14"/>
    <s v="Saturday"/>
    <x v="474"/>
    <n v="2"/>
    <n v="21"/>
    <d v="1899-12-30T00:52:00"/>
    <n v="0.86666666666666659"/>
    <n v="0.75"/>
    <s v="Dinner"/>
    <s v="Lewiston"/>
    <n v="3"/>
  </r>
  <r>
    <n v="1143"/>
    <s v="UE"/>
    <s v="Order"/>
    <n v="15"/>
    <s v="Monday"/>
    <x v="475"/>
    <n v="2"/>
    <n v="34.619999999999997"/>
    <d v="1899-12-30T01:57:00"/>
    <n v="1.9500000000000002"/>
    <n v="2"/>
    <s v="Dinner"/>
    <s v="Portland"/>
    <n v="4"/>
  </r>
  <r>
    <n v="1144"/>
    <s v="DD"/>
    <s v="Order"/>
    <n v="15"/>
    <s v="Monday"/>
    <x v="475"/>
    <n v="2"/>
    <n v="21.38"/>
    <d v="1899-12-30T01:17:00"/>
    <n v="1.2833333333333332"/>
    <n v="1.25"/>
    <s v="Dinner"/>
    <s v="Portland"/>
    <n v="4"/>
  </r>
  <r>
    <n v="1145"/>
    <s v="DD"/>
    <s v="Order"/>
    <n v="15"/>
    <s v="Monday"/>
    <x v="475"/>
    <n v="4"/>
    <n v="33.75"/>
    <d v="1899-12-30T01:17:00"/>
    <n v="1.2833333333333332"/>
    <n v="1.25"/>
    <s v="Dinner"/>
    <s v="Portland"/>
    <n v="4"/>
  </r>
  <r>
    <n v="1146"/>
    <s v="UE"/>
    <s v="Order"/>
    <n v="15"/>
    <s v="Tuesday"/>
    <x v="476"/>
    <n v="6"/>
    <n v="79.87"/>
    <d v="1899-12-30T03:06:00"/>
    <n v="3.1000000000000005"/>
    <n v="3"/>
    <s v="Dinner"/>
    <s v="Brunswick/Bath/Freeport"/>
    <n v="2"/>
  </r>
  <r>
    <n v="1147"/>
    <s v="DD"/>
    <s v="Order"/>
    <n v="15"/>
    <s v="Tuesday"/>
    <x v="476"/>
    <n v="1"/>
    <n v="5"/>
    <d v="1899-12-30T00:23:00"/>
    <n v="0.3833333333333333"/>
    <n v="0.5"/>
    <s v="Dinner"/>
    <s v="Brunswick/Bath/Freeport"/>
    <n v="2"/>
  </r>
  <r>
    <n v="1148"/>
    <s v="DD"/>
    <s v="Order"/>
    <n v="15"/>
    <s v="Tuesday"/>
    <x v="476"/>
    <n v="1"/>
    <n v="16.489999999999998"/>
    <d v="1899-12-30T01:01:00"/>
    <n v="1.0166666666666666"/>
    <n v="1"/>
    <s v="Dinner"/>
    <s v="Brunswick/Bath/Freeport"/>
    <n v="2"/>
  </r>
  <r>
    <n v="1149"/>
    <s v="DD"/>
    <s v="Order"/>
    <n v="15"/>
    <s v="Tuesday"/>
    <x v="476"/>
    <n v="1"/>
    <n v="3.75"/>
    <d v="1899-12-30T00:55:00"/>
    <n v="0.91666666666666674"/>
    <n v="1"/>
    <s v="Dinner"/>
    <s v="Brunswick/Bath/Freeport"/>
    <n v="2"/>
  </r>
  <r>
    <n v="1150"/>
    <s v="UE"/>
    <s v="Order"/>
    <n v="15"/>
    <s v="Friday"/>
    <x v="477"/>
    <n v="7"/>
    <n v="122.13"/>
    <d v="1899-12-30T04:03:00"/>
    <n v="4.0500000000000007"/>
    <n v="4"/>
    <s v="Dinner"/>
    <s v="Brunswick/Bath/Freeport"/>
    <n v="2"/>
  </r>
  <r>
    <n v="1151"/>
    <s v="DD"/>
    <s v="Order"/>
    <n v="15"/>
    <s v="Friday"/>
    <x v="477"/>
    <n v="5"/>
    <n v="32"/>
    <d v="1899-12-30T02:36:00"/>
    <n v="2.6"/>
    <n v="2.5"/>
    <s v="Dinner"/>
    <s v="Brunswick/Bath/Freeport"/>
    <n v="2"/>
  </r>
  <r>
    <n v="1152"/>
    <s v="DD"/>
    <s v="Order"/>
    <n v="15"/>
    <s v="Friday"/>
    <x v="477"/>
    <n v="2"/>
    <n v="23.87"/>
    <d v="1899-12-30T01:14:00"/>
    <n v="1.2333333333333334"/>
    <n v="1.25"/>
    <s v="Late Night"/>
    <s v="Brunswick/Bath/Freeport"/>
    <n v="2"/>
  </r>
  <r>
    <n v="1153"/>
    <s v="DD"/>
    <s v="Order"/>
    <n v="15"/>
    <s v="Saturday"/>
    <x v="478"/>
    <n v="2"/>
    <n v="7.25"/>
    <d v="1899-12-30T00:54:00"/>
    <n v="0.89999999999999991"/>
    <n v="1"/>
    <s v="Late Night"/>
    <s v="Brunswick/Bath/Freeport"/>
    <n v="2"/>
  </r>
  <r>
    <n v="1154"/>
    <s v="DD"/>
    <s v="Order"/>
    <n v="15"/>
    <s v="Saturday"/>
    <x v="478"/>
    <n v="3"/>
    <n v="25.5"/>
    <d v="1899-12-30T01:08:00"/>
    <n v="1.1333333333333333"/>
    <n v="1.25"/>
    <s v="Late Night"/>
    <s v="Brunswick/Bath/Freeport"/>
    <n v="2"/>
  </r>
  <r>
    <n v="1155"/>
    <s v="DD"/>
    <s v="Order"/>
    <n v="15"/>
    <s v="Saturday"/>
    <x v="478"/>
    <n v="1"/>
    <n v="6.25"/>
    <d v="1899-12-30T00:38:00"/>
    <n v="0.6333333333333333"/>
    <n v="0.75"/>
    <s v="Dinner"/>
    <s v="Augusta"/>
    <n v="1"/>
  </r>
  <r>
    <n v="1156"/>
    <s v="DD"/>
    <s v="Order"/>
    <n v="15"/>
    <s v="Saturday"/>
    <x v="478"/>
    <n v="1"/>
    <n v="5"/>
    <d v="1899-12-30T00:29:00"/>
    <n v="0.48333333333333339"/>
    <n v="0.5"/>
    <s v="Dinner"/>
    <s v="Augusta"/>
    <n v="1"/>
  </r>
  <r>
    <n v="1157"/>
    <s v="DD"/>
    <s v="Order"/>
    <n v="15"/>
    <s v="Saturday"/>
    <x v="478"/>
    <n v="6"/>
    <n v="30.75"/>
    <d v="1899-12-30T01:36:00"/>
    <n v="1.6"/>
    <n v="1.5"/>
    <s v="Dinner"/>
    <s v="Augusta"/>
    <n v="1"/>
  </r>
  <r>
    <n v="1158"/>
    <s v="UE"/>
    <s v="Order"/>
    <n v="16"/>
    <s v="Tuesday"/>
    <x v="479"/>
    <n v="2"/>
    <n v="16.79"/>
    <d v="1899-12-30T02:37:00"/>
    <n v="2.6166666666666667"/>
    <n v="2.5"/>
    <s v="Dinner"/>
    <s v="Brunswick/Bath/Freeport"/>
    <n v="2"/>
  </r>
  <r>
    <n v="1159"/>
    <s v="DD"/>
    <s v="Order"/>
    <n v="16"/>
    <s v="Tuesday"/>
    <x v="479"/>
    <n v="4"/>
    <n v="47.37"/>
    <d v="1899-12-30T01:29:00"/>
    <n v="1.4833333333333334"/>
    <n v="1.5"/>
    <s v="Dinner"/>
    <s v="Brunswick/Bath/Freeport"/>
    <n v="2"/>
  </r>
  <r>
    <n v="1160"/>
    <s v="DD"/>
    <s v="Order"/>
    <n v="16"/>
    <s v="Tuesday"/>
    <x v="479"/>
    <n v="2"/>
    <n v="27.12"/>
    <d v="1899-12-30T02:11:00"/>
    <n v="2.1833333333333331"/>
    <n v="2.25"/>
    <s v="Late Night"/>
    <s v="Brunswick/Bath/Freeport"/>
    <n v="2"/>
  </r>
  <r>
    <n v="1161"/>
    <s v="UE"/>
    <s v="Order"/>
    <n v="16"/>
    <s v="Wednesday"/>
    <x v="480"/>
    <n v="1"/>
    <n v="18.940000000000001"/>
    <d v="1899-12-30T02:10:00"/>
    <n v="2.1666666666666665"/>
    <n v="2.25"/>
    <s v="Dinner"/>
    <s v="Augusta"/>
    <n v="1"/>
  </r>
  <r>
    <n v="1162"/>
    <s v="DD"/>
    <s v="Order"/>
    <n v="16"/>
    <s v="Wednesday"/>
    <x v="480"/>
    <n v="2"/>
    <n v="23.25"/>
    <d v="1899-12-30T00:57:00"/>
    <n v="0.95"/>
    <n v="1"/>
    <s v="Dinner"/>
    <s v="Augusta"/>
    <n v="1"/>
  </r>
  <r>
    <n v="1163"/>
    <s v="DD"/>
    <s v="Order"/>
    <n v="16"/>
    <s v="Wednesday"/>
    <x v="480"/>
    <n v="1"/>
    <n v="8.25"/>
    <d v="1899-12-30T00:37:00"/>
    <n v="0.6166666666666667"/>
    <n v="0.5"/>
    <s v="Dinner"/>
    <s v="Augusta"/>
    <n v="1"/>
  </r>
  <r>
    <n v="1164"/>
    <s v="DD"/>
    <s v="Order"/>
    <n v="16"/>
    <s v="Friday"/>
    <x v="481"/>
    <n v="6"/>
    <n v="74.75"/>
    <d v="1899-12-30T04:00:00"/>
    <n v="4"/>
    <n v="4"/>
    <s v="Dinner"/>
    <s v="Brunswick/Bath/Freeport"/>
    <n v="2"/>
  </r>
  <r>
    <n v="1165"/>
    <s v="UE"/>
    <s v="Order"/>
    <n v="16"/>
    <s v="Saturday"/>
    <x v="482"/>
    <n v="2"/>
    <n v="23.52"/>
    <d v="1899-12-30T02:12:00"/>
    <n v="2.1999999999999997"/>
    <n v="2.25"/>
    <s v="Dinner"/>
    <s v="Brunswick/Bath/Freeport"/>
    <n v="2"/>
  </r>
  <r>
    <n v="1166"/>
    <s v="DD"/>
    <s v="Order"/>
    <n v="16"/>
    <s v="Saturday"/>
    <x v="482"/>
    <n v="2"/>
    <n v="20.75"/>
    <d v="1899-12-30T01:32:00"/>
    <n v="1.5333333333333332"/>
    <n v="1.5"/>
    <s v="Dinner"/>
    <s v="Brunswick/Bath/Freeport"/>
    <n v="2"/>
  </r>
  <r>
    <n v="1167"/>
    <s v="DD"/>
    <s v="Order"/>
    <n v="16"/>
    <s v="Saturday"/>
    <x v="482"/>
    <n v="4"/>
    <n v="35.5"/>
    <d v="1899-12-30T01:40:00"/>
    <n v="1.6666666666666667"/>
    <n v="1.75"/>
    <s v="Dinner"/>
    <s v="Brunswick/Bath/Freeport"/>
    <n v="2"/>
  </r>
  <r>
    <n v="1168"/>
    <s v="DD"/>
    <s v="Order"/>
    <n v="16"/>
    <s v="Saturday"/>
    <x v="482"/>
    <n v="2"/>
    <n v="24.95"/>
    <d v="1899-12-30T01:11:00"/>
    <n v="1.1833333333333333"/>
    <n v="1.25"/>
    <s v="Dinner"/>
    <s v="Brunswick/Bath/Freeport"/>
    <n v="2"/>
  </r>
  <r>
    <n v="1169"/>
    <s v="UE"/>
    <s v="Order"/>
    <n v="16"/>
    <s v="Sunday"/>
    <x v="483"/>
    <n v="7"/>
    <n v="107.51"/>
    <d v="1899-12-30T03:43:00"/>
    <n v="3.7166666666666668"/>
    <n v="3.75"/>
    <s v="Dinner"/>
    <s v="Brunswick/Bath/Freeport"/>
    <n v="2"/>
  </r>
  <r>
    <n v="1170"/>
    <s v="DD"/>
    <s v="Order"/>
    <n v="16"/>
    <s v="Sunday"/>
    <x v="483"/>
    <n v="1"/>
    <n v="8.25"/>
    <d v="1899-12-30T01:13:00"/>
    <n v="1.2166666666666668"/>
    <n v="1.25"/>
    <s v="Dinner"/>
    <s v="Brunswick/Bath/Freeport"/>
    <n v="2"/>
  </r>
  <r>
    <n v="1171"/>
    <s v="DD"/>
    <s v="Order"/>
    <n v="16"/>
    <s v="Sunday"/>
    <x v="483"/>
    <n v="2"/>
    <n v="12.9"/>
    <d v="1899-12-30T00:59:00"/>
    <n v="0.98333333333333339"/>
    <n v="1"/>
    <s v="Late Night"/>
    <s v="Brunswick/Bath/Freeport"/>
    <n v="2"/>
  </r>
  <r>
    <n v="1172"/>
    <s v="DD"/>
    <s v="Order"/>
    <n v="17"/>
    <s v="Monday"/>
    <x v="484"/>
    <n v="6"/>
    <n v="37.25"/>
    <d v="1899-12-30T02:07:00"/>
    <n v="2.1166666666666667"/>
    <n v="2"/>
    <s v="Dinner"/>
    <s v="Brunswick/Bath/Freeport"/>
    <n v="2"/>
  </r>
  <r>
    <n v="1173"/>
    <s v="DD"/>
    <s v="Order"/>
    <n v="17"/>
    <s v="Monday"/>
    <x v="484"/>
    <n v="3"/>
    <n v="19.75"/>
    <d v="1899-12-30T01:09:00"/>
    <n v="1.1500000000000001"/>
    <n v="1.25"/>
    <s v="Dinner"/>
    <s v="Brunswick/Bath/Freeport"/>
    <n v="2"/>
  </r>
  <r>
    <n v="1174"/>
    <s v="UE"/>
    <s v="Order"/>
    <n v="17"/>
    <s v="Tuesday"/>
    <x v="485"/>
    <n v="1"/>
    <n v="5.05"/>
    <d v="1899-12-30T01:11:00"/>
    <n v="1.1833333333333333"/>
    <n v="1.25"/>
    <s v="Dinner"/>
    <s v="Lewiston"/>
    <n v="3"/>
  </r>
  <r>
    <n v="1175"/>
    <s v="DD"/>
    <s v="Order"/>
    <n v="17"/>
    <s v="Tuesday"/>
    <x v="485"/>
    <n v="4"/>
    <n v="39.75"/>
    <d v="1899-12-30T02:19:00"/>
    <n v="2.3166666666666669"/>
    <n v="2.25"/>
    <s v="Dinner"/>
    <s v="Lewiston"/>
    <n v="3"/>
  </r>
  <r>
    <n v="1176"/>
    <s v="DD"/>
    <s v="Order"/>
    <n v="17"/>
    <s v="Tuesday"/>
    <x v="485"/>
    <n v="6"/>
    <n v="28"/>
    <d v="1899-12-30T01:53:00"/>
    <n v="1.8833333333333333"/>
    <n v="2"/>
    <s v="Dinner"/>
    <s v="Lewiston"/>
    <n v="3"/>
  </r>
  <r>
    <n v="1177"/>
    <s v="UE"/>
    <s v="Order"/>
    <n v="17"/>
    <s v="Thursday"/>
    <x v="486"/>
    <n v="3"/>
    <n v="41.86"/>
    <d v="1899-12-30T02:35:00"/>
    <n v="2.5833333333333335"/>
    <n v="2.5"/>
    <s v="Dinner"/>
    <s v="Lewiston"/>
    <n v="3"/>
  </r>
  <r>
    <n v="1178"/>
    <s v="DD"/>
    <s v="Order"/>
    <n v="17"/>
    <s v="Thursday"/>
    <x v="486"/>
    <n v="3"/>
    <n v="26.75"/>
    <d v="1899-12-30T01:59:00"/>
    <n v="1.9833333333333334"/>
    <n v="2"/>
    <s v="Dinner"/>
    <s v="Lewiston"/>
    <n v="3"/>
  </r>
  <r>
    <n v="1179"/>
    <s v="UE"/>
    <s v="Order"/>
    <n v="17"/>
    <s v="Friday"/>
    <x v="487"/>
    <n v="2"/>
    <n v="25.16"/>
    <d v="1899-12-30T01:33:00"/>
    <n v="1.5500000000000003"/>
    <n v="1.5"/>
    <s v="Dinner"/>
    <s v="Brunswick/Bath/Freeport"/>
    <n v="2"/>
  </r>
  <r>
    <n v="1180"/>
    <s v="DD"/>
    <s v="Order"/>
    <n v="17"/>
    <s v="Friday"/>
    <x v="487"/>
    <n v="5"/>
    <n v="47.04"/>
    <d v="1899-12-30T02:09:00"/>
    <n v="2.15"/>
    <n v="2.25"/>
    <s v="Dinner"/>
    <s v="Brunswick/Bath/Freeport"/>
    <n v="2"/>
  </r>
  <r>
    <n v="1181"/>
    <s v="DD"/>
    <s v="Order"/>
    <n v="17"/>
    <s v="Friday"/>
    <x v="487"/>
    <n v="5"/>
    <n v="34.5"/>
    <d v="1899-12-30T01:55:00"/>
    <n v="1.9166666666666665"/>
    <n v="2"/>
    <s v="Dinner"/>
    <s v="Brunswick/Bath/Freeport"/>
    <n v="2"/>
  </r>
  <r>
    <n v="1182"/>
    <s v="DD"/>
    <s v="Order"/>
    <n v="17"/>
    <s v="Friday"/>
    <x v="487"/>
    <n v="2"/>
    <n v="14"/>
    <d v="1899-12-30T01:00:00"/>
    <n v="1"/>
    <n v="1"/>
    <s v="Late Night"/>
    <s v="Brunswick/Bath/Freeport"/>
    <n v="2"/>
  </r>
  <r>
    <n v="1183"/>
    <s v="UE"/>
    <s v="Order"/>
    <n v="17"/>
    <s v="Saturday"/>
    <x v="488"/>
    <n v="5"/>
    <n v="71.91"/>
    <d v="1899-12-30T03:13:00"/>
    <n v="3.2166666666666668"/>
    <n v="3.25"/>
    <s v="Dinner"/>
    <s v="Brunswick/Bath/Freeport"/>
    <n v="2"/>
  </r>
  <r>
    <n v="1184"/>
    <s v="DD"/>
    <s v="Order"/>
    <n v="17"/>
    <s v="Saturday"/>
    <x v="488"/>
    <n v="3"/>
    <n v="17"/>
    <d v="1899-12-30T01:53:00"/>
    <n v="1.8833333333333333"/>
    <n v="2"/>
    <s v="Dinner"/>
    <s v="Brunswick/Bath/Freeport"/>
    <n v="2"/>
  </r>
  <r>
    <n v="1185"/>
    <s v="DD"/>
    <s v="Order"/>
    <n v="17"/>
    <s v="Saturday"/>
    <x v="488"/>
    <n v="1"/>
    <n v="9.75"/>
    <d v="1899-12-30T00:49:00"/>
    <n v="0.81666666666666665"/>
    <n v="0.75"/>
    <s v="Dinner"/>
    <s v="Brunswick/Bath/Freeport"/>
    <n v="2"/>
  </r>
  <r>
    <n v="1186"/>
    <s v="DD"/>
    <s v="Order"/>
    <n v="17"/>
    <s v="Saturday"/>
    <x v="488"/>
    <n v="3"/>
    <n v="22.5"/>
    <d v="1899-12-30T01:07:00"/>
    <n v="1.1166666666666667"/>
    <n v="1"/>
    <s v="Late Night"/>
    <s v="Brunswick/Bath/Freeport"/>
    <n v="2"/>
  </r>
  <r>
    <n v="1187"/>
    <s v="UE"/>
    <s v="Order"/>
    <n v="17"/>
    <s v="Sunday"/>
    <x v="489"/>
    <n v="1"/>
    <n v="9.27"/>
    <d v="1899-12-30T01:52:00"/>
    <n v="1.8666666666666667"/>
    <n v="1.75"/>
    <s v="Dinner"/>
    <s v="Augusta"/>
    <n v="1"/>
  </r>
  <r>
    <n v="1188"/>
    <s v="DD"/>
    <s v="Order"/>
    <n v="17"/>
    <s v="Sunday"/>
    <x v="489"/>
    <n v="2"/>
    <n v="24.5"/>
    <d v="1899-12-30T00:50:00"/>
    <n v="0.83333333333333337"/>
    <n v="0.75"/>
    <s v="Dinner"/>
    <s v="Augusta"/>
    <n v="1"/>
  </r>
  <r>
    <n v="1189"/>
    <s v="DD"/>
    <s v="Order"/>
    <n v="17"/>
    <s v="Sunday"/>
    <x v="489"/>
    <n v="4"/>
    <n v="17.5"/>
    <d v="1899-12-30T01:19:00"/>
    <n v="1.3166666666666667"/>
    <n v="1.25"/>
    <s v="Dinner"/>
    <s v="Augusta"/>
    <n v="1"/>
  </r>
  <r>
    <n v="1190"/>
    <s v="UE"/>
    <s v="Order"/>
    <n v="18"/>
    <s v="Tuesday"/>
    <x v="490"/>
    <n v="1"/>
    <n v="16.350000000000001"/>
    <d v="1899-12-30T00:31:00"/>
    <n v="0.51666666666666661"/>
    <n v="0.5"/>
    <s v="Dinner"/>
    <s v="Brunswick/Bath/Freeport"/>
    <n v="2"/>
  </r>
  <r>
    <n v="1191"/>
    <s v="DD"/>
    <s v="Order"/>
    <n v="18"/>
    <s v="Tuesday"/>
    <x v="490"/>
    <n v="1"/>
    <n v="16.25"/>
    <d v="1899-12-30T00:46:00"/>
    <n v="0.76666666666666661"/>
    <n v="0.75"/>
    <s v="Dinner"/>
    <s v="Brunswick/Bath/Freeport"/>
    <n v="2"/>
  </r>
  <r>
    <n v="1192"/>
    <s v="DD"/>
    <s v="Order"/>
    <n v="18"/>
    <s v="Tuesday"/>
    <x v="490"/>
    <n v="4"/>
    <n v="25.5"/>
    <d v="1899-12-30T01:33:00"/>
    <n v="1.5500000000000003"/>
    <n v="1.5"/>
    <s v="Dinner"/>
    <s v="Brunswick/Bath/Freeport"/>
    <n v="2"/>
  </r>
  <r>
    <n v="1193"/>
    <s v="DD"/>
    <s v="Order"/>
    <n v="18"/>
    <s v="Tuesday"/>
    <x v="490"/>
    <n v="4"/>
    <n v="26.5"/>
    <d v="1899-12-30T01:25:00"/>
    <n v="1.4166666666666665"/>
    <n v="1.5"/>
    <s v="Late Night"/>
    <s v="Brunswick/Bath/Freeport"/>
    <n v="2"/>
  </r>
  <r>
    <n v="1194"/>
    <s v="UE"/>
    <s v="Order"/>
    <n v="18"/>
    <s v="Wednesday"/>
    <x v="491"/>
    <n v="2"/>
    <n v="35.76"/>
    <d v="1899-12-30T01:09:00"/>
    <n v="1.1500000000000001"/>
    <n v="1.25"/>
    <s v="Dinner"/>
    <s v="Brunswick/Bath/Freeport"/>
    <n v="2"/>
  </r>
  <r>
    <n v="1195"/>
    <s v="DD"/>
    <s v="Order"/>
    <n v="18"/>
    <s v="Wednesday"/>
    <x v="491"/>
    <n v="4"/>
    <n v="36.75"/>
    <d v="1899-12-30T02:11:00"/>
    <n v="2.1833333333333331"/>
    <n v="2.25"/>
    <s v="Dinner"/>
    <s v="Brunswick/Bath/Freeport"/>
    <n v="2"/>
  </r>
  <r>
    <n v="1196"/>
    <s v="DD"/>
    <s v="Order"/>
    <n v="18"/>
    <s v="Wednesday"/>
    <x v="491"/>
    <n v="5"/>
    <n v="36"/>
    <d v="1899-12-30T01:36:00"/>
    <n v="1.6"/>
    <n v="1.5"/>
    <s v="Dinner"/>
    <s v="Brunswick/Bath/Freeport"/>
    <n v="2"/>
  </r>
  <r>
    <n v="1197"/>
    <s v="DD"/>
    <s v="Order"/>
    <n v="18"/>
    <s v="Wednesday"/>
    <x v="491"/>
    <n v="1"/>
    <n v="6.9"/>
    <d v="1899-12-30T00:48:00"/>
    <n v="0.8"/>
    <n v="0.75"/>
    <s v="Late Night"/>
    <s v="Brunswick/Bath/Freeport"/>
    <n v="2"/>
  </r>
  <r>
    <n v="1198"/>
    <s v="UE"/>
    <s v="Order"/>
    <n v="18"/>
    <s v="Thursday"/>
    <x v="492"/>
    <n v="6"/>
    <n v="65.92"/>
    <d v="1899-12-30T02:07:00"/>
    <n v="2.1166666666666663"/>
    <n v="2"/>
    <s v="Dinner"/>
    <s v="Augusta"/>
    <n v="1"/>
  </r>
  <r>
    <n v="1199"/>
    <s v="DD"/>
    <s v="Hourly"/>
    <n v="18"/>
    <s v="Thursday"/>
    <x v="492"/>
    <n v="3"/>
    <n v="18.71"/>
    <d v="1899-12-30T01:47:00"/>
    <n v="1.7833333333333332"/>
    <n v="1.75"/>
    <s v="Dinner"/>
    <s v="Augusta"/>
    <n v="1"/>
  </r>
  <r>
    <n v="1200"/>
    <s v="DD"/>
    <s v="Order"/>
    <n v="18"/>
    <s v="Thursday"/>
    <x v="492"/>
    <n v="4"/>
    <n v="23"/>
    <d v="1899-12-30T01:31:00"/>
    <n v="1.5166666666666666"/>
    <n v="1.5"/>
    <s v="Late Night"/>
    <s v="Augusta"/>
    <n v="1"/>
  </r>
  <r>
    <n v="1201"/>
    <s v="UE"/>
    <s v="Order"/>
    <n v="18"/>
    <s v="Friday"/>
    <x v="493"/>
    <n v="1"/>
    <n v="9.3699999999999992"/>
    <d v="1899-12-30T00:40:00"/>
    <n v="0.66666666666666663"/>
    <n v="0.75"/>
    <s v="Dinner"/>
    <s v="Lewiston"/>
    <n v="3"/>
  </r>
  <r>
    <n v="1202"/>
    <s v="DD"/>
    <s v="Order"/>
    <n v="18"/>
    <s v="Friday"/>
    <x v="493"/>
    <n v="8"/>
    <n v="77.17"/>
    <d v="1899-12-30T02:55:00"/>
    <n v="2.9166666666666665"/>
    <n v="3"/>
    <s v="Dinner"/>
    <s v="Lewiston"/>
    <n v="3"/>
  </r>
  <r>
    <n v="1203"/>
    <s v="DD"/>
    <s v="Order"/>
    <n v="18"/>
    <s v="Friday"/>
    <x v="493"/>
    <n v="6"/>
    <n v="37"/>
    <d v="1899-12-30T01:33:00"/>
    <n v="1.5500000000000003"/>
    <n v="1.5"/>
    <s v="Late Night"/>
    <s v="Lewiston"/>
    <n v="3"/>
  </r>
  <r>
    <n v="1204"/>
    <s v="UE"/>
    <s v="Order"/>
    <n v="18"/>
    <s v="Saturday"/>
    <x v="494"/>
    <n v="3"/>
    <n v="31.21"/>
    <d v="1899-12-30T01:09:00"/>
    <n v="1.1499999999999999"/>
    <n v="1.25"/>
    <s v="Dinner"/>
    <s v="Brunswick/Bath/Freeport"/>
    <n v="2"/>
  </r>
  <r>
    <n v="1205"/>
    <s v="DD"/>
    <s v="Hourly"/>
    <n v="18"/>
    <s v="Saturday"/>
    <x v="494"/>
    <n v="5"/>
    <n v="41.84"/>
    <d v="1899-12-30T02:50:00"/>
    <n v="2.833333333333333"/>
    <n v="2.75"/>
    <s v="Dinner"/>
    <s v="Brunswick/Bath/Freeport"/>
    <n v="2"/>
  </r>
  <r>
    <n v="1206"/>
    <s v="UE"/>
    <s v="Order"/>
    <n v="18"/>
    <s v="Sunday"/>
    <x v="495"/>
    <n v="2"/>
    <n v="46.51"/>
    <d v="1899-12-30T01:01:00"/>
    <n v="1.0166666666666666"/>
    <n v="1"/>
    <s v="Dinner"/>
    <s v="Brunswick/Bath/Freeport"/>
    <n v="2"/>
  </r>
  <r>
    <n v="1207"/>
    <s v="DD"/>
    <s v="Order"/>
    <n v="18"/>
    <s v="Sunday"/>
    <x v="495"/>
    <n v="6"/>
    <n v="60.57"/>
    <d v="1899-12-30T02:56:00"/>
    <n v="2.9333333333333331"/>
    <n v="3"/>
    <s v="Dinner"/>
    <s v="Brunswick/Bath/Freeport"/>
    <n v="2"/>
  </r>
  <r>
    <n v="1208"/>
    <s v="DD"/>
    <s v="Order"/>
    <n v="18"/>
    <s v="Sunday"/>
    <x v="495"/>
    <n v="2"/>
    <n v="34.549999999999997"/>
    <d v="1899-12-30T01:20:00"/>
    <n v="1.3333333333333333"/>
    <n v="1.25"/>
    <s v="Late Night"/>
    <s v="Brunswick/Bath/Freeport"/>
    <n v="2"/>
  </r>
  <r>
    <n v="1209"/>
    <s v="UE"/>
    <s v="Order"/>
    <n v="19"/>
    <s v="Monday"/>
    <x v="496"/>
    <n v="5"/>
    <n v="75.8"/>
    <d v="1899-12-30T03:00:00"/>
    <n v="3"/>
    <n v="3"/>
    <s v="Dinner"/>
    <s v="Brunswick/Bath/Freeport"/>
    <n v="2"/>
  </r>
  <r>
    <n v="1210"/>
    <s v="DD"/>
    <s v="Order"/>
    <n v="19"/>
    <s v="Monday"/>
    <x v="496"/>
    <n v="6"/>
    <n v="41.5"/>
    <d v="1899-12-30T03:06:00"/>
    <n v="3.1000000000000005"/>
    <n v="3"/>
    <s v="Dinner"/>
    <s v="Brunswick/Bath/Freeport"/>
    <n v="2"/>
  </r>
  <r>
    <n v="1211"/>
    <s v="DD"/>
    <s v="Order"/>
    <n v="19"/>
    <s v="Monday"/>
    <x v="496"/>
    <n v="2"/>
    <n v="15.75"/>
    <d v="1899-12-30T01:22:00"/>
    <n v="1.3666666666666667"/>
    <n v="1.25"/>
    <s v="Late Night"/>
    <s v="Brunswick/Bath/Freeport"/>
    <n v="2"/>
  </r>
  <r>
    <n v="1212"/>
    <s v="UE"/>
    <s v="Order"/>
    <n v="19"/>
    <s v="Tuesday"/>
    <x v="497"/>
    <n v="4"/>
    <n v="55.91"/>
    <d v="1899-12-30T02:48:00"/>
    <n v="2.8"/>
    <n v="2.75"/>
    <s v="Dinner"/>
    <s v="Portland"/>
    <n v="4"/>
  </r>
  <r>
    <n v="1213"/>
    <s v="DD"/>
    <s v="Hourly"/>
    <n v="19"/>
    <s v="Tuesday"/>
    <x v="497"/>
    <n v="2"/>
    <n v="13.08"/>
    <d v="1899-12-30T00:57:00"/>
    <n v="0.95"/>
    <n v="1"/>
    <s v="Dinner"/>
    <s v="Portland"/>
    <n v="4"/>
  </r>
  <r>
    <n v="1214"/>
    <s v="DD"/>
    <s v="Hourly"/>
    <n v="19"/>
    <s v="Tuesday"/>
    <x v="497"/>
    <n v="1"/>
    <n v="6.03"/>
    <d v="1899-12-30T00:28:00"/>
    <n v="0.46666666666666667"/>
    <n v="0.5"/>
    <s v="Dinner"/>
    <s v="Portland"/>
    <n v="4"/>
  </r>
  <r>
    <n v="1215"/>
    <s v="UE"/>
    <s v="Order"/>
    <n v="19"/>
    <s v="Thursday"/>
    <x v="498"/>
    <n v="3"/>
    <n v="53.21"/>
    <d v="1899-12-30T02:23:00"/>
    <n v="2.3833333333333333"/>
    <n v="2.5"/>
    <s v="Dinner"/>
    <s v="Brunswick/Bath/Freeport"/>
    <n v="2"/>
  </r>
  <r>
    <n v="1216"/>
    <s v="DD"/>
    <s v="Order"/>
    <n v="19"/>
    <s v="Thursday"/>
    <x v="498"/>
    <n v="4"/>
    <n v="32.840000000000003"/>
    <d v="1899-12-30T02:08:00"/>
    <n v="2.1333333333333333"/>
    <n v="2.25"/>
    <s v="Dinner"/>
    <s v="Brunswick/Bath/Freeport"/>
    <n v="2"/>
  </r>
  <r>
    <n v="1217"/>
    <s v="DD"/>
    <s v="Order"/>
    <n v="19"/>
    <s v="Thursday"/>
    <x v="498"/>
    <n v="1"/>
    <n v="5.5"/>
    <d v="1899-12-30T00:19:00"/>
    <n v="0.31666666666666665"/>
    <n v="0.25"/>
    <s v="Late Night"/>
    <s v="Brunswick/Bath/Freeport"/>
    <n v="2"/>
  </r>
  <r>
    <n v="1218"/>
    <s v="UE"/>
    <s v="Order"/>
    <n v="20"/>
    <s v="Monday"/>
    <x v="499"/>
    <n v="6"/>
    <n v="96.7"/>
    <d v="1899-12-30T03:13:00"/>
    <n v="3.2166666666666668"/>
    <n v="3.25"/>
    <s v="Dinner"/>
    <s v="Brunswick/Bath/Freeport"/>
    <n v="2"/>
  </r>
  <r>
    <n v="1219"/>
    <s v="DD"/>
    <s v="Order"/>
    <n v="20"/>
    <s v="Monday"/>
    <x v="499"/>
    <n v="7"/>
    <n v="47.13"/>
    <d v="1899-12-30T03:58:00"/>
    <n v="3.9666666666666668"/>
    <n v="4"/>
    <s v="Dinner"/>
    <s v="Brunswick/Bath/Freeport"/>
    <n v="2"/>
  </r>
  <r>
    <n v="1220"/>
    <s v="UE"/>
    <s v="Order"/>
    <n v="20"/>
    <s v="Tuesday"/>
    <x v="500"/>
    <n v="4"/>
    <n v="58.48"/>
    <d v="1899-12-30T02:59:00"/>
    <n v="2.9833333333333334"/>
    <n v="3"/>
    <s v="Dinner"/>
    <s v="Brunswick/Bath/Freeport"/>
    <n v="2"/>
  </r>
  <r>
    <n v="1221"/>
    <s v="DD"/>
    <s v="Order"/>
    <n v="20"/>
    <s v="Tuesday"/>
    <x v="500"/>
    <n v="10"/>
    <n v="76"/>
    <d v="1899-12-30T03:49:00"/>
    <n v="3.8166666666666664"/>
    <n v="3.75"/>
    <s v="Dinner"/>
    <s v="Brunswick/Bath/Freeport"/>
    <n v="2"/>
  </r>
  <r>
    <n v="1222"/>
    <s v="DD"/>
    <s v="Order"/>
    <n v="20"/>
    <s v="Tuesday"/>
    <x v="500"/>
    <n v="2"/>
    <n v="8"/>
    <d v="1899-12-30T01:24:00"/>
    <n v="1.4"/>
    <n v="1.5"/>
    <s v="Late Night"/>
    <s v="Brunswick/Bath/Freeport"/>
    <n v="2"/>
  </r>
  <r>
    <n v="1223"/>
    <s v="UE"/>
    <s v="Order"/>
    <n v="20"/>
    <s v="Wednesday"/>
    <x v="501"/>
    <n v="4"/>
    <n v="56.65"/>
    <d v="1899-12-30T02:10:00"/>
    <n v="2.1666666666666665"/>
    <n v="2.25"/>
    <s v="Dinner"/>
    <s v="Brunswick/Bath/Freeport"/>
    <n v="2"/>
  </r>
  <r>
    <n v="1224"/>
    <s v="DD"/>
    <s v="Order"/>
    <n v="20"/>
    <s v="Wednesday"/>
    <x v="501"/>
    <n v="10"/>
    <n v="62.5"/>
    <d v="1899-12-30T04:27:00"/>
    <n v="4.45"/>
    <n v="4.5"/>
    <s v="Dinner"/>
    <s v="Brunswick/Bath/Freeport"/>
    <n v="2"/>
  </r>
  <r>
    <n v="1225"/>
    <s v="DD"/>
    <s v="Order"/>
    <n v="20"/>
    <s v="Wednesday"/>
    <x v="501"/>
    <n v="1"/>
    <n v="6"/>
    <d v="1899-12-30T00:42:00"/>
    <n v="0.7"/>
    <n v="0.75"/>
    <s v="Late Night"/>
    <s v="Brunswick/Bath/Freeport"/>
    <n v="2"/>
  </r>
  <r>
    <n v="1226"/>
    <s v="UE"/>
    <s v="Order"/>
    <n v="20"/>
    <s v="Thursday"/>
    <x v="502"/>
    <n v="5"/>
    <n v="80.17"/>
    <d v="1899-12-30T03:36:00"/>
    <n v="3.5999999999999996"/>
    <n v="3.5"/>
    <s v="Dinner"/>
    <s v="Brunswick/Bath/Freeport"/>
    <n v="2"/>
  </r>
  <r>
    <n v="1227"/>
    <s v="DD"/>
    <s v="Order"/>
    <n v="20"/>
    <s v="Thursday"/>
    <x v="502"/>
    <n v="2"/>
    <n v="17.5"/>
    <d v="1899-12-30T02:17:00"/>
    <n v="2.2833333333333332"/>
    <n v="2.25"/>
    <s v="Dinner"/>
    <s v="Brunswick/Bath/Freeport"/>
    <n v="2"/>
  </r>
  <r>
    <n v="1228"/>
    <s v="DD"/>
    <s v="Order"/>
    <n v="20"/>
    <s v="Thursday"/>
    <x v="502"/>
    <n v="3"/>
    <n v="22"/>
    <d v="1899-12-30T02:28:00"/>
    <n v="2.4666666666666668"/>
    <n v="2.5"/>
    <s v="Dinner"/>
    <s v="Brunswick/Bath/Freeport"/>
    <n v="2"/>
  </r>
  <r>
    <n v="1229"/>
    <s v="DD"/>
    <s v="Order"/>
    <n v="20"/>
    <s v="Thursday"/>
    <x v="502"/>
    <n v="1"/>
    <n v="10"/>
    <d v="1899-12-30T00:32:00"/>
    <n v="0.53333333333333333"/>
    <n v="0.5"/>
    <s v="Late Night"/>
    <s v="Brunswick/Bath/Freeport"/>
    <n v="2"/>
  </r>
  <r>
    <n v="1230"/>
    <s v="UE"/>
    <s v="Order"/>
    <n v="20"/>
    <s v="Friday"/>
    <x v="503"/>
    <n v="12"/>
    <n v="114.74"/>
    <d v="1899-12-30T05:13:00"/>
    <n v="5.2166666666666668"/>
    <n v="5.25"/>
    <s v="Dinner"/>
    <s v="Portland"/>
    <n v="4"/>
  </r>
  <r>
    <n v="1231"/>
    <s v="DD"/>
    <s v="Order"/>
    <n v="20"/>
    <s v="Friday"/>
    <x v="503"/>
    <n v="2"/>
    <n v="20.75"/>
    <d v="1899-12-30T01:04:00"/>
    <n v="1.0666666666666667"/>
    <n v="1"/>
    <s v="Dinner"/>
    <s v="Portland"/>
    <n v="4"/>
  </r>
  <r>
    <n v="1232"/>
    <s v="DD"/>
    <s v="Order"/>
    <n v="20"/>
    <s v="Friday"/>
    <x v="503"/>
    <n v="3"/>
    <n v="16"/>
    <d v="1899-12-30T00:40:00"/>
    <n v="0.66666666666666663"/>
    <n v="0.75"/>
    <s v="Late Night"/>
    <s v="Portland"/>
    <n v="4"/>
  </r>
  <r>
    <n v="1233"/>
    <s v="DD"/>
    <s v="Order"/>
    <n v="21"/>
    <s v="Monday"/>
    <x v="504"/>
    <n v="4"/>
    <n v="22"/>
    <d v="1899-12-30T01:27:00"/>
    <n v="1.45"/>
    <n v="1.5"/>
    <s v="Lunch"/>
    <s v="Brunswick/Bath/Freeport"/>
    <n v="2"/>
  </r>
  <r>
    <n v="1234"/>
    <s v="UE"/>
    <s v="Order"/>
    <n v="21"/>
    <s v="Wednesday"/>
    <x v="505"/>
    <n v="2"/>
    <n v="30.4"/>
    <d v="1899-12-30T01:48:00"/>
    <n v="1.7999999999999998"/>
    <n v="1.75"/>
    <s v="Dinner"/>
    <s v="Brunswick/Bath/Freeport"/>
    <n v="2"/>
  </r>
  <r>
    <n v="1235"/>
    <s v="DD"/>
    <s v="Order"/>
    <n v="21"/>
    <s v="Wednesday"/>
    <x v="505"/>
    <n v="1"/>
    <n v="11.25"/>
    <d v="1899-12-30T00:33:00"/>
    <n v="0.54999999999999993"/>
    <n v="0.5"/>
    <s v="Dinner"/>
    <s v="Brunswick/Bath/Freeport"/>
    <n v="2"/>
  </r>
  <r>
    <n v="1236"/>
    <s v="DD"/>
    <s v="Order"/>
    <n v="21"/>
    <s v="Wednesday"/>
    <x v="505"/>
    <n v="6"/>
    <n v="63.75"/>
    <d v="1899-12-30T04:23:00"/>
    <n v="4.3833333333333329"/>
    <n v="4.5"/>
    <s v="Dinner"/>
    <s v="Brunswick/Bath/Freeport"/>
    <n v="2"/>
  </r>
  <r>
    <n v="1237"/>
    <s v="DD"/>
    <s v="Order"/>
    <n v="21"/>
    <s v="Thursday"/>
    <x v="506"/>
    <n v="10"/>
    <n v="72.94"/>
    <d v="1899-12-30T04:02:00"/>
    <n v="4.0333333333333332"/>
    <n v="4"/>
    <s v="Dinner"/>
    <s v="Brunswick/Bath/Freeport"/>
    <n v="2"/>
  </r>
  <r>
    <n v="1238"/>
    <s v="UE"/>
    <s v="Order"/>
    <n v="21"/>
    <s v="Friday"/>
    <x v="507"/>
    <n v="3"/>
    <n v="28.19"/>
    <d v="1899-12-30T02:39:00"/>
    <n v="2.65"/>
    <n v="2.75"/>
    <s v="Dinner"/>
    <s v="Brunswick/Bath/Freeport"/>
    <n v="2"/>
  </r>
  <r>
    <n v="1239"/>
    <s v="DD"/>
    <s v="Order"/>
    <n v="21"/>
    <s v="Friday"/>
    <x v="507"/>
    <n v="1"/>
    <n v="5.5"/>
    <d v="1899-12-30T01:02:00"/>
    <n v="1.0333333333333332"/>
    <n v="1"/>
    <s v="Dinner"/>
    <s v="Brunswick/Bath/Freeport"/>
    <n v="2"/>
  </r>
  <r>
    <n v="1240"/>
    <s v="DD"/>
    <s v="Order"/>
    <n v="21"/>
    <s v="Friday"/>
    <x v="507"/>
    <n v="2"/>
    <n v="15"/>
    <d v="1899-12-30T01:22:00"/>
    <n v="1.3666666666666667"/>
    <n v="1.25"/>
    <s v="Dinner"/>
    <s v="Brunswick/Bath/Freeport"/>
    <n v="2"/>
  </r>
  <r>
    <n v="1241"/>
    <s v="DD"/>
    <s v="Order"/>
    <n v="21"/>
    <s v="Friday"/>
    <x v="507"/>
    <n v="2"/>
    <n v="23.5"/>
    <d v="1899-12-30T01:12:00"/>
    <n v="1.2000000000000002"/>
    <n v="1.25"/>
    <s v="Dinner"/>
    <s v="Brunswick/Bath/Freeport"/>
    <n v="2"/>
  </r>
  <r>
    <n v="1242"/>
    <s v="UE"/>
    <s v="Order"/>
    <n v="22"/>
    <s v="Monday"/>
    <x v="508"/>
    <n v="3"/>
    <n v="38.770000000000003"/>
    <d v="1899-12-30T01:28:00"/>
    <n v="1.4666666666666668"/>
    <n v="1.5"/>
    <s v="Dinner"/>
    <s v="Augusta"/>
    <n v="1"/>
  </r>
  <r>
    <n v="1243"/>
    <s v="DD"/>
    <s v="Order"/>
    <n v="22"/>
    <s v="Monday"/>
    <x v="508"/>
    <n v="1"/>
    <n v="5.5"/>
    <d v="1899-12-30T00:34:00"/>
    <n v="0.56666666666666665"/>
    <n v="0.5"/>
    <s v="Dinner"/>
    <s v="Augusta"/>
    <n v="1"/>
  </r>
  <r>
    <n v="1244"/>
    <s v="DD"/>
    <s v="Hourly"/>
    <n v="22"/>
    <s v="Monday"/>
    <x v="508"/>
    <n v="3"/>
    <n v="27.98"/>
    <d v="1899-12-30T02:11:00"/>
    <n v="2.1833333333333331"/>
    <n v="2.25"/>
    <s v="Dinner"/>
    <s v="Augusta"/>
    <n v="1"/>
  </r>
  <r>
    <n v="1245"/>
    <s v="DD"/>
    <s v="Hourly"/>
    <n v="22"/>
    <s v="Monday"/>
    <x v="508"/>
    <n v="3"/>
    <n v="21.24"/>
    <d v="1899-12-30T00:59:00"/>
    <n v="0.98333333333333339"/>
    <n v="1"/>
    <s v="Dinner"/>
    <s v="Augusta"/>
    <n v="1"/>
  </r>
  <r>
    <n v="1246"/>
    <s v="UE"/>
    <s v="Order"/>
    <n v="22"/>
    <s v="Tuesday"/>
    <x v="509"/>
    <n v="2"/>
    <n v="23.740000000000002"/>
    <d v="1899-12-30T00:59:00"/>
    <n v="0.98333333333333339"/>
    <n v="1"/>
    <s v="Dinner"/>
    <s v="Brunswick/Bath/Freeport"/>
    <n v="2"/>
  </r>
  <r>
    <n v="1247"/>
    <s v="DD"/>
    <s v="Order"/>
    <n v="22"/>
    <s v="Tuesday"/>
    <x v="509"/>
    <n v="1"/>
    <n v="7.75"/>
    <d v="1899-12-30T01:21:00"/>
    <n v="1.35"/>
    <n v="1.25"/>
    <s v="Dinner"/>
    <s v="Brunswick/Bath/Freeport"/>
    <n v="2"/>
  </r>
  <r>
    <n v="1248"/>
    <s v="DD"/>
    <s v="Order"/>
    <n v="22"/>
    <s v="Tuesday"/>
    <x v="509"/>
    <n v="2"/>
    <n v="31.98"/>
    <d v="1899-12-30T01:25:00"/>
    <n v="1.4166666666666665"/>
    <n v="1.5"/>
    <s v="Dinner"/>
    <s v="Brunswick/Bath/Freeport"/>
    <n v="2"/>
  </r>
  <r>
    <n v="1249"/>
    <s v="DD"/>
    <s v="Order"/>
    <n v="22"/>
    <s v="Tuesday"/>
    <x v="509"/>
    <n v="5"/>
    <n v="45.75"/>
    <d v="1899-12-30T01:51:00"/>
    <n v="1.85"/>
    <n v="1.75"/>
    <s v="Dinner"/>
    <s v="Brunswick/Bath/Freeport"/>
    <n v="2"/>
  </r>
  <r>
    <n v="1250"/>
    <s v="DD"/>
    <s v="Order"/>
    <n v="22"/>
    <s v="Tuesday"/>
    <x v="509"/>
    <n v="1"/>
    <n v="12"/>
    <d v="1899-12-30T00:53:00"/>
    <n v="0.8833333333333333"/>
    <n v="1"/>
    <s v="Late Night"/>
    <s v="Brunswick/Bath/Freeport"/>
    <n v="2"/>
  </r>
  <r>
    <n v="1251"/>
    <s v="UE"/>
    <s v="Order"/>
    <n v="22"/>
    <s v="Wednesday"/>
    <x v="510"/>
    <n v="2"/>
    <n v="11.23"/>
    <d v="1899-12-30T00:35:00"/>
    <n v="0.58333333333333326"/>
    <n v="0.5"/>
    <s v="Dinner"/>
    <s v="Brunswick/Bath/Freeport"/>
    <n v="2"/>
  </r>
  <r>
    <n v="1252"/>
    <s v="DD"/>
    <s v="Order"/>
    <n v="22"/>
    <s v="Wednesday"/>
    <x v="510"/>
    <n v="5"/>
    <n v="37"/>
    <d v="1899-12-30T03:23:00"/>
    <n v="3.3833333333333333"/>
    <n v="3.5"/>
    <s v="Dinner"/>
    <s v="Brunswick/Bath/Freeport"/>
    <n v="2"/>
  </r>
  <r>
    <n v="1253"/>
    <s v="UE"/>
    <s v="Order"/>
    <n v="22"/>
    <s v="Thursday"/>
    <x v="511"/>
    <n v="4"/>
    <n v="85.210000000000008"/>
    <d v="1899-12-30T01:33:00"/>
    <n v="1.5499999999999998"/>
    <n v="1.5"/>
    <s v="Dinner"/>
    <s v="Brunswick/Bath/Freeport"/>
    <n v="2"/>
  </r>
  <r>
    <n v="1254"/>
    <s v="DD"/>
    <s v="Order"/>
    <n v="22"/>
    <s v="Thursday"/>
    <x v="511"/>
    <n v="4"/>
    <n v="46.89"/>
    <d v="1899-12-30T01:56:00"/>
    <n v="1.9333333333333336"/>
    <n v="2"/>
    <s v="Dinner"/>
    <s v="Brunswick/Bath/Freeport"/>
    <n v="2"/>
  </r>
  <r>
    <n v="1255"/>
    <s v="DD"/>
    <s v="Order"/>
    <n v="22"/>
    <s v="Thursday"/>
    <x v="511"/>
    <n v="1"/>
    <n v="8.25"/>
    <d v="1899-12-30T01:00:00"/>
    <n v="1"/>
    <n v="1"/>
    <s v="Dinner"/>
    <s v="Brunswick/Bath/Freeport"/>
    <n v="2"/>
  </r>
  <r>
    <n v="1256"/>
    <s v="DD"/>
    <s v="Order"/>
    <n v="22"/>
    <s v="Thursday"/>
    <x v="511"/>
    <n v="2"/>
    <n v="15.58"/>
    <d v="1899-12-30T01:05:00"/>
    <n v="1.0833333333333333"/>
    <n v="1"/>
    <s v="Late Night"/>
    <s v="Brunswick/Bath/Freeport"/>
    <n v="2"/>
  </r>
  <r>
    <n v="1257"/>
    <s v="UE"/>
    <s v="Order"/>
    <n v="22"/>
    <s v="Friday"/>
    <x v="512"/>
    <n v="5"/>
    <n v="43.629999999999995"/>
    <d v="1899-12-30T01:59:00"/>
    <n v="1.9833333333333334"/>
    <n v="2"/>
    <s v="Dinner"/>
    <s v="Brunswick/Bath/Freeport"/>
    <n v="2"/>
  </r>
  <r>
    <n v="1258"/>
    <s v="DD"/>
    <s v="Order"/>
    <n v="22"/>
    <s v="Friday"/>
    <x v="512"/>
    <n v="7"/>
    <n v="79.5"/>
    <d v="1899-12-30T04:07:00"/>
    <n v="4.1166666666666671"/>
    <n v="4"/>
    <s v="Dinner"/>
    <s v="Brunswick/Bath/Freeport"/>
    <n v="2"/>
  </r>
  <r>
    <n v="1259"/>
    <s v="DD"/>
    <s v="Order"/>
    <n v="22"/>
    <s v="Friday"/>
    <x v="512"/>
    <n v="1"/>
    <n v="8"/>
    <d v="1899-12-30T00:19:00"/>
    <n v="0.31666666666666665"/>
    <n v="0.25"/>
    <s v="Late Night"/>
    <s v="Brunswick/Bath/Freeport"/>
    <n v="2"/>
  </r>
  <r>
    <n v="1260"/>
    <s v="UE"/>
    <s v="Order"/>
    <n v="22"/>
    <s v="Saturday"/>
    <x v="513"/>
    <n v="5"/>
    <n v="115.21999999999998"/>
    <d v="1899-12-30T02:40:00"/>
    <n v="2.6666666666666665"/>
    <n v="2.75"/>
    <s v="Dinner"/>
    <s v="Portland"/>
    <n v="4"/>
  </r>
  <r>
    <n v="1261"/>
    <s v="DD"/>
    <s v="Hourly"/>
    <n v="22"/>
    <s v="Saturday"/>
    <x v="513"/>
    <n v="3"/>
    <n v="37.5"/>
    <d v="1899-12-30T01:53:00"/>
    <n v="1.8833333333333333"/>
    <n v="2"/>
    <s v="Dinner"/>
    <s v="Portland"/>
    <n v="4"/>
  </r>
  <r>
    <n v="1262"/>
    <s v="DD"/>
    <s v="Order"/>
    <n v="22"/>
    <s v="Sunday"/>
    <x v="514"/>
    <n v="10"/>
    <n v="80.06"/>
    <d v="1899-12-30T04:18:00"/>
    <n v="4.3"/>
    <n v="4.25"/>
    <s v="Dinner"/>
    <s v="Lewiston"/>
    <n v="3"/>
  </r>
  <r>
    <n v="1263"/>
    <s v="DD"/>
    <s v="Order"/>
    <n v="22"/>
    <s v="Sunday"/>
    <x v="514"/>
    <n v="2"/>
    <n v="14.5"/>
    <d v="1899-12-30T01:13:00"/>
    <n v="1.2166666666666668"/>
    <n v="1.25"/>
    <s v="Late Night"/>
    <s v="Lewiston"/>
    <n v="3"/>
  </r>
  <r>
    <n v="1264"/>
    <s v="DD"/>
    <s v="Order"/>
    <n v="23"/>
    <s v="Monday"/>
    <x v="515"/>
    <n v="10"/>
    <n v="96"/>
    <d v="1899-12-30T05:10:00"/>
    <n v="5.166666666666667"/>
    <n v="5.25"/>
    <s v="Dinner"/>
    <s v="Brunswick/Bath/Freeport"/>
    <n v="2"/>
  </r>
  <r>
    <n v="1265"/>
    <s v="UE"/>
    <s v="Order"/>
    <n v="23"/>
    <s v="Tuesday"/>
    <x v="516"/>
    <n v="6"/>
    <n v="81.44"/>
    <d v="1899-12-30T04:37:00"/>
    <n v="4.6166666666666671"/>
    <n v="4.5"/>
    <s v="Dinner"/>
    <s v="Brunswick/Bath/Freeport"/>
    <n v="2"/>
  </r>
  <r>
    <n v="1266"/>
    <s v="DD"/>
    <s v="Order"/>
    <n v="23"/>
    <s v="Tuesday"/>
    <x v="516"/>
    <n v="4"/>
    <n v="23.1"/>
    <d v="1899-12-30T02:40:00"/>
    <n v="2.6666666666666665"/>
    <n v="2.75"/>
    <s v="Dinner"/>
    <s v="Brunswick/Bath/Freeport"/>
    <n v="2"/>
  </r>
  <r>
    <n v="1267"/>
    <s v="UE"/>
    <s v="Order"/>
    <n v="23"/>
    <s v="Wednesday"/>
    <x v="517"/>
    <n v="11"/>
    <n v="97.84"/>
    <d v="1899-12-30T05:13:00"/>
    <n v="5.2166666666666668"/>
    <n v="5.25"/>
    <s v="Dinner"/>
    <s v="Portland"/>
    <n v="4"/>
  </r>
  <r>
    <n v="1268"/>
    <s v="DD"/>
    <s v="Order"/>
    <n v="23"/>
    <s v="Wednesday"/>
    <x v="517"/>
    <n v="1"/>
    <n v="6.75"/>
    <d v="1899-12-30T00:55:00"/>
    <n v="0.91666666666666674"/>
    <n v="1"/>
    <s v="Dinner"/>
    <s v="Portland"/>
    <n v="4"/>
  </r>
  <r>
    <n v="1269"/>
    <s v="DD"/>
    <s v="Order"/>
    <n v="23"/>
    <s v="Wednesday"/>
    <x v="517"/>
    <n v="1"/>
    <n v="8.5"/>
    <d v="1899-12-30T00:57:00"/>
    <n v="0.95"/>
    <n v="1"/>
    <s v="Dinner"/>
    <s v="Portland"/>
    <n v="4"/>
  </r>
  <r>
    <n v="1270"/>
    <s v="UE"/>
    <s v="Order"/>
    <n v="23"/>
    <s v="Thursday"/>
    <x v="518"/>
    <n v="10"/>
    <n v="139.02000000000001"/>
    <d v="1899-12-30T06:09:00"/>
    <n v="6.1499999999999995"/>
    <n v="6.25"/>
    <s v="Dinner"/>
    <s v="Portland"/>
    <n v="4"/>
  </r>
  <r>
    <n v="1271"/>
    <s v="UE"/>
    <s v="Order"/>
    <n v="23"/>
    <s v="Friday"/>
    <x v="519"/>
    <n v="6"/>
    <n v="78.06"/>
    <d v="1899-12-30T03:35:00"/>
    <n v="3.583333333333333"/>
    <n v="3.5"/>
    <s v="Dinner"/>
    <s v="Brunswick/Bath/Freeport"/>
    <n v="2"/>
  </r>
  <r>
    <n v="1272"/>
    <s v="DD"/>
    <s v="Order"/>
    <n v="23"/>
    <s v="Friday"/>
    <x v="519"/>
    <n v="7"/>
    <n v="65.5"/>
    <d v="1899-12-30T03:16:00"/>
    <n v="3.2666666666666666"/>
    <n v="3.25"/>
    <s v="Dinner"/>
    <s v="Brunswick/Bath/Freeport"/>
    <n v="2"/>
  </r>
  <r>
    <n v="1273"/>
    <s v="UE"/>
    <s v="Order"/>
    <n v="23"/>
    <s v="Saturday"/>
    <x v="520"/>
    <n v="2"/>
    <n v="24.52"/>
    <d v="1899-12-30T03:06:00"/>
    <n v="3.1000000000000005"/>
    <n v="3"/>
    <s v="Dinner"/>
    <s v="Brunswick/Bath/Freeport"/>
    <n v="2"/>
  </r>
  <r>
    <n v="1274"/>
    <s v="DD"/>
    <s v="Hourly"/>
    <n v="23"/>
    <s v="Saturday"/>
    <x v="520"/>
    <n v="8"/>
    <n v="63.28"/>
    <d v="1899-12-30T03:42:00"/>
    <n v="3.7"/>
    <n v="3.75"/>
    <s v="Dinner"/>
    <s v="Brunswick/Bath/Freeport"/>
    <n v="2"/>
  </r>
  <r>
    <n v="1275"/>
    <s v="DD"/>
    <s v="Hourly"/>
    <n v="23"/>
    <s v="Saturday"/>
    <x v="520"/>
    <n v="6"/>
    <n v="41.71"/>
    <d v="1899-12-30T02:09:00"/>
    <n v="2.15"/>
    <n v="2.25"/>
    <s v="Dinner"/>
    <s v="Brunswick/Bath/Freeport"/>
    <n v="2"/>
  </r>
  <r>
    <n v="1276"/>
    <s v="DD"/>
    <s v="Hourly"/>
    <n v="23"/>
    <s v="Saturday"/>
    <x v="520"/>
    <n v="1"/>
    <n v="6.58"/>
    <d v="1899-12-30T00:21:00"/>
    <n v="0.35"/>
    <n v="0.25"/>
    <s v="Late Night"/>
    <s v="Brunswick/Bath/Freeport"/>
    <n v="2"/>
  </r>
  <r>
    <n v="1277"/>
    <s v="UE"/>
    <s v="Order"/>
    <n v="23"/>
    <s v="Sunday"/>
    <x v="521"/>
    <n v="12"/>
    <n v="168.09"/>
    <d v="1899-12-30T06:05:00"/>
    <n v="6.083333333333333"/>
    <n v="6"/>
    <s v="Dinner"/>
    <s v="Portland"/>
    <n v="4"/>
  </r>
  <r>
    <n v="1278"/>
    <s v="DD"/>
    <s v="Hourly"/>
    <n v="23"/>
    <s v="Sunday"/>
    <x v="521"/>
    <n v="1"/>
    <n v="5.98"/>
    <d v="1899-12-30T01:51:00"/>
    <n v="1.85"/>
    <n v="1.75"/>
    <s v="Dinner"/>
    <s v="Portland"/>
    <n v="4"/>
  </r>
  <r>
    <n v="1279"/>
    <s v="UE"/>
    <s v="Order"/>
    <n v="24"/>
    <s v="Monday"/>
    <x v="522"/>
    <n v="3"/>
    <n v="57.58"/>
    <d v="1899-12-30T03:23:00"/>
    <n v="3.3833333333333333"/>
    <n v="3.5"/>
    <s v="Dinner"/>
    <s v="Portland"/>
    <n v="4"/>
  </r>
  <r>
    <n v="1280"/>
    <s v="DD"/>
    <s v="Order"/>
    <n v="24"/>
    <s v="Monday"/>
    <x v="522"/>
    <n v="1"/>
    <n v="26.94"/>
    <d v="1899-12-30T01:45:00"/>
    <n v="1.75"/>
    <n v="1.75"/>
    <s v="Dinner"/>
    <s v="Portland"/>
    <n v="4"/>
  </r>
  <r>
    <n v="1281"/>
    <s v="DD"/>
    <s v="Order"/>
    <n v="24"/>
    <s v="Monday"/>
    <x v="522"/>
    <n v="3"/>
    <n v="28.25"/>
    <d v="1899-12-30T01:28:00"/>
    <n v="1.4666666666666666"/>
    <n v="1.5"/>
    <s v="Late Night"/>
    <s v="Portland"/>
    <n v="4"/>
  </r>
  <r>
    <n v="1282"/>
    <s v="DD"/>
    <s v="Order"/>
    <n v="24"/>
    <s v="Monday"/>
    <x v="522"/>
    <n v="1"/>
    <n v="18"/>
    <d v="1899-12-30T00:38:00"/>
    <n v="0.6333333333333333"/>
    <n v="0.75"/>
    <s v="Late Night"/>
    <s v="Portland"/>
    <n v="4"/>
  </r>
  <r>
    <n v="1283"/>
    <s v="UE"/>
    <s v="Order"/>
    <n v="24"/>
    <s v="Tuesday"/>
    <x v="523"/>
    <n v="2"/>
    <n v="36.630000000000003"/>
    <d v="1899-12-30T02:51:00"/>
    <n v="2.8499999999999996"/>
    <n v="2.75"/>
    <s v="Dinner"/>
    <s v="Brunswick/Bath/Freeport"/>
    <n v="2"/>
  </r>
  <r>
    <n v="1284"/>
    <s v="DD"/>
    <s v="Order"/>
    <n v="24"/>
    <s v="Tuesday"/>
    <x v="523"/>
    <n v="3"/>
    <n v="21"/>
    <d v="1899-12-30T01:19:00"/>
    <n v="1.3166666666666667"/>
    <n v="1.25"/>
    <s v="Dinner"/>
    <s v="Brunswick/Bath/Freeport"/>
    <n v="2"/>
  </r>
  <r>
    <n v="1285"/>
    <s v="DD"/>
    <s v="Order"/>
    <n v="24"/>
    <s v="Tuesday"/>
    <x v="523"/>
    <n v="4"/>
    <n v="42.77"/>
    <d v="1899-12-30T02:23:00"/>
    <n v="2.3833333333333333"/>
    <n v="2.5"/>
    <s v="Dinner"/>
    <s v="Brunswick/Bath/Freeport"/>
    <n v="2"/>
  </r>
  <r>
    <n v="1286"/>
    <s v="DD"/>
    <s v="Order"/>
    <n v="24"/>
    <s v="Wednesday"/>
    <x v="524"/>
    <n v="12"/>
    <n v="104.98"/>
    <d v="1899-12-30T05:52:00"/>
    <n v="5.8666666666666663"/>
    <n v="5.75"/>
    <s v="Dinner"/>
    <s v="Brunswick/Bath/Freeport"/>
    <n v="2"/>
  </r>
  <r>
    <n v="1287"/>
    <s v="UE"/>
    <s v="Order"/>
    <n v="24"/>
    <s v="Thursday"/>
    <x v="525"/>
    <n v="4"/>
    <n v="47.25"/>
    <d v="1899-12-30T02:57:00"/>
    <n v="2.9499999999999997"/>
    <n v="3"/>
    <s v="Dinner"/>
    <s v="Brunswick/Bath/Freeport"/>
    <n v="2"/>
  </r>
  <r>
    <n v="1288"/>
    <s v="DD"/>
    <s v="Order"/>
    <n v="24"/>
    <s v="Thursday"/>
    <x v="525"/>
    <n v="5"/>
    <n v="50.75"/>
    <d v="1899-12-30T03:44:00"/>
    <n v="3.7333333333333334"/>
    <n v="3.75"/>
    <s v="Dinner"/>
    <s v="Brunswick/Bath/Freeport"/>
    <n v="2"/>
  </r>
  <r>
    <n v="1289"/>
    <s v="DD"/>
    <s v="Order"/>
    <n v="24"/>
    <s v="Thursday"/>
    <x v="525"/>
    <n v="5"/>
    <n v="36"/>
    <d v="1899-12-30T02:01:00"/>
    <n v="2.0166666666666666"/>
    <n v="2"/>
    <s v="Late Night"/>
    <s v="Brunswick/Bath/Freeport"/>
    <n v="2"/>
  </r>
  <r>
    <n v="1290"/>
    <s v="UE"/>
    <s v="Order"/>
    <n v="24"/>
    <s v="Friday"/>
    <x v="526"/>
    <n v="2"/>
    <n v="44.04"/>
    <d v="1899-12-30T02:24:00"/>
    <n v="2.4000000000000004"/>
    <n v="2.5"/>
    <s v="Dinner"/>
    <s v="Brunswick/Bath/Freeport"/>
    <n v="2"/>
  </r>
  <r>
    <n v="1291"/>
    <s v="DD"/>
    <s v="Order"/>
    <n v="24"/>
    <s v="Friday"/>
    <x v="526"/>
    <n v="8"/>
    <n v="100"/>
    <d v="1899-12-30T04:26:00"/>
    <n v="4.4333333333333336"/>
    <n v="4.5"/>
    <s v="Dinner"/>
    <s v="Brunswick/Bath/Freeport"/>
    <n v="2"/>
  </r>
  <r>
    <n v="1292"/>
    <s v="DD"/>
    <s v="Order"/>
    <n v="24"/>
    <s v="Friday"/>
    <x v="526"/>
    <n v="3"/>
    <n v="25.75"/>
    <d v="1899-12-30T01:30:00"/>
    <n v="1.5"/>
    <n v="1.5"/>
    <s v="Late Night"/>
    <s v="Brunswick/Bath/Freeport"/>
    <n v="2"/>
  </r>
  <r>
    <n v="1293"/>
    <s v="DD"/>
    <s v="Order"/>
    <n v="24"/>
    <s v="Friday"/>
    <x v="526"/>
    <n v="4"/>
    <n v="37"/>
    <d v="1899-12-30T01:38:00"/>
    <n v="1.6333333333333333"/>
    <n v="1.75"/>
    <s v="Late Night"/>
    <s v="Brunswick/Bath/Freeport"/>
    <n v="2"/>
  </r>
  <r>
    <n v="1294"/>
    <s v="UE"/>
    <s v="Order"/>
    <n v="24"/>
    <s v="Saturday"/>
    <x v="527"/>
    <n v="1"/>
    <n v="21.62"/>
    <d v="1899-12-30T01:50:00"/>
    <n v="1.8333333333333335"/>
    <n v="1.75"/>
    <s v="Dinner"/>
    <s v="Brunswick/Bath/Freeport"/>
    <n v="2"/>
  </r>
  <r>
    <n v="1295"/>
    <s v="DD"/>
    <s v="Hourly"/>
    <n v="24"/>
    <s v="Saturday"/>
    <x v="527"/>
    <n v="1"/>
    <n v="14.54"/>
    <d v="1899-12-30T00:35:00"/>
    <n v="0.58333333333333337"/>
    <n v="0.5"/>
    <s v="Dinner"/>
    <s v="Brunswick/Bath/Freeport"/>
    <n v="2"/>
  </r>
  <r>
    <n v="1296"/>
    <s v="DD"/>
    <s v="Hourly"/>
    <n v="24"/>
    <s v="Saturday"/>
    <x v="527"/>
    <n v="9"/>
    <n v="106.72"/>
    <d v="1899-12-30T05:30:00"/>
    <n v="5.5"/>
    <n v="5.5"/>
    <s v="Dinner"/>
    <s v="Brunswick/Bath/Freeport"/>
    <n v="2"/>
  </r>
  <r>
    <n v="1297"/>
    <s v="UE"/>
    <s v="Order"/>
    <n v="25"/>
    <s v="Monday"/>
    <x v="528"/>
    <n v="9"/>
    <n v="77.45"/>
    <d v="1899-12-30T04:13:00"/>
    <n v="4.2166666666666668"/>
    <n v="4.25"/>
    <s v="Dinner"/>
    <s v="Portland"/>
    <n v="4"/>
  </r>
  <r>
    <n v="1298"/>
    <s v="DD"/>
    <s v="Order"/>
    <n v="25"/>
    <s v="Monday"/>
    <x v="528"/>
    <n v="2"/>
    <n v="40.380000000000003"/>
    <d v="1899-12-30T01:30:00"/>
    <n v="1.5"/>
    <n v="1.5"/>
    <s v="Dinner"/>
    <s v="Portland"/>
    <n v="4"/>
  </r>
  <r>
    <n v="1299"/>
    <s v="UE"/>
    <s v="Order"/>
    <n v="25"/>
    <s v="Tuesday"/>
    <x v="529"/>
    <n v="1"/>
    <n v="10.220000000000001"/>
    <d v="1899-12-30T01:45:00"/>
    <n v="1.75"/>
    <n v="1.75"/>
    <s v="Dinner"/>
    <s v="Brunswick/Bath/Freeport"/>
    <n v="2"/>
  </r>
  <r>
    <n v="1300"/>
    <s v="DD"/>
    <s v="Order"/>
    <n v="25"/>
    <s v="Tuesday"/>
    <x v="529"/>
    <n v="12"/>
    <n v="94"/>
    <d v="1899-12-30T04:58:00"/>
    <n v="4.9666666666666668"/>
    <n v="5"/>
    <s v="Dinner"/>
    <s v="Brunswick/Bath/Freeport"/>
    <n v="2"/>
  </r>
  <r>
    <n v="1301"/>
    <s v="DD"/>
    <s v="Order"/>
    <n v="25"/>
    <s v="Tuesday"/>
    <x v="529"/>
    <n v="1"/>
    <n v="12.75"/>
    <d v="1899-12-30T00:29:00"/>
    <n v="0.48333333333333339"/>
    <n v="0.5"/>
    <s v="Late Night"/>
    <s v="Brunswick/Bath/Freeport"/>
    <n v="2"/>
  </r>
  <r>
    <n v="1302"/>
    <s v="UE"/>
    <s v="Order"/>
    <n v="25"/>
    <s v="Wednesday"/>
    <x v="530"/>
    <n v="1"/>
    <n v="19.03"/>
    <d v="1899-12-30T01:50:00"/>
    <n v="1.8333333333333335"/>
    <n v="1.75"/>
    <s v="Dinner"/>
    <s v="Brunswick/Bath/Freeport"/>
    <n v="2"/>
  </r>
  <r>
    <n v="1303"/>
    <s v="DD"/>
    <s v="Order"/>
    <n v="25"/>
    <s v="Wednesday"/>
    <x v="530"/>
    <n v="11"/>
    <n v="119.83"/>
    <d v="1899-12-30T05:51:00"/>
    <n v="5.85"/>
    <n v="5.75"/>
    <s v="Dinner"/>
    <s v="Brunswick/Bath/Freeport"/>
    <n v="2"/>
  </r>
  <r>
    <n v="1304"/>
    <s v="UE"/>
    <s v="Order"/>
    <n v="25"/>
    <s v="Thursday"/>
    <x v="531"/>
    <n v="1"/>
    <n v="13.03"/>
    <d v="1899-12-30T00:54:00"/>
    <n v="0.89999999999999991"/>
    <n v="1"/>
    <s v="Dinner"/>
    <s v="Brunswick/Bath/Freeport"/>
    <n v="2"/>
  </r>
  <r>
    <n v="1305"/>
    <s v="DD"/>
    <s v="Order"/>
    <n v="25"/>
    <s v="Thursday"/>
    <x v="531"/>
    <n v="11"/>
    <n v="129.91"/>
    <d v="1899-12-30T05:32:00"/>
    <n v="5.5333333333333332"/>
    <n v="5.5"/>
    <s v="Dinner"/>
    <s v="Brunswick/Bath/Freeport"/>
    <n v="2"/>
  </r>
  <r>
    <n v="1306"/>
    <s v="UE"/>
    <s v="Order"/>
    <n v="25"/>
    <s v="Friday"/>
    <x v="532"/>
    <n v="1"/>
    <n v="35"/>
    <d v="1899-12-30T02:33:00"/>
    <n v="2.5499999999999998"/>
    <n v="2.5"/>
    <s v="Dinner"/>
    <s v="Brunswick/Bath/Freeport"/>
    <n v="2"/>
  </r>
  <r>
    <n v="1307"/>
    <s v="DD"/>
    <s v="Order"/>
    <n v="25"/>
    <s v="Friday"/>
    <x v="532"/>
    <n v="6"/>
    <n v="53.25"/>
    <d v="1899-12-30T03:24:00"/>
    <n v="3.4"/>
    <n v="3.5"/>
    <s v="Dinner"/>
    <s v="Brunswick/Bath/Freeport"/>
    <n v="2"/>
  </r>
  <r>
    <n v="1308"/>
    <s v="DD"/>
    <s v="Order"/>
    <n v="25"/>
    <s v="Friday"/>
    <x v="532"/>
    <n v="4"/>
    <n v="25.25"/>
    <d v="1899-12-30T02:16:00"/>
    <n v="2.2666666666666666"/>
    <n v="2.25"/>
    <s v="Late Night"/>
    <s v="Brunswick/Bath/Freeport"/>
    <n v="2"/>
  </r>
  <r>
    <n v="1309"/>
    <s v="UE"/>
    <s v="Order"/>
    <n v="25"/>
    <s v="Sunday"/>
    <x v="533"/>
    <n v="7"/>
    <n v="81.709999999999994"/>
    <d v="1899-12-30T03:49:00"/>
    <n v="3.8166666666666664"/>
    <n v="3.75"/>
    <s v="Dinner"/>
    <s v="Portland"/>
    <n v="4"/>
  </r>
  <r>
    <n v="1310"/>
    <s v="DD"/>
    <s v="Order"/>
    <n v="25"/>
    <s v="Sunday"/>
    <x v="533"/>
    <n v="1"/>
    <n v="7.17"/>
    <d v="1899-12-30T00:58:00"/>
    <n v="0.96666666666666679"/>
    <n v="1"/>
    <s v="Dinner"/>
    <s v="Portland"/>
    <n v="4"/>
  </r>
  <r>
    <n v="1311"/>
    <s v="UE"/>
    <s v="Order"/>
    <n v="27"/>
    <s v="Monday"/>
    <x v="534"/>
    <n v="7"/>
    <n v="74.25"/>
    <d v="1899-12-30T03:17:00"/>
    <n v="3.2833333333333337"/>
    <n v="3.25"/>
    <s v="Dinner"/>
    <s v="Lewiston"/>
    <n v="3"/>
  </r>
  <r>
    <n v="1312"/>
    <s v="DD"/>
    <s v="Order"/>
    <n v="27"/>
    <s v="Monday"/>
    <x v="534"/>
    <n v="4"/>
    <n v="24.25"/>
    <d v="1899-12-30T01:47:00"/>
    <n v="1.7833333333333332"/>
    <n v="1.75"/>
    <s v="Dinner"/>
    <s v="Lewiston"/>
    <n v="3"/>
  </r>
  <r>
    <n v="1313"/>
    <s v="DD"/>
    <s v="Order"/>
    <n v="27"/>
    <s v="Monday"/>
    <x v="534"/>
    <n v="3"/>
    <n v="18"/>
    <d v="1899-12-30T01:27:00"/>
    <n v="1.45"/>
    <n v="1.5"/>
    <s v="Late Night"/>
    <s v="Lewiston"/>
    <n v="3"/>
  </r>
  <r>
    <n v="1314"/>
    <s v="UE"/>
    <s v="Order"/>
    <n v="27"/>
    <s v="Tuesday"/>
    <x v="535"/>
    <n v="9"/>
    <n v="130.74"/>
    <d v="1899-12-30T05:05:00"/>
    <n v="5.083333333333333"/>
    <n v="5"/>
    <s v="Dinner"/>
    <s v="Portland"/>
    <n v="4"/>
  </r>
  <r>
    <n v="1315"/>
    <s v="DD"/>
    <s v="Order"/>
    <n v="27"/>
    <s v="Tuesday"/>
    <x v="535"/>
    <n v="3"/>
    <n v="23"/>
    <d v="1899-12-30T01:05:00"/>
    <n v="1.0833333333333333"/>
    <n v="1"/>
    <s v="Late Night"/>
    <s v="Portland"/>
    <n v="4"/>
  </r>
  <r>
    <n v="1316"/>
    <s v="UE"/>
    <s v="Order"/>
    <n v="27"/>
    <s v="Wednesday"/>
    <x v="536"/>
    <n v="3"/>
    <n v="38.54"/>
    <d v="1899-12-30T02:03:00"/>
    <n v="2.0499999999999998"/>
    <n v="2"/>
    <s v="Dinner"/>
    <s v="Brunswick/Bath/Freeport"/>
    <n v="2"/>
  </r>
  <r>
    <n v="1317"/>
    <s v="DD"/>
    <s v="Order"/>
    <n v="27"/>
    <s v="Wednesday"/>
    <x v="536"/>
    <n v="11"/>
    <n v="92.25"/>
    <d v="1899-12-30T04:41:00"/>
    <n v="4.6833333333333336"/>
    <n v="4.75"/>
    <s v="Dinner"/>
    <s v="Brunswick/Bath/Freeport"/>
    <n v="2"/>
  </r>
  <r>
    <n v="1318"/>
    <s v="UE"/>
    <s v="Order"/>
    <n v="27"/>
    <s v="Thursday"/>
    <x v="537"/>
    <n v="6"/>
    <n v="95.36"/>
    <d v="1899-12-30T03:19:00"/>
    <n v="3.3166666666666669"/>
    <n v="3.25"/>
    <s v="Dinner"/>
    <s v="Portland"/>
    <n v="4"/>
  </r>
  <r>
    <n v="1319"/>
    <s v="DD"/>
    <s v="Order"/>
    <n v="27"/>
    <s v="Thursday"/>
    <x v="537"/>
    <n v="4"/>
    <n v="70.569999999999993"/>
    <d v="1899-12-30T03:26:00"/>
    <n v="3.4333333333333331"/>
    <n v="3.5"/>
    <s v="Dinner"/>
    <s v="Portland"/>
    <n v="4"/>
  </r>
  <r>
    <n v="1320"/>
    <s v="UE"/>
    <s v="Order"/>
    <n v="28"/>
    <s v="Tuesday"/>
    <x v="538"/>
    <n v="1"/>
    <n v="8.5"/>
    <d v="1899-12-30T01:35:00"/>
    <n v="1.5833333333333335"/>
    <n v="1.5"/>
    <s v="Dinner"/>
    <s v="Portland"/>
    <n v="4"/>
  </r>
  <r>
    <n v="1321"/>
    <s v="DD"/>
    <s v="Order"/>
    <n v="28"/>
    <s v="Tuesday"/>
    <x v="538"/>
    <n v="2"/>
    <n v="19.5"/>
    <d v="1899-12-30T01:14:00"/>
    <n v="1.2333333333333334"/>
    <n v="1.25"/>
    <s v="Dinner"/>
    <s v="Portland"/>
    <n v="4"/>
  </r>
  <r>
    <n v="1322"/>
    <s v="UE"/>
    <s v="Order"/>
    <n v="28"/>
    <s v="Thursday"/>
    <x v="539"/>
    <n v="1"/>
    <n v="13.39"/>
    <d v="1899-12-30T00:46:00"/>
    <n v="0.76666666666666661"/>
    <n v="0.75"/>
    <s v="Dinner"/>
    <s v="Brunswick/Bath/Freeport"/>
    <n v="2"/>
  </r>
  <r>
    <n v="1323"/>
    <s v="UE"/>
    <s v="Order"/>
    <n v="28"/>
    <s v="Friday"/>
    <x v="540"/>
    <n v="6"/>
    <n v="66.62"/>
    <d v="1899-12-30T04:21:00"/>
    <n v="4.3499999999999996"/>
    <n v="4.25"/>
    <s v="Dinner"/>
    <s v="Portland"/>
    <n v="4"/>
  </r>
  <r>
    <n v="1324"/>
    <s v="DD"/>
    <s v="Hourly"/>
    <n v="28"/>
    <s v="Friday"/>
    <x v="540"/>
    <n v="2"/>
    <n v="26.07"/>
    <d v="1899-12-30T01:47:00"/>
    <n v="1.7833333333333332"/>
    <n v="1.75"/>
    <s v="Dinner"/>
    <s v="Portland"/>
    <n v="4"/>
  </r>
  <r>
    <n v="1325"/>
    <s v="DD"/>
    <s v="Hourly"/>
    <n v="28"/>
    <s v="Friday"/>
    <x v="540"/>
    <n v="4"/>
    <n v="34.97"/>
    <d v="1899-12-30T01:18:00"/>
    <n v="1.3"/>
    <n v="1.25"/>
    <s v="Late Night"/>
    <s v="Portland"/>
    <n v="4"/>
  </r>
  <r>
    <n v="1326"/>
    <s v="UE"/>
    <s v="Order"/>
    <n v="29"/>
    <s v="Monday"/>
    <x v="541"/>
    <n v="12"/>
    <n v="119.68"/>
    <d v="1899-12-30T06:19:00"/>
    <n v="6.3166666666666664"/>
    <n v="6.25"/>
    <s v="Dinner"/>
    <s v="Portland"/>
    <n v="4"/>
  </r>
  <r>
    <n v="1327"/>
    <s v="UE"/>
    <s v="Order"/>
    <n v="29"/>
    <s v="Tuesday"/>
    <x v="542"/>
    <n v="1"/>
    <n v="20.07"/>
    <d v="1899-12-30T01:25:00"/>
    <n v="1.4166666666666665"/>
    <n v="1.5"/>
    <s v="Dinner"/>
    <s v="Brunswick/Bath/Freeport"/>
    <n v="2"/>
  </r>
  <r>
    <n v="1328"/>
    <s v="DD"/>
    <s v="Order"/>
    <n v="29"/>
    <s v="Tuesday"/>
    <x v="542"/>
    <n v="9"/>
    <n v="96.14"/>
    <d v="1899-12-30T05:09:00"/>
    <n v="5.1499999999999995"/>
    <n v="5.25"/>
    <s v="Dinner"/>
    <s v="Brunswick/Bath/Freeport"/>
    <n v="2"/>
  </r>
  <r>
    <n v="1329"/>
    <s v="UE"/>
    <s v="Order"/>
    <n v="29"/>
    <s v="Wednesday"/>
    <x v="543"/>
    <n v="3"/>
    <n v="24.38"/>
    <d v="1899-12-30T02:07:00"/>
    <n v="2.1166666666666667"/>
    <n v="2"/>
    <s v="Dinner"/>
    <s v="Lewiston"/>
    <n v="3"/>
  </r>
  <r>
    <n v="1330"/>
    <s v="DD"/>
    <s v="Order"/>
    <n v="29"/>
    <s v="Wednesday"/>
    <x v="543"/>
    <n v="5"/>
    <n v="34.5"/>
    <d v="1899-12-30T02:12:00"/>
    <n v="2.1999999999999997"/>
    <n v="2.25"/>
    <s v="Dinner"/>
    <s v="Lewiston"/>
    <n v="3"/>
  </r>
  <r>
    <n v="1331"/>
    <s v="UE"/>
    <s v="Order"/>
    <n v="29"/>
    <s v="Thursday"/>
    <x v="544"/>
    <n v="6"/>
    <n v="72.97"/>
    <d v="1899-12-30T03:58:00"/>
    <n v="3.9666666666666668"/>
    <n v="4"/>
    <s v="Dinner"/>
    <s v="Portland"/>
    <n v="4"/>
  </r>
  <r>
    <n v="1332"/>
    <s v="DD"/>
    <s v="Order"/>
    <n v="29"/>
    <s v="Thursday"/>
    <x v="544"/>
    <n v="2"/>
    <n v="41.25"/>
    <d v="1899-12-30T02:03:00"/>
    <n v="2.0499999999999998"/>
    <n v="2"/>
    <s v="Dinner"/>
    <s v="Portland"/>
    <n v="4"/>
  </r>
  <r>
    <n v="1333"/>
    <s v="DD"/>
    <s v="Order"/>
    <n v="29"/>
    <s v="Thursday"/>
    <x v="544"/>
    <n v="2"/>
    <n v="25.47"/>
    <d v="1899-12-30T01:27:00"/>
    <n v="1.45"/>
    <n v="1.5"/>
    <s v="Dinner"/>
    <s v="Portland"/>
    <n v="4"/>
  </r>
  <r>
    <n v="1334"/>
    <s v="UE"/>
    <s v="Order"/>
    <n v="29"/>
    <s v="Friday"/>
    <x v="545"/>
    <n v="2"/>
    <n v="38.1"/>
    <d v="1899-12-30T03:06:00"/>
    <n v="3.1000000000000005"/>
    <n v="3"/>
    <s v="Dinner"/>
    <s v="Brunswick/Bath/Freeport"/>
    <n v="2"/>
  </r>
  <r>
    <n v="1335"/>
    <s v="DD"/>
    <s v="Order"/>
    <n v="29"/>
    <s v="Friday"/>
    <x v="545"/>
    <n v="1"/>
    <n v="8"/>
    <d v="1899-12-30T00:32:00"/>
    <n v="0.53333333333333333"/>
    <n v="0.5"/>
    <s v="Dinner"/>
    <s v="Brunswick/Bath/Freeport"/>
    <n v="2"/>
  </r>
  <r>
    <n v="1336"/>
    <s v="DD"/>
    <s v="Order"/>
    <n v="29"/>
    <s v="Friday"/>
    <x v="545"/>
    <n v="4"/>
    <n v="32.5"/>
    <d v="1899-12-30T01:29:00"/>
    <n v="1.4833333333333334"/>
    <n v="1.5"/>
    <s v="Dinner"/>
    <s v="Brunswick/Bath/Freeport"/>
    <n v="2"/>
  </r>
  <r>
    <n v="1337"/>
    <s v="DD"/>
    <s v="Order"/>
    <n v="29"/>
    <s v="Friday"/>
    <x v="545"/>
    <n v="9"/>
    <n v="69"/>
    <d v="1899-12-30T04:17:00"/>
    <n v="4.2833333333333332"/>
    <n v="4.25"/>
    <s v="Late Night"/>
    <s v="Brunswick/Bath/Freeport"/>
    <n v="2"/>
  </r>
  <r>
    <n v="1338"/>
    <s v="UE"/>
    <s v="Order"/>
    <n v="29"/>
    <s v="Saturday"/>
    <x v="546"/>
    <n v="4"/>
    <n v="70.42"/>
    <d v="1899-12-30T03:43:00"/>
    <n v="3.7166666666666668"/>
    <n v="3.75"/>
    <s v="Dinner"/>
    <s v="Augusta"/>
    <n v="1"/>
  </r>
  <r>
    <n v="1339"/>
    <s v="DD"/>
    <s v="Order"/>
    <n v="29"/>
    <s v="Saturday"/>
    <x v="546"/>
    <n v="2"/>
    <n v="21"/>
    <d v="1899-12-30T01:58:00"/>
    <n v="1.9666666666666668"/>
    <n v="2"/>
    <s v="Lunch"/>
    <s v="Augusta"/>
    <n v="1"/>
  </r>
  <r>
    <n v="1340"/>
    <s v="DD"/>
    <s v="Order"/>
    <n v="29"/>
    <s v="Saturday"/>
    <x v="546"/>
    <n v="3"/>
    <n v="36.5"/>
    <d v="1899-12-30T01:29:00"/>
    <n v="1.4833333333333334"/>
    <n v="1.5"/>
    <s v="Dinner"/>
    <s v="Augusta"/>
    <n v="1"/>
  </r>
  <r>
    <n v="1341"/>
    <s v="DD"/>
    <s v="Order"/>
    <n v="29"/>
    <s v="Saturday"/>
    <x v="546"/>
    <n v="3"/>
    <n v="28.75"/>
    <d v="1899-12-30T01:44:00"/>
    <n v="1.7333333333333332"/>
    <n v="1.75"/>
    <s v="Dinner"/>
    <s v="Augusta"/>
    <n v="1"/>
  </r>
  <r>
    <n v="1342"/>
    <s v="UE"/>
    <s v="Order"/>
    <n v="30"/>
    <s v="Monday"/>
    <x v="547"/>
    <n v="5"/>
    <n v="63.76"/>
    <d v="1899-12-30T03:34:00"/>
    <n v="3.5666666666666664"/>
    <n v="3.5"/>
    <s v="Dinner"/>
    <s v="Portland"/>
    <n v="4"/>
  </r>
  <r>
    <n v="1343"/>
    <s v="DD"/>
    <s v="Order"/>
    <n v="30"/>
    <s v="Monday"/>
    <x v="547"/>
    <n v="1"/>
    <n v="22.73"/>
    <d v="1899-12-30T02:01:00"/>
    <n v="2.0166666666666666"/>
    <n v="2"/>
    <s v="Dinner"/>
    <s v="Portland"/>
    <n v="4"/>
  </r>
  <r>
    <n v="1344"/>
    <s v="DD"/>
    <s v="Order"/>
    <n v="30"/>
    <s v="Monday"/>
    <x v="547"/>
    <n v="2"/>
    <n v="13.5"/>
    <d v="1899-12-30T00:39:00"/>
    <n v="0.65"/>
    <n v="0.75"/>
    <s v="Dinner"/>
    <s v="Portland"/>
    <n v="4"/>
  </r>
  <r>
    <n v="1345"/>
    <s v="DD"/>
    <s v="Order"/>
    <n v="30"/>
    <s v="Monday"/>
    <x v="547"/>
    <n v="4"/>
    <n v="23"/>
    <d v="1899-12-30T01:22:00"/>
    <n v="1.3666666666666667"/>
    <n v="1.25"/>
    <s v="Late Night"/>
    <s v="Portland"/>
    <n v="4"/>
  </r>
  <r>
    <n v="1346"/>
    <s v="UE"/>
    <s v="Order"/>
    <n v="30"/>
    <s v="Tuesday"/>
    <x v="548"/>
    <n v="2"/>
    <n v="38.61"/>
    <d v="1899-12-30T02:21:00"/>
    <n v="2.35"/>
    <n v="2.25"/>
    <s v="Dinner"/>
    <s v="Brunswick/Bath/Freeport"/>
    <n v="2"/>
  </r>
  <r>
    <n v="1347"/>
    <s v="DD"/>
    <s v="Order"/>
    <n v="30"/>
    <s v="Tuesday"/>
    <x v="548"/>
    <n v="3"/>
    <n v="17"/>
    <d v="1899-12-30T01:23:00"/>
    <n v="1.3833333333333333"/>
    <n v="1.5"/>
    <s v="Dinner"/>
    <s v="Brunswick/Bath/Freeport"/>
    <n v="2"/>
  </r>
  <r>
    <n v="1348"/>
    <s v="DD"/>
    <s v="Order"/>
    <n v="30"/>
    <s v="Tuesday"/>
    <x v="548"/>
    <n v="1"/>
    <n v="4.25"/>
    <d v="1899-12-30T00:38:00"/>
    <n v="0.6333333333333333"/>
    <n v="0.75"/>
    <s v="Dinner"/>
    <s v="Brunswick/Bath/Freeport"/>
    <n v="2"/>
  </r>
  <r>
    <n v="1349"/>
    <s v="DD"/>
    <s v="Order"/>
    <n v="30"/>
    <s v="Tuesday"/>
    <x v="548"/>
    <n v="3"/>
    <n v="31.25"/>
    <d v="1899-12-30T01:46:00"/>
    <n v="1.7666666666666666"/>
    <n v="1.75"/>
    <s v="Dinner"/>
    <s v="Brunswick/Bath/Freeport"/>
    <n v="2"/>
  </r>
  <r>
    <n v="1350"/>
    <s v="UE"/>
    <s v="Order"/>
    <n v="30"/>
    <s v="Wednesday"/>
    <x v="549"/>
    <n v="6"/>
    <n v="71.28"/>
    <d v="1899-12-30T03:12:00"/>
    <n v="3.2"/>
    <n v="3.25"/>
    <s v="Dinner"/>
    <s v="Brunswick/Bath/Freeport"/>
    <n v="2"/>
  </r>
  <r>
    <n v="1351"/>
    <s v="DD"/>
    <s v="Order"/>
    <n v="30"/>
    <s v="Wednesday"/>
    <x v="549"/>
    <n v="6"/>
    <n v="39.97"/>
    <d v="1899-12-30T03:32:00"/>
    <n v="3.5333333333333332"/>
    <n v="3.5"/>
    <s v="Dinner"/>
    <s v="Brunswick/Bath/Freeport"/>
    <n v="2"/>
  </r>
  <r>
    <n v="1352"/>
    <s v="DD"/>
    <s v="Order"/>
    <n v="30"/>
    <s v="Wednesday"/>
    <x v="549"/>
    <n v="4"/>
    <n v="33"/>
    <d v="1899-12-30T01:36:00"/>
    <n v="1.6"/>
    <n v="1.5"/>
    <s v="Late Night"/>
    <s v="Brunswick/Bath/Freeport"/>
    <n v="2"/>
  </r>
  <r>
    <n v="1353"/>
    <s v="UE"/>
    <s v="Order"/>
    <n v="30"/>
    <s v="Friday"/>
    <x v="550"/>
    <n v="10"/>
    <n v="138.21"/>
    <d v="1899-12-30T07:19:00"/>
    <n v="7.3166666666666673"/>
    <n v="7.25"/>
    <s v="Dinner"/>
    <s v="Portland"/>
    <n v="4"/>
  </r>
  <r>
    <n v="1354"/>
    <s v="DD"/>
    <s v="Order"/>
    <n v="30"/>
    <s v="Friday"/>
    <x v="550"/>
    <n v="3"/>
    <n v="37.11"/>
    <d v="1899-12-30T02:51:00"/>
    <n v="2.8499999999999996"/>
    <n v="2.75"/>
    <s v="Late Night"/>
    <s v="Portland"/>
    <n v="4"/>
  </r>
  <r>
    <n v="1355"/>
    <s v="DD"/>
    <s v="Order"/>
    <n v="30"/>
    <s v="Friday"/>
    <x v="550"/>
    <n v="1"/>
    <n v="4.9800000000000004"/>
    <d v="1899-12-30T00:57:00"/>
    <n v="0.95"/>
    <n v="1"/>
    <s v="Late Night"/>
    <s v="Portland"/>
    <n v="4"/>
  </r>
  <r>
    <n v="1356"/>
    <s v="UE"/>
    <s v="Order"/>
    <n v="30"/>
    <s v="Saturday"/>
    <x v="551"/>
    <n v="1"/>
    <n v="12.34"/>
    <d v="1899-12-30T01:19:00"/>
    <n v="1.3166666666666667"/>
    <n v="1.25"/>
    <s v="Dinner"/>
    <s v="Lewiston"/>
    <n v="3"/>
  </r>
  <r>
    <n v="1357"/>
    <s v="DD"/>
    <s v="Order"/>
    <n v="30"/>
    <s v="Saturday"/>
    <x v="551"/>
    <n v="16"/>
    <n v="116.61"/>
    <d v="1899-12-30T05:26:00"/>
    <n v="5.4333333333333336"/>
    <n v="5.5"/>
    <s v="Dinner"/>
    <s v="Lewiston"/>
    <n v="3"/>
  </r>
  <r>
    <n v="1358"/>
    <s v="UE"/>
    <s v="Order"/>
    <n v="31"/>
    <s v="Monday"/>
    <x v="552"/>
    <n v="6"/>
    <n v="87.96"/>
    <d v="1899-12-30T03:55:00"/>
    <n v="3.916666666666667"/>
    <n v="4"/>
    <s v="Dinner"/>
    <s v="Portland"/>
    <n v="4"/>
  </r>
  <r>
    <n v="1359"/>
    <s v="DD"/>
    <s v="Order"/>
    <n v="31"/>
    <s v="Monday"/>
    <x v="552"/>
    <n v="2"/>
    <n v="60.43"/>
    <d v="1899-12-30T00:49:00"/>
    <n v="0.81666666666666665"/>
    <n v="0.75"/>
    <s v="Dinner"/>
    <s v="Portland"/>
    <n v="4"/>
  </r>
  <r>
    <n v="1360"/>
    <s v="DD"/>
    <s v="Order"/>
    <n v="31"/>
    <s v="Monday"/>
    <x v="552"/>
    <n v="3"/>
    <n v="26.12"/>
    <d v="1899-12-30T01:47:00"/>
    <n v="1.7833333333333332"/>
    <n v="1.75"/>
    <s v="Late Night"/>
    <s v="Portland"/>
    <n v="4"/>
  </r>
  <r>
    <n v="1361"/>
    <s v="UE"/>
    <s v="Order"/>
    <n v="31"/>
    <s v="Tuesday"/>
    <x v="553"/>
    <n v="1"/>
    <n v="16.3"/>
    <d v="1899-12-30T01:34:00"/>
    <n v="1.5666666666666669"/>
    <n v="1.5"/>
    <s v="Dinner"/>
    <s v="Brunswick/Bath/Freeport"/>
    <n v="2"/>
  </r>
  <r>
    <n v="1362"/>
    <s v="DD"/>
    <s v="Order"/>
    <n v="31"/>
    <s v="Tuesday"/>
    <x v="553"/>
    <n v="13"/>
    <n v="117.45"/>
    <d v="1899-12-30T04:43:00"/>
    <n v="4.7166666666666668"/>
    <n v="4.75"/>
    <s v="Dinner"/>
    <s v="Brunswick/Bath/Freeport"/>
    <n v="2"/>
  </r>
  <r>
    <n v="1363"/>
    <s v="DD"/>
    <s v="Order"/>
    <n v="31"/>
    <s v="Wednesday"/>
    <x v="554"/>
    <n v="5"/>
    <n v="42.74"/>
    <d v="1899-12-30T02:56:00"/>
    <n v="2.9333333333333331"/>
    <n v="3"/>
    <s v="Dinner"/>
    <s v="Brunswick/Bath/Freeport"/>
    <n v="2"/>
  </r>
  <r>
    <n v="1364"/>
    <s v="UE"/>
    <s v="Order"/>
    <n v="31"/>
    <s v="Thursday"/>
    <x v="555"/>
    <n v="3"/>
    <n v="18.14"/>
    <d v="1899-12-30T02:24:00"/>
    <n v="2.4000000000000004"/>
    <n v="2.5"/>
    <s v="Dinner"/>
    <s v="Lewiston"/>
    <n v="3"/>
  </r>
  <r>
    <n v="1365"/>
    <s v="DD"/>
    <s v="Order"/>
    <n v="31"/>
    <s v="Thursday"/>
    <x v="555"/>
    <n v="6"/>
    <n v="37.450000000000003"/>
    <d v="1899-12-30T02:27:00"/>
    <n v="2.4500000000000002"/>
    <n v="2.5"/>
    <s v="Dinner"/>
    <s v="Lewiston"/>
    <n v="3"/>
  </r>
  <r>
    <n v="1366"/>
    <s v="DD"/>
    <s v="Order"/>
    <n v="31"/>
    <s v="Thursday"/>
    <x v="555"/>
    <n v="5"/>
    <n v="30.25"/>
    <d v="1899-12-30T01:40:00"/>
    <n v="1.6666666666666667"/>
    <n v="1.75"/>
    <s v="Late Night"/>
    <s v="Lewiston"/>
    <n v="3"/>
  </r>
  <r>
    <n v="1367"/>
    <s v="UE"/>
    <s v="Order"/>
    <n v="31"/>
    <s v="Saturday"/>
    <x v="556"/>
    <n v="5"/>
    <n v="73.81"/>
    <d v="1899-12-30T04:18:00"/>
    <n v="4.3"/>
    <n v="4.25"/>
    <s v="Dinner"/>
    <s v="Lewiston"/>
    <n v="3"/>
  </r>
  <r>
    <n v="1368"/>
    <s v="DD"/>
    <s v="Order"/>
    <n v="31"/>
    <s v="Saturday"/>
    <x v="556"/>
    <n v="13"/>
    <n v="94.17"/>
    <d v="1899-12-30T04:26:00"/>
    <n v="4.4333333333333336"/>
    <n v="4.5"/>
    <s v="Dinner"/>
    <s v="Lewiston"/>
    <n v="3"/>
  </r>
  <r>
    <n v="1369"/>
    <s v="UE"/>
    <s v="Order"/>
    <n v="31"/>
    <s v="Sunday"/>
    <x v="557"/>
    <n v="1"/>
    <n v="9.06"/>
    <d v="1899-12-30T01:49:00"/>
    <n v="1.8166666666666664"/>
    <n v="1.75"/>
    <s v="Dinner"/>
    <s v="Augusta"/>
    <n v="1"/>
  </r>
  <r>
    <n v="1370"/>
    <s v="DD"/>
    <s v="Order"/>
    <n v="31"/>
    <s v="Sunday"/>
    <x v="557"/>
    <n v="11"/>
    <n v="110.63"/>
    <d v="1899-12-30T06:19:00"/>
    <n v="6.3166666666666664"/>
    <n v="6.25"/>
    <s v="Dinner"/>
    <s v="Augusta"/>
    <n v="1"/>
  </r>
  <r>
    <n v="1371"/>
    <s v="UE"/>
    <s v="Order"/>
    <n v="32"/>
    <s v="Tuesday"/>
    <x v="558"/>
    <n v="4"/>
    <n v="52.87"/>
    <d v="1899-12-30T02:51:00"/>
    <n v="2.8499999999999996"/>
    <n v="2.75"/>
    <s v="Dinner"/>
    <s v="Portland"/>
    <n v="4"/>
  </r>
  <r>
    <n v="1372"/>
    <s v="DD"/>
    <s v="Order"/>
    <n v="32"/>
    <s v="Tuesday"/>
    <x v="558"/>
    <n v="5"/>
    <n v="49"/>
    <d v="1899-12-30T02:53:00"/>
    <n v="2.8833333333333333"/>
    <n v="3"/>
    <s v="Dinner"/>
    <s v="Portland"/>
    <n v="4"/>
  </r>
  <r>
    <n v="1373"/>
    <s v="DD"/>
    <s v="Order"/>
    <n v="32"/>
    <s v="Tuesday"/>
    <x v="558"/>
    <n v="5"/>
    <n v="43.27"/>
    <d v="1899-12-30T01:41:00"/>
    <n v="1.6833333333333333"/>
    <n v="1.75"/>
    <s v="Late Night"/>
    <s v="Portland"/>
    <n v="4"/>
  </r>
  <r>
    <n v="1374"/>
    <s v="UE"/>
    <s v="Order"/>
    <n v="32"/>
    <s v="Friday"/>
    <x v="559"/>
    <n v="5"/>
    <n v="50.9"/>
    <d v="1899-12-30T03:30:00"/>
    <n v="3.5"/>
    <n v="3.5"/>
    <s v="Dinner"/>
    <s v="Portland"/>
    <n v="4"/>
  </r>
  <r>
    <n v="1375"/>
    <s v="DD"/>
    <s v="Order"/>
    <n v="32"/>
    <s v="Friday"/>
    <x v="559"/>
    <n v="5"/>
    <n v="36"/>
    <d v="1899-12-30T02:13:00"/>
    <n v="2.2166666666666668"/>
    <n v="2.25"/>
    <s v="Dinner"/>
    <s v="Portland"/>
    <n v="4"/>
  </r>
  <r>
    <n v="1376"/>
    <s v="DD"/>
    <s v="Hourly"/>
    <n v="32"/>
    <s v="Friday"/>
    <x v="559"/>
    <n v="7"/>
    <n v="58.02"/>
    <d v="1899-12-30T03:04:00"/>
    <n v="3.0666666666666664"/>
    <n v="3"/>
    <s v="Late Night"/>
    <s v="Portland"/>
    <n v="4"/>
  </r>
  <r>
    <n v="1377"/>
    <s v="DD"/>
    <s v="Hourly"/>
    <n v="32"/>
    <s v="Friday"/>
    <x v="559"/>
    <n v="2"/>
    <n v="12.65"/>
    <d v="1899-12-30T00:28:00"/>
    <n v="0.46666666666666667"/>
    <n v="0.5"/>
    <s v="Late Night"/>
    <s v="Portland"/>
    <n v="4"/>
  </r>
  <r>
    <n v="1378"/>
    <s v="UE"/>
    <s v="Order"/>
    <n v="32"/>
    <s v="Saturday"/>
    <x v="560"/>
    <n v="10"/>
    <n v="76.34"/>
    <d v="1899-12-30T04:58:00"/>
    <n v="4.9666666666666668"/>
    <n v="5"/>
    <s v="Dinner"/>
    <s v="Lewiston"/>
    <n v="3"/>
  </r>
  <r>
    <n v="1379"/>
    <s v="DD"/>
    <s v="Order"/>
    <n v="32"/>
    <s v="Saturday"/>
    <x v="560"/>
    <n v="1"/>
    <n v="7.5"/>
    <d v="1899-12-30T01:05:00"/>
    <n v="1.0833333333333333"/>
    <n v="1"/>
    <s v="Dinner"/>
    <s v="Lewiston"/>
    <n v="3"/>
  </r>
  <r>
    <n v="1380"/>
    <s v="DD"/>
    <s v="Order"/>
    <n v="32"/>
    <s v="Saturday"/>
    <x v="560"/>
    <n v="5"/>
    <n v="42.75"/>
    <d v="1899-12-30T02:47:00"/>
    <n v="2.7833333333333332"/>
    <n v="2.75"/>
    <s v="Dinner"/>
    <s v="Lewiston"/>
    <n v="3"/>
  </r>
  <r>
    <n v="1381"/>
    <s v="DD"/>
    <s v="Order"/>
    <n v="32"/>
    <s v="Saturday"/>
    <x v="560"/>
    <n v="1"/>
    <n v="4"/>
    <d v="1899-12-30T00:17:00"/>
    <n v="0.28333333333333333"/>
    <n v="0.25"/>
    <s v="Late Night"/>
    <s v="Lewiston"/>
    <n v="3"/>
  </r>
  <r>
    <n v="1382"/>
    <s v="UE"/>
    <s v="Order"/>
    <n v="32"/>
    <s v="Sunday"/>
    <x v="561"/>
    <n v="12"/>
    <n v="163.27000000000001"/>
    <d v="1899-12-30T06:06:00"/>
    <n v="6.1"/>
    <n v="6"/>
    <s v="Dinner"/>
    <s v="Portland"/>
    <n v="4"/>
  </r>
  <r>
    <n v="1383"/>
    <s v="DD"/>
    <s v="Hourly"/>
    <n v="32"/>
    <s v="Sunday"/>
    <x v="561"/>
    <n v="1"/>
    <n v="7.77"/>
    <d v="1899-12-30T00:34:00"/>
    <n v="0.56666666666666665"/>
    <n v="0.5"/>
    <s v="Dinner"/>
    <s v="Portland"/>
    <n v="4"/>
  </r>
  <r>
    <n v="1384"/>
    <s v="UE"/>
    <s v="Order"/>
    <n v="33"/>
    <s v="Monday"/>
    <x v="562"/>
    <n v="8"/>
    <n v="81.36"/>
    <d v="1899-12-30T03:57:00"/>
    <n v="3.95"/>
    <n v="4"/>
    <s v="Dinner"/>
    <s v="Portland"/>
    <n v="4"/>
  </r>
  <r>
    <n v="1385"/>
    <s v="DD"/>
    <s v="Order"/>
    <n v="33"/>
    <s v="Monday"/>
    <x v="562"/>
    <n v="2"/>
    <n v="20"/>
    <d v="1899-12-30T02:02:00"/>
    <n v="2.0333333333333332"/>
    <n v="2"/>
    <s v="Dinner"/>
    <s v="Portland"/>
    <n v="4"/>
  </r>
  <r>
    <n v="1386"/>
    <s v="DD"/>
    <s v="Order"/>
    <n v="33"/>
    <s v="Monday"/>
    <x v="562"/>
    <n v="1"/>
    <n v="13.25"/>
    <d v="1899-12-30T01:19:00"/>
    <n v="1.3166666666666667"/>
    <n v="1.25"/>
    <s v="Dinner"/>
    <s v="Portland"/>
    <n v="4"/>
  </r>
  <r>
    <n v="1387"/>
    <s v="DD"/>
    <s v="Order"/>
    <n v="33"/>
    <s v="Monday"/>
    <x v="562"/>
    <n v="3"/>
    <n v="19"/>
    <d v="1899-12-30T01:41:00"/>
    <n v="1.6833333333333333"/>
    <n v="1.75"/>
    <s v="Late Night"/>
    <s v="Portland"/>
    <n v="4"/>
  </r>
  <r>
    <n v="1388"/>
    <s v="DD"/>
    <s v="Order"/>
    <n v="33"/>
    <s v="Tuesday"/>
    <x v="563"/>
    <n v="6"/>
    <n v="39.75"/>
    <d v="1899-12-30T03:01:00"/>
    <n v="3.0166666666666666"/>
    <n v="3"/>
    <s v="Dinner"/>
    <s v="Lewiston"/>
    <n v="3"/>
  </r>
  <r>
    <n v="1389"/>
    <s v="UE"/>
    <s v="Order"/>
    <n v="33"/>
    <s v="Wednesday"/>
    <x v="564"/>
    <n v="9"/>
    <n v="120.32"/>
    <d v="1899-12-30T05:08:00"/>
    <n v="5.1333333333333329"/>
    <n v="5.25"/>
    <s v="Dinner"/>
    <s v="Portland"/>
    <n v="4"/>
  </r>
  <r>
    <n v="1390"/>
    <s v="DD"/>
    <s v="Hourly"/>
    <n v="33"/>
    <s v="Wednesday"/>
    <x v="564"/>
    <n v="1"/>
    <n v="9.73"/>
    <d v="1899-12-30T01:10:00"/>
    <n v="1.1666666666666667"/>
    <n v="1.25"/>
    <s v="Dinner"/>
    <s v="Portland"/>
    <n v="4"/>
  </r>
  <r>
    <n v="1391"/>
    <s v="DD"/>
    <s v="Hourly"/>
    <n v="33"/>
    <s v="Wednesday"/>
    <x v="564"/>
    <n v="3"/>
    <n v="19.02"/>
    <d v="1899-12-30T01:16:00"/>
    <n v="1.2666666666666666"/>
    <n v="1.25"/>
    <s v="Late Night"/>
    <s v="Portland"/>
    <n v="4"/>
  </r>
  <r>
    <n v="1392"/>
    <s v="DD"/>
    <s v="Hourly"/>
    <n v="33"/>
    <s v="Wednesday"/>
    <x v="564"/>
    <n v="1"/>
    <n v="9.94"/>
    <d v="1899-12-30T00:38:00"/>
    <n v="0.6333333333333333"/>
    <n v="0.75"/>
    <s v="Late Night"/>
    <s v="Portland"/>
    <n v="4"/>
  </r>
  <r>
    <n v="1393"/>
    <s v="UE"/>
    <s v="Order"/>
    <n v="33"/>
    <s v="Thursday"/>
    <x v="565"/>
    <n v="3"/>
    <n v="18.75"/>
    <d v="1899-12-30T01:48:00"/>
    <n v="1.7999999999999998"/>
    <n v="1.75"/>
    <s v="Dinner"/>
    <s v="Lewiston"/>
    <n v="3"/>
  </r>
  <r>
    <n v="1394"/>
    <s v="DD"/>
    <s v="Order"/>
    <n v="33"/>
    <s v="Thursday"/>
    <x v="565"/>
    <n v="15"/>
    <n v="91.92"/>
    <d v="1899-12-30T06:15:00"/>
    <n v="6.25"/>
    <n v="6.25"/>
    <s v="Dinner"/>
    <s v="Lewiston"/>
    <n v="3"/>
  </r>
  <r>
    <n v="1395"/>
    <s v="UE"/>
    <s v="Order"/>
    <n v="33"/>
    <s v="Friday"/>
    <x v="566"/>
    <n v="4"/>
    <n v="50.67"/>
    <d v="1899-12-30T03:13:00"/>
    <n v="3.2166666666666668"/>
    <n v="3.25"/>
    <s v="Dinner"/>
    <s v="Portland"/>
    <n v="4"/>
  </r>
  <r>
    <n v="1396"/>
    <s v="DD"/>
    <s v="Hourly"/>
    <n v="33"/>
    <s v="Friday"/>
    <x v="566"/>
    <n v="4"/>
    <n v="43.38"/>
    <d v="1899-12-30T01:49:00"/>
    <n v="1.8166666666666664"/>
    <n v="1.75"/>
    <s v="Dinner"/>
    <s v="Portland"/>
    <n v="4"/>
  </r>
  <r>
    <n v="1397"/>
    <s v="DD"/>
    <s v="Hourly"/>
    <n v="33"/>
    <s v="Friday"/>
    <x v="566"/>
    <n v="6"/>
    <n v="40.06"/>
    <d v="1899-12-30T02:13:00"/>
    <n v="2.2166666666666668"/>
    <n v="2.25"/>
    <s v="Late Night"/>
    <s v="Portland"/>
    <n v="4"/>
  </r>
  <r>
    <n v="1398"/>
    <s v="DD"/>
    <s v="Hourly"/>
    <n v="33"/>
    <s v="Friday"/>
    <x v="566"/>
    <n v="1"/>
    <n v="7.4"/>
    <d v="1899-12-30T00:53:00"/>
    <m/>
    <m/>
    <s v="Late Night"/>
    <s v="Portland"/>
    <n v="4"/>
  </r>
  <r>
    <n v="1399"/>
    <s v="UE"/>
    <s v="Order"/>
    <n v="33"/>
    <s v="Saturday"/>
    <x v="567"/>
    <n v="15"/>
    <n v="144.69999999999999"/>
    <d v="1899-12-30T05:40:00"/>
    <n v="5.6666666666666661"/>
    <n v="5.75"/>
    <s v="Dinner"/>
    <s v="Portland"/>
    <n v="4"/>
  </r>
  <r>
    <n v="1400"/>
    <s v="DD"/>
    <s v="Order"/>
    <n v="33"/>
    <s v="Saturday"/>
    <x v="567"/>
    <n v="2"/>
    <n v="20.75"/>
    <d v="1899-12-30T01:21:00"/>
    <n v="1.35"/>
    <n v="1.25"/>
    <s v="Late Night"/>
    <s v="Portland"/>
    <n v="4"/>
  </r>
  <r>
    <n v="1401"/>
    <s v="DD"/>
    <s v="Hourly"/>
    <n v="33"/>
    <s v="Sunday"/>
    <x v="568"/>
    <n v="11"/>
    <n v="76.099999999999994"/>
    <d v="1899-12-30T04:39:00"/>
    <n v="4.6500000000000004"/>
    <n v="4.75"/>
    <s v="Dinner"/>
    <s v="Portland"/>
    <n v="4"/>
  </r>
  <r>
    <n v="1402"/>
    <s v="UE"/>
    <s v="Order"/>
    <n v="34"/>
    <s v="Wednesday"/>
    <x v="569"/>
    <n v="10"/>
    <n v="125.16"/>
    <d v="1899-12-30T05:06:00"/>
    <n v="5.0999999999999996"/>
    <n v="5"/>
    <s v="Dinner"/>
    <s v="Portland"/>
    <n v="4"/>
  </r>
  <r>
    <n v="1403"/>
    <s v="DD"/>
    <s v="Hourly"/>
    <n v="34"/>
    <s v="Wednesday"/>
    <x v="569"/>
    <n v="1"/>
    <n v="10.18"/>
    <d v="1899-12-30T01:31:00"/>
    <n v="1.5166666666666666"/>
    <n v="1.5"/>
    <s v="Late Night"/>
    <s v="Portland"/>
    <n v="4"/>
  </r>
  <r>
    <n v="1404"/>
    <s v="DD"/>
    <s v="Hourly"/>
    <n v="34"/>
    <s v="Wednesday"/>
    <x v="569"/>
    <n v="1"/>
    <n v="8.27"/>
    <d v="1899-12-30T00:26:00"/>
    <n v="0.43333333333333329"/>
    <n v="0.5"/>
    <s v="Late Night"/>
    <s v="Portland"/>
    <n v="4"/>
  </r>
  <r>
    <n v="1405"/>
    <s v="UE"/>
    <s v="Order"/>
    <n v="34"/>
    <s v="Thursday"/>
    <x v="570"/>
    <n v="7"/>
    <n v="83.65"/>
    <d v="1899-12-30T03:43:00"/>
    <n v="3.7166666666666668"/>
    <n v="3.75"/>
    <s v="Dinner"/>
    <s v="Portland"/>
    <n v="4"/>
  </r>
  <r>
    <n v="1406"/>
    <s v="DD"/>
    <s v="Order"/>
    <n v="34"/>
    <s v="Thursday"/>
    <x v="570"/>
    <n v="2"/>
    <n v="25"/>
    <d v="1899-12-30T01:49:00"/>
    <n v="1.8166666666666664"/>
    <n v="1.75"/>
    <s v="Dinner"/>
    <s v="Portland"/>
    <n v="4"/>
  </r>
  <r>
    <n v="1407"/>
    <s v="DD"/>
    <s v="Order"/>
    <n v="34"/>
    <s v="Thursday"/>
    <x v="570"/>
    <n v="4"/>
    <n v="26.03"/>
    <d v="1899-12-30T02:00:00"/>
    <n v="2"/>
    <n v="2"/>
    <s v="Late Night"/>
    <s v="Portland"/>
    <n v="4"/>
  </r>
  <r>
    <n v="1408"/>
    <s v="DD"/>
    <s v="Order"/>
    <n v="34"/>
    <s v="Thursday"/>
    <x v="570"/>
    <n v="2"/>
    <n v="10.5"/>
    <d v="1899-12-30T00:28:00"/>
    <n v="0.46666666666666667"/>
    <n v="0.5"/>
    <s v="Late Night"/>
    <s v="Portland"/>
    <n v="4"/>
  </r>
  <r>
    <n v="1409"/>
    <s v="UE"/>
    <s v="Order"/>
    <n v="34"/>
    <s v="Friday"/>
    <x v="571"/>
    <n v="14"/>
    <n v="206.9"/>
    <d v="1899-12-30T07:02:00"/>
    <n v="7.0333333333333332"/>
    <n v="7"/>
    <s v="Dinner"/>
    <s v="Portland"/>
    <n v="4"/>
  </r>
  <r>
    <n v="1410"/>
    <s v="DD"/>
    <s v="Hourly"/>
    <n v="34"/>
    <s v="Friday"/>
    <x v="571"/>
    <n v="2"/>
    <n v="27.69"/>
    <d v="1899-12-30T01:32:00"/>
    <n v="1.5333333333333332"/>
    <n v="1.5"/>
    <s v="Dinner"/>
    <s v="Portland"/>
    <n v="4"/>
  </r>
  <r>
    <n v="1411"/>
    <s v="UE"/>
    <s v="Order"/>
    <n v="34"/>
    <s v="Saturday"/>
    <x v="572"/>
    <n v="9"/>
    <n v="86.79"/>
    <d v="1899-12-30T04:50:00"/>
    <n v="4.8333333333333339"/>
    <n v="4.75"/>
    <s v="Dinner"/>
    <s v="Portland"/>
    <n v="4"/>
  </r>
  <r>
    <n v="1412"/>
    <s v="DD"/>
    <s v="Order"/>
    <n v="34"/>
    <s v="Saturday"/>
    <x v="572"/>
    <n v="4"/>
    <n v="38.5"/>
    <d v="1899-12-30T02:23:00"/>
    <n v="2.3833333333333333"/>
    <n v="2.5"/>
    <s v="Dinner"/>
    <s v="Portland"/>
    <n v="4"/>
  </r>
  <r>
    <n v="1413"/>
    <s v="DD"/>
    <s v="Order"/>
    <n v="34"/>
    <s v="Saturday"/>
    <x v="572"/>
    <n v="1"/>
    <n v="11.25"/>
    <d v="1899-12-30T00:53:00"/>
    <n v="0.8833333333333333"/>
    <n v="1"/>
    <s v="Late Night"/>
    <s v="Portland"/>
    <n v="4"/>
  </r>
  <r>
    <n v="1414"/>
    <s v="DD"/>
    <s v="Order"/>
    <n v="34"/>
    <s v="Saturday"/>
    <x v="572"/>
    <n v="2"/>
    <n v="8"/>
    <d v="1899-12-30T00:19:00"/>
    <n v="0.31666666666666665"/>
    <n v="0.25"/>
    <s v="Late Night"/>
    <s v="Portland"/>
    <n v="4"/>
  </r>
  <r>
    <n v="1415"/>
    <s v="UE"/>
    <s v="Order"/>
    <n v="34"/>
    <s v="Sunday"/>
    <x v="573"/>
    <n v="7"/>
    <n v="97.74"/>
    <d v="1899-12-30T03:52:00"/>
    <n v="3.8666666666666671"/>
    <n v="3.75"/>
    <s v="Dinner"/>
    <s v="Portland"/>
    <n v="4"/>
  </r>
  <r>
    <n v="1416"/>
    <s v="DD"/>
    <s v="Hourly"/>
    <n v="34"/>
    <s v="Sunday"/>
    <x v="573"/>
    <n v="8"/>
    <n v="61.28"/>
    <d v="1899-12-30T02:27:00"/>
    <n v="2.4500000000000002"/>
    <n v="2.5"/>
    <s v="Dinner"/>
    <s v="Portland"/>
    <n v="4"/>
  </r>
  <r>
    <n v="1417"/>
    <s v="UE"/>
    <s v="Order"/>
    <n v="35"/>
    <s v="Monday"/>
    <x v="574"/>
    <n v="8"/>
    <n v="110.51"/>
    <d v="1899-12-30T04:20:00"/>
    <n v="4.333333333333333"/>
    <n v="4.25"/>
    <s v="Dinner"/>
    <s v="Portland"/>
    <n v="4"/>
  </r>
  <r>
    <n v="1418"/>
    <s v="DD"/>
    <s v="Order"/>
    <n v="35"/>
    <s v="Monday"/>
    <x v="574"/>
    <n v="5"/>
    <n v="37.06"/>
    <d v="1899-12-30T02:08:00"/>
    <n v="2.1333333333333333"/>
    <n v="2.25"/>
    <s v="Late Night"/>
    <s v="Portland"/>
    <n v="4"/>
  </r>
  <r>
    <n v="1419"/>
    <s v="DD"/>
    <s v="Order"/>
    <n v="35"/>
    <s v="Tuesday"/>
    <x v="575"/>
    <n v="11"/>
    <n v="106.47"/>
    <d v="1899-12-30T05:32:00"/>
    <n v="5.5333333333333332"/>
    <n v="5.5"/>
    <s v="Dinner"/>
    <s v="Portland"/>
    <n v="4"/>
  </r>
  <r>
    <n v="1420"/>
    <s v="UE"/>
    <s v="Order"/>
    <n v="35"/>
    <s v="Wednesday"/>
    <x v="576"/>
    <n v="4"/>
    <n v="36.42"/>
    <d v="1899-12-30T01:49:00"/>
    <n v="1.8166666666666664"/>
    <n v="1.75"/>
    <s v="Dinner"/>
    <s v="Brunswick/Bath/Freeport"/>
    <n v="2"/>
  </r>
  <r>
    <n v="1421"/>
    <s v="DD"/>
    <s v="Order"/>
    <n v="35"/>
    <s v="Wednesday"/>
    <x v="576"/>
    <n v="4"/>
    <n v="25.75"/>
    <d v="1899-12-30T01:52:00"/>
    <n v="1.8666666666666667"/>
    <n v="1.75"/>
    <s v="Dinner"/>
    <s v="Brunswick/Bath/Freeport"/>
    <n v="2"/>
  </r>
  <r>
    <n v="1422"/>
    <s v="UE"/>
    <s v="Order"/>
    <n v="36"/>
    <s v="Monday"/>
    <x v="577"/>
    <n v="8"/>
    <n v="120.34"/>
    <d v="1899-12-30T03:56:00"/>
    <n v="3.9333333333333336"/>
    <n v="4"/>
    <s v="Dinner"/>
    <s v="Portland"/>
    <n v="4"/>
  </r>
  <r>
    <n v="1423"/>
    <s v="DD"/>
    <s v="Order"/>
    <n v="36"/>
    <s v="Monday"/>
    <x v="577"/>
    <n v="2"/>
    <n v="14.25"/>
    <d v="1899-12-30T01:13:00"/>
    <n v="1.2166666666666668"/>
    <n v="1.25"/>
    <s v="Dinner"/>
    <s v="Portland"/>
    <n v="4"/>
  </r>
  <r>
    <n v="1424"/>
    <s v="DD"/>
    <s v="Order"/>
    <n v="36"/>
    <s v="Monday"/>
    <x v="577"/>
    <n v="7"/>
    <n v="62.32"/>
    <d v="1899-12-30T02:36:00"/>
    <n v="2.6"/>
    <n v="2.5"/>
    <s v="Dinner"/>
    <s v="Portland"/>
    <n v="4"/>
  </r>
  <r>
    <n v="1425"/>
    <s v="UE"/>
    <s v="Order"/>
    <n v="36"/>
    <s v="Thursday"/>
    <x v="578"/>
    <n v="1"/>
    <n v="26.05"/>
    <d v="1899-12-30T01:31:00"/>
    <n v="1.5166666666666666"/>
    <n v="1.5"/>
    <s v="Dinner"/>
    <s v="Lewiston"/>
    <n v="3"/>
  </r>
  <r>
    <n v="1426"/>
    <s v="DD"/>
    <s v="Order"/>
    <n v="36"/>
    <s v="Thursday"/>
    <x v="578"/>
    <n v="1"/>
    <n v="14.5"/>
    <d v="1899-12-30T00:33:00"/>
    <n v="0.54999999999999993"/>
    <n v="0.5"/>
    <s v="Dinner"/>
    <s v="Lewiston"/>
    <n v="3"/>
  </r>
  <r>
    <n v="1427"/>
    <s v="DD"/>
    <s v="Order"/>
    <n v="36"/>
    <s v="Thursday"/>
    <x v="578"/>
    <n v="6"/>
    <n v="39.75"/>
    <d v="1899-12-30T02:36:00"/>
    <n v="2.6"/>
    <n v="2.5"/>
    <s v="Dinner"/>
    <s v="Lewiston"/>
    <n v="3"/>
  </r>
  <r>
    <n v="1428"/>
    <s v="UE"/>
    <s v="Order"/>
    <n v="36"/>
    <s v="Friday"/>
    <x v="579"/>
    <n v="5"/>
    <n v="53.12"/>
    <d v="1899-12-30T02:45:00"/>
    <n v="2.75"/>
    <n v="2.75"/>
    <s v="Dinner"/>
    <s v="Portland"/>
    <n v="4"/>
  </r>
  <r>
    <n v="1429"/>
    <s v="DD"/>
    <s v="Hourly"/>
    <n v="36"/>
    <s v="Friday"/>
    <x v="579"/>
    <n v="8"/>
    <n v="77.16"/>
    <d v="1899-12-30T04:29:00"/>
    <n v="4.4833333333333334"/>
    <n v="4.5"/>
    <s v="Dinner"/>
    <s v="Portland"/>
    <n v="4"/>
  </r>
  <r>
    <n v="1430"/>
    <s v="UE"/>
    <s v="Order"/>
    <n v="36"/>
    <s v="Saturday"/>
    <x v="580"/>
    <n v="2"/>
    <n v="15.07"/>
    <d v="1899-12-30T02:02:00"/>
    <n v="2.0333333333333332"/>
    <n v="2"/>
    <s v="Dinner"/>
    <s v="Portland"/>
    <n v="4"/>
  </r>
  <r>
    <n v="1431"/>
    <s v="DD"/>
    <s v="Order"/>
    <n v="36"/>
    <s v="Saturday"/>
    <x v="580"/>
    <n v="5"/>
    <n v="66.14"/>
    <d v="1899-12-30T03:24:00"/>
    <n v="3.4"/>
    <n v="3.5"/>
    <s v="Dinner"/>
    <s v="Portland"/>
    <n v="4"/>
  </r>
  <r>
    <n v="1432"/>
    <s v="UE"/>
    <s v="Order"/>
    <n v="37"/>
    <s v="Monday"/>
    <x v="581"/>
    <n v="6"/>
    <n v="106.21"/>
    <d v="1899-12-30T03:12:00"/>
    <n v="3.2"/>
    <n v="3.25"/>
    <s v="Dinner"/>
    <s v="Brunswick/Bath/Freeport"/>
    <n v="2"/>
  </r>
  <r>
    <n v="1433"/>
    <s v="DD"/>
    <s v="Hourly"/>
    <n v="37"/>
    <s v="Monday"/>
    <x v="581"/>
    <n v="2"/>
    <n v="17.28"/>
    <d v="1899-12-30T01:14:00"/>
    <n v="1.2333333333333334"/>
    <n v="1.25"/>
    <s v="Dinner"/>
    <s v="Brunswick/Bath/Freeport"/>
    <n v="2"/>
  </r>
  <r>
    <n v="1434"/>
    <s v="DD"/>
    <s v="Hourly"/>
    <n v="37"/>
    <s v="Monday"/>
    <x v="581"/>
    <n v="8"/>
    <n v="80.25"/>
    <d v="1899-12-30T03:13:00"/>
    <n v="3.2166666666666668"/>
    <n v="3.25"/>
    <s v="Dinner"/>
    <s v="Brunswick/Bath/Freeport"/>
    <n v="2"/>
  </r>
  <r>
    <n v="1435"/>
    <s v="DD"/>
    <s v="Order"/>
    <n v="37"/>
    <s v="Tuesday"/>
    <x v="582"/>
    <n v="10"/>
    <n v="96.5"/>
    <d v="1899-12-30T05:37:00"/>
    <n v="5.6166666666666671"/>
    <n v="5.5"/>
    <s v="Dinner"/>
    <s v="Brunswick/Bath/Freeport"/>
    <n v="2"/>
  </r>
  <r>
    <n v="1436"/>
    <s v="UE"/>
    <s v="Order"/>
    <n v="37"/>
    <s v="Wednesday"/>
    <x v="583"/>
    <n v="1"/>
    <n v="9.1999999999999993"/>
    <d v="1899-12-30T01:31:00"/>
    <n v="1.5166666666666666"/>
    <n v="1.5"/>
    <s v="Dinner"/>
    <s v="Brunswick/Bath/Freeport"/>
    <n v="2"/>
  </r>
  <r>
    <n v="1437"/>
    <s v="DD"/>
    <s v="Order"/>
    <n v="37"/>
    <s v="Wednesday"/>
    <x v="583"/>
    <n v="12"/>
    <n v="101.42"/>
    <d v="1899-12-30T06:04:00"/>
    <n v="6.0666666666666664"/>
    <n v="6"/>
    <s v="Dinner"/>
    <s v="Brunswick/Bath/Freeport"/>
    <n v="2"/>
  </r>
  <r>
    <n v="1438"/>
    <s v="UE"/>
    <s v="Order"/>
    <n v="37"/>
    <s v="Thursday"/>
    <x v="584"/>
    <n v="4"/>
    <n v="43.28"/>
    <d v="1899-12-30T02:24:00"/>
    <n v="2.4000000000000004"/>
    <n v="2.5"/>
    <s v="Dinner"/>
    <s v="Lewiston"/>
    <n v="3"/>
  </r>
  <r>
    <n v="1439"/>
    <s v="DD"/>
    <s v="Hourly"/>
    <n v="37"/>
    <s v="Thursday"/>
    <x v="584"/>
    <n v="2"/>
    <n v="14.59"/>
    <d v="1899-12-30T01:45:00"/>
    <n v="1.75"/>
    <n v="1.75"/>
    <s v="Dinner"/>
    <s v="Lewiston"/>
    <n v="3"/>
  </r>
  <r>
    <n v="1440"/>
    <s v="DD"/>
    <s v="Hourly"/>
    <n v="37"/>
    <s v="Thursday"/>
    <x v="584"/>
    <n v="9"/>
    <n v="65.540000000000006"/>
    <d v="1899-12-30T03:14:00"/>
    <n v="3.2333333333333334"/>
    <n v="3.25"/>
    <s v="Dinner"/>
    <s v="Lewiston"/>
    <n v="3"/>
  </r>
  <r>
    <n v="1441"/>
    <s v="DD"/>
    <s v="Hourly"/>
    <n v="37"/>
    <s v="Thursday"/>
    <x v="584"/>
    <n v="4"/>
    <n v="31.08"/>
    <d v="1899-12-30T00:51:00"/>
    <n v="0.85"/>
    <n v="0.75"/>
    <s v="Late Night"/>
    <s v="Lewiston"/>
    <n v="3"/>
  </r>
  <r>
    <n v="1442"/>
    <s v="UE"/>
    <s v="Order"/>
    <n v="37"/>
    <s v="Friday"/>
    <x v="585"/>
    <n v="9"/>
    <n v="113.95"/>
    <d v="1899-12-30T04:59:00"/>
    <n v="4.9833333333333334"/>
    <n v="5"/>
    <s v="Dinner"/>
    <s v="Lewiston"/>
    <n v="3"/>
  </r>
  <r>
    <n v="1443"/>
    <s v="DD"/>
    <s v="Order"/>
    <n v="37"/>
    <s v="Friday"/>
    <x v="585"/>
    <n v="2"/>
    <n v="37.25"/>
    <d v="1899-12-30T02:46:00"/>
    <n v="2.7666666666666666"/>
    <n v="2.75"/>
    <s v="Dinner"/>
    <s v="Lewiston"/>
    <n v="3"/>
  </r>
  <r>
    <n v="1444"/>
    <s v="DD"/>
    <s v="Order"/>
    <n v="37"/>
    <s v="Friday"/>
    <x v="585"/>
    <n v="3"/>
    <n v="21.75"/>
    <d v="1899-12-30T02:51:00"/>
    <n v="2.8499999999999996"/>
    <n v="2.75"/>
    <s v="Late Night"/>
    <s v="Lewiston"/>
    <n v="3"/>
  </r>
  <r>
    <n v="1445"/>
    <s v="UE"/>
    <s v="Order"/>
    <n v="37"/>
    <s v="Saturday"/>
    <x v="586"/>
    <n v="3"/>
    <n v="35.07"/>
    <d v="1899-12-30T02:46:00"/>
    <n v="2.7666666666666666"/>
    <n v="2.75"/>
    <s v="Dinner"/>
    <s v="Lewiston"/>
    <n v="3"/>
  </r>
  <r>
    <n v="1446"/>
    <s v="DD"/>
    <s v="Hourly"/>
    <n v="37"/>
    <s v="Saturday"/>
    <x v="586"/>
    <n v="6"/>
    <n v="49.06"/>
    <d v="1899-12-30T03:03:00"/>
    <n v="3.05"/>
    <n v="3"/>
    <s v="Dinner"/>
    <s v="Lewiston"/>
    <n v="3"/>
  </r>
  <r>
    <n v="1447"/>
    <s v="DD"/>
    <s v="Hourly"/>
    <n v="37"/>
    <s v="Saturday"/>
    <x v="586"/>
    <n v="5"/>
    <n v="35.94"/>
    <d v="1899-12-30T01:32:00"/>
    <n v="1.5333333333333332"/>
    <n v="1.5"/>
    <s v="Dinner"/>
    <s v="Lewiston"/>
    <n v="3"/>
  </r>
  <r>
    <n v="1448"/>
    <s v="DD"/>
    <s v="Hourly"/>
    <n v="37"/>
    <s v="Sunday"/>
    <x v="587"/>
    <n v="11"/>
    <n v="93.35"/>
    <d v="1899-12-30T04:34:00"/>
    <n v="4.5666666666666664"/>
    <n v="4.5"/>
    <s v="Lunch"/>
    <s v="Brunswick/Bath/Freeport"/>
    <n v="2"/>
  </r>
  <r>
    <n v="1449"/>
    <s v="UE"/>
    <s v="Order"/>
    <n v="38"/>
    <s v="Friday"/>
    <x v="588"/>
    <n v="13"/>
    <n v="138.31"/>
    <d v="1899-12-30T05:28:00"/>
    <n v="5.4666666666666668"/>
    <n v="5.5"/>
    <s v="Dinner"/>
    <s v="Portland"/>
    <n v="4"/>
  </r>
  <r>
    <n v="1450"/>
    <s v="DD"/>
    <s v="Order"/>
    <n v="38"/>
    <s v="Friday"/>
    <x v="588"/>
    <n v="3"/>
    <n v="38.29"/>
    <d v="1899-12-30T02:17:00"/>
    <n v="2.2833333333333332"/>
    <n v="2.25"/>
    <s v="Dinner"/>
    <s v="Portland"/>
    <n v="4"/>
  </r>
  <r>
    <n v="1451"/>
    <s v="DD"/>
    <s v="Order"/>
    <n v="38"/>
    <s v="Friday"/>
    <x v="588"/>
    <n v="2"/>
    <n v="12.25"/>
    <d v="1899-12-30T00:35:00"/>
    <n v="0.58333333333333337"/>
    <n v="0.5"/>
    <s v="Late Night"/>
    <s v="Portland"/>
    <n v="4"/>
  </r>
  <r>
    <n v="1452"/>
    <s v="UE"/>
    <s v="Order"/>
    <n v="38"/>
    <s v="Sunday"/>
    <x v="589"/>
    <n v="2"/>
    <n v="26.02"/>
    <d v="1899-12-30T00:56:00"/>
    <n v="0.93333333333333335"/>
    <n v="1"/>
    <s v="Lunch"/>
    <s v="Brunswick/Bath/Freeport"/>
    <n v="2"/>
  </r>
  <r>
    <n v="1453"/>
    <s v="DD"/>
    <s v="Order"/>
    <n v="38"/>
    <s v="Sunday"/>
    <x v="589"/>
    <n v="3"/>
    <n v="42.41"/>
    <d v="1899-12-30T01:42:00"/>
    <n v="1.7"/>
    <n v="1.75"/>
    <s v="Lunch"/>
    <s v="Brunswick/Bath/Freeport"/>
    <n v="2"/>
  </r>
  <r>
    <n v="1454"/>
    <s v="UE"/>
    <s v="Order"/>
    <n v="39"/>
    <s v="Monday"/>
    <x v="590"/>
    <n v="6"/>
    <n v="87.81"/>
    <d v="1899-12-30T03:39:00"/>
    <n v="3.6499999999999995"/>
    <n v="3.75"/>
    <s v="Dinner"/>
    <s v="Portland"/>
    <n v="4"/>
  </r>
  <r>
    <n v="1455"/>
    <s v="DD"/>
    <s v="Order"/>
    <n v="39"/>
    <s v="Monday"/>
    <x v="590"/>
    <n v="3"/>
    <n v="31.25"/>
    <d v="1899-12-30T01:25:00"/>
    <n v="1.4166666666666665"/>
    <n v="1.5"/>
    <s v="Dinner"/>
    <s v="Portland"/>
    <n v="4"/>
  </r>
  <r>
    <n v="1456"/>
    <s v="DD"/>
    <s v="Hourly"/>
    <n v="39"/>
    <s v="Monday"/>
    <x v="590"/>
    <n v="2"/>
    <n v="19.329999999999998"/>
    <d v="1899-12-30T01:44:00"/>
    <n v="1.7333333333333332"/>
    <n v="1.75"/>
    <s v="Dinner"/>
    <s v="Portland"/>
    <n v="4"/>
  </r>
  <r>
    <n v="1457"/>
    <s v="UE"/>
    <s v="Order"/>
    <n v="39"/>
    <s v="Tuesday"/>
    <x v="591"/>
    <n v="3"/>
    <n v="33.71"/>
    <d v="1899-12-30T01:50:00"/>
    <n v="1.8333333333333335"/>
    <n v="1.75"/>
    <s v="Dinner"/>
    <s v="Brunswick/Bath/Freeport"/>
    <n v="2"/>
  </r>
  <r>
    <n v="1458"/>
    <s v="DD"/>
    <s v="Order"/>
    <n v="39"/>
    <s v="Tuesday"/>
    <x v="591"/>
    <n v="6"/>
    <n v="86.33"/>
    <d v="1899-12-30T03:31:00"/>
    <n v="3.5166666666666666"/>
    <n v="3.5"/>
    <s v="Dinner"/>
    <s v="Brunswick/Bath/Freeport"/>
    <n v="2"/>
  </r>
  <r>
    <n v="1459"/>
    <s v="UE"/>
    <s v="Order"/>
    <n v="39"/>
    <s v="Wednesday"/>
    <x v="592"/>
    <n v="4"/>
    <n v="53.22"/>
    <d v="1899-12-30T02:41:00"/>
    <n v="2.6833333333333336"/>
    <n v="2.75"/>
    <s v="Dinner"/>
    <s v="Brunswick/Bath/Freeport"/>
    <n v="2"/>
  </r>
  <r>
    <n v="1460"/>
    <s v="DD"/>
    <s v="Order"/>
    <n v="39"/>
    <s v="Wednesday"/>
    <x v="592"/>
    <n v="5"/>
    <n v="42"/>
    <d v="1899-12-30T02:20:00"/>
    <n v="2.3333333333333335"/>
    <n v="2.25"/>
    <s v="Dinner"/>
    <s v="Brunswick/Bath/Freeport"/>
    <n v="2"/>
  </r>
  <r>
    <n v="1461"/>
    <s v="DD"/>
    <s v="Order"/>
    <n v="39"/>
    <s v="Wednesday"/>
    <x v="592"/>
    <n v="4"/>
    <n v="35"/>
    <d v="1899-12-30T01:56:00"/>
    <n v="1.9333333333333336"/>
    <n v="2"/>
    <s v="Dinner"/>
    <s v="Brunswick/Bath/Freeport"/>
    <n v="2"/>
  </r>
  <r>
    <n v="1462"/>
    <s v="UE"/>
    <s v="Order"/>
    <n v="39"/>
    <s v="Friday"/>
    <x v="593"/>
    <n v="14"/>
    <n v="158.51"/>
    <d v="1899-12-30T06:25:00"/>
    <n v="6.4166666666666661"/>
    <n v="6.5"/>
    <s v="Dinner"/>
    <s v="Portland"/>
    <n v="4"/>
  </r>
  <r>
    <n v="1463"/>
    <s v="DD"/>
    <s v="Hourly"/>
    <n v="39"/>
    <s v="Friday"/>
    <x v="593"/>
    <n v="1"/>
    <n v="8.39"/>
    <d v="1899-12-30T01:00:00"/>
    <n v="1"/>
    <n v="1"/>
    <s v="Dinner"/>
    <s v="Portland"/>
    <n v="4"/>
  </r>
  <r>
    <n v="1464"/>
    <s v="DD"/>
    <s v="Hourly"/>
    <n v="39"/>
    <s v="Friday"/>
    <x v="593"/>
    <n v="8"/>
    <n v="70.12"/>
    <d v="1899-12-30T02:26:00"/>
    <n v="2.4333333333333336"/>
    <n v="2.5"/>
    <s v="Late Night"/>
    <s v="Portland"/>
    <n v="4"/>
  </r>
  <r>
    <n v="1465"/>
    <s v="UE"/>
    <s v="Order"/>
    <n v="40"/>
    <s v="Monday"/>
    <x v="594"/>
    <n v="6"/>
    <n v="52.73"/>
    <d v="1899-12-30T03:21:00"/>
    <n v="3.35"/>
    <n v="3.25"/>
    <s v="Dinner"/>
    <s v="Portland"/>
    <n v="4"/>
  </r>
  <r>
    <n v="1466"/>
    <s v="DD"/>
    <s v="Hourly"/>
    <n v="40"/>
    <s v="Monday"/>
    <x v="594"/>
    <n v="6"/>
    <n v="45.37"/>
    <d v="1899-12-30T02:47:00"/>
    <n v="2.7833333333333332"/>
    <n v="2.75"/>
    <s v="Dinner"/>
    <s v="Portland"/>
    <n v="4"/>
  </r>
  <r>
    <n v="1467"/>
    <s v="UE"/>
    <s v="Order"/>
    <n v="40"/>
    <s v="Tuesday"/>
    <x v="595"/>
    <n v="3"/>
    <n v="34.5"/>
    <d v="1899-12-30T02:59:00"/>
    <n v="2.9833333333333334"/>
    <n v="3"/>
    <s v="Dinner"/>
    <s v="Augusta"/>
    <n v="1"/>
  </r>
  <r>
    <n v="1468"/>
    <s v="DD"/>
    <s v="Order"/>
    <n v="40"/>
    <s v="Tuesday"/>
    <x v="595"/>
    <n v="2"/>
    <n v="13.81"/>
    <d v="1899-12-30T01:32:00"/>
    <n v="1.5333333333333332"/>
    <n v="1.5"/>
    <s v="Dinner"/>
    <s v="Augusta"/>
    <n v="1"/>
  </r>
  <r>
    <n v="1469"/>
    <s v="DD"/>
    <s v="Hourly"/>
    <n v="40"/>
    <s v="Tuesday"/>
    <x v="595"/>
    <n v="1"/>
    <n v="10.28"/>
    <d v="1899-12-30T01:23:00"/>
    <n v="1.3833333333333333"/>
    <n v="1.5"/>
    <s v="Dinner"/>
    <s v="Augusta"/>
    <n v="1"/>
  </r>
  <r>
    <n v="1470"/>
    <s v="UE"/>
    <s v="Order"/>
    <n v="40"/>
    <s v="Saturday"/>
    <x v="596"/>
    <n v="9"/>
    <n v="99.28"/>
    <d v="1899-12-30T04:51:00"/>
    <n v="4.8499999999999996"/>
    <n v="4.75"/>
    <s v="Dinner"/>
    <s v="Portland"/>
    <n v="4"/>
  </r>
  <r>
    <n v="1471"/>
    <s v="DD"/>
    <s v="Hourly"/>
    <n v="40"/>
    <s v="Saturday"/>
    <x v="596"/>
    <n v="2"/>
    <n v="23.04"/>
    <d v="1899-12-30T02:07:00"/>
    <n v="2.1166666666666667"/>
    <n v="2"/>
    <s v="Dinner"/>
    <s v="Portland"/>
    <n v="4"/>
  </r>
  <r>
    <n v="1472"/>
    <s v="DD"/>
    <s v="Hourly"/>
    <n v="40"/>
    <s v="Saturday"/>
    <x v="596"/>
    <n v="4"/>
    <n v="22.22"/>
    <d v="1899-12-30T02:01:00"/>
    <n v="2.0166666666666666"/>
    <n v="2"/>
    <s v="Late Night"/>
    <s v="Portland"/>
    <n v="4"/>
  </r>
  <r>
    <n v="1473"/>
    <s v="UE"/>
    <s v="Order"/>
    <n v="40"/>
    <s v="Sunday"/>
    <x v="597"/>
    <n v="5"/>
    <n v="85.53"/>
    <d v="1899-12-30T03:35:00"/>
    <n v="3.583333333333333"/>
    <n v="3.5"/>
    <s v="Dinner"/>
    <s v="Brunswick/Bath/Freeport"/>
    <n v="2"/>
  </r>
  <r>
    <n v="1474"/>
    <s v="DD"/>
    <s v="Order"/>
    <n v="40"/>
    <s v="Sunday"/>
    <x v="597"/>
    <n v="3"/>
    <n v="44.6"/>
    <d v="1899-12-30T03:32:00"/>
    <n v="3.5333333333333332"/>
    <n v="3.5"/>
    <s v="Dinner"/>
    <s v="Brunswick/Bath/Freeport"/>
    <n v="2"/>
  </r>
  <r>
    <n v="1475"/>
    <s v="DD"/>
    <s v="Hourly"/>
    <n v="40"/>
    <s v="Sunday"/>
    <x v="597"/>
    <n v="2"/>
    <n v="19.170000000000002"/>
    <d v="1899-12-30T01:09:00"/>
    <n v="1.1500000000000001"/>
    <n v="1.25"/>
    <s v="Dinner"/>
    <s v="Brunswick/Bath/Freeport"/>
    <n v="2"/>
  </r>
  <r>
    <n v="1476"/>
    <s v="UE"/>
    <s v="Order"/>
    <n v="41"/>
    <s v="Monday"/>
    <x v="598"/>
    <n v="5"/>
    <n v="71.87"/>
    <d v="1899-12-30T03:03:00"/>
    <n v="3.05"/>
    <n v="3"/>
    <s v="Dinner"/>
    <s v="Brunswick/Bath/Freeport"/>
    <n v="2"/>
  </r>
  <r>
    <n v="1477"/>
    <s v="DD"/>
    <s v="Order"/>
    <n v="41"/>
    <s v="Monday"/>
    <x v="598"/>
    <n v="7"/>
    <n v="73.09"/>
    <d v="1899-12-30T04:15:00"/>
    <n v="4.25"/>
    <n v="4.25"/>
    <s v="Dinner"/>
    <s v="Brunswick/Bath/Freeport"/>
    <n v="2"/>
  </r>
  <r>
    <n v="1478"/>
    <s v="DD"/>
    <s v="Order"/>
    <n v="41"/>
    <s v="Monday"/>
    <x v="598"/>
    <n v="2"/>
    <n v="14.620000000000001"/>
    <d v="1899-12-30T01:01:00"/>
    <n v="1.0166666666666666"/>
    <n v="1"/>
    <s v="Late Night"/>
    <s v="Brunswick/Bath/Freeport"/>
    <n v="2"/>
  </r>
  <r>
    <n v="1479"/>
    <s v="UE"/>
    <s v="Order"/>
    <n v="41"/>
    <s v="Saturday"/>
    <x v="599"/>
    <n v="2"/>
    <n v="22.61"/>
    <d v="1899-12-30T01:38:00"/>
    <n v="1.6333333333333333"/>
    <n v="1.75"/>
    <s v="Lunch"/>
    <s v="Portland"/>
    <n v="4"/>
  </r>
  <r>
    <n v="1480"/>
    <s v="DD"/>
    <s v="Order"/>
    <n v="41"/>
    <s v="Saturday"/>
    <x v="599"/>
    <n v="4"/>
    <n v="93.59"/>
    <d v="1899-12-30T02:38:00"/>
    <n v="2.6333333333333333"/>
    <n v="2.75"/>
    <s v="Lunch"/>
    <s v="Portland"/>
    <n v="4"/>
  </r>
  <r>
    <n v="1481"/>
    <s v="UE"/>
    <s v="Order"/>
    <n v="42"/>
    <s v="Monday"/>
    <x v="600"/>
    <n v="1"/>
    <n v="43.05"/>
    <d v="1899-12-30T01:25:00"/>
    <n v="1.4166666666666665"/>
    <n v="1.5"/>
    <s v="Dinner"/>
    <s v="Brunswick/Bath/Freeport"/>
    <n v="2"/>
  </r>
  <r>
    <n v="1482"/>
    <s v="DD"/>
    <s v="Order"/>
    <n v="42"/>
    <s v="Monday"/>
    <x v="600"/>
    <n v="8"/>
    <n v="67.650000000000006"/>
    <d v="1899-12-30T03:13:00"/>
    <n v="3.2166666666666668"/>
    <n v="3.25"/>
    <s v="Dinner"/>
    <s v="Brunswick/Bath/Freeport"/>
    <n v="2"/>
  </r>
  <r>
    <n v="1483"/>
    <s v="DD"/>
    <s v="Order"/>
    <n v="42"/>
    <s v="Monday"/>
    <x v="600"/>
    <n v="1"/>
    <n v="6"/>
    <d v="1899-12-30T00:34:00"/>
    <n v="0.56666666666666665"/>
    <n v="0.5"/>
    <s v="Late Night"/>
    <s v="Brunswick/Bath/Freeport"/>
    <n v="2"/>
  </r>
  <r>
    <n v="1484"/>
    <s v="UE"/>
    <s v="Order"/>
    <n v="42"/>
    <s v="Wednesday"/>
    <x v="601"/>
    <n v="5"/>
    <n v="35.46"/>
    <d v="1899-12-30T02:28:00"/>
    <n v="2.4666666666666668"/>
    <n v="2.5"/>
    <s v="Dinner"/>
    <s v="Lewiston"/>
    <n v="3"/>
  </r>
  <r>
    <n v="1485"/>
    <s v="DD"/>
    <s v="Hourly"/>
    <n v="42"/>
    <s v="Wednesday"/>
    <x v="601"/>
    <n v="2"/>
    <n v="23.73"/>
    <d v="1899-12-30T01:02:00"/>
    <n v="1.0333333333333332"/>
    <n v="1"/>
    <s v="Dinner"/>
    <s v="Lewiston"/>
    <n v="3"/>
  </r>
  <r>
    <n v="1486"/>
    <s v="UE"/>
    <s v="Order"/>
    <n v="42"/>
    <s v="Thursday"/>
    <x v="602"/>
    <n v="1"/>
    <n v="13.05"/>
    <d v="1899-12-30T01:54:00"/>
    <n v="1.9"/>
    <n v="2"/>
    <s v="Dinner"/>
    <s v="Lewiston"/>
    <n v="3"/>
  </r>
  <r>
    <n v="1487"/>
    <s v="DD"/>
    <s v="Hourly"/>
    <n v="42"/>
    <s v="Thursday"/>
    <x v="602"/>
    <n v="2"/>
    <n v="13.27"/>
    <d v="1899-12-30T01:09:00"/>
    <n v="1.1500000000000001"/>
    <n v="1.25"/>
    <s v="Dinner"/>
    <s v="Lewiston"/>
    <n v="3"/>
  </r>
  <r>
    <n v="1488"/>
    <s v="DD"/>
    <s v="Order"/>
    <n v="42"/>
    <s v="Thursday"/>
    <x v="602"/>
    <n v="5"/>
    <n v="27.5"/>
    <d v="1899-12-30T01:27:00"/>
    <n v="1.45"/>
    <n v="1.5"/>
    <s v="Dinner"/>
    <s v="Lewiston"/>
    <n v="3"/>
  </r>
  <r>
    <n v="1489"/>
    <s v="DD"/>
    <s v="Hourly"/>
    <n v="42"/>
    <s v="Friday"/>
    <x v="603"/>
    <n v="8"/>
    <n v="70.88"/>
    <d v="1899-12-30T02:37:00"/>
    <n v="2.6166666666666667"/>
    <n v="2.5"/>
    <s v="Dinner"/>
    <s v="Brunswick/Bath/Freeport"/>
    <n v="2"/>
  </r>
  <r>
    <n v="1490"/>
    <s v="DD"/>
    <s v="Hourly"/>
    <n v="42"/>
    <s v="Friday"/>
    <x v="603"/>
    <n v="4"/>
    <n v="37.65"/>
    <d v="1899-12-30T01:47:00"/>
    <n v="1.7833333333333332"/>
    <n v="1.75"/>
    <s v="Late Night"/>
    <s v="Brunswick/Bath/Freeport"/>
    <n v="2"/>
  </r>
  <r>
    <n v="1491"/>
    <s v="DD"/>
    <s v="Hourly"/>
    <n v="42"/>
    <s v="Friday"/>
    <x v="603"/>
    <n v="1"/>
    <n v="9.3800000000000008"/>
    <d v="1899-12-30T00:41:00"/>
    <n v="0.68333333333333335"/>
    <n v="0.75"/>
    <s v="Late Night"/>
    <s v="Brunswick/Bath/Freeport"/>
    <n v="2"/>
  </r>
  <r>
    <n v="1492"/>
    <s v="DD"/>
    <s v="Hourly"/>
    <n v="42"/>
    <s v="Friday"/>
    <x v="603"/>
    <n v="3"/>
    <n v="32.61"/>
    <d v="1899-12-30T01:19:00"/>
    <n v="1.3166666666666667"/>
    <n v="1.25"/>
    <s v="Late Night"/>
    <s v="Brunswick/Bath/Freeport"/>
    <n v="2"/>
  </r>
  <r>
    <n v="1493"/>
    <s v="DD"/>
    <s v="Hourly"/>
    <n v="42"/>
    <s v="Saturday"/>
    <x v="604"/>
    <n v="4"/>
    <n v="38.71"/>
    <d v="1899-12-30T01:23:00"/>
    <n v="1.3833333333333333"/>
    <n v="1.5"/>
    <s v="Dinner"/>
    <s v="Brunswick/Bath/Freeport"/>
    <n v="2"/>
  </r>
  <r>
    <n v="1494"/>
    <s v="DD"/>
    <s v="Hourly"/>
    <n v="42"/>
    <s v="Sunday"/>
    <x v="605"/>
    <n v="11"/>
    <n v="86.51"/>
    <d v="1899-12-30T04:06:00"/>
    <n v="4.0999999999999996"/>
    <n v="4"/>
    <s v="Dinner"/>
    <s v="Lewiston"/>
    <n v="3"/>
  </r>
  <r>
    <n v="1495"/>
    <s v="UE"/>
    <s v="Order"/>
    <n v="43"/>
    <s v="Monday"/>
    <x v="606"/>
    <n v="3"/>
    <n v="47.43"/>
    <d v="1899-12-30T05:28:00"/>
    <n v="5.4666666666666668"/>
    <n v="5.5"/>
    <s v="Dinner"/>
    <s v="Augusta"/>
    <n v="1"/>
  </r>
  <r>
    <n v="1496"/>
    <s v="DD"/>
    <s v="Order"/>
    <n v="43"/>
    <s v="Monday"/>
    <x v="606"/>
    <n v="4"/>
    <n v="40"/>
    <d v="1899-12-30T03:40:00"/>
    <n v="3.666666666666667"/>
    <n v="3.75"/>
    <s v="Dinner"/>
    <s v="Augusta"/>
    <n v="1"/>
  </r>
  <r>
    <n v="1497"/>
    <s v="DD"/>
    <s v="Order"/>
    <n v="43"/>
    <s v="Tuesday"/>
    <x v="607"/>
    <n v="11"/>
    <n v="100.80000000000001"/>
    <d v="1899-12-30T04:41:00"/>
    <n v="4.6833333333333336"/>
    <n v="4.75"/>
    <s v="Dinner"/>
    <s v="Brunswick/Bath/Freeport"/>
    <n v="2"/>
  </r>
  <r>
    <n v="1498"/>
    <s v="DD"/>
    <s v="Hourly"/>
    <n v="43"/>
    <s v="Friday"/>
    <x v="608"/>
    <n v="11"/>
    <n v="105.94"/>
    <d v="1899-12-30T05:05:00"/>
    <n v="5.083333333333333"/>
    <n v="5"/>
    <s v="Dinner"/>
    <s v="Brunswick/Bath/Freeport"/>
    <n v="2"/>
  </r>
  <r>
    <n v="1499"/>
    <s v="UE"/>
    <s v="Order"/>
    <n v="43"/>
    <s v="Sunday"/>
    <x v="609"/>
    <n v="2"/>
    <n v="24.089999999999996"/>
    <d v="1899-12-30T01:53:00"/>
    <n v="1.883333333333334"/>
    <n v="2"/>
    <s v="Dinner"/>
    <s v="Brunswick/Bath/Freeport"/>
    <n v="2"/>
  </r>
  <r>
    <n v="1500"/>
    <s v="DD"/>
    <s v="Order"/>
    <n v="43"/>
    <s v="Sunday"/>
    <x v="609"/>
    <n v="12"/>
    <n v="86.25"/>
    <d v="1899-12-30T04:11:00"/>
    <n v="4.1833333333333336"/>
    <n v="4.25"/>
    <s v="Dinner"/>
    <s v="Brunswick/Bath/Freeport"/>
    <n v="2"/>
  </r>
  <r>
    <n v="1501"/>
    <s v="UE"/>
    <s v="Order"/>
    <n v="44"/>
    <s v="Monday"/>
    <x v="610"/>
    <n v="1"/>
    <n v="14.07"/>
    <d v="1899-12-30T01:01:00"/>
    <n v="1.0166666666666666"/>
    <n v="1"/>
    <s v="Dinner"/>
    <s v="Brunswick/Bath/Freeport"/>
    <n v="2"/>
  </r>
  <r>
    <n v="1502"/>
    <s v="DD"/>
    <s v="Order"/>
    <n v="44"/>
    <s v="Monday"/>
    <x v="610"/>
    <n v="1"/>
    <n v="16.190000000000001"/>
    <d v="1899-12-30T01:41:00"/>
    <n v="1.6833333333333333"/>
    <n v="1.75"/>
    <s v="Dinner"/>
    <s v="Brunswick/Bath/Freeport"/>
    <n v="2"/>
  </r>
  <r>
    <n v="1503"/>
    <s v="UE"/>
    <s v="Order"/>
    <n v="44"/>
    <s v="Tuesday"/>
    <x v="611"/>
    <n v="8"/>
    <n v="61.53"/>
    <d v="1899-12-30T05:11:00"/>
    <n v="5.1833333333333336"/>
    <n v="5.25"/>
    <s v="Dinner"/>
    <s v="Portland"/>
    <n v="4"/>
  </r>
  <r>
    <n v="1504"/>
    <s v="DD"/>
    <s v="Hourly"/>
    <n v="44"/>
    <s v="Wednesday"/>
    <x v="612"/>
    <n v="10"/>
    <n v="117.5"/>
    <d v="1899-12-30T04:12:00"/>
    <n v="4.1999999999999993"/>
    <n v="4.25"/>
    <s v="Dinner"/>
    <s v="Brunswick/Bath/Freeport"/>
    <n v="2"/>
  </r>
  <r>
    <n v="1505"/>
    <s v="UE"/>
    <s v="Order"/>
    <n v="44"/>
    <s v="Friday"/>
    <x v="613"/>
    <n v="4"/>
    <n v="127.87"/>
    <d v="1899-12-30T03:59:00"/>
    <n v="3.9833333333333334"/>
    <n v="4"/>
    <s v="Dinner"/>
    <s v="Brunswick/Bath/Freeport"/>
    <n v="2"/>
  </r>
  <r>
    <n v="1506"/>
    <s v="DD"/>
    <s v="Hourly"/>
    <n v="44"/>
    <s v="Friday"/>
    <x v="613"/>
    <n v="13"/>
    <n v="95.86999999999999"/>
    <d v="1899-12-30T05:15:00"/>
    <n v="5.25"/>
    <n v="5.25"/>
    <s v="Dinner"/>
    <s v="Brunswick/Bath/Freeport"/>
    <n v="2"/>
  </r>
  <r>
    <n v="1507"/>
    <s v="UE"/>
    <s v="Order"/>
    <n v="44"/>
    <s v="Saturday"/>
    <x v="614"/>
    <n v="12"/>
    <n v="94.36"/>
    <d v="1899-12-30T06:09:00"/>
    <n v="6.1499999999999995"/>
    <n v="6.25"/>
    <s v="Dinner"/>
    <s v="Portland"/>
    <n v="4"/>
  </r>
  <r>
    <n v="1508"/>
    <s v="DD"/>
    <s v="Order"/>
    <n v="44"/>
    <s v="Saturday"/>
    <x v="614"/>
    <n v="1"/>
    <n v="6"/>
    <d v="1899-12-30T00:54:00"/>
    <n v="0.89999999999999991"/>
    <n v="1"/>
    <s v="Dinner"/>
    <s v="Portland"/>
    <n v="4"/>
  </r>
  <r>
    <n v="1509"/>
    <s v="UE"/>
    <s v="Order"/>
    <n v="44"/>
    <s v="Sunday"/>
    <x v="615"/>
    <n v="1"/>
    <n v="12.09"/>
    <d v="1899-12-30T01:24:00"/>
    <n v="1.4"/>
    <n v="1.5"/>
    <s v="Dinner"/>
    <s v="Brunswick/Bath/Freeport"/>
    <n v="2"/>
  </r>
  <r>
    <n v="1510"/>
    <s v="DD"/>
    <s v="Hourly"/>
    <n v="44"/>
    <s v="Sunday"/>
    <x v="615"/>
    <n v="15"/>
    <n v="163.41"/>
    <d v="1899-12-30T06:07:00"/>
    <n v="6.1166666666666663"/>
    <n v="6"/>
    <s v="Dinner"/>
    <s v="Brunswick/Bath/Freeport"/>
    <n v="2"/>
  </r>
  <r>
    <n v="1511"/>
    <s v="UE"/>
    <s v="Order"/>
    <n v="45"/>
    <s v="Monday"/>
    <x v="616"/>
    <n v="3"/>
    <n v="61.07"/>
    <d v="1899-12-30T02:09:00"/>
    <n v="2.15"/>
    <n v="2.25"/>
    <s v="Dinner"/>
    <s v="Brunswick/Bath/Freeport"/>
    <n v="2"/>
  </r>
  <r>
    <n v="1512"/>
    <s v="DD"/>
    <s v="Order"/>
    <n v="45"/>
    <s v="Monday"/>
    <x v="616"/>
    <n v="4"/>
    <n v="21.25"/>
    <d v="1899-12-30T01:39:00"/>
    <n v="1.6500000000000001"/>
    <n v="1.75"/>
    <s v="Dinner"/>
    <s v="Brunswick/Bath/Freeport"/>
    <n v="2"/>
  </r>
  <r>
    <n v="1513"/>
    <s v="DD"/>
    <s v="Order"/>
    <n v="45"/>
    <s v="Monday"/>
    <x v="616"/>
    <n v="4"/>
    <n v="44.99"/>
    <d v="1899-12-30T03:10:00"/>
    <n v="3.166666666666667"/>
    <n v="3.25"/>
    <s v="Dinner"/>
    <s v="Brunswick/Bath/Freeport"/>
    <n v="2"/>
  </r>
  <r>
    <n v="1514"/>
    <s v="UE"/>
    <s v="Order"/>
    <n v="45"/>
    <s v="Tuesday"/>
    <x v="617"/>
    <n v="4"/>
    <n v="80.22"/>
    <d v="1899-12-30T02:27:00"/>
    <n v="2.4500000000000002"/>
    <n v="2.5"/>
    <s v="Dinner"/>
    <s v="Brunswick/Bath/Freeport"/>
    <n v="2"/>
  </r>
  <r>
    <n v="1515"/>
    <s v="DD"/>
    <s v="Order"/>
    <n v="45"/>
    <s v="Tuesday"/>
    <x v="617"/>
    <n v="3"/>
    <n v="16"/>
    <d v="1899-12-30T01:22:00"/>
    <n v="1.3666666666666667"/>
    <n v="1.25"/>
    <s v="Dinner"/>
    <s v="Brunswick/Bath/Freeport"/>
    <n v="2"/>
  </r>
  <r>
    <n v="1516"/>
    <s v="DD"/>
    <s v="Order"/>
    <n v="45"/>
    <s v="Tuesday"/>
    <x v="617"/>
    <n v="4"/>
    <n v="64.42"/>
    <d v="1899-12-30T02:43:00"/>
    <n v="2.7166666666666668"/>
    <n v="2.75"/>
    <s v="Dinner"/>
    <s v="Brunswick/Bath/Freeport"/>
    <n v="2"/>
  </r>
  <r>
    <n v="1517"/>
    <s v="UE"/>
    <s v="Order"/>
    <n v="45"/>
    <s v="Thursday"/>
    <x v="618"/>
    <n v="3"/>
    <n v="77.56"/>
    <d v="1899-12-30T02:34:00"/>
    <n v="2.5666666666666664"/>
    <n v="2.5"/>
    <s v="Dinner"/>
    <s v="Brunswick/Bath/Freeport"/>
    <n v="2"/>
  </r>
  <r>
    <n v="1518"/>
    <s v="UE"/>
    <s v="Order"/>
    <n v="46"/>
    <s v="Monday"/>
    <x v="619"/>
    <n v="2"/>
    <n v="40.11"/>
    <d v="1899-12-30T01:19:00"/>
    <n v="1.3166666666666667"/>
    <n v="1.25"/>
    <s v="Dinner"/>
    <s v="Brunswick/Bath/Freeport"/>
    <n v="2"/>
  </r>
  <r>
    <n v="1519"/>
    <s v="DD"/>
    <s v="Order"/>
    <n v="46"/>
    <s v="Monday"/>
    <x v="619"/>
    <n v="13"/>
    <n v="103.48"/>
    <d v="1899-12-30T05:04:00"/>
    <n v="5.0666666666666664"/>
    <n v="5"/>
    <s v="Dinner"/>
    <s v="Brunswick/Bath/Freeport"/>
    <n v="2"/>
  </r>
  <r>
    <n v="1520"/>
    <s v="UE"/>
    <s v="Order"/>
    <n v="46"/>
    <s v="Tuesday"/>
    <x v="620"/>
    <n v="3"/>
    <n v="30.3"/>
    <d v="1899-12-30T02:36:00"/>
    <n v="2.6"/>
    <n v="2.5"/>
    <s v="Dinner"/>
    <s v="Brunswick/Bath/Freeport"/>
    <n v="2"/>
  </r>
  <r>
    <n v="1521"/>
    <s v="DD"/>
    <s v="Order"/>
    <n v="46"/>
    <s v="Tuesday"/>
    <x v="620"/>
    <n v="9"/>
    <n v="59.11"/>
    <d v="1899-12-30T05:01:00"/>
    <n v="5.0166666666666666"/>
    <n v="5"/>
    <s v="Dinner"/>
    <s v="Brunswick/Bath/Freeport"/>
    <n v="2"/>
  </r>
  <r>
    <n v="1522"/>
    <s v="UE"/>
    <s v="Order"/>
    <n v="46"/>
    <s v="Friday"/>
    <x v="621"/>
    <n v="3"/>
    <n v="38.51"/>
    <d v="1899-12-30T02:33:00"/>
    <n v="2.5499999999999998"/>
    <n v="2.5"/>
    <s v="Dinner"/>
    <s v="Brunswick/Bath/Freeport"/>
    <n v="2"/>
  </r>
  <r>
    <n v="1523"/>
    <s v="DD"/>
    <s v="Order"/>
    <n v="46"/>
    <s v="Friday"/>
    <x v="621"/>
    <n v="2"/>
    <n v="19.5"/>
    <d v="1899-12-30T01:26:00"/>
    <n v="1.4333333333333333"/>
    <n v="1.5"/>
    <s v="Dinner"/>
    <s v="Brunswick/Bath/Freeport"/>
    <n v="2"/>
  </r>
  <r>
    <n v="1524"/>
    <s v="DD"/>
    <s v="Order"/>
    <n v="46"/>
    <s v="Friday"/>
    <x v="621"/>
    <n v="12"/>
    <n v="92.25"/>
    <d v="1899-12-30T04:26:00"/>
    <n v="4.4333333333333336"/>
    <n v="4.5"/>
    <s v="Dinner"/>
    <s v="Brunswick/Bath/Freeport"/>
    <n v="2"/>
  </r>
  <r>
    <n v="1525"/>
    <s v="UE"/>
    <s v="Order"/>
    <n v="46"/>
    <s v="Saturday"/>
    <x v="622"/>
    <n v="4"/>
    <n v="52.19"/>
    <d v="1899-12-30T03:24:00"/>
    <n v="3.4"/>
    <n v="3.5"/>
    <s v="Dinner"/>
    <s v="Lewiston"/>
    <n v="3"/>
  </r>
  <r>
    <n v="1526"/>
    <s v="DD"/>
    <s v="Order"/>
    <n v="46"/>
    <s v="Saturday"/>
    <x v="622"/>
    <n v="1"/>
    <n v="7"/>
    <d v="1899-12-30T01:07:00"/>
    <n v="1.1166666666666667"/>
    <n v="1"/>
    <s v="Dinner"/>
    <s v="Lewiston"/>
    <n v="3"/>
  </r>
  <r>
    <n v="1527"/>
    <s v="DD"/>
    <s v="Order"/>
    <n v="46"/>
    <s v="Saturday"/>
    <x v="622"/>
    <n v="12"/>
    <n v="79.5"/>
    <d v="1899-12-30T04:06:00"/>
    <n v="4.0999999999999996"/>
    <n v="4"/>
    <s v="Dinner"/>
    <s v="Lewiston"/>
    <n v="3"/>
  </r>
  <r>
    <n v="1528"/>
    <s v="DD"/>
    <s v="Hourly"/>
    <n v="46"/>
    <s v="Saturday"/>
    <x v="622"/>
    <n v="1"/>
    <n v="6.09"/>
    <d v="1899-12-30T00:21:00"/>
    <n v="0.35"/>
    <n v="0.25"/>
    <s v="Late Night"/>
    <s v="Lewiston"/>
    <n v="3"/>
  </r>
  <r>
    <n v="1529"/>
    <s v="DD"/>
    <s v="Order"/>
    <n v="46"/>
    <s v="Saturday"/>
    <x v="622"/>
    <n v="2"/>
    <n v="29.5"/>
    <d v="1899-12-30T01:10:00"/>
    <n v="1.1666666666666667"/>
    <n v="1.25"/>
    <s v="Late Night"/>
    <s v="Lewiston"/>
    <n v="3"/>
  </r>
  <r>
    <n v="1530"/>
    <s v="UE"/>
    <s v="Order"/>
    <n v="47"/>
    <s v="Monday"/>
    <x v="623"/>
    <n v="4"/>
    <n v="54.75"/>
    <d v="1899-12-30T02:25:00"/>
    <n v="2.416666666666667"/>
    <n v="2.5"/>
    <s v="Dinner"/>
    <s v="Brunswick/Bath/Freeport"/>
    <n v="2"/>
  </r>
  <r>
    <n v="1531"/>
    <s v="DD"/>
    <s v="Order"/>
    <n v="47"/>
    <s v="Monday"/>
    <x v="623"/>
    <n v="1"/>
    <n v="14"/>
    <d v="1899-12-30T01:18:00"/>
    <n v="1.3"/>
    <n v="1.25"/>
    <s v="Dinner"/>
    <s v="Brunswick/Bath/Freeport"/>
    <n v="2"/>
  </r>
  <r>
    <n v="1532"/>
    <s v="UE"/>
    <s v="Order"/>
    <n v="47"/>
    <s v="Thursday"/>
    <x v="624"/>
    <n v="1"/>
    <n v="8.07"/>
    <d v="1899-12-30T00:35:00"/>
    <n v="0.58333333333333337"/>
    <n v="0.5"/>
    <s v="Dinner"/>
    <s v="Brunswick/Bath/Freeport"/>
    <n v="2"/>
  </r>
  <r>
    <n v="1533"/>
    <s v="UE"/>
    <s v="Order"/>
    <n v="47"/>
    <s v="Friday"/>
    <x v="625"/>
    <n v="1"/>
    <n v="32.049999999999997"/>
    <d v="1899-12-30T02:16:00"/>
    <n v="2.2666666666666666"/>
    <n v="2.25"/>
    <s v="Dinner"/>
    <s v="Brunswick/Bath/Freeport"/>
    <n v="2"/>
  </r>
  <r>
    <n v="1534"/>
    <s v="DD"/>
    <s v="Order"/>
    <n v="47"/>
    <s v="Friday"/>
    <x v="625"/>
    <n v="5"/>
    <n v="61.15"/>
    <d v="1899-12-30T03:03:00"/>
    <n v="3.05"/>
    <n v="3"/>
    <s v="Dinner"/>
    <s v="Brunswick/Bath/Freeport"/>
    <n v="2"/>
  </r>
  <r>
    <n v="1535"/>
    <s v="DD"/>
    <s v="Order"/>
    <n v="47"/>
    <s v="Friday"/>
    <x v="625"/>
    <n v="2"/>
    <n v="12.5"/>
    <d v="1899-12-30T01:05:00"/>
    <n v="1.0833333333333333"/>
    <n v="1"/>
    <s v="Late Night"/>
    <s v="Brunswick/Bath/Freeport"/>
    <n v="2"/>
  </r>
  <r>
    <n v="1536"/>
    <s v="UE"/>
    <s v="Order"/>
    <n v="48"/>
    <s v="Monday"/>
    <x v="626"/>
    <n v="2"/>
    <n v="22.53"/>
    <d v="1899-12-30T01:26:00"/>
    <n v="1.4333333333333333"/>
    <n v="1.5"/>
    <s v="Dinner"/>
    <s v="Brunswick/Bath/Freeport"/>
    <n v="2"/>
  </r>
  <r>
    <n v="1537"/>
    <s v="DD"/>
    <s v="Order"/>
    <n v="48"/>
    <s v="Monday"/>
    <x v="626"/>
    <n v="1"/>
    <n v="11.09"/>
    <d v="1899-12-30T00:49:00"/>
    <n v="0.81666666666666665"/>
    <n v="0.75"/>
    <s v="Dinner"/>
    <s v="Brunswick/Bath/Freeport"/>
    <n v="2"/>
  </r>
  <r>
    <n v="1538"/>
    <s v="DD"/>
    <s v="Order"/>
    <n v="48"/>
    <s v="Monday"/>
    <x v="626"/>
    <n v="3"/>
    <n v="30.77"/>
    <d v="1899-12-30T01:16:00"/>
    <n v="1.2666666666666666"/>
    <n v="1.25"/>
    <s v="Dinner"/>
    <s v="Brunswick/Bath/Freeport"/>
    <n v="2"/>
  </r>
  <r>
    <n v="1539"/>
    <s v="UE"/>
    <s v="Order"/>
    <n v="48"/>
    <s v="Wednesday"/>
    <x v="627"/>
    <n v="2"/>
    <n v="26.35"/>
    <d v="1899-12-30T01:27:00"/>
    <n v="1.45"/>
    <n v="1.5"/>
    <s v="Dinner"/>
    <s v="Brunswick/Bath/Freeport"/>
    <n v="2"/>
  </r>
  <r>
    <n v="1540"/>
    <s v="DD"/>
    <s v="Hourly"/>
    <n v="48"/>
    <s v="Wednesday"/>
    <x v="627"/>
    <n v="4"/>
    <n v="40.520000000000003"/>
    <d v="1899-12-30T02:00:00"/>
    <n v="2"/>
    <n v="2"/>
    <s v="Dinner"/>
    <s v="Brunswick/Bath/Freeport"/>
    <n v="2"/>
  </r>
  <r>
    <n v="1541"/>
    <s v="UE"/>
    <s v="Order"/>
    <n v="48"/>
    <s v="Friday"/>
    <x v="628"/>
    <n v="2"/>
    <n v="33.53"/>
    <d v="1899-12-30T02:13:00"/>
    <n v="2.2166666666666668"/>
    <n v="2.25"/>
    <s v="Dinner"/>
    <s v="Augusta"/>
    <n v="1"/>
  </r>
  <r>
    <n v="1542"/>
    <s v="DD"/>
    <s v="Order"/>
    <n v="48"/>
    <s v="Friday"/>
    <x v="628"/>
    <n v="1"/>
    <n v="30.5"/>
    <d v="1899-12-30T01:34:00"/>
    <n v="1.5666666666666669"/>
    <n v="1.5"/>
    <s v="Dinner"/>
    <s v="Augusta"/>
    <n v="1"/>
  </r>
  <r>
    <n v="1543"/>
    <s v="DD"/>
    <s v="Hourly"/>
    <n v="48"/>
    <s v="Friday"/>
    <x v="628"/>
    <n v="8"/>
    <n v="86.26"/>
    <d v="1899-12-30T03:58:00"/>
    <n v="3.9666666666666668"/>
    <n v="4"/>
    <s v="Dinner"/>
    <s v="Augusta"/>
    <n v="1"/>
  </r>
  <r>
    <n v="1544"/>
    <s v="UE"/>
    <s v="Order"/>
    <n v="49"/>
    <s v="Monday"/>
    <x v="629"/>
    <n v="6"/>
    <n v="35.08"/>
    <d v="1899-12-30T01:06:00"/>
    <n v="1.0999999999999999"/>
    <n v="1"/>
    <s v="Dinner"/>
    <s v="Brunswick/Bath/Freeport"/>
    <n v="2"/>
  </r>
  <r>
    <n v="1545"/>
    <s v="DD"/>
    <s v="Order"/>
    <n v="49"/>
    <s v="Monday"/>
    <x v="629"/>
    <n v="4"/>
    <n v="31.5"/>
    <d v="1899-12-30T02:09:00"/>
    <n v="2.15"/>
    <n v="2.25"/>
    <s v="Dinner"/>
    <s v="Brunswick/Bath/Freeport"/>
    <n v="2"/>
  </r>
  <r>
    <n v="1546"/>
    <s v="DD"/>
    <s v="Order"/>
    <n v="49"/>
    <s v="Tuesday"/>
    <x v="630"/>
    <n v="3"/>
    <n v="26"/>
    <d v="1899-12-30T01:10:00"/>
    <n v="1.1666666666666667"/>
    <n v="1.25"/>
    <s v="Dinner"/>
    <s v="Brunswick/Bath/Freeport"/>
    <n v="2"/>
  </r>
  <r>
    <n v="1547"/>
    <s v="UE"/>
    <s v="Order"/>
    <n v="49"/>
    <s v="Wednesday"/>
    <x v="631"/>
    <n v="5"/>
    <n v="40.99"/>
    <d v="1899-12-30T01:43:00"/>
    <n v="1.7166666666666666"/>
    <n v="1.75"/>
    <s v="Dinner"/>
    <s v="Brunswick/Bath/Freeport"/>
    <n v="2"/>
  </r>
  <r>
    <n v="1548"/>
    <s v="DD"/>
    <s v="Order"/>
    <n v="49"/>
    <s v="Wednesday"/>
    <x v="631"/>
    <n v="3"/>
    <n v="21.25"/>
    <d v="1899-12-30T00:43:00"/>
    <n v="0.71666666666666667"/>
    <n v="0.75"/>
    <s v="Dinner"/>
    <s v="Brunswick/Bath/Freeport"/>
    <n v="2"/>
  </r>
  <r>
    <n v="1549"/>
    <s v="DD"/>
    <s v="Hourly"/>
    <n v="49"/>
    <s v="Wednesday"/>
    <x v="631"/>
    <n v="4"/>
    <n v="30.52"/>
    <d v="1899-12-30T01:06:00"/>
    <n v="1.0999999999999999"/>
    <n v="1"/>
    <s v="Late Night"/>
    <s v="Brunswick/Bath/Freeport"/>
    <n v="2"/>
  </r>
  <r>
    <n v="1550"/>
    <s v="DD"/>
    <s v="Order"/>
    <n v="49"/>
    <s v="Friday"/>
    <x v="632"/>
    <n v="4"/>
    <n v="44.5"/>
    <d v="1899-12-30T02:12:00"/>
    <n v="2.1999999999999997"/>
    <n v="2.25"/>
    <s v="Dinner"/>
    <s v="Brunswick/Bath/Freeport"/>
    <n v="2"/>
  </r>
  <r>
    <n v="1551"/>
    <s v="UE"/>
    <s v="Order"/>
    <n v="50"/>
    <s v="Monday"/>
    <x v="633"/>
    <n v="2"/>
    <n v="16.93"/>
    <d v="1899-12-30T00:32:00"/>
    <n v="0.53333333333333333"/>
    <n v="0.5"/>
    <s v="Dinner"/>
    <s v="Brunswick/Bath/Freeport"/>
    <n v="2"/>
  </r>
  <r>
    <n v="1552"/>
    <s v="DD"/>
    <s v="Hourly"/>
    <n v="50"/>
    <s v="Monday"/>
    <x v="633"/>
    <n v="4"/>
    <n v="41.95"/>
    <d v="1899-12-30T01:30:00"/>
    <n v="1.5"/>
    <n v="1.5"/>
    <s v="Dinner"/>
    <s v="Brunswick/Bath/Freeport"/>
    <n v="2"/>
  </r>
  <r>
    <n v="1553"/>
    <s v="UE"/>
    <s v="Order"/>
    <n v="50"/>
    <s v="Thursday"/>
    <x v="634"/>
    <n v="1"/>
    <n v="3.58"/>
    <d v="1899-12-30T00:53:00"/>
    <n v="0.8833333333333333"/>
    <n v="1"/>
    <s v="Dinner"/>
    <s v="Brunswick/Bath/Freeport"/>
    <n v="2"/>
  </r>
  <r>
    <n v="1554"/>
    <s v="DD"/>
    <s v="Order"/>
    <n v="50"/>
    <s v="Thursday"/>
    <x v="634"/>
    <n v="2"/>
    <n v="32.61"/>
    <d v="1899-12-30T01:34:00"/>
    <n v="1.5666666666666669"/>
    <n v="1.5"/>
    <s v="Dinner"/>
    <s v="Brunswick/Bath/Freeport"/>
    <n v="2"/>
  </r>
  <r>
    <n v="1555"/>
    <s v="UE"/>
    <s v="Order"/>
    <n v="1"/>
    <s v="Thursday"/>
    <x v="635"/>
    <n v="1"/>
    <n v="12.02"/>
    <d v="1899-12-30T01:00:00"/>
    <n v="1"/>
    <n v="1"/>
    <s v="Dinner"/>
    <s v="Lewiston"/>
    <n v="3"/>
  </r>
  <r>
    <n v="1556"/>
    <s v="DD"/>
    <s v="Order"/>
    <n v="1"/>
    <s v="Thursday"/>
    <x v="635"/>
    <n v="2"/>
    <n v="23.5"/>
    <d v="1899-12-30T01:39:00"/>
    <n v="1.6500000000000001"/>
    <n v="1.75"/>
    <s v="Dinner"/>
    <s v="Lewiston"/>
    <n v="3"/>
  </r>
  <r>
    <n v="1557"/>
    <s v="DD"/>
    <s v="Order"/>
    <n v="1"/>
    <s v="Thursday"/>
    <x v="635"/>
    <n v="2"/>
    <n v="25.95"/>
    <d v="1899-12-30T00:59:00"/>
    <n v="0.98333333333333339"/>
    <n v="1"/>
    <s v="Dinner"/>
    <s v="Lewiston"/>
    <n v="3"/>
  </r>
  <r>
    <n v="1558"/>
    <s v="UE"/>
    <s v="Order"/>
    <n v="1"/>
    <s v="Friday"/>
    <x v="636"/>
    <n v="3"/>
    <n v="23.02"/>
    <d v="1899-12-30T01:27:00"/>
    <n v="1.45"/>
    <n v="1.5"/>
    <s v="Dinner"/>
    <s v="Lewiston"/>
    <n v="3"/>
  </r>
  <r>
    <n v="1559"/>
    <s v="DD"/>
    <s v="Order"/>
    <n v="1"/>
    <s v="Friday"/>
    <x v="636"/>
    <n v="1"/>
    <n v="7.5"/>
    <d v="1899-12-30T01:36:00"/>
    <n v="1.6"/>
    <n v="1.5"/>
    <s v="Dinner"/>
    <s v="Lewiston"/>
    <n v="3"/>
  </r>
  <r>
    <n v="1560"/>
    <s v="DD"/>
    <s v="Order"/>
    <n v="1"/>
    <s v="Sunday"/>
    <x v="637"/>
    <n v="4"/>
    <n v="74.41"/>
    <d v="1899-12-30T02:50:00"/>
    <n v="2.833333333333333"/>
    <n v="2.75"/>
    <s v="Dinner"/>
    <s v="Brunswick/Bath/Freeport"/>
    <n v="2"/>
  </r>
  <r>
    <n v="1561"/>
    <s v="UE"/>
    <s v="Order"/>
    <n v="2"/>
    <s v="Wednesday"/>
    <x v="638"/>
    <n v="1"/>
    <n v="22.01"/>
    <d v="1899-12-30T01:30:00"/>
    <n v="1.5"/>
    <n v="1.5"/>
    <s v="Dinner"/>
    <s v="Brunswick/Bath/Freeport"/>
    <n v="2"/>
  </r>
  <r>
    <n v="1562"/>
    <s v="UE"/>
    <s v="Order"/>
    <n v="2"/>
    <s v="Thursday"/>
    <x v="639"/>
    <n v="1"/>
    <n v="7.02"/>
    <d v="1899-12-30T01:03:00"/>
    <n v="1.0499999999999998"/>
    <n v="1"/>
    <s v="Dinner"/>
    <s v="Lewiston"/>
    <n v="3"/>
  </r>
  <r>
    <n v="1563"/>
    <s v="DD"/>
    <s v="Order"/>
    <n v="2"/>
    <s v="Thursday"/>
    <x v="639"/>
    <n v="1"/>
    <n v="6.5"/>
    <d v="1899-12-30T02:02:00"/>
    <n v="2.0333333333333332"/>
    <n v="2"/>
    <s v="Dinner"/>
    <s v="Lewiston"/>
    <n v="3"/>
  </r>
  <r>
    <n v="1564"/>
    <s v="UE"/>
    <s v="Order"/>
    <n v="2"/>
    <s v="Saturday"/>
    <x v="640"/>
    <n v="12"/>
    <n v="121.28"/>
    <d v="1899-12-30T05:42:00"/>
    <n v="5.6999999999999993"/>
    <n v="5.75"/>
    <s v="Dinner"/>
    <s v="Portland"/>
    <n v="4"/>
  </r>
  <r>
    <n v="1565"/>
    <s v="DD"/>
    <s v="Hourly"/>
    <n v="2"/>
    <s v="Saturday"/>
    <x v="640"/>
    <n v="4"/>
    <n v="27.68"/>
    <d v="1899-12-30T01:19:00"/>
    <n v="1.3166666666666667"/>
    <n v="1.25"/>
    <s v="Late Night"/>
    <s v="Portland"/>
    <n v="4"/>
  </r>
  <r>
    <n v="1566"/>
    <s v="DD"/>
    <s v="Order"/>
    <n v="3"/>
    <s v="Monday"/>
    <x v="641"/>
    <n v="6"/>
    <n v="81.05"/>
    <d v="1899-12-30T03:47:00"/>
    <n v="3.7833333333333332"/>
    <n v="3.75"/>
    <s v="Dinner"/>
    <s v="Portland"/>
    <n v="4"/>
  </r>
  <r>
    <n v="1567"/>
    <s v="DD"/>
    <s v="Order"/>
    <n v="3"/>
    <s v="Monday"/>
    <x v="641"/>
    <n v="1"/>
    <n v="2"/>
    <d v="1899-12-30T00:14:00"/>
    <n v="0.23333333333333334"/>
    <n v="0.25"/>
    <s v="Late Night"/>
    <s v="Portland"/>
    <n v="4"/>
  </r>
  <r>
    <n v="1568"/>
    <s v="UE"/>
    <s v="Order"/>
    <n v="3"/>
    <s v="Thursday"/>
    <x v="642"/>
    <n v="2"/>
    <n v="41.42"/>
    <d v="1899-12-30T02:06:00"/>
    <n v="2.0999999999999996"/>
    <n v="2"/>
    <s v="Dinner"/>
    <s v="Lewiston"/>
    <n v="3"/>
  </r>
  <r>
    <n v="1569"/>
    <s v="DD"/>
    <s v="Order"/>
    <n v="3"/>
    <s v="Thursday"/>
    <x v="642"/>
    <n v="5"/>
    <n v="32.5"/>
    <d v="1899-12-30T02:22:00"/>
    <n v="2.3666666666666667"/>
    <n v="2.25"/>
    <s v="Dinner"/>
    <s v="Lewiston"/>
    <n v="3"/>
  </r>
  <r>
    <n v="1570"/>
    <s v="DD"/>
    <s v="Order"/>
    <n v="3"/>
    <s v="Thursday"/>
    <x v="642"/>
    <n v="1"/>
    <n v="14"/>
    <d v="1899-12-30T00:38:00"/>
    <n v="0.6333333333333333"/>
    <n v="0.75"/>
    <s v="Dinner"/>
    <s v="Lewiston"/>
    <n v="3"/>
  </r>
  <r>
    <n v="1571"/>
    <s v="UE"/>
    <s v="Order"/>
    <n v="3"/>
    <s v="Friday"/>
    <x v="643"/>
    <n v="3"/>
    <n v="39.1"/>
    <d v="1899-12-30T02:47:00"/>
    <n v="2.7833333333333332"/>
    <n v="2.75"/>
    <s v="Dinner"/>
    <s v="Lewiston"/>
    <n v="3"/>
  </r>
  <r>
    <n v="1572"/>
    <s v="DD"/>
    <s v="Order"/>
    <n v="3"/>
    <s v="Friday"/>
    <x v="643"/>
    <n v="3"/>
    <n v="37.75"/>
    <d v="1899-12-30T02:12:00"/>
    <n v="2.1999999999999997"/>
    <n v="2.25"/>
    <s v="Dinner"/>
    <s v="Lewiston"/>
    <n v="3"/>
  </r>
  <r>
    <n v="1573"/>
    <s v="DD"/>
    <s v="Order"/>
    <n v="3"/>
    <s v="Friday"/>
    <x v="643"/>
    <n v="3"/>
    <n v="23"/>
    <d v="1899-12-30T01:33:00"/>
    <n v="1.5500000000000003"/>
    <n v="1.5"/>
    <s v="Dinner"/>
    <s v="Lewiston"/>
    <n v="3"/>
  </r>
  <r>
    <n v="1574"/>
    <s v="UE"/>
    <s v="Order"/>
    <n v="3"/>
    <s v="Saturday"/>
    <x v="644"/>
    <n v="4"/>
    <n v="63.74"/>
    <d v="1899-12-30T03:18:00"/>
    <n v="3.3000000000000003"/>
    <n v="3.25"/>
    <s v="Dinner"/>
    <s v="Brunswick/Bath/Freeport"/>
    <n v="2"/>
  </r>
  <r>
    <n v="1575"/>
    <s v="DD"/>
    <s v="Order"/>
    <n v="3"/>
    <s v="Saturday"/>
    <x v="644"/>
    <n v="1"/>
    <n v="9.75"/>
    <d v="1899-12-30T00:58:00"/>
    <n v="0.96666666666666679"/>
    <n v="1"/>
    <s v="Dinner"/>
    <s v="Brunswick/Bath/Freeport"/>
    <n v="2"/>
  </r>
  <r>
    <n v="1576"/>
    <s v="DD"/>
    <s v="Order"/>
    <n v="3"/>
    <s v="Saturday"/>
    <x v="644"/>
    <n v="2"/>
    <n v="10.17"/>
    <d v="1899-12-30T02:27:00"/>
    <n v="2.4500000000000002"/>
    <n v="2.5"/>
    <s v="Dinner"/>
    <s v="Brunswick/Bath/Freeport"/>
    <n v="2"/>
  </r>
  <r>
    <n v="1577"/>
    <s v="DD"/>
    <s v="Order"/>
    <n v="3"/>
    <s v="Saturday"/>
    <x v="644"/>
    <n v="1"/>
    <n v="7.5"/>
    <d v="1899-12-30T00:22:00"/>
    <n v="0.36666666666666664"/>
    <n v="0.25"/>
    <s v="Late Night"/>
    <s v="Brunswick/Bath/Freeport"/>
    <n v="2"/>
  </r>
  <r>
    <n v="1578"/>
    <s v="UE"/>
    <s v="Order"/>
    <n v="3"/>
    <s v="Sunday"/>
    <x v="645"/>
    <n v="6"/>
    <n v="77.959999999999994"/>
    <d v="1899-12-30T02:49:00"/>
    <n v="2.8166666666666664"/>
    <n v="2.75"/>
    <s v="Dinner"/>
    <s v="Portland"/>
    <n v="4"/>
  </r>
  <r>
    <n v="1579"/>
    <s v="DD"/>
    <s v="Hourly"/>
    <n v="3"/>
    <s v="Sunday"/>
    <x v="645"/>
    <n v="1"/>
    <n v="12.94"/>
    <d v="1899-12-30T00:52:00"/>
    <n v="0.86666666666666659"/>
    <n v="0.75"/>
    <s v="Late Night"/>
    <s v="Portland"/>
    <n v="4"/>
  </r>
  <r>
    <n v="1580"/>
    <s v="UE"/>
    <s v="Order"/>
    <n v="4"/>
    <s v="Tuesday"/>
    <x v="646"/>
    <n v="2"/>
    <n v="26.9"/>
    <d v="1899-12-30T02:21:00"/>
    <n v="2.35"/>
    <n v="2.25"/>
    <s v="Dinner"/>
    <s v="Portland"/>
    <n v="4"/>
  </r>
  <r>
    <n v="1581"/>
    <s v="UE"/>
    <s v="Order"/>
    <n v="4"/>
    <s v="Wednesday"/>
    <x v="647"/>
    <n v="1"/>
    <n v="12.31"/>
    <d v="1899-12-30T00:52:00"/>
    <n v="0.86666666666666659"/>
    <n v="0.75"/>
    <s v="Dinner"/>
    <s v="Brunswick/Bath/Freeport"/>
    <n v="2"/>
  </r>
  <r>
    <n v="1582"/>
    <s v="DD"/>
    <s v="Order"/>
    <n v="4"/>
    <s v="Wednesday"/>
    <x v="647"/>
    <n v="4"/>
    <n v="34"/>
    <d v="1899-12-30T01:35:00"/>
    <n v="1.5833333333333335"/>
    <n v="1.5"/>
    <s v="Dinner"/>
    <s v="Brunswick/Bath/Freeport"/>
    <n v="2"/>
  </r>
  <r>
    <n v="1583"/>
    <s v="UE"/>
    <s v="Order"/>
    <n v="4"/>
    <s v="Friday"/>
    <x v="648"/>
    <n v="3"/>
    <n v="24.59"/>
    <d v="1899-12-30T02:42:00"/>
    <n v="2.7"/>
    <n v="2.75"/>
    <s v="Dinner"/>
    <s v="Lewiston"/>
    <n v="3"/>
  </r>
  <r>
    <n v="1584"/>
    <s v="DD"/>
    <s v="Order"/>
    <n v="4"/>
    <s v="Friday"/>
    <x v="648"/>
    <n v="4"/>
    <n v="39.92"/>
    <d v="1899-12-30T01:50:00"/>
    <n v="1.8333333333333335"/>
    <n v="1.75"/>
    <s v="Dinner"/>
    <s v="Lewiston"/>
    <n v="3"/>
  </r>
  <r>
    <n v="1585"/>
    <s v="DD"/>
    <s v="Order"/>
    <n v="4"/>
    <s v="Friday"/>
    <x v="648"/>
    <n v="2"/>
    <n v="14.5"/>
    <d v="1899-12-30T00:41:00"/>
    <n v="0.68333333333333335"/>
    <n v="0.75"/>
    <s v="Late Night"/>
    <s v="Lewiston"/>
    <n v="3"/>
  </r>
  <r>
    <n v="1586"/>
    <s v="UE"/>
    <s v="Order"/>
    <n v="4"/>
    <s v="Sunday"/>
    <x v="649"/>
    <n v="1"/>
    <n v="12.21"/>
    <d v="1899-12-30T00:58:00"/>
    <n v="0.96666666666666679"/>
    <n v="1"/>
    <s v="Dinner"/>
    <s v="Brunswick/Bath/Freeport"/>
    <n v="2"/>
  </r>
  <r>
    <n v="1587"/>
    <s v="DD"/>
    <s v="Order"/>
    <n v="4"/>
    <s v="Sunday"/>
    <x v="649"/>
    <n v="4"/>
    <n v="33.25"/>
    <d v="1899-12-30T02:27:00"/>
    <n v="2.4500000000000002"/>
    <n v="2.5"/>
    <s v="Dinner"/>
    <s v="Brunswick/Bath/Freeport"/>
    <n v="2"/>
  </r>
  <r>
    <n v="1588"/>
    <s v="UE"/>
    <s v="Order"/>
    <n v="5"/>
    <s v="Tuesday"/>
    <x v="650"/>
    <n v="2"/>
    <n v="40.18"/>
    <d v="1899-12-30T02:52:00"/>
    <n v="2.8666666666666667"/>
    <n v="2.75"/>
    <s v="Dinner"/>
    <s v="Augusta"/>
    <n v="1"/>
  </r>
  <r>
    <n v="1589"/>
    <s v="DD"/>
    <s v="Hourly"/>
    <n v="5"/>
    <s v="Tuesday"/>
    <x v="650"/>
    <n v="1"/>
    <n v="10.3"/>
    <d v="1899-12-30T00:54:00"/>
    <n v="0.89999999999999991"/>
    <n v="1"/>
    <s v="Dinner"/>
    <s v="Augusta"/>
    <n v="1"/>
  </r>
  <r>
    <n v="1590"/>
    <s v="DD"/>
    <s v="Order"/>
    <n v="5"/>
    <s v="Tuesday"/>
    <x v="650"/>
    <n v="1"/>
    <n v="8.75"/>
    <d v="1899-12-30T00:51:00"/>
    <n v="0.85"/>
    <n v="0.75"/>
    <s v="Dinner"/>
    <s v="Augusta"/>
    <n v="1"/>
  </r>
  <r>
    <n v="1591"/>
    <s v="DD"/>
    <s v="Hourly"/>
    <n v="5"/>
    <s v="Tuesday"/>
    <x v="650"/>
    <n v="2"/>
    <n v="15.88"/>
    <d v="1899-12-30T01:44:00"/>
    <n v="1.7333333333333332"/>
    <n v="1.75"/>
    <s v="Dinner"/>
    <s v="Augusta"/>
    <n v="1"/>
  </r>
  <r>
    <n v="1592"/>
    <s v="DD"/>
    <s v="Order"/>
    <n v="5"/>
    <s v="Saturday"/>
    <x v="651"/>
    <n v="3"/>
    <n v="49.75"/>
    <d v="1899-12-30T01:59:00"/>
    <n v="1.9833333333333334"/>
    <n v="2"/>
    <s v="Dinner"/>
    <s v="Brunswick/Bath/Freeport"/>
    <n v="2"/>
  </r>
  <r>
    <n v="1593"/>
    <s v="DD"/>
    <s v="Order"/>
    <n v="6"/>
    <s v="Monday"/>
    <x v="652"/>
    <n v="5"/>
    <n v="57.5"/>
    <d v="1899-12-30T02:26:00"/>
    <n v="2.4333333333333336"/>
    <n v="2.5"/>
    <s v="Dinner"/>
    <s v="Augusta"/>
    <n v="1"/>
  </r>
  <r>
    <n v="1594"/>
    <s v="UE"/>
    <s v="Order"/>
    <n v="6"/>
    <s v="Wednesday"/>
    <x v="653"/>
    <n v="4"/>
    <n v="38.96"/>
    <d v="1899-12-30T02:06:00"/>
    <n v="2.0999999999999996"/>
    <n v="2"/>
    <s v="Dinner"/>
    <s v="Portland"/>
    <n v="4"/>
  </r>
  <r>
    <n v="1595"/>
    <s v="DD"/>
    <s v="Hourly"/>
    <n v="6"/>
    <s v="Wednesday"/>
    <x v="653"/>
    <n v="1"/>
    <n v="12.34"/>
    <d v="1899-12-30T00:51:00"/>
    <n v="0.85"/>
    <n v="0.75"/>
    <s v="Dinner"/>
    <s v="Portland"/>
    <n v="4"/>
  </r>
  <r>
    <n v="1596"/>
    <s v="UE"/>
    <s v="Order"/>
    <n v="6"/>
    <s v="Thursday"/>
    <x v="654"/>
    <n v="2"/>
    <n v="11.04"/>
    <d v="1899-12-30T00:43:00"/>
    <n v="0.71666666666666667"/>
    <n v="0.75"/>
    <s v="Dinner"/>
    <s v="Lewiston"/>
    <n v="3"/>
  </r>
  <r>
    <n v="1597"/>
    <s v="DD"/>
    <s v="Order"/>
    <n v="6"/>
    <s v="Thursday"/>
    <x v="654"/>
    <n v="2"/>
    <n v="8"/>
    <d v="1899-12-30T00:39:00"/>
    <n v="0.65"/>
    <n v="0.75"/>
    <s v="Dinner"/>
    <s v="Lewiston"/>
    <n v="3"/>
  </r>
  <r>
    <n v="1598"/>
    <s v="UE"/>
    <s v="Order"/>
    <n v="6"/>
    <s v="Friday"/>
    <x v="655"/>
    <n v="5"/>
    <n v="35.549999999999997"/>
    <d v="1899-12-30T03:21:00"/>
    <n v="3.35"/>
    <n v="3.25"/>
    <s v="Dinner"/>
    <s v="Lewiston"/>
    <n v="3"/>
  </r>
  <r>
    <n v="1599"/>
    <s v="DD"/>
    <s v="Order"/>
    <n v="6"/>
    <s v="Friday"/>
    <x v="655"/>
    <n v="1"/>
    <n v="5.75"/>
    <d v="1899-12-30T00:19:00"/>
    <n v="0.31666666666666665"/>
    <n v="0.25"/>
    <s v="Dinner"/>
    <s v="Lewiston"/>
    <n v="3"/>
  </r>
  <r>
    <n v="1600"/>
    <s v="UE"/>
    <s v="Order"/>
    <n v="6"/>
    <s v="Sunday"/>
    <x v="656"/>
    <n v="3"/>
    <n v="62.12"/>
    <d v="1899-12-30T02:15:00"/>
    <n v="2.25"/>
    <n v="2.25"/>
    <s v="Dinner"/>
    <s v="Brunswick/Bath/Freeport"/>
    <n v="2"/>
  </r>
  <r>
    <n v="1601"/>
    <s v="DD"/>
    <s v="Order"/>
    <n v="6"/>
    <s v="Sunday"/>
    <x v="656"/>
    <n v="3"/>
    <n v="33"/>
    <d v="1899-12-30T02:00:00"/>
    <n v="2"/>
    <n v="2"/>
    <s v="Dinner"/>
    <s v="Brunswick/Bath/Freeport"/>
    <n v="2"/>
  </r>
  <r>
    <n v="1602"/>
    <s v="UE"/>
    <s v="Order"/>
    <n v="7"/>
    <s v="Monday"/>
    <x v="657"/>
    <n v="3"/>
    <n v="55.68"/>
    <d v="1899-12-30T02:34:00"/>
    <n v="2.5666666666666664"/>
    <n v="2.5"/>
    <s v="Dinner"/>
    <s v="Brunswick/Bath/Freeport"/>
    <n v="2"/>
  </r>
  <r>
    <n v="1603"/>
    <s v="DD"/>
    <s v="Order"/>
    <n v="7"/>
    <s v="Monday"/>
    <x v="657"/>
    <n v="1"/>
    <n v="9"/>
    <d v="1899-12-30T00:58:00"/>
    <n v="0.96666666666666679"/>
    <n v="1"/>
    <s v="Dinner"/>
    <s v="Brunswick/Bath/Freeport"/>
    <n v="2"/>
  </r>
  <r>
    <n v="1604"/>
    <s v="DD"/>
    <s v="Order"/>
    <n v="7"/>
    <s v="Monday"/>
    <x v="657"/>
    <n v="3"/>
    <n v="21.75"/>
    <d v="1899-12-30T00:45:00"/>
    <n v="0.75"/>
    <n v="0.75"/>
    <s v="Dinner"/>
    <s v="Brunswick/Bath/Freeport"/>
    <n v="2"/>
  </r>
  <r>
    <n v="1605"/>
    <s v="DD"/>
    <s v="Order"/>
    <n v="7"/>
    <s v="Monday"/>
    <x v="657"/>
    <n v="1"/>
    <n v="20"/>
    <d v="1899-12-30T00:25:00"/>
    <n v="0.41666666666666669"/>
    <n v="0.5"/>
    <s v="Dinner"/>
    <s v="Brunswick/Bath/Freeport"/>
    <n v="2"/>
  </r>
  <r>
    <n v="1606"/>
    <s v="DD"/>
    <s v="Order"/>
    <n v="7"/>
    <s v="Thursday"/>
    <x v="658"/>
    <n v="5"/>
    <n v="91.15"/>
    <d v="1899-12-30T04:05:00"/>
    <n v="4.0833333333333339"/>
    <n v="4"/>
    <s v="Dinner"/>
    <s v="Lewiston"/>
    <n v="3"/>
  </r>
  <r>
    <n v="1607"/>
    <s v="DD"/>
    <s v="Hourly"/>
    <n v="7"/>
    <s v="Saturday"/>
    <x v="659"/>
    <n v="6"/>
    <n v="64.260000000000005"/>
    <d v="1899-12-30T02:53:00"/>
    <n v="2.8833333333333333"/>
    <n v="3"/>
    <s v="Dinner"/>
    <s v="Augusta"/>
    <n v="1"/>
  </r>
  <r>
    <n v="1608"/>
    <s v="UE"/>
    <s v="Order"/>
    <n v="8"/>
    <s v="Tuesday"/>
    <x v="660"/>
    <n v="1"/>
    <n v="24.02"/>
    <d v="1899-12-30T01:19:00"/>
    <n v="1.3166666666666667"/>
    <n v="1.25"/>
    <s v="Dinner"/>
    <s v="Brunswick/Bath/Freeport"/>
    <n v="2"/>
  </r>
  <r>
    <n v="1609"/>
    <s v="DD"/>
    <s v="Order"/>
    <n v="8"/>
    <s v="Tuesday"/>
    <x v="660"/>
    <n v="6"/>
    <n v="60.25"/>
    <d v="1899-12-30T03:30:00"/>
    <n v="3.5"/>
    <n v="3.5"/>
    <s v="Dinner"/>
    <s v="Brunswick/Bath/Freeport"/>
    <n v="2"/>
  </r>
  <r>
    <n v="1610"/>
    <s v="DD"/>
    <s v="Order"/>
    <n v="8"/>
    <s v="Tuesday"/>
    <x v="660"/>
    <n v="3"/>
    <n v="22.75"/>
    <d v="1899-12-30T01:35:00"/>
    <n v="1.5833333333333335"/>
    <n v="1.5"/>
    <s v="Late Night"/>
    <s v="Brunswick/Bath/Freeport"/>
    <n v="2"/>
  </r>
  <r>
    <n v="1611"/>
    <s v="UE"/>
    <s v="Order"/>
    <n v="8"/>
    <s v="Thursday"/>
    <x v="661"/>
    <n v="2"/>
    <n v="16.579999999999998"/>
    <d v="1899-12-30T01:33:00"/>
    <n v="1.5500000000000003"/>
    <n v="1.5"/>
    <s v="Dinner"/>
    <s v="Augusta"/>
    <n v="1"/>
  </r>
  <r>
    <n v="1612"/>
    <s v="DD"/>
    <s v="Order"/>
    <n v="8"/>
    <s v="Thursday"/>
    <x v="661"/>
    <n v="6"/>
    <n v="62.5"/>
    <d v="1899-12-30T03:40:00"/>
    <n v="3.666666666666667"/>
    <n v="3.75"/>
    <s v="Dinner"/>
    <s v="Augusta"/>
    <n v="1"/>
  </r>
  <r>
    <n v="1613"/>
    <s v="DD"/>
    <s v="Hourly"/>
    <n v="8"/>
    <s v="Thursday"/>
    <x v="661"/>
    <n v="1"/>
    <n v="20.059999999999999"/>
    <d v="1899-12-30T00:45:00"/>
    <n v="0.75"/>
    <n v="0.75"/>
    <s v="Late Night"/>
    <s v="Augusta"/>
    <n v="1"/>
  </r>
  <r>
    <n v="1614"/>
    <s v="UE"/>
    <s v="Order"/>
    <n v="8"/>
    <s v="Friday"/>
    <x v="662"/>
    <n v="10"/>
    <n v="115.11"/>
    <d v="1899-12-30T05:16:00"/>
    <n v="5.2666666666666666"/>
    <n v="5.25"/>
    <s v="Dinner"/>
    <s v="Portland"/>
    <n v="4"/>
  </r>
  <r>
    <n v="1615"/>
    <s v="DD"/>
    <s v="Order"/>
    <n v="8"/>
    <s v="Friday"/>
    <x v="662"/>
    <n v="9"/>
    <n v="81"/>
    <d v="1899-12-30T03:36:00"/>
    <n v="3.5999999999999996"/>
    <n v="3.5"/>
    <s v="Dinner"/>
    <s v="Portland"/>
    <n v="4"/>
  </r>
  <r>
    <n v="1616"/>
    <s v="DD"/>
    <s v="Hourly"/>
    <n v="8"/>
    <s v="Friday"/>
    <x v="662"/>
    <n v="1"/>
    <n v="12.75"/>
    <d v="1899-12-30T00:41:00"/>
    <n v="0.68333333333333335"/>
    <n v="0.75"/>
    <s v="Late Night"/>
    <s v="Portland"/>
    <n v="4"/>
  </r>
  <r>
    <n v="1617"/>
    <s v="UE"/>
    <s v="Order"/>
    <n v="8"/>
    <s v="Saturday"/>
    <x v="663"/>
    <n v="2"/>
    <n v="28.59"/>
    <d v="1899-12-30T01:19:00"/>
    <n v="1.3166666666666667"/>
    <n v="1.25"/>
    <s v="Lunch"/>
    <s v="Brunswick/Bath/Freeport"/>
    <n v="2"/>
  </r>
  <r>
    <n v="1618"/>
    <s v="DD"/>
    <s v="Order"/>
    <n v="8"/>
    <s v="Saturday"/>
    <x v="663"/>
    <n v="6"/>
    <n v="95.75"/>
    <d v="1899-12-30T05:35:00"/>
    <n v="5.5833333333333339"/>
    <n v="5.5"/>
    <s v="Lunch"/>
    <s v="Brunswick/Bath/Freeport"/>
    <n v="2"/>
  </r>
  <r>
    <n v="1619"/>
    <s v="DD"/>
    <s v="Order"/>
    <n v="8"/>
    <s v="Saturday"/>
    <x v="663"/>
    <n v="3"/>
    <n v="32.25"/>
    <d v="1899-12-30T00:53:00"/>
    <n v="0.8833333333333333"/>
    <n v="1"/>
    <s v="Dinner"/>
    <s v="Brunswick/Bath/Freeport"/>
    <n v="2"/>
  </r>
  <r>
    <n v="1620"/>
    <s v="UE"/>
    <s v="Order"/>
    <n v="9"/>
    <s v="Monday"/>
    <x v="664"/>
    <n v="5"/>
    <n v="55.3"/>
    <d v="1899-12-30T02:45:00"/>
    <n v="2.75"/>
    <n v="2.75"/>
    <s v="Dinner"/>
    <s v="Brunswick/Bath/Freeport"/>
    <n v="2"/>
  </r>
  <r>
    <n v="1621"/>
    <s v="DD"/>
    <s v="Order"/>
    <n v="9"/>
    <s v="Monday"/>
    <x v="664"/>
    <n v="1"/>
    <n v="10.75"/>
    <d v="1899-12-30T00:18:00"/>
    <n v="0.30000000000000004"/>
    <n v="0.25"/>
    <s v="Dinner"/>
    <s v="Brunswick/Bath/Freeport"/>
    <n v="2"/>
  </r>
  <r>
    <n v="1622"/>
    <s v="DD"/>
    <s v="Order"/>
    <n v="9"/>
    <s v="Monday"/>
    <x v="664"/>
    <n v="2"/>
    <n v="19.25"/>
    <d v="1899-12-30T00:51:00"/>
    <n v="0.85"/>
    <n v="0.75"/>
    <s v="Dinner"/>
    <s v="Brunswick/Bath/Freeport"/>
    <n v="2"/>
  </r>
  <r>
    <n v="1623"/>
    <s v="UE"/>
    <s v="Order"/>
    <n v="9"/>
    <s v="Wednesday"/>
    <x v="665"/>
    <n v="1"/>
    <n v="26.57"/>
    <d v="1899-12-30T01:35:00"/>
    <n v="1.5833333333333335"/>
    <n v="1.5"/>
    <s v="Dinner"/>
    <s v="Augusta"/>
    <n v="1"/>
  </r>
  <r>
    <n v="1624"/>
    <s v="DD"/>
    <s v="Order"/>
    <n v="9"/>
    <s v="Wednesday"/>
    <x v="665"/>
    <n v="6"/>
    <n v="91.5"/>
    <d v="1899-12-30T03:53:00"/>
    <n v="3.8833333333333337"/>
    <n v="4"/>
    <s v="Dinner"/>
    <s v="Augusta"/>
    <n v="1"/>
  </r>
  <r>
    <n v="1625"/>
    <s v="DD"/>
    <s v="Order"/>
    <n v="9"/>
    <s v="Wednesday"/>
    <x v="665"/>
    <n v="1"/>
    <n v="11.25"/>
    <d v="1899-12-30T00:55:00"/>
    <n v="0.91666666666666674"/>
    <n v="1"/>
    <s v="Late Night"/>
    <s v="Augusta"/>
    <n v="1"/>
  </r>
  <r>
    <n v="1626"/>
    <s v="UE"/>
    <s v="Order"/>
    <n v="9"/>
    <s v="Saturday"/>
    <x v="666"/>
    <n v="3"/>
    <n v="48.25"/>
    <d v="1899-12-30T01:39:00"/>
    <n v="1.6500000000000001"/>
    <n v="1.75"/>
    <s v="Dinner"/>
    <s v="Brunswick/Bath/Freeport"/>
    <n v="2"/>
  </r>
  <r>
    <n v="1627"/>
    <s v="DD"/>
    <s v="Order"/>
    <n v="9"/>
    <s v="Saturday"/>
    <x v="666"/>
    <n v="1"/>
    <n v="12"/>
    <d v="1899-12-30T01:44:00"/>
    <n v="1.7333333333333332"/>
    <n v="1.75"/>
    <s v="Dinner"/>
    <s v="Brunswick/Bath/Freeport"/>
    <n v="2"/>
  </r>
  <r>
    <n v="1628"/>
    <s v="DD"/>
    <s v="Order"/>
    <n v="9"/>
    <s v="Saturday"/>
    <x v="666"/>
    <n v="8"/>
    <n v="83.25"/>
    <d v="1899-12-30T03:37:00"/>
    <n v="3.6166666666666663"/>
    <n v="3.5"/>
    <s v="Dinner"/>
    <s v="Brunswick/Bath/Freeport"/>
    <n v="2"/>
  </r>
  <r>
    <n v="1629"/>
    <s v="UE"/>
    <s v="Order"/>
    <n v="10"/>
    <s v="Monday"/>
    <x v="667"/>
    <n v="3"/>
    <n v="62.62"/>
    <d v="1899-12-30T01:47:00"/>
    <n v="1.7833333333333332"/>
    <n v="1.75"/>
    <s v="Dinner"/>
    <s v="Brunswick/Bath/Freeport"/>
    <n v="2"/>
  </r>
  <r>
    <n v="1630"/>
    <s v="DD"/>
    <s v="Order"/>
    <n v="10"/>
    <s v="Monday"/>
    <x v="667"/>
    <n v="2"/>
    <n v="18.25"/>
    <d v="1899-12-30T01:50:00"/>
    <n v="1.8333333333333335"/>
    <n v="1.75"/>
    <s v="Dinner"/>
    <s v="Brunswick/Bath/Freeport"/>
    <n v="2"/>
  </r>
  <r>
    <n v="1631"/>
    <s v="DD"/>
    <s v="Order"/>
    <n v="10"/>
    <s v="Monday"/>
    <x v="667"/>
    <n v="3"/>
    <n v="19.5"/>
    <d v="1899-12-30T00:54:00"/>
    <n v="0.89999999999999991"/>
    <n v="1"/>
    <s v="Dinner"/>
    <s v="Brunswick/Bath/Freeport"/>
    <n v="2"/>
  </r>
  <r>
    <n v="1632"/>
    <s v="DD"/>
    <s v="Order"/>
    <n v="10"/>
    <s v="Monday"/>
    <x v="667"/>
    <n v="5"/>
    <n v="43.5"/>
    <d v="1899-12-30T02:13:00"/>
    <n v="2.2166666666666668"/>
    <n v="2.25"/>
    <s v="Late Night"/>
    <s v="Brunswick/Bath/Freeport"/>
    <n v="2"/>
  </r>
  <r>
    <n v="1633"/>
    <s v="DD"/>
    <s v="Order"/>
    <n v="10"/>
    <s v="Tuesday"/>
    <x v="668"/>
    <n v="8"/>
    <n v="89.25"/>
    <d v="1899-12-30T04:39:00"/>
    <n v="4.6500000000000004"/>
    <n v="4.75"/>
    <s v="Dinner"/>
    <s v="Brunswick/Bath/Freeport"/>
    <n v="2"/>
  </r>
  <r>
    <n v="1634"/>
    <s v="UE"/>
    <s v="Order"/>
    <n v="10"/>
    <s v="Saturday"/>
    <x v="669"/>
    <n v="8"/>
    <n v="85.53"/>
    <d v="1899-12-30T04:12:00"/>
    <n v="4.1999999999999993"/>
    <n v="4.25"/>
    <s v="Dinner"/>
    <s v="Brunswick/Bath/Freeport"/>
    <n v="2"/>
  </r>
  <r>
    <n v="1635"/>
    <s v="DD"/>
    <s v="Order"/>
    <n v="10"/>
    <s v="Saturday"/>
    <x v="669"/>
    <n v="5"/>
    <n v="62.25"/>
    <d v="1899-12-30T03:28:00"/>
    <n v="3.4666666666666663"/>
    <n v="3.5"/>
    <s v="Dinner"/>
    <s v="Brunswick/Bath/Freeport"/>
    <n v="2"/>
  </r>
  <r>
    <n v="1636"/>
    <s v="UE"/>
    <s v="Order"/>
    <n v="10"/>
    <s v="Sunday"/>
    <x v="670"/>
    <n v="1"/>
    <n v="4.41"/>
    <d v="1899-12-30T00:41:00"/>
    <n v="0.68333333333333335"/>
    <n v="0.75"/>
    <s v="Lunch"/>
    <s v="Brunswick/Bath/Freeport"/>
    <n v="2"/>
  </r>
  <r>
    <n v="1637"/>
    <s v="DD"/>
    <s v="Order"/>
    <n v="10"/>
    <s v="Sunday"/>
    <x v="670"/>
    <n v="1"/>
    <n v="9.25"/>
    <d v="1899-12-30T00:28:00"/>
    <n v="0.46666666666666667"/>
    <n v="0.5"/>
    <s v="Lunch"/>
    <s v="Brunswick/Bath/Freeport"/>
    <n v="2"/>
  </r>
  <r>
    <n v="1638"/>
    <s v="UE"/>
    <s v="Order"/>
    <n v="11"/>
    <s v="Monday"/>
    <x v="671"/>
    <n v="2"/>
    <n v="28.76"/>
    <d v="1899-12-30T01:15:00"/>
    <n v="1.25"/>
    <n v="1.25"/>
    <s v="Dinner"/>
    <s v="Brunswick/Bath/Freeport"/>
    <n v="2"/>
  </r>
  <r>
    <n v="1639"/>
    <s v="DD"/>
    <s v="Order"/>
    <n v="11"/>
    <s v="Monday"/>
    <x v="671"/>
    <n v="6"/>
    <n v="76.75"/>
    <d v="1899-12-30T04:20:00"/>
    <n v="4.333333333333333"/>
    <n v="4.25"/>
    <s v="Dinner"/>
    <s v="Brunswick/Bath/Freeport"/>
    <n v="2"/>
  </r>
  <r>
    <n v="1640"/>
    <s v="UE"/>
    <s v="Order"/>
    <n v="11"/>
    <s v="Wednesday"/>
    <x v="672"/>
    <n v="2"/>
    <n v="17.72"/>
    <d v="1899-12-30T00:48:00"/>
    <n v="0.8"/>
    <n v="0.75"/>
    <s v="Dinner"/>
    <s v="Brunswick/Bath/Freeport"/>
    <n v="2"/>
  </r>
  <r>
    <n v="1641"/>
    <s v="DD"/>
    <s v="Order"/>
    <n v="11"/>
    <s v="Wednesday"/>
    <x v="672"/>
    <n v="4"/>
    <n v="37"/>
    <d v="1899-12-30T02:00:00"/>
    <n v="2"/>
    <n v="2"/>
    <s v="Dinner"/>
    <s v="Brunswick/Bath/Freeport"/>
    <n v="2"/>
  </r>
  <r>
    <n v="1642"/>
    <s v="UE"/>
    <s v="Order"/>
    <n v="11"/>
    <s v="Thursday"/>
    <x v="673"/>
    <n v="4"/>
    <n v="58.12"/>
    <d v="1899-12-30T02:55:00"/>
    <n v="2.9166666666666665"/>
    <n v="3"/>
    <s v="Dinner"/>
    <s v="Brunswick/Bath/Freeport"/>
    <n v="2"/>
  </r>
  <r>
    <n v="1643"/>
    <s v="DD"/>
    <s v="Order"/>
    <n v="11"/>
    <s v="Thursday"/>
    <x v="673"/>
    <n v="1"/>
    <n v="9.25"/>
    <d v="1899-12-30T01:24:00"/>
    <n v="1.4"/>
    <n v="1.5"/>
    <s v="Dinner"/>
    <s v="Brunswick/Bath/Freeport"/>
    <n v="2"/>
  </r>
  <r>
    <n v="1644"/>
    <s v="DD"/>
    <s v="Order"/>
    <n v="11"/>
    <s v="Thursday"/>
    <x v="673"/>
    <n v="4"/>
    <n v="40.75"/>
    <d v="1899-12-30T02:32:00"/>
    <n v="2.5333333333333332"/>
    <n v="2.5"/>
    <s v="Dinner"/>
    <s v="Brunswick/Bath/Freeport"/>
    <n v="2"/>
  </r>
  <r>
    <n v="1645"/>
    <s v="UE"/>
    <s v="Order"/>
    <n v="11"/>
    <s v="Sunday"/>
    <x v="674"/>
    <n v="12"/>
    <n v="248.66"/>
    <d v="1899-12-30T06:40:00"/>
    <n v="6.666666666666667"/>
    <n v="6.75"/>
    <s v="Dinner"/>
    <s v="Augusta"/>
    <n v="1"/>
  </r>
  <r>
    <n v="1646"/>
    <s v="DD"/>
    <s v="Order"/>
    <n v="11"/>
    <s v="Sunday"/>
    <x v="674"/>
    <n v="3"/>
    <n v="23.75"/>
    <d v="1899-12-30T01:38:00"/>
    <n v="1.6333333333333333"/>
    <n v="1.75"/>
    <s v="Dinner"/>
    <s v="Augusta"/>
    <n v="1"/>
  </r>
  <r>
    <n v="1647"/>
    <s v="DD"/>
    <s v="Hourly"/>
    <n v="11"/>
    <s v="Sunday"/>
    <x v="674"/>
    <n v="1"/>
    <n v="12.08"/>
    <d v="1899-12-30T00:34:00"/>
    <n v="0.56666666666666665"/>
    <n v="0.5"/>
    <s v="Dinner"/>
    <s v="Augusta"/>
    <n v="1"/>
  </r>
  <r>
    <n v="1648"/>
    <s v="DD"/>
    <s v="Order"/>
    <n v="11"/>
    <s v="Sunday"/>
    <x v="674"/>
    <n v="1"/>
    <n v="5"/>
    <d v="1899-12-30T00:42:00"/>
    <n v="0.7"/>
    <n v="0.75"/>
    <s v="Late Night"/>
    <s v="Augusta"/>
    <n v="1"/>
  </r>
  <r>
    <n v="1649"/>
    <s v="DD"/>
    <s v="Order"/>
    <n v="12"/>
    <s v="Monday"/>
    <x v="675"/>
    <n v="7"/>
    <n v="43.5"/>
    <d v="1899-12-30T02:45:00"/>
    <n v="2.75"/>
    <n v="2.75"/>
    <s v="Dinner"/>
    <s v="Brunswick/Bath/Freeport"/>
    <n v="2"/>
  </r>
  <r>
    <n v="1650"/>
    <s v="UE"/>
    <s v="Order"/>
    <n v="12"/>
    <s v="Tuesday"/>
    <x v="676"/>
    <n v="4"/>
    <n v="52.47"/>
    <d v="1899-12-30T03:01:00"/>
    <n v="3.0166666666666666"/>
    <n v="3"/>
    <s v="Dinner"/>
    <s v="Brunswick/Bath/Freeport"/>
    <n v="2"/>
  </r>
  <r>
    <n v="1651"/>
    <s v="DD"/>
    <s v="Order"/>
    <n v="12"/>
    <s v="Tuesday"/>
    <x v="676"/>
    <n v="2"/>
    <n v="18.2"/>
    <d v="1899-12-30T01:38:00"/>
    <n v="1.6333333333333333"/>
    <n v="1.75"/>
    <s v="Dinner"/>
    <s v="Brunswick/Bath/Freeport"/>
    <n v="2"/>
  </r>
  <r>
    <n v="1652"/>
    <s v="DD"/>
    <s v="Order"/>
    <n v="12"/>
    <s v="Tuesday"/>
    <x v="676"/>
    <n v="5"/>
    <n v="35.25"/>
    <d v="1899-12-30T02:08:00"/>
    <n v="2.1333333333333333"/>
    <n v="2.25"/>
    <s v="Dinner"/>
    <s v="Brunswick/Bath/Freeport"/>
    <n v="2"/>
  </r>
  <r>
    <n v="1653"/>
    <s v="DD"/>
    <s v="Order"/>
    <n v="12"/>
    <s v="Wednesday"/>
    <x v="677"/>
    <n v="6"/>
    <n v="60.75"/>
    <d v="1899-12-30T03:27:00"/>
    <n v="3.4499999999999997"/>
    <n v="3.5"/>
    <s v="Dinner"/>
    <s v="Brunswick/Bath/Freeport"/>
    <n v="2"/>
  </r>
  <r>
    <n v="1654"/>
    <s v="UE"/>
    <s v="Order"/>
    <n v="12"/>
    <s v="Friday"/>
    <x v="678"/>
    <n v="3"/>
    <n v="74.239999999999995"/>
    <d v="1899-12-30T03:29:00"/>
    <n v="3.4833333333333334"/>
    <n v="3.5"/>
    <s v="Dinner"/>
    <s v="Augusta"/>
    <n v="1"/>
  </r>
  <r>
    <n v="1655"/>
    <s v="DD"/>
    <s v="Hourly"/>
    <n v="12"/>
    <s v="Friday"/>
    <x v="678"/>
    <n v="10"/>
    <n v="110.27"/>
    <d v="1899-12-30T05:36:00"/>
    <n v="5.6"/>
    <n v="5.5"/>
    <s v="Dinner"/>
    <s v="Augusta"/>
    <n v="1"/>
  </r>
  <r>
    <n v="1656"/>
    <s v="UE"/>
    <s v="Order"/>
    <n v="12"/>
    <s v="Saturday"/>
    <x v="679"/>
    <n v="1"/>
    <n v="16.05"/>
    <d v="1899-12-30T00:53:00"/>
    <n v="0.8833333333333333"/>
    <n v="1"/>
    <s v="Lunch"/>
    <s v="Lewiston"/>
    <n v="3"/>
  </r>
  <r>
    <n v="1657"/>
    <s v="DD"/>
    <s v="Order"/>
    <n v="12"/>
    <s v="Saturday"/>
    <x v="679"/>
    <n v="9"/>
    <n v="49.5"/>
    <d v="1899-12-30T02:54:00"/>
    <n v="2.9"/>
    <n v="3"/>
    <s v="Lunch"/>
    <s v="Lewiston"/>
    <n v="3"/>
  </r>
  <r>
    <n v="1658"/>
    <s v="UE"/>
    <s v="Order"/>
    <n v="12"/>
    <s v="Sunday"/>
    <x v="680"/>
    <n v="3"/>
    <n v="38.04"/>
    <d v="1899-12-30T02:53:00"/>
    <n v="2.8833333333333333"/>
    <n v="3"/>
    <s v="Dinner"/>
    <s v="Brunswick/Bath/Freeport"/>
    <n v="2"/>
  </r>
  <r>
    <n v="1659"/>
    <s v="DD"/>
    <s v="Order"/>
    <n v="12"/>
    <s v="Sunday"/>
    <x v="680"/>
    <n v="5"/>
    <n v="43.5"/>
    <d v="1899-12-30T02:54:00"/>
    <n v="2.9"/>
    <n v="3"/>
    <s v="Dinner"/>
    <s v="Brunswick/Bath/Freeport"/>
    <n v="2"/>
  </r>
  <r>
    <n v="1660"/>
    <s v="UE"/>
    <s v="Order"/>
    <n v="13"/>
    <s v="Monday"/>
    <x v="681"/>
    <n v="1"/>
    <n v="19.5"/>
    <d v="1899-12-30T00:54:00"/>
    <n v="0.89999999999999991"/>
    <n v="1"/>
    <s v="Dinner"/>
    <s v="Lewiston"/>
    <n v="3"/>
  </r>
  <r>
    <n v="1661"/>
    <s v="DD"/>
    <s v="Hourly"/>
    <n v="13"/>
    <s v="Monday"/>
    <x v="681"/>
    <n v="7"/>
    <n v="64.790000000000006"/>
    <d v="1899-12-30T03:16:00"/>
    <n v="3.2666666666666666"/>
    <n v="3.25"/>
    <s v="Dinner"/>
    <s v="Lewiston"/>
    <n v="3"/>
  </r>
  <r>
    <n v="1662"/>
    <s v="DD"/>
    <s v="Order"/>
    <n v="13"/>
    <s v="Monday"/>
    <x v="681"/>
    <n v="3"/>
    <n v="24.25"/>
    <d v="1899-12-30T01:27:00"/>
    <n v="1.45"/>
    <n v="1.5"/>
    <s v="Late Night"/>
    <s v="Lewiston"/>
    <n v="3"/>
  </r>
  <r>
    <n v="1663"/>
    <s v="UE"/>
    <s v="Order"/>
    <n v="13"/>
    <s v="Tuesday"/>
    <x v="682"/>
    <n v="2"/>
    <n v="25.72"/>
    <d v="1899-12-30T01:39:00"/>
    <n v="1.6500000000000001"/>
    <n v="1.75"/>
    <s v="Dinner"/>
    <s v="Lewiston"/>
    <n v="3"/>
  </r>
  <r>
    <n v="1664"/>
    <s v="DD"/>
    <s v="Order"/>
    <n v="13"/>
    <s v="Tuesday"/>
    <x v="682"/>
    <n v="1"/>
    <n v="3.1"/>
    <d v="1899-12-30T00:45:00"/>
    <n v="0.75"/>
    <n v="0.75"/>
    <s v="Dinner"/>
    <s v="Lewiston"/>
    <n v="3"/>
  </r>
  <r>
    <n v="1665"/>
    <s v="DD"/>
    <s v="Order"/>
    <n v="13"/>
    <s v="Tuesday"/>
    <x v="682"/>
    <n v="1"/>
    <n v="22.5"/>
    <d v="1899-12-30T01:03:00"/>
    <n v="1.0499999999999998"/>
    <n v="1"/>
    <s v="Dinner"/>
    <s v="Lewiston"/>
    <n v="3"/>
  </r>
  <r>
    <n v="1666"/>
    <s v="UE"/>
    <s v="Order"/>
    <n v="13"/>
    <s v="Friday"/>
    <x v="683"/>
    <n v="3"/>
    <n v="22.8"/>
    <d v="1899-12-30T01:54:00"/>
    <n v="1.9"/>
    <n v="2"/>
    <s v="Dinner"/>
    <s v="Lewiston"/>
    <n v="3"/>
  </r>
  <r>
    <n v="1667"/>
    <s v="DD"/>
    <s v="Order"/>
    <n v="13"/>
    <s v="Friday"/>
    <x v="683"/>
    <n v="6"/>
    <n v="45.69"/>
    <d v="1899-12-30T02:57:00"/>
    <n v="2.9499999999999997"/>
    <n v="3"/>
    <s v="Dinner"/>
    <s v="Lewiston"/>
    <n v="3"/>
  </r>
  <r>
    <n v="1668"/>
    <s v="UE"/>
    <s v="Order"/>
    <n v="13"/>
    <s v="Sunday"/>
    <x v="684"/>
    <n v="2"/>
    <n v="41.56"/>
    <d v="1899-12-30T02:02:00"/>
    <n v="2.0333333333333332"/>
    <n v="2"/>
    <s v="Dinner"/>
    <s v="Brunswick/Bath/Freeport"/>
    <n v="2"/>
  </r>
  <r>
    <n v="1669"/>
    <s v="DD"/>
    <s v="Order"/>
    <n v="13"/>
    <s v="Sunday"/>
    <x v="684"/>
    <n v="3"/>
    <n v="21.12"/>
    <d v="1899-12-30T00:48:00"/>
    <n v="0.8"/>
    <n v="0.75"/>
    <s v="Dinner"/>
    <s v="Brunswick/Bath/Freeport"/>
    <n v="2"/>
  </r>
  <r>
    <n v="1670"/>
    <s v="DD"/>
    <s v="Order"/>
    <n v="13"/>
    <s v="Sunday"/>
    <x v="684"/>
    <n v="6"/>
    <n v="91"/>
    <d v="1899-12-30T04:40:00"/>
    <n v="4.666666666666667"/>
    <n v="4.75"/>
    <s v="Dinner"/>
    <s v="Brunswick/Bath/Freeport"/>
    <n v="2"/>
  </r>
  <r>
    <n v="1671"/>
    <s v="UE"/>
    <s v="Order"/>
    <n v="15"/>
    <s v="Monday"/>
    <x v="685"/>
    <n v="1"/>
    <n v="39"/>
    <d v="1899-12-30T01:39:00"/>
    <n v="1.6500000000000001"/>
    <n v="1.75"/>
    <s v="Dinner"/>
    <s v="Brunswick/Bath/Freeport"/>
    <n v="2"/>
  </r>
  <r>
    <n v="1672"/>
    <s v="DD"/>
    <s v="Order"/>
    <n v="15"/>
    <s v="Monday"/>
    <x v="685"/>
    <n v="8"/>
    <n v="77.989999999999995"/>
    <d v="1899-12-30T04:48:00"/>
    <n v="4.8000000000000007"/>
    <n v="4.75"/>
    <s v="Dinner"/>
    <s v="Brunswick/Bath/Freeport"/>
    <n v="2"/>
  </r>
  <r>
    <n v="1673"/>
    <s v="UE"/>
    <s v="Order"/>
    <n v="15"/>
    <s v="Tuesday"/>
    <x v="686"/>
    <n v="11"/>
    <n v="130.44"/>
    <d v="1899-12-30T05:34:00"/>
    <n v="5.5666666666666664"/>
    <n v="5.5"/>
    <s v="Dinner"/>
    <s v="Augusta"/>
    <n v="1"/>
  </r>
  <r>
    <n v="1674"/>
    <s v="DD"/>
    <s v="Hourly"/>
    <n v="15"/>
    <s v="Friday"/>
    <x v="687"/>
    <n v="6"/>
    <n v="57.27"/>
    <d v="1899-12-30T03:54:00"/>
    <n v="3.9000000000000004"/>
    <n v="4"/>
    <s v="Dinner"/>
    <s v="Augusta"/>
    <n v="1"/>
  </r>
  <r>
    <n v="1675"/>
    <s v="UE"/>
    <s v="Order"/>
    <n v="15"/>
    <s v="Saturday"/>
    <x v="688"/>
    <n v="2"/>
    <n v="23.74"/>
    <d v="1899-12-30T02:05:00"/>
    <n v="2.083333333333333"/>
    <n v="2"/>
    <s v="Dinner"/>
    <s v="Augusta"/>
    <n v="1"/>
  </r>
  <r>
    <n v="1676"/>
    <s v="DD"/>
    <s v="Hourly"/>
    <n v="15"/>
    <s v="Saturday"/>
    <x v="688"/>
    <n v="9"/>
    <n v="89.67"/>
    <d v="1899-12-30T03:31:00"/>
    <n v="3.5166666666666666"/>
    <n v="3.5"/>
    <s v="Dinner"/>
    <s v="Augusta"/>
    <n v="1"/>
  </r>
  <r>
    <n v="1677"/>
    <s v="UE"/>
    <s v="Order"/>
    <n v="16"/>
    <s v="Monday"/>
    <x v="689"/>
    <n v="5"/>
    <n v="103.2"/>
    <d v="1899-12-30T03:20:00"/>
    <n v="3.3333333333333335"/>
    <n v="3.25"/>
    <s v="Dinner"/>
    <s v="Brunswick/Bath/Freeport"/>
    <n v="2"/>
  </r>
  <r>
    <n v="1678"/>
    <s v="DD"/>
    <s v="Order"/>
    <n v="16"/>
    <s v="Monday"/>
    <x v="689"/>
    <n v="1"/>
    <n v="6.75"/>
    <d v="1899-12-30T00:26:00"/>
    <n v="0.43333333333333329"/>
    <n v="0.5"/>
    <s v="Dinner"/>
    <s v="Brunswick/Bath/Freeport"/>
    <n v="2"/>
  </r>
  <r>
    <n v="1679"/>
    <s v="DD"/>
    <s v="Hourly"/>
    <n v="16"/>
    <s v="Monday"/>
    <x v="689"/>
    <n v="4"/>
    <n v="38.78"/>
    <d v="1899-12-30T03:30:00"/>
    <n v="3.5"/>
    <n v="3.5"/>
    <s v="Dinner"/>
    <s v="Brunswick/Bath/Freeport"/>
    <n v="2"/>
  </r>
  <r>
    <n v="1680"/>
    <s v="UE"/>
    <s v="Order"/>
    <n v="16"/>
    <s v="Wednesday"/>
    <x v="690"/>
    <n v="3"/>
    <n v="27.33"/>
    <d v="1899-12-30T02:31:00"/>
    <n v="2.5166666666666666"/>
    <n v="2.5"/>
    <s v="Dinner"/>
    <s v="Lewiston"/>
    <n v="3"/>
  </r>
  <r>
    <n v="1681"/>
    <s v="DD"/>
    <s v="Hourly"/>
    <n v="16"/>
    <s v="Wednesday"/>
    <x v="690"/>
    <n v="7"/>
    <n v="84"/>
    <d v="1899-12-30T04:28:00"/>
    <n v="4.4666666666666668"/>
    <n v="4.5"/>
    <s v="Dinner"/>
    <s v="Lewiston"/>
    <n v="3"/>
  </r>
  <r>
    <n v="1682"/>
    <s v="DD"/>
    <s v="Hourly"/>
    <n v="16"/>
    <s v="Wednesday"/>
    <x v="690"/>
    <n v="2"/>
    <n v="7.88"/>
    <d v="1899-12-30T00:32:00"/>
    <n v="0.53333333333333333"/>
    <n v="0.5"/>
    <s v="Late Night"/>
    <s v="Lewiston"/>
    <n v="3"/>
  </r>
  <r>
    <n v="1683"/>
    <s v="UE"/>
    <s v="Order"/>
    <n v="16"/>
    <s v="Thursday"/>
    <x v="691"/>
    <n v="1"/>
    <n v="11.69"/>
    <d v="1899-12-30T01:19:00"/>
    <n v="1.3166666666666667"/>
    <n v="1.25"/>
    <s v="Dinner"/>
    <s v="Lewiston"/>
    <n v="3"/>
  </r>
  <r>
    <n v="1684"/>
    <s v="DD"/>
    <s v="Order"/>
    <n v="16"/>
    <s v="Thursday"/>
    <x v="691"/>
    <n v="9"/>
    <n v="56.69"/>
    <d v="1899-12-30T03:55:00"/>
    <n v="3.916666666666667"/>
    <n v="4"/>
    <s v="Dinner"/>
    <s v="Lewiston"/>
    <n v="3"/>
  </r>
  <r>
    <n v="1685"/>
    <s v="UE"/>
    <s v="Order"/>
    <n v="17"/>
    <s v="Monday"/>
    <x v="692"/>
    <n v="3"/>
    <n v="29.25"/>
    <d v="1899-12-30T02:37:00"/>
    <n v="2.6166666666666667"/>
    <n v="2.5"/>
    <s v="Dinner"/>
    <s v="Brunswick/Bath/Freeport"/>
    <n v="2"/>
  </r>
  <r>
    <n v="1686"/>
    <s v="DD"/>
    <s v="Hourly"/>
    <n v="17"/>
    <s v="Monday"/>
    <x v="692"/>
    <n v="7"/>
    <n v="67.81"/>
    <d v="1899-12-30T03:52:00"/>
    <n v="3.8666666666666671"/>
    <n v="3.75"/>
    <s v="Dinner"/>
    <s v="Brunswick/Bath/Freeport"/>
    <n v="2"/>
  </r>
  <r>
    <n v="1687"/>
    <s v="DD"/>
    <s v="Hourly"/>
    <n v="17"/>
    <s v="Monday"/>
    <x v="692"/>
    <n v="1"/>
    <n v="5.97"/>
    <d v="1899-12-30T00:25:00"/>
    <n v="0.41666666666666669"/>
    <n v="0.5"/>
    <s v="Late Night"/>
    <s v="Brunswick/Bath/Freeport"/>
    <n v="2"/>
  </r>
  <r>
    <n v="1688"/>
    <s v="DD"/>
    <s v="Order"/>
    <n v="17"/>
    <s v="Tuesday"/>
    <x v="693"/>
    <n v="7"/>
    <n v="62.21"/>
    <d v="1899-12-30T04:05:00"/>
    <n v="4.0833333333333339"/>
    <n v="4"/>
    <s v="Dinner"/>
    <s v="Lewiston"/>
    <n v="3"/>
  </r>
  <r>
    <n v="1689"/>
    <s v="UE"/>
    <s v="Order"/>
    <n v="17"/>
    <s v="Wednesday"/>
    <x v="694"/>
    <n v="4"/>
    <n v="73.83"/>
    <d v="1899-12-30T01:30:00"/>
    <n v="1.5"/>
    <n v="1.5"/>
    <s v="Dinner"/>
    <s v="Brunswick/Bath/Freeport"/>
    <n v="2"/>
  </r>
  <r>
    <n v="1690"/>
    <s v="DD"/>
    <s v="Order"/>
    <n v="17"/>
    <s v="Wednesday"/>
    <x v="694"/>
    <n v="6"/>
    <n v="66.75"/>
    <d v="1899-12-30T04:26:00"/>
    <n v="4.4333333333333336"/>
    <n v="4.5"/>
    <s v="Dinner"/>
    <s v="Brunswick/Bath/Freeport"/>
    <n v="2"/>
  </r>
  <r>
    <n v="1691"/>
    <s v="DD"/>
    <s v="Order"/>
    <n v="17"/>
    <s v="Wednesday"/>
    <x v="694"/>
    <n v="1"/>
    <n v="6.75"/>
    <d v="1899-12-30T00:42:00"/>
    <n v="0.7"/>
    <n v="0.75"/>
    <s v="Late Night"/>
    <s v="Brunswick/Bath/Freeport"/>
    <n v="2"/>
  </r>
  <r>
    <n v="1692"/>
    <s v="UE"/>
    <s v="Order"/>
    <n v="17"/>
    <s v="Friday"/>
    <x v="695"/>
    <n v="1"/>
    <n v="9.1300000000000008"/>
    <d v="1899-12-30T01:13:00"/>
    <n v="1.2166666666666668"/>
    <n v="1.25"/>
    <s v="Dinner"/>
    <s v="Lewiston"/>
    <n v="3"/>
  </r>
  <r>
    <n v="1693"/>
    <s v="DD"/>
    <s v="Order"/>
    <n v="17"/>
    <s v="Friday"/>
    <x v="695"/>
    <n v="8"/>
    <n v="61"/>
    <d v="1899-12-30T04:31:00"/>
    <n v="4.5166666666666666"/>
    <n v="4.5"/>
    <s v="Dinner"/>
    <s v="Lewiston"/>
    <n v="3"/>
  </r>
  <r>
    <n v="1694"/>
    <s v="UE"/>
    <s v="Order"/>
    <n v="17"/>
    <s v="Saturday"/>
    <x v="696"/>
    <n v="1"/>
    <n v="10.07"/>
    <d v="1899-12-30T01:22:00"/>
    <n v="1.3666666666666667"/>
    <n v="1.25"/>
    <s v="Dinner"/>
    <s v="Augusta"/>
    <n v="1"/>
  </r>
  <r>
    <n v="1695"/>
    <s v="DD"/>
    <s v="Hourly"/>
    <n v="17"/>
    <s v="Saturday"/>
    <x v="696"/>
    <n v="1"/>
    <n v="15.08"/>
    <d v="1899-12-30T00:41:00"/>
    <n v="0.68333333333333335"/>
    <n v="0.75"/>
    <s v="Dinner"/>
    <s v="Augusta"/>
    <n v="1"/>
  </r>
  <r>
    <n v="1696"/>
    <s v="DD"/>
    <s v="Hourly"/>
    <n v="17"/>
    <s v="Saturday"/>
    <x v="696"/>
    <n v="5"/>
    <n v="66.14"/>
    <d v="1899-12-30T03:32:00"/>
    <n v="3.5333333333333332"/>
    <n v="3.5"/>
    <s v="Dinner"/>
    <s v="Augusta"/>
    <n v="1"/>
  </r>
  <r>
    <n v="1697"/>
    <s v="UE"/>
    <s v="Order"/>
    <n v="17"/>
    <s v="Sunday"/>
    <x v="697"/>
    <n v="3"/>
    <n v="32.44"/>
    <d v="1899-12-30T02:18:00"/>
    <n v="2.3000000000000003"/>
    <n v="2.25"/>
    <s v="Dinner"/>
    <s v="Augusta"/>
    <n v="1"/>
  </r>
  <r>
    <n v="1698"/>
    <s v="DD"/>
    <s v="Order"/>
    <n v="17"/>
    <s v="Sunday"/>
    <x v="697"/>
    <n v="6"/>
    <n v="48.25"/>
    <d v="1899-12-30T04:16:00"/>
    <n v="4.2666666666666666"/>
    <n v="4.25"/>
    <s v="Dinner"/>
    <s v="Augusta"/>
    <n v="1"/>
  </r>
  <r>
    <n v="1699"/>
    <s v="UE"/>
    <s v="Order"/>
    <n v="18"/>
    <s v="Monday"/>
    <x v="698"/>
    <n v="6"/>
    <n v="41.01"/>
    <d v="1899-12-30T03:37:00"/>
    <n v="3.6166666666666663"/>
    <n v="3.5"/>
    <s v="Dinner"/>
    <s v="Portland"/>
    <n v="4"/>
  </r>
  <r>
    <n v="1700"/>
    <s v="DD"/>
    <s v="Order"/>
    <n v="18"/>
    <s v="Monday"/>
    <x v="698"/>
    <n v="1"/>
    <n v="7.25"/>
    <d v="1899-12-30T02:25:00"/>
    <n v="2.416666666666667"/>
    <n v="2.5"/>
    <s v="Dinner"/>
    <s v="Portland"/>
    <n v="4"/>
  </r>
  <r>
    <n v="1701"/>
    <s v="DD"/>
    <s v="Hourly"/>
    <n v="18"/>
    <s v="Monday"/>
    <x v="698"/>
    <n v="3"/>
    <n v="38.479999999999997"/>
    <d v="1899-12-30T01:21:00"/>
    <n v="1.35"/>
    <n v="1.25"/>
    <s v="Late Night"/>
    <s v="Portland"/>
    <n v="4"/>
  </r>
  <r>
    <n v="1702"/>
    <s v="DD"/>
    <s v="Order"/>
    <n v="18"/>
    <s v="Monday"/>
    <x v="698"/>
    <n v="3"/>
    <n v="61.92"/>
    <d v="1899-12-30T02:01:00"/>
    <n v="2.0166666666666666"/>
    <n v="2"/>
    <s v="Late Night"/>
    <s v="Portland"/>
    <n v="4"/>
  </r>
  <r>
    <n v="1703"/>
    <s v="UE"/>
    <s v="Order"/>
    <n v="18"/>
    <s v="Tuesday"/>
    <x v="699"/>
    <n v="1"/>
    <n v="12.68"/>
    <d v="1899-12-30T01:27:00"/>
    <n v="1.45"/>
    <n v="1.5"/>
    <s v="Dinner"/>
    <s v="Brunswick/Bath/Freeport"/>
    <n v="2"/>
  </r>
  <r>
    <n v="1704"/>
    <s v="DD"/>
    <s v="Order"/>
    <n v="18"/>
    <s v="Tuesday"/>
    <x v="699"/>
    <n v="10"/>
    <n v="104.29"/>
    <d v="1899-12-30T05:28:00"/>
    <n v="5.4666666666666668"/>
    <n v="5.5"/>
    <s v="Dinner"/>
    <s v="Brunswick/Bath/Freeport"/>
    <n v="2"/>
  </r>
  <r>
    <n v="1705"/>
    <s v="UE"/>
    <s v="Order"/>
    <n v="18"/>
    <s v="Wednesday"/>
    <x v="700"/>
    <n v="1"/>
    <n v="22.97"/>
    <d v="1899-12-30T01:27:00"/>
    <n v="1.45"/>
    <n v="1.5"/>
    <s v="Dinner"/>
    <s v="Brunswick/Bath/Freeport"/>
    <n v="2"/>
  </r>
  <r>
    <n v="1706"/>
    <s v="DD"/>
    <s v="Hourly"/>
    <n v="18"/>
    <s v="Wednesday"/>
    <x v="700"/>
    <n v="7"/>
    <n v="62.19"/>
    <d v="1899-12-30T04:36:00"/>
    <n v="4.6000000000000005"/>
    <n v="4.5"/>
    <s v="Dinner"/>
    <s v="Brunswick/Bath/Freeport"/>
    <n v="2"/>
  </r>
  <r>
    <n v="1707"/>
    <s v="UE"/>
    <s v="Order"/>
    <n v="18"/>
    <s v="Thursday"/>
    <x v="701"/>
    <n v="2"/>
    <n v="43.14"/>
    <d v="1899-12-30T01:56:00"/>
    <n v="1.9333333333333336"/>
    <n v="2"/>
    <s v="Dinner"/>
    <s v="Brunswick/Bath/Freeport"/>
    <n v="2"/>
  </r>
  <r>
    <n v="1708"/>
    <s v="DD"/>
    <s v="Order"/>
    <n v="18"/>
    <s v="Thursday"/>
    <x v="701"/>
    <n v="2"/>
    <n v="26.65"/>
    <d v="1899-12-30T01:30:00"/>
    <n v="1.5"/>
    <n v="1.5"/>
    <s v="Dinner"/>
    <s v="Brunswick/Bath/Freeport"/>
    <n v="2"/>
  </r>
  <r>
    <n v="1709"/>
    <s v="DD"/>
    <s v="Hourly"/>
    <n v="18"/>
    <s v="Thursday"/>
    <x v="701"/>
    <n v="5"/>
    <n v="38.68"/>
    <d v="1899-12-30T01:58:00"/>
    <n v="1.9666666666666668"/>
    <n v="2"/>
    <s v="Late Night"/>
    <s v="Brunswick/Bath/Freeport"/>
    <n v="2"/>
  </r>
  <r>
    <n v="1710"/>
    <s v="UE"/>
    <s v="Order"/>
    <n v="18"/>
    <s v="Saturday"/>
    <x v="702"/>
    <n v="1"/>
    <n v="13.08"/>
    <d v="1899-12-30T00:58:00"/>
    <n v="0.96666666666666679"/>
    <n v="1"/>
    <s v="Lunch"/>
    <s v="Brunswick/Bath/Freeport"/>
    <n v="2"/>
  </r>
  <r>
    <n v="1711"/>
    <s v="DD"/>
    <s v="Order"/>
    <n v="18"/>
    <s v="Saturday"/>
    <x v="702"/>
    <n v="4"/>
    <n v="62.28"/>
    <d v="1899-12-30T03:13:00"/>
    <n v="3.2166666666666668"/>
    <n v="3.25"/>
    <s v="Lunch"/>
    <s v="Brunswick/Bath/Freeport"/>
    <n v="2"/>
  </r>
  <r>
    <n v="1712"/>
    <s v="UE"/>
    <s v="Order"/>
    <n v="18"/>
    <s v="Sunday"/>
    <x v="703"/>
    <n v="1"/>
    <n v="17.73"/>
    <d v="1899-12-30T01:24:00"/>
    <n v="1.4"/>
    <n v="1.5"/>
    <s v="Lunch"/>
    <s v="Brunswick/Bath/Freeport"/>
    <n v="2"/>
  </r>
  <r>
    <n v="1713"/>
    <s v="DD"/>
    <s v="Order"/>
    <n v="18"/>
    <s v="Sunday"/>
    <x v="703"/>
    <n v="8"/>
    <n v="71.25"/>
    <d v="1899-12-30T04:12:00"/>
    <n v="4.1999999999999993"/>
    <n v="4.25"/>
    <s v="Lunch"/>
    <s v="Brunswick/Bath/Freeport"/>
    <n v="2"/>
  </r>
  <r>
    <n v="1714"/>
    <s v="UE"/>
    <s v="Order"/>
    <n v="19"/>
    <s v="Monday"/>
    <x v="704"/>
    <n v="12"/>
    <n v="119.77"/>
    <d v="1899-12-30T07:36:00"/>
    <n v="7.6"/>
    <n v="7.5"/>
    <s v="Dinner"/>
    <s v="Portland"/>
    <n v="4"/>
  </r>
  <r>
    <n v="1715"/>
    <s v="UE"/>
    <s v="Order"/>
    <n v="19"/>
    <s v="Tuesday"/>
    <x v="705"/>
    <n v="3"/>
    <n v="35.56"/>
    <d v="1899-12-30T02:22:00"/>
    <n v="2.3666666666666667"/>
    <n v="2.25"/>
    <s v="Dinner"/>
    <s v="Brunswick/Bath/Freeport"/>
    <n v="2"/>
  </r>
  <r>
    <n v="1716"/>
    <s v="DD"/>
    <s v="Hourly"/>
    <n v="19"/>
    <s v="Tuesday"/>
    <x v="705"/>
    <n v="7"/>
    <n v="64.56"/>
    <d v="1899-12-30T04:11:00"/>
    <n v="4.1833333333333336"/>
    <n v="4.25"/>
    <s v="Dinner"/>
    <s v="Brunswick/Bath/Freeport"/>
    <n v="2"/>
  </r>
  <r>
    <n v="1717"/>
    <s v="UE"/>
    <s v="Order"/>
    <n v="19"/>
    <s v="Wednesday"/>
    <x v="706"/>
    <n v="5"/>
    <n v="35.270000000000003"/>
    <d v="1899-12-30T03:09:00"/>
    <n v="3.1500000000000004"/>
    <n v="3.25"/>
    <s v="Dinner"/>
    <s v="Brunswick/Bath/Freeport"/>
    <n v="2"/>
  </r>
  <r>
    <n v="1718"/>
    <s v="DD"/>
    <s v="Order"/>
    <n v="19"/>
    <s v="Wednesday"/>
    <x v="706"/>
    <n v="2"/>
    <n v="29"/>
    <d v="1899-12-30T02:30:00"/>
    <n v="2.5"/>
    <n v="2.5"/>
    <s v="Dinner"/>
    <s v="Brunswick/Bath/Freeport"/>
    <n v="2"/>
  </r>
  <r>
    <n v="1719"/>
    <s v="DD"/>
    <s v="Order"/>
    <n v="19"/>
    <s v="Wednesday"/>
    <x v="706"/>
    <n v="2"/>
    <n v="15"/>
    <d v="1899-12-30T01:08:00"/>
    <n v="1.1333333333333333"/>
    <n v="1.25"/>
    <s v="Late Night"/>
    <s v="Brunswick/Bath/Freeport"/>
    <n v="2"/>
  </r>
  <r>
    <n v="1720"/>
    <s v="DD"/>
    <s v="Order"/>
    <n v="19"/>
    <s v="Wednesday"/>
    <x v="706"/>
    <n v="2"/>
    <n v="26.75"/>
    <d v="1899-12-30T01:49:00"/>
    <n v="1.8166666666666664"/>
    <n v="1.75"/>
    <s v="Late Night"/>
    <s v="Brunswick/Bath/Freeport"/>
    <n v="2"/>
  </r>
  <r>
    <n v="1721"/>
    <s v="UE"/>
    <s v="Order"/>
    <n v="19"/>
    <s v="Thursday"/>
    <x v="707"/>
    <n v="5"/>
    <n v="50.45"/>
    <d v="1899-12-30T03:09:00"/>
    <n v="3.1500000000000004"/>
    <n v="3.25"/>
    <s v="Dinner"/>
    <s v="Brunswick/Bath/Freeport"/>
    <n v="2"/>
  </r>
  <r>
    <n v="1722"/>
    <s v="DD"/>
    <s v="Order"/>
    <n v="19"/>
    <s v="Thursday"/>
    <x v="707"/>
    <n v="8"/>
    <n v="98.62"/>
    <d v="1899-12-30T05:45:00"/>
    <n v="5.75"/>
    <n v="5.75"/>
    <s v="Dinner"/>
    <s v="Brunswick/Bath/Freeport"/>
    <n v="2"/>
  </r>
  <r>
    <n v="1723"/>
    <s v="UE"/>
    <s v="Order"/>
    <n v="19"/>
    <s v="Saturday"/>
    <x v="708"/>
    <n v="5"/>
    <n v="83.42"/>
    <d v="1899-12-30T04:18:00"/>
    <n v="4.3"/>
    <n v="4.25"/>
    <s v="Dinner"/>
    <s v="Lewiston"/>
    <n v="3"/>
  </r>
  <r>
    <n v="1724"/>
    <s v="DD"/>
    <s v="Hourly"/>
    <n v="19"/>
    <s v="Saturday"/>
    <x v="708"/>
    <n v="1"/>
    <n v="12.66"/>
    <d v="1899-12-30T01:16:00"/>
    <n v="1.2666666666666666"/>
    <n v="1.25"/>
    <s v="Dinner"/>
    <s v="Lewiston"/>
    <n v="3"/>
  </r>
  <r>
    <n v="1725"/>
    <s v="UE"/>
    <s v="Order"/>
    <n v="19"/>
    <s v="Sunday"/>
    <x v="709"/>
    <n v="2"/>
    <n v="9.69"/>
    <d v="1899-12-30T01:06:00"/>
    <n v="1.0999999999999999"/>
    <n v="1"/>
    <s v="Lunch"/>
    <s v="Brunswick/Bath/Freeport"/>
    <n v="2"/>
  </r>
  <r>
    <n v="1726"/>
    <s v="DD"/>
    <s v="Order"/>
    <n v="19"/>
    <s v="Sunday"/>
    <x v="709"/>
    <n v="8"/>
    <n v="116.86"/>
    <d v="1899-12-30T04:14:00"/>
    <n v="4.2333333333333334"/>
    <n v="4.25"/>
    <s v="Dinner"/>
    <s v="Brunswick/Bath/Freeport"/>
    <n v="2"/>
  </r>
  <r>
    <n v="1727"/>
    <s v="DD"/>
    <s v="Order"/>
    <n v="20"/>
    <s v="Monday"/>
    <x v="710"/>
    <n v="6"/>
    <n v="71.73"/>
    <d v="1899-12-30T03:36:00"/>
    <n v="3.5999999999999996"/>
    <n v="3.5"/>
    <s v="Dinner"/>
    <s v="Brunswick/Bath/Freeport"/>
    <n v="2"/>
  </r>
  <r>
    <n v="1728"/>
    <s v="UE"/>
    <s v="Order"/>
    <n v="20"/>
    <s v="Tuesday"/>
    <x v="711"/>
    <n v="6"/>
    <n v="73.34"/>
    <d v="1899-12-30T02:59:00"/>
    <n v="2.9833333333333334"/>
    <n v="3"/>
    <s v="Dinner"/>
    <s v="Brunswick/Bath/Freeport"/>
    <n v="2"/>
  </r>
  <r>
    <n v="1729"/>
    <s v="DD"/>
    <s v="Order"/>
    <n v="20"/>
    <s v="Tuesday"/>
    <x v="711"/>
    <n v="4"/>
    <n v="32.25"/>
    <d v="1899-12-30T02:06:00"/>
    <n v="2.0999999999999996"/>
    <n v="2"/>
    <s v="Dinner"/>
    <s v="Brunswick/Bath/Freeport"/>
    <n v="2"/>
  </r>
  <r>
    <n v="1730"/>
    <s v="DD"/>
    <s v="Order"/>
    <n v="20"/>
    <s v="Tuesday"/>
    <x v="711"/>
    <n v="2"/>
    <n v="14.75"/>
    <d v="1899-12-30T01:38:00"/>
    <n v="1.6333333333333333"/>
    <n v="1.75"/>
    <s v="Late Night"/>
    <s v="Brunswick/Bath/Freeport"/>
    <n v="2"/>
  </r>
  <r>
    <n v="1731"/>
    <s v="UE"/>
    <s v="Order"/>
    <n v="20"/>
    <s v="Wednesday"/>
    <x v="712"/>
    <n v="1"/>
    <n v="11.02"/>
    <d v="1899-12-30T02:59:00"/>
    <n v="2.9833333333333334"/>
    <n v="3"/>
    <s v="Dinner"/>
    <s v="Brunswick/Bath/Freeport"/>
    <n v="2"/>
  </r>
  <r>
    <n v="1732"/>
    <s v="DD"/>
    <s v="Order"/>
    <n v="20"/>
    <s v="Wednesday"/>
    <x v="712"/>
    <n v="11"/>
    <n v="106"/>
    <d v="1899-12-30T04:47:00"/>
    <n v="4.7833333333333332"/>
    <n v="4.75"/>
    <s v="Dinner"/>
    <s v="Brunswick/Bath/Freeport"/>
    <n v="2"/>
  </r>
  <r>
    <n v="1733"/>
    <s v="DD"/>
    <s v="Order"/>
    <n v="20"/>
    <s v="Friday"/>
    <x v="713"/>
    <n v="17"/>
    <n v="151.47"/>
    <d v="1899-12-30T07:23:00"/>
    <n v="7.3833333333333337"/>
    <n v="7.5"/>
    <s v="Dinner"/>
    <s v="Brunswick/Bath/Freeport"/>
    <n v="2"/>
  </r>
  <r>
    <n v="1734"/>
    <s v="UE"/>
    <s v="Order"/>
    <n v="20"/>
    <s v="Saturday"/>
    <x v="714"/>
    <n v="1"/>
    <n v="10.69"/>
    <d v="1899-12-30T01:52:00"/>
    <n v="1.8666666666666667"/>
    <n v="1.75"/>
    <s v="Dinner"/>
    <s v="Lewiston"/>
    <n v="3"/>
  </r>
  <r>
    <n v="1735"/>
    <s v="DD"/>
    <s v="Order"/>
    <n v="20"/>
    <s v="Saturday"/>
    <x v="714"/>
    <n v="14"/>
    <n v="124.12"/>
    <d v="1899-12-30T05:32:00"/>
    <n v="5.5333333333333332"/>
    <n v="5.5"/>
    <s v="Dinner"/>
    <s v="Lewiston"/>
    <n v="3"/>
  </r>
  <r>
    <n v="1736"/>
    <s v="UE"/>
    <s v="Order"/>
    <n v="21"/>
    <s v="Tuesday"/>
    <x v="715"/>
    <n v="3"/>
    <n v="53.04"/>
    <d v="1899-12-30T02:27:00"/>
    <n v="2.4500000000000002"/>
    <n v="2.5"/>
    <s v="Dinner"/>
    <s v="Brunswick/Bath/Freeport"/>
    <n v="2"/>
  </r>
  <r>
    <n v="1737"/>
    <s v="DD"/>
    <s v="Order"/>
    <n v="21"/>
    <s v="Tuesday"/>
    <x v="715"/>
    <n v="6"/>
    <n v="56.12"/>
    <d v="1899-12-30T04:19:00"/>
    <n v="4.3166666666666664"/>
    <n v="4.25"/>
    <s v="Dinner"/>
    <s v="Brunswick/Bath/Freeport"/>
    <n v="2"/>
  </r>
  <r>
    <n v="1738"/>
    <s v="UE"/>
    <s v="Order"/>
    <n v="21"/>
    <s v="Wednesday"/>
    <x v="716"/>
    <n v="1"/>
    <n v="16.09"/>
    <d v="1899-12-30T02:46:00"/>
    <n v="2.7666666666666666"/>
    <n v="2.75"/>
    <s v="Dinner"/>
    <s v="Augusta"/>
    <n v="1"/>
  </r>
  <r>
    <n v="1739"/>
    <s v="DD"/>
    <s v="Hourly"/>
    <n v="21"/>
    <s v="Wednesday"/>
    <x v="716"/>
    <n v="7"/>
    <n v="69.69"/>
    <d v="1899-12-30T05:01:00"/>
    <n v="5.0166666666666666"/>
    <n v="5"/>
    <s v="Dinner"/>
    <s v="Augusta"/>
    <n v="1"/>
  </r>
  <r>
    <n v="1740"/>
    <s v="UD"/>
    <s v="Order"/>
    <n v="21"/>
    <s v="Thursday"/>
    <x v="717"/>
    <n v="5"/>
    <n v="87.62"/>
    <d v="1899-12-30T04:39:00"/>
    <n v="4.6500000000000004"/>
    <n v="4.75"/>
    <s v="Dinner"/>
    <s v="Brunswick/Bath/Freeport"/>
    <n v="2"/>
  </r>
  <r>
    <n v="1741"/>
    <s v="DD"/>
    <s v="Order"/>
    <n v="21"/>
    <s v="Thursday"/>
    <x v="717"/>
    <n v="2"/>
    <n v="32.25"/>
    <d v="1899-12-30T01:52:00"/>
    <n v="1.8666666666666667"/>
    <n v="1.75"/>
    <s v="Late Night"/>
    <s v="Brunswick/Bath/Freeport"/>
    <n v="2"/>
  </r>
  <r>
    <n v="1742"/>
    <s v="UE"/>
    <s v="Order"/>
    <n v="22"/>
    <s v="Monday"/>
    <x v="718"/>
    <n v="4"/>
    <n v="50.05"/>
    <d v="1899-12-30T03:12:00"/>
    <n v="3.2"/>
    <n v="3.25"/>
    <s v="Dinner"/>
    <s v="Brunswick/Bath/Freeport"/>
    <n v="2"/>
  </r>
  <r>
    <n v="1743"/>
    <s v="DD"/>
    <s v="Order"/>
    <n v="22"/>
    <s v="Monday"/>
    <x v="718"/>
    <n v="3"/>
    <n v="33.75"/>
    <d v="1899-12-30T02:40:00"/>
    <n v="2.6666666666666665"/>
    <n v="2.75"/>
    <s v="Lunch"/>
    <s v="Brunswick/Bath/Freeport"/>
    <n v="2"/>
  </r>
  <r>
    <n v="1744"/>
    <s v="DD"/>
    <s v="Order"/>
    <n v="22"/>
    <s v="Monday"/>
    <x v="718"/>
    <n v="3"/>
    <n v="34.25"/>
    <d v="1899-12-30T03:33:00"/>
    <n v="3.55"/>
    <n v="3.5"/>
    <s v="Late Night"/>
    <s v="Brunswick/Bath/Freeport"/>
    <n v="2"/>
  </r>
  <r>
    <n v="1745"/>
    <s v="UE"/>
    <s v="Order"/>
    <n v="22"/>
    <s v="Tuesday"/>
    <x v="719"/>
    <n v="5"/>
    <n v="91.43"/>
    <d v="1899-12-30T04:33:00"/>
    <n v="4.55"/>
    <n v="4.5"/>
    <s v="Dinner"/>
    <s v="Brunswick/Bath/Freeport"/>
    <n v="2"/>
  </r>
  <r>
    <n v="1746"/>
    <s v="DD"/>
    <s v="Order"/>
    <n v="22"/>
    <s v="Tuesday"/>
    <x v="719"/>
    <n v="2"/>
    <n v="11.5"/>
    <d v="1899-12-30T02:24:00"/>
    <n v="2.4000000000000004"/>
    <n v="2.5"/>
    <s v="Late Night"/>
    <s v="Brunswick/Bath/Freeport"/>
    <n v="2"/>
  </r>
  <r>
    <n v="1747"/>
    <s v="UE"/>
    <s v="Order"/>
    <n v="22"/>
    <s v="Wednesday"/>
    <x v="720"/>
    <n v="3"/>
    <n v="67.23"/>
    <d v="1899-12-30T03:15:00"/>
    <n v="3.25"/>
    <n v="3.25"/>
    <s v="Dinner"/>
    <s v="Portland"/>
    <n v="4"/>
  </r>
  <r>
    <n v="1748"/>
    <s v="DD"/>
    <s v="Order"/>
    <n v="22"/>
    <s v="Wednesday"/>
    <x v="720"/>
    <n v="8"/>
    <n v="67"/>
    <d v="1899-12-30T02:52:00"/>
    <n v="2.8666666666666667"/>
    <n v="2.75"/>
    <s v="Dinner"/>
    <s v="Portland"/>
    <n v="4"/>
  </r>
  <r>
    <n v="1749"/>
    <s v="DD"/>
    <s v="Order"/>
    <n v="22"/>
    <s v="Thursday"/>
    <x v="721"/>
    <n v="7"/>
    <n v="94.79"/>
    <d v="1899-12-30T05:00:00"/>
    <n v="5"/>
    <n v="5"/>
    <s v="Dinner"/>
    <s v="Brunswick/Bath/Freeport"/>
    <n v="2"/>
  </r>
  <r>
    <n v="1750"/>
    <s v="UE"/>
    <s v="Order"/>
    <n v="22"/>
    <s v="Friday"/>
    <x v="722"/>
    <n v="4"/>
    <n v="57.58"/>
    <d v="1899-12-30T01:46:00"/>
    <n v="1.7666666666666666"/>
    <n v="1.75"/>
    <s v="Dinner"/>
    <s v="Brunswick/Bath/Freeport"/>
    <n v="2"/>
  </r>
  <r>
    <n v="1751"/>
    <s v="DD"/>
    <s v="Order"/>
    <n v="22"/>
    <s v="Friday"/>
    <x v="722"/>
    <n v="10"/>
    <n v="86.76"/>
    <d v="1899-12-30T06:58:00"/>
    <n v="6.9666666666666668"/>
    <n v="7"/>
    <s v="Dinner"/>
    <s v="Brunswick/Bath/Freeport"/>
    <n v="2"/>
  </r>
  <r>
    <n v="1752"/>
    <s v="UE"/>
    <s v="Order"/>
    <n v="22"/>
    <s v="Sunday"/>
    <x v="723"/>
    <n v="1"/>
    <n v="12.01"/>
    <d v="1899-12-30T01:26:00"/>
    <n v="1.4333333333333333"/>
    <n v="1.5"/>
    <s v="Dinner"/>
    <s v="Brunswick/Bath/Freeport"/>
    <n v="2"/>
  </r>
  <r>
    <n v="1753"/>
    <s v="DD"/>
    <s v="Order"/>
    <n v="22"/>
    <s v="Sunday"/>
    <x v="723"/>
    <n v="2"/>
    <n v="20.75"/>
    <d v="1899-12-30T01:40:00"/>
    <n v="1.6666666666666667"/>
    <n v="1.75"/>
    <s v="Dinner"/>
    <s v="Brunswick/Bath/Freeport"/>
    <n v="2"/>
  </r>
  <r>
    <n v="1754"/>
    <s v="DD"/>
    <s v="Hourly"/>
    <n v="22"/>
    <s v="Sunday"/>
    <x v="723"/>
    <n v="6"/>
    <n v="34.409999999999997"/>
    <d v="1899-12-30T01:46:00"/>
    <n v="1.7666666666666666"/>
    <n v="1.75"/>
    <s v="Dinner"/>
    <s v="Brunswick/Bath/Freeport"/>
    <n v="2"/>
  </r>
  <r>
    <n v="1755"/>
    <s v="DD"/>
    <s v="Hourly"/>
    <n v="23"/>
    <s v="Monday"/>
    <x v="724"/>
    <n v="7"/>
    <n v="101.22"/>
    <d v="1899-12-30T04:10:00"/>
    <n v="4.1666666666666661"/>
    <n v="4.25"/>
    <s v="Dinner"/>
    <s v="Brunswick/Bath/Freeport"/>
    <n v="2"/>
  </r>
  <r>
    <n v="1756"/>
    <s v="UE"/>
    <s v="Order"/>
    <n v="23"/>
    <s v="Tuesday"/>
    <x v="725"/>
    <n v="2"/>
    <n v="35.04"/>
    <d v="1899-12-30T02:35:00"/>
    <n v="2.5833333333333335"/>
    <n v="2.5"/>
    <s v="Dinner"/>
    <s v="Brunswick/Bath/Freeport"/>
    <n v="2"/>
  </r>
  <r>
    <n v="1757"/>
    <s v="DD"/>
    <s v="Hourly"/>
    <n v="23"/>
    <s v="Tuesday"/>
    <x v="725"/>
    <n v="5"/>
    <n v="79.17"/>
    <d v="1899-12-30T04:45:00"/>
    <n v="4.75"/>
    <n v="4.75"/>
    <s v="Dinner"/>
    <s v="Brunswick/Bath/Freeport"/>
    <n v="2"/>
  </r>
  <r>
    <n v="1758"/>
    <s v="UE"/>
    <s v="Order"/>
    <n v="23"/>
    <s v="Wednesday"/>
    <x v="726"/>
    <n v="1"/>
    <n v="18.59"/>
    <d v="1899-12-30T01:22:00"/>
    <n v="1.3666666666666667"/>
    <n v="1.25"/>
    <s v="Late Night"/>
    <s v="Lewiston"/>
    <n v="3"/>
  </r>
  <r>
    <n v="1759"/>
    <s v="DD"/>
    <s v="Order"/>
    <n v="23"/>
    <s v="Wednesday"/>
    <x v="726"/>
    <n v="11"/>
    <n v="91"/>
    <d v="1899-12-30T04:50:00"/>
    <n v="4.8333333333333339"/>
    <n v="4.75"/>
    <s v="Dinner"/>
    <s v="Lewiston"/>
    <n v="3"/>
  </r>
  <r>
    <n v="1760"/>
    <s v="UE"/>
    <s v="Order"/>
    <n v="23"/>
    <s v="Friday"/>
    <x v="727"/>
    <n v="2"/>
    <n v="23.07"/>
    <d v="1899-12-30T01:07:00"/>
    <n v="1.1166666666666667"/>
    <n v="1"/>
    <s v="Dinner"/>
    <s v="Lewiston"/>
    <n v="3"/>
  </r>
  <r>
    <n v="1761"/>
    <s v="DD"/>
    <s v="Order"/>
    <n v="23"/>
    <s v="Friday"/>
    <x v="727"/>
    <n v="12"/>
    <n v="67.25"/>
    <d v="1899-12-30T04:57:00"/>
    <n v="4.9499999999999993"/>
    <n v="5"/>
    <s v="Dinner"/>
    <s v="Lewiston"/>
    <n v="3"/>
  </r>
  <r>
    <n v="1762"/>
    <s v="UE"/>
    <s v="Order"/>
    <n v="23"/>
    <s v="Saturday"/>
    <x v="728"/>
    <n v="5"/>
    <n v="59.29"/>
    <d v="1899-12-30T03:31:00"/>
    <n v="3.5166666666666666"/>
    <n v="3.5"/>
    <s v="Lunch"/>
    <s v="Brunswick/Bath/Freeport"/>
    <n v="2"/>
  </r>
  <r>
    <n v="1763"/>
    <s v="DD"/>
    <s v="Order"/>
    <n v="23"/>
    <s v="Saturday"/>
    <x v="728"/>
    <n v="8"/>
    <n v="78.64"/>
    <d v="1899-12-30T05:56:00"/>
    <n v="5.9333333333333336"/>
    <n v="6"/>
    <s v="Lunch"/>
    <s v="Brunswick/Bath/Freeport"/>
    <n v="2"/>
  </r>
  <r>
    <n v="1764"/>
    <s v="DD"/>
    <s v="Order"/>
    <n v="24"/>
    <s v="Monday"/>
    <x v="729"/>
    <n v="15"/>
    <n v="122.51"/>
    <d v="1899-12-30T06:03:00"/>
    <n v="6.05"/>
    <n v="6"/>
    <s v="Dinner"/>
    <s v="Lewiston"/>
    <n v="3"/>
  </r>
  <r>
    <n v="1765"/>
    <s v="UE"/>
    <s v="Order"/>
    <n v="24"/>
    <s v="Tuesday"/>
    <x v="730"/>
    <n v="6"/>
    <n v="76.64"/>
    <d v="1899-12-30T03:19:00"/>
    <n v="3.3166666666666669"/>
    <n v="3.25"/>
    <s v="Dinner"/>
    <s v="Brunswick/Bath/Freeport"/>
    <n v="2"/>
  </r>
  <r>
    <n v="1766"/>
    <s v="DD"/>
    <s v="Order"/>
    <n v="24"/>
    <s v="Tuesday"/>
    <x v="730"/>
    <n v="2"/>
    <n v="16.420000000000002"/>
    <d v="1899-12-30T01:40:00"/>
    <n v="1.6666666666666667"/>
    <n v="1.75"/>
    <s v="Dinner"/>
    <s v="Brunswick/Bath/Freeport"/>
    <n v="2"/>
  </r>
  <r>
    <n v="1767"/>
    <s v="UE"/>
    <s v="Order"/>
    <n v="24"/>
    <s v="Thursday"/>
    <x v="731"/>
    <n v="2"/>
    <n v="59.55"/>
    <d v="1899-12-30T03:05:00"/>
    <n v="3.083333333333333"/>
    <n v="3"/>
    <s v="Dinner"/>
    <s v="Brunswick/Bath/Freeport"/>
    <n v="2"/>
  </r>
  <r>
    <n v="1768"/>
    <s v="DD"/>
    <s v="Hourly"/>
    <n v="24"/>
    <s v="Thursday"/>
    <x v="731"/>
    <n v="10"/>
    <n v="100.93"/>
    <d v="1899-12-30T04:49:00"/>
    <n v="4.8166666666666664"/>
    <n v="4.75"/>
    <s v="Dinner"/>
    <s v="Brunswick/Bath/Freeport"/>
    <n v="2"/>
  </r>
  <r>
    <n v="1769"/>
    <s v="UE"/>
    <s v="Order"/>
    <n v="24"/>
    <s v="Friday"/>
    <x v="732"/>
    <n v="1"/>
    <n v="13.26"/>
    <d v="1899-12-30T01:56:00"/>
    <n v="1.9333333333333336"/>
    <n v="2"/>
    <s v="Dinner"/>
    <s v="Lewiston"/>
    <n v="3"/>
  </r>
  <r>
    <n v="1770"/>
    <s v="DD"/>
    <s v="Hourly"/>
    <n v="24"/>
    <s v="Friday"/>
    <x v="732"/>
    <n v="5"/>
    <n v="94.87"/>
    <d v="1899-12-30T04:35:00"/>
    <n v="4.583333333333333"/>
    <n v="4.5"/>
    <s v="Dinner"/>
    <s v="Lewiston"/>
    <n v="3"/>
  </r>
  <r>
    <n v="1771"/>
    <s v="UE"/>
    <s v="Order"/>
    <n v="25"/>
    <s v="Monday"/>
    <x v="733"/>
    <n v="3"/>
    <n v="55.1"/>
    <d v="1899-12-30T02:28:00"/>
    <n v="2.4666666666666668"/>
    <n v="2.5"/>
    <s v="Dinner"/>
    <s v="Brunswick/Bath/Freeport"/>
    <n v="2"/>
  </r>
  <r>
    <n v="1772"/>
    <s v="DD"/>
    <s v="Order"/>
    <n v="25"/>
    <s v="Monday"/>
    <x v="733"/>
    <n v="5"/>
    <n v="56.5"/>
    <d v="1899-12-30T04:43:00"/>
    <n v="4.7166666666666668"/>
    <n v="4.75"/>
    <s v="Dinner"/>
    <s v="Brunswick/Bath/Freeport"/>
    <n v="2"/>
  </r>
  <r>
    <n v="1773"/>
    <s v="DD"/>
    <s v="Order"/>
    <n v="25"/>
    <s v="Monday"/>
    <x v="733"/>
    <n v="1"/>
    <n v="7"/>
    <d v="1899-12-30T00:14:00"/>
    <n v="0.23333333333333334"/>
    <n v="0.25"/>
    <s v="Late Night"/>
    <s v="Brunswick/Bath/Freeport"/>
    <n v="2"/>
  </r>
  <r>
    <n v="1774"/>
    <s v="UE"/>
    <s v="Order"/>
    <n v="25"/>
    <s v="Thursday"/>
    <x v="734"/>
    <n v="2"/>
    <n v="18.89"/>
    <d v="1899-12-30T02:04:00"/>
    <n v="2.0666666666666664"/>
    <n v="2"/>
    <s v="Dinner"/>
    <s v="Augusta"/>
    <n v="1"/>
  </r>
  <r>
    <n v="1775"/>
    <s v="DD"/>
    <s v="Order"/>
    <n v="25"/>
    <s v="Thursday"/>
    <x v="734"/>
    <n v="3"/>
    <n v="23.45"/>
    <d v="1899-12-30T01:30:00"/>
    <n v="1.5"/>
    <n v="1.5"/>
    <s v="Dinner"/>
    <s v="Augusta"/>
    <n v="1"/>
  </r>
  <r>
    <n v="1776"/>
    <s v="UE"/>
    <s v="Order"/>
    <n v="25"/>
    <s v="Saturday"/>
    <x v="735"/>
    <n v="5"/>
    <n v="89.59"/>
    <d v="1899-12-30T03:29:00"/>
    <n v="3.4833333333333334"/>
    <n v="3.5"/>
    <s v="Dinner"/>
    <s v="Brunswick/Bath/Freeport"/>
    <n v="2"/>
  </r>
  <r>
    <n v="1777"/>
    <s v="DD"/>
    <s v="Order"/>
    <n v="25"/>
    <s v="Saturday"/>
    <x v="735"/>
    <n v="8"/>
    <n v="96.03"/>
    <d v="1899-12-30T07:36:00"/>
    <n v="7.6"/>
    <n v="7.5"/>
    <s v="Dinner"/>
    <s v="Brunswick/Bath/Freeport"/>
    <n v="2"/>
  </r>
  <r>
    <n v="1778"/>
    <s v="UE"/>
    <s v="Order"/>
    <n v="25"/>
    <s v="Sunday"/>
    <x v="736"/>
    <n v="7"/>
    <n v="67.63"/>
    <d v="1899-12-30T03:53:00"/>
    <n v="3.8833333333333337"/>
    <n v="4"/>
    <s v="Lunch"/>
    <s v="Brunswick/Bath/Freeport"/>
    <n v="2"/>
  </r>
  <r>
    <n v="1779"/>
    <s v="DD"/>
    <s v="Order"/>
    <n v="25"/>
    <s v="Sunday"/>
    <x v="736"/>
    <n v="2"/>
    <n v="18.25"/>
    <d v="1899-12-30T03:18:00"/>
    <n v="3.3000000000000003"/>
    <n v="3.25"/>
    <s v="Lunch"/>
    <s v="Brunswick/Bath/Freeport"/>
    <n v="2"/>
  </r>
  <r>
    <n v="1780"/>
    <s v="UE"/>
    <s v="Hourly"/>
    <n v="26"/>
    <s v="Monday"/>
    <x v="737"/>
    <n v="1"/>
    <n v="21.79"/>
    <d v="1899-12-30T02:28:00"/>
    <n v="2.4666666666666668"/>
    <n v="2.5"/>
    <s v="Dinner"/>
    <s v="Brunswick/Bath/Freeport"/>
    <n v="2"/>
  </r>
  <r>
    <n v="1781"/>
    <s v="DD"/>
    <s v="Order"/>
    <n v="26"/>
    <s v="Monday"/>
    <x v="737"/>
    <n v="6"/>
    <n v="55.75"/>
    <d v="1899-12-30T04:01:00"/>
    <n v="4.0166666666666666"/>
    <n v="4"/>
    <s v="Dinner"/>
    <s v="Brunswick/Bath/Freeport"/>
    <n v="2"/>
  </r>
  <r>
    <n v="1782"/>
    <s v="UE"/>
    <s v="Hourly"/>
    <n v="26"/>
    <s v="Tuesday"/>
    <x v="738"/>
    <n v="9"/>
    <n v="132"/>
    <d v="1899-12-30T05:40:00"/>
    <n v="5.6666666666666661"/>
    <n v="5.75"/>
    <s v="Dinner"/>
    <s v="Portland"/>
    <n v="4"/>
  </r>
  <r>
    <n v="1783"/>
    <s v="UE"/>
    <s v="Hourly"/>
    <n v="26"/>
    <s v="Wednesday"/>
    <x v="739"/>
    <n v="4"/>
    <n v="37.770000000000003"/>
    <d v="1899-12-30T02:12:00"/>
    <n v="2.1999999999999997"/>
    <n v="2.25"/>
    <s v="Dinner"/>
    <s v="Lewiston"/>
    <n v="3"/>
  </r>
  <r>
    <n v="1784"/>
    <s v="DD"/>
    <s v="Hourly"/>
    <n v="26"/>
    <s v="Wednesday"/>
    <x v="739"/>
    <n v="5"/>
    <n v="38.729999999999997"/>
    <d v="1899-12-30T02:56:00"/>
    <n v="2.9333333333333331"/>
    <n v="3"/>
    <s v="Dinner"/>
    <s v="Lewiston"/>
    <n v="3"/>
  </r>
  <r>
    <n v="1785"/>
    <s v="UE"/>
    <s v="Order"/>
    <n v="26"/>
    <s v="Friday"/>
    <x v="740"/>
    <n v="1"/>
    <n v="32.86"/>
    <d v="1899-12-30T02:31:00"/>
    <n v="2.5166666666666666"/>
    <n v="2.5"/>
    <s v="Dinner"/>
    <s v="Portland"/>
    <n v="4"/>
  </r>
  <r>
    <n v="1786"/>
    <s v="DD"/>
    <s v="Hourly"/>
    <n v="26"/>
    <s v="Friday"/>
    <x v="740"/>
    <n v="16"/>
    <n v="183.95"/>
    <d v="1899-12-30T09:05:00"/>
    <n v="9.0833333333333321"/>
    <n v="9"/>
    <s v="Dinner"/>
    <s v="Portland"/>
    <n v="4"/>
  </r>
  <r>
    <n v="1787"/>
    <s v="DD"/>
    <s v="Hourly"/>
    <n v="26"/>
    <s v="Saturday"/>
    <x v="741"/>
    <n v="2"/>
    <n v="25.87"/>
    <d v="1899-12-30T01:24:00"/>
    <n v="1.4"/>
    <n v="1.5"/>
    <s v="Dinner"/>
    <s v="Portland"/>
    <n v="4"/>
  </r>
  <r>
    <n v="1788"/>
    <s v="UE"/>
    <s v="Hourly"/>
    <n v="26"/>
    <s v="Sunday"/>
    <x v="742"/>
    <n v="1"/>
    <n v="8.81"/>
    <d v="1899-12-30T00:24:00"/>
    <n v="0.4"/>
    <n v="0.5"/>
    <s v="Lunch"/>
    <s v="Brunswick/Bath/Freeport"/>
    <n v="2"/>
  </r>
  <r>
    <n v="1789"/>
    <s v="UE"/>
    <s v="Order"/>
    <n v="26"/>
    <s v="Sunday"/>
    <x v="742"/>
    <n v="1"/>
    <n v="15.36"/>
    <d v="1899-12-30T00:36:00"/>
    <n v="0.60000000000000009"/>
    <n v="0.5"/>
    <s v="Lunch"/>
    <s v="Brunswick/Bath/Freeport"/>
    <n v="2"/>
  </r>
  <r>
    <n v="1790"/>
    <s v="DD"/>
    <s v="Order"/>
    <n v="26"/>
    <s v="Sunday"/>
    <x v="742"/>
    <n v="5"/>
    <n v="55"/>
    <d v="1899-12-30T04:36:00"/>
    <n v="4.6000000000000005"/>
    <n v="4.5"/>
    <s v="Lunch"/>
    <s v="Brunswick/Bath/Freeport"/>
    <n v="2"/>
  </r>
  <r>
    <n v="1791"/>
    <s v="UE"/>
    <s v="Hourly"/>
    <n v="27"/>
    <s v="Monday"/>
    <x v="743"/>
    <n v="6"/>
    <n v="64.709999999999994"/>
    <d v="1899-12-30T02:18:00"/>
    <n v="2.2999999999999998"/>
    <n v="2.25"/>
    <s v="Dinner"/>
    <s v="Portland"/>
    <n v="4"/>
  </r>
  <r>
    <n v="1792"/>
    <s v="UE"/>
    <s v="Order"/>
    <n v="27"/>
    <s v="Monday"/>
    <x v="743"/>
    <n v="1"/>
    <n v="58.92"/>
    <d v="1899-12-30T00:42:00"/>
    <n v="0.7"/>
    <n v="0.75"/>
    <s v="Late Night"/>
    <s v="Portland"/>
    <n v="4"/>
  </r>
  <r>
    <n v="1793"/>
    <s v="DD"/>
    <s v="Hourly"/>
    <n v="27"/>
    <s v="Monday"/>
    <x v="743"/>
    <n v="4"/>
    <n v="48.84"/>
    <d v="1899-12-30T02:54:00"/>
    <n v="2.9"/>
    <n v="3"/>
    <s v="Dinner"/>
    <s v="Portland"/>
    <n v="4"/>
  </r>
  <r>
    <n v="1794"/>
    <s v="UE"/>
    <s v="Hourly"/>
    <n v="27"/>
    <s v="Tuesday"/>
    <x v="744"/>
    <n v="6"/>
    <n v="71.45"/>
    <d v="1899-12-30T04:18:00"/>
    <n v="4.3"/>
    <n v="4.25"/>
    <s v="Dinner"/>
    <s v="Brunswick/Bath/Freeport"/>
    <n v="2"/>
  </r>
  <r>
    <n v="1795"/>
    <s v="UE"/>
    <s v="Order"/>
    <n v="27"/>
    <s v="Tuesday"/>
    <x v="744"/>
    <n v="1"/>
    <n v="20.63"/>
    <d v="1899-12-30T00:37:00"/>
    <n v="0.6166666666666667"/>
    <n v="0.5"/>
    <s v="Late Night"/>
    <s v="Brunswick/Bath/Freeport"/>
    <n v="2"/>
  </r>
  <r>
    <n v="1796"/>
    <s v="DD"/>
    <s v="Order"/>
    <n v="27"/>
    <s v="Tuesday"/>
    <x v="744"/>
    <n v="1"/>
    <n v="6.25"/>
    <d v="1899-12-30T02:58:00"/>
    <n v="2.9666666666666668"/>
    <n v="3"/>
    <s v="Late Night"/>
    <s v="Brunswick/Bath/Freeport"/>
    <n v="2"/>
  </r>
  <r>
    <n v="1797"/>
    <s v="UE"/>
    <s v="Hourly"/>
    <n v="27"/>
    <s v="Wednesday"/>
    <x v="745"/>
    <n v="2"/>
    <n v="36.36"/>
    <d v="1899-12-30T01:17:00"/>
    <n v="1.2833333333333332"/>
    <n v="1.25"/>
    <s v="Dinner"/>
    <s v="Brunswick/Bath/Freeport"/>
    <n v="2"/>
  </r>
  <r>
    <n v="1798"/>
    <s v="DD"/>
    <s v="Order"/>
    <n v="27"/>
    <s v="Wednesday"/>
    <x v="745"/>
    <n v="1"/>
    <n v="6.25"/>
    <d v="1899-12-30T02:58:00"/>
    <n v="2.9666666666666668"/>
    <n v="3"/>
    <s v="Dinner"/>
    <s v="Brunswick/Bath/Freeport"/>
    <n v="2"/>
  </r>
  <r>
    <n v="1799"/>
    <s v="DD"/>
    <s v="Order"/>
    <n v="27"/>
    <s v="Wednesday"/>
    <x v="745"/>
    <n v="6"/>
    <n v="56.5"/>
    <d v="1899-12-30T02:32:00"/>
    <n v="2.5333333333333332"/>
    <n v="2.5"/>
    <s v="Dinner"/>
    <s v="Brunswick/Bath/Freeport"/>
    <n v="2"/>
  </r>
  <r>
    <n v="1800"/>
    <s v="UE"/>
    <s v="Order"/>
    <n v="27"/>
    <s v="Thursday"/>
    <x v="746"/>
    <n v="1"/>
    <n v="23.01"/>
    <d v="1899-12-30T01:24:00"/>
    <n v="1.4"/>
    <n v="1.5"/>
    <s v="Dinner"/>
    <s v="Lewiston"/>
    <n v="3"/>
  </r>
  <r>
    <n v="1801"/>
    <s v="DD"/>
    <s v="Hourly"/>
    <n v="27"/>
    <s v="Thursday"/>
    <x v="746"/>
    <n v="2"/>
    <n v="27.32"/>
    <d v="1899-12-30T02:44:00"/>
    <n v="2.7333333333333334"/>
    <n v="2.75"/>
    <s v="Dinner"/>
    <s v="Lewiston"/>
    <n v="3"/>
  </r>
  <r>
    <n v="1802"/>
    <s v="UE"/>
    <s v="Hourly"/>
    <n v="28"/>
    <s v="Monday"/>
    <x v="747"/>
    <n v="4"/>
    <n v="51.47"/>
    <d v="1899-12-30T02:36:00"/>
    <n v="2.6"/>
    <n v="2.5"/>
    <s v="Lunch"/>
    <s v="Portland"/>
    <n v="4"/>
  </r>
  <r>
    <n v="1803"/>
    <s v="DD"/>
    <s v="Order"/>
    <n v="28"/>
    <s v="Monday"/>
    <x v="747"/>
    <n v="6"/>
    <n v="74.75"/>
    <d v="1899-12-30T03:08:00"/>
    <n v="3.1333333333333337"/>
    <n v="3.25"/>
    <s v="Lunch"/>
    <s v="Portland"/>
    <n v="4"/>
  </r>
  <r>
    <n v="1804"/>
    <s v="UE"/>
    <s v="Order"/>
    <n v="29"/>
    <s v="Friday"/>
    <x v="748"/>
    <n v="1"/>
    <n v="15.03"/>
    <d v="1899-12-30T01:46:00"/>
    <n v="1.7666666666666666"/>
    <n v="1.75"/>
    <s v="Dinner"/>
    <s v="Portland"/>
    <n v="4"/>
  </r>
  <r>
    <n v="1805"/>
    <s v="DD"/>
    <s v="Order"/>
    <n v="29"/>
    <s v="Friday"/>
    <x v="748"/>
    <n v="9"/>
    <n v="99.05"/>
    <d v="1899-12-30T05:36:00"/>
    <n v="5.6"/>
    <n v="5.5"/>
    <s v="Dinner"/>
    <s v="Portland"/>
    <n v="4"/>
  </r>
  <r>
    <n v="1806"/>
    <s v="UE"/>
    <s v="Order"/>
    <n v="29"/>
    <s v="Saturday"/>
    <x v="749"/>
    <n v="6"/>
    <n v="116.21"/>
    <d v="1899-12-30T06:02:00"/>
    <n v="6.0333333333333332"/>
    <n v="6"/>
    <s v="Dinner"/>
    <s v="Lewiston"/>
    <n v="3"/>
  </r>
  <r>
    <n v="1807"/>
    <s v="DD"/>
    <s v="Order"/>
    <n v="29"/>
    <s v="Saturday"/>
    <x v="749"/>
    <n v="2"/>
    <n v="29.83"/>
    <d v="1899-12-30T02:06:00"/>
    <n v="2.0999999999999996"/>
    <n v="2"/>
    <s v="Dinner"/>
    <s v="Lewiston"/>
    <n v="3"/>
  </r>
  <r>
    <n v="1808"/>
    <s v="DD"/>
    <s v="Order"/>
    <n v="29"/>
    <s v="Saturday"/>
    <x v="749"/>
    <n v="1"/>
    <n v="8"/>
    <d v="1899-12-30T01:31:00"/>
    <n v="1.5166666666666666"/>
    <n v="1.5"/>
    <s v="Late Night"/>
    <s v="Lewiston"/>
    <n v="3"/>
  </r>
  <r>
    <n v="1809"/>
    <s v="UE"/>
    <s v="Order"/>
    <n v="30"/>
    <s v="Tuesday"/>
    <x v="750"/>
    <n v="1"/>
    <n v="15.64"/>
    <d v="1899-12-30T01:37:00"/>
    <n v="1.6166666666666667"/>
    <n v="1.5"/>
    <s v="Dinner"/>
    <s v="Brunswick/Bath/Freeport"/>
    <n v="2"/>
  </r>
  <r>
    <n v="1810"/>
    <s v="DD"/>
    <s v="Order"/>
    <n v="30"/>
    <s v="Tuesday"/>
    <x v="750"/>
    <n v="8"/>
    <n v="80"/>
    <d v="1899-12-30T04:52:00"/>
    <n v="4.8666666666666671"/>
    <n v="4.75"/>
    <s v="Dinner"/>
    <s v="Brunswick/Bath/Freeport"/>
    <n v="2"/>
  </r>
  <r>
    <n v="1811"/>
    <s v="UE"/>
    <s v="Order"/>
    <n v="30"/>
    <s v="Thursday"/>
    <x v="751"/>
    <n v="10"/>
    <n v="105.79"/>
    <d v="1899-12-30T06:40:00"/>
    <n v="6.666666666666667"/>
    <n v="6.75"/>
    <s v="Dinner"/>
    <s v="Portland"/>
    <n v="4"/>
  </r>
  <r>
    <n v="1812"/>
    <s v="DD"/>
    <s v="Hourly"/>
    <n v="30"/>
    <s v="Thursday"/>
    <x v="751"/>
    <n v="11"/>
    <n v="109.89"/>
    <d v="1899-12-30T04:43:00"/>
    <n v="4.7166666666666668"/>
    <n v="4.75"/>
    <s v="Late Night"/>
    <s v="Portland"/>
    <n v="4"/>
  </r>
  <r>
    <n v="1813"/>
    <s v="UE"/>
    <s v="Order"/>
    <n v="31"/>
    <s v="Monday"/>
    <x v="752"/>
    <n v="12"/>
    <n v="108.22"/>
    <d v="1899-12-30T06:14:00"/>
    <n v="6.2333333333333343"/>
    <n v="6.25"/>
    <s v="Lunch"/>
    <s v="Portland"/>
    <n v="4"/>
  </r>
  <r>
    <n v="1814"/>
    <s v="DD"/>
    <s v="Hourly"/>
    <n v="31"/>
    <s v="Monday"/>
    <x v="752"/>
    <n v="1"/>
    <n v="7.22"/>
    <d v="1899-12-30T00:51:00"/>
    <n v="0.85"/>
    <n v="0.75"/>
    <s v="Dinner"/>
    <s v="Portland"/>
    <n v="4"/>
  </r>
  <r>
    <n v="1815"/>
    <s v="UE"/>
    <s v="Order"/>
    <n v="31"/>
    <s v="Wednesday"/>
    <x v="753"/>
    <n v="2"/>
    <n v="27.4"/>
    <d v="1899-12-30T01:54:00"/>
    <n v="1.9"/>
    <n v="2"/>
    <s v="Dinner"/>
    <s v="Brunswick/Bath/Freeport"/>
    <n v="2"/>
  </r>
  <r>
    <n v="1816"/>
    <s v="DD"/>
    <s v="Order"/>
    <n v="31"/>
    <s v="Wednesday"/>
    <x v="753"/>
    <n v="6"/>
    <n v="64.97"/>
    <d v="1899-12-30T03:44:00"/>
    <n v="3.7333333333333334"/>
    <n v="3.75"/>
    <s v="Dinner"/>
    <s v="Brunswick/Bath/Freeport"/>
    <n v="2"/>
  </r>
  <r>
    <n v="1817"/>
    <s v="DD"/>
    <s v="Order"/>
    <n v="31"/>
    <s v="Wednesday"/>
    <x v="753"/>
    <n v="2"/>
    <n v="19"/>
    <d v="1899-12-30T01:17:00"/>
    <n v="1.2833333333333332"/>
    <n v="1.25"/>
    <s v="Late Night"/>
    <s v="Brunswick/Bath/Freeport"/>
    <n v="2"/>
  </r>
  <r>
    <n v="1818"/>
    <s v="UE"/>
    <s v="Order"/>
    <n v="31"/>
    <s v="Thursday"/>
    <x v="754"/>
    <n v="4"/>
    <n v="63.26"/>
    <d v="1899-12-30T02:58:00"/>
    <n v="2.9666666666666668"/>
    <n v="3"/>
    <s v="Dinner"/>
    <s v="Lewiston"/>
    <n v="3"/>
  </r>
  <r>
    <n v="1819"/>
    <s v="DD"/>
    <s v="Order"/>
    <n v="31"/>
    <s v="Thursday"/>
    <x v="754"/>
    <n v="3"/>
    <n v="22.75"/>
    <d v="1899-12-30T02:18:00"/>
    <n v="2.3000000000000003"/>
    <n v="2.25"/>
    <s v="Dinner"/>
    <s v="Lewiston"/>
    <n v="3"/>
  </r>
  <r>
    <n v="1820"/>
    <s v="DD"/>
    <s v="Order"/>
    <n v="31"/>
    <s v="Thursday"/>
    <x v="754"/>
    <n v="5"/>
    <n v="28.43"/>
    <d v="1899-12-30T03:25:00"/>
    <n v="3.4166666666666665"/>
    <n v="3.5"/>
    <s v="Dinner"/>
    <s v="Lewiston"/>
    <n v="3"/>
  </r>
  <r>
    <n v="1821"/>
    <s v="UE"/>
    <s v="Order"/>
    <n v="31"/>
    <s v="Friday"/>
    <x v="755"/>
    <n v="1"/>
    <n v="17.04"/>
    <d v="1899-12-30T01:28:00"/>
    <n v="1.4666666666666666"/>
    <n v="1.5"/>
    <s v="Dinner"/>
    <s v="Brunswick/Bath/Freeport"/>
    <n v="2"/>
  </r>
  <r>
    <n v="1822"/>
    <s v="DD"/>
    <s v="Order"/>
    <n v="31"/>
    <s v="Friday"/>
    <x v="755"/>
    <n v="3"/>
    <n v="21.67"/>
    <d v="1899-12-30T01:14:00"/>
    <n v="1.2333333333333334"/>
    <n v="1.25"/>
    <s v="Dinner"/>
    <s v="Brunswick/Bath/Freeport"/>
    <n v="2"/>
  </r>
  <r>
    <n v="1823"/>
    <s v="DD"/>
    <s v="Order"/>
    <n v="31"/>
    <s v="Friday"/>
    <x v="755"/>
    <n v="4"/>
    <n v="71.95"/>
    <d v="1899-12-30T02:38:00"/>
    <n v="2.6333333333333333"/>
    <n v="2.75"/>
    <s v="Dinner"/>
    <s v="Brunswick/Bath/Freeport"/>
    <n v="2"/>
  </r>
  <r>
    <n v="1824"/>
    <s v="DD"/>
    <s v="Order"/>
    <n v="31"/>
    <s v="Friday"/>
    <x v="755"/>
    <n v="5"/>
    <n v="42"/>
    <d v="1899-12-30T03:09:00"/>
    <n v="3.1500000000000004"/>
    <n v="3.25"/>
    <s v="Late Night"/>
    <s v="Brunswick/Bath/Freeport"/>
    <n v="2"/>
  </r>
  <r>
    <n v="1825"/>
    <s v="UE"/>
    <s v="Order"/>
    <n v="32"/>
    <s v="Monday"/>
    <x v="756"/>
    <n v="10"/>
    <n v="131.81"/>
    <d v="1899-12-30T05:37:00"/>
    <n v="5.6166666666666671"/>
    <n v="5.5"/>
    <s v="Dinner"/>
    <s v="Brunswick/Bath/Freeport"/>
    <n v="2"/>
  </r>
  <r>
    <n v="1826"/>
    <s v="DD"/>
    <s v="Hourly"/>
    <n v="32"/>
    <s v="Monday"/>
    <x v="756"/>
    <n v="1"/>
    <n v="10.130000000000001"/>
    <d v="1899-12-30T00:55:00"/>
    <n v="0.91666666666666674"/>
    <n v="1"/>
    <s v="Late Night"/>
    <s v="Brunswick/Bath/Freeport"/>
    <n v="2"/>
  </r>
  <r>
    <n v="1827"/>
    <s v="UE"/>
    <s v="Order"/>
    <n v="32"/>
    <s v="Wednesday"/>
    <x v="757"/>
    <n v="2"/>
    <n v="26.62"/>
    <d v="1899-12-30T02:07:00"/>
    <n v="2.1166666666666667"/>
    <n v="2"/>
    <s v="Dinner"/>
    <s v="Lewiston"/>
    <n v="3"/>
  </r>
  <r>
    <n v="1828"/>
    <s v="DD"/>
    <s v="Order"/>
    <n v="32"/>
    <s v="Wednesday"/>
    <x v="757"/>
    <n v="3"/>
    <n v="29"/>
    <d v="1899-12-30T02:21:00"/>
    <n v="2.35"/>
    <n v="2.25"/>
    <s v="Dinner"/>
    <s v="Lewiston"/>
    <n v="3"/>
  </r>
  <r>
    <n v="1829"/>
    <s v="DD"/>
    <s v="Order"/>
    <n v="32"/>
    <s v="Wednesday"/>
    <x v="757"/>
    <n v="1"/>
    <n v="15.5"/>
    <d v="1899-12-30T01:03:00"/>
    <n v="1.0499999999999998"/>
    <n v="1"/>
    <s v="Late Night"/>
    <s v="Lewiston"/>
    <n v="3"/>
  </r>
  <r>
    <n v="1830"/>
    <s v="UE"/>
    <s v="Order"/>
    <n v="32"/>
    <s v="Friday"/>
    <x v="758"/>
    <n v="1"/>
    <n v="4"/>
    <d v="1899-12-30T00:58:00"/>
    <n v="0.96666666666666679"/>
    <n v="1"/>
    <s v="Dinner"/>
    <s v="Brunswick/Bath/Freeport"/>
    <n v="2"/>
  </r>
  <r>
    <n v="1831"/>
    <s v="DD"/>
    <s v="Order"/>
    <n v="32"/>
    <s v="Friday"/>
    <x v="758"/>
    <n v="5"/>
    <n v="48.25"/>
    <d v="1899-12-30T02:47:00"/>
    <n v="2.7833333333333332"/>
    <n v="2.75"/>
    <s v="Dinner"/>
    <s v="Brunswick/Bath/Freeport"/>
    <n v="2"/>
  </r>
  <r>
    <n v="1832"/>
    <s v="UE"/>
    <s v="Order"/>
    <n v="32"/>
    <s v="Saturday"/>
    <x v="759"/>
    <n v="3"/>
    <n v="35.840000000000003"/>
    <d v="1899-12-30T02:26:00"/>
    <n v="2.4333333333333336"/>
    <n v="2.5"/>
    <s v="Dinner"/>
    <s v="Brunswick/Bath/Freeport"/>
    <n v="2"/>
  </r>
  <r>
    <n v="1833"/>
    <s v="DD"/>
    <s v="Order"/>
    <n v="32"/>
    <s v="Saturday"/>
    <x v="759"/>
    <n v="3"/>
    <n v="30.05"/>
    <d v="1899-12-30T01:27:00"/>
    <n v="1.45"/>
    <n v="1.5"/>
    <s v="Dinner"/>
    <s v="Brunswick/Bath/Freeport"/>
    <n v="2"/>
  </r>
  <r>
    <n v="1834"/>
    <s v="DD"/>
    <s v="Hourly"/>
    <n v="32"/>
    <s v="Saturday"/>
    <x v="759"/>
    <n v="7"/>
    <n v="70.09"/>
    <d v="1899-12-30T03:38:00"/>
    <n v="3.6333333333333329"/>
    <n v="3.75"/>
    <s v="Dinner"/>
    <s v="Brunswick/Bath/Freeport"/>
    <n v="2"/>
  </r>
  <r>
    <n v="1835"/>
    <s v="UE"/>
    <s v="Order"/>
    <n v="32"/>
    <s v="Sunday"/>
    <x v="760"/>
    <n v="4"/>
    <n v="61.78"/>
    <d v="1899-12-30T03:18:00"/>
    <n v="3.3000000000000003"/>
    <n v="3.25"/>
    <s v="Dinner"/>
    <s v="Lewiston"/>
    <n v="3"/>
  </r>
  <r>
    <n v="1836"/>
    <s v="DD"/>
    <s v="Hourly"/>
    <n v="32"/>
    <s v="Sunday"/>
    <x v="760"/>
    <n v="2"/>
    <n v="23.59"/>
    <d v="1899-12-30T00:59:00"/>
    <n v="0.98333333333333339"/>
    <n v="1"/>
    <s v="Dinner"/>
    <s v="Lewiston"/>
    <n v="3"/>
  </r>
  <r>
    <n v="1837"/>
    <s v="DD"/>
    <s v="Order"/>
    <n v="32"/>
    <s v="Sunday"/>
    <x v="760"/>
    <n v="5"/>
    <n v="56.03"/>
    <d v="1899-12-30T02:40:00"/>
    <n v="2.6666666666666665"/>
    <n v="2.75"/>
    <s v="Dinner"/>
    <s v="Lewiston"/>
    <n v="3"/>
  </r>
  <r>
    <n v="1838"/>
    <s v="UE"/>
    <s v="Order"/>
    <n v="33"/>
    <s v="Monday"/>
    <x v="761"/>
    <n v="5"/>
    <n v="40.61"/>
    <d v="1899-12-30T02:51:00"/>
    <n v="2.8499999999999996"/>
    <n v="2.75"/>
    <s v="Dinner"/>
    <s v="Lewiston"/>
    <n v="3"/>
  </r>
  <r>
    <n v="1839"/>
    <s v="DD"/>
    <s v="Order"/>
    <n v="33"/>
    <s v="Monday"/>
    <x v="761"/>
    <n v="1"/>
    <n v="9"/>
    <d v="1899-12-30T01:21:00"/>
    <n v="1.35"/>
    <n v="1.25"/>
    <s v="Dinner"/>
    <s v="Lewiston"/>
    <n v="3"/>
  </r>
  <r>
    <n v="1840"/>
    <s v="DD"/>
    <s v="Order"/>
    <n v="33"/>
    <s v="Monday"/>
    <x v="761"/>
    <n v="4"/>
    <n v="34.14"/>
    <d v="1899-12-30T03:47:00"/>
    <n v="3.7833333333333332"/>
    <n v="3.75"/>
    <s v="Dinner"/>
    <s v="Lewiston"/>
    <n v="3"/>
  </r>
  <r>
    <n v="1841"/>
    <s v="UE"/>
    <s v="Order"/>
    <n v="33"/>
    <s v="Tuesday"/>
    <x v="762"/>
    <n v="7"/>
    <n v="79.510000000000005"/>
    <d v="1899-12-30T05:32:00"/>
    <n v="5.5333333333333332"/>
    <n v="5.5"/>
    <s v="Dinner"/>
    <s v="Lewiston"/>
    <n v="3"/>
  </r>
  <r>
    <n v="1842"/>
    <s v="DD"/>
    <s v="Order"/>
    <n v="33"/>
    <s v="Tuesday"/>
    <x v="762"/>
    <n v="1"/>
    <n v="16.75"/>
    <d v="1899-12-30T02:14:00"/>
    <n v="2.2333333333333334"/>
    <n v="2.25"/>
    <s v="Dinner"/>
    <s v="Lewiston"/>
    <n v="3"/>
  </r>
  <r>
    <n v="1843"/>
    <s v="UE"/>
    <s v="Order"/>
    <n v="33"/>
    <s v="Wednesday"/>
    <x v="763"/>
    <n v="1"/>
    <n v="5.42"/>
    <d v="1899-12-30T00:16:00"/>
    <n v="0.26666666666666666"/>
    <n v="0.25"/>
    <s v="Dinner"/>
    <s v="Brunswick/Bath/Freeport"/>
    <n v="2"/>
  </r>
  <r>
    <n v="1844"/>
    <s v="DD"/>
    <s v="Order"/>
    <n v="33"/>
    <s v="Wednesday"/>
    <x v="763"/>
    <n v="5"/>
    <n v="60.57"/>
    <d v="1899-12-30T02:59:00"/>
    <n v="2.9833333333333334"/>
    <n v="3"/>
    <s v="Dinner"/>
    <s v="Brunswick/Bath/Freeport"/>
    <n v="2"/>
  </r>
  <r>
    <n v="1845"/>
    <s v="UE"/>
    <s v="Order"/>
    <n v="33"/>
    <s v="Thursday"/>
    <x v="764"/>
    <n v="5"/>
    <n v="40.22"/>
    <d v="1899-12-30T03:07:00"/>
    <n v="3.1166666666666671"/>
    <n v="3"/>
    <s v="Dinner"/>
    <s v="Lewiston"/>
    <n v="3"/>
  </r>
  <r>
    <n v="1846"/>
    <s v="DD"/>
    <s v="Order"/>
    <n v="33"/>
    <s v="Thursday"/>
    <x v="764"/>
    <n v="1"/>
    <n v="6.25"/>
    <d v="1899-12-30T00:50:00"/>
    <n v="0.83333333333333337"/>
    <n v="0.75"/>
    <s v="Dinner"/>
    <s v="Lewiston"/>
    <n v="3"/>
  </r>
  <r>
    <n v="1847"/>
    <s v="DD"/>
    <s v="Order"/>
    <n v="33"/>
    <s v="Thursday"/>
    <x v="764"/>
    <n v="1"/>
    <n v="4.5"/>
    <d v="1899-12-30T00:19:00"/>
    <n v="0.31666666666666665"/>
    <n v="0.25"/>
    <s v="Late Night"/>
    <s v="Lewiston"/>
    <n v="3"/>
  </r>
  <r>
    <n v="1848"/>
    <s v="DD"/>
    <s v="Order"/>
    <n v="33"/>
    <s v="Thursday"/>
    <x v="764"/>
    <n v="2"/>
    <n v="11"/>
    <d v="1899-12-30T01:15:00"/>
    <n v="1.25"/>
    <n v="1.25"/>
    <s v="Late Night"/>
    <s v="Lewiston"/>
    <n v="3"/>
  </r>
  <r>
    <n v="1849"/>
    <s v="DD"/>
    <s v="Order"/>
    <n v="33"/>
    <s v="Friday"/>
    <x v="765"/>
    <n v="13"/>
    <n v="131.12"/>
    <d v="1899-12-30T06:46:00"/>
    <n v="6.7666666666666666"/>
    <n v="6.75"/>
    <s v="Dinner"/>
    <s v="Brunswick/Bath/Freeport"/>
    <n v="2"/>
  </r>
  <r>
    <n v="1850"/>
    <s v="UE"/>
    <s v="Order"/>
    <n v="33"/>
    <s v="Saturday"/>
    <x v="766"/>
    <n v="15"/>
    <n v="121.64"/>
    <d v="1899-12-30T07:27:00"/>
    <n v="7.45"/>
    <n v="7.5"/>
    <s v="Lunch"/>
    <s v="Portland"/>
    <n v="4"/>
  </r>
  <r>
    <n v="1851"/>
    <s v="UE"/>
    <s v="Order"/>
    <n v="33"/>
    <s v="Sunday"/>
    <x v="767"/>
    <n v="4"/>
    <n v="44.95"/>
    <d v="1899-12-30T02:16:00"/>
    <n v="2.2666666666666666"/>
    <n v="2.25"/>
    <s v="Lunch"/>
    <s v="Portland"/>
    <n v="4"/>
  </r>
  <r>
    <n v="1852"/>
    <s v="DD"/>
    <s v="Hourly"/>
    <n v="33"/>
    <s v="Sunday"/>
    <x v="767"/>
    <n v="1"/>
    <n v="10.07"/>
    <d v="1899-12-30T01:01:00"/>
    <n v="1.0166666666666666"/>
    <n v="1"/>
    <s v="Lunch"/>
    <s v="Portland"/>
    <n v="4"/>
  </r>
  <r>
    <n v="1853"/>
    <s v="DD"/>
    <s v="Order"/>
    <n v="33"/>
    <s v="Sunday"/>
    <x v="767"/>
    <n v="1"/>
    <n v="15.98"/>
    <d v="1899-12-30T00:30:00"/>
    <n v="0.5"/>
    <n v="0.5"/>
    <s v="Lunch"/>
    <s v="Portland"/>
    <n v="4"/>
  </r>
  <r>
    <n v="1854"/>
    <s v="UE"/>
    <s v="Order"/>
    <n v="34"/>
    <s v="Monday"/>
    <x v="768"/>
    <n v="1"/>
    <n v="5.04"/>
    <d v="1899-12-30T01:17:00"/>
    <n v="1.2833333333333332"/>
    <n v="1.25"/>
    <s v="Dinner"/>
    <s v="Portland"/>
    <n v="4"/>
  </r>
  <r>
    <n v="1855"/>
    <s v="DD"/>
    <s v="Hourly"/>
    <n v="34"/>
    <s v="Monday"/>
    <x v="768"/>
    <n v="5"/>
    <n v="62.57"/>
    <d v="1899-12-30T02:00:00"/>
    <n v="2"/>
    <n v="2"/>
    <s v="Dinner"/>
    <s v="Portland"/>
    <n v="4"/>
  </r>
  <r>
    <n v="1856"/>
    <s v="DD"/>
    <s v="Hourly"/>
    <n v="34"/>
    <s v="Monday"/>
    <x v="768"/>
    <n v="4"/>
    <n v="65.86"/>
    <d v="1899-12-30T02:42:00"/>
    <n v="2.7"/>
    <n v="2.75"/>
    <s v="Dinner"/>
    <s v="Portland"/>
    <n v="4"/>
  </r>
  <r>
    <n v="1857"/>
    <s v="UE"/>
    <s v="Order"/>
    <n v="34"/>
    <s v="Wednesday"/>
    <x v="769"/>
    <n v="14"/>
    <n v="116.37"/>
    <d v="1899-12-30T06:40:00"/>
    <n v="6.666666666666667"/>
    <n v="6.75"/>
    <s v="Dinner"/>
    <s v="Portland"/>
    <n v="4"/>
  </r>
  <r>
    <n v="1858"/>
    <s v="DD"/>
    <s v="Hourly"/>
    <n v="34"/>
    <s v="Wednesday"/>
    <x v="769"/>
    <n v="1"/>
    <n v="6.61"/>
    <d v="1899-12-30T01:18:00"/>
    <n v="1.3"/>
    <n v="1.25"/>
    <s v="Dinner"/>
    <s v="Portland"/>
    <n v="4"/>
  </r>
  <r>
    <n v="1859"/>
    <s v="UE"/>
    <s v="Order"/>
    <n v="34"/>
    <s v="Thursday"/>
    <x v="770"/>
    <n v="9"/>
    <n v="96.59"/>
    <d v="1899-12-30T05:59:00"/>
    <n v="5.9833333333333334"/>
    <n v="6"/>
    <s v="Dinner"/>
    <s v="Lewiston"/>
    <n v="3"/>
  </r>
  <r>
    <n v="1860"/>
    <s v="DD"/>
    <s v="Order"/>
    <n v="34"/>
    <s v="Thursday"/>
    <x v="770"/>
    <n v="2"/>
    <n v="27.75"/>
    <d v="1899-12-30T03:21:00"/>
    <n v="3.35"/>
    <n v="3.25"/>
    <s v="Late Night"/>
    <s v="Lewiston"/>
    <n v="3"/>
  </r>
  <r>
    <n v="1861"/>
    <s v="UE"/>
    <s v="Order"/>
    <n v="34"/>
    <s v="Friday"/>
    <x v="771"/>
    <n v="4"/>
    <n v="99.23"/>
    <d v="1899-12-30T03:09:00"/>
    <n v="3.1500000000000004"/>
    <n v="3.25"/>
    <s v="Dinner"/>
    <s v="Brunswick/Bath/Freeport"/>
    <n v="2"/>
  </r>
  <r>
    <n v="1862"/>
    <s v="DD"/>
    <s v="Order"/>
    <n v="34"/>
    <s v="Friday"/>
    <x v="771"/>
    <n v="2"/>
    <n v="16.2"/>
    <d v="1899-12-30T01:52:00"/>
    <n v="1.8666666666666667"/>
    <n v="1.75"/>
    <s v="Dinner"/>
    <s v="Brunswick/Bath/Freeport"/>
    <n v="2"/>
  </r>
  <r>
    <n v="1863"/>
    <s v="DD"/>
    <s v="Order"/>
    <n v="34"/>
    <s v="Friday"/>
    <x v="771"/>
    <n v="7"/>
    <n v="62.25"/>
    <d v="1899-12-30T03:16:00"/>
    <n v="3.2666666666666666"/>
    <n v="3.25"/>
    <s v="Late Night"/>
    <s v="Brunswick/Bath/Freeport"/>
    <n v="2"/>
  </r>
  <r>
    <n v="1864"/>
    <s v="UE"/>
    <s v="Order"/>
    <n v="35"/>
    <s v="Monday"/>
    <x v="772"/>
    <n v="8"/>
    <n v="81.08"/>
    <d v="1899-12-30T04:14:00"/>
    <n v="4.2333333333333334"/>
    <n v="4.25"/>
    <s v="Dinner"/>
    <s v="Portland"/>
    <n v="4"/>
  </r>
  <r>
    <n v="1865"/>
    <s v="DD"/>
    <s v="Hourly"/>
    <n v="35"/>
    <s v="Monday"/>
    <x v="772"/>
    <n v="2"/>
    <n v="24.4"/>
    <d v="1899-12-30T01:33:00"/>
    <n v="1.5500000000000003"/>
    <n v="1.5"/>
    <s v="Dinner"/>
    <s v="Portland"/>
    <n v="4"/>
  </r>
  <r>
    <n v="1866"/>
    <s v="DD"/>
    <s v="Hourly"/>
    <n v="35"/>
    <s v="Monday"/>
    <x v="772"/>
    <n v="4"/>
    <n v="36.130000000000003"/>
    <d v="1899-12-30T02:32:00"/>
    <n v="2.5333333333333332"/>
    <n v="2.5"/>
    <s v="Late Night"/>
    <s v="Portland"/>
    <n v="4"/>
  </r>
  <r>
    <n v="1867"/>
    <s v="UE"/>
    <s v="Order"/>
    <n v="35"/>
    <s v="Wednesday"/>
    <x v="773"/>
    <n v="3"/>
    <n v="80.67"/>
    <d v="1899-12-30T02:24:00"/>
    <n v="2.4000000000000004"/>
    <n v="2.5"/>
    <s v="Dinner"/>
    <s v="Brunswick/Bath/Freeport"/>
    <n v="2"/>
  </r>
  <r>
    <n v="1868"/>
    <s v="DD"/>
    <s v="Order"/>
    <n v="35"/>
    <s v="Wednesday"/>
    <x v="773"/>
    <n v="11"/>
    <n v="120.66"/>
    <d v="1899-12-30T06:01:00"/>
    <n v="6.0166666666666666"/>
    <n v="6"/>
    <s v="Dinner"/>
    <s v="Brunswick/Bath/Freeport"/>
    <n v="2"/>
  </r>
  <r>
    <n v="1869"/>
    <s v="UE"/>
    <s v="Order"/>
    <n v="35"/>
    <s v="Thursday"/>
    <x v="774"/>
    <n v="4"/>
    <n v="50.21"/>
    <d v="1899-12-30T02:39:00"/>
    <n v="2.65"/>
    <n v="2.75"/>
    <s v="Dinner"/>
    <s v="Brunswick/Bath/Freeport"/>
    <n v="2"/>
  </r>
  <r>
    <n v="1870"/>
    <s v="DD"/>
    <s v="Order"/>
    <n v="35"/>
    <s v="Thursday"/>
    <x v="774"/>
    <n v="8"/>
    <n v="74"/>
    <d v="1899-12-30T04:11:00"/>
    <n v="4.1833333333333336"/>
    <n v="4.25"/>
    <s v="Dinner"/>
    <s v="Brunswick/Bath/Freeport"/>
    <n v="2"/>
  </r>
  <r>
    <n v="1871"/>
    <s v="UE"/>
    <s v="Order"/>
    <n v="35"/>
    <s v="Friday"/>
    <x v="775"/>
    <n v="4"/>
    <n v="52.69"/>
    <d v="1899-12-30T03:23:00"/>
    <n v="3.3833333333333333"/>
    <n v="3.5"/>
    <s v="Dinner"/>
    <s v="Brunswick/Bath/Freeport"/>
    <n v="2"/>
  </r>
  <r>
    <n v="1872"/>
    <s v="DD"/>
    <s v="Order"/>
    <n v="35"/>
    <s v="Friday"/>
    <x v="775"/>
    <n v="8"/>
    <n v="98"/>
    <d v="1899-12-30T06:21:00"/>
    <n v="6.35"/>
    <n v="6.25"/>
    <s v="Dinner"/>
    <s v="Brunswick/Bath/Freeport"/>
    <n v="2"/>
  </r>
  <r>
    <n v="1873"/>
    <s v="UE"/>
    <s v="Order"/>
    <n v="35"/>
    <s v="Sunday"/>
    <x v="776"/>
    <n v="1"/>
    <n v="21.04"/>
    <d v="1899-12-30T00:58:00"/>
    <n v="0.96666666666666679"/>
    <n v="1"/>
    <s v="Dinner"/>
    <s v="Brunswick/Bath/Freeport"/>
    <n v="2"/>
  </r>
  <r>
    <n v="1874"/>
    <s v="UE"/>
    <s v="Hourly"/>
    <n v="36"/>
    <s v="Monday"/>
    <x v="777"/>
    <n v="7"/>
    <n v="166.97"/>
    <d v="1899-12-30T05:26:00"/>
    <n v="5.4333333333333336"/>
    <n v="5.5"/>
    <s v="Dinner"/>
    <s v="Brunswick/Bath/Freeport"/>
    <n v="2"/>
  </r>
  <r>
    <n v="1875"/>
    <s v="DD"/>
    <s v="Order"/>
    <n v="36"/>
    <s v="Monday"/>
    <x v="777"/>
    <n v="3"/>
    <n v="33.5"/>
    <d v="1899-12-30T02:06:00"/>
    <n v="2.0999999999999996"/>
    <n v="2"/>
    <s v="Late Night"/>
    <s v="Brunswick/Bath/Freeport"/>
    <n v="2"/>
  </r>
  <r>
    <n v="1876"/>
    <s v="UE"/>
    <s v="Order"/>
    <n v="36"/>
    <s v="Tuesday"/>
    <x v="778"/>
    <n v="6"/>
    <n v="60.42"/>
    <d v="1899-12-30T03:04:00"/>
    <n v="3.0666666666666664"/>
    <n v="3"/>
    <s v="Dinner"/>
    <s v="Portland"/>
    <n v="4"/>
  </r>
  <r>
    <n v="1877"/>
    <s v="DD"/>
    <s v="Order"/>
    <n v="36"/>
    <s v="Tuesday"/>
    <x v="778"/>
    <n v="3"/>
    <n v="44.97"/>
    <d v="1899-12-30T01:32:00"/>
    <n v="1.5333333333333332"/>
    <n v="1.5"/>
    <s v="Dinner"/>
    <s v="Portland"/>
    <n v="4"/>
  </r>
  <r>
    <n v="1878"/>
    <s v="UE"/>
    <s v="Order"/>
    <n v="36"/>
    <s v="Thursday"/>
    <x v="779"/>
    <n v="1"/>
    <n v="16.28"/>
    <d v="1899-12-30T01:02:00"/>
    <n v="1.0333333333333332"/>
    <n v="1"/>
    <s v="Dinner"/>
    <s v="Lewiston"/>
    <n v="3"/>
  </r>
  <r>
    <n v="1879"/>
    <s v="DD"/>
    <s v="Order"/>
    <n v="36"/>
    <s v="Thursday"/>
    <x v="779"/>
    <n v="1"/>
    <n v="9.5"/>
    <d v="1899-12-30T01:55:00"/>
    <n v="1.9166666666666665"/>
    <n v="2"/>
    <s v="Dinner"/>
    <s v="Lewiston"/>
    <n v="3"/>
  </r>
  <r>
    <n v="1880"/>
    <s v="UE"/>
    <s v="Order"/>
    <n v="36"/>
    <s v="Saturday"/>
    <x v="780"/>
    <n v="1"/>
    <n v="15.52"/>
    <d v="1899-12-30T01:51:00"/>
    <n v="1.85"/>
    <n v="1.75"/>
    <s v="Dinner"/>
    <s v="Lewiston"/>
    <n v="3"/>
  </r>
  <r>
    <n v="1881"/>
    <s v="DD"/>
    <s v="Hourly"/>
    <n v="36"/>
    <s v="Saturday"/>
    <x v="780"/>
    <n v="17"/>
    <n v="141.93"/>
    <d v="1899-12-30T07:08:00"/>
    <n v="7.1333333333333329"/>
    <n v="7.25"/>
    <s v="Dinner"/>
    <s v="Lewiston"/>
    <n v="3"/>
  </r>
  <r>
    <n v="1882"/>
    <s v="DD"/>
    <s v="Order"/>
    <n v="36"/>
    <s v="Sunday"/>
    <x v="781"/>
    <n v="7"/>
    <n v="48.61"/>
    <d v="1899-12-30T02:15:00"/>
    <n v="2.25"/>
    <n v="2.25"/>
    <s v="Lunch"/>
    <s v="Brunswick/Bath/Freeport"/>
    <n v="2"/>
  </r>
  <r>
    <n v="1883"/>
    <s v="UE"/>
    <s v="Order"/>
    <n v="37"/>
    <s v="Monday"/>
    <x v="782"/>
    <n v="6"/>
    <n v="76.88"/>
    <d v="1899-12-30T03:58:00"/>
    <n v="3.9666666666666668"/>
    <n v="4"/>
    <s v="Dinner"/>
    <s v="Portland"/>
    <n v="4"/>
  </r>
  <r>
    <n v="1884"/>
    <s v="DD"/>
    <s v="Hourly"/>
    <n v="37"/>
    <s v="Monday"/>
    <x v="782"/>
    <n v="1"/>
    <n v="13.35"/>
    <d v="1899-12-30T02:14:00"/>
    <n v="2.2333333333333334"/>
    <n v="2.25"/>
    <s v="Dinner"/>
    <s v="Portland"/>
    <n v="4"/>
  </r>
  <r>
    <n v="1885"/>
    <s v="DD"/>
    <s v="Order"/>
    <n v="37"/>
    <s v="Monday"/>
    <x v="782"/>
    <n v="2"/>
    <n v="19"/>
    <d v="1899-12-30T01:23:00"/>
    <n v="1.3833333333333333"/>
    <n v="1.5"/>
    <s v="Late Night"/>
    <s v="Portland"/>
    <n v="4"/>
  </r>
  <r>
    <n v="1886"/>
    <s v="DD"/>
    <s v="Order"/>
    <n v="37"/>
    <s v="Monday"/>
    <x v="782"/>
    <n v="1"/>
    <n v="6.5"/>
    <d v="1899-12-30T00:29:00"/>
    <n v="0.48333333333333339"/>
    <n v="0.5"/>
    <s v="Late Night"/>
    <s v="Portland"/>
    <n v="4"/>
  </r>
  <r>
    <n v="1887"/>
    <s v="DD"/>
    <s v="Order"/>
    <n v="37"/>
    <s v="Tuesday"/>
    <x v="783"/>
    <n v="7"/>
    <n v="97.44"/>
    <d v="1899-12-30T05:13:00"/>
    <n v="5.2166666666666668"/>
    <n v="5.25"/>
    <s v="Dinner"/>
    <s v="Brunswick/Bath/Freeport"/>
    <n v="2"/>
  </r>
  <r>
    <n v="1888"/>
    <s v="UE"/>
    <s v="Order"/>
    <n v="37"/>
    <s v="Thursday"/>
    <x v="784"/>
    <n v="5"/>
    <n v="98.64"/>
    <d v="1899-12-30T03:34:00"/>
    <n v="3.5666666666666664"/>
    <n v="3.5"/>
    <s v="Dinner"/>
    <s v="Portland"/>
    <n v="4"/>
  </r>
  <r>
    <n v="1889"/>
    <s v="DD"/>
    <s v="Hourly"/>
    <n v="37"/>
    <s v="Thursday"/>
    <x v="784"/>
    <n v="4"/>
    <n v="34.03"/>
    <d v="1899-12-30T02:39:00"/>
    <n v="2.65"/>
    <n v="2.75"/>
    <s v="Dinner"/>
    <s v="Portland"/>
    <n v="4"/>
  </r>
  <r>
    <n v="1890"/>
    <s v="DD"/>
    <s v="Hourly"/>
    <n v="37"/>
    <s v="Thursday"/>
    <x v="784"/>
    <n v="2"/>
    <n v="20.69"/>
    <d v="1899-12-30T01:01:00"/>
    <n v="1.0166666666666666"/>
    <n v="1"/>
    <s v="Late Night"/>
    <s v="Portland"/>
    <n v="4"/>
  </r>
  <r>
    <n v="1891"/>
    <s v="UE"/>
    <s v="Order"/>
    <n v="37"/>
    <s v="Friday"/>
    <x v="785"/>
    <n v="3"/>
    <n v="72.66"/>
    <d v="1899-12-30T03:44:00"/>
    <n v="3.7333333333333334"/>
    <n v="3.75"/>
    <s v="Dinner"/>
    <s v="Lewiston"/>
    <n v="3"/>
  </r>
  <r>
    <n v="1892"/>
    <s v="DD"/>
    <s v="Order"/>
    <n v="37"/>
    <s v="Friday"/>
    <x v="785"/>
    <n v="5"/>
    <n v="52.8"/>
    <d v="1899-12-30T03:02:00"/>
    <n v="3.0333333333333332"/>
    <n v="3"/>
    <s v="Dinner"/>
    <s v="Lewiston"/>
    <n v="3"/>
  </r>
  <r>
    <n v="1893"/>
    <s v="DD"/>
    <s v="Hourly"/>
    <n v="37"/>
    <s v="Friday"/>
    <x v="785"/>
    <n v="8"/>
    <n v="58.97"/>
    <d v="1899-12-30T04:57:00"/>
    <n v="4.9499999999999993"/>
    <n v="5"/>
    <s v="Late Night"/>
    <s v="Lewiston"/>
    <n v="3"/>
  </r>
  <r>
    <n v="1894"/>
    <s v="UE"/>
    <s v="Order"/>
    <n v="37"/>
    <s v="Sunday"/>
    <x v="786"/>
    <n v="3"/>
    <n v="61.13"/>
    <d v="1899-12-30T03:18:00"/>
    <n v="3.3000000000000003"/>
    <n v="3.25"/>
    <s v="Dinner"/>
    <s v="Portland"/>
    <n v="4"/>
  </r>
  <r>
    <n v="1895"/>
    <s v="DD"/>
    <s v="Order"/>
    <n v="37"/>
    <s v="Sunday"/>
    <x v="786"/>
    <n v="1"/>
    <n v="23.5"/>
    <d v="1899-12-30T01:56:00"/>
    <n v="1.9333333333333336"/>
    <n v="2"/>
    <s v="Dinner"/>
    <s v="Portland"/>
    <n v="4"/>
  </r>
  <r>
    <n v="1896"/>
    <s v="DD"/>
    <s v="Hourly"/>
    <n v="37"/>
    <s v="Sunday"/>
    <x v="786"/>
    <n v="2"/>
    <n v="10.85"/>
    <d v="1899-12-30T00:44:00"/>
    <n v="0.73333333333333328"/>
    <n v="0.75"/>
    <s v="Late Night"/>
    <s v="Portland"/>
    <n v="4"/>
  </r>
  <r>
    <n v="1897"/>
    <s v="UE"/>
    <s v="Order"/>
    <n v="38"/>
    <s v="Monday"/>
    <x v="787"/>
    <n v="2"/>
    <n v="20.09"/>
    <d v="1899-12-30T01:33:00"/>
    <n v="1.5500000000000003"/>
    <n v="1.5"/>
    <s v="Dinner"/>
    <s v="Portland"/>
    <n v="4"/>
  </r>
  <r>
    <n v="1898"/>
    <s v="DD"/>
    <s v="Hourly"/>
    <n v="38"/>
    <s v="Monday"/>
    <x v="787"/>
    <n v="5"/>
    <n v="60.12"/>
    <d v="1899-12-30T02:44:00"/>
    <n v="2.7333333333333334"/>
    <n v="2.75"/>
    <s v="Dinner"/>
    <s v="Portland"/>
    <n v="4"/>
  </r>
  <r>
    <n v="1899"/>
    <s v="DD"/>
    <s v="Hourly"/>
    <n v="38"/>
    <s v="Monday"/>
    <x v="787"/>
    <n v="7"/>
    <n v="63.86"/>
    <d v="1899-12-30T02:20:00"/>
    <n v="2.3333333333333335"/>
    <n v="2.25"/>
    <s v="Late Night"/>
    <s v="Portland"/>
    <n v="4"/>
  </r>
  <r>
    <n v="1900"/>
    <s v="UE"/>
    <s v="Order"/>
    <n v="38"/>
    <s v="Wednesday"/>
    <x v="788"/>
    <n v="9"/>
    <n v="111.57"/>
    <d v="1899-12-30T05:11:00"/>
    <n v="5.1833333333333336"/>
    <n v="5.25"/>
    <s v="Dinner"/>
    <s v="Lewiston"/>
    <n v="3"/>
  </r>
  <r>
    <n v="1901"/>
    <s v="DD"/>
    <s v="Hourly"/>
    <n v="38"/>
    <s v="Wednesday"/>
    <x v="788"/>
    <n v="5"/>
    <n v="46.77"/>
    <d v="1899-12-30T05:56:00"/>
    <n v="5.9333333333333336"/>
    <n v="6"/>
    <s v="Dinner"/>
    <s v="Lewiston"/>
    <n v="3"/>
  </r>
  <r>
    <n v="1902"/>
    <s v="UE"/>
    <s v="Order"/>
    <n v="38"/>
    <s v="Thursday"/>
    <x v="789"/>
    <n v="6"/>
    <n v="73.97"/>
    <d v="1899-12-30T03:42:00"/>
    <n v="3.7"/>
    <n v="3.75"/>
    <s v="Dinner"/>
    <s v="Portland"/>
    <n v="4"/>
  </r>
  <r>
    <n v="1903"/>
    <s v="DD"/>
    <s v="Hourly"/>
    <n v="38"/>
    <s v="Thursday"/>
    <x v="789"/>
    <n v="3"/>
    <n v="32.380000000000003"/>
    <d v="1899-12-30T03:15:00"/>
    <n v="3.25"/>
    <n v="3.25"/>
    <s v="Dinner"/>
    <s v="Portland"/>
    <n v="4"/>
  </r>
  <r>
    <n v="1904"/>
    <s v="DD"/>
    <s v="Hourly"/>
    <n v="38"/>
    <s v="Thursday"/>
    <x v="789"/>
    <n v="3"/>
    <n v="20.94"/>
    <d v="1899-12-30T01:48:00"/>
    <n v="1.7999999999999998"/>
    <n v="1.75"/>
    <s v="Late Night"/>
    <s v="Portland"/>
    <n v="4"/>
  </r>
  <r>
    <n v="1905"/>
    <s v="UE"/>
    <s v="Order"/>
    <n v="38"/>
    <s v="Friday"/>
    <x v="790"/>
    <n v="9"/>
    <n v="99.94"/>
    <d v="1899-12-30T05:09:00"/>
    <n v="5.1499999999999995"/>
    <n v="5.25"/>
    <s v="Dinner"/>
    <s v="Portland"/>
    <n v="4"/>
  </r>
  <r>
    <n v="1906"/>
    <s v="UE"/>
    <s v="Order"/>
    <n v="38"/>
    <s v="Sunday"/>
    <x v="791"/>
    <n v="2"/>
    <n v="31.85"/>
    <d v="1899-12-30T02:10:00"/>
    <n v="2.1666666666666665"/>
    <n v="2.25"/>
    <s v="Dinner"/>
    <s v="Brunswick/Bath/Freeport"/>
    <n v="2"/>
  </r>
  <r>
    <n v="1907"/>
    <s v="DD"/>
    <s v="Order"/>
    <n v="38"/>
    <s v="Sunday"/>
    <x v="791"/>
    <n v="5"/>
    <n v="51.25"/>
    <d v="1899-12-30T03:17:00"/>
    <n v="3.2833333333333337"/>
    <n v="3.25"/>
    <s v="Dinner"/>
    <s v="Brunswick/Bath/Freeport"/>
    <n v="2"/>
  </r>
  <r>
    <n v="1908"/>
    <s v="UE"/>
    <s v="Hourly"/>
    <n v="39"/>
    <s v="Monday"/>
    <x v="792"/>
    <n v="4"/>
    <n v="83.47"/>
    <d v="1899-12-30T04:18:00"/>
    <n v="4.3"/>
    <n v="4.25"/>
    <s v="Dinner"/>
    <s v="Portland"/>
    <n v="4"/>
  </r>
  <r>
    <n v="1909"/>
    <s v="DD"/>
    <s v="Hourly"/>
    <n v="39"/>
    <s v="Monday"/>
    <x v="792"/>
    <n v="2"/>
    <n v="41.43"/>
    <d v="1899-12-30T02:03:00"/>
    <n v="2.0499999999999998"/>
    <n v="2"/>
    <s v="Dinner"/>
    <s v="Portland"/>
    <n v="4"/>
  </r>
  <r>
    <n v="1910"/>
    <s v="DD"/>
    <s v="Hourly"/>
    <n v="39"/>
    <s v="Monday"/>
    <x v="792"/>
    <n v="3"/>
    <n v="36.29"/>
    <d v="1899-12-30T01:55:00"/>
    <n v="1.9166666666666665"/>
    <n v="2"/>
    <s v="Dinner"/>
    <s v="Portland"/>
    <n v="4"/>
  </r>
  <r>
    <n v="1911"/>
    <s v="DD"/>
    <s v="Hourly"/>
    <n v="39"/>
    <s v="Tuesday"/>
    <x v="793"/>
    <n v="2"/>
    <n v="29.61"/>
    <d v="1899-12-30T01:02:00"/>
    <n v="1.0333333333333332"/>
    <n v="1"/>
    <s v="Dinner"/>
    <s v="Lewiston"/>
    <n v="3"/>
  </r>
  <r>
    <n v="1912"/>
    <s v="UE"/>
    <s v="Order"/>
    <n v="39"/>
    <s v="Wednesday"/>
    <x v="794"/>
    <n v="7"/>
    <n v="100.72"/>
    <d v="1899-12-30T04:00:00"/>
    <n v="4"/>
    <n v="4"/>
    <s v="Dinner"/>
    <s v="Brunswick/Bath/Freeport"/>
    <n v="2"/>
  </r>
  <r>
    <n v="1913"/>
    <s v="DD"/>
    <s v="Order"/>
    <n v="39"/>
    <s v="Wednesday"/>
    <x v="794"/>
    <n v="2"/>
    <n v="18.5"/>
    <d v="1899-12-30T02:49:00"/>
    <n v="2.8166666666666664"/>
    <n v="2.75"/>
    <s v="Dinner"/>
    <s v="Brunswick/Bath/Freeport"/>
    <n v="2"/>
  </r>
  <r>
    <n v="1914"/>
    <s v="DD"/>
    <s v="Hourly"/>
    <n v="39"/>
    <s v="Wednesday"/>
    <x v="794"/>
    <n v="3"/>
    <n v="38.229999999999997"/>
    <d v="1899-12-30T01:29:00"/>
    <n v="1.4833333333333334"/>
    <n v="1.5"/>
    <s v="Late Night"/>
    <s v="Brunswick/Bath/Freeport"/>
    <n v="2"/>
  </r>
  <r>
    <n v="1915"/>
    <s v="UE"/>
    <s v="Order"/>
    <n v="39"/>
    <s v="Friday"/>
    <x v="795"/>
    <n v="1"/>
    <n v="10.52"/>
    <d v="1899-12-30T02:13:00"/>
    <n v="2.2166666666666668"/>
    <n v="2.25"/>
    <s v="Dinner"/>
    <s v="Brunswick/Bath/Freeport"/>
    <n v="2"/>
  </r>
  <r>
    <n v="1916"/>
    <s v="DD"/>
    <s v="Order"/>
    <n v="39"/>
    <s v="Friday"/>
    <x v="795"/>
    <n v="8"/>
    <n v="110.75"/>
    <d v="1899-12-30T05:22:00"/>
    <n v="5.3666666666666671"/>
    <n v="5.25"/>
    <s v="Dinner"/>
    <s v="Brunswick/Bath/Freeport"/>
    <n v="2"/>
  </r>
  <r>
    <n v="1917"/>
    <s v="UE"/>
    <s v="Hourly"/>
    <n v="39"/>
    <s v="Saturday"/>
    <x v="796"/>
    <n v="3"/>
    <n v="77.460000000000008"/>
    <d v="1899-12-30T01:15:00"/>
    <n v="1.25"/>
    <n v="1.25"/>
    <s v="Dinner"/>
    <s v="Brunswick/Bath/Freeport"/>
    <n v="2"/>
  </r>
  <r>
    <n v="1918"/>
    <s v="UE"/>
    <s v="Order"/>
    <n v="39"/>
    <s v="Saturday"/>
    <x v="796"/>
    <n v="3"/>
    <n v="41.46"/>
    <d v="1899-12-30T02:54:00"/>
    <n v="2.8999999999999995"/>
    <n v="3"/>
    <s v="Dinner"/>
    <s v="Brunswick/Bath/Freeport"/>
    <n v="2"/>
  </r>
  <r>
    <n v="1919"/>
    <s v="DD"/>
    <s v="Hourly"/>
    <n v="39"/>
    <s v="Saturday"/>
    <x v="796"/>
    <n v="10"/>
    <n v="115.54"/>
    <d v="1899-12-30T07:58:00"/>
    <n v="7.9666666666666668"/>
    <n v="8"/>
    <s v="Dinner"/>
    <s v="Brunswick/Bath/Freeport"/>
    <n v="2"/>
  </r>
  <r>
    <n v="1920"/>
    <s v="UE"/>
    <s v="Order"/>
    <n v="40"/>
    <s v="Monday"/>
    <x v="797"/>
    <n v="5"/>
    <n v="78.33"/>
    <d v="1899-12-30T03:07:00"/>
    <n v="3.1166666666666671"/>
    <n v="3"/>
    <s v="Dinner"/>
    <s v="Brunswick/Bath/Freeport"/>
    <n v="2"/>
  </r>
  <r>
    <n v="1921"/>
    <s v="DD"/>
    <s v="Order"/>
    <n v="40"/>
    <s v="Monday"/>
    <x v="797"/>
    <n v="3"/>
    <n v="24.75"/>
    <d v="1899-12-30T01:40:00"/>
    <n v="1.6666666666666667"/>
    <n v="1.75"/>
    <s v="Dinner"/>
    <s v="Brunswick/Bath/Freeport"/>
    <n v="2"/>
  </r>
  <r>
    <n v="1922"/>
    <s v="DD"/>
    <s v="Hourly"/>
    <n v="40"/>
    <s v="Monday"/>
    <x v="797"/>
    <n v="1"/>
    <n v="10.91"/>
    <d v="1899-12-30T01:04:00"/>
    <n v="1.0666666666666667"/>
    <n v="1"/>
    <s v="Dinner"/>
    <s v="Brunswick/Bath/Freeport"/>
    <n v="2"/>
  </r>
  <r>
    <n v="1923"/>
    <s v="UE"/>
    <s v="Order"/>
    <n v="40"/>
    <s v="Tuesday"/>
    <x v="798"/>
    <n v="1"/>
    <n v="37"/>
    <d v="1899-12-30T00:59:00"/>
    <n v="0.98333333333333339"/>
    <n v="1"/>
    <s v="Dinner"/>
    <s v="Brunswick/Bath/Freeport"/>
    <n v="2"/>
  </r>
  <r>
    <n v="1924"/>
    <s v="UE"/>
    <s v="Order"/>
    <n v="40"/>
    <s v="Wednesday"/>
    <x v="799"/>
    <n v="3"/>
    <n v="70.930000000000007"/>
    <d v="1899-12-30T02:05:00"/>
    <n v="2.083333333333333"/>
    <n v="2"/>
    <s v="Dinner"/>
    <s v="Brunswick/Bath/Freeport"/>
    <n v="2"/>
  </r>
  <r>
    <n v="1925"/>
    <s v="UE"/>
    <s v="Hourly"/>
    <n v="40"/>
    <s v="Wednesday"/>
    <x v="799"/>
    <n v="3"/>
    <n v="87.32"/>
    <d v="1899-12-30T02:00:32"/>
    <n v="2.0088888888888885"/>
    <n v="2"/>
    <s v="Dinner"/>
    <s v="Brunswick/Bath/Freeport"/>
    <n v="2"/>
  </r>
  <r>
    <n v="1926"/>
    <s v="DD"/>
    <s v="Order"/>
    <n v="40"/>
    <s v="Wednesday"/>
    <x v="799"/>
    <n v="1"/>
    <n v="7"/>
    <d v="1899-12-30T01:22:00"/>
    <n v="1.3666666666666667"/>
    <n v="1.25"/>
    <s v="Late Night"/>
    <s v="Brunswick/Bath/Freeport"/>
    <n v="2"/>
  </r>
  <r>
    <n v="1927"/>
    <s v="UE"/>
    <s v="Order"/>
    <n v="40"/>
    <s v="Thursday"/>
    <x v="800"/>
    <n v="1"/>
    <n v="21.69"/>
    <d v="1899-12-30T02:14:00"/>
    <n v="2.2333333333333334"/>
    <n v="2.25"/>
    <s v="Dinner"/>
    <s v="Augusta"/>
    <n v="1"/>
  </r>
  <r>
    <n v="1928"/>
    <s v="DD"/>
    <s v="Order"/>
    <n v="40"/>
    <s v="Thursday"/>
    <x v="800"/>
    <n v="1"/>
    <n v="9.75"/>
    <d v="1899-12-30T01:09:00"/>
    <n v="1.1500000000000001"/>
    <n v="1.25"/>
    <s v="Dinner"/>
    <s v="Augusta"/>
    <n v="1"/>
  </r>
  <r>
    <n v="1929"/>
    <s v="UE"/>
    <s v="Order"/>
    <n v="40"/>
    <s v="Friday"/>
    <x v="801"/>
    <n v="5"/>
    <n v="121.79999999999998"/>
    <d v="1899-12-30T04:25:00"/>
    <n v="4.416666666666667"/>
    <n v="4.5"/>
    <s v="Dinner"/>
    <s v="Brunswick/Bath/Freeport"/>
    <n v="2"/>
  </r>
  <r>
    <n v="1930"/>
    <s v="UE"/>
    <s v="Hourly"/>
    <n v="40"/>
    <s v="Friday"/>
    <x v="801"/>
    <n v="3"/>
    <n v="100.08999999999999"/>
    <d v="1899-12-30T01:48:35"/>
    <n v="1.8097222222222222"/>
    <n v="1.75"/>
    <s v="Dinner"/>
    <s v="Brunswick/Bath/Freeport"/>
    <n v="2"/>
  </r>
  <r>
    <n v="1931"/>
    <s v="DD"/>
    <s v="Order"/>
    <n v="40"/>
    <s v="Friday"/>
    <x v="801"/>
    <n v="3"/>
    <n v="22.75"/>
    <d v="1899-12-30T02:58:00"/>
    <n v="2.9666666666666668"/>
    <n v="3"/>
    <s v="Late Night"/>
    <s v="Brunswick/Bath/Freeport"/>
    <n v="2"/>
  </r>
  <r>
    <n v="1932"/>
    <s v="UE"/>
    <s v="Order"/>
    <n v="40"/>
    <s v="Sunday"/>
    <x v="802"/>
    <n v="9"/>
    <n v="142.41"/>
    <d v="1899-12-30T06:08:00"/>
    <n v="6.1333333333333329"/>
    <n v="6.25"/>
    <s v="Dinner"/>
    <s v="Portland"/>
    <n v="4"/>
  </r>
  <r>
    <n v="1933"/>
    <s v="DD"/>
    <s v="Order"/>
    <n v="40"/>
    <s v="Sunday"/>
    <x v="802"/>
    <n v="1"/>
    <n v="11.03"/>
    <d v="1899-12-30T00:44:00"/>
    <n v="0.73333333333333328"/>
    <n v="0.75"/>
    <s v="Dinner"/>
    <s v="Portland"/>
    <n v="4"/>
  </r>
  <r>
    <n v="1934"/>
    <s v="UE"/>
    <s v="Order"/>
    <n v="41"/>
    <s v="Tuesday"/>
    <x v="803"/>
    <n v="3"/>
    <n v="52.52"/>
    <d v="1899-12-30T02:50:00"/>
    <n v="2.833333333333333"/>
    <n v="2.75"/>
    <s v="Dinner"/>
    <s v="Brunswick/Bath/Freeport"/>
    <n v="2"/>
  </r>
  <r>
    <n v="1935"/>
    <s v="DD"/>
    <s v="Order"/>
    <n v="41"/>
    <s v="Tuesday"/>
    <x v="803"/>
    <n v="6"/>
    <n v="47.25"/>
    <d v="1899-12-30T02:56:00"/>
    <n v="2.9333333333333331"/>
    <n v="3"/>
    <s v="Dinner"/>
    <s v="Brunswick/Bath/Freeport"/>
    <n v="2"/>
  </r>
  <r>
    <n v="1936"/>
    <s v="DD"/>
    <s v="Order"/>
    <n v="41"/>
    <s v="Tuesday"/>
    <x v="803"/>
    <n v="6"/>
    <n v="37"/>
    <d v="1899-12-30T02:27:00"/>
    <n v="2.4500000000000002"/>
    <n v="2.5"/>
    <s v="Late Night"/>
    <s v="Brunswick/Bath/Freeport"/>
    <n v="2"/>
  </r>
  <r>
    <n v="1937"/>
    <s v="UE"/>
    <s v="Order"/>
    <n v="41"/>
    <s v="Friday"/>
    <x v="804"/>
    <n v="7"/>
    <n v="132.74"/>
    <d v="1899-12-30T03:57:00"/>
    <n v="3.95"/>
    <n v="4"/>
    <s v="Dinner"/>
    <s v="Brunswick/Bath/Freeport"/>
    <n v="2"/>
  </r>
  <r>
    <n v="1938"/>
    <s v="DD"/>
    <s v="Hourly"/>
    <n v="41"/>
    <s v="Friday"/>
    <x v="804"/>
    <n v="2"/>
    <n v="15.23"/>
    <d v="1899-12-30T01:23:00"/>
    <n v="1.3833333333333333"/>
    <n v="1.5"/>
    <s v="Dinner"/>
    <s v="Brunswick/Bath/Freeport"/>
    <n v="2"/>
  </r>
  <r>
    <n v="1939"/>
    <s v="DD"/>
    <s v="Order"/>
    <n v="41"/>
    <s v="Friday"/>
    <x v="804"/>
    <n v="2"/>
    <n v="14.75"/>
    <d v="1899-12-30T01:03:00"/>
    <n v="1.0499999999999998"/>
    <n v="1"/>
    <s v="Late Night"/>
    <s v="Brunswick/Bath/Freeport"/>
    <n v="2"/>
  </r>
  <r>
    <n v="1940"/>
    <s v="DD"/>
    <s v="Hourly"/>
    <n v="42"/>
    <s v="Monday"/>
    <x v="805"/>
    <n v="9"/>
    <n v="71.75"/>
    <d v="1899-12-30T03:43:00"/>
    <n v="3.7166666666666668"/>
    <n v="3.75"/>
    <s v="Dinner"/>
    <s v="Brunswick/Bath/Freeport"/>
    <n v="2"/>
  </r>
  <r>
    <n v="1941"/>
    <s v="DD"/>
    <s v="Order"/>
    <n v="42"/>
    <s v="Tuesday"/>
    <x v="806"/>
    <n v="18"/>
    <n v="134.25"/>
    <d v="1899-12-30T06:01:00"/>
    <n v="6.0166666666666666"/>
    <n v="6"/>
    <s v="Dinner"/>
    <s v="Brunswick/Bath/Freeport"/>
    <n v="2"/>
  </r>
  <r>
    <n v="1942"/>
    <s v="UE"/>
    <s v="Order"/>
    <n v="42"/>
    <s v="Friday"/>
    <x v="807"/>
    <n v="1"/>
    <n v="15.05"/>
    <d v="1899-12-30T01:20:00"/>
    <n v="1.3333333333333333"/>
    <n v="1.25"/>
    <s v="Dinner"/>
    <s v="Brunswick/Bath/Freeport"/>
    <n v="2"/>
  </r>
  <r>
    <n v="1943"/>
    <s v="DD"/>
    <s v="Order"/>
    <n v="42"/>
    <s v="Friday"/>
    <x v="807"/>
    <n v="10"/>
    <n v="134.75"/>
    <d v="1899-12-30T06:28:00"/>
    <n v="6.4666666666666668"/>
    <n v="6.5"/>
    <s v="Dinner"/>
    <s v="Brunswick/Bath/Freeport"/>
    <n v="2"/>
  </r>
  <r>
    <n v="1944"/>
    <s v="UE"/>
    <s v="Order"/>
    <n v="43"/>
    <s v="Monday"/>
    <x v="808"/>
    <n v="2"/>
    <n v="23.65"/>
    <d v="1899-12-30T02:22:00"/>
    <n v="2.3666666666666667"/>
    <n v="2.25"/>
    <s v="Dinner"/>
    <s v="Brunswick/Bath/Freeport"/>
    <n v="2"/>
  </r>
  <r>
    <n v="1945"/>
    <s v="DD"/>
    <s v="Order"/>
    <n v="43"/>
    <s v="Monday"/>
    <x v="808"/>
    <n v="10"/>
    <n v="100.95"/>
    <d v="1899-12-30T06:14:00"/>
    <n v="6.2333333333333343"/>
    <n v="6.25"/>
    <s v="Dinner"/>
    <s v="Brunswick/Bath/Freeport"/>
    <n v="2"/>
  </r>
  <r>
    <n v="1946"/>
    <s v="UE"/>
    <s v="Order"/>
    <n v="43"/>
    <s v="Tuesday"/>
    <x v="809"/>
    <n v="3"/>
    <n v="52.66"/>
    <d v="1899-12-30T02:45:00"/>
    <n v="2.75"/>
    <n v="2.75"/>
    <s v="Dinner"/>
    <s v="Brunswick/Bath/Freeport"/>
    <n v="2"/>
  </r>
  <r>
    <n v="1947"/>
    <s v="DD"/>
    <s v="Order"/>
    <n v="43"/>
    <s v="Tuesday"/>
    <x v="809"/>
    <n v="3"/>
    <n v="30.5"/>
    <d v="1899-12-30T02:01:00"/>
    <n v="2.0166666666666666"/>
    <n v="2"/>
    <s v="Dinner"/>
    <s v="Brunswick/Bath/Freeport"/>
    <n v="2"/>
  </r>
  <r>
    <n v="1948"/>
    <s v="DD"/>
    <s v="Order"/>
    <n v="43"/>
    <s v="Tuesday"/>
    <x v="809"/>
    <n v="9"/>
    <n v="68.25"/>
    <d v="1899-12-30T04:49:00"/>
    <n v="4.8166666666666664"/>
    <n v="4.75"/>
    <s v="Dinner"/>
    <s v="Brunswick/Bath/Freeport"/>
    <n v="2"/>
  </r>
  <r>
    <n v="1949"/>
    <s v="UE"/>
    <s v="Order"/>
    <n v="43"/>
    <s v="Saturday"/>
    <x v="810"/>
    <n v="3"/>
    <n v="22.55"/>
    <d v="1899-12-30T01:05:00"/>
    <n v="1.0833333333333333"/>
    <n v="1"/>
    <s v="Late Night"/>
    <s v="Lewiston"/>
    <n v="3"/>
  </r>
  <r>
    <n v="1950"/>
    <s v="DD"/>
    <s v="Order"/>
    <n v="43"/>
    <s v="Saturday"/>
    <x v="810"/>
    <n v="3"/>
    <n v="12.37"/>
    <d v="1899-12-30T01:41:00"/>
    <n v="1.6833333333333333"/>
    <n v="1.75"/>
    <s v="Late Night"/>
    <s v="Lewiston"/>
    <n v="3"/>
  </r>
  <r>
    <n v="1951"/>
    <s v="DD"/>
    <s v="Order"/>
    <n v="43"/>
    <s v="Saturday"/>
    <x v="810"/>
    <n v="5"/>
    <n v="27.87"/>
    <d v="1899-12-30T02:11:00"/>
    <n v="2.1833333333333331"/>
    <n v="2.25"/>
    <s v="Late Night"/>
    <s v="Lewiston"/>
    <n v="3"/>
  </r>
  <r>
    <n v="1952"/>
    <s v="DD"/>
    <s v="Order"/>
    <n v="44"/>
    <s v="Monday"/>
    <x v="811"/>
    <n v="14"/>
    <n v="138.85"/>
    <d v="1899-12-30T06:14:00"/>
    <n v="6.2333333333333343"/>
    <n v="6.25"/>
    <s v="Dinner"/>
    <s v="Brunswick/Bath/Freeport"/>
    <n v="2"/>
  </r>
  <r>
    <n v="1953"/>
    <s v="UE"/>
    <s v="Order"/>
    <n v="44"/>
    <s v="Tuesday"/>
    <x v="812"/>
    <n v="1"/>
    <n v="21.08"/>
    <d v="1899-12-30T00:32:00"/>
    <n v="0.53333333333333333"/>
    <n v="0.5"/>
    <s v="Dinner"/>
    <s v="Brunswick/Bath/Freeport"/>
    <n v="2"/>
  </r>
  <r>
    <n v="1954"/>
    <s v="UE"/>
    <s v="Hourly"/>
    <n v="44"/>
    <s v="Tuesday"/>
    <x v="812"/>
    <n v="2"/>
    <n v="38.799999999999997"/>
    <d v="1899-12-30T01:36:00"/>
    <n v="1.6"/>
    <n v="1.5"/>
    <s v="Dinner"/>
    <s v="Brunswick/Bath/Freeport"/>
    <n v="2"/>
  </r>
  <r>
    <n v="1955"/>
    <s v="DD"/>
    <s v="Order"/>
    <n v="44"/>
    <s v="Tuesday"/>
    <x v="812"/>
    <n v="5"/>
    <n v="79.09"/>
    <d v="1899-12-30T02:37:00"/>
    <n v="2.6166666666666667"/>
    <n v="2.5"/>
    <s v="Dinner"/>
    <s v="Brunswick/Bath/Freeport"/>
    <n v="2"/>
  </r>
  <r>
    <n v="1956"/>
    <s v="UE"/>
    <s v="Order"/>
    <n v="44"/>
    <s v="Wednesday"/>
    <x v="813"/>
    <n v="7"/>
    <n v="152.13999999999999"/>
    <d v="1899-12-30T03:49:00"/>
    <n v="3.8166666666666664"/>
    <n v="3.75"/>
    <s v="Dinner"/>
    <s v="Brunswick/Bath/Freeport"/>
    <n v="2"/>
  </r>
  <r>
    <n v="1957"/>
    <s v="DD"/>
    <s v="Hourly"/>
    <n v="44"/>
    <s v="Wednesday"/>
    <x v="813"/>
    <n v="4"/>
    <n v="42.91"/>
    <d v="1899-12-30T02:42:00"/>
    <n v="2.7"/>
    <n v="2.75"/>
    <s v="Dinner"/>
    <s v="Brunswick/Bath/Freeport"/>
    <n v="2"/>
  </r>
  <r>
    <n v="1958"/>
    <s v="DD"/>
    <s v="Order"/>
    <n v="44"/>
    <s v="Wednesday"/>
    <x v="813"/>
    <n v="2"/>
    <n v="15.75"/>
    <d v="1899-12-30T00:56:00"/>
    <n v="0.93333333333333335"/>
    <n v="1"/>
    <s v="Late Night"/>
    <s v="Brunswick/Bath/Freeport"/>
    <n v="2"/>
  </r>
  <r>
    <n v="1959"/>
    <s v="UE"/>
    <s v="Hourly"/>
    <n v="44"/>
    <s v="Saturday"/>
    <x v="814"/>
    <n v="7"/>
    <n v="104.64"/>
    <d v="1899-12-30T05:24:00"/>
    <n v="5.4"/>
    <n v="5.5"/>
    <s v="Dinner"/>
    <s v="Portland"/>
    <n v="4"/>
  </r>
  <r>
    <n v="1960"/>
    <s v="DD"/>
    <s v="Hourly"/>
    <n v="44"/>
    <s v="Saturday"/>
    <x v="814"/>
    <n v="2"/>
    <n v="17.75"/>
    <d v="1899-12-30T01:24:00"/>
    <n v="1.4"/>
    <n v="1.5"/>
    <s v="Dinner"/>
    <s v="Portland"/>
    <n v="4"/>
  </r>
  <r>
    <n v="1961"/>
    <s v="DD"/>
    <s v="Order"/>
    <n v="44"/>
    <s v="Sunday"/>
    <x v="815"/>
    <n v="3"/>
    <n v="18.75"/>
    <d v="1899-12-30T01:05:00"/>
    <n v="1.0833333333333333"/>
    <n v="1"/>
    <s v="Lunch"/>
    <s v="Lewiston"/>
    <n v="3"/>
  </r>
  <r>
    <n v="1962"/>
    <s v="DD"/>
    <s v="Hourly"/>
    <n v="45"/>
    <s v="Monday"/>
    <x v="816"/>
    <n v="5"/>
    <n v="43.65"/>
    <d v="1899-12-30T02:20:00"/>
    <n v="2.3333333333333335"/>
    <n v="2.25"/>
    <s v="Dinner"/>
    <s v="Brunswick/Bath/Freeport"/>
    <n v="2"/>
  </r>
  <r>
    <n v="1963"/>
    <s v="UE"/>
    <s v="Hourly"/>
    <n v="45"/>
    <s v="Tuesday"/>
    <x v="817"/>
    <n v="5"/>
    <n v="39.14"/>
    <d v="1899-12-30T02:39:00"/>
    <n v="2.65"/>
    <n v="2.75"/>
    <s v="Dinner"/>
    <s v="Brunswick/Bath/Freeport"/>
    <n v="2"/>
  </r>
  <r>
    <n v="1964"/>
    <s v="DD"/>
    <s v="Order"/>
    <n v="45"/>
    <s v="Tuesday"/>
    <x v="817"/>
    <n v="2"/>
    <n v="15.93"/>
    <d v="1899-12-30T01:48:00"/>
    <n v="1.7999999999999998"/>
    <n v="1.75"/>
    <s v="Dinner"/>
    <s v="Brunswick/Bath/Freeport"/>
    <n v="2"/>
  </r>
  <r>
    <n v="1965"/>
    <s v="DD"/>
    <s v="Order"/>
    <n v="45"/>
    <s v="Tuesday"/>
    <x v="817"/>
    <n v="5"/>
    <n v="39.5"/>
    <d v="1899-12-30T02:55:00"/>
    <n v="2.9166666666666665"/>
    <n v="3"/>
    <s v="Dinner"/>
    <s v="Brunswick/Bath/Freeport"/>
    <n v="2"/>
  </r>
  <r>
    <n v="1966"/>
    <s v="UE"/>
    <s v="Hourly"/>
    <n v="45"/>
    <s v="Friday"/>
    <x v="818"/>
    <n v="1"/>
    <n v="8.31"/>
    <d v="1899-12-30T01:01:00"/>
    <n v="1.0166666666666666"/>
    <n v="1"/>
    <s v="Dinner"/>
    <s v="Brunswick/Bath/Freeport"/>
    <n v="2"/>
  </r>
  <r>
    <n v="1967"/>
    <s v="DD"/>
    <s v="Hourly"/>
    <n v="45"/>
    <s v="Friday"/>
    <x v="818"/>
    <n v="3"/>
    <n v="24.22"/>
    <d v="1899-12-30T02:08:00"/>
    <n v="2.1333333333333333"/>
    <n v="2.25"/>
    <s v="Lunch"/>
    <s v="Brunswick/Bath/Freeport"/>
    <n v="2"/>
  </r>
  <r>
    <n v="1968"/>
    <s v="UE"/>
    <s v="Order"/>
    <n v="45"/>
    <s v="Saturday"/>
    <x v="819"/>
    <n v="5"/>
    <n v="43.72"/>
    <d v="1899-12-30T02:55:00"/>
    <n v="2.9166666666666665"/>
    <n v="3"/>
    <s v="Dinner"/>
    <s v="Lewiston"/>
    <n v="3"/>
  </r>
  <r>
    <n v="1969"/>
    <s v="DD"/>
    <s v="Order"/>
    <n v="45"/>
    <s v="Saturday"/>
    <x v="819"/>
    <n v="2"/>
    <n v="13.25"/>
    <d v="1899-12-30T01:33:00"/>
    <n v="1.5500000000000003"/>
    <n v="1.5"/>
    <s v="Dinner"/>
    <s v="Lewiston"/>
    <n v="3"/>
  </r>
  <r>
    <n v="1970"/>
    <s v="DD"/>
    <s v="Order"/>
    <n v="45"/>
    <s v="Saturday"/>
    <x v="819"/>
    <n v="5"/>
    <n v="39.25"/>
    <d v="1899-12-30T03:11:00"/>
    <n v="3.1833333333333336"/>
    <n v="3.25"/>
    <s v="Dinner"/>
    <s v="Lewiston"/>
    <n v="3"/>
  </r>
  <r>
    <n v="1971"/>
    <s v="DD"/>
    <s v="Order"/>
    <n v="45"/>
    <s v="Saturday"/>
    <x v="819"/>
    <n v="5"/>
    <n v="26.75"/>
    <d v="1899-12-30T01:29:00"/>
    <n v="1.4833333333333334"/>
    <n v="1.5"/>
    <s v="Late Night"/>
    <s v="Lewiston"/>
    <n v="3"/>
  </r>
  <r>
    <n v="1972"/>
    <s v="UE"/>
    <s v="Hourly"/>
    <n v="46"/>
    <s v="Monday"/>
    <x v="820"/>
    <n v="5"/>
    <n v="56.12"/>
    <d v="1899-12-30T02:31:00"/>
    <n v="2.5166666666666666"/>
    <n v="2.5"/>
    <s v="Dinner"/>
    <s v="Brunswick/Bath/Freeport"/>
    <n v="2"/>
  </r>
  <r>
    <n v="1973"/>
    <s v="UE"/>
    <s v="Order"/>
    <n v="46"/>
    <s v="Thursday"/>
    <x v="821"/>
    <n v="1"/>
    <n v="13.58"/>
    <d v="1899-12-30T01:32:00"/>
    <n v="1.5333333333333332"/>
    <n v="1.5"/>
    <s v="Dinner"/>
    <s v="Brunswick/Bath/Freeport"/>
    <n v="2"/>
  </r>
  <r>
    <n v="1974"/>
    <s v="DD"/>
    <s v="Order"/>
    <n v="46"/>
    <s v="Thursday"/>
    <x v="821"/>
    <n v="6"/>
    <n v="55.75"/>
    <d v="1899-12-30T03:42:00"/>
    <n v="3.7"/>
    <n v="3.75"/>
    <s v="Dinner"/>
    <s v="Brunswick/Bath/Freeport"/>
    <n v="2"/>
  </r>
  <r>
    <n v="1975"/>
    <s v="DD"/>
    <s v="Hourly"/>
    <n v="46"/>
    <s v="Saturday"/>
    <x v="822"/>
    <n v="5"/>
    <n v="37.630000000000003"/>
    <d v="1899-12-30T01:49:00"/>
    <n v="1.8166666666666664"/>
    <n v="1.75"/>
    <s v="Dinner"/>
    <s v="Lewiston"/>
    <n v="3"/>
  </r>
  <r>
    <n v="1976"/>
    <s v="UE"/>
    <s v="Hourly"/>
    <n v="46"/>
    <s v="Sunday"/>
    <x v="823"/>
    <n v="8"/>
    <n v="98.83"/>
    <d v="1899-12-30T04:25:00"/>
    <n v="4.416666666666667"/>
    <n v="4.5"/>
    <s v="Dinner"/>
    <s v="Portland"/>
    <n v="4"/>
  </r>
  <r>
    <n v="1977"/>
    <s v="DD"/>
    <s v="Hourly"/>
    <n v="46"/>
    <s v="Sunday"/>
    <x v="823"/>
    <n v="1"/>
    <n v="4.92"/>
    <d v="1899-12-30T00:57:00"/>
    <n v="0.95"/>
    <n v="1"/>
    <s v="Dinner"/>
    <s v="Portland"/>
    <n v="4"/>
  </r>
  <r>
    <n v="1978"/>
    <s v="DD"/>
    <s v="Hourly"/>
    <n v="46"/>
    <s v="Sunday"/>
    <x v="823"/>
    <n v="1"/>
    <n v="7.33"/>
    <d v="1899-12-30T01:13:00"/>
    <n v="1.2166666666666668"/>
    <n v="1.25"/>
    <s v="Dinner"/>
    <s v="Portland"/>
    <n v="4"/>
  </r>
  <r>
    <n v="1979"/>
    <s v="DD"/>
    <s v="Hourly"/>
    <n v="46"/>
    <s v="Sunday"/>
    <x v="823"/>
    <n v="3"/>
    <n v="26.71"/>
    <d v="1899-12-30T01:04:00"/>
    <n v="1.0666666666666667"/>
    <n v="1"/>
    <s v="Late Night"/>
    <s v="Portland"/>
    <n v="4"/>
  </r>
  <r>
    <n v="1980"/>
    <s v="UE"/>
    <s v="Order"/>
    <n v="47"/>
    <s v="Monday"/>
    <x v="824"/>
    <n v="3"/>
    <n v="84.37"/>
    <d v="1899-12-30T02:37:00"/>
    <n v="2.6166666666666667"/>
    <n v="2.5"/>
    <s v="Dinner"/>
    <s v="Brunswick/Bath/Freeport"/>
    <n v="2"/>
  </r>
  <r>
    <n v="1981"/>
    <s v="DD"/>
    <s v="Hourly"/>
    <n v="47"/>
    <s v="Monday"/>
    <x v="824"/>
    <n v="3"/>
    <n v="28.46"/>
    <d v="1899-12-30T02:53:00"/>
    <n v="2.8833333333333333"/>
    <n v="3"/>
    <s v="Dinner"/>
    <s v="Brunswick/Bath/Freeport"/>
    <n v="2"/>
  </r>
  <r>
    <n v="1982"/>
    <s v="UE"/>
    <s v="Order"/>
    <n v="47"/>
    <s v="Tuesday"/>
    <x v="825"/>
    <n v="4"/>
    <n v="33.619999999999997"/>
    <d v="1899-12-30T01:25:00"/>
    <n v="1.4166666666666665"/>
    <n v="1.5"/>
    <s v="Dinner"/>
    <s v="Brunswick/Bath/Freeport"/>
    <n v="2"/>
  </r>
  <r>
    <n v="1983"/>
    <s v="DD"/>
    <s v="Order"/>
    <n v="47"/>
    <s v="Tuesday"/>
    <x v="825"/>
    <n v="3"/>
    <n v="42.26"/>
    <d v="1899-12-30T01:19:00"/>
    <n v="1.3166666666666667"/>
    <n v="1.25"/>
    <s v="Dinner"/>
    <s v="Brunswick/Bath/Freeport"/>
    <n v="2"/>
  </r>
  <r>
    <n v="1984"/>
    <s v="DD"/>
    <s v="Hourly"/>
    <n v="47"/>
    <s v="Friday"/>
    <x v="826"/>
    <n v="1"/>
    <n v="6.97"/>
    <d v="1899-12-30T00:58:00"/>
    <n v="0.96666666666666679"/>
    <n v="1"/>
    <s v="Dinner"/>
    <s v="Lewiston"/>
    <n v="3"/>
  </r>
  <r>
    <n v="1985"/>
    <s v="UE"/>
    <s v="Hourly"/>
    <n v="47"/>
    <s v="Sunday"/>
    <x v="827"/>
    <n v="6"/>
    <n v="56.65"/>
    <d v="1899-12-30T04:22:00"/>
    <n v="4.3666666666666663"/>
    <n v="4.25"/>
    <s v="Lunch"/>
    <s v="Brunswick/Bath/Freeport"/>
    <n v="2"/>
  </r>
  <r>
    <n v="1986"/>
    <s v="UE"/>
    <s v="Order"/>
    <n v="48"/>
    <s v="Tuesday"/>
    <x v="828"/>
    <n v="5"/>
    <n v="65.209999999999994"/>
    <d v="1899-12-30T02:37:00"/>
    <n v="2.6166666666666667"/>
    <n v="2.5"/>
    <s v="Dinner"/>
    <s v="Brunswick/Bath/Freeport"/>
    <n v="2"/>
  </r>
  <r>
    <n v="1987"/>
    <s v="DD"/>
    <s v="Order"/>
    <n v="48"/>
    <s v="Tuesday"/>
    <x v="828"/>
    <n v="3"/>
    <n v="37.47"/>
    <d v="1899-12-30T01:45:00"/>
    <n v="1.75"/>
    <n v="1.75"/>
    <s v="Dinner"/>
    <s v="Brunswick/Bath/Freeport"/>
    <n v="2"/>
  </r>
  <r>
    <n v="1988"/>
    <s v="DD"/>
    <s v="Order"/>
    <n v="48"/>
    <s v="Tuesday"/>
    <x v="828"/>
    <n v="1"/>
    <n v="7.75"/>
    <d v="1899-12-30T00:30:00"/>
    <n v="0.5"/>
    <n v="0.5"/>
    <s v="Late Night"/>
    <s v="Brunswick/Bath/Freeport"/>
    <n v="2"/>
  </r>
  <r>
    <n v="1989"/>
    <s v="UE"/>
    <s v="Order"/>
    <n v="48"/>
    <s v="Friday"/>
    <x v="829"/>
    <n v="6"/>
    <n v="80.5"/>
    <d v="1899-12-30T04:15:00"/>
    <n v="4.25"/>
    <n v="4.25"/>
    <s v="Dinner"/>
    <s v="Augusta"/>
    <n v="1"/>
  </r>
  <r>
    <n v="1990"/>
    <s v="DD"/>
    <s v="Order"/>
    <n v="48"/>
    <s v="Friday"/>
    <x v="829"/>
    <n v="7"/>
    <n v="74.25"/>
    <d v="1899-12-30T03:54:00"/>
    <n v="3.9000000000000004"/>
    <n v="4"/>
    <s v="Lunch"/>
    <s v="Augusta"/>
    <n v="1"/>
  </r>
  <r>
    <n v="1991"/>
    <s v="DD"/>
    <s v="Hourly"/>
    <n v="48"/>
    <s v="Friday"/>
    <x v="829"/>
    <n v="4"/>
    <n v="31.01"/>
    <d v="1899-12-30T01:48:00"/>
    <n v="1.7999999999999998"/>
    <n v="1.75"/>
    <s v="Dinner"/>
    <s v="Augusta"/>
    <n v="1"/>
  </r>
  <r>
    <n v="1992"/>
    <s v="UE"/>
    <s v="Order"/>
    <n v="48"/>
    <s v="Saturday"/>
    <x v="830"/>
    <n v="5"/>
    <n v="69.22"/>
    <d v="1899-12-30T05:02:00"/>
    <n v="5.0333333333333332"/>
    <n v="5"/>
    <s v="Dinner"/>
    <s v="Brunswick/Bath/Freeport"/>
    <n v="2"/>
  </r>
  <r>
    <n v="1993"/>
    <s v="DD"/>
    <s v="Order"/>
    <n v="48"/>
    <s v="Saturday"/>
    <x v="830"/>
    <n v="1"/>
    <n v="14.16"/>
    <d v="1899-12-30T01:00:00"/>
    <n v="1"/>
    <n v="1"/>
    <s v="Dinner"/>
    <s v="Brunswick/Bath/Freeport"/>
    <n v="2"/>
  </r>
  <r>
    <n v="1994"/>
    <s v="UE"/>
    <s v="Order"/>
    <n v="48"/>
    <s v="Sunday"/>
    <x v="831"/>
    <n v="13"/>
    <n v="151.01"/>
    <d v="1899-12-30T04:55:00"/>
    <n v="4.9166666666666661"/>
    <n v="5"/>
    <s v="Dinner"/>
    <s v="Brunswick/Bath/Freeport"/>
    <n v="2"/>
  </r>
  <r>
    <n v="1995"/>
    <s v="DD"/>
    <s v="Order"/>
    <n v="48"/>
    <s v="Sunday"/>
    <x v="831"/>
    <n v="3"/>
    <n v="17.75"/>
    <d v="1899-12-30T01:13:00"/>
    <n v="1.2166666666666668"/>
    <n v="1.25"/>
    <s v="Dinner"/>
    <s v="Brunswick/Bath/Freeport"/>
    <n v="2"/>
  </r>
  <r>
    <n v="1996"/>
    <s v="DD"/>
    <s v="Order"/>
    <n v="48"/>
    <s v="Sunday"/>
    <x v="831"/>
    <n v="2"/>
    <n v="17.13"/>
    <d v="1899-12-30T01:20:00"/>
    <n v="1.3333333333333333"/>
    <n v="1.25"/>
    <s v="Late Night"/>
    <s v="Brunswick/Bath/Freeport"/>
    <n v="2"/>
  </r>
  <r>
    <n v="1997"/>
    <s v="UE"/>
    <s v="Order"/>
    <n v="49"/>
    <s v="Tuesday"/>
    <x v="832"/>
    <n v="6"/>
    <n v="85.09"/>
    <d v="1899-12-30T04:01:00"/>
    <n v="4.0166666666666666"/>
    <n v="4"/>
    <s v="Dinner"/>
    <s v="Portland"/>
    <n v="4"/>
  </r>
  <r>
    <n v="1998"/>
    <s v="DD"/>
    <s v="Order"/>
    <n v="49"/>
    <s v="Tuesday"/>
    <x v="832"/>
    <n v="1"/>
    <n v="26.28"/>
    <d v="1899-12-30T01:30:00"/>
    <n v="1.5"/>
    <n v="1.5"/>
    <s v="Dinner"/>
    <s v="Portland"/>
    <n v="4"/>
  </r>
  <r>
    <n v="1999"/>
    <s v="UE"/>
    <s v="Order"/>
    <n v="49"/>
    <s v="Wednesday"/>
    <x v="833"/>
    <n v="2"/>
    <n v="32.51"/>
    <d v="1899-12-30T02:24:00"/>
    <n v="2.4000000000000004"/>
    <n v="2.5"/>
    <s v="Dinner"/>
    <s v="Augusta"/>
    <n v="1"/>
  </r>
  <r>
    <n v="2000"/>
    <s v="DD"/>
    <s v="Hourly"/>
    <n v="49"/>
    <s v="Wednesday"/>
    <x v="833"/>
    <n v="3"/>
    <n v="27.05"/>
    <d v="1899-12-30T02:36:00"/>
    <n v="2.6"/>
    <n v="2.5"/>
    <s v="Dinner"/>
    <s v="Augusta"/>
    <n v="1"/>
  </r>
  <r>
    <n v="2001"/>
    <s v="UE"/>
    <s v="Order"/>
    <n v="49"/>
    <s v="Saturday"/>
    <x v="834"/>
    <n v="12"/>
    <n v="128.79"/>
    <d v="1899-12-30T05:52:00"/>
    <n v="5.8666666666666663"/>
    <n v="5.75"/>
    <s v="Lunch"/>
    <s v="Portland"/>
    <n v="4"/>
  </r>
  <r>
    <n v="2002"/>
    <s v="DD"/>
    <s v="Order"/>
    <n v="49"/>
    <s v="Saturday"/>
    <x v="834"/>
    <n v="1"/>
    <n v="18"/>
    <d v="1899-12-30T00:49:00"/>
    <n v="0.81666666666666665"/>
    <n v="0.75"/>
    <s v="Dinner"/>
    <s v="Brunswick/Bath/Freeport"/>
    <n v="2"/>
  </r>
  <r>
    <n v="2003"/>
    <s v="UE"/>
    <s v="Order"/>
    <n v="49"/>
    <s v="Sunday"/>
    <x v="835"/>
    <n v="14"/>
    <n v="201.02"/>
    <d v="1899-12-30T08:59:00"/>
    <n v="8.9833333333333343"/>
    <n v="9"/>
    <s v="Dinner"/>
    <s v="Brunswick/Bath/Freeport"/>
    <n v="2"/>
  </r>
  <r>
    <n v="2004"/>
    <s v="UE"/>
    <s v="Hourly"/>
    <n v="50"/>
    <s v="Monday"/>
    <x v="836"/>
    <n v="11"/>
    <n v="126.53"/>
    <d v="1899-12-30T04:37:00"/>
    <n v="4.6166666666666671"/>
    <n v="4.5"/>
    <s v="Lunch"/>
    <s v="Lewiston"/>
    <n v="3"/>
  </r>
  <r>
    <n v="2005"/>
    <s v="DD"/>
    <s v="Hourly"/>
    <n v="50"/>
    <s v="Monday"/>
    <x v="836"/>
    <n v="2"/>
    <n v="20.81"/>
    <d v="1899-12-30T01:37:00"/>
    <n v="1.6166666666666667"/>
    <n v="1.5"/>
    <s v="Lunch"/>
    <s v="Lewiston"/>
    <n v="3"/>
  </r>
  <r>
    <n v="2006"/>
    <s v="DD"/>
    <s v="Hourly"/>
    <n v="50"/>
    <s v="Monday"/>
    <x v="836"/>
    <n v="1"/>
    <n v="9.5399999999999991"/>
    <d v="1899-12-30T00:21:00"/>
    <n v="0.35"/>
    <n v="0.25"/>
    <s v="Dinner"/>
    <s v="Lewiston"/>
    <n v="3"/>
  </r>
  <r>
    <n v="2007"/>
    <s v="UE"/>
    <s v="Hourly"/>
    <n v="50"/>
    <s v="Tuesday"/>
    <x v="837"/>
    <n v="8"/>
    <n v="54.64"/>
    <d v="1899-12-30T05:03:00"/>
    <n v="5.05"/>
    <n v="5"/>
    <s v="Lunch"/>
    <s v="Brunswick/Bath/Freeport"/>
    <n v="2"/>
  </r>
  <r>
    <n v="2008"/>
    <s v="DD"/>
    <s v="Order"/>
    <n v="50"/>
    <s v="Tuesday"/>
    <x v="837"/>
    <n v="2"/>
    <n v="77.069999999999993"/>
    <d v="1899-12-30T03:04:00"/>
    <n v="3.0666666666666664"/>
    <n v="3"/>
    <s v="Dinner"/>
    <s v="Brunswick/Bath/Freeport"/>
    <n v="2"/>
  </r>
  <r>
    <n v="2009"/>
    <s v="UE"/>
    <s v="Order"/>
    <n v="50"/>
    <s v="Thursday"/>
    <x v="838"/>
    <n v="19"/>
    <n v="158.91"/>
    <d v="1899-12-30T06:43:00"/>
    <n v="6.7166666666666668"/>
    <n v="6.75"/>
    <s v="Lunch"/>
    <s v="Lewiston"/>
    <n v="3"/>
  </r>
  <r>
    <n v="2010"/>
    <s v="UE"/>
    <s v="Order"/>
    <n v="50"/>
    <s v="Friday"/>
    <x v="839"/>
    <n v="5"/>
    <n v="87.58"/>
    <d v="1899-12-30T04:20:00"/>
    <n v="4.333333333333333"/>
    <n v="4.25"/>
    <s v="Lunch"/>
    <s v="Brunswick/Bath/Freeport"/>
    <n v="2"/>
  </r>
  <r>
    <n v="2011"/>
    <s v="DD"/>
    <s v="Order"/>
    <n v="50"/>
    <s v="Friday"/>
    <x v="839"/>
    <n v="5"/>
    <n v="22.5"/>
    <d v="1899-12-30T01:16:00"/>
    <n v="1.2666666666666666"/>
    <n v="1.25"/>
    <s v="Lunch"/>
    <s v="Brunswick/Bath/Freeport"/>
    <n v="2"/>
  </r>
  <r>
    <n v="2012"/>
    <s v="UE"/>
    <s v="Order"/>
    <n v="50"/>
    <s v="Saturday"/>
    <x v="840"/>
    <n v="6"/>
    <n v="75.3"/>
    <d v="1899-12-30T03:56:00"/>
    <n v="3.9333333333333336"/>
    <n v="4"/>
    <s v="Lunch"/>
    <s v="Lewiston"/>
    <n v="3"/>
  </r>
  <r>
    <n v="2013"/>
    <s v="DD"/>
    <s v="Order"/>
    <n v="50"/>
    <s v="Saturday"/>
    <x v="840"/>
    <n v="8"/>
    <n v="79.27"/>
    <d v="1900-03-19T06:28:48"/>
    <n v="1902.48"/>
    <n v="1902.5"/>
    <s v="Lunch"/>
    <s v="Lewiston"/>
    <n v="3"/>
  </r>
  <r>
    <n v="2014"/>
    <s v="UE"/>
    <s v="Order"/>
    <n v="50"/>
    <s v="Sunday"/>
    <x v="841"/>
    <n v="3"/>
    <n v="23.64"/>
    <d v="1899-12-30T02:16:00"/>
    <n v="2.2666666666666666"/>
    <n v="2.25"/>
    <s v="Lunch"/>
    <s v="Augusta"/>
    <n v="1"/>
  </r>
  <r>
    <n v="2015"/>
    <s v="DD"/>
    <s v="Hourly"/>
    <n v="50"/>
    <s v="Sunday"/>
    <x v="841"/>
    <n v="3"/>
    <n v="42.93"/>
    <d v="1899-12-30T01:37:00"/>
    <n v="1.6166666666666667"/>
    <n v="1.5"/>
    <s v="Lunch"/>
    <s v="Augusta"/>
    <n v="1"/>
  </r>
  <r>
    <n v="2016"/>
    <s v="UE"/>
    <s v="Order"/>
    <n v="51"/>
    <s v="Monday"/>
    <x v="842"/>
    <n v="4"/>
    <n v="72.69"/>
    <d v="1899-12-30T02:40:00"/>
    <n v="2.6666666666666665"/>
    <n v="2.75"/>
    <s v="Dinner"/>
    <s v="Brunswick/Bath/Freeport"/>
    <n v="2"/>
  </r>
  <r>
    <n v="2017"/>
    <s v="DD"/>
    <s v="Order"/>
    <n v="51"/>
    <s v="Monday"/>
    <x v="842"/>
    <n v="3"/>
    <n v="44.75"/>
    <d v="1899-12-30T02:46:00"/>
    <n v="2.7666666666666666"/>
    <n v="2.75"/>
    <s v="Dinner"/>
    <s v="Brunswick/Bath/Freeport"/>
    <n v="2"/>
  </r>
  <r>
    <n v="2018"/>
    <s v="UE"/>
    <s v="Hourly"/>
    <n v="51"/>
    <s v="Tuesday"/>
    <x v="843"/>
    <n v="1"/>
    <n v="11.3"/>
    <d v="1899-12-30T01:31:00"/>
    <n v="1.5166666666666666"/>
    <n v="1.5"/>
    <s v="Dinner"/>
    <s v="Lewiston"/>
    <n v="3"/>
  </r>
  <r>
    <n v="2019"/>
    <s v="DD"/>
    <s v="Hourly"/>
    <n v="51"/>
    <s v="Tuesday"/>
    <x v="843"/>
    <n v="3"/>
    <n v="24.98"/>
    <d v="1899-12-30T01:26:00"/>
    <n v="1.4333333333333333"/>
    <n v="1.5"/>
    <s v="Dinner"/>
    <s v="Lewiston"/>
    <n v="3"/>
  </r>
  <r>
    <n v="2020"/>
    <s v="DD"/>
    <s v="Order"/>
    <n v="51"/>
    <s v="Tuesday"/>
    <x v="843"/>
    <n v="2"/>
    <n v="10.75"/>
    <d v="1899-12-30T00:38:00"/>
    <n v="0.6333333333333333"/>
    <n v="0.75"/>
    <s v="Dinner"/>
    <s v="Lewiston"/>
    <n v="3"/>
  </r>
  <r>
    <n v="2021"/>
    <s v="DD"/>
    <s v="Hourly"/>
    <n v="51"/>
    <s v="Tuesday"/>
    <x v="843"/>
    <n v="3"/>
    <n v="13.49"/>
    <d v="1899-12-30T00:52:00"/>
    <n v="0.86666666666666659"/>
    <n v="0.75"/>
    <s v="Late Night"/>
    <s v="Lewiston"/>
    <n v="3"/>
  </r>
  <r>
    <n v="2022"/>
    <s v="DD"/>
    <s v="Order"/>
    <n v="51"/>
    <s v="Friday"/>
    <x v="844"/>
    <n v="6"/>
    <n v="64"/>
    <d v="1899-12-30T03:11:00"/>
    <n v="3.1833333333333336"/>
    <n v="3.25"/>
    <s v="Dinner"/>
    <s v="Augusta"/>
    <n v="1"/>
  </r>
  <r>
    <n v="2023"/>
    <s v="UE"/>
    <s v="Order"/>
    <n v="51"/>
    <s v="Sunday"/>
    <x v="845"/>
    <n v="7"/>
    <n v="131.69999999999999"/>
    <d v="1899-12-30T04:58:00"/>
    <n v="4.9666666666666668"/>
    <n v="5"/>
    <s v="Dinner"/>
    <s v="Portland"/>
    <n v="4"/>
  </r>
  <r>
    <n v="2024"/>
    <s v="DD"/>
    <s v="Order"/>
    <n v="51"/>
    <s v="Sunday"/>
    <x v="845"/>
    <n v="1"/>
    <n v="9"/>
    <d v="1899-12-30T01:13:00"/>
    <n v="1.2166666666666668"/>
    <n v="1.25"/>
    <s v="Dinner"/>
    <s v="Portland"/>
    <n v="4"/>
  </r>
  <r>
    <n v="2025"/>
    <s v="DD"/>
    <s v="Order"/>
    <n v="51"/>
    <s v="Sunday"/>
    <x v="845"/>
    <n v="1"/>
    <n v="16"/>
    <d v="1899-12-30T01:51:00"/>
    <n v="1.85"/>
    <n v="1.75"/>
    <s v="Dinner"/>
    <s v="Portland"/>
    <n v="4"/>
  </r>
  <r>
    <n v="2026"/>
    <s v="UE"/>
    <s v="Order"/>
    <n v="1"/>
    <s v="Tuesday"/>
    <x v="846"/>
    <n v="3"/>
    <n v="42.77"/>
    <d v="1899-12-30T02:21:00"/>
    <n v="2.35"/>
    <n v="2.25"/>
    <s v="Dinner"/>
    <s v="Brunswick/Bath/Freeport"/>
    <n v="2"/>
  </r>
  <r>
    <n v="2027"/>
    <s v="DD"/>
    <s v="Order"/>
    <n v="1"/>
    <s v="Tuesday"/>
    <x v="846"/>
    <n v="1"/>
    <n v="12.15"/>
    <d v="1899-12-30T01:07:00"/>
    <n v="1.1166666666666667"/>
    <n v="1"/>
    <s v="Dinner"/>
    <s v="Brunswick/Bath/Freeport"/>
    <n v="2"/>
  </r>
  <r>
    <n v="2028"/>
    <s v="DD"/>
    <s v="Order"/>
    <n v="1"/>
    <s v="Tuesday"/>
    <x v="846"/>
    <n v="3"/>
    <n v="55.15"/>
    <d v="1899-12-30T02:09:00"/>
    <n v="2.15"/>
    <n v="2.25"/>
    <s v="Late Night"/>
    <s v="Brunswick/Bath/Freeport"/>
    <n v="2"/>
  </r>
  <r>
    <n v="2029"/>
    <s v="DD"/>
    <s v="Order"/>
    <n v="1"/>
    <s v="Thursday"/>
    <x v="847"/>
    <n v="1"/>
    <n v="9"/>
    <d v="1899-12-30T00:25:00"/>
    <n v="0.41666666666666669"/>
    <n v="0.5"/>
    <s v="Lunch"/>
    <s v="Lewiston"/>
    <n v="3"/>
  </r>
  <r>
    <n v="2030"/>
    <s v="UE"/>
    <s v="Order"/>
    <n v="1"/>
    <s v="Saturday"/>
    <x v="848"/>
    <n v="5"/>
    <n v="88.58"/>
    <d v="1899-12-30T03:21:00"/>
    <n v="3.35"/>
    <n v="3.25"/>
    <s v="Dinner"/>
    <s v="Brunswick/Bath/Freeport"/>
    <n v="2"/>
  </r>
  <r>
    <n v="2031"/>
    <s v="DD"/>
    <s v="Order"/>
    <n v="1"/>
    <s v="Saturday"/>
    <x v="848"/>
    <n v="4"/>
    <n v="66.45"/>
    <d v="1899-12-30T01:57:00"/>
    <n v="1.9500000000000002"/>
    <n v="2"/>
    <s v="Late Night"/>
    <s v="Brunswick/Bath/Freeport"/>
    <n v="2"/>
  </r>
  <r>
    <n v="2032"/>
    <s v="DD"/>
    <s v="Order"/>
    <n v="1"/>
    <s v="Sunday"/>
    <x v="849"/>
    <n v="1"/>
    <n v="5"/>
    <d v="1899-12-30T00:34:00"/>
    <n v="0.56666666666666665"/>
    <n v="0.5"/>
    <s v="Dinner"/>
    <s v="Brunswick/Bath/Freeport"/>
    <n v="2"/>
  </r>
  <r>
    <n v="2033"/>
    <s v="DD"/>
    <s v="Order"/>
    <n v="1"/>
    <s v="Sunday"/>
    <x v="849"/>
    <n v="1"/>
    <n v="33.4"/>
    <d v="1899-12-30T00:36:00"/>
    <n v="0.60000000000000009"/>
    <n v="0.5"/>
    <s v="Late Night"/>
    <s v="Brunswick/Bath/Freeport"/>
    <n v="2"/>
  </r>
  <r>
    <n v="2034"/>
    <s v="UE"/>
    <s v="Order"/>
    <n v="2"/>
    <s v="Thursday"/>
    <x v="850"/>
    <n v="2"/>
    <n v="42.2"/>
    <d v="1899-12-30T01:29:00"/>
    <n v="1.4833333333333334"/>
    <n v="1.5"/>
    <s v="Dinner"/>
    <s v="Lewiston"/>
    <n v="3"/>
  </r>
  <r>
    <n v="2035"/>
    <s v="UE"/>
    <s v="Hourly"/>
    <n v="3"/>
    <s v="Wednesday"/>
    <x v="851"/>
    <n v="5"/>
    <n v="30.33"/>
    <d v="1899-12-30T01:48:00"/>
    <n v="1.7999999999999998"/>
    <n v="1.75"/>
    <s v="Dinner"/>
    <s v="Lewiston"/>
    <n v="3"/>
  </r>
  <r>
    <n v="2036"/>
    <s v="DD"/>
    <s v="Hourly"/>
    <n v="3"/>
    <s v="Wednesday"/>
    <x v="851"/>
    <n v="1"/>
    <n v="13.22"/>
    <d v="1899-12-30T01:15:00"/>
    <n v="1.25"/>
    <n v="1.25"/>
    <s v="Dinner"/>
    <s v="Lewiston"/>
    <n v="3"/>
  </r>
  <r>
    <n v="2037"/>
    <s v="UE"/>
    <s v="Order"/>
    <n v="3"/>
    <s v="Friday"/>
    <x v="852"/>
    <n v="4"/>
    <n v="126.64"/>
    <d v="1899-12-30T03:06:00"/>
    <n v="3.1000000000000005"/>
    <n v="3"/>
    <s v="Dinner"/>
    <s v="Brunswick/Bath/Freeport"/>
    <n v="2"/>
  </r>
  <r>
    <n v="2038"/>
    <s v="DD"/>
    <s v="Hourly"/>
    <n v="3"/>
    <s v="Friday"/>
    <x v="852"/>
    <n v="3"/>
    <n v="24.15"/>
    <d v="1899-12-30T01:49:00"/>
    <n v="1.8166666666666664"/>
    <n v="1.75"/>
    <s v="Dinner"/>
    <s v="Brunswick/Bath/Freeport"/>
    <n v="2"/>
  </r>
  <r>
    <n v="2039"/>
    <s v="DD"/>
    <s v="Order"/>
    <n v="3"/>
    <s v="Friday"/>
    <x v="852"/>
    <n v="1"/>
    <n v="4.7"/>
    <d v="1899-12-30T00:23:00"/>
    <n v="0.3833333333333333"/>
    <n v="0.5"/>
    <s v="Late Night"/>
    <s v="Brunswick/Bath/Freeport"/>
    <n v="2"/>
  </r>
  <r>
    <n v="2040"/>
    <s v="UE"/>
    <s v="Hourly"/>
    <n v="3"/>
    <s v="Saturday"/>
    <x v="853"/>
    <n v="2"/>
    <n v="18.7"/>
    <d v="1899-12-30T01:01:00"/>
    <n v="1.0166666666666666"/>
    <n v="1"/>
    <s v="Dinner"/>
    <s v="Lewiston"/>
    <n v="3"/>
  </r>
  <r>
    <n v="2041"/>
    <s v="DD"/>
    <s v="Hourly"/>
    <n v="3"/>
    <s v="Saturday"/>
    <x v="853"/>
    <n v="9"/>
    <n v="112.75"/>
    <d v="1899-12-30T03:40:00"/>
    <n v="3.666666666666667"/>
    <n v="3.75"/>
    <s v="Dinner"/>
    <s v="Lewiston"/>
    <n v="3"/>
  </r>
  <r>
    <n v="2042"/>
    <s v="UE"/>
    <s v="Hourly"/>
    <n v="3"/>
    <s v="Sunday"/>
    <x v="854"/>
    <n v="3"/>
    <n v="22.93"/>
    <d v="1899-12-30T01:39:00"/>
    <n v="1.6500000000000001"/>
    <n v="1.75"/>
    <s v="Dinner"/>
    <s v="Brunswick/Bath/Freeport"/>
    <n v="2"/>
  </r>
  <r>
    <n v="2043"/>
    <s v="UE"/>
    <s v="Hourly"/>
    <n v="4"/>
    <s v="Monday"/>
    <x v="855"/>
    <n v="3"/>
    <n v="46.56"/>
    <d v="1899-12-30T02:06:00"/>
    <n v="2.0999999999999996"/>
    <n v="2"/>
    <s v="Lunch"/>
    <s v="Portland"/>
    <n v="4"/>
  </r>
  <r>
    <n v="2044"/>
    <s v="UE"/>
    <s v="Order"/>
    <n v="4"/>
    <s v="Monday"/>
    <x v="855"/>
    <n v="3"/>
    <n v="31.119999999999997"/>
    <d v="1899-12-30T01:37:51"/>
    <n v="1.6308333333333331"/>
    <n v="1.75"/>
    <s v="Lunch"/>
    <s v="Portland"/>
    <n v="4"/>
  </r>
  <r>
    <n v="2045"/>
    <s v="UE"/>
    <s v="Order"/>
    <n v="4"/>
    <s v="Saturday"/>
    <x v="856"/>
    <n v="1"/>
    <n v="28.06"/>
    <d v="1899-12-30T01:42:00"/>
    <n v="1.7"/>
    <n v="1.75"/>
    <s v="Dinner"/>
    <s v="Brunswick/Bath/Freeport"/>
    <n v="2"/>
  </r>
  <r>
    <n v="2046"/>
    <s v="DD"/>
    <s v="Order"/>
    <n v="4"/>
    <s v="Saturday"/>
    <x v="856"/>
    <n v="1"/>
    <n v="26.25"/>
    <d v="1899-12-30T01:01:00"/>
    <n v="1.0166666666666666"/>
    <n v="1"/>
    <s v="Dinner"/>
    <s v="Brunswick/Bath/Freeport"/>
    <n v="2"/>
  </r>
  <r>
    <n v="2047"/>
    <s v="DD"/>
    <s v="Order"/>
    <n v="4"/>
    <s v="Saturday"/>
    <x v="856"/>
    <n v="6"/>
    <n v="56.1"/>
    <d v="1899-12-30T03:47:00"/>
    <n v="3.7833333333333332"/>
    <n v="3.75"/>
    <s v="Dinner"/>
    <s v="Brunswick/Bath/Freeport"/>
    <n v="2"/>
  </r>
  <r>
    <n v="2048"/>
    <s v="DD"/>
    <s v="Order"/>
    <n v="5"/>
    <s v="Monday"/>
    <x v="857"/>
    <n v="2"/>
    <n v="21.84"/>
    <d v="1899-12-30T01:22:00"/>
    <n v="1.3666666666666667"/>
    <n v="1.25"/>
    <s v="Late Night"/>
    <s v="Brunswick/Bath/Freeport"/>
    <n v="2"/>
  </r>
  <r>
    <n v="2049"/>
    <s v="UE"/>
    <s v="Order"/>
    <n v="5"/>
    <s v="Sunday"/>
    <x v="858"/>
    <n v="2"/>
    <n v="77.150000000000006"/>
    <d v="1899-12-30T02:04:00"/>
    <n v="2.0666666666666664"/>
    <n v="2"/>
    <s v="Dinner"/>
    <s v="Brunswick/Bath/Freeport"/>
    <n v="2"/>
  </r>
  <r>
    <n v="2050"/>
    <s v="DD"/>
    <s v="Order"/>
    <n v="5"/>
    <s v="Sunday"/>
    <x v="858"/>
    <n v="5"/>
    <n v="64.599999999999994"/>
    <d v="1899-12-30T02:50:00"/>
    <n v="2.833333333333333"/>
    <n v="2.75"/>
    <s v="Dinner"/>
    <s v="Brunswick/Bath/Freeport"/>
    <n v="2"/>
  </r>
  <r>
    <n v="2051"/>
    <s v="UE"/>
    <s v="Hourly"/>
    <n v="7"/>
    <s v="Friday"/>
    <x v="859"/>
    <n v="3"/>
    <n v="40.25"/>
    <d v="1899-12-30T02:55:00"/>
    <n v="2.9166666666666665"/>
    <n v="3"/>
    <s v="Dinner"/>
    <s v="Portland"/>
    <n v="4"/>
  </r>
  <r>
    <n v="2052"/>
    <s v="DD"/>
    <s v="Hourly"/>
    <n v="7"/>
    <s v="Friday"/>
    <x v="859"/>
    <n v="2"/>
    <n v="26.58"/>
    <d v="1899-12-30T01:48:00"/>
    <n v="1.7999999999999998"/>
    <n v="1.75"/>
    <s v="Late Night"/>
    <s v="Portland"/>
    <n v="4"/>
  </r>
  <r>
    <n v="2053"/>
    <s v="DD"/>
    <s v="Hourly"/>
    <n v="7"/>
    <s v="Friday"/>
    <x v="859"/>
    <n v="2"/>
    <n v="17.95"/>
    <d v="1899-12-30T00:53:00"/>
    <n v="0.8833333333333333"/>
    <n v="1"/>
    <s v="Late Night"/>
    <s v="Portland"/>
    <n v="4"/>
  </r>
  <r>
    <n v="2054"/>
    <s v="UE"/>
    <s v="Order"/>
    <n v="7"/>
    <s v="Saturday"/>
    <x v="860"/>
    <n v="3"/>
    <n v="60.17"/>
    <d v="1899-12-30T03:42:00"/>
    <n v="3.7"/>
    <n v="3.75"/>
    <s v="Late Night"/>
    <s v="Brunswick/Bath/Freeport"/>
    <n v="2"/>
  </r>
  <r>
    <n v="2055"/>
    <s v="UE"/>
    <s v="Order"/>
    <n v="8"/>
    <s v="Friday"/>
    <x v="861"/>
    <n v="5"/>
    <n v="135.77000000000001"/>
    <d v="1899-12-30T02:51:00"/>
    <n v="2.8499999999999996"/>
    <n v="2.75"/>
    <s v="Dinner"/>
    <s v="Brunswick/Bath/Freeport"/>
    <n v="2"/>
  </r>
  <r>
    <n v="2056"/>
    <s v="DD"/>
    <s v="Order"/>
    <n v="8"/>
    <s v="Friday"/>
    <x v="861"/>
    <n v="4"/>
    <n v="33.25"/>
    <d v="1899-12-30T02:00:00"/>
    <n v="2"/>
    <n v="2"/>
    <s v="Late Night"/>
    <s v="Brunswick/Bath/Freeport"/>
    <n v="2"/>
  </r>
  <r>
    <n v="2057"/>
    <s v="UE"/>
    <s v="Order"/>
    <n v="8"/>
    <s v="Saturday"/>
    <x v="862"/>
    <n v="10"/>
    <n v="197.22"/>
    <d v="1899-12-30T04:59:00"/>
    <n v="4.9833333333333334"/>
    <n v="5"/>
    <s v="Dinner"/>
    <s v="Brunswick/Bath/Freeport"/>
    <n v="2"/>
  </r>
  <r>
    <n v="2058"/>
    <s v="DD"/>
    <s v="Order"/>
    <n v="10"/>
    <s v="Monday"/>
    <x v="863"/>
    <n v="10"/>
    <n v="127.19"/>
    <d v="1899-12-30T04:51:00"/>
    <n v="4.8499999999999996"/>
    <n v="4.75"/>
    <s v="Dinner"/>
    <s v="Brunswick/Bath/Freeport"/>
    <n v="2"/>
  </r>
  <r>
    <n v="2059"/>
    <s v="DD"/>
    <s v="Order"/>
    <n v="10"/>
    <s v="Tuesday"/>
    <x v="864"/>
    <n v="8"/>
    <n v="49.5"/>
    <d v="1899-12-30T02:20:00"/>
    <n v="2.3333333333333335"/>
    <n v="2.25"/>
    <s v="Late Night"/>
    <s v="Lewiston"/>
    <n v="3"/>
  </r>
  <r>
    <n v="2060"/>
    <s v="UE"/>
    <s v="Hourly"/>
    <n v="10"/>
    <s v="Friday"/>
    <x v="865"/>
    <n v="3"/>
    <n v="50.97"/>
    <d v="1899-12-30T01:40:00"/>
    <n v="1.6666666666666667"/>
    <n v="1.75"/>
    <s v="Dinner"/>
    <s v="Brunswick/Bath/Freeport"/>
    <n v="2"/>
  </r>
  <r>
    <n v="2061"/>
    <s v="DD"/>
    <s v="Order"/>
    <n v="10"/>
    <s v="Friday"/>
    <x v="865"/>
    <n v="4"/>
    <n v="29.25"/>
    <d v="1899-12-30T01:11:00"/>
    <n v="1.1833333333333333"/>
    <n v="1.25"/>
    <s v="Dinner"/>
    <s v="Brunswick/Bath/Freeport"/>
    <n v="2"/>
  </r>
  <r>
    <n v="2062"/>
    <s v="UE"/>
    <s v="Order"/>
    <n v="11"/>
    <s v="Tuesday"/>
    <x v="866"/>
    <n v="4"/>
    <n v="116.3"/>
    <d v="1899-12-30T03:08:00"/>
    <n v="3.1333333333333337"/>
    <n v="3.25"/>
    <s v="Dinner"/>
    <s v="Portland"/>
    <n v="4"/>
  </r>
  <r>
    <n v="2063"/>
    <s v="DD"/>
    <s v="Order"/>
    <n v="11"/>
    <s v="Tuesday"/>
    <x v="866"/>
    <n v="2"/>
    <n v="18.04"/>
    <d v="1899-12-30T02:04:00"/>
    <n v="2.0666666666666664"/>
    <n v="2"/>
    <s v="Dinner"/>
    <s v="Portland"/>
    <n v="4"/>
  </r>
  <r>
    <n v="2064"/>
    <s v="UE"/>
    <s v="Hourly"/>
    <n v="11"/>
    <s v="Friday"/>
    <x v="867"/>
    <n v="2"/>
    <n v="46.22"/>
    <d v="1899-12-30T02:59:00"/>
    <n v="2.9833333333333334"/>
    <n v="3"/>
    <s v="Dinner"/>
    <s v="Brunswick/Bath/Freeport"/>
    <n v="2"/>
  </r>
  <r>
    <n v="2065"/>
    <s v="DD"/>
    <s v="Hourly"/>
    <n v="11"/>
    <s v="Friday"/>
    <x v="867"/>
    <n v="1"/>
    <n v="24.29"/>
    <d v="1899-12-30T01:01:00"/>
    <n v="1.0166666666666666"/>
    <n v="1"/>
    <s v="Dinner"/>
    <s v="Brunswick/Bath/Freeport"/>
    <n v="2"/>
  </r>
  <r>
    <n v="2066"/>
    <s v="DD"/>
    <s v="Order"/>
    <n v="11"/>
    <s v="Friday"/>
    <x v="867"/>
    <n v="3"/>
    <n v="25.95"/>
    <d v="1899-12-30T02:08:00"/>
    <n v="2.1333333333333333"/>
    <n v="2.25"/>
    <s v="Late Night"/>
    <s v="Brunswick/Bath/Freeport"/>
    <n v="2"/>
  </r>
  <r>
    <n v="2067"/>
    <s v="UE"/>
    <s v="Order"/>
    <n v="12"/>
    <s v="Tuesday"/>
    <x v="868"/>
    <n v="2"/>
    <n v="42.97"/>
    <d v="1899-12-30T02:49:00"/>
    <n v="2.8166666666666664"/>
    <n v="2.75"/>
    <s v="Late Night"/>
    <s v="Brunswick/Bath/Freeport"/>
    <n v="2"/>
  </r>
  <r>
    <n v="2068"/>
    <s v="DD"/>
    <s v="Order"/>
    <n v="12"/>
    <s v="Tuesday"/>
    <x v="868"/>
    <n v="2"/>
    <n v="29.1"/>
    <d v="1899-12-30T03:41:00"/>
    <n v="3.6833333333333336"/>
    <n v="3.75"/>
    <s v="Late Night"/>
    <s v="Brunswick/Bath/Freeport"/>
    <n v="2"/>
  </r>
  <r>
    <n v="2069"/>
    <s v="UE"/>
    <s v="Hourly"/>
    <n v="13"/>
    <s v="Wednesday"/>
    <x v="869"/>
    <n v="3"/>
    <n v="41.61"/>
    <d v="1899-12-30T02:43:00"/>
    <n v="2.7166666666666668"/>
    <n v="2.75"/>
    <s v="Dinner"/>
    <s v="Brunswick/Bath/Freeport"/>
    <n v="2"/>
  </r>
  <r>
    <n v="2070"/>
    <s v="DD"/>
    <s v="Hourly"/>
    <n v="13"/>
    <s v="Wednesday"/>
    <x v="869"/>
    <n v="1"/>
    <n v="11.99"/>
    <d v="1899-12-30T01:23:00"/>
    <n v="1.3833333333333333"/>
    <n v="1.5"/>
    <s v="Dinner"/>
    <s v="Brunswick/Bath/Freeport"/>
    <n v="2"/>
  </r>
  <r>
    <n v="2071"/>
    <s v="DD"/>
    <s v="Order"/>
    <n v="13"/>
    <s v="Wednesday"/>
    <x v="869"/>
    <n v="3"/>
    <n v="61.13"/>
    <d v="1899-12-30T02:29:00"/>
    <n v="2.4833333333333334"/>
    <n v="2.5"/>
    <s v="Dinner"/>
    <s v="Brunswick/Bath/Freeport"/>
    <n v="2"/>
  </r>
  <r>
    <n v="2072"/>
    <s v="UE"/>
    <s v="Hourly"/>
    <n v="13"/>
    <s v="Thursday"/>
    <x v="870"/>
    <n v="7"/>
    <n v="81.8"/>
    <d v="1899-12-30T03:42:00"/>
    <n v="3.7"/>
    <n v="3.75"/>
    <s v="Dinner"/>
    <s v="Brunswick/Bath/Freeport"/>
    <n v="2"/>
  </r>
  <r>
    <n v="2073"/>
    <s v="DD"/>
    <s v="Order"/>
    <n v="13"/>
    <s v="Thursday"/>
    <x v="870"/>
    <n v="1"/>
    <n v="17.5"/>
    <d v="1899-12-30T00:39:00"/>
    <n v="0.65"/>
    <n v="0.75"/>
    <s v="Late Night"/>
    <s v="Brunswick/Bath/Freeport"/>
    <n v="2"/>
  </r>
  <r>
    <n v="2074"/>
    <s v="DD"/>
    <s v="Hourly"/>
    <n v="16"/>
    <s v="Tuesday"/>
    <x v="871"/>
    <n v="8"/>
    <n v="56.55"/>
    <d v="1899-12-30T03:02:00"/>
    <n v="3.0333333333333332"/>
    <n v="3"/>
    <s v="Late Night"/>
    <s v="Brunswick/Bath/Freeport"/>
    <n v="2"/>
  </r>
  <r>
    <n v="2075"/>
    <s v="UE"/>
    <s v="Order"/>
    <n v="17"/>
    <s v="Wednesday"/>
    <x v="872"/>
    <n v="5"/>
    <n v="180.98"/>
    <d v="1899-12-30T03:26:00"/>
    <n v="3.4333333333333331"/>
    <n v="3.5"/>
    <s v="Dinner"/>
    <s v="Lewiston"/>
    <n v="3"/>
  </r>
  <r>
    <n v="2076"/>
    <s v="DD"/>
    <s v="Hourly"/>
    <n v="17"/>
    <s v="Wednesday"/>
    <x v="872"/>
    <n v="4"/>
    <n v="24.59"/>
    <d v="1899-12-30T03:10:00"/>
    <n v="3.166666666666667"/>
    <n v="3.25"/>
    <s v="Dinner"/>
    <s v="Lewiston"/>
    <n v="3"/>
  </r>
  <r>
    <n v="2077"/>
    <s v="UE"/>
    <s v="Order"/>
    <n v="17"/>
    <s v="Friday"/>
    <x v="873"/>
    <n v="10"/>
    <n v="237.25"/>
    <d v="1899-12-30T04:11:00"/>
    <n v="4.1833333333333336"/>
    <n v="4.25"/>
    <s v="Dinner"/>
    <s v="Lewiston"/>
    <n v="3"/>
  </r>
  <r>
    <n v="2078"/>
    <s v="DD"/>
    <s v="Hourly"/>
    <n v="17"/>
    <s v="Friday"/>
    <x v="873"/>
    <n v="4"/>
    <n v="23.27"/>
    <d v="1899-12-30T01:51:00"/>
    <n v="1.85"/>
    <n v="1.75"/>
    <s v="Late Night"/>
    <s v="Lewiston"/>
    <n v="3"/>
  </r>
  <r>
    <n v="2079"/>
    <s v="DD"/>
    <s v="Hourly"/>
    <n v="17"/>
    <s v="Friday"/>
    <x v="873"/>
    <n v="4"/>
    <n v="65.16"/>
    <d v="1899-12-30T02:29:00"/>
    <n v="2.4833333333333334"/>
    <n v="2.5"/>
    <s v="Late Night"/>
    <s v="Lewiston"/>
    <n v="3"/>
  </r>
  <r>
    <n v="2080"/>
    <s v="UE"/>
    <s v="Order"/>
    <n v="18"/>
    <s v="Wednesday"/>
    <x v="874"/>
    <n v="2"/>
    <n v="29.13"/>
    <d v="1899-12-30T01:14:00"/>
    <n v="1.2333333333333334"/>
    <n v="1.25"/>
    <s v="Dinner"/>
    <s v="Lewiston"/>
    <n v="3"/>
  </r>
  <r>
    <n v="2081"/>
    <s v="DD"/>
    <s v="Order"/>
    <n v="18"/>
    <s v="Wednesday"/>
    <x v="874"/>
    <n v="11"/>
    <n v="93.75"/>
    <d v="1899-12-30T05:28:00"/>
    <n v="5.4666666666666668"/>
    <n v="5.5"/>
    <s v="Dinner"/>
    <s v="Lewiston"/>
    <n v="3"/>
  </r>
  <r>
    <n v="2082"/>
    <s v="UE"/>
    <s v="Order"/>
    <n v="19"/>
    <s v="Monday"/>
    <x v="875"/>
    <n v="3"/>
    <n v="22.78"/>
    <d v="1899-12-30T02:15:00"/>
    <n v="2.25"/>
    <n v="2.25"/>
    <s v="Dinner"/>
    <s v="Brunswick/Bath/Freeport"/>
    <n v="2"/>
  </r>
  <r>
    <n v="2083"/>
    <s v="DD"/>
    <s v="Order"/>
    <n v="19"/>
    <s v="Monday"/>
    <x v="875"/>
    <n v="1"/>
    <n v="7.3"/>
    <d v="1899-12-30T02:15:00"/>
    <n v="2.25"/>
    <n v="2.25"/>
    <s v="Dinner"/>
    <s v="Brunswick/Bath/Freeport"/>
    <n v="2"/>
  </r>
  <r>
    <n v="2084"/>
    <s v="DD"/>
    <s v="Order"/>
    <n v="19"/>
    <s v="Monday"/>
    <x v="875"/>
    <n v="3"/>
    <n v="27.65"/>
    <d v="1899-12-30T01:18:00"/>
    <n v="1.3"/>
    <n v="1.25"/>
    <s v="Late Night"/>
    <s v="Brunswick/Bath/Freeport"/>
    <n v="2"/>
  </r>
  <r>
    <n v="2085"/>
    <s v="UE"/>
    <s v="Order"/>
    <n v="19"/>
    <s v="Friday"/>
    <x v="876"/>
    <n v="1"/>
    <n v="10.54"/>
    <d v="1899-12-30T01:27:00"/>
    <n v="1.45"/>
    <n v="1.5"/>
    <s v="Dinner"/>
    <s v="Brunswick/Bath/Freeport"/>
    <n v="2"/>
  </r>
  <r>
    <n v="2086"/>
    <s v="DD"/>
    <s v="Order"/>
    <n v="19"/>
    <s v="Friday"/>
    <x v="876"/>
    <n v="1"/>
    <n v="8.4"/>
    <d v="1899-12-30T01:02:00"/>
    <n v="1.0333333333333332"/>
    <n v="1"/>
    <s v="Dinner"/>
    <s v="Brunswick/Bath/Freeport"/>
    <n v="2"/>
  </r>
  <r>
    <n v="2087"/>
    <s v="UE"/>
    <s v="Order"/>
    <n v="20"/>
    <s v="Monday"/>
    <x v="877"/>
    <n v="4"/>
    <n v="62.63"/>
    <d v="1899-12-30T02:27:00"/>
    <n v="2.4500000000000002"/>
    <n v="2.5"/>
    <s v="Dinner"/>
    <s v="Brunswick/Bath/Freeport"/>
    <n v="2"/>
  </r>
  <r>
    <n v="2088"/>
    <s v="DD"/>
    <s v="Hourly"/>
    <n v="20"/>
    <s v="Monday"/>
    <x v="877"/>
    <n v="1"/>
    <n v="7.49"/>
    <d v="1899-12-30T01:05:00"/>
    <n v="1.0833333333333333"/>
    <n v="1"/>
    <s v="Dinner"/>
    <s v="Brunswick/Bath/Freeport"/>
    <n v="2"/>
  </r>
  <r>
    <n v="2089"/>
    <s v="DD"/>
    <s v="Order"/>
    <n v="20"/>
    <s v="Monday"/>
    <x v="877"/>
    <n v="1"/>
    <n v="10.65"/>
    <d v="1899-12-30T01:21:00"/>
    <n v="1.35"/>
    <n v="1.25"/>
    <s v="Late Night"/>
    <s v="Brunswick/Bath/Freeport"/>
    <n v="2"/>
  </r>
  <r>
    <n v="2090"/>
    <s v="UE"/>
    <s v="Order"/>
    <n v="20"/>
    <s v="Tuesday"/>
    <x v="878"/>
    <n v="2"/>
    <n v="34.08"/>
    <d v="1899-12-30T02:01:00"/>
    <n v="2.0166666666666666"/>
    <n v="2"/>
    <s v="Dinner"/>
    <s v="Brunswick/Bath/Freeport"/>
    <n v="2"/>
  </r>
  <r>
    <n v="2091"/>
    <s v="DD"/>
    <s v="Order"/>
    <n v="20"/>
    <s v="Tuesday"/>
    <x v="878"/>
    <n v="4"/>
    <n v="69.25"/>
    <d v="1899-12-30T03:08:00"/>
    <n v="3.1333333333333337"/>
    <n v="3.25"/>
    <s v="Dinner"/>
    <s v="Brunswick/Bath/Freeport"/>
    <n v="2"/>
  </r>
  <r>
    <n v="2092"/>
    <s v="UE"/>
    <s v="Order"/>
    <n v="20"/>
    <s v="Sunday"/>
    <x v="879"/>
    <n v="7"/>
    <n v="90.11"/>
    <d v="1899-12-30T04:11:00"/>
    <n v="4.1833333333333336"/>
    <n v="4.25"/>
    <s v="Dinner"/>
    <s v="Portland"/>
    <n v="4"/>
  </r>
  <r>
    <n v="2093"/>
    <s v="DD"/>
    <s v="Order"/>
    <n v="20"/>
    <s v="Sunday"/>
    <x v="879"/>
    <n v="2"/>
    <n v="33.35"/>
    <d v="1899-12-30T01:03:00"/>
    <n v="1.0499999999999998"/>
    <n v="1"/>
    <s v="Dinner"/>
    <s v="Portland"/>
    <n v="4"/>
  </r>
  <r>
    <n v="2094"/>
    <s v="DD"/>
    <s v="Hourly"/>
    <n v="20"/>
    <s v="Sunday"/>
    <x v="879"/>
    <n v="3"/>
    <n v="30.19"/>
    <d v="1899-12-30T01:27:00"/>
    <n v="1.45"/>
    <n v="1.5"/>
    <s v="Late Night"/>
    <s v="Portland"/>
    <n v="4"/>
  </r>
  <r>
    <n v="2095"/>
    <s v="UE"/>
    <s v="Order"/>
    <n v="21"/>
    <s v="Wednesday"/>
    <x v="880"/>
    <n v="6"/>
    <n v="84.21"/>
    <d v="1899-12-30T03:27:00"/>
    <n v="3.4499999999999997"/>
    <n v="3.5"/>
    <s v="Dinner"/>
    <s v="Brunswick/Bath/Freeport"/>
    <n v="2"/>
  </r>
  <r>
    <n v="2096"/>
    <s v="DD"/>
    <s v="Order"/>
    <n v="21"/>
    <s v="Wednesday"/>
    <x v="880"/>
    <n v="3"/>
    <n v="18.3"/>
    <d v="1899-12-30T01:46:00"/>
    <n v="1.7666666666666666"/>
    <n v="1.75"/>
    <s v="Dinner"/>
    <s v="Lewiston"/>
    <n v="3"/>
  </r>
  <r>
    <n v="2097"/>
    <s v="DD"/>
    <s v="Order"/>
    <n v="21"/>
    <s v="Wednesday"/>
    <x v="880"/>
    <n v="1"/>
    <n v="5"/>
    <d v="1899-12-30T01:00:00"/>
    <n v="1"/>
    <n v="1"/>
    <s v="Late Night"/>
    <s v="Lewiston"/>
    <n v="3"/>
  </r>
  <r>
    <n v="2098"/>
    <s v="UE"/>
    <s v="Order"/>
    <n v="21"/>
    <s v="Friday"/>
    <x v="881"/>
    <n v="9"/>
    <n v="125.25"/>
    <d v="1899-12-30T06:28:00"/>
    <n v="6.4666666666666668"/>
    <n v="6.5"/>
    <s v="Late Night"/>
    <s v="Lewiston"/>
    <n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2">
  <r>
    <x v="0"/>
    <s v="Friday"/>
    <s v="Rain / Snow Mix"/>
    <n v="29.5"/>
    <x v="0"/>
    <m/>
    <n v="4.333333333333333"/>
    <n v="10.341184263267598"/>
    <s v="UE"/>
  </r>
  <r>
    <x v="1"/>
    <s v="Saturday"/>
    <s v="Rain / Snow Mix"/>
    <n v="32"/>
    <x v="1"/>
    <m/>
    <n v="3.1000000000000005"/>
    <n v="57.189545807727626"/>
    <s v="UE"/>
  </r>
  <r>
    <x v="2"/>
    <s v="Friday"/>
    <s v="Partially Cloudy"/>
    <n v="26.6"/>
    <x v="1"/>
    <m/>
    <n v="2.0499999999999998"/>
    <n v="28.594772903863813"/>
    <s v="UE"/>
  </r>
  <r>
    <x v="3"/>
    <s v="Sunday"/>
    <s v="Partially Cloudy"/>
    <n v="34.200000000000003"/>
    <x v="1"/>
    <m/>
    <n v="6.6166666666666671"/>
    <n v="71.48693225965954"/>
    <s v="UE"/>
  </r>
  <r>
    <x v="4"/>
    <s v="Sunday"/>
    <s v="Partially Cloudy"/>
    <n v="32.4"/>
    <x v="1"/>
    <m/>
    <n v="3.6666666666666661"/>
    <n v="28.594772903863813"/>
    <s v="UE"/>
  </r>
  <r>
    <x v="5"/>
    <s v="Saturday"/>
    <s v="Clear"/>
    <n v="29.1"/>
    <x v="1"/>
    <m/>
    <n v="7.1666666666666661"/>
    <n v="100.08170516352334"/>
    <s v="UE"/>
  </r>
  <r>
    <x v="6"/>
    <s v="Sunday"/>
    <s v="Partially Cloudy"/>
    <n v="17.600000000000001"/>
    <x v="2"/>
    <m/>
    <n v="2.35"/>
    <n v="7.89235576923077"/>
    <s v="UE"/>
  </r>
  <r>
    <x v="7"/>
    <s v="Monday"/>
    <s v="Rain / Snow Mix"/>
    <n v="21.2"/>
    <x v="1"/>
    <m/>
    <n v="2.15"/>
    <n v="28.594772903863813"/>
    <s v="UE"/>
  </r>
  <r>
    <x v="8"/>
    <s v="Tuesday"/>
    <s v="Rain / Snow Mix"/>
    <n v="31.9"/>
    <x v="1"/>
    <m/>
    <n v="4.9666666666666668"/>
    <n v="71.48693225965954"/>
    <s v="UE"/>
  </r>
  <r>
    <x v="9"/>
    <s v="Sunday"/>
    <s v="Light Snow"/>
    <n v="16.3"/>
    <x v="1"/>
    <m/>
    <n v="5.4"/>
    <n v="85.784318711591439"/>
    <s v="UE"/>
  </r>
  <r>
    <x v="10"/>
    <s v="Sunday"/>
    <s v="Partially Cloudy"/>
    <n v="29.5"/>
    <x v="0"/>
    <m/>
    <n v="6.25"/>
    <n v="82.729474106140785"/>
    <s v="UE"/>
  </r>
  <r>
    <x v="11"/>
    <s v="Saturday"/>
    <s v="Clear"/>
    <n v="26.4"/>
    <x v="0"/>
    <m/>
    <n v="5.2166666666666668"/>
    <n v="103.41184263267598"/>
    <s v="DD"/>
  </r>
  <r>
    <x v="12"/>
    <s v="Sunday"/>
    <s v="Rain / Snow Mix"/>
    <n v="36.1"/>
    <x v="0"/>
    <m/>
    <n v="4.5999999999999996"/>
    <n v="124.09421115921117"/>
    <s v="DD"/>
  </r>
  <r>
    <x v="13"/>
    <s v="Saturday"/>
    <s v="Clear"/>
    <n v="41.8"/>
    <x v="2"/>
    <m/>
    <n v="3.7166666666666668"/>
    <n v="63.13884615384616"/>
    <s v="DD"/>
  </r>
  <r>
    <x v="14"/>
    <s v="Monday"/>
    <s v="Partially Cloudy"/>
    <n v="5.5"/>
    <x v="0"/>
    <m/>
    <n v="1.8666666666666667"/>
    <n v="41.364737053070392"/>
    <s v="DD"/>
  </r>
  <r>
    <x v="15"/>
    <s v="Tuesday"/>
    <s v="Partially Cloudy"/>
    <n v="28.6"/>
    <x v="2"/>
    <m/>
    <n v="1.5"/>
    <n v="31.56942307692308"/>
    <s v="DD"/>
  </r>
  <r>
    <x v="16"/>
    <s v="Friday"/>
    <s v="Partially Cloudy"/>
    <n v="20.6"/>
    <x v="1"/>
    <m/>
    <n v="4.3499999999999996"/>
    <n v="100.08170516352334"/>
    <s v="UE"/>
  </r>
  <r>
    <x v="17"/>
    <s v="Saturday"/>
    <s v="Clear"/>
    <n v="25.3"/>
    <x v="0"/>
    <m/>
    <n v="0.70833333333333326"/>
    <n v="20.682368526535196"/>
    <s v="UE"/>
  </r>
  <r>
    <x v="18"/>
    <s v="Tuesday"/>
    <s v="Clear"/>
    <n v="40"/>
    <x v="0"/>
    <m/>
    <n v="1.4416666666666664"/>
    <n v="41.364737053070392"/>
    <s v="UE"/>
  </r>
  <r>
    <x v="19"/>
    <s v="Wednesday"/>
    <s v="Clear"/>
    <n v="56.3"/>
    <x v="0"/>
    <m/>
    <n v="1.6416666666666666"/>
    <n v="41.364737053070392"/>
    <s v="DD"/>
  </r>
  <r>
    <x v="20"/>
    <s v="Friday"/>
    <s v="Partially Cloudy"/>
    <n v="32.299999999999997"/>
    <x v="0"/>
    <m/>
    <n v="2.5666666666666664"/>
    <n v="51.705921316337992"/>
    <s v="UE"/>
  </r>
  <r>
    <x v="21"/>
    <s v="Monday"/>
    <s v="Clear"/>
    <n v="29.3"/>
    <x v="0"/>
    <m/>
    <n v="2.541666666666667"/>
    <n v="62.047105579605585"/>
    <s v="DD"/>
  </r>
  <r>
    <x v="22"/>
    <s v="Wednesday"/>
    <s v="Rain"/>
    <n v="42.3"/>
    <x v="0"/>
    <m/>
    <n v="2.041666666666667"/>
    <n v="72.388289842873192"/>
    <s v="DD"/>
  </r>
  <r>
    <x v="23"/>
    <s v="Friday"/>
    <s v="Clear"/>
    <n v="54.2"/>
    <x v="1"/>
    <m/>
    <n v="3.5999999999999996"/>
    <n v="85.784318711591439"/>
    <s v="UE"/>
  </r>
  <r>
    <x v="24"/>
    <s v="Monday"/>
    <s v="Partially Cloudy"/>
    <n v="64.3"/>
    <x v="0"/>
    <d v="1899-12-30T17:49:00"/>
    <n v="2"/>
    <n v="51.705921316337992"/>
    <s v="UE"/>
  </r>
  <r>
    <x v="25"/>
    <s v="Wednesday"/>
    <s v="Rain"/>
    <n v="53.6"/>
    <x v="0"/>
    <d v="1899-12-30T17:32:00"/>
    <n v="2.5999999999999996"/>
    <n v="62.047105579605585"/>
    <s v="UE"/>
  </r>
  <r>
    <x v="26"/>
    <s v="Saturday"/>
    <s v="Rain"/>
    <n v="38.9"/>
    <x v="0"/>
    <d v="1899-12-30T15:44:00"/>
    <n v="7.8999999999999995"/>
    <n v="175.80013247554916"/>
    <s v="UE"/>
  </r>
  <r>
    <x v="27"/>
    <s v="Saturday"/>
    <s v="Clear"/>
    <n v="56.4"/>
    <x v="0"/>
    <d v="1899-12-30T13:09:00"/>
    <n v="1.2"/>
    <n v="31.023552789802793"/>
    <s v="DD"/>
  </r>
  <r>
    <x v="28"/>
    <s v="Friday"/>
    <s v="Rain / Snow Mix"/>
    <n v="40.799999999999997"/>
    <x v="1"/>
    <d v="1899-12-30T17:40:00"/>
    <n v="7.13"/>
    <n v="188"/>
    <s v="DD"/>
  </r>
  <r>
    <x v="29"/>
    <s v="Saturday"/>
    <s v="Partially Cloudy"/>
    <n v="50.9"/>
    <x v="0"/>
    <d v="1899-12-30T18:10:00"/>
    <n v="2.67"/>
    <n v="73"/>
    <s v="UE"/>
  </r>
  <r>
    <x v="30"/>
    <s v="Sunday"/>
    <s v="Rain"/>
    <n v="61.9"/>
    <x v="1"/>
    <d v="1899-12-30T10:50:00"/>
    <n v="1.88"/>
    <n v="19"/>
    <s v="DD"/>
  </r>
  <r>
    <x v="31"/>
    <s v="Sunday"/>
    <s v="Rain"/>
    <n v="44.4"/>
    <x v="0"/>
    <d v="1899-12-30T12:44:00"/>
    <n v="1.9"/>
    <n v="51.705921316337992"/>
    <s v="DD"/>
  </r>
  <r>
    <x v="32"/>
    <s v="Sunday"/>
    <s v="Partially Cloudy"/>
    <n v="56.8"/>
    <x v="0"/>
    <d v="1899-12-30T15:53:00"/>
    <n v="3.4999999999999996"/>
    <n v="62.047105579605585"/>
    <s v="DD"/>
  </r>
  <r>
    <x v="33"/>
    <s v="Monday"/>
    <s v="Overcast"/>
    <n v="61.1"/>
    <x v="0"/>
    <d v="1899-12-30T17:47:00"/>
    <n v="3.1"/>
    <n v="72.388289842873192"/>
    <s v="DD"/>
  </r>
  <r>
    <x v="34"/>
    <s v="Tuesday"/>
    <s v="Rain"/>
    <n v="50"/>
    <x v="0"/>
    <d v="1899-12-30T19:32:00"/>
    <n v="1.4000000000000001"/>
    <n v="31.023552789802793"/>
    <s v="DD"/>
  </r>
  <r>
    <x v="35"/>
    <s v="Wednesday"/>
    <s v="Rain"/>
    <n v="58.7"/>
    <x v="0"/>
    <d v="1899-12-30T17:37:00"/>
    <n v="2.8"/>
    <n v="72.388289842873192"/>
    <s v="UE"/>
  </r>
  <r>
    <x v="36"/>
    <s v="Thursday"/>
    <s v="Clear"/>
    <n v="59.6"/>
    <x v="1"/>
    <d v="1899-12-30T18:43:00"/>
    <n v="3.9000000000000004"/>
    <n v="85.784318711591439"/>
    <s v="DD"/>
  </r>
  <r>
    <x v="37"/>
    <s v="Friday"/>
    <s v="Partially Cloudy"/>
    <n v="53.8"/>
    <x v="1"/>
    <d v="1899-12-30T17:17:00"/>
    <n v="5.7"/>
    <n v="157.27125097125096"/>
    <s v="DD"/>
  </r>
  <r>
    <x v="38"/>
    <s v="Wednesday"/>
    <s v="Partially Cloudy"/>
    <n v="67"/>
    <x v="0"/>
    <d v="1899-12-30T16:55:00"/>
    <n v="4.3000000000000007"/>
    <n v="113.75302689594358"/>
    <s v="UE"/>
  </r>
  <r>
    <x v="39"/>
    <s v="Friday"/>
    <s v="Rain"/>
    <n v="73.8"/>
    <x v="1"/>
    <d v="1899-12-30T18:02:00"/>
    <n v="1.9"/>
    <n v="57.189545807727626"/>
    <s v="UE"/>
  </r>
  <r>
    <x v="40"/>
    <s v="Monday"/>
    <s v="Partially Cloudy"/>
    <n v="77.400000000000006"/>
    <x v="0"/>
    <d v="1899-12-30T17:38:00"/>
    <n v="4.6999999999999993"/>
    <n v="93.070658369408378"/>
    <s v="DD"/>
  </r>
  <r>
    <x v="41"/>
    <s v="Thursday"/>
    <s v="Rain"/>
    <n v="73.400000000000006"/>
    <x v="0"/>
    <d v="1899-12-30T18:14:00"/>
    <n v="0.89999999999999991"/>
    <n v="22"/>
    <s v="UE"/>
  </r>
  <r>
    <x v="42"/>
    <s v="Friday"/>
    <s v="Partially Cloudy"/>
    <n v="77.900000000000006"/>
    <x v="1"/>
    <d v="1899-12-30T19:18:00"/>
    <n v="1.9"/>
    <n v="63.9"/>
    <s v="UE"/>
  </r>
  <r>
    <x v="43"/>
    <s v="Sunday"/>
    <s v="Clear"/>
    <n v="62.2"/>
    <x v="1"/>
    <d v="1899-12-30T12:40:00"/>
    <n v="6.6000000000000014"/>
    <n v="142"/>
    <s v="DD"/>
  </r>
  <r>
    <x v="44"/>
    <s v="Wednesday"/>
    <s v="Rain"/>
    <n v="71.3"/>
    <x v="2"/>
    <d v="1899-12-30T17:13:00"/>
    <n v="3.9000000000000004"/>
    <n v="54"/>
    <s v="DD"/>
  </r>
  <r>
    <x v="45"/>
    <s v="Saturday"/>
    <s v="Rain"/>
    <n v="54.1"/>
    <x v="0"/>
    <d v="1899-12-30T16:52:00"/>
    <n v="2.9000000000000004"/>
    <n v="60"/>
    <s v="DD"/>
  </r>
  <r>
    <x v="46"/>
    <s v="Monday"/>
    <s v="Clear"/>
    <n v="74.5"/>
    <x v="0"/>
    <d v="1899-12-30T14:10:00"/>
    <n v="4.2"/>
    <n v="89"/>
    <s v="DD"/>
  </r>
  <r>
    <x v="47"/>
    <s v="Thursday"/>
    <s v="Rain"/>
    <n v="77"/>
    <x v="2"/>
    <d v="1899-12-30T17:18:00"/>
    <n v="2.8"/>
    <n v="42"/>
    <s v="DD"/>
  </r>
  <r>
    <x v="48"/>
    <s v="Friday"/>
    <s v="Clear"/>
    <n v="85"/>
    <x v="2"/>
    <d v="1899-12-30T18:07:00"/>
    <n v="3"/>
    <n v="52"/>
    <s v="UE"/>
  </r>
  <r>
    <x v="49"/>
    <s v="Monday"/>
    <s v="Clear"/>
    <n v="90.1"/>
    <x v="2"/>
    <d v="1899-12-30T18:22:00"/>
    <n v="2.5"/>
    <n v="45"/>
    <s v="DD"/>
  </r>
  <r>
    <x v="50"/>
    <s v="Saturday"/>
    <s v="Clear"/>
    <n v="80.099999999999994"/>
    <x v="1"/>
    <d v="1899-12-30T14:38:00"/>
    <n v="1.8"/>
    <n v="31"/>
    <s v="UE"/>
  </r>
  <r>
    <x v="51"/>
    <s v="Monday"/>
    <s v="Rain"/>
    <n v="67.2"/>
    <x v="0"/>
    <d v="1899-12-30T19:42:00"/>
    <n v="2.7"/>
    <n v="57"/>
    <s v="DD"/>
  </r>
  <r>
    <x v="52"/>
    <s v="Saturday"/>
    <s v="Partially Cloudy"/>
    <n v="83"/>
    <x v="1"/>
    <d v="1899-12-30T14:04:00"/>
    <n v="7"/>
    <n v="171"/>
    <s v="UE"/>
  </r>
  <r>
    <x v="53"/>
    <s v="Sunday"/>
    <s v="Partially Cloudy"/>
    <n v="83.8"/>
    <x v="1"/>
    <d v="1899-12-30T16:04:00"/>
    <n v="2.9000000000000004"/>
    <n v="69"/>
    <s v="UE"/>
  </r>
  <r>
    <x v="54"/>
    <s v="Tuesday"/>
    <s v="Rain"/>
    <n v="70.2"/>
    <x v="0"/>
    <d v="1899-12-30T20:39:00"/>
    <n v="1.8"/>
    <n v="40"/>
    <s v="UE"/>
  </r>
  <r>
    <x v="55"/>
    <s v="Thursday"/>
    <s v="Rain"/>
    <n v="67.900000000000006"/>
    <x v="0"/>
    <d v="1899-12-30T18:07:00"/>
    <n v="2.8"/>
    <n v="45"/>
    <s v="DD"/>
  </r>
  <r>
    <x v="56"/>
    <s v="Saturday"/>
    <s v="Clear"/>
    <n v="93.1"/>
    <x v="1"/>
    <d v="1899-12-30T16:09:00"/>
    <n v="6.4"/>
    <n v="112.99999999999999"/>
    <s v="DD"/>
  </r>
  <r>
    <x v="57"/>
    <s v="Tuesday"/>
    <s v="Rain"/>
    <n v="95.3"/>
    <x v="0"/>
    <d v="1899-12-30T17:23:00"/>
    <n v="3.8"/>
    <n v="72"/>
    <s v="DD"/>
  </r>
  <r>
    <x v="58"/>
    <s v="Friday"/>
    <s v="Rain"/>
    <n v="58.1"/>
    <x v="1"/>
    <d v="1899-12-30T18:48:00"/>
    <n v="4"/>
    <n v="95.6"/>
    <s v="DD"/>
  </r>
  <r>
    <x v="59"/>
    <s v="Saturday"/>
    <s v="Rain"/>
    <n v="58.2"/>
    <x v="0"/>
    <d v="1899-12-30T13:00:00"/>
    <n v="4.8000000000000007"/>
    <n v="52.5"/>
    <s v="DD"/>
  </r>
  <r>
    <x v="60"/>
    <s v="Saturday"/>
    <s v="Rain"/>
    <n v="69.599999999999994"/>
    <x v="0"/>
    <d v="1899-12-30T16:58:00"/>
    <n v="2.1"/>
    <n v="58"/>
    <s v="DD"/>
  </r>
  <r>
    <x v="61"/>
    <s v="Saturday"/>
    <s v="Partially Cloudy"/>
    <n v="74.3"/>
    <x v="0"/>
    <d v="1899-12-30T13:54:00"/>
    <n v="1.2"/>
    <n v="16.5"/>
    <s v="UE"/>
  </r>
  <r>
    <x v="62"/>
    <s v="Sunday"/>
    <s v="Rain"/>
    <n v="74.2"/>
    <x v="0"/>
    <d v="1899-12-30T17:04:00"/>
    <n v="1.9"/>
    <n v="47.4"/>
    <s v="UE"/>
  </r>
  <r>
    <x v="63"/>
    <s v="Monday"/>
    <s v="Rain"/>
    <n v="82.2"/>
    <x v="0"/>
    <d v="1899-12-30T17:13:00"/>
    <n v="1.1000000000000001"/>
    <n v="13.5"/>
    <s v="DD"/>
  </r>
  <r>
    <x v="64"/>
    <s v="Tuesday"/>
    <s v="Rain"/>
    <n v="73.400000000000006"/>
    <x v="0"/>
    <d v="1899-12-30T19:37:00"/>
    <n v="2.3000000000000003"/>
    <n v="37.1"/>
    <s v="UE"/>
  </r>
  <r>
    <x v="65"/>
    <s v="Friday"/>
    <s v="Clear"/>
    <n v="73.099999999999994"/>
    <x v="0"/>
    <d v="1899-12-30T18:39:00"/>
    <n v="3.1"/>
    <n v="50.099999999999994"/>
    <s v="DD"/>
  </r>
  <r>
    <x v="66"/>
    <s v="Sunday"/>
    <s v="Clear"/>
    <n v="74.3"/>
    <x v="0"/>
    <d v="1899-12-30T15:38:00"/>
    <n v="0.5"/>
    <n v="13.3"/>
    <s v="DD"/>
  </r>
  <r>
    <x v="67"/>
    <s v="Thursday"/>
    <s v="Partially Cloudy"/>
    <n v="72"/>
    <x v="0"/>
    <d v="1899-12-30T18:10:00"/>
    <n v="3.1"/>
    <n v="76.8"/>
    <s v="DD"/>
  </r>
  <r>
    <x v="68"/>
    <s v="Saturday"/>
    <s v="Rain"/>
    <n v="69.7"/>
    <x v="0"/>
    <d v="1899-12-30T13:49:00"/>
    <n v="7.3000000000000016"/>
    <n v="152.30000000000001"/>
    <s v="DD"/>
  </r>
  <r>
    <x v="69"/>
    <s v="Saturday"/>
    <s v="Rain"/>
    <n v="55.4"/>
    <x v="0"/>
    <d v="1899-12-30T18:19:00"/>
    <n v="2.0999999999999996"/>
    <n v="40"/>
    <s v="DD"/>
  </r>
  <r>
    <x v="70"/>
    <s v="Sunday"/>
    <s v="Partially Cloudy"/>
    <n v="67.599999999999994"/>
    <x v="0"/>
    <d v="1899-12-30T17:07:00"/>
    <n v="1.2"/>
    <n v="35"/>
    <s v="DD"/>
  </r>
  <r>
    <x v="71"/>
    <s v="Monday"/>
    <s v="Partially Cloudy"/>
    <n v="74.599999999999994"/>
    <x v="0"/>
    <d v="1899-12-30T17:59:00"/>
    <n v="2.2999999999999998"/>
    <n v="43.199999999999996"/>
    <s v="DD"/>
  </r>
  <r>
    <x v="72"/>
    <s v="Sunday"/>
    <s v="Rain"/>
    <n v="42.9"/>
    <x v="0"/>
    <d v="1899-12-30T16:32:00"/>
    <n v="5.3999999999999995"/>
    <n v="100"/>
    <s v="DD"/>
  </r>
  <r>
    <x v="73"/>
    <s v="Monday"/>
    <s v="Rain"/>
    <n v="43.9"/>
    <x v="0"/>
    <d v="1899-12-30T18:03:00"/>
    <n v="3.9"/>
    <n v="72.400000000000006"/>
    <s v="DD"/>
  </r>
  <r>
    <x v="74"/>
    <s v="Tuesday"/>
    <s v="Partially Cloudy"/>
    <n v="47.5"/>
    <x v="0"/>
    <d v="1899-12-30T17:29:00"/>
    <n v="1.2"/>
    <n v="11"/>
    <s v="DD"/>
  </r>
  <r>
    <x v="75"/>
    <s v="Friday"/>
    <s v="Clear"/>
    <n v="48.2"/>
    <x v="0"/>
    <d v="1899-12-30T17:51:00"/>
    <n v="2.6000000000000005"/>
    <n v="58"/>
    <s v="UE"/>
  </r>
  <r>
    <x v="76"/>
    <s v="Sunday"/>
    <s v="Clear"/>
    <n v="60.5"/>
    <x v="2"/>
    <d v="1899-12-30T10:49:00"/>
    <n v="1.9000000000000001"/>
    <n v="19.299999999999997"/>
    <s v="DD"/>
  </r>
  <r>
    <x v="77"/>
    <s v="Tuesday"/>
    <s v="Rain"/>
    <n v="54.9"/>
    <x v="0"/>
    <d v="1899-12-30T17:31:00"/>
    <n v="3.3999999999999995"/>
    <n v="82"/>
    <s v="UE"/>
  </r>
  <r>
    <x v="78"/>
    <s v="Thursday"/>
    <s v="Rain"/>
    <n v="57.1"/>
    <x v="0"/>
    <d v="1899-12-30T17:36:00"/>
    <n v="3.1"/>
    <n v="90.7"/>
    <s v="UE"/>
  </r>
  <r>
    <x v="79"/>
    <s v="Sunday"/>
    <s v="Rain"/>
    <n v="39.1"/>
    <x v="2"/>
    <d v="1899-12-30T17:18:00"/>
    <n v="4.8000000000000007"/>
    <n v="71.900000000000006"/>
    <s v="UE"/>
  </r>
  <r>
    <x v="80"/>
    <s v="Monday"/>
    <s v="Partially Cloudy"/>
    <n v="37.1"/>
    <x v="1"/>
    <d v="1899-12-30T17:17:00"/>
    <n v="6"/>
    <n v="132.19999999999999"/>
    <s v="UE"/>
  </r>
  <r>
    <x v="81"/>
    <s v="Tuesday"/>
    <s v="Partially Cloudy"/>
    <n v="38.700000000000003"/>
    <x v="1"/>
    <d v="1899-12-30T17:50:00"/>
    <n v="5"/>
    <n v="96.699999999999989"/>
    <s v="UE"/>
  </r>
  <r>
    <x v="82"/>
    <s v="Wednesday"/>
    <s v="Rain"/>
    <n v="58.6"/>
    <x v="1"/>
    <d v="1899-12-30T17:53:00"/>
    <n v="1.7"/>
    <n v="52"/>
    <s v="DD"/>
  </r>
  <r>
    <x v="83"/>
    <s v="Friday"/>
    <s v="Clear"/>
    <n v="42.4"/>
    <x v="2"/>
    <d v="1899-12-30T21:57:00"/>
    <n v="3.1"/>
    <n v="74"/>
    <s v="DD"/>
  </r>
  <r>
    <x v="84"/>
    <s v="Sunday"/>
    <s v="Rain"/>
    <n v="52"/>
    <x v="2"/>
    <d v="1899-12-30T18:30:00"/>
    <n v="3.4000000000000004"/>
    <n v="71"/>
    <s v="UE"/>
  </r>
  <r>
    <x v="85"/>
    <s v="Monday"/>
    <s v="Clear"/>
    <n v="30.7"/>
    <x v="0"/>
    <d v="1899-12-30T17:09:00"/>
    <n v="4.2"/>
    <n v="84"/>
    <s v="DD"/>
  </r>
  <r>
    <x v="86"/>
    <s v="Saturday"/>
    <s v="Partially Cloudy"/>
    <n v="30.6"/>
    <x v="1"/>
    <d v="1899-12-30T13:15:00"/>
    <n v="11.5"/>
    <n v="247"/>
    <s v="DD"/>
  </r>
  <r>
    <x v="87"/>
    <s v="Monday"/>
    <s v="Partially Cloudy"/>
    <n v="31.7"/>
    <x v="2"/>
    <d v="1899-12-30T16:52:00"/>
    <n v="4.9000000000000004"/>
    <n v="86.8"/>
    <s v="UE"/>
  </r>
  <r>
    <x v="88"/>
    <s v="Friday"/>
    <s v="Clear"/>
    <n v="31.5"/>
    <x v="1"/>
    <d v="1899-12-30T18:45:00"/>
    <n v="6.33"/>
    <n v="143"/>
    <s v="DD"/>
  </r>
  <r>
    <x v="89"/>
    <s v="Monday"/>
    <s v="Rain"/>
    <n v="38.9"/>
    <x v="0"/>
    <d v="1899-12-30T17:30:00"/>
    <n v="4.8"/>
    <n v="130.1"/>
    <s v="DD"/>
  </r>
  <r>
    <x v="90"/>
    <s v="Tuesday"/>
    <s v="Light Snow"/>
    <n v="23"/>
    <x v="2"/>
    <d v="1899-12-30T17:29:00"/>
    <n v="2.2000000000000002"/>
    <n v="38.1"/>
    <s v="DD"/>
  </r>
  <r>
    <x v="91"/>
    <s v="Friday"/>
    <s v="Rain / Snow Mix"/>
    <n v="44.2"/>
    <x v="1"/>
    <d v="1899-12-30T18:00:00"/>
    <n v="6.1"/>
    <n v="128.9"/>
    <s v="DD"/>
  </r>
  <r>
    <x v="92"/>
    <s v="Wednesday"/>
    <s v="Rain / Snow Mix"/>
    <n v="41.1"/>
    <x v="0"/>
    <d v="1899-12-30T17:30:00"/>
    <n v="3.5"/>
    <n v="72.5"/>
    <s v="DD"/>
  </r>
  <r>
    <x v="93"/>
    <s v="Monday"/>
    <s v="Rain / Snow Mix"/>
    <n v="32.799999999999997"/>
    <x v="0"/>
    <d v="1899-12-30T19:47:00"/>
    <n v="1.5"/>
    <n v="34.299999999999997"/>
    <s v="UE"/>
  </r>
  <r>
    <x v="94"/>
    <s v="Friday"/>
    <s v="Rain / Snow Mix"/>
    <n v="37.799999999999997"/>
    <x v="0"/>
    <d v="1899-12-30T16:41:00"/>
    <n v="4.5"/>
    <n v="109.2"/>
    <s v="UE"/>
  </r>
  <r>
    <x v="95"/>
    <s v="Tuesday"/>
    <s v="Partially Cloudy"/>
    <n v="24.1"/>
    <x v="0"/>
    <d v="1899-12-30T17:40:00"/>
    <n v="3.9000000000000004"/>
    <n v="81.3"/>
    <s v="DD"/>
  </r>
  <r>
    <x v="96"/>
    <s v="Saturday"/>
    <s v="Clear"/>
    <n v="19.7"/>
    <x v="2"/>
    <d v="1899-12-30T11:34:00"/>
    <n v="5.6"/>
    <n v="116.89999999999999"/>
    <s v="DD"/>
  </r>
  <r>
    <x v="97"/>
    <s v="Monday"/>
    <s v="Light Snow"/>
    <n v="29.7"/>
    <x v="0"/>
    <d v="1899-12-30T17:37:00"/>
    <n v="1.8"/>
    <n v="46.4"/>
    <s v="UE"/>
  </r>
  <r>
    <x v="98"/>
    <s v="Thursday"/>
    <s v="Snow Storm"/>
    <n v="24.4"/>
    <x v="0"/>
    <d v="1899-12-30T17:54:00"/>
    <n v="2.5"/>
    <n v="49.8"/>
    <s v="DD"/>
  </r>
  <r>
    <x v="99"/>
    <s v="Tuesday"/>
    <s v="Clear"/>
    <n v="38.700000000000003"/>
    <x v="0"/>
    <d v="1899-12-30T18:20:00"/>
    <n v="3.3"/>
    <n v="76"/>
    <s v="UE"/>
  </r>
  <r>
    <x v="100"/>
    <s v="Saturday"/>
    <s v="Light Snow"/>
    <n v="23.6"/>
    <x v="0"/>
    <d v="1899-12-30T15:19:00"/>
    <n v="5.5"/>
    <n v="87.4"/>
    <s v="DD"/>
  </r>
  <r>
    <x v="101"/>
    <s v="Monday"/>
    <s v="Clear"/>
    <n v="16.7"/>
    <x v="0"/>
    <d v="1899-12-30T18:11:00"/>
    <n v="0.8"/>
    <n v="19.3"/>
    <s v="DD"/>
  </r>
  <r>
    <x v="102"/>
    <s v="Thursday"/>
    <s v="Snow Storm"/>
    <n v="17.3"/>
    <x v="2"/>
    <d v="1899-12-30T17:28:00"/>
    <n v="4"/>
    <n v="59"/>
    <s v="DD"/>
  </r>
  <r>
    <x v="103"/>
    <s v="Sunday"/>
    <s v="Clear"/>
    <n v="11"/>
    <x v="1"/>
    <d v="1899-12-30T16:48:00"/>
    <n v="5.5"/>
    <n v="90.6"/>
    <s v="UE"/>
  </r>
  <r>
    <x v="104"/>
    <s v="Monday"/>
    <s v="Light Snow"/>
    <n v="27.8"/>
    <x v="0"/>
    <d v="1899-12-30T18:01:00"/>
    <n v="5.3"/>
    <n v="119.19999999999999"/>
    <s v="UE"/>
  </r>
  <r>
    <x v="105"/>
    <s v="Monday"/>
    <s v="Rain"/>
    <n v="36.5"/>
    <x v="0"/>
    <d v="1899-12-30T16:51:00"/>
    <n v="2.2999999999999998"/>
    <n v="54.3"/>
    <s v="UE"/>
  </r>
  <r>
    <x v="106"/>
    <s v="Saturday"/>
    <s v="Partially Cloudy"/>
    <n v="22.8"/>
    <x v="0"/>
    <d v="1899-12-30T13:13:00"/>
    <n v="4.5"/>
    <n v="115.60000000000001"/>
    <s v="DD"/>
  </r>
  <r>
    <x v="107"/>
    <s v="Monday"/>
    <s v="Rain"/>
    <n v="49"/>
    <x v="0"/>
    <d v="1899-12-30T17:25:00"/>
    <n v="4.8"/>
    <n v="86"/>
    <s v="DD"/>
  </r>
  <r>
    <x v="108"/>
    <s v="Saturday"/>
    <s v="Rain"/>
    <n v="49.1"/>
    <x v="0"/>
    <d v="1899-12-30T13:36:00"/>
    <n v="8.8000000000000007"/>
    <n v="176"/>
    <s v="DD"/>
  </r>
  <r>
    <x v="109"/>
    <s v="Sunday"/>
    <s v="Rain"/>
    <n v="43.1"/>
    <x v="0"/>
    <d v="1899-12-30T16:16:00"/>
    <n v="4"/>
    <n v="80"/>
    <s v="UE"/>
  </r>
  <r>
    <x v="110"/>
    <s v="Thursday"/>
    <s v="Rain"/>
    <n v="53"/>
    <x v="0"/>
    <d v="1899-12-30T19:18:00"/>
    <n v="1.1000000000000001"/>
    <n v="36.5"/>
    <s v="DD"/>
  </r>
  <r>
    <x v="111"/>
    <s v="Friday"/>
    <s v="Rain"/>
    <n v="48.4"/>
    <x v="1"/>
    <d v="1899-12-30T18:45:00"/>
    <n v="5.5"/>
    <n v="95.800000000000011"/>
    <s v="DD"/>
  </r>
  <r>
    <x v="112"/>
    <s v="Saturday"/>
    <s v="Rain / Snow Mix"/>
    <n v="46.8"/>
    <x v="0"/>
    <d v="1899-12-30T13:40:00"/>
    <n v="4.42"/>
    <n v="111"/>
    <s v="UE"/>
  </r>
  <r>
    <x v="113"/>
    <s v="Tuesday"/>
    <s v="Clear"/>
    <n v="44.5"/>
    <x v="0"/>
    <d v="1899-12-30T16:48:00"/>
    <n v="1.7000000000000002"/>
    <n v="37.799999999999997"/>
    <s v="UE"/>
  </r>
  <r>
    <x v="114"/>
    <s v="Thursday"/>
    <s v="Rain"/>
    <n v="50.8"/>
    <x v="0"/>
    <d v="1899-12-30T18:08:00"/>
    <n v="3.5"/>
    <n v="68"/>
    <s v="DD"/>
  </r>
  <r>
    <x v="115"/>
    <s v="Saturday"/>
    <s v="Light Snow"/>
    <n v="45.2"/>
    <x v="0"/>
    <d v="1899-12-30T10:40:00"/>
    <n v="3.5"/>
    <n v="68"/>
    <s v="DD"/>
  </r>
  <r>
    <x v="116"/>
    <s v="Saturday"/>
    <s v="Rain"/>
    <n v="54.5"/>
    <x v="0"/>
    <d v="1899-12-30T17:40:00"/>
    <n v="1.9"/>
    <n v="49.5"/>
    <s v="DD"/>
  </r>
  <r>
    <x v="117"/>
    <s v="Friday"/>
    <s v="Clear"/>
    <n v="58.3"/>
    <x v="1"/>
    <d v="1899-12-30T17:06:00"/>
    <n v="8.4"/>
    <n v="213.2"/>
    <s v="UE"/>
  </r>
  <r>
    <x v="118"/>
    <s v="Tuesday"/>
    <s v="Rain"/>
    <n v="48.9"/>
    <x v="2"/>
    <d v="1899-12-30T17:25:00"/>
    <n v="3.2"/>
    <n v="72.3"/>
    <s v="DD"/>
  </r>
  <r>
    <x v="119"/>
    <s v="Wednesday"/>
    <s v="Rain"/>
    <n v="65.5"/>
    <x v="1"/>
    <d v="1899-12-30T16:59:00"/>
    <n v="3.8"/>
    <n v="62"/>
    <s v="UE"/>
  </r>
  <r>
    <x v="120"/>
    <s v="Saturday"/>
    <s v="Clear"/>
    <n v="57.8"/>
    <x v="0"/>
    <d v="1899-12-30T15:36:00"/>
    <n v="7.8000000000000007"/>
    <n v="136.69999999999999"/>
    <s v="UE"/>
  </r>
  <r>
    <x v="121"/>
    <s v="Wednesday"/>
    <s v="Clear"/>
    <n v="78.599999999999994"/>
    <x v="0"/>
    <d v="1899-12-30T17:48:00"/>
    <n v="3"/>
    <n v="52"/>
    <s v="DD"/>
  </r>
  <r>
    <x v="122"/>
    <s v="Thursday"/>
    <s v="Rain"/>
    <n v="77.5"/>
    <x v="2"/>
    <d v="1899-12-30T17:11:00"/>
    <n v="2.6"/>
    <n v="42"/>
    <s v="DD"/>
  </r>
  <r>
    <x v="123"/>
    <s v="Friday"/>
    <s v="Rain"/>
    <n v="86.8"/>
    <x v="0"/>
    <d v="1899-12-30T17:30:00"/>
    <n v="6.3000000000000007"/>
    <n v="162.4"/>
    <s v="UE"/>
  </r>
  <r>
    <x v="124"/>
    <s v="Thursday"/>
    <s v="Rain"/>
    <n v="58.6"/>
    <x v="0"/>
    <d v="1899-12-30T17:35:00"/>
    <n v="3.1"/>
    <n v="62"/>
    <s v="DD"/>
  </r>
  <r>
    <x v="125"/>
    <s v="Friday"/>
    <s v="Rain"/>
    <n v="69.900000000000006"/>
    <x v="2"/>
    <d v="1899-12-30T18:15:00"/>
    <n v="2.4"/>
    <n v="33"/>
    <s v="UE"/>
  </r>
  <r>
    <x v="126"/>
    <s v="Monday"/>
    <s v="Clear"/>
    <n v="62.6"/>
    <x v="1"/>
    <d v="1899-12-30T17:26:00"/>
    <n v="5.7"/>
    <n v="113.6"/>
    <s v="DD"/>
  </r>
  <r>
    <x v="127"/>
    <s v="Thursday"/>
    <s v="Rain"/>
    <n v="55.3"/>
    <x v="0"/>
    <d v="1899-12-30T18:07:00"/>
    <n v="2.1"/>
    <n v="51"/>
    <s v="UE"/>
  </r>
  <r>
    <x v="128"/>
    <s v="Friday"/>
    <s v="Rain"/>
    <n v="62.7"/>
    <x v="1"/>
    <d v="1899-12-30T17:45:00"/>
    <n v="3.9"/>
    <n v="81.48"/>
    <s v="DD"/>
  </r>
  <r>
    <x v="129"/>
    <s v="Thursday"/>
    <s v="Clear"/>
    <n v="73.5"/>
    <x v="0"/>
    <d v="1899-12-30T16:57:00"/>
    <n v="5.9"/>
    <n v="101.4"/>
    <s v="DD"/>
  </r>
  <r>
    <x v="130"/>
    <s v="Friday"/>
    <s v="Clear"/>
    <n v="74"/>
    <x v="1"/>
    <d v="1899-12-30T18:05:00"/>
    <n v="9.1000000000000014"/>
    <n v="166.4"/>
    <s v="DD"/>
  </r>
  <r>
    <x v="131"/>
    <s v="Sunday"/>
    <s v="Rain"/>
    <n v="76.3"/>
    <x v="1"/>
    <d v="1899-12-30T16:45:00"/>
    <n v="6.82"/>
    <n v="182"/>
    <s v="DD"/>
  </r>
  <r>
    <x v="132"/>
    <s v="Thursday"/>
    <s v="Rain"/>
    <n v="78.2"/>
    <x v="1"/>
    <d v="1899-12-30T17:40:00"/>
    <n v="6.8"/>
    <n v="163.1"/>
    <s v="UE"/>
  </r>
  <r>
    <x v="133"/>
    <s v="Saturday"/>
    <s v="Rain"/>
    <n v="54.9"/>
    <x v="2"/>
    <d v="1899-12-30T17:10:00"/>
    <n v="6.8"/>
    <n v="128.30000000000001"/>
    <s v="UE"/>
  </r>
  <r>
    <x v="134"/>
    <s v="Wednesday"/>
    <s v="Rain"/>
    <n v="71.2"/>
    <x v="2"/>
    <d v="1899-12-30T18:42:00"/>
    <n v="3.53"/>
    <n v="63"/>
    <s v="UE"/>
  </r>
  <r>
    <x v="135"/>
    <s v="Friday"/>
    <s v="Clear"/>
    <n v="87.6"/>
    <x v="0"/>
    <d v="1899-12-30T18:10:00"/>
    <n v="3.5"/>
    <n v="137.6"/>
    <s v="DD"/>
  </r>
  <r>
    <x v="136"/>
    <s v="Saturday"/>
    <s v="Clear"/>
    <n v="88.2"/>
    <x v="2"/>
    <d v="1899-12-30T17:50:00"/>
    <n v="6.1999999999999993"/>
    <n v="134"/>
    <s v="DD"/>
  </r>
  <r>
    <x v="137"/>
    <s v="Sunday"/>
    <s v="Rain"/>
    <n v="76.5"/>
    <x v="2"/>
    <d v="1899-12-30T14:14:00"/>
    <n v="7.6"/>
    <n v="142.5"/>
    <s v="DD"/>
  </r>
  <r>
    <x v="138"/>
    <s v="Tuesday"/>
    <s v="Rain"/>
    <n v="78.3"/>
    <x v="1"/>
    <d v="1899-12-30T17:20:00"/>
    <n v="7.9"/>
    <n v="92.2"/>
    <s v="DD"/>
  </r>
  <r>
    <x v="139"/>
    <s v="Friday"/>
    <s v="Rain"/>
    <n v="83.9"/>
    <x v="2"/>
    <d v="1899-12-30T18:00:00"/>
    <n v="4.5"/>
    <n v="143"/>
    <s v="UE"/>
  </r>
  <r>
    <x v="140"/>
    <s v="Saturday"/>
    <s v="Clear"/>
    <n v="80.3"/>
    <x v="2"/>
    <d v="1899-12-30T16:06:00"/>
    <n v="9.07"/>
    <n v="166"/>
    <s v="DD"/>
  </r>
  <r>
    <x v="141"/>
    <s v="Tuesday"/>
    <s v="Rain"/>
    <n v="76"/>
    <x v="2"/>
    <d v="1899-12-30T17:40:00"/>
    <n v="3.28"/>
    <n v="46.1"/>
    <s v="DD"/>
  </r>
  <r>
    <x v="142"/>
    <s v="Wednesday"/>
    <s v="Partially Cloudy"/>
    <n v="76.7"/>
    <x v="0"/>
    <d v="1899-12-30T18:00:00"/>
    <n v="3.3"/>
    <n v="48.2"/>
    <s v="UE"/>
  </r>
  <r>
    <x v="143"/>
    <s v="Thursday"/>
    <s v="Rain"/>
    <n v="81.599999999999994"/>
    <x v="1"/>
    <d v="1899-12-30T18:10:00"/>
    <n v="3.3"/>
    <n v="76.800000000000011"/>
    <s v="DD"/>
  </r>
  <r>
    <x v="144"/>
    <s v="Friday"/>
    <s v="Clear"/>
    <n v="77.5"/>
    <x v="1"/>
    <d v="1899-12-30T18:55:00"/>
    <n v="8.75"/>
    <n v="169"/>
    <s v="DD"/>
  </r>
  <r>
    <x v="145"/>
    <s v="Monday"/>
    <s v="Rain"/>
    <n v="84"/>
    <x v="1"/>
    <d v="1899-12-30T17:45:00"/>
    <n v="3.6"/>
    <n v="71.400000000000006"/>
    <s v="UE"/>
  </r>
  <r>
    <x v="146"/>
    <s v="Wednesday"/>
    <s v="Rain"/>
    <n v="81.7"/>
    <x v="1"/>
    <d v="1899-12-30T18:05:00"/>
    <n v="4.7"/>
    <n v="107.30000000000001"/>
    <s v="UE"/>
  </r>
  <r>
    <x v="147"/>
    <s v="Friday"/>
    <s v="Clear"/>
    <n v="81.8"/>
    <x v="0"/>
    <d v="1899-12-30T17:32:00"/>
    <n v="5.5"/>
    <n v="144.69999999999999"/>
    <s v="UE"/>
  </r>
  <r>
    <x v="148"/>
    <s v="Saturday"/>
    <s v="Rain"/>
    <n v="85.2"/>
    <x v="1"/>
    <d v="1899-12-30T19:05:00"/>
    <n v="6.2"/>
    <n v="169.5"/>
    <s v="DD"/>
  </r>
  <r>
    <x v="149"/>
    <s v="Wednesday"/>
    <s v="Rain"/>
    <n v="90.7"/>
    <x v="1"/>
    <d v="1899-12-30T17:40:00"/>
    <n v="4.5999999999999996"/>
    <n v="113.69999999999999"/>
    <s v="UE"/>
  </r>
  <r>
    <x v="150"/>
    <s v="Thursday"/>
    <s v="Rain"/>
    <n v="89.9"/>
    <x v="0"/>
    <d v="1899-12-30T17:20:00"/>
    <n v="5.67"/>
    <n v="125"/>
    <s v="UE"/>
  </r>
  <r>
    <x v="151"/>
    <s v="Monday"/>
    <s v="Rain"/>
    <n v="73.2"/>
    <x v="2"/>
    <d v="1899-12-30T17:45:00"/>
    <n v="5.8"/>
    <n v="81.099999999999994"/>
    <s v="DD"/>
  </r>
  <r>
    <x v="152"/>
    <s v="Tuesday"/>
    <s v="Rain"/>
    <n v="70.7"/>
    <x v="1"/>
    <d v="1899-12-30T17:25:00"/>
    <n v="5.6999999999999993"/>
    <n v="77.7"/>
    <s v="UE"/>
  </r>
  <r>
    <x v="153"/>
    <s v="Wednesday"/>
    <s v="Rain"/>
    <n v="74.400000000000006"/>
    <x v="2"/>
    <d v="1899-12-30T18:45:00"/>
    <n v="4.5"/>
    <n v="73"/>
    <s v="DD"/>
  </r>
  <r>
    <x v="154"/>
    <s v="Tuesday"/>
    <s v="Rain"/>
    <n v="68"/>
    <x v="0"/>
    <d v="1899-12-30T18:00:00"/>
    <n v="4.7"/>
    <n v="114.9"/>
    <s v="DD"/>
  </r>
  <r>
    <x v="155"/>
    <s v="Wednesday"/>
    <s v="Rain"/>
    <n v="69"/>
    <x v="1"/>
    <d v="1899-12-30T18:00:00"/>
    <n v="4.5999999999999996"/>
    <n v="125"/>
    <s v="UE"/>
  </r>
  <r>
    <x v="156"/>
    <s v="Thursday"/>
    <s v="Rain"/>
    <n v="83.3"/>
    <x v="1"/>
    <d v="1899-12-30T17:35:00"/>
    <n v="4.8"/>
    <n v="108.1"/>
    <s v="DD"/>
  </r>
  <r>
    <x v="157"/>
    <s v="Saturday"/>
    <s v="Clear"/>
    <n v="85.9"/>
    <x v="0"/>
    <d v="1899-12-30T14:00:00"/>
    <n v="6.6999999999999993"/>
    <n v="139"/>
    <s v="UE"/>
  </r>
  <r>
    <x v="158"/>
    <s v="Monday"/>
    <s v="Rain"/>
    <n v="77.900000000000006"/>
    <x v="1"/>
    <d v="1899-12-30T17:45:00"/>
    <n v="5.0999999999999996"/>
    <n v="124.19999999999999"/>
    <s v="DD"/>
  </r>
  <r>
    <x v="159"/>
    <s v="Saturday"/>
    <s v="Rain"/>
    <n v="76.900000000000006"/>
    <x v="0"/>
    <d v="1899-12-30T17:55:00"/>
    <n v="6.6999999999999993"/>
    <n v="144.77999999999997"/>
    <s v="UE"/>
  </r>
  <r>
    <x v="160"/>
    <s v="Monday"/>
    <s v="Clear"/>
    <n v="91.7"/>
    <x v="0"/>
    <d v="1899-12-30T17:20:00"/>
    <n v="6.7"/>
    <n v="101.69999999999999"/>
    <s v="DD"/>
  </r>
  <r>
    <x v="161"/>
    <s v="Tuesday"/>
    <s v="Rain"/>
    <n v="79.8"/>
    <x v="1"/>
    <d v="1899-12-30T17:20:00"/>
    <n v="6.1"/>
    <n v="100.8"/>
    <s v="UE"/>
  </r>
  <r>
    <x v="162"/>
    <s v="Wednesday"/>
    <s v="Rain"/>
    <n v="71"/>
    <x v="1"/>
    <d v="1899-12-30T17:25:00"/>
    <n v="4.0999999999999996"/>
    <n v="115.1"/>
    <s v="UE"/>
  </r>
  <r>
    <x v="163"/>
    <s v="Thursday"/>
    <s v="Clear"/>
    <n v="71.3"/>
    <x v="2"/>
    <d v="1899-12-30T17:40:00"/>
    <n v="5"/>
    <n v="78"/>
    <s v="DD"/>
  </r>
  <r>
    <x v="164"/>
    <s v="Friday"/>
    <s v="Clear"/>
    <n v="74"/>
    <x v="0"/>
    <d v="1899-12-30T11:25:00"/>
    <n v="5"/>
    <n v="95.7"/>
    <s v="DD"/>
  </r>
  <r>
    <x v="165"/>
    <s v="Saturday"/>
    <s v="Rain"/>
    <n v="83"/>
    <x v="0"/>
    <d v="1899-12-30T17:05:00"/>
    <n v="8.73"/>
    <n v="162"/>
    <s v="DD"/>
  </r>
  <r>
    <x v="166"/>
    <s v="Monday"/>
    <s v="Rain"/>
    <n v="62.3"/>
    <x v="1"/>
    <d v="1899-12-30T17:35:00"/>
    <n v="6.3999999999999995"/>
    <n v="141.4"/>
    <s v="UE"/>
  </r>
  <r>
    <x v="167"/>
    <s v="Tuesday"/>
    <s v="Rain"/>
    <n v="70.7"/>
    <x v="1"/>
    <d v="1899-12-30T16:20:00"/>
    <n v="2.4"/>
    <n v="93"/>
    <s v="UE"/>
  </r>
  <r>
    <x v="168"/>
    <s v="Wednesday"/>
    <s v="Rain"/>
    <n v="73.7"/>
    <x v="1"/>
    <d v="1899-12-30T17:50:00"/>
    <n v="7"/>
    <n v="65.5"/>
    <s v="UE"/>
  </r>
  <r>
    <x v="169"/>
    <s v="Thursday"/>
    <s v="Clear"/>
    <n v="79.3"/>
    <x v="1"/>
    <d v="1899-12-30T18:10:00"/>
    <n v="5.5"/>
    <n v="62.5"/>
    <s v="UE"/>
  </r>
  <r>
    <x v="170"/>
    <s v="Friday"/>
    <s v="Clear"/>
    <n v="82.5"/>
    <x v="1"/>
    <d v="1899-12-30T17:55:00"/>
    <n v="2.9"/>
    <n v="156.19999999999999"/>
    <s v="DD"/>
  </r>
  <r>
    <x v="171"/>
    <s v="Saturday"/>
    <s v="Clear"/>
    <n v="79.5"/>
    <x v="2"/>
    <d v="1899-12-30T14:25:00"/>
    <n v="4.5"/>
    <n v="125.80000000000001"/>
    <s v="DD"/>
  </r>
  <r>
    <x v="172"/>
    <s v="Sunday"/>
    <s v="Rain"/>
    <n v="81.7"/>
    <x v="2"/>
    <d v="1899-12-30T13:05:00"/>
    <n v="6.1999999999999993"/>
    <n v="152.6"/>
    <s v="DD"/>
  </r>
  <r>
    <x v="173"/>
    <s v="Monday"/>
    <s v="Rain"/>
    <n v="72.7"/>
    <x v="1"/>
    <d v="1899-12-30T17:45:00"/>
    <n v="6.9"/>
    <n v="82.5"/>
    <s v="UE"/>
  </r>
  <r>
    <x v="174"/>
    <s v="Thursday"/>
    <s v="Clear"/>
    <n v="65.900000000000006"/>
    <x v="2"/>
    <d v="1899-12-30T17:35:00"/>
    <n v="9.4"/>
    <n v="68"/>
    <s v="UE"/>
  </r>
  <r>
    <x v="175"/>
    <s v="Friday"/>
    <s v="Clear"/>
    <n v="66.900000000000006"/>
    <x v="0"/>
    <d v="1899-12-30T17:25:00"/>
    <n v="5.4"/>
    <n v="71.599999999999994"/>
    <s v="UE"/>
  </r>
  <r>
    <x v="176"/>
    <s v="Sunday"/>
    <s v="Rain"/>
    <n v="58.3"/>
    <x v="0"/>
    <d v="1899-12-30T17:40:00"/>
    <n v="7.1"/>
    <n v="124.2"/>
    <s v="DD"/>
  </r>
  <r>
    <x v="177"/>
    <s v="Monday"/>
    <s v="Rain"/>
    <n v="56.8"/>
    <x v="1"/>
    <d v="1899-12-30T17:30:00"/>
    <n v="6.6"/>
    <n v="80.199999999999989"/>
    <s v="UE"/>
  </r>
  <r>
    <x v="178"/>
    <s v="Tuesday"/>
    <s v="Rain"/>
    <n v="66.8"/>
    <x v="2"/>
    <d v="1899-12-30T17:37:00"/>
    <n v="2.4500000000000002"/>
    <n v="28.6"/>
    <s v="UE"/>
  </r>
  <r>
    <x v="179"/>
    <s v="Wednesday"/>
    <s v="Rain"/>
    <n v="63.5"/>
    <x v="2"/>
    <d v="1899-12-30T17:40:00"/>
    <n v="4.3000000000000007"/>
    <n v="48.2"/>
    <s v="DD"/>
  </r>
  <r>
    <x v="180"/>
    <s v="Friday"/>
    <s v="Clear"/>
    <n v="64.599999999999994"/>
    <x v="0"/>
    <d v="1899-12-30T17:39:00"/>
    <n v="2.5"/>
    <n v="113.8"/>
    <s v="DD"/>
  </r>
  <r>
    <x v="181"/>
    <s v="Sunday"/>
    <s v="Rain"/>
    <n v="71.099999999999994"/>
    <x v="0"/>
    <d v="1899-12-30T18:22:00"/>
    <n v="3.5999999999999996"/>
    <n v="88.5"/>
    <s v="DD"/>
  </r>
  <r>
    <x v="182"/>
    <s v="Monday"/>
    <s v="Rain"/>
    <n v="70.5"/>
    <x v="1"/>
    <d v="1899-12-30T17:12:00"/>
    <n v="6.8"/>
    <n v="104.1"/>
    <s v="DD"/>
  </r>
  <r>
    <x v="183"/>
    <s v="Tuesday"/>
    <s v="Rain"/>
    <n v="67.7"/>
    <x v="1"/>
    <d v="1899-12-30T18:00:00"/>
    <n v="4.3999999999999995"/>
    <n v="138"/>
    <s v="DD"/>
  </r>
  <r>
    <x v="184"/>
    <s v="Thursday"/>
    <s v="Clear"/>
    <n v="61.1"/>
    <x v="1"/>
    <d v="1899-12-30T18:08:00"/>
    <n v="6.7"/>
    <n v="108.9"/>
    <s v="UE"/>
  </r>
  <r>
    <x v="185"/>
    <s v="Friday"/>
    <s v="Clear"/>
    <n v="63.1"/>
    <x v="0"/>
    <d v="1899-12-30T17:26:00"/>
    <n v="5.8"/>
    <n v="36.5"/>
    <s v="UE"/>
  </r>
  <r>
    <x v="186"/>
    <s v="Sunday"/>
    <s v="Clear"/>
    <n v="57.3"/>
    <x v="0"/>
    <d v="1899-12-30T18:27:00"/>
    <n v="5.2"/>
    <n v="59.7"/>
    <s v="DD"/>
  </r>
  <r>
    <x v="187"/>
    <s v="Monday"/>
    <s v="Clear"/>
    <n v="62.6"/>
    <x v="2"/>
    <d v="1899-12-30T17:55:00"/>
    <n v="2.2999999999999998"/>
    <n v="87.3"/>
    <s v="DD"/>
  </r>
  <r>
    <x v="188"/>
    <s v="Wednesday"/>
    <s v="Rain"/>
    <n v="73.099999999999994"/>
    <x v="1"/>
    <d v="1899-12-30T17:25:00"/>
    <n v="7.6"/>
    <n v="143.19999999999999"/>
    <s v="UE"/>
  </r>
  <r>
    <x v="189"/>
    <s v="Thursday"/>
    <s v="Rain"/>
    <n v="69.5"/>
    <x v="0"/>
    <d v="1899-12-30T18:00:00"/>
    <n v="6.2"/>
    <n v="125.4"/>
    <s v="UE"/>
  </r>
  <r>
    <x v="190"/>
    <s v="Friday"/>
    <s v="Clear"/>
    <n v="57.2"/>
    <x v="0"/>
    <d v="1899-12-30T11:10:00"/>
    <n v="7.6"/>
    <n v="170.7"/>
    <s v="UE"/>
  </r>
  <r>
    <x v="191"/>
    <s v="Saturday"/>
    <s v="Rain"/>
    <n v="57.2"/>
    <x v="2"/>
    <d v="1899-12-30T14:15:00"/>
    <n v="5.9"/>
    <n v="167.9"/>
    <s v="DD"/>
  </r>
  <r>
    <x v="192"/>
    <s v="Tuesday"/>
    <s v="Rain"/>
    <n v="69.5"/>
    <x v="2"/>
    <d v="1899-12-30T13:45:00"/>
    <n v="10.099999999999998"/>
    <n v="70.3"/>
    <s v="DD"/>
  </r>
  <r>
    <x v="193"/>
    <s v="Wednesday"/>
    <s v="Rain"/>
    <n v="62.6"/>
    <x v="0"/>
    <d v="1899-12-30T17:30:00"/>
    <n v="9.6000000000000014"/>
    <n v="72.400000000000006"/>
    <s v="DD"/>
  </r>
  <r>
    <x v="194"/>
    <s v="Friday"/>
    <s v="Rain"/>
    <n v="65.7"/>
    <x v="0"/>
    <d v="1899-12-30T17:30:00"/>
    <n v="6.18"/>
    <n v="140.39999999999998"/>
    <s v="UE"/>
  </r>
  <r>
    <x v="195"/>
    <s v="Friday"/>
    <s v="Clear"/>
    <n v="73.400000000000006"/>
    <x v="0"/>
    <d v="1899-12-30T18:00:00"/>
    <n v="5.5"/>
    <n v="144"/>
    <s v="DD"/>
  </r>
  <r>
    <x v="196"/>
    <s v="Monday"/>
    <s v="Clear"/>
    <n v="44.9"/>
    <x v="1"/>
    <d v="1899-12-30T17:10:00"/>
    <n v="6.1999999999999993"/>
    <n v="112.1"/>
    <s v="UE"/>
  </r>
  <r>
    <x v="197"/>
    <s v="Wednesday"/>
    <s v="Clear"/>
    <n v="65.099999999999994"/>
    <x v="2"/>
    <d v="1899-12-30T17:35:00"/>
    <n v="6.2"/>
    <n v="26.1"/>
    <s v="DD"/>
  </r>
  <r>
    <x v="198"/>
    <s v="Thursday"/>
    <s v="Rain"/>
    <n v="68.3"/>
    <x v="1"/>
    <d v="1899-12-30T17:55:00"/>
    <n v="5.5"/>
    <n v="112.9"/>
    <s v="UE"/>
  </r>
  <r>
    <x v="199"/>
    <s v="Friday"/>
    <s v="Rain"/>
    <n v="70"/>
    <x v="0"/>
    <d v="1899-12-30T17:45:00"/>
    <n v="6.43"/>
    <n v="122.30000000000001"/>
    <s v="UE"/>
  </r>
  <r>
    <x v="200"/>
    <s v="Thursday"/>
    <s v="Clear"/>
    <n v="33.6"/>
    <x v="0"/>
    <d v="1899-12-30T17:10:00"/>
    <n v="5.2"/>
    <n v="88.600000000000009"/>
    <s v="UE"/>
  </r>
  <r>
    <x v="201"/>
    <s v="Friday"/>
    <s v="Clear"/>
    <n v="37.6"/>
    <x v="0"/>
    <d v="1899-12-30T17:45:00"/>
    <n v="8.32"/>
    <n v="212"/>
    <s v="UE"/>
  </r>
  <r>
    <x v="202"/>
    <s v="Monday"/>
    <s v="Clear"/>
    <n v="42.5"/>
    <x v="1"/>
    <d v="1899-12-30T17:25:00"/>
    <n v="7.6"/>
    <n v="136.9"/>
    <s v="UE"/>
  </r>
  <r>
    <x v="203"/>
    <s v="Wednesday"/>
    <s v="Clear"/>
    <n v="34.799999999999997"/>
    <x v="0"/>
    <d v="1899-12-30T18:05:00"/>
    <n v="5.2"/>
    <n v="109.2"/>
    <s v="UE"/>
  </r>
  <r>
    <x v="204"/>
    <s v="Friday"/>
    <s v="Partially Cloudy"/>
    <n v="45.2"/>
    <x v="0"/>
    <d v="1899-12-30T18:25:00"/>
    <n v="5.8999999999999995"/>
    <n v="78.900000000000006"/>
    <s v="UE"/>
  </r>
  <r>
    <x v="205"/>
    <s v="Saturday"/>
    <s v="Rain"/>
    <n v="53.7"/>
    <x v="3"/>
    <d v="1899-12-30T16:30:00"/>
    <n v="5.1999999999999993"/>
    <n v="182.7"/>
    <s v="DD"/>
  </r>
  <r>
    <x v="206"/>
    <s v="Sunday"/>
    <s v="Rain"/>
    <n v="40.9"/>
    <x v="0"/>
    <d v="1899-12-30T17:25:00"/>
    <n v="4.5999999999999996"/>
    <n v="123.19999999999999"/>
    <s v="DD"/>
  </r>
  <r>
    <x v="207"/>
    <s v="Monday"/>
    <s v="Clear"/>
    <n v="36.4"/>
    <x v="1"/>
    <d v="1899-12-30T17:25:00"/>
    <n v="8.2000000000000011"/>
    <n v="64.400000000000006"/>
    <s v="UE"/>
  </r>
  <r>
    <x v="208"/>
    <s v="Thursday"/>
    <s v="Clear"/>
    <n v="35.4"/>
    <x v="0"/>
    <d v="1899-12-30T17:25:00"/>
    <n v="5.3000000000000007"/>
    <n v="103.7"/>
    <s v="UE"/>
  </r>
  <r>
    <x v="209"/>
    <s v="Saturday"/>
    <s v="Partially Cloudy"/>
    <n v="38.1"/>
    <x v="2"/>
    <d v="1899-12-30T16:11:00"/>
    <n v="9.08"/>
    <n v="112"/>
    <s v="DD"/>
  </r>
  <r>
    <x v="210"/>
    <s v="Monday"/>
    <s v="Rain"/>
    <n v="51.3"/>
    <x v="1"/>
    <d v="1899-12-30T17:05:00"/>
    <n v="9.1"/>
    <n v="97.8"/>
    <s v="UE"/>
  </r>
  <r>
    <x v="211"/>
    <s v="Wednesday"/>
    <s v="Rain"/>
    <n v="46.1"/>
    <x v="0"/>
    <d v="1899-12-30T14:50:00"/>
    <n v="4.5"/>
    <n v="150.39999999999998"/>
    <s v="DD"/>
  </r>
  <r>
    <x v="212"/>
    <s v="Thursday"/>
    <s v="Clear"/>
    <n v="34.9"/>
    <x v="0"/>
    <d v="1899-12-30T17:25:00"/>
    <n v="7.2"/>
    <n v="120.1"/>
    <s v="DD"/>
  </r>
  <r>
    <x v="213"/>
    <s v="Friday"/>
    <s v="Partially Cloudy"/>
    <n v="21.2"/>
    <x v="0"/>
    <d v="1899-12-30T17:25:00"/>
    <n v="4.5"/>
    <n v="96"/>
    <s v="UE"/>
  </r>
  <r>
    <x v="214"/>
    <s v="Sunday"/>
    <s v="Light Snow"/>
    <n v="26.7"/>
    <x v="3"/>
    <d v="1899-12-30T18:35:00"/>
    <n v="3.1"/>
    <n v="92.1"/>
    <s v="UE"/>
  </r>
  <r>
    <x v="215"/>
    <s v="Monday"/>
    <s v="Light Snow"/>
    <n v="27.3"/>
    <x v="2"/>
    <d v="1899-12-30T17:00:00"/>
    <n v="4.8499999999999996"/>
    <n v="82.7"/>
    <s v="UE"/>
  </r>
  <r>
    <x v="216"/>
    <s v="Tuesday"/>
    <s v="Light Snow"/>
    <n v="31.5"/>
    <x v="0"/>
    <d v="1899-12-30T17:15:00"/>
    <n v="3.45"/>
    <n v="76.7"/>
    <s v="DD"/>
  </r>
  <r>
    <x v="217"/>
    <s v="Wednesday"/>
    <s v="Light Snow"/>
    <n v="34.6"/>
    <x v="0"/>
    <d v="1899-12-30T17:15:00"/>
    <n v="5.55"/>
    <n v="114.50000000000001"/>
    <s v="DD"/>
  </r>
  <r>
    <x v="218"/>
    <s v="Thursday"/>
    <s v="Snow Storm"/>
    <n v="29.1"/>
    <x v="3"/>
    <d v="1899-12-30T15:50:00"/>
    <n v="8.85"/>
    <n v="196.3"/>
    <s v="DD"/>
  </r>
  <r>
    <x v="219"/>
    <s v="Friday"/>
    <s v="Snow Storm"/>
    <n v="29.9"/>
    <x v="0"/>
    <d v="1899-12-30T17:40:00"/>
    <n v="6.85"/>
    <n v="113.30000000000001"/>
    <s v="DD"/>
  </r>
  <r>
    <x v="220"/>
    <s v="Saturday"/>
    <s v="Rain / Snow Mix"/>
    <n v="31.5"/>
    <x v="2"/>
    <d v="1899-12-30T18:30:00"/>
    <n v="0.73"/>
    <n v="15.5"/>
    <s v="UE"/>
  </r>
  <r>
    <x v="221"/>
    <s v="Sunday"/>
    <s v="Partially Cloudy"/>
    <n v="27.7"/>
    <x v="1"/>
    <d v="1899-12-30T14:05:00"/>
    <n v="9.68"/>
    <n v="223"/>
    <s v="DD"/>
  </r>
  <r>
    <x v="222"/>
    <s v="Monday"/>
    <s v="Partially Cloudy"/>
    <n v="27.5"/>
    <x v="2"/>
    <d v="1899-12-30T15:50:00"/>
    <n v="0.8"/>
    <n v="16"/>
    <s v="DD"/>
  </r>
  <r>
    <x v="223"/>
    <s v="Tuesday"/>
    <s v="Partially Cloudy"/>
    <n v="31.5"/>
    <x v="0"/>
    <d v="1899-12-30T11:45:00"/>
    <n v="8.6199999999999992"/>
    <n v="177"/>
    <s v="DD"/>
  </r>
  <r>
    <x v="224"/>
    <s v="Tuesday"/>
    <s v="Rain / Snow Mix"/>
    <n v="31"/>
    <x v="3"/>
    <d v="1899-12-30T17:25:00"/>
    <n v="3.93"/>
    <n v="72.400000000000006"/>
    <s v="UE"/>
  </r>
  <r>
    <x v="225"/>
    <s v="Thursday"/>
    <s v="Clear"/>
    <n v="49"/>
    <x v="0"/>
    <d v="1899-12-30T17:25:00"/>
    <n v="7.1"/>
    <n v="137.30000000000001"/>
    <s v="DD"/>
  </r>
  <r>
    <x v="226"/>
    <s v="Friday"/>
    <s v="Rain"/>
    <n v="50.7"/>
    <x v="0"/>
    <d v="1899-12-30T17:55:00"/>
    <n v="5.8"/>
    <n v="141"/>
    <s v="UE"/>
  </r>
  <r>
    <x v="227"/>
    <s v="Sunday"/>
    <s v="Partially Cloudy"/>
    <n v="46.1"/>
    <x v="0"/>
    <d v="1899-12-30T15:15:00"/>
    <n v="8.32"/>
    <n v="135.5"/>
    <s v="DD"/>
  </r>
  <r>
    <x v="228"/>
    <s v="Tuesday"/>
    <s v="Rain"/>
    <n v="44.1"/>
    <x v="0"/>
    <d v="1899-12-30T17:10:00"/>
    <n v="5.75"/>
    <n v="94"/>
    <s v="DD"/>
  </r>
  <r>
    <x v="229"/>
    <s v="Wednesday"/>
    <s v="Freezing Rain / Ice"/>
    <n v="32.200000000000003"/>
    <x v="1"/>
    <d v="1899-12-30T15:25:00"/>
    <n v="6.4"/>
    <n v="113"/>
    <s v="DD"/>
  </r>
  <r>
    <x v="230"/>
    <s v="Thursday"/>
    <s v="Freezing Rain / Ice"/>
    <n v="30.5"/>
    <x v="1"/>
    <d v="1899-12-30T17:05:00"/>
    <n v="4.9800000000000004"/>
    <n v="113"/>
    <s v="DD"/>
  </r>
  <r>
    <x v="231"/>
    <s v="Sunday"/>
    <s v="Partially Cloudy"/>
    <n v="34.1"/>
    <x v="3"/>
    <d v="1899-12-30T17:55:00"/>
    <n v="5.57"/>
    <n v="114.4"/>
    <s v="DD"/>
  </r>
  <r>
    <x v="232"/>
    <s v="Monday"/>
    <s v="Partially Cloudy"/>
    <n v="27"/>
    <x v="2"/>
    <d v="1899-12-30T17:26:00"/>
    <n v="5.72"/>
    <n v="111"/>
    <s v="DD"/>
  </r>
  <r>
    <x v="233"/>
    <s v="Tuesday"/>
    <s v="Clear"/>
    <n v="27.1"/>
    <x v="3"/>
    <d v="1899-12-30T17:45:00"/>
    <n v="5.5"/>
    <n v="128"/>
    <s v="UE"/>
  </r>
  <r>
    <x v="234"/>
    <s v="Wednesday"/>
    <s v="Freezing Rain / Ice"/>
    <n v="32.1"/>
    <x v="2"/>
    <d v="1899-12-30T18:00:00"/>
    <n v="0.45"/>
    <n v="9"/>
    <s v="DD"/>
  </r>
  <r>
    <x v="235"/>
    <s v="Thursday"/>
    <s v="Rain"/>
    <n v="51.9"/>
    <x v="3"/>
    <d v="1899-12-30T17:30:00"/>
    <n v="6.23"/>
    <n v="122"/>
    <s v="UE"/>
  </r>
  <r>
    <x v="236"/>
    <s v="Friday"/>
    <s v="Freezing Rain / Ice"/>
    <n v="27.9"/>
    <x v="2"/>
    <d v="1899-12-30T17:25:00"/>
    <n v="9.07"/>
    <n v="109"/>
    <s v="UE"/>
  </r>
  <r>
    <x v="237"/>
    <s v="Monday"/>
    <s v="Freezing Rain / Ice"/>
    <n v="37.1"/>
    <x v="3"/>
    <d v="1899-12-30T16:50:00"/>
    <n v="6.15"/>
    <n v="141"/>
    <s v="DD"/>
  </r>
  <r>
    <x v="238"/>
    <s v="Thursday"/>
    <s v="Snow Storm"/>
    <n v="26.6"/>
    <x v="2"/>
    <d v="1899-12-30T17:05:00"/>
    <n v="6.52"/>
    <n v="82"/>
    <s v="DD"/>
  </r>
  <r>
    <x v="239"/>
    <s v="Saturday"/>
    <s v="Light Snow"/>
    <n v="29.3"/>
    <x v="3"/>
    <d v="1899-12-30T17:25:00"/>
    <n v="7.9"/>
    <n v="194"/>
    <s v="DD"/>
  </r>
  <r>
    <x v="240"/>
    <s v="Wednesday"/>
    <s v="Snow Storm"/>
    <n v="42"/>
    <x v="3"/>
    <d v="1899-12-30T17:15:00"/>
    <n v="2.52"/>
    <n v="60"/>
    <s v="DD"/>
  </r>
  <r>
    <x v="241"/>
    <s v="Thursday"/>
    <s v="Partially Cloudy"/>
    <n v="32.4"/>
    <x v="2"/>
    <d v="1899-12-30T16:55:00"/>
    <n v="6.28"/>
    <n v="83"/>
    <s v="DD"/>
  </r>
  <r>
    <x v="242"/>
    <s v="Friday"/>
    <s v="Partially Cloudy"/>
    <n v="38.9"/>
    <x v="3"/>
    <d v="1899-12-30T18:40:00"/>
    <n v="5.88"/>
    <n v="116"/>
    <s v="DD"/>
  </r>
  <r>
    <x v="243"/>
    <s v="Saturday"/>
    <s v="Rain"/>
    <n v="40.799999999999997"/>
    <x v="0"/>
    <d v="1899-12-30T17:35:00"/>
    <n v="5.33"/>
    <n v="118"/>
    <s v="DD"/>
  </r>
  <r>
    <x v="244"/>
    <s v="Tuesday"/>
    <s v="Light Snow"/>
    <n v="19.7"/>
    <x v="0"/>
    <d v="1899-12-30T17:00:00"/>
    <n v="5.43"/>
    <n v="110"/>
    <s v="UE"/>
  </r>
  <r>
    <x v="245"/>
    <s v="Wednesday"/>
    <s v="Partially Cloudy"/>
    <n v="26.1"/>
    <x v="2"/>
    <d v="1899-12-30T17:35:00"/>
    <n v="4.47"/>
    <n v="53"/>
    <s v="UE"/>
  </r>
  <r>
    <x v="246"/>
    <s v="Tuesday"/>
    <s v="Rain / Snow Mix"/>
    <n v="39.5"/>
    <x v="2"/>
    <d v="1899-12-30T17:20:00"/>
    <n v="5.38"/>
    <n v="78"/>
    <s v="UE"/>
  </r>
  <r>
    <x v="247"/>
    <s v="Wednesday"/>
    <s v="Rain / Snow Mix"/>
    <n v="37.1"/>
    <x v="0"/>
    <d v="1899-12-30T17:15:00"/>
    <n v="4.2300000000000004"/>
    <n v="102"/>
    <s v="UE"/>
  </r>
  <r>
    <x v="248"/>
    <s v="Thursday"/>
    <s v="Rain"/>
    <n v="51.4"/>
    <x v="2"/>
    <d v="1899-12-30T17:50:00"/>
    <n v="3.22"/>
    <n v="49"/>
    <s v="DD"/>
  </r>
  <r>
    <x v="249"/>
    <s v="Friday"/>
    <s v="Rain / Snow Mix"/>
    <n v="37.200000000000003"/>
    <x v="2"/>
    <d v="1899-12-30T17:25:00"/>
    <n v="6.45"/>
    <n v="94"/>
    <s v="DD"/>
  </r>
  <r>
    <x v="250"/>
    <s v="Saturday"/>
    <s v="Clear"/>
    <n v="42.1"/>
    <x v="0"/>
    <d v="1899-12-30T18:45:00"/>
    <n v="4.13"/>
    <n v="104"/>
    <s v="DD"/>
  </r>
  <r>
    <x v="251"/>
    <s v="Sunday"/>
    <s v="Partially Cloudy"/>
    <n v="53"/>
    <x v="2"/>
    <d v="1899-12-30T17:50:00"/>
    <n v="4.7699999999999996"/>
    <n v="62"/>
    <s v="DD"/>
  </r>
  <r>
    <x v="252"/>
    <s v="Tuesday"/>
    <s v="Partially Cloudy"/>
    <n v="42.9"/>
    <x v="0"/>
    <d v="1899-12-30T17:30:00"/>
    <n v="5.03"/>
    <n v="70.8"/>
    <s v="UE"/>
  </r>
  <r>
    <x v="253"/>
    <s v="Wednesday"/>
    <s v="Rain"/>
    <n v="56.3"/>
    <x v="0"/>
    <d v="1899-12-30T17:30:00"/>
    <n v="4.32"/>
    <n v="92"/>
    <s v="DD"/>
  </r>
  <r>
    <x v="254"/>
    <s v="Thursday"/>
    <s v="Freezing Rain / Ice"/>
    <n v="40"/>
    <x v="2"/>
    <d v="1899-12-30T17:50:00"/>
    <n v="5.12"/>
    <n v="102"/>
    <s v="DD"/>
  </r>
  <r>
    <x v="255"/>
    <s v="Friday"/>
    <s v="Clear"/>
    <n v="27.3"/>
    <x v="2"/>
    <d v="1899-12-30T18:35:00"/>
    <n v="6.03"/>
    <n v="116"/>
    <s v="DD"/>
  </r>
  <r>
    <x v="256"/>
    <s v="Thursday"/>
    <s v="Snow Storm"/>
    <n v="14.3"/>
    <x v="2"/>
    <d v="1899-12-30T17:50:00"/>
    <n v="4.17"/>
    <n v="45.6"/>
    <s v="DD"/>
  </r>
  <r>
    <x v="257"/>
    <s v="Friday"/>
    <s v="Light Snow"/>
    <n v="18.399999999999999"/>
    <x v="2"/>
    <d v="1899-12-30T18:35:00"/>
    <n v="3.13"/>
    <n v="58"/>
    <s v="DD"/>
  </r>
  <r>
    <x v="258"/>
    <s v="Sunday"/>
    <s v="Light Snow"/>
    <n v="26.8"/>
    <x v="0"/>
    <d v="1899-12-30T15:30:00"/>
    <n v="7.68"/>
    <n v="128"/>
    <s v="DD"/>
  </r>
  <r>
    <x v="259"/>
    <s v="Tuesday"/>
    <s v="Snow Storm"/>
    <n v="38.9"/>
    <x v="0"/>
    <d v="1899-12-30T18:00:00"/>
    <n v="5.15"/>
    <n v="92"/>
    <s v="DD"/>
  </r>
  <r>
    <x v="260"/>
    <s v="Wednesday"/>
    <s v="Snow Storm"/>
    <n v="34.4"/>
    <x v="3"/>
    <d v="1899-12-30T16:55:00"/>
    <n v="4.3499999999999996"/>
    <n v="96"/>
    <s v="DD"/>
  </r>
  <r>
    <x v="261"/>
    <s v="Friday"/>
    <s v="Snow Storm"/>
    <n v="29.3"/>
    <x v="2"/>
    <d v="1899-12-30T17:10:00"/>
    <n v="1.17"/>
    <n v="22"/>
    <s v="UE"/>
  </r>
  <r>
    <x v="262"/>
    <s v="Saturday"/>
    <s v="Rain / Snow Mix"/>
    <n v="35.9"/>
    <x v="0"/>
    <d v="1899-12-30T13:35:00"/>
    <n v="5.72"/>
    <n v="124"/>
    <s v="UE"/>
  </r>
  <r>
    <x v="263"/>
    <s v="Tuesday"/>
    <s v="Rain"/>
    <n v="39.9"/>
    <x v="0"/>
    <d v="1899-12-30T17:50:00"/>
    <n v="4.22"/>
    <n v="78"/>
    <s v="DD"/>
  </r>
  <r>
    <x v="264"/>
    <s v="Thursday"/>
    <s v="Clear"/>
    <n v="44.3"/>
    <x v="1"/>
    <d v="1899-12-30T17:10:00"/>
    <n v="2.4300000000000002"/>
    <n v="59.2"/>
    <s v="UE"/>
  </r>
  <r>
    <x v="265"/>
    <s v="Friday"/>
    <s v="Light Snow"/>
    <n v="38.299999999999997"/>
    <x v="2"/>
    <d v="1899-12-30T18:35:00"/>
    <n v="3.63"/>
    <n v="49"/>
    <s v="DD"/>
  </r>
  <r>
    <x v="266"/>
    <s v="Saturday"/>
    <s v="Rain"/>
    <n v="45"/>
    <x v="0"/>
    <d v="1899-12-30T17:00:00"/>
    <n v="6.2"/>
    <n v="112"/>
    <s v="DD"/>
  </r>
  <r>
    <x v="267"/>
    <s v="Tuesday"/>
    <s v="Snow Storm"/>
    <n v="28.4"/>
    <x v="0"/>
    <d v="1899-12-30T17:35:00"/>
    <n v="3.02"/>
    <n v="75"/>
    <s v="DD"/>
  </r>
  <r>
    <x v="268"/>
    <s v="Wednesday"/>
    <s v="Clear"/>
    <n v="42.5"/>
    <x v="2"/>
    <d v="1899-12-30T17:55:00"/>
    <n v="4.1500000000000004"/>
    <n v="73"/>
    <s v="DD"/>
  </r>
  <r>
    <x v="269"/>
    <s v="Thursday"/>
    <s v="Rain"/>
    <n v="39.9"/>
    <x v="0"/>
    <d v="1899-12-30T17:35:00"/>
    <n v="5.12"/>
    <n v="116.7"/>
    <s v="DD"/>
  </r>
  <r>
    <x v="270"/>
    <s v="Friday"/>
    <s v="Rain / Snow Mix"/>
    <n v="49.1"/>
    <x v="2"/>
    <d v="1899-12-30T17:40:00"/>
    <n v="3.85"/>
    <n v="54"/>
    <s v="DD"/>
  </r>
  <r>
    <x v="271"/>
    <s v="Saturday"/>
    <s v="Light Snow"/>
    <n v="31.3"/>
    <x v="0"/>
    <d v="1899-12-30T18:00:00"/>
    <n v="6.23"/>
    <n v="145"/>
    <s v="DD"/>
  </r>
  <r>
    <x v="272"/>
    <s v="Thursday"/>
    <s v="Rain"/>
    <n v="38.9"/>
    <x v="1"/>
    <d v="1899-12-30T18:55:00"/>
    <n v="4.97"/>
    <n v="61"/>
    <s v="UE"/>
  </r>
  <r>
    <x v="273"/>
    <s v="Friday"/>
    <s v="Light Snow"/>
    <n v="33.5"/>
    <x v="0"/>
    <d v="1899-12-30T18:50:00"/>
    <n v="3.18"/>
    <n v="51"/>
    <s v="DD"/>
  </r>
  <r>
    <x v="274"/>
    <s v="Saturday"/>
    <s v="Rain / Snow Mix"/>
    <n v="41.9"/>
    <x v="0"/>
    <d v="1899-12-30T19:05:00"/>
    <n v="4.03"/>
    <n v="81"/>
    <s v="UE"/>
  </r>
  <r>
    <x v="275"/>
    <s v="Sunday"/>
    <s v="Partially Cloudy"/>
    <n v="52.3"/>
    <x v="1"/>
    <d v="1899-12-30T18:15:00"/>
    <n v="4.5999999999999996"/>
    <n v="77"/>
    <s v="UE"/>
  </r>
  <r>
    <x v="276"/>
    <s v="Wednesday"/>
    <s v="Rain / Snow Mix"/>
    <n v="33"/>
    <x v="1"/>
    <d v="1899-12-30T17:25:00"/>
    <n v="4.7300000000000004"/>
    <n v="71.8"/>
    <s v="DD"/>
  </r>
  <r>
    <x v="277"/>
    <s v="Thursday"/>
    <s v="Light Snow"/>
    <n v="38.6"/>
    <x v="2"/>
    <d v="1899-12-30T17:55:00"/>
    <n v="4.92"/>
    <n v="80"/>
    <s v="DD"/>
  </r>
  <r>
    <x v="278"/>
    <s v="Friday"/>
    <s v="Rain / Snow Mix"/>
    <n v="42.3"/>
    <x v="1"/>
    <d v="1899-12-30T17:35:00"/>
    <n v="8.9499999999999993"/>
    <n v="166"/>
    <s v="UE"/>
  </r>
  <r>
    <x v="279"/>
    <s v="Saturday"/>
    <s v="Partially Cloudy"/>
    <n v="37.799999999999997"/>
    <x v="1"/>
    <d v="1899-12-30T18:15:00"/>
    <n v="4.58"/>
    <n v="81"/>
    <s v="UE"/>
  </r>
  <r>
    <x v="280"/>
    <s v="Tuesday"/>
    <s v="Freezing Rain / Ice"/>
    <n v="43.8"/>
    <x v="0"/>
    <d v="1899-12-30T17:35:00"/>
    <n v="1.9"/>
    <n v="36.4"/>
    <s v="DD"/>
  </r>
  <r>
    <x v="281"/>
    <s v="Thursday"/>
    <s v="Clear"/>
    <n v="78.400000000000006"/>
    <x v="0"/>
    <d v="1899-12-30T17:52:00"/>
    <n v="4.3"/>
    <n v="105.8"/>
    <s v="UE"/>
  </r>
  <r>
    <x v="282"/>
    <s v="Saturday"/>
    <s v="Rain"/>
    <n v="66"/>
    <x v="0"/>
    <d v="1899-12-30T16:42:00"/>
    <n v="5.62"/>
    <n v="101"/>
    <s v="DD"/>
  </r>
  <r>
    <x v="283"/>
    <s v="Wednesday"/>
    <s v="Partially Cloudy"/>
    <n v="54.3"/>
    <x v="0"/>
    <d v="1899-12-30T17:35:00"/>
    <n v="4.8499999999999996"/>
    <n v="110.8"/>
    <s v="DD"/>
  </r>
  <r>
    <x v="284"/>
    <s v="Thursday"/>
    <s v="Partially Cloudy"/>
    <n v="53.7"/>
    <x v="0"/>
    <d v="1899-12-30T17:20:00"/>
    <n v="5.6"/>
    <n v="128"/>
    <s v="UE"/>
  </r>
  <r>
    <x v="285"/>
    <s v="Friday"/>
    <s v="Partially Cloudy"/>
    <n v="53.2"/>
    <x v="0"/>
    <d v="1899-12-30T18:20:00"/>
    <n v="2.8"/>
    <n v="65"/>
    <s v="DD"/>
  </r>
  <r>
    <x v="286"/>
    <s v="Saturday"/>
    <s v="Rain"/>
    <n v="52.3"/>
    <x v="0"/>
    <d v="1899-12-30T15:55:00"/>
    <n v="6.2"/>
    <n v="138"/>
    <s v="UE"/>
  </r>
  <r>
    <x v="287"/>
    <s v="Sunday"/>
    <s v="Rain"/>
    <n v="42.4"/>
    <x v="3"/>
    <d v="1899-12-30T18:00:00"/>
    <n v="4.3"/>
    <n v="82"/>
    <s v="UE"/>
  </r>
  <r>
    <x v="288"/>
    <s v="Wednesday"/>
    <s v="Rain"/>
    <n v="55.1"/>
    <x v="1"/>
    <d v="1899-12-30T17:25:00"/>
    <n v="4.97"/>
    <n v="100"/>
    <s v="DD"/>
  </r>
  <r>
    <x v="289"/>
    <s v="Thursday"/>
    <s v="Clear"/>
    <n v="62.7"/>
    <x v="3"/>
    <d v="1899-12-30T17:45:00"/>
    <n v="3.12"/>
    <n v="78"/>
    <s v="DD"/>
  </r>
  <r>
    <x v="290"/>
    <s v="Friday"/>
    <s v="Partially Cloudy"/>
    <n v="57.2"/>
    <x v="0"/>
    <d v="1899-12-30T18:05:00"/>
    <n v="3.43"/>
    <n v="63"/>
    <s v="DD"/>
  </r>
  <r>
    <x v="291"/>
    <s v="Saturday"/>
    <s v="Rain"/>
    <n v="45.5"/>
    <x v="0"/>
    <d v="1899-12-30T17:50:00"/>
    <n v="1.1299999999999999"/>
    <n v="26"/>
    <s v="UE"/>
  </r>
  <r>
    <x v="292"/>
    <s v="Sunday"/>
    <s v="Rain"/>
    <n v="61.9"/>
    <x v="3"/>
    <d v="1899-12-30T17:20:00"/>
    <n v="4.32"/>
    <n v="90"/>
    <s v="DD"/>
  </r>
  <r>
    <x v="293"/>
    <s v="Tuesday"/>
    <s v="Rain"/>
    <n v="40.9"/>
    <x v="3"/>
    <d v="1899-12-30T17:15:00"/>
    <n v="5.28"/>
    <n v="130.5"/>
    <s v="DD"/>
  </r>
  <r>
    <x v="294"/>
    <s v="Wednesday"/>
    <s v="Rain"/>
    <n v="50.6"/>
    <x v="1"/>
    <d v="1899-12-30T17:25:00"/>
    <n v="5.63"/>
    <n v="93"/>
    <s v="DD"/>
  </r>
  <r>
    <x v="295"/>
    <s v="Thursday"/>
    <s v="Rain"/>
    <n v="63.4"/>
    <x v="0"/>
    <d v="1899-12-30T17:45:00"/>
    <n v="3.32"/>
    <n v="63"/>
    <s v="DD"/>
  </r>
  <r>
    <x v="296"/>
    <s v="Friday"/>
    <s v="Clear"/>
    <n v="74.7"/>
    <x v="1"/>
    <d v="1899-12-30T17:45:00"/>
    <n v="7.35"/>
    <n v="155"/>
    <s v="UE"/>
  </r>
  <r>
    <x v="297"/>
    <s v="Sunday"/>
    <s v="Clear"/>
    <n v="66.8"/>
    <x v="1"/>
    <d v="1899-12-30T16:45:00"/>
    <n v="3.93"/>
    <n v="75"/>
    <s v="UE"/>
  </r>
  <r>
    <x v="298"/>
    <s v="Wednesday"/>
    <s v="Clear"/>
    <n v="78.7"/>
    <x v="0"/>
    <d v="1899-12-30T16:55:00"/>
    <n v="4.43"/>
    <n v="111"/>
    <s v="DD"/>
  </r>
  <r>
    <x v="299"/>
    <s v="Friday"/>
    <s v="Clear"/>
    <n v="70.099999999999994"/>
    <x v="0"/>
    <d v="1899-12-30T17:50:00"/>
    <n v="6.35"/>
    <n v="147"/>
    <s v="DD"/>
  </r>
  <r>
    <x v="300"/>
    <s v="Thursday"/>
    <s v="Clear"/>
    <n v="62.4"/>
    <x v="1"/>
    <d v="1899-12-30T17:50:00"/>
    <n v="3.7"/>
    <n v="87"/>
    <s v="UE"/>
  </r>
  <r>
    <x v="301"/>
    <s v="Sunday"/>
    <s v="Clear"/>
    <n v="64.5"/>
    <x v="1"/>
    <d v="1899-12-30T17:10:00"/>
    <n v="2.2799999999999998"/>
    <n v="46.9"/>
    <s v="UE"/>
  </r>
  <r>
    <x v="302"/>
    <s v="Monday"/>
    <s v="Clear"/>
    <n v="63.1"/>
    <x v="3"/>
    <d v="1899-12-30T17:25:00"/>
    <n v="4.4000000000000004"/>
    <n v="106"/>
    <s v="DD"/>
  </r>
  <r>
    <x v="303"/>
    <s v="Wednesday"/>
    <s v="Rain"/>
    <n v="62.1"/>
    <x v="1"/>
    <d v="1899-12-30T17:35:00"/>
    <n v="4.63"/>
    <n v="92"/>
    <s v="DD"/>
  </r>
  <r>
    <x v="304"/>
    <s v="Friday"/>
    <s v="Clear"/>
    <n v="79.900000000000006"/>
    <x v="0"/>
    <d v="1899-12-30T11:10:00"/>
    <n v="7.85"/>
    <n v="167"/>
    <s v="DD"/>
  </r>
  <r>
    <x v="305"/>
    <s v="Wednesday"/>
    <s v="Rain"/>
    <n v="87.4"/>
    <x v="1"/>
    <d v="1899-12-30T17:25:00"/>
    <n v="3.97"/>
    <n v="81"/>
    <s v="UE"/>
  </r>
  <r>
    <x v="306"/>
    <s v="Thursday"/>
    <s v="Rain"/>
    <n v="85"/>
    <x v="0"/>
    <d v="1899-12-30T17:30:00"/>
    <n v="4.87"/>
    <n v="64"/>
    <s v="DD"/>
  </r>
  <r>
    <x v="307"/>
    <s v="Friday"/>
    <s v="Rain"/>
    <n v="46"/>
    <x v="0"/>
    <d v="1899-12-30T17:30:00"/>
    <n v="5.08"/>
    <n v="118"/>
    <s v="DD"/>
  </r>
  <r>
    <x v="308"/>
    <s v="Friday"/>
    <s v="Overcast"/>
    <n v="62"/>
    <x v="0"/>
    <d v="1899-12-30T17:25:00"/>
    <n v="5.43"/>
    <n v="112"/>
    <s v="DD"/>
  </r>
  <r>
    <x v="309"/>
    <s v="Saturday"/>
    <s v="Partially Cloudy"/>
    <n v="64"/>
    <x v="0"/>
    <d v="1899-12-30T17:30:00"/>
    <n v="4.2"/>
    <n v="81"/>
    <s v="DD"/>
  </r>
  <r>
    <x v="310"/>
    <s v="Tuesday"/>
    <s v="Partially Cloudy"/>
    <n v="69"/>
    <x v="3"/>
    <d v="1899-12-30T17:05:00"/>
    <n v="5.45"/>
    <n v="120"/>
    <s v="DD"/>
  </r>
  <r>
    <x v="311"/>
    <s v="Wednesday"/>
    <s v="Overcast"/>
    <n v="78"/>
    <x v="1"/>
    <d v="1899-12-30T18:18:00"/>
    <n v="4.07"/>
    <n v="93"/>
    <s v="UE"/>
  </r>
  <r>
    <x v="312"/>
    <s v="Friday"/>
    <s v="Rain"/>
    <n v="78"/>
    <x v="3"/>
    <d v="1899-12-30T17:13:00"/>
    <n v="5.07"/>
    <n v="114"/>
    <s v="DD"/>
  </r>
  <r>
    <x v="313"/>
    <s v="Wednesday"/>
    <s v="Clear &amp; Humid"/>
    <n v="77"/>
    <x v="1"/>
    <d v="1899-12-30T17:20:00"/>
    <n v="5.93"/>
    <n v="109"/>
    <s v="UE"/>
  </r>
  <r>
    <x v="314"/>
    <s v="Friday"/>
    <s v="Clear &amp; Humid"/>
    <n v="72"/>
    <x v="1"/>
    <d v="1899-12-30T17:35:00"/>
    <n v="7.85"/>
    <n v="140.80000000000001"/>
    <s v="UE"/>
  </r>
  <r>
    <x v="315"/>
    <s v="Saturday"/>
    <s v="Clear &amp; Humid"/>
    <n v="69"/>
    <x v="3"/>
    <d v="1899-12-30T17:30:00"/>
    <n v="5.38"/>
    <n v="116"/>
    <s v="DD"/>
  </r>
  <r>
    <x v="316"/>
    <s v="Sunday"/>
    <s v="Partially cloudy &amp; Humid"/>
    <n v="72"/>
    <x v="2"/>
    <d v="1899-12-30T17:15:00"/>
    <n v="4.95"/>
    <n v="81"/>
    <s v="DD"/>
  </r>
  <r>
    <x v="317"/>
    <s v="Tuesday"/>
    <s v="Clear"/>
    <n v="82"/>
    <x v="1"/>
    <d v="1899-12-30T17:15:00"/>
    <n v="5.98"/>
    <n v="115"/>
    <s v="UE"/>
  </r>
  <r>
    <x v="318"/>
    <s v="Wednesday"/>
    <s v="Clear &amp; Humid"/>
    <n v="75"/>
    <x v="1"/>
    <d v="1899-12-30T17:25:00"/>
    <n v="5.6"/>
    <n v="129"/>
    <s v="DD"/>
  </r>
  <r>
    <x v="319"/>
    <s v="Thursday"/>
    <s v="Clear &amp; Humid"/>
    <n v="79"/>
    <x v="3"/>
    <d v="1899-12-30T17:15:00"/>
    <n v="5.05"/>
    <n v="117"/>
    <s v="DD"/>
  </r>
  <r>
    <x v="320"/>
    <s v="Friday"/>
    <s v="Partially Cloudy"/>
    <n v="73"/>
    <x v="1"/>
    <d v="1899-12-30T17:40:00"/>
    <n v="6.6"/>
    <n v="147.19999999999999"/>
    <s v="UE"/>
  </r>
  <r>
    <x v="321"/>
    <s v="Saturday"/>
    <s v="Partially cloudy &amp; Humid"/>
    <n v="78"/>
    <x v="2"/>
    <d v="1899-12-30T12:35:00"/>
    <n v="6.95"/>
    <n v="95"/>
    <s v="DD"/>
  </r>
  <r>
    <x v="322"/>
    <s v="Sunday"/>
    <s v="Rain"/>
    <n v="75"/>
    <x v="0"/>
    <d v="1899-12-30T14:55:00"/>
    <n v="2.65"/>
    <n v="62"/>
    <s v="DD"/>
  </r>
  <r>
    <x v="323"/>
    <s v="Monday"/>
    <s v="Clear &amp; Humid"/>
    <n v="81"/>
    <x v="1"/>
    <d v="1899-12-30T17:20:00"/>
    <n v="7.18"/>
    <n v="156.1"/>
    <s v="UE"/>
  </r>
  <r>
    <x v="324"/>
    <s v="Tuesday"/>
    <s v="Clear"/>
    <n v="73"/>
    <x v="1"/>
    <d v="1899-12-30T17:25:00"/>
    <n v="5.88"/>
    <n v="123"/>
    <s v="UE"/>
  </r>
  <r>
    <x v="325"/>
    <s v="Saturday"/>
    <s v="Partially cloudy &amp; Humid"/>
    <n v="75"/>
    <x v="2"/>
    <d v="1899-12-30T13:55:00"/>
    <n v="8.92"/>
    <n v="171"/>
    <s v="DD"/>
  </r>
  <r>
    <x v="326"/>
    <s v="Monday"/>
    <s v="Clear"/>
    <n v="79"/>
    <x v="1"/>
    <d v="1899-12-30T17:05:00"/>
    <n v="3.43"/>
    <n v="78.8"/>
    <s v="UE"/>
  </r>
  <r>
    <x v="327"/>
    <s v="Saturday"/>
    <s v="Rain"/>
    <n v="64"/>
    <x v="2"/>
    <d v="1899-12-30T14:20:00"/>
    <n v="8.57"/>
    <n v="116"/>
    <s v="UE"/>
  </r>
  <r>
    <x v="328"/>
    <s v="Monday"/>
    <s v="Clear &amp; Humid"/>
    <n v="68"/>
    <x v="1"/>
    <d v="1899-12-30T17:05:00"/>
    <n v="5.53"/>
    <n v="113"/>
    <s v="UE"/>
  </r>
  <r>
    <x v="329"/>
    <s v="Wednesday"/>
    <s v="Clear"/>
    <n v="72"/>
    <x v="3"/>
    <d v="1899-12-30T17:50:00"/>
    <n v="4.45"/>
    <n v="109"/>
    <s v="UE"/>
  </r>
  <r>
    <x v="330"/>
    <s v="Friday"/>
    <s v="Stormy"/>
    <n v="66"/>
    <x v="0"/>
    <d v="1899-12-30T17:40:00"/>
    <n v="4.28"/>
    <n v="85"/>
    <s v="DD"/>
  </r>
  <r>
    <x v="331"/>
    <s v="Saturday"/>
    <s v="Clear"/>
    <n v="73"/>
    <x v="2"/>
    <d v="1899-12-30T15:50:00"/>
    <n v="9.2200000000000006"/>
    <n v="162"/>
    <s v="DD"/>
  </r>
  <r>
    <x v="332"/>
    <s v="Sunday"/>
    <s v="Clear"/>
    <n v="79"/>
    <x v="2"/>
    <d v="1899-12-30T15:45:00"/>
    <n v="4.05"/>
    <n v="68"/>
    <s v="UE"/>
  </r>
  <r>
    <x v="333"/>
    <s v="Monday"/>
    <s v="Clear"/>
    <n v="70"/>
    <x v="3"/>
    <d v="1899-12-30T17:10:00"/>
    <n v="5.48"/>
    <n v="132"/>
    <s v="DD"/>
  </r>
  <r>
    <x v="334"/>
    <s v="Tuesday"/>
    <s v="Rain"/>
    <n v="68"/>
    <x v="0"/>
    <d v="1899-12-30T16:50:00"/>
    <n v="4.97"/>
    <n v="124"/>
    <s v="DD"/>
  </r>
  <r>
    <x v="335"/>
    <s v="Thursday"/>
    <s v="Overcast"/>
    <n v="73"/>
    <x v="1"/>
    <d v="1899-12-30T18:15:00"/>
    <n v="2.92"/>
    <n v="69"/>
    <s v="UE"/>
  </r>
  <r>
    <x v="336"/>
    <s v="Friday"/>
    <s v="Clear"/>
    <n v="73"/>
    <x v="0"/>
    <d v="1899-12-30T17:30:00"/>
    <n v="3.27"/>
    <n v="67"/>
    <s v="DD"/>
  </r>
  <r>
    <x v="337"/>
    <s v="Wednesday"/>
    <s v="Overcast"/>
    <n v="66"/>
    <x v="1"/>
    <d v="1899-12-30T17:35:00"/>
    <n v="5.57"/>
    <n v="95"/>
    <s v="UE"/>
  </r>
  <r>
    <x v="338"/>
    <s v="Thursday"/>
    <s v="Overcast"/>
    <n v="66"/>
    <x v="1"/>
    <d v="1899-12-30T18:35:00"/>
    <n v="4.0199999999999996"/>
    <n v="88"/>
    <s v="DD"/>
  </r>
  <r>
    <x v="339"/>
    <s v="Friday"/>
    <s v="Overcast"/>
    <n v="70"/>
    <x v="3"/>
    <d v="1899-12-30T17:00:00"/>
    <n v="5.6"/>
    <n v="133"/>
    <s v="DD"/>
  </r>
  <r>
    <x v="340"/>
    <s v="Saturday"/>
    <s v="Overcast"/>
    <n v="68"/>
    <x v="2"/>
    <d v="1899-12-30T16:45:00"/>
    <n v="5.37"/>
    <n v="64"/>
    <s v="DD"/>
  </r>
  <r>
    <x v="341"/>
    <s v="Sunday"/>
    <s v="Clear"/>
    <n v="79"/>
    <x v="2"/>
    <d v="1899-12-30T16:45:00"/>
    <n v="1.38"/>
    <n v="29"/>
    <s v="DD"/>
  </r>
  <r>
    <x v="342"/>
    <s v="Wednesday"/>
    <s v="Clear"/>
    <n v="73"/>
    <x v="0"/>
    <d v="1899-12-30T17:50:00"/>
    <n v="4.0199999999999996"/>
    <n v="104"/>
    <s v="DD"/>
  </r>
  <r>
    <x v="343"/>
    <s v="Thursday"/>
    <s v="Overcast"/>
    <n v="68"/>
    <x v="1"/>
    <d v="1899-12-30T17:35:00"/>
    <n v="3.25"/>
    <n v="67"/>
    <s v="DD"/>
  </r>
  <r>
    <x v="344"/>
    <s v="Friday"/>
    <s v="Rain"/>
    <n v="66"/>
    <x v="0"/>
    <d v="1899-12-30T17:05:00"/>
    <n v="7.03"/>
    <n v="117"/>
    <s v="DD"/>
  </r>
  <r>
    <x v="345"/>
    <s v="Saturday"/>
    <s v="Partially cloudy &amp; Humid"/>
    <n v="72"/>
    <x v="1"/>
    <d v="1899-12-30T15:25:00"/>
    <n v="8.0299999999999994"/>
    <n v="181"/>
    <s v="UE"/>
  </r>
  <r>
    <x v="346"/>
    <s v="Tuesday"/>
    <s v="Partially Cloudy"/>
    <n v="72"/>
    <x v="0"/>
    <d v="1899-12-30T17:10:00"/>
    <n v="3.82"/>
    <n v="71"/>
    <s v="DD"/>
  </r>
  <r>
    <x v="347"/>
    <s v="Wednesday"/>
    <s v="Clear &amp; Humid"/>
    <n v="72"/>
    <x v="1"/>
    <d v="1899-12-30T17:20:00"/>
    <n v="5.17"/>
    <n v="98"/>
    <s v="UE"/>
  </r>
  <r>
    <x v="348"/>
    <s v="Thursday"/>
    <s v="Clear"/>
    <n v="64"/>
    <x v="1"/>
    <d v="1899-12-30T17:10:00"/>
    <n v="7.45"/>
    <n v="111"/>
    <s v="UE"/>
  </r>
  <r>
    <x v="349"/>
    <s v="Friday"/>
    <s v="Clear"/>
    <n v="73"/>
    <x v="2"/>
    <d v="1899-12-30T16:05:00"/>
    <n v="3.87"/>
    <n v="75"/>
    <s v="DD"/>
  </r>
  <r>
    <x v="350"/>
    <s v="Saturday"/>
    <s v="Clear"/>
    <n v="70"/>
    <x v="0"/>
    <d v="1899-12-30T16:05:00"/>
    <n v="7.38"/>
    <n v="177"/>
    <s v="DD"/>
  </r>
  <r>
    <x v="351"/>
    <s v="Wednesday"/>
    <s v="Clear &amp; Humid"/>
    <n v="81"/>
    <x v="0"/>
    <d v="1899-12-30T17:10:00"/>
    <n v="4.75"/>
    <n v="119"/>
    <s v="UE"/>
  </r>
  <r>
    <x v="352"/>
    <s v="Thursday"/>
    <s v="Clear &amp; Humid"/>
    <n v="75"/>
    <x v="1"/>
    <d v="1899-12-30T17:10:00"/>
    <n v="5.38"/>
    <n v="107"/>
    <s v="UE"/>
  </r>
  <r>
    <x v="353"/>
    <s v="Friday"/>
    <s v="Stormy"/>
    <n v="79"/>
    <x v="0"/>
    <d v="1899-12-30T18:05:00"/>
    <n v="5.2"/>
    <n v="84"/>
    <s v="UE"/>
  </r>
  <r>
    <x v="354"/>
    <s v="Sunday"/>
    <s v="Clear &amp; Humid"/>
    <n v="64"/>
    <x v="1"/>
    <d v="1899-12-30T17:50:00"/>
    <n v="4.6500000000000004"/>
    <n v="111"/>
    <s v="UE"/>
  </r>
  <r>
    <x v="355"/>
    <s v="Monday"/>
    <s v="Rain"/>
    <n v="72"/>
    <x v="0"/>
    <d v="1899-12-30T17:35:00"/>
    <n v="4.58"/>
    <n v="124"/>
    <s v="UE"/>
  </r>
  <r>
    <x v="356"/>
    <s v="Wednesday"/>
    <s v="Overcast"/>
    <n v="70"/>
    <x v="0"/>
    <d v="1899-12-30T17:25:00"/>
    <n v="3.55"/>
    <n v="79"/>
    <s v="DD"/>
  </r>
  <r>
    <x v="357"/>
    <s v="Thursday"/>
    <s v="Clear"/>
    <n v="66"/>
    <x v="0"/>
    <d v="1899-12-30T17:50:00"/>
    <n v="0.9"/>
    <n v="22"/>
    <s v="UE"/>
  </r>
  <r>
    <x v="358"/>
    <s v="Saturday"/>
    <s v="Rain"/>
    <n v="66"/>
    <x v="0"/>
    <d v="1899-12-30T15:20:00"/>
    <n v="5.17"/>
    <n v="109"/>
    <s v="DD"/>
  </r>
  <r>
    <x v="359"/>
    <s v="Tuesday"/>
    <s v="Clear"/>
    <n v="63"/>
    <x v="3"/>
    <d v="1899-12-30T17:15:00"/>
    <n v="3.72"/>
    <n v="87"/>
    <s v="DD"/>
  </r>
  <r>
    <x v="360"/>
    <s v="Thursday"/>
    <s v="Partially Cloudy"/>
    <n v="63"/>
    <x v="1"/>
    <d v="1899-12-30T17:30:00"/>
    <n v="2.5499999999999998"/>
    <n v="71"/>
    <s v="UE"/>
  </r>
  <r>
    <x v="361"/>
    <s v="Friday"/>
    <s v="Clear"/>
    <n v="59"/>
    <x v="0"/>
    <d v="1899-12-30T17:05:00"/>
    <n v="0.63"/>
    <n v="14"/>
    <s v="DD"/>
  </r>
  <r>
    <x v="362"/>
    <s v="Saturday"/>
    <s v="Clear"/>
    <n v="57"/>
    <x v="2"/>
    <d v="1899-12-30T15:55:00"/>
    <n v="9.42"/>
    <n v="126"/>
    <s v="DD"/>
  </r>
  <r>
    <x v="363"/>
    <s v="Monday"/>
    <s v="Clear"/>
    <n v="59"/>
    <x v="0"/>
    <d v="1899-12-30T18:00:00"/>
    <n v="2.92"/>
    <n v="75"/>
    <s v="UE"/>
  </r>
  <r>
    <x v="364"/>
    <s v="Tuesday"/>
    <s v="Clear"/>
    <n v="61"/>
    <x v="2"/>
    <d v="1899-12-30T18:15:00"/>
    <n v="3.5"/>
    <n v="63"/>
    <s v="DD"/>
  </r>
  <r>
    <x v="365"/>
    <s v="Wednesday"/>
    <s v="Clear"/>
    <n v="63"/>
    <x v="0"/>
    <d v="1899-12-30T17:05:00"/>
    <n v="3.18"/>
    <n v="81"/>
    <s v="DD"/>
  </r>
  <r>
    <x v="366"/>
    <s v="Thursday"/>
    <s v="Partially Cloudy"/>
    <n v="55"/>
    <x v="1"/>
    <d v="1899-12-30T17:25:00"/>
    <n v="1.25"/>
    <n v="48"/>
    <s v="UE"/>
  </r>
  <r>
    <x v="367"/>
    <s v="Friday"/>
    <s v="Partially Cloudy"/>
    <n v="61"/>
    <x v="0"/>
    <d v="1899-12-30T17:50:00"/>
    <n v="6.72"/>
    <n v="145"/>
    <s v="DD"/>
  </r>
  <r>
    <x v="368"/>
    <s v="Monday"/>
    <s v="Clear"/>
    <n v="64"/>
    <x v="2"/>
    <d v="1899-12-30T17:25:00"/>
    <n v="5.22"/>
    <n v="106"/>
    <s v="DD"/>
  </r>
  <r>
    <x v="369"/>
    <s v="Thursday"/>
    <s v="Overcast"/>
    <n v="63"/>
    <x v="0"/>
    <d v="1899-12-30T18:00:00"/>
    <n v="4.08"/>
    <n v="88"/>
    <s v="UE"/>
  </r>
  <r>
    <x v="370"/>
    <s v="Friday"/>
    <s v="Partially Cloudy"/>
    <n v="63"/>
    <x v="0"/>
    <d v="1899-12-30T17:25:00"/>
    <n v="1.8"/>
    <n v="35"/>
    <s v="DD"/>
  </r>
  <r>
    <x v="371"/>
    <s v="Monday"/>
    <s v="Clear"/>
    <n v="52"/>
    <x v="0"/>
    <d v="1899-12-30T17:30:00"/>
    <n v="4.37"/>
    <n v="69"/>
    <s v="DD"/>
  </r>
  <r>
    <x v="372"/>
    <s v="Tuesday"/>
    <s v="Overcast"/>
    <n v="55"/>
    <x v="0"/>
    <d v="1899-12-30T17:35:00"/>
    <n v="3.87"/>
    <n v="48"/>
    <s v="DD"/>
  </r>
  <r>
    <x v="373"/>
    <s v="Friday"/>
    <s v="Clear"/>
    <n v="54"/>
    <x v="3"/>
    <d v="1899-12-30T17:30:00"/>
    <n v="5.67"/>
    <n v="127"/>
    <s v="DD"/>
  </r>
  <r>
    <x v="374"/>
    <s v="Sunday"/>
    <s v="Overcast"/>
    <n v="54"/>
    <x v="0"/>
    <d v="1899-12-30T17:45:00"/>
    <n v="1.68"/>
    <n v="33"/>
    <s v="DD"/>
  </r>
  <r>
    <x v="375"/>
    <s v="Tuesday"/>
    <s v="Overcast"/>
    <n v="52"/>
    <x v="1"/>
    <d v="1899-12-30T17:40:00"/>
    <n v="5.42"/>
    <n v="92"/>
    <s v="DD"/>
  </r>
  <r>
    <x v="376"/>
    <s v="Wednesday"/>
    <s v="Overcast"/>
    <n v="54"/>
    <x v="0"/>
    <d v="1899-12-30T17:55:00"/>
    <n v="4.5"/>
    <n v="111"/>
    <s v="DD"/>
  </r>
  <r>
    <x v="377"/>
    <s v="Monday"/>
    <s v="Partially Cloudy"/>
    <n v="48"/>
    <x v="0"/>
    <d v="1899-12-30T18:10:00"/>
    <n v="3.28"/>
    <n v="54"/>
    <s v="DD"/>
  </r>
  <r>
    <x v="378"/>
    <s v="Tuesday"/>
    <s v="Overcast"/>
    <n v="50"/>
    <x v="0"/>
    <d v="1899-12-30T18:00:00"/>
    <n v="3.33"/>
    <n v="64"/>
    <s v="DD"/>
  </r>
  <r>
    <x v="379"/>
    <s v="Wednesday"/>
    <s v="Clear"/>
    <n v="61"/>
    <x v="3"/>
    <d v="1899-12-30T17:00:00"/>
    <n v="3.52"/>
    <n v="94"/>
    <s v="DD"/>
  </r>
  <r>
    <x v="380"/>
    <s v="Saturday"/>
    <s v="Clear"/>
    <n v="66"/>
    <x v="0"/>
    <d v="1899-12-30T15:35:00"/>
    <n v="6.63"/>
    <n v="126"/>
    <s v="DD"/>
  </r>
  <r>
    <x v="381"/>
    <s v="Sunday"/>
    <s v="Overcast"/>
    <n v="45"/>
    <x v="0"/>
    <d v="1899-12-30T15:00:00"/>
    <n v="5.33"/>
    <n v="126"/>
    <s v="UE"/>
  </r>
  <r>
    <x v="382"/>
    <s v="Monday"/>
    <s v="Overcast"/>
    <n v="36"/>
    <x v="0"/>
    <d v="1899-12-30T18:15:00"/>
    <n v="4.4800000000000004"/>
    <n v="98"/>
    <s v="DD"/>
  </r>
  <r>
    <x v="383"/>
    <s v="Tuesday"/>
    <s v="Overcast"/>
    <n v="36"/>
    <x v="0"/>
    <d v="1899-12-30T18:10:00"/>
    <n v="3.97"/>
    <n v="88"/>
    <s v="DD"/>
  </r>
  <r>
    <x v="384"/>
    <s v="Wednesday"/>
    <s v="Clear"/>
    <n v="36"/>
    <x v="0"/>
    <d v="1899-12-30T17:20:00"/>
    <n v="4.12"/>
    <n v="99"/>
    <s v="DD"/>
  </r>
  <r>
    <x v="385"/>
    <s v="Friday"/>
    <s v="Clear"/>
    <n v="48"/>
    <x v="0"/>
    <d v="1899-12-30T18:20:00"/>
    <n v="4.67"/>
    <n v="119"/>
    <s v="UE"/>
  </r>
  <r>
    <x v="386"/>
    <s v="Monday"/>
    <s v="Overcast"/>
    <n v="39"/>
    <x v="0"/>
    <d v="1899-12-30T17:20:00"/>
    <n v="4.03"/>
    <n v="103"/>
    <s v="UE"/>
  </r>
  <r>
    <x v="387"/>
    <s v="Wednesday"/>
    <s v="Clear"/>
    <n v="34"/>
    <x v="0"/>
    <d v="1899-12-30T17:45:00"/>
    <n v="5.18"/>
    <n v="128"/>
    <s v="DD"/>
  </r>
  <r>
    <x v="388"/>
    <s v="Friday"/>
    <s v="Overcast"/>
    <n v="43"/>
    <x v="2"/>
    <d v="1899-12-30T17:15:00"/>
    <n v="6.3"/>
    <n v="117"/>
    <s v="DD"/>
  </r>
  <r>
    <x v="389"/>
    <s v="Saturday"/>
    <s v="Partially Cloudy"/>
    <n v="32"/>
    <x v="1"/>
    <d v="1899-12-30T17:40:00"/>
    <n v="5.42"/>
    <n v="110"/>
    <s v="UE"/>
  </r>
  <r>
    <x v="390"/>
    <s v="Sunday"/>
    <s v="Clear"/>
    <n v="28"/>
    <x v="0"/>
    <d v="1899-12-30T15:20:00"/>
    <n v="6.2"/>
    <n v="119"/>
    <s v="DD"/>
  </r>
  <r>
    <x v="391"/>
    <s v="Monday"/>
    <s v="Partially Cloudy"/>
    <n v="30"/>
    <x v="3"/>
    <d v="1899-12-30T17:00:00"/>
    <n v="5.07"/>
    <n v="115"/>
    <s v="UE"/>
  </r>
  <r>
    <x v="392"/>
    <s v="Tuesday"/>
    <s v="Clear"/>
    <n v="36"/>
    <x v="0"/>
    <d v="1899-12-30T17:15:00"/>
    <n v="3.57"/>
    <n v="65.3"/>
    <s v="DD"/>
  </r>
  <r>
    <x v="393"/>
    <s v="Thursday"/>
    <s v="Clear"/>
    <n v="39"/>
    <x v="2"/>
    <d v="1899-12-30T17:10:00"/>
    <n v="2.15"/>
    <n v="22"/>
    <s v="DD"/>
  </r>
  <r>
    <x v="394"/>
    <s v="Friday"/>
    <s v="Overcast"/>
    <n v="55"/>
    <x v="0"/>
    <d v="1899-12-30T17:30:00"/>
    <n v="0.87"/>
    <n v="17"/>
    <s v="UE"/>
  </r>
  <r>
    <x v="395"/>
    <s v="Monday"/>
    <s v="Clear"/>
    <n v="28"/>
    <x v="3"/>
    <d v="1899-12-30T17:25:00"/>
    <n v="5.05"/>
    <n v="137"/>
    <s v="DD"/>
  </r>
  <r>
    <x v="396"/>
    <s v="Tuesday"/>
    <s v="Overcast"/>
    <n v="30"/>
    <x v="2"/>
    <d v="1899-12-30T17:45:00"/>
    <n v="4.0199999999999996"/>
    <n v="71"/>
    <s v="DD"/>
  </r>
  <r>
    <x v="397"/>
    <s v="Wednesday"/>
    <s v="Rain"/>
    <n v="37"/>
    <x v="0"/>
    <d v="1899-12-30T17:05:00"/>
    <n v="1.83"/>
    <n v="38"/>
    <s v="UE"/>
  </r>
  <r>
    <x v="398"/>
    <s v="Friday"/>
    <s v="Clear"/>
    <n v="25"/>
    <x v="0"/>
    <d v="1899-12-30T17:40:00"/>
    <n v="6.55"/>
    <n v="158"/>
    <s v="UE"/>
  </r>
  <r>
    <x v="399"/>
    <s v="Monday"/>
    <s v="Overcast"/>
    <n v="43"/>
    <x v="0"/>
    <d v="1899-12-30T17:20:00"/>
    <n v="4.13"/>
    <n v="108"/>
    <s v="DD"/>
  </r>
  <r>
    <x v="400"/>
    <s v="Tuesday"/>
    <s v="Clear"/>
    <n v="30"/>
    <x v="0"/>
    <d v="1899-12-30T17:10:00"/>
    <n v="4.97"/>
    <n v="142"/>
    <s v="UE"/>
  </r>
  <r>
    <x v="401"/>
    <s v="Thursday"/>
    <s v="Partially Cloudy"/>
    <n v="37"/>
    <x v="1"/>
    <d v="1899-12-30T17:05:00"/>
    <n v="4.0199999999999996"/>
    <n v="99"/>
    <s v="DD"/>
  </r>
  <r>
    <x v="402"/>
    <s v="Wednesday"/>
    <s v="Clear"/>
    <n v="21"/>
    <x v="1"/>
    <d v="1899-12-30T17:05:00"/>
    <n v="3.85"/>
    <n v="80"/>
    <s v="DD"/>
  </r>
  <r>
    <x v="403"/>
    <s v="Thursday"/>
    <s v="Clear"/>
    <n v="16"/>
    <x v="0"/>
    <d v="1899-12-30T17:25:00"/>
    <n v="4.25"/>
    <n v="102"/>
    <s v="UE"/>
  </r>
  <r>
    <x v="404"/>
    <s v="Friday"/>
    <s v="Partially Cloudy"/>
    <n v="27"/>
    <x v="1"/>
    <d v="1899-12-30T17:30:00"/>
    <n v="3.08"/>
    <n v="74"/>
    <s v="UE"/>
  </r>
  <r>
    <x v="405"/>
    <s v="Saturday"/>
    <s v="Partially Cloudy"/>
    <n v="34"/>
    <x v="2"/>
    <d v="1899-12-30T17:40:00"/>
    <n v="2.25"/>
    <n v="36"/>
    <s v="DD"/>
  </r>
  <r>
    <x v="406"/>
    <s v="Thursday"/>
    <s v="Partially Cloudy"/>
    <n v="28"/>
    <x v="0"/>
    <d v="1899-12-30T17:05:00"/>
    <n v="6.25"/>
    <n v="144"/>
    <s v="UE"/>
  </r>
  <r>
    <x v="407"/>
    <s v="Saturday"/>
    <s v="Clear"/>
    <n v="34"/>
    <x v="3"/>
    <d v="1899-12-30T17:20:00"/>
    <n v="3.13"/>
    <n v="65"/>
    <s v="DD"/>
  </r>
  <r>
    <x v="408"/>
    <s v="Monday"/>
    <s v="Stormy"/>
    <n v="52"/>
    <x v="0"/>
    <d v="1899-12-30T18:10:00"/>
    <n v="4.3499999999999996"/>
    <n v="65"/>
    <s v="DD"/>
  </r>
  <r>
    <x v="409"/>
    <s v="Friday"/>
    <s v="Clear"/>
    <n v="25"/>
    <x v="0"/>
    <d v="1899-12-30T17:50:00"/>
    <n v="4.9000000000000004"/>
    <n v="92"/>
    <s v="UE"/>
  </r>
  <r>
    <x v="410"/>
    <s v="Saturday"/>
    <s v="Partially Cloudy"/>
    <n v="32"/>
    <x v="0"/>
    <d v="1899-12-30T18:00:00"/>
    <n v="3.82"/>
    <n v="75"/>
    <s v="DD"/>
  </r>
  <r>
    <x v="411"/>
    <s v="Sunday"/>
    <s v="Overcast"/>
    <n v="43"/>
    <x v="0"/>
    <d v="1899-12-30T15:00:00"/>
    <n v="1.43"/>
    <n v="30"/>
    <s v="UE"/>
  </r>
  <r>
    <x v="412"/>
    <s v="Wednesday"/>
    <s v="Fog"/>
    <n v="39"/>
    <x v="0"/>
    <d v="1899-12-30T17:30:00"/>
    <n v="4.25"/>
    <n v="80"/>
    <s v="UE"/>
  </r>
  <r>
    <x v="413"/>
    <s v="Friday"/>
    <s v="Fog"/>
    <n v="36"/>
    <x v="0"/>
    <d v="1899-12-30T17:25:00"/>
    <n v="6.8"/>
    <n v="150"/>
    <s v="UE"/>
  </r>
  <r>
    <x v="414"/>
    <s v="Monday"/>
    <s v="Overcast"/>
    <n v="27"/>
    <x v="1"/>
    <d v="1899-12-30T18:40:00"/>
    <n v="3.35"/>
    <n v="83"/>
    <s v="UE"/>
  </r>
  <r>
    <x v="415"/>
    <s v="Tuesday"/>
    <s v="Clear"/>
    <n v="28"/>
    <x v="1"/>
    <d v="1899-12-30T16:50:00"/>
    <n v="3.55"/>
    <n v="91"/>
    <s v="UE"/>
  </r>
  <r>
    <x v="416"/>
    <s v="Wednesday"/>
    <s v="Overcast"/>
    <n v="34"/>
    <x v="0"/>
    <d v="1899-12-30T17:10:00"/>
    <n v="3.72"/>
    <n v="58"/>
    <s v="UE"/>
  </r>
  <r>
    <x v="417"/>
    <s v="Friday"/>
    <s v="Clear"/>
    <n v="25"/>
    <x v="0"/>
    <d v="1899-12-30T19:10:00"/>
    <n v="2.63"/>
    <n v="57"/>
    <s v="UE"/>
  </r>
  <r>
    <x v="418"/>
    <s v="Saturday"/>
    <s v="Overcast"/>
    <n v="25"/>
    <x v="1"/>
    <d v="1899-12-30T15:15:00"/>
    <n v="5.32"/>
    <n v="122"/>
    <s v="DD"/>
  </r>
  <r>
    <x v="419"/>
    <s v="Sunday"/>
    <s v="Snow Storm"/>
    <n v="19"/>
    <x v="0"/>
    <d v="1899-12-30T12:40:00"/>
    <n v="3.9"/>
    <n v="72"/>
    <s v="UE"/>
  </r>
  <r>
    <x v="420"/>
    <s v="Monday"/>
    <s v="Clear"/>
    <n v="27"/>
    <x v="0"/>
    <d v="1899-12-30T17:25:00"/>
    <n v="2.9"/>
    <n v="64"/>
    <s v="DD"/>
  </r>
  <r>
    <x v="421"/>
    <s v="Tuesday"/>
    <s v="Light Snow"/>
    <n v="34"/>
    <x v="0"/>
    <d v="1899-12-30T17:15:00"/>
    <n v="2.95"/>
    <n v="78"/>
    <s v="DD"/>
  </r>
  <r>
    <x v="422"/>
    <s v="Wednesday"/>
    <s v="Partially Cloudy"/>
    <n v="39"/>
    <x v="0"/>
    <d v="1899-12-30T18:10:00"/>
    <n v="0.75"/>
    <n v="9"/>
    <s v="DD"/>
  </r>
  <r>
    <x v="423"/>
    <s v="Thursday"/>
    <s v="Overcast"/>
    <n v="36"/>
    <x v="3"/>
    <d v="1899-12-30T17:15:00"/>
    <n v="3.27"/>
    <n v="77"/>
    <s v="UE"/>
  </r>
  <r>
    <x v="424"/>
    <s v="Saturday"/>
    <s v="Clear"/>
    <n v="28"/>
    <x v="2"/>
    <d v="1899-12-30T16:45:00"/>
    <n v="2.1"/>
    <n v="46"/>
    <s v="DD"/>
  </r>
  <r>
    <x v="425"/>
    <s v="Sunday"/>
    <s v="Clear"/>
    <n v="30"/>
    <x v="0"/>
    <d v="1899-12-30T17:20:00"/>
    <n v="3.1"/>
    <n v="81"/>
    <s v="DD"/>
  </r>
  <r>
    <x v="426"/>
    <s v="Monday"/>
    <s v="Clear"/>
    <n v="25"/>
    <x v="0"/>
    <d v="1899-12-30T17:15:00"/>
    <n v="3.57"/>
    <n v="86"/>
    <s v="DD"/>
  </r>
  <r>
    <x v="427"/>
    <s v="Tuesday"/>
    <s v="Snow Storm"/>
    <n v="27"/>
    <x v="0"/>
    <d v="1899-12-30T17:00:00"/>
    <n v="4.97"/>
    <n v="117"/>
    <s v="UE"/>
  </r>
  <r>
    <x v="428"/>
    <s v="Saturday"/>
    <s v="Light Snow"/>
    <n v="16"/>
    <x v="0"/>
    <d v="1899-12-30T17:00:00"/>
    <n v="5.08"/>
    <n v="134"/>
    <s v="DD"/>
  </r>
  <r>
    <x v="429"/>
    <s v="Monday"/>
    <s v="Partially Cloudy"/>
    <n v="34"/>
    <x v="0"/>
    <d v="1899-12-30T17:15:00"/>
    <n v="4.88"/>
    <n v="116"/>
    <s v="DD"/>
  </r>
  <r>
    <x v="430"/>
    <s v="Tuesday"/>
    <s v="Clear"/>
    <n v="28"/>
    <x v="0"/>
    <d v="1899-12-30T17:35:00"/>
    <n v="2.27"/>
    <n v="69"/>
    <s v="DD"/>
  </r>
  <r>
    <x v="431"/>
    <s v="Thursday"/>
    <s v="Overcast"/>
    <n v="37"/>
    <x v="0"/>
    <d v="1899-12-30T17:30:00"/>
    <n v="3.87"/>
    <n v="77"/>
    <s v="UE"/>
  </r>
  <r>
    <x v="432"/>
    <s v="Friday"/>
    <s v="Overcast"/>
    <n v="34"/>
    <x v="2"/>
    <d v="1899-12-30T17:25:00"/>
    <n v="5.43"/>
    <n v="116"/>
    <s v="DD"/>
  </r>
  <r>
    <x v="433"/>
    <s v="Saturday"/>
    <s v="Overcast"/>
    <n v="34"/>
    <x v="0"/>
    <d v="1899-12-30T16:15:00"/>
    <n v="4.47"/>
    <n v="126"/>
    <s v="UE"/>
  </r>
  <r>
    <x v="434"/>
    <s v="Tuesday"/>
    <s v="Clear"/>
    <n v="13"/>
    <x v="0"/>
    <d v="1899-12-30T18:30:00"/>
    <n v="4.75"/>
    <n v="128"/>
    <s v="UE"/>
  </r>
  <r>
    <x v="435"/>
    <s v="Wednesday"/>
    <s v="Overcast"/>
    <n v="27"/>
    <x v="3"/>
    <d v="1899-12-30T17:35:00"/>
    <n v="3.57"/>
    <n v="96"/>
    <s v="DD"/>
  </r>
  <r>
    <x v="436"/>
    <s v="Thursday"/>
    <s v="Light Snow"/>
    <n v="34"/>
    <x v="2"/>
    <d v="1899-12-30T17:35:00"/>
    <n v="3.23"/>
    <n v="71"/>
    <s v="DD"/>
  </r>
  <r>
    <x v="437"/>
    <s v="Friday"/>
    <s v="Overcast"/>
    <n v="36"/>
    <x v="2"/>
    <d v="1899-12-30T17:50:00"/>
    <n v="5.3"/>
    <n v="89"/>
    <s v="DD"/>
  </r>
  <r>
    <x v="438"/>
    <s v="Monday"/>
    <s v="Overcast"/>
    <n v="30"/>
    <x v="2"/>
    <d v="1899-12-30T17:30:00"/>
    <n v="2.3199999999999998"/>
    <n v="36"/>
    <s v="DD"/>
  </r>
  <r>
    <x v="439"/>
    <s v="Wednesday"/>
    <s v="Clear"/>
    <n v="32"/>
    <x v="0"/>
    <d v="1899-12-30T17:15:00"/>
    <n v="2.37"/>
    <n v="52"/>
    <s v="DD"/>
  </r>
  <r>
    <x v="440"/>
    <s v="Thursday"/>
    <s v="Clear"/>
    <n v="36"/>
    <x v="2"/>
    <d v="1899-12-30T17:10:00"/>
    <n v="5.45"/>
    <n v="104"/>
    <s v="DD"/>
  </r>
  <r>
    <x v="441"/>
    <s v="Friday"/>
    <s v="Partially Cloudy"/>
    <n v="36"/>
    <x v="2"/>
    <d v="1899-12-30T17:50:00"/>
    <n v="5.83"/>
    <n v="117"/>
    <s v="DD"/>
  </r>
  <r>
    <x v="442"/>
    <s v="Saturday"/>
    <s v="Clear"/>
    <n v="43"/>
    <x v="0"/>
    <d v="1899-12-30T17:45:00"/>
    <n v="3.13"/>
    <n v="62"/>
    <s v="DD"/>
  </r>
  <r>
    <x v="443"/>
    <s v="Tuesday"/>
    <s v="Clear"/>
    <n v="30"/>
    <x v="0"/>
    <d v="1899-12-30T17:35:00"/>
    <n v="4.1500000000000004"/>
    <n v="92"/>
    <s v="DD"/>
  </r>
  <r>
    <x v="444"/>
    <s v="Wednesday"/>
    <s v="Clear"/>
    <n v="21"/>
    <x v="0"/>
    <d v="1899-12-30T17:30:00"/>
    <n v="5.18"/>
    <n v="90"/>
    <s v="UE"/>
  </r>
  <r>
    <x v="445"/>
    <s v="Friday"/>
    <s v="Clear"/>
    <n v="25"/>
    <x v="2"/>
    <d v="1899-12-30T17:20:00"/>
    <n v="4.4800000000000004"/>
    <n v="51"/>
    <s v="DD"/>
  </r>
  <r>
    <x v="446"/>
    <s v="Saturday"/>
    <s v="Freezing Rain / Ice"/>
    <n v="21"/>
    <x v="0"/>
    <d v="1899-12-30T18:45:00"/>
    <n v="4.88"/>
    <n v="120"/>
    <s v="DD"/>
  </r>
  <r>
    <x v="447"/>
    <s v="Sunday"/>
    <s v="Sunny"/>
    <n v="30"/>
    <x v="3"/>
    <d v="1899-12-30T12:50:00"/>
    <n v="3.02"/>
    <n v="83"/>
    <s v="DD"/>
  </r>
  <r>
    <x v="448"/>
    <s v="Monday"/>
    <s v="Clear"/>
    <n v="19"/>
    <x v="0"/>
    <d v="1899-12-30T17:25:00"/>
    <n v="4.18"/>
    <n v="98"/>
    <s v="UE"/>
  </r>
  <r>
    <x v="449"/>
    <s v="Tuesday"/>
    <s v="Clear"/>
    <n v="27"/>
    <x v="2"/>
    <d v="1899-12-30T17:30:00"/>
    <n v="2.4500000000000002"/>
    <n v="45"/>
    <s v="DD"/>
  </r>
  <r>
    <x v="450"/>
    <s v="Wednesday"/>
    <s v="Clear"/>
    <n v="30"/>
    <x v="2"/>
    <d v="1899-12-30T17:40:00"/>
    <n v="2.98"/>
    <n v="66"/>
    <s v="DD"/>
  </r>
  <r>
    <x v="451"/>
    <s v="Thursday"/>
    <s v="Overcast"/>
    <n v="32"/>
    <x v="2"/>
    <d v="1899-12-30T17:30:00"/>
    <n v="4.58"/>
    <n v="68"/>
    <s v="DD"/>
  </r>
  <r>
    <x v="452"/>
    <s v="Saturday"/>
    <s v="Clear"/>
    <n v="18"/>
    <x v="0"/>
    <d v="1899-12-30T16:50:00"/>
    <n v="3.25"/>
    <n v="74"/>
    <s v="UE"/>
  </r>
  <r>
    <x v="453"/>
    <s v="Tuesday"/>
    <s v="Fog"/>
    <n v="43"/>
    <x v="0"/>
    <d v="1899-12-30T18:10:00"/>
    <n v="4.12"/>
    <n v="89"/>
    <s v="UE"/>
  </r>
  <r>
    <x v="454"/>
    <s v="Wednesday"/>
    <s v="Rain"/>
    <n v="50"/>
    <x v="0"/>
    <d v="1899-12-30T18:00:00"/>
    <n v="3.08"/>
    <n v="62"/>
    <s v="DD"/>
  </r>
  <r>
    <x v="455"/>
    <s v="Friday"/>
    <s v="Clear"/>
    <n v="32"/>
    <x v="0"/>
    <d v="1899-12-30T17:15:00"/>
    <n v="3.32"/>
    <n v="75"/>
    <s v="UE"/>
  </r>
  <r>
    <x v="456"/>
    <s v="Saturday"/>
    <s v="Rain"/>
    <n v="41"/>
    <x v="0"/>
    <d v="1899-12-30T17:55:00"/>
    <n v="4.4800000000000004"/>
    <n v="100"/>
    <s v="UE"/>
  </r>
  <r>
    <x v="457"/>
    <s v="Sunday"/>
    <s v="Rain"/>
    <n v="37"/>
    <x v="2"/>
    <d v="1899-12-30T16:55:00"/>
    <n v="3.77"/>
    <n v="66"/>
    <s v="DD"/>
  </r>
  <r>
    <x v="458"/>
    <s v="Tuesday"/>
    <s v="Rain"/>
    <n v="39"/>
    <x v="0"/>
    <d v="1899-12-30T17:35:00"/>
    <n v="3.45"/>
    <n v="80"/>
    <s v="DD"/>
  </r>
  <r>
    <x v="459"/>
    <s v="Saturday"/>
    <s v="Overcast"/>
    <n v="37"/>
    <x v="0"/>
    <d v="1899-12-30T13:00:00"/>
    <n v="7.55"/>
    <n v="192"/>
    <s v="UE"/>
  </r>
  <r>
    <x v="460"/>
    <s v="Monday"/>
    <s v="Partially Cloudy"/>
    <n v="36"/>
    <x v="0"/>
    <d v="1899-12-30T17:35:00"/>
    <n v="4.03"/>
    <n v="81"/>
    <s v="DD"/>
  </r>
  <r>
    <x v="461"/>
    <s v="Wednesday"/>
    <s v="Overcast"/>
    <n v="52"/>
    <x v="0"/>
    <d v="1899-12-30T17:15:00"/>
    <n v="4.2300000000000004"/>
    <n v="69"/>
    <s v="DD"/>
  </r>
  <r>
    <x v="462"/>
    <s v="Thursday"/>
    <s v="Partially Cloudy"/>
    <n v="41"/>
    <x v="1"/>
    <d v="1899-12-30T17:20:00"/>
    <n v="4.1500000000000004"/>
    <n v="109.8"/>
    <s v="UE"/>
  </r>
  <r>
    <x v="463"/>
    <s v="Friday"/>
    <s v="Overcast"/>
    <n v="37"/>
    <x v="2"/>
    <d v="1899-12-30T17:35:00"/>
    <n v="3.77"/>
    <n v="59"/>
    <s v="DD"/>
  </r>
  <r>
    <x v="464"/>
    <s v="Saturday"/>
    <s v="Mostly Cloudy"/>
    <n v="52"/>
    <x v="0"/>
    <d v="1899-12-30T14:40:00"/>
    <n v="4.03"/>
    <n v="94"/>
    <s v="UE"/>
  </r>
  <r>
    <x v="465"/>
    <s v="Tuesday"/>
    <s v="Clear"/>
    <n v="36"/>
    <x v="0"/>
    <d v="1899-12-30T18:25:00"/>
    <n v="3.38"/>
    <n v="79"/>
    <s v="UE"/>
  </r>
  <r>
    <x v="466"/>
    <s v="Monday"/>
    <s v="Clear"/>
    <n v="37"/>
    <x v="0"/>
    <d v="1899-12-30T18:15:00"/>
    <n v="3.25"/>
    <n v="71"/>
    <s v="DD"/>
  </r>
  <r>
    <x v="467"/>
    <s v="Tuesday"/>
    <s v="Fog"/>
    <n v="37"/>
    <x v="0"/>
    <d v="1899-12-30T17:30:00"/>
    <n v="2.75"/>
    <n v="51"/>
    <s v="DD"/>
  </r>
  <r>
    <x v="468"/>
    <s v="Wednesday"/>
    <s v="Rain"/>
    <n v="46"/>
    <x v="0"/>
    <d v="1899-12-30T17:50:00"/>
    <n v="3.32"/>
    <n v="77"/>
    <s v="UE"/>
  </r>
  <r>
    <x v="469"/>
    <s v="Friday"/>
    <s v="Overcast"/>
    <n v="45"/>
    <x v="1"/>
    <d v="1899-12-30T17:45:00"/>
    <n v="5.23"/>
    <n v="136"/>
    <s v="UE"/>
  </r>
  <r>
    <x v="470"/>
    <s v="Monday"/>
    <s v="Partially Cloudy"/>
    <n v="48"/>
    <x v="2"/>
    <d v="1899-12-30T17:25:00"/>
    <n v="4.53"/>
    <n v="87"/>
    <s v="UE"/>
  </r>
  <r>
    <x v="471"/>
    <s v="Tuesday"/>
    <s v="Clear"/>
    <n v="46"/>
    <x v="0"/>
    <d v="1899-12-30T17:45:00"/>
    <n v="3.9"/>
    <n v="52"/>
    <s v="DD"/>
  </r>
  <r>
    <x v="472"/>
    <s v="Wednesday"/>
    <s v="Snow Storm"/>
    <n v="39"/>
    <x v="2"/>
    <d v="1899-12-30T18:45:00"/>
    <n v="2.25"/>
    <n v="28"/>
    <s v="DD"/>
  </r>
  <r>
    <x v="473"/>
    <s v="Friday"/>
    <s v="Mostly Cloudy"/>
    <n v="37"/>
    <x v="0"/>
    <d v="1899-12-30T17:50:00"/>
    <n v="6.05"/>
    <n v="141"/>
    <s v="UE"/>
  </r>
  <r>
    <x v="474"/>
    <s v="Saturday"/>
    <s v="Overcast"/>
    <n v="37"/>
    <x v="2"/>
    <d v="1899-12-30T17:30:00"/>
    <n v="3.6"/>
    <n v="55"/>
    <s v="DD"/>
  </r>
  <r>
    <x v="475"/>
    <s v="Monday"/>
    <s v="Partially Cloudy"/>
    <n v="45"/>
    <x v="1"/>
    <d v="1899-12-30T17:30:00"/>
    <n v="4.42"/>
    <n v="102"/>
    <s v="DD"/>
  </r>
  <r>
    <x v="476"/>
    <s v="Tuesday"/>
    <s v="Clear"/>
    <n v="52"/>
    <x v="0"/>
    <d v="1899-12-30T17:50:00"/>
    <n v="3.98"/>
    <n v="113"/>
    <s v="UE"/>
  </r>
  <r>
    <x v="477"/>
    <s v="Friday"/>
    <s v="Fog"/>
    <n v="54"/>
    <x v="0"/>
    <d v="1899-12-30T17:30:00"/>
    <n v="7.7"/>
    <n v="163"/>
    <s v="UE"/>
  </r>
  <r>
    <x v="478"/>
    <s v="Saturday"/>
    <s v="Overcast"/>
    <n v="48"/>
    <x v="3"/>
    <d v="1899-12-30T18:05:00"/>
    <n v="3.42"/>
    <n v="83"/>
    <s v="DD"/>
  </r>
  <r>
    <x v="479"/>
    <s v="Tuesday"/>
    <s v="Overcast"/>
    <n v="54"/>
    <x v="0"/>
    <d v="1899-12-30T17:50:00"/>
    <n v="5.75"/>
    <n v="126"/>
    <s v="DD"/>
  </r>
  <r>
    <x v="480"/>
    <s v="Wednesday"/>
    <s v="Clear"/>
    <n v="54"/>
    <x v="3"/>
    <d v="1899-12-30T17:30:00"/>
    <n v="3.42"/>
    <n v="93"/>
    <s v="DD"/>
  </r>
  <r>
    <x v="481"/>
    <s v="Friday"/>
    <s v="Overcast"/>
    <n v="48"/>
    <x v="0"/>
    <d v="1899-12-30T17:20:00"/>
    <n v="4.0199999999999996"/>
    <n v="75"/>
    <s v="DD"/>
  </r>
  <r>
    <x v="482"/>
    <s v="Saturday"/>
    <s v="Overcast"/>
    <n v="50"/>
    <x v="0"/>
    <d v="1899-12-30T17:05:00"/>
    <n v="5.28"/>
    <n v="102"/>
    <s v="DD"/>
  </r>
  <r>
    <x v="483"/>
    <s v="Sunday"/>
    <s v="Clear"/>
    <n v="50"/>
    <x v="0"/>
    <d v="1899-12-30T17:10:00"/>
    <n v="4.8499999999999996"/>
    <n v="111"/>
    <s v="UE"/>
  </r>
  <r>
    <x v="484"/>
    <s v="Monday"/>
    <s v="Clear"/>
    <n v="48"/>
    <x v="0"/>
    <d v="1899-12-30T18:20:00"/>
    <n v="3.22"/>
    <n v="60"/>
    <s v="DD"/>
  </r>
  <r>
    <x v="485"/>
    <s v="Tuesday"/>
    <s v="Clear"/>
    <n v="50"/>
    <x v="2"/>
    <d v="1899-12-30T18:15:00"/>
    <n v="4.2"/>
    <n v="81"/>
    <s v="DD"/>
  </r>
  <r>
    <x v="486"/>
    <s v="Thursday"/>
    <s v="Clear"/>
    <n v="48"/>
    <x v="2"/>
    <d v="1899-12-30T17:55:00"/>
    <n v="3.83"/>
    <n v="85"/>
    <s v="UE"/>
  </r>
  <r>
    <x v="487"/>
    <s v="Friday"/>
    <s v="Clear"/>
    <n v="55"/>
    <x v="0"/>
    <d v="1899-12-30T17:15:00"/>
    <n v="5.08"/>
    <n v="109"/>
    <s v="DD"/>
  </r>
  <r>
    <x v="488"/>
    <s v="Saturday"/>
    <s v="Clear"/>
    <n v="54"/>
    <x v="0"/>
    <d v="1899-12-30T17:40:00"/>
    <n v="4.9000000000000004"/>
    <n v="116"/>
    <s v="UE"/>
  </r>
  <r>
    <x v="489"/>
    <s v="Sunday"/>
    <s v="Mostly Cloudy"/>
    <n v="52"/>
    <x v="3"/>
    <d v="1899-12-30T17:35:00"/>
    <n v="3.75"/>
    <n v="90"/>
    <s v="DD"/>
  </r>
  <r>
    <x v="490"/>
    <s v="Tuesday"/>
    <s v="Rain"/>
    <n v="48"/>
    <x v="0"/>
    <d v="1899-12-30T18:00:00"/>
    <n v="4.03"/>
    <n v="99"/>
    <s v="DD"/>
  </r>
  <r>
    <x v="491"/>
    <s v="Wednesday"/>
    <s v="Clear"/>
    <n v="54"/>
    <x v="0"/>
    <d v="1899-12-30T17:30:00"/>
    <n v="5.3"/>
    <n v="91"/>
    <s v="DD"/>
  </r>
  <r>
    <x v="492"/>
    <s v="Thursday"/>
    <s v="Overcast"/>
    <n v="48"/>
    <x v="3"/>
    <d v="1899-12-30T17:35:00"/>
    <n v="5"/>
    <n v="119"/>
    <s v="UE"/>
  </r>
  <r>
    <x v="493"/>
    <s v="Friday"/>
    <s v="Clear"/>
    <n v="63"/>
    <x v="2"/>
    <d v="1899-12-30T18:05:00"/>
    <n v="5.45"/>
    <n v="91"/>
    <s v="DD"/>
  </r>
  <r>
    <x v="494"/>
    <s v="Saturday"/>
    <s v="Overcast"/>
    <n v="54"/>
    <x v="0"/>
    <d v="1899-12-30T18:55:00"/>
    <n v="3.63"/>
    <n v="103"/>
    <s v="DD"/>
  </r>
  <r>
    <x v="495"/>
    <s v="Sunday"/>
    <s v="Rain"/>
    <n v="46"/>
    <x v="0"/>
    <d v="1899-12-30T17:55:00"/>
    <n v="4.97"/>
    <n v="88"/>
    <s v="DD"/>
  </r>
  <r>
    <x v="496"/>
    <s v="Monday"/>
    <s v="Clear"/>
    <n v="66"/>
    <x v="0"/>
    <d v="1899-12-30T17:45:00"/>
    <n v="5.22"/>
    <n v="114"/>
    <s v="UE"/>
  </r>
  <r>
    <x v="497"/>
    <s v="Tuesday"/>
    <s v="Clear"/>
    <n v="61"/>
    <x v="1"/>
    <d v="1899-12-30T17:15:00"/>
    <n v="3.73"/>
    <n v="104"/>
    <s v="UE"/>
  </r>
  <r>
    <x v="498"/>
    <s v="Thursday"/>
    <s v="Clear"/>
    <n v="52"/>
    <x v="0"/>
    <d v="1899-12-30T18:30:00"/>
    <n v="4.2"/>
    <n v="78"/>
    <s v="UE"/>
  </r>
  <r>
    <x v="499"/>
    <s v="Monday"/>
    <s v="Clear"/>
    <n v="59"/>
    <x v="0"/>
    <d v="1899-12-30T17:35:00"/>
    <n v="5.32"/>
    <n v="115"/>
    <s v="UE"/>
  </r>
  <r>
    <x v="500"/>
    <s v="Tuesday"/>
    <s v="Mostly Cloudy"/>
    <n v="64"/>
    <x v="0"/>
    <d v="1899-12-30T17:20:00"/>
    <n v="6.35"/>
    <n v="130"/>
    <s v="DD"/>
  </r>
  <r>
    <x v="501"/>
    <s v="Wednesday"/>
    <s v="Partially Cloudy"/>
    <n v="66"/>
    <x v="0"/>
    <d v="1899-12-30T18:15:00"/>
    <n v="5.35"/>
    <n v="105"/>
    <s v="DD"/>
  </r>
  <r>
    <x v="502"/>
    <s v="Thursday"/>
    <s v="Clear"/>
    <n v="70"/>
    <x v="0"/>
    <d v="1899-12-30T17:30:00"/>
    <n v="5.62"/>
    <n v="155"/>
    <s v="UE"/>
  </r>
  <r>
    <x v="503"/>
    <s v="Friday"/>
    <s v="Partially Cloudy"/>
    <n v="57"/>
    <x v="1"/>
    <d v="1899-12-30T17:50:00"/>
    <n v="6.28"/>
    <n v="121"/>
    <s v="UE"/>
  </r>
  <r>
    <x v="504"/>
    <s v="Monday"/>
    <s v="Sunny"/>
    <n v="73"/>
    <x v="0"/>
    <d v="1899-12-30T14:30:00"/>
    <n v="1.58"/>
    <n v="31"/>
    <s v="DD"/>
  </r>
  <r>
    <x v="505"/>
    <s v="Wednesday"/>
    <s v="Partially Cloudy"/>
    <n v="79"/>
    <x v="0"/>
    <d v="1899-12-30T18:25:00"/>
    <n v="5.22"/>
    <n v="158"/>
    <s v="DD"/>
  </r>
  <r>
    <x v="506"/>
    <s v="Thursday"/>
    <s v="Clear"/>
    <n v="72"/>
    <x v="0"/>
    <d v="1899-12-30T17:40:00"/>
    <n v="3.67"/>
    <n v="77"/>
    <s v="DD"/>
  </r>
  <r>
    <x v="507"/>
    <s v="Friday"/>
    <s v="Clear"/>
    <n v="73"/>
    <x v="0"/>
    <d v="1899-12-30T17:40:00"/>
    <n v="4.45"/>
    <n v="111"/>
    <s v="DD"/>
  </r>
  <r>
    <x v="508"/>
    <s v="Monday"/>
    <s v="Partially Cloudy"/>
    <n v="75"/>
    <x v="3"/>
    <d v="1899-12-30T16:45:00"/>
    <n v="6.37"/>
    <n v="172"/>
    <s v="DD"/>
  </r>
  <r>
    <x v="509"/>
    <s v="Tuesday"/>
    <s v="Partially Cloudy"/>
    <n v="75"/>
    <x v="0"/>
    <d v="1899-12-30T17:05:00"/>
    <n v="6.1"/>
    <n v="164"/>
    <s v="DD"/>
  </r>
  <r>
    <x v="510"/>
    <s v="Wednesday"/>
    <s v="Clear"/>
    <n v="72"/>
    <x v="0"/>
    <d v="1899-12-30T18:10:00"/>
    <n v="2.97"/>
    <n v="58"/>
    <s v="DD"/>
  </r>
  <r>
    <x v="511"/>
    <s v="Thursday"/>
    <s v="Sunny"/>
    <n v="64"/>
    <x v="0"/>
    <d v="1899-12-30T17:45:00"/>
    <n v="5.53"/>
    <n v="127"/>
    <s v="UE"/>
  </r>
  <r>
    <x v="512"/>
    <s v="Friday"/>
    <s v="Clear"/>
    <n v="70"/>
    <x v="0"/>
    <d v="1899-12-30T18:00:00"/>
    <n v="5.9"/>
    <n v="126"/>
    <s v="DD"/>
  </r>
  <r>
    <x v="513"/>
    <s v="Saturday"/>
    <s v="Partially Cloudy"/>
    <n v="63"/>
    <x v="1"/>
    <d v="1899-12-30T16:05:00"/>
    <n v="5.05"/>
    <n v="142"/>
    <s v="UE"/>
  </r>
  <r>
    <x v="514"/>
    <s v="Sunday"/>
    <s v="Clear"/>
    <n v="77"/>
    <x v="2"/>
    <d v="1899-12-30T17:50:00"/>
    <n v="5.25"/>
    <n v="93"/>
    <s v="DD"/>
  </r>
  <r>
    <x v="515"/>
    <s v="Monday"/>
    <s v="Clear"/>
    <n v="70"/>
    <x v="0"/>
    <d v="1899-12-30T17:25:00"/>
    <n v="5.33"/>
    <n v="139"/>
    <s v="DD"/>
  </r>
  <r>
    <x v="516"/>
    <s v="Tuesday"/>
    <s v="Clear"/>
    <n v="70"/>
    <x v="0"/>
    <d v="1899-12-30T17:35:00"/>
    <n v="4.2300000000000004"/>
    <n v="120"/>
    <s v="UE"/>
  </r>
  <r>
    <x v="517"/>
    <s v="Wednesday"/>
    <s v="Partially Cloudy"/>
    <n v="70"/>
    <x v="1"/>
    <d v="1899-12-30T17:15:00"/>
    <n v="5.6"/>
    <n v="121"/>
    <s v="UE"/>
  </r>
  <r>
    <x v="518"/>
    <s v="Thursday"/>
    <s v="Fog"/>
    <n v="59"/>
    <x v="1"/>
    <d v="1899-12-30T17:00:00"/>
    <n v="6.13"/>
    <n v="119"/>
    <s v="UE"/>
  </r>
  <r>
    <x v="519"/>
    <s v="Friday"/>
    <s v="Partially Cloudy"/>
    <n v="64"/>
    <x v="0"/>
    <d v="1899-12-30T17:55:00"/>
    <n v="6.08"/>
    <n v="165"/>
    <s v="UE"/>
  </r>
  <r>
    <x v="520"/>
    <s v="Saturday"/>
    <s v="Clear"/>
    <n v="66"/>
    <x v="0"/>
    <d v="1899-12-30T14:40:00"/>
    <n v="7.35"/>
    <n v="153"/>
    <s v="DD"/>
  </r>
  <r>
    <x v="521"/>
    <s v="Sunday"/>
    <s v="Partially Cloudy"/>
    <n v="61"/>
    <x v="1"/>
    <d v="1899-12-30T15:55:00"/>
    <n v="6.62"/>
    <n v="155"/>
    <s v="UE"/>
  </r>
  <r>
    <x v="522"/>
    <s v="Monday"/>
    <s v="Clear"/>
    <n v="68"/>
    <x v="1"/>
    <d v="1899-12-30T17:30:00"/>
    <n v="5.16"/>
    <n v="111"/>
    <s v="DD"/>
  </r>
  <r>
    <x v="523"/>
    <s v="Tuesday"/>
    <s v="Overcast"/>
    <n v="70"/>
    <x v="0"/>
    <d v="1899-12-30T18:30:00"/>
    <n v="5.12"/>
    <n v="124"/>
    <s v="DD"/>
  </r>
  <r>
    <x v="524"/>
    <s v="Wednesday"/>
    <s v="Overcast"/>
    <n v="64"/>
    <x v="0"/>
    <d v="1899-12-30T17:20:00"/>
    <n v="5.72"/>
    <n v="104"/>
    <s v="DD"/>
  </r>
  <r>
    <x v="525"/>
    <s v="Thursday"/>
    <s v="Clear"/>
    <n v="73"/>
    <x v="0"/>
    <d v="1899-12-30T17:00:00"/>
    <n v="5.8"/>
    <n v="123"/>
    <s v="DD"/>
  </r>
  <r>
    <x v="526"/>
    <s v="Friday"/>
    <s v="Stormy"/>
    <n v="79"/>
    <x v="0"/>
    <d v="1899-12-30T17:35:00"/>
    <n v="7.62"/>
    <n v="185"/>
    <s v="DD"/>
  </r>
  <r>
    <x v="527"/>
    <s v="Saturday"/>
    <s v="Clear"/>
    <n v="66"/>
    <x v="0"/>
    <d v="1899-12-30T16:40:00"/>
    <n v="5.93"/>
    <n v="174"/>
    <s v="DD"/>
  </r>
  <r>
    <x v="528"/>
    <s v="Monday"/>
    <s v="Partially Cloudy"/>
    <n v="66"/>
    <x v="1"/>
    <d v="1899-12-30T17:45:00"/>
    <n v="5.38"/>
    <n v="104"/>
    <s v="UE"/>
  </r>
  <r>
    <x v="529"/>
    <s v="Tuesday"/>
    <s v="Clear"/>
    <n v="84"/>
    <x v="0"/>
    <d v="1899-12-30T17:30:00"/>
    <n v="5.28"/>
    <n v="122"/>
    <s v="DD"/>
  </r>
  <r>
    <x v="530"/>
    <s v="Wednesday"/>
    <s v="Clear"/>
    <n v="82"/>
    <x v="0"/>
    <d v="1899-12-30T17:40:00"/>
    <n v="5.85"/>
    <n v="122"/>
    <s v="DD"/>
  </r>
  <r>
    <x v="531"/>
    <s v="Thursday"/>
    <s v="Stormy"/>
    <n v="82"/>
    <x v="0"/>
    <d v="1899-12-30T17:00:00"/>
    <n v="5.55"/>
    <n v="102"/>
    <s v="DD"/>
  </r>
  <r>
    <x v="532"/>
    <s v="Friday"/>
    <s v="Overcast"/>
    <n v="75"/>
    <x v="0"/>
    <d v="1899-12-30T17:05:00"/>
    <n v="4.7699999999999996"/>
    <n v="117"/>
    <s v="DD"/>
  </r>
  <r>
    <x v="533"/>
    <s v="Sunday"/>
    <s v="Partially Cloudy"/>
    <n v="79"/>
    <x v="1"/>
    <d v="1899-12-30T14:05:00"/>
    <n v="5.18"/>
    <n v="95"/>
    <s v="UE"/>
  </r>
  <r>
    <x v="534"/>
    <s v="Monday"/>
    <s v="Sunny"/>
    <n v="79"/>
    <x v="2"/>
    <d v="1899-12-30T18:05:00"/>
    <n v="5.0199999999999996"/>
    <n v="92"/>
    <s v="UE"/>
  </r>
  <r>
    <x v="535"/>
    <s v="Tuesday"/>
    <s v="Clear"/>
    <n v="77"/>
    <x v="1"/>
    <d v="1899-12-30T17:40:00"/>
    <n v="5.48"/>
    <n v="104"/>
    <s v="UE"/>
  </r>
  <r>
    <x v="536"/>
    <s v="Wednesday"/>
    <s v="Clear"/>
    <n v="75"/>
    <x v="0"/>
    <d v="1899-12-30T17:40:00"/>
    <n v="5.3"/>
    <n v="109"/>
    <s v="DD"/>
  </r>
  <r>
    <x v="537"/>
    <s v="Thursday"/>
    <s v="Clear"/>
    <n v="68"/>
    <x v="1"/>
    <d v="1899-12-30T16:35:00"/>
    <n v="5.98"/>
    <n v="131"/>
    <s v="UE"/>
  </r>
  <r>
    <x v="538"/>
    <s v="Tuesday"/>
    <s v="Clear"/>
    <n v="79"/>
    <x v="1"/>
    <d v="1899-12-30T17:25:00"/>
    <n v="2.2799999999999998"/>
    <n v="62"/>
    <s v="DD"/>
  </r>
  <r>
    <x v="539"/>
    <s v="Thursday"/>
    <s v="Partially Cloudy"/>
    <n v="81"/>
    <x v="0"/>
    <d v="1899-12-30T18:10:00"/>
    <n v="0.6"/>
    <n v="19"/>
    <s v="UE"/>
  </r>
  <r>
    <x v="540"/>
    <s v="Friday"/>
    <s v="Partially Cloudy"/>
    <n v="81"/>
    <x v="1"/>
    <d v="1899-12-30T17:20:00"/>
    <n v="6.28"/>
    <n v="134"/>
    <s v="UE"/>
  </r>
  <r>
    <x v="541"/>
    <s v="Monday"/>
    <s v="Clear"/>
    <n v="79"/>
    <x v="1"/>
    <d v="1899-12-30T16:50:00"/>
    <n v="6.17"/>
    <n v="136"/>
    <s v="UE"/>
  </r>
  <r>
    <x v="542"/>
    <s v="Tuesday"/>
    <s v="Sunny"/>
    <n v="82"/>
    <x v="0"/>
    <d v="1899-12-30T16:55:00"/>
    <n v="5"/>
    <n v="110"/>
    <s v="DD"/>
  </r>
  <r>
    <x v="543"/>
    <s v="Wednesday"/>
    <s v="Partially Cloudy"/>
    <n v="81"/>
    <x v="2"/>
    <d v="1899-12-30T17:15:00"/>
    <n v="3.37"/>
    <n v="76"/>
    <s v="DD"/>
  </r>
  <r>
    <x v="544"/>
    <s v="Thursday"/>
    <s v="Partially Cloudy"/>
    <n v="81"/>
    <x v="1"/>
    <d v="1899-12-30T17:00:00"/>
    <n v="6.3"/>
    <n v="146"/>
    <s v="UE"/>
  </r>
  <r>
    <x v="545"/>
    <s v="Friday"/>
    <s v="Partially Cloudy"/>
    <n v="81"/>
    <x v="0"/>
    <d v="1899-12-30T17:15:00"/>
    <n v="7.23"/>
    <n v="158"/>
    <s v="DD"/>
  </r>
  <r>
    <x v="546"/>
    <s v="Saturday"/>
    <s v="Clear"/>
    <n v="81"/>
    <x v="3"/>
    <d v="1899-12-30T13:50:00"/>
    <n v="6.92"/>
    <n v="170"/>
    <s v="DD"/>
  </r>
  <r>
    <x v="547"/>
    <s v="Monday"/>
    <s v="Clear"/>
    <n v="73"/>
    <x v="1"/>
    <d v="1899-12-30T17:25:00"/>
    <n v="6.08"/>
    <n v="137"/>
    <s v="UE"/>
  </r>
  <r>
    <x v="548"/>
    <s v="Tuesday"/>
    <s v="Mostly Cloudy"/>
    <n v="73"/>
    <x v="0"/>
    <d v="1899-12-30T17:20:00"/>
    <n v="4.87"/>
    <n v="96"/>
    <s v="DD"/>
  </r>
  <r>
    <x v="549"/>
    <s v="Wednesday"/>
    <s v="Overcast"/>
    <n v="74"/>
    <x v="0"/>
    <d v="1899-12-30T17:15:00"/>
    <n v="6.45"/>
    <n v="142"/>
    <s v="DD"/>
  </r>
  <r>
    <x v="550"/>
    <s v="Friday"/>
    <s v="Clear"/>
    <n v="81"/>
    <x v="1"/>
    <d v="1899-12-30T17:20:00"/>
    <n v="8.6999999999999993"/>
    <n v="230"/>
    <s v="UE"/>
  </r>
  <r>
    <x v="551"/>
    <s v="Saturday"/>
    <s v="Clear"/>
    <n v="81"/>
    <x v="2"/>
    <d v="1899-12-30T16:30:00"/>
    <n v="5.45"/>
    <n v="87"/>
    <s v="DD"/>
  </r>
  <r>
    <x v="552"/>
    <s v="Monday"/>
    <s v="Mostly Cloudy"/>
    <n v="64"/>
    <x v="1"/>
    <d v="1899-12-30T17:35:00"/>
    <n v="5.83"/>
    <n v="121"/>
    <s v="UE"/>
  </r>
  <r>
    <x v="553"/>
    <s v="Tuesday"/>
    <s v="Partially Cloudy"/>
    <n v="79"/>
    <x v="0"/>
    <d v="1899-12-30T17:55:00"/>
    <n v="4.9000000000000004"/>
    <n v="93"/>
    <s v="DD"/>
  </r>
  <r>
    <x v="554"/>
    <s v="Wednesday"/>
    <s v="Partially Cloudy"/>
    <n v="75"/>
    <x v="0"/>
    <d v="1899-12-30T18:30:00"/>
    <n v="2.93"/>
    <n v="82"/>
    <s v="DD"/>
  </r>
  <r>
    <x v="555"/>
    <s v="Thursday"/>
    <s v="Clear"/>
    <n v="88"/>
    <x v="2"/>
    <d v="1899-12-30T18:05:00"/>
    <n v="4.7699999999999996"/>
    <n v="73"/>
    <s v="DD"/>
  </r>
  <r>
    <x v="556"/>
    <s v="Saturday"/>
    <s v="Sunny"/>
    <n v="82"/>
    <x v="2"/>
    <d v="1899-12-30T15:30:00"/>
    <n v="7.62"/>
    <n v="123"/>
    <s v="DD"/>
  </r>
  <r>
    <x v="557"/>
    <s v="Sunday"/>
    <s v="Sunny"/>
    <n v="77"/>
    <x v="3"/>
    <d v="1899-12-30T13:55:00"/>
    <n v="6.18"/>
    <n v="164"/>
    <s v="DD"/>
  </r>
  <r>
    <x v="558"/>
    <s v="Tuesday"/>
    <s v="Partially Cloudy"/>
    <n v="64"/>
    <x v="1"/>
    <d v="1899-12-30T16:50:00"/>
    <n v="6.52"/>
    <n v="119"/>
    <s v="DD"/>
  </r>
  <r>
    <x v="559"/>
    <s v="Friday"/>
    <s v="Fog"/>
    <n v="73"/>
    <x v="1"/>
    <d v="1899-12-30T17:05:00"/>
    <n v="7.78"/>
    <n v="129"/>
    <s v="DD"/>
  </r>
  <r>
    <x v="560"/>
    <s v="Saturday"/>
    <s v="Clear"/>
    <n v="81"/>
    <x v="2"/>
    <d v="1899-12-30T17:30:00"/>
    <n v="7.63"/>
    <n v="119"/>
    <s v="UE"/>
  </r>
  <r>
    <x v="561"/>
    <s v="Sunday"/>
    <s v="Partially Cloudy"/>
    <n v="72"/>
    <x v="1"/>
    <d v="1899-12-30T17:05:00"/>
    <n v="6.45"/>
    <n v="163"/>
    <s v="UE"/>
  </r>
  <r>
    <x v="562"/>
    <s v="Monday"/>
    <s v="Clear"/>
    <n v="72"/>
    <x v="1"/>
    <d v="1899-12-30T17:05:00"/>
    <n v="6.45"/>
    <n v="104"/>
    <s v="UE"/>
  </r>
  <r>
    <x v="563"/>
    <s v="Tuesday"/>
    <s v="Clear"/>
    <n v="79"/>
    <x v="2"/>
    <d v="1899-12-30T17:15:00"/>
    <n v="3.77"/>
    <n v="99"/>
    <s v="DD"/>
  </r>
  <r>
    <x v="564"/>
    <s v="Wednesday"/>
    <s v="Partially Cloudy"/>
    <n v="70"/>
    <x v="1"/>
    <d v="1899-12-30T16:55:00"/>
    <n v="7.1"/>
    <n v="137"/>
    <s v="UE"/>
  </r>
  <r>
    <x v="565"/>
    <s v="Thursday"/>
    <s v="Fog"/>
    <n v="68"/>
    <x v="2"/>
    <d v="1899-12-30T17:10:00"/>
    <n v="6.3"/>
    <n v="92"/>
    <s v="DD"/>
  </r>
  <r>
    <x v="566"/>
    <s v="Friday"/>
    <s v="Fog"/>
    <n v="66"/>
    <x v="1"/>
    <d v="1899-12-30T17:20:00"/>
    <n v="6.57"/>
    <n v="140"/>
    <s v="DD"/>
  </r>
  <r>
    <x v="567"/>
    <s v="Saturday"/>
    <s v="Partially Cloudy"/>
    <n v="66"/>
    <x v="1"/>
    <d v="1899-12-30T17:20:00"/>
    <n v="6.35"/>
    <n v="131"/>
    <s v="UE"/>
  </r>
  <r>
    <x v="568"/>
    <s v="Sunday"/>
    <s v="Partially Cloudy"/>
    <n v="68"/>
    <x v="1"/>
    <d v="1899-12-30T19:15:00"/>
    <n v="4.1500000000000004"/>
    <n v="64"/>
    <s v="DD"/>
  </r>
  <r>
    <x v="569"/>
    <s v="Wednesday"/>
    <s v="Clear"/>
    <n v="64"/>
    <x v="1"/>
    <d v="1899-12-30T17:15:00"/>
    <n v="6.02"/>
    <n v="136"/>
    <s v="UE"/>
  </r>
  <r>
    <x v="570"/>
    <s v="Thursday"/>
    <s v="Partially Cloudy"/>
    <n v="68"/>
    <x v="1"/>
    <d v="1899-12-30T17:45:00"/>
    <n v="6.22"/>
    <n v="112"/>
    <s v="UE"/>
  </r>
  <r>
    <x v="571"/>
    <s v="Friday"/>
    <s v="Partially Cloudy"/>
    <n v="68"/>
    <x v="1"/>
    <d v="1899-12-30T17:05:00"/>
    <n v="7.52"/>
    <n v="163"/>
    <s v="UE"/>
  </r>
  <r>
    <x v="572"/>
    <s v="Saturday"/>
    <s v="Partially Cloudy"/>
    <n v="70"/>
    <x v="1"/>
    <d v="1899-12-30T16:25:00"/>
    <n v="6.93"/>
    <n v="131"/>
    <s v="UE"/>
  </r>
  <r>
    <x v="573"/>
    <s v="Sunday"/>
    <s v="Mostly Cloudy"/>
    <n v="72"/>
    <x v="1"/>
    <d v="1899-12-30T17:25:00"/>
    <n v="5.92"/>
    <n v="144"/>
    <s v="UE"/>
  </r>
  <r>
    <x v="574"/>
    <s v="Monday"/>
    <s v="Fog"/>
    <n v="66"/>
    <x v="1"/>
    <d v="1899-12-30T17:25:00"/>
    <n v="5.7"/>
    <n v="145"/>
    <s v="UE"/>
  </r>
  <r>
    <x v="575"/>
    <s v="Tuesday"/>
    <s v="Clear"/>
    <n v="68"/>
    <x v="1"/>
    <d v="1899-12-30T17:15:00"/>
    <n v="5.47"/>
    <n v="90"/>
    <s v="DD"/>
  </r>
  <r>
    <x v="576"/>
    <s v="Wednesday"/>
    <s v="Clear"/>
    <n v="66"/>
    <x v="0"/>
    <d v="1899-12-30T16:55:00"/>
    <n v="2.73"/>
    <n v="50"/>
    <s v="UE"/>
  </r>
  <r>
    <x v="577"/>
    <s v="Monday"/>
    <s v="Clear"/>
    <n v="64"/>
    <x v="1"/>
    <d v="1899-12-30T15:40:00"/>
    <n v="6.78"/>
    <n v="103"/>
    <s v="UE"/>
  </r>
  <r>
    <x v="578"/>
    <s v="Thursday"/>
    <s v="Clear"/>
    <n v="70"/>
    <x v="2"/>
    <d v="1899-12-30T18:50:00"/>
    <n v="3.58"/>
    <n v="46"/>
    <s v="DD"/>
  </r>
  <r>
    <x v="579"/>
    <s v="Friday"/>
    <s v="Partially Cloudy"/>
    <n v="63"/>
    <x v="1"/>
    <d v="1899-12-30T17:20:00"/>
    <n v="6.05"/>
    <n v="109"/>
    <s v="DD"/>
  </r>
  <r>
    <x v="580"/>
    <s v="Saturday"/>
    <s v="Mostly Cloudy"/>
    <n v="64"/>
    <x v="1"/>
    <d v="1899-12-30T19:20:00"/>
    <n v="3.95"/>
    <n v="104"/>
    <s v="DD"/>
  </r>
  <r>
    <x v="581"/>
    <s v="Monday"/>
    <s v="Partially Cloudy"/>
    <n v="64"/>
    <x v="0"/>
    <d v="1899-12-30T17:50:00"/>
    <n v="5.8"/>
    <n v="133"/>
    <s v="UE"/>
  </r>
  <r>
    <x v="582"/>
    <s v="Tuesday"/>
    <s v="Clear"/>
    <n v="63"/>
    <x v="0"/>
    <d v="1899-12-30T17:40:00"/>
    <n v="5.3"/>
    <n v="119"/>
    <s v="DD"/>
  </r>
  <r>
    <x v="583"/>
    <s v="Wednesday"/>
    <s v="Clear"/>
    <n v="66"/>
    <x v="0"/>
    <d v="1899-12-30T17:10:00"/>
    <n v="5.98"/>
    <n v="119"/>
    <s v="DD"/>
  </r>
  <r>
    <x v="584"/>
    <s v="Thursday"/>
    <s v="Clear"/>
    <n v="70"/>
    <x v="2"/>
    <d v="1899-12-30T17:20:00"/>
    <n v="6.2"/>
    <n v="101"/>
    <s v="DD"/>
  </r>
  <r>
    <x v="585"/>
    <s v="Friday"/>
    <s v="Clear"/>
    <n v="79"/>
    <x v="2"/>
    <d v="1899-12-30T17:45:00"/>
    <n v="7.1"/>
    <n v="147"/>
    <s v="UE"/>
  </r>
  <r>
    <x v="586"/>
    <s v="Saturday"/>
    <s v="Clear"/>
    <n v="68"/>
    <x v="2"/>
    <d v="1899-12-30T16:25:00"/>
    <n v="5.88"/>
    <n v="122"/>
    <s v="DD"/>
  </r>
  <r>
    <x v="587"/>
    <s v="Sunday"/>
    <s v="Sunny"/>
    <n v="81"/>
    <x v="0"/>
    <d v="1899-12-30T11:05:00"/>
    <n v="4.58"/>
    <n v="101"/>
    <s v="DD"/>
  </r>
  <r>
    <x v="588"/>
    <s v="Friday"/>
    <s v="Light Rain"/>
    <n v="63"/>
    <x v="1"/>
    <d v="1899-12-30T17:40:00"/>
    <n v="7.13"/>
    <n v="141"/>
    <s v="UE"/>
  </r>
  <r>
    <x v="589"/>
    <s v="Sunday"/>
    <s v="Partially Cloudy"/>
    <n v="70"/>
    <x v="0"/>
    <d v="1899-12-30T12:35:00"/>
    <n v="2.5499999999999998"/>
    <n v="34"/>
    <s v="DD"/>
  </r>
  <r>
    <x v="590"/>
    <s v="Monday"/>
    <s v="Clear"/>
    <n v="61"/>
    <x v="1"/>
    <d v="1899-12-30T17:15:00"/>
    <n v="4.97"/>
    <n v="118"/>
    <s v="UE"/>
  </r>
  <r>
    <x v="591"/>
    <s v="Tuesday"/>
    <s v="Clear"/>
    <n v="57"/>
    <x v="0"/>
    <d v="1899-12-30T17:20:00"/>
    <n v="3.98"/>
    <n v="120"/>
    <s v="DD"/>
  </r>
  <r>
    <x v="592"/>
    <s v="Wednesday"/>
    <s v="Overcast"/>
    <n v="57"/>
    <x v="0"/>
    <d v="1899-12-30T17:15:00"/>
    <n v="5.3"/>
    <n v="104"/>
    <s v="DD"/>
  </r>
  <r>
    <x v="593"/>
    <s v="Friday"/>
    <s v="Clear"/>
    <n v="64"/>
    <x v="1"/>
    <d v="1899-12-30T18:00:00"/>
    <n v="8.18"/>
    <n v="166"/>
    <s v="UE"/>
  </r>
  <r>
    <x v="594"/>
    <s v="Monday"/>
    <s v="Partially Cloudy"/>
    <n v="61"/>
    <x v="1"/>
    <d v="1899-12-30T17:10:00"/>
    <n v="5.32"/>
    <n v="101"/>
    <s v="UE"/>
  </r>
  <r>
    <x v="595"/>
    <s v="Tuesday"/>
    <s v="Clear"/>
    <n v="54"/>
    <x v="3"/>
    <d v="1899-12-30T17:10:00"/>
    <n v="4.55"/>
    <n v="101"/>
    <s v="UE"/>
  </r>
  <r>
    <x v="596"/>
    <s v="Saturday"/>
    <s v="Mostly Cloudy"/>
    <n v="53"/>
    <x v="1"/>
    <d v="1899-12-30T17:50:00"/>
    <n v="6.75"/>
    <n v="173"/>
    <s v="UE"/>
  </r>
  <r>
    <x v="597"/>
    <s v="Sunday"/>
    <s v="Overcast"/>
    <n v="61"/>
    <x v="0"/>
    <d v="1899-12-30T14:55:00"/>
    <n v="5.9"/>
    <n v="138"/>
    <s v="UE"/>
  </r>
  <r>
    <x v="598"/>
    <s v="Monday"/>
    <s v="Fog"/>
    <n v="54"/>
    <x v="0"/>
    <d v="1899-12-30T17:15:00"/>
    <n v="6.13"/>
    <n v="138"/>
    <s v="DD"/>
  </r>
  <r>
    <x v="599"/>
    <s v="Saturday"/>
    <s v="Partially Cloudy"/>
    <n v="63"/>
    <x v="1"/>
    <d v="1899-12-30T12:50:00"/>
    <n v="3.82"/>
    <n v="66"/>
    <s v="DD"/>
  </r>
  <r>
    <x v="600"/>
    <s v="Monday"/>
    <s v="Mostly Cloudy"/>
    <n v="46"/>
    <x v="0"/>
    <d v="1899-12-30T17:30:00"/>
    <n v="4"/>
    <n v="85"/>
    <s v="DD"/>
  </r>
  <r>
    <x v="601"/>
    <s v="Wednesday"/>
    <s v="Clear"/>
    <n v="45"/>
    <x v="2"/>
    <d v="1899-12-30T18:25:00"/>
    <n v="3.35"/>
    <n v="68"/>
    <s v="UE"/>
  </r>
  <r>
    <x v="602"/>
    <s v="Thursday"/>
    <s v="Clear"/>
    <n v="54"/>
    <x v="2"/>
    <d v="1899-12-30T18:20:00"/>
    <n v="4.18"/>
    <n v="81"/>
    <s v="DD"/>
  </r>
  <r>
    <x v="603"/>
    <s v="Friday"/>
    <s v="Clear"/>
    <n v="55"/>
    <x v="0"/>
    <d v="1899-12-30T18:25:00"/>
    <n v="6.5"/>
    <n v="102"/>
    <s v="DD"/>
  </r>
  <r>
    <x v="604"/>
    <s v="Saturday"/>
    <s v="Clear"/>
    <n v="57"/>
    <x v="0"/>
    <d v="1899-12-30T20:45:00"/>
    <n v="1.52"/>
    <n v="33"/>
    <s v="DD"/>
  </r>
  <r>
    <x v="605"/>
    <s v="Sunday"/>
    <s v="Clear"/>
    <n v="61"/>
    <x v="2"/>
    <d v="1899-12-30T19:55:00"/>
    <n v="3.98"/>
    <n v="71"/>
    <s v="DD"/>
  </r>
  <r>
    <x v="606"/>
    <s v="Monday"/>
    <s v="Clear"/>
    <n v="30"/>
    <x v="3"/>
    <d v="1899-12-30T17:50:00"/>
    <n v="4.93"/>
    <n v="146"/>
    <s v="UE"/>
  </r>
  <r>
    <x v="607"/>
    <s v="Tuesday"/>
    <s v="Fog"/>
    <n v="52"/>
    <x v="0"/>
    <d v="1899-12-30T18:08:00"/>
    <n v="4.55"/>
    <n v="55"/>
    <s v="DD"/>
  </r>
  <r>
    <x v="608"/>
    <s v="Friday"/>
    <s v="Clear"/>
    <n v="50"/>
    <x v="0"/>
    <d v="1899-12-30T18:15:00"/>
    <n v="5.23"/>
    <n v="104"/>
    <s v="DD"/>
  </r>
  <r>
    <x v="609"/>
    <s v="Sunday"/>
    <s v="Mostly Cloudy"/>
    <n v="45"/>
    <x v="0"/>
    <d v="1899-12-30T18:10:00"/>
    <n v="4.63"/>
    <n v="93"/>
    <s v="DD"/>
  </r>
  <r>
    <x v="610"/>
    <s v="Monday"/>
    <s v="Clear"/>
    <n v="41"/>
    <x v="0"/>
    <d v="1899-12-30T17:30:00"/>
    <n v="1.42"/>
    <n v="28"/>
    <s v="DD"/>
  </r>
  <r>
    <x v="611"/>
    <s v="Tuesday"/>
    <s v="Overcast"/>
    <n v="52"/>
    <x v="1"/>
    <d v="1899-12-30T17:30:00"/>
    <n v="4.9800000000000004"/>
    <n v="126"/>
    <s v="UE"/>
  </r>
  <r>
    <x v="612"/>
    <s v="Wednesday"/>
    <s v="Fog"/>
    <n v="54"/>
    <x v="0"/>
    <d v="1899-12-30T17:10:00"/>
    <n v="4.0199999999999996"/>
    <n v="74"/>
    <s v="DD"/>
  </r>
  <r>
    <x v="613"/>
    <s v="Friday"/>
    <s v="Clear"/>
    <n v="59"/>
    <x v="0"/>
    <d v="1899-12-30T18:05:00"/>
    <n v="6.88"/>
    <n v="172"/>
    <s v="UE"/>
  </r>
  <r>
    <x v="614"/>
    <s v="Saturday"/>
    <s v="Clear"/>
    <n v="37"/>
    <x v="1"/>
    <d v="1899-12-30T13:45:00"/>
    <n v="6.3"/>
    <n v="128"/>
    <s v="UE"/>
  </r>
  <r>
    <x v="615"/>
    <s v="Sunday"/>
    <s v="Clear"/>
    <n v="41"/>
    <x v="0"/>
    <d v="1899-12-30T16:45:00"/>
    <n v="6.13"/>
    <n v="121"/>
    <s v="DD"/>
  </r>
  <r>
    <x v="616"/>
    <s v="Monday"/>
    <s v="Mostly Cloudy"/>
    <n v="43"/>
    <x v="0"/>
    <d v="1899-12-30T17:25:00"/>
    <n v="5.35"/>
    <n v="87"/>
    <s v="DD"/>
  </r>
  <r>
    <x v="617"/>
    <s v="Tuesday"/>
    <s v="Clear"/>
    <n v="52"/>
    <x v="0"/>
    <d v="1899-12-30T18:10:00"/>
    <n v="5.07"/>
    <n v="87"/>
    <s v="DD"/>
  </r>
  <r>
    <x v="618"/>
    <s v="Thursday"/>
    <s v="Clear"/>
    <n v="46"/>
    <x v="0"/>
    <d v="1899-12-30T17:35:00"/>
    <n v="2.58"/>
    <n v="28"/>
    <s v="UE"/>
  </r>
  <r>
    <x v="619"/>
    <s v="Monday"/>
    <s v="Overcast"/>
    <n v="55"/>
    <x v="0"/>
    <d v="1899-12-30T18:25:00"/>
    <n v="5.03"/>
    <n v="88"/>
    <s v="DD"/>
  </r>
  <r>
    <x v="620"/>
    <s v="Tuesday"/>
    <s v="Clear"/>
    <n v="34"/>
    <x v="0"/>
    <d v="1899-12-30T18:45:00"/>
    <n v="4.67"/>
    <n v="71"/>
    <s v="DD"/>
  </r>
  <r>
    <x v="621"/>
    <s v="Friday"/>
    <s v="Partially Cloudy"/>
    <n v="50"/>
    <x v="0"/>
    <d v="1899-12-30T17:15:00"/>
    <n v="6.27"/>
    <n v="114"/>
    <s v="DD"/>
  </r>
  <r>
    <x v="622"/>
    <s v="Saturday"/>
    <s v="Clear"/>
    <n v="46"/>
    <x v="2"/>
    <d v="1899-12-30T17:15:00"/>
    <n v="8"/>
    <n v="116"/>
    <s v="DD"/>
  </r>
  <r>
    <x v="623"/>
    <s v="Monday"/>
    <s v="Overcast"/>
    <n v="50"/>
    <x v="0"/>
    <d v="1899-12-30T18:20:00"/>
    <n v="3.02"/>
    <n v="59"/>
    <s v="UE"/>
  </r>
  <r>
    <x v="624"/>
    <s v="Thursday"/>
    <s v="Fog"/>
    <n v="45"/>
    <x v="0"/>
    <d v="1899-12-30T18:20:00"/>
    <n v="0.6"/>
    <n v="19"/>
    <s v="UE"/>
  </r>
  <r>
    <x v="625"/>
    <s v="Friday"/>
    <s v="Light Rain"/>
    <n v="46"/>
    <x v="0"/>
    <d v="1899-12-30T18:00:00"/>
    <n v="3.83"/>
    <n v="85"/>
    <s v="DD"/>
  </r>
  <r>
    <x v="626"/>
    <s v="Monday"/>
    <s v="Clear"/>
    <n v="36"/>
    <x v="0"/>
    <d v="1899-12-30T17:25:00"/>
    <n v="3"/>
    <n v="52"/>
    <s v="DD"/>
  </r>
  <r>
    <x v="627"/>
    <s v="Wednesday"/>
    <s v="Clear"/>
    <n v="34"/>
    <x v="0"/>
    <d v="1899-12-30T18:05:00"/>
    <n v="2.77"/>
    <n v="56"/>
    <s v="DD"/>
  </r>
  <r>
    <x v="628"/>
    <s v="Friday"/>
    <s v="Clear"/>
    <n v="36"/>
    <x v="3"/>
    <d v="1899-12-30T17:05:00"/>
    <n v="5.97"/>
    <n v="116"/>
    <s v="DD"/>
  </r>
  <r>
    <x v="629"/>
    <s v="Monday"/>
    <s v="Partially Cloudy"/>
    <n v="28"/>
    <x v="0"/>
    <d v="1899-12-30T17:50:00"/>
    <n v="2.23"/>
    <n v="57"/>
    <s v="UE"/>
  </r>
  <r>
    <x v="630"/>
    <s v="Tuesday"/>
    <s v="Mostly Cloudy"/>
    <n v="30"/>
    <x v="0"/>
    <d v="1899-12-30T20:45:00"/>
    <n v="1.23"/>
    <n v="14"/>
    <s v="DD"/>
  </r>
  <r>
    <x v="631"/>
    <s v="Wednesday"/>
    <s v="Snow Storm"/>
    <n v="34"/>
    <x v="0"/>
    <d v="1899-12-30T19:40:00"/>
    <n v="3.27"/>
    <n v="68"/>
    <s v="DD"/>
  </r>
  <r>
    <x v="632"/>
    <s v="Friday"/>
    <s v="Clear"/>
    <n v="19"/>
    <x v="0"/>
    <d v="1899-12-30T19:20:00"/>
    <n v="2.02"/>
    <n v="55"/>
    <s v="DD"/>
  </r>
  <r>
    <x v="633"/>
    <s v="Monday"/>
    <s v="Light Snow"/>
    <n v="28"/>
    <x v="0"/>
    <d v="1899-12-30T19:10:00"/>
    <n v="1.85"/>
    <n v="32"/>
    <s v="DD"/>
  </r>
  <r>
    <x v="634"/>
    <s v="Thursday"/>
    <s v="Clear"/>
    <n v="34"/>
    <x v="0"/>
    <d v="1899-12-30T19:50:00"/>
    <n v="2.12"/>
    <n v="19"/>
    <s v="DD"/>
  </r>
  <r>
    <x v="635"/>
    <s v="Thursday"/>
    <s v="Mostly Cloudy"/>
    <n v="34"/>
    <x v="2"/>
    <d v="1899-12-30T17:25:00"/>
    <n v="2.75"/>
    <n v="38"/>
    <s v="DD"/>
  </r>
  <r>
    <x v="636"/>
    <s v="Friday"/>
    <s v="Clear"/>
    <n v="30"/>
    <x v="2"/>
    <d v="1899-12-30T18:40:00"/>
    <n v="1.73"/>
    <n v="27"/>
    <s v="UE"/>
  </r>
  <r>
    <x v="637"/>
    <s v="Sunday"/>
    <s v="Clear"/>
    <n v="9"/>
    <x v="0"/>
    <d v="1899-12-30T18:05:00"/>
    <n v="2.85"/>
    <n v="62"/>
    <s v="DD"/>
  </r>
  <r>
    <x v="638"/>
    <s v="Wednesday"/>
    <s v="Overcast"/>
    <n v="16"/>
    <x v="0"/>
    <d v="1899-12-30T17:50:00"/>
    <n v="1.38"/>
    <n v="50"/>
    <s v="UE"/>
  </r>
  <r>
    <x v="639"/>
    <s v="Thursday"/>
    <s v="Clear"/>
    <n v="23"/>
    <x v="2"/>
    <d v="1899-12-30T17:40:00"/>
    <n v="2.0699999999999998"/>
    <n v="23"/>
    <s v="UE"/>
  </r>
  <r>
    <x v="640"/>
    <s v="Saturday"/>
    <s v="Light Snow"/>
    <n v="27"/>
    <x v="1"/>
    <d v="1899-12-30T16:30:00"/>
    <n v="6.78"/>
    <n v="116"/>
    <s v="UE"/>
  </r>
  <r>
    <x v="641"/>
    <s v="Monday"/>
    <s v="Light Snow"/>
    <n v="34"/>
    <x v="1"/>
    <d v="1899-12-30T17:35:00"/>
    <n v="4.38"/>
    <n v="68"/>
    <s v="DD"/>
  </r>
  <r>
    <x v="642"/>
    <s v="Thursday"/>
    <s v="Clear"/>
    <n v="16"/>
    <x v="2"/>
    <d v="1899-12-30T17:10:00"/>
    <n v="4.1500000000000004"/>
    <n v="40"/>
    <s v="DD"/>
  </r>
  <r>
    <x v="643"/>
    <s v="Friday"/>
    <s v="Clear"/>
    <n v="25"/>
    <x v="2"/>
    <d v="1899-12-30T18:20:00"/>
    <n v="5.47"/>
    <n v="110"/>
    <s v="DD"/>
  </r>
  <r>
    <x v="644"/>
    <s v="Saturday"/>
    <s v="Light Rain"/>
    <n v="39"/>
    <x v="0"/>
    <d v="1899-12-30T18:55:00"/>
    <n v="4.4000000000000004"/>
    <n v="106"/>
    <s v="UE"/>
  </r>
  <r>
    <x v="645"/>
    <s v="Sunday"/>
    <s v="Snow Storm"/>
    <n v="32"/>
    <x v="1"/>
    <d v="1899-12-30T20:00:00"/>
    <n v="3.53"/>
    <n v="73"/>
    <s v="UE"/>
  </r>
  <r>
    <x v="646"/>
    <s v="Tuesday"/>
    <s v="Clear"/>
    <n v="12"/>
    <x v="1"/>
    <d v="1899-12-30T19:04:00"/>
    <n v="1.7"/>
    <n v="47"/>
    <s v="UE"/>
  </r>
  <r>
    <x v="647"/>
    <s v="Wednesday"/>
    <s v="Clear"/>
    <n v="12"/>
    <x v="0"/>
    <d v="1899-12-30T17:15:00"/>
    <n v="2.35"/>
    <n v="57"/>
    <s v="DD"/>
  </r>
  <r>
    <x v="648"/>
    <s v="Friday"/>
    <s v="Clear"/>
    <n v="19"/>
    <x v="2"/>
    <d v="1899-12-30T18:55:00"/>
    <n v="5.03"/>
    <n v="67"/>
    <s v="DD"/>
  </r>
  <r>
    <x v="649"/>
    <s v="Sunday"/>
    <s v="Clear"/>
    <n v="30"/>
    <x v="0"/>
    <d v="1899-12-30T19:35:00"/>
    <n v="2.5"/>
    <n v="71"/>
    <s v="DD"/>
  </r>
  <r>
    <x v="650"/>
    <s v="Tuesday"/>
    <s v="Clear"/>
    <n v="12"/>
    <x v="3"/>
    <d v="1899-12-30T17:45:00"/>
    <n v="4.17"/>
    <n v="130"/>
    <s v="UE"/>
  </r>
  <r>
    <x v="651"/>
    <s v="Saturday"/>
    <s v="Sunny"/>
    <n v="21"/>
    <x v="0"/>
    <d v="1899-12-30T15:15:00"/>
    <n v="2"/>
    <n v="54"/>
    <s v="DD"/>
  </r>
  <r>
    <x v="652"/>
    <s v="Monday"/>
    <s v="Light Snow"/>
    <n v="34"/>
    <x v="3"/>
    <d v="1899-12-30T16:55:00"/>
    <n v="2.82"/>
    <n v="68"/>
    <s v="DD"/>
  </r>
  <r>
    <x v="653"/>
    <s v="Wednesday"/>
    <s v="Clear"/>
    <n v="16"/>
    <x v="1"/>
    <d v="1899-12-30T17:50:00"/>
    <n v="2.7"/>
    <n v="69"/>
    <s v="UE"/>
  </r>
  <r>
    <x v="654"/>
    <s v="Thursday"/>
    <s v="Snow Storm"/>
    <n v="18"/>
    <x v="2"/>
    <d v="1899-12-30T17:10:00"/>
    <n v="1.1499999999999999"/>
    <n v="21"/>
    <s v="UE"/>
  </r>
  <r>
    <x v="655"/>
    <s v="Friday"/>
    <s v="Overcast"/>
    <n v="27"/>
    <x v="2"/>
    <d v="1899-12-30T19:40:00"/>
    <n v="3.6"/>
    <n v="65"/>
    <s v="UE"/>
  </r>
  <r>
    <x v="656"/>
    <s v="Sunday"/>
    <s v="Partially Cloudy"/>
    <n v="21"/>
    <x v="0"/>
    <d v="1899-12-30T15:00:00"/>
    <n v="3.6"/>
    <n v="77"/>
    <s v="UE"/>
  </r>
  <r>
    <x v="657"/>
    <s v="Monday"/>
    <s v="Clear"/>
    <n v="19"/>
    <x v="0"/>
    <d v="1899-12-30T17:10:00"/>
    <n v="3.75"/>
    <n v="75"/>
    <s v="UE"/>
  </r>
  <r>
    <x v="658"/>
    <s v="Thursday"/>
    <s v="Overcast"/>
    <n v="27"/>
    <x v="2"/>
    <d v="1899-12-30T17:10:00"/>
    <n v="4.07"/>
    <n v="26"/>
    <s v="DD"/>
  </r>
  <r>
    <x v="659"/>
    <s v="Saturday"/>
    <s v="Light Snow"/>
    <n v="27"/>
    <x v="3"/>
    <d v="1899-12-30T19:30:00"/>
    <n v="3.2"/>
    <n v="106"/>
    <s v="DD"/>
  </r>
  <r>
    <x v="660"/>
    <s v="Tuesday"/>
    <s v="Clear"/>
    <n v="10"/>
    <x v="0"/>
    <d v="1899-12-30T17:35:00"/>
    <n v="5.2"/>
    <n v="103"/>
    <s v="DD"/>
  </r>
  <r>
    <x v="661"/>
    <s v="Thursday"/>
    <s v="Partially Cloudy"/>
    <n v="28"/>
    <x v="3"/>
    <d v="1899-12-30T18:05:00"/>
    <n v="4.92"/>
    <n v="118"/>
    <s v="DD"/>
  </r>
  <r>
    <x v="662"/>
    <s v="Friday"/>
    <s v="Clear"/>
    <n v="25"/>
    <x v="1"/>
    <d v="1899-12-30T17:20:00"/>
    <n v="8.6199999999999992"/>
    <n v="159"/>
    <s v="UE"/>
  </r>
  <r>
    <x v="663"/>
    <s v="Saturday"/>
    <s v="Sunny"/>
    <n v="32"/>
    <x v="0"/>
    <d v="1899-12-30T14:00:00"/>
    <n v="5.6"/>
    <n v="66"/>
    <s v="DD"/>
  </r>
  <r>
    <x v="664"/>
    <s v="Monday"/>
    <s v="Overcast"/>
    <n v="37"/>
    <x v="0"/>
    <d v="1899-12-30T17:30:00"/>
    <n v="3.73"/>
    <n v="66"/>
    <s v="UE"/>
  </r>
  <r>
    <x v="665"/>
    <s v="Wednesday"/>
    <s v="Clear"/>
    <n v="36"/>
    <x v="3"/>
    <d v="1899-12-30T17:20:00"/>
    <n v="5.25"/>
    <n v="137"/>
    <s v="DD"/>
  </r>
  <r>
    <x v="666"/>
    <s v="Saturday"/>
    <s v="Light Snow"/>
    <n v="18"/>
    <x v="0"/>
    <d v="1899-12-30T16:10:00"/>
    <n v="5.3"/>
    <n v="108"/>
    <s v="DD"/>
  </r>
  <r>
    <x v="667"/>
    <s v="Monday"/>
    <s v="Clear"/>
    <n v="21"/>
    <x v="0"/>
    <d v="1899-12-30T17:55:00"/>
    <n v="5.23"/>
    <n v="125"/>
    <s v="DD"/>
  </r>
  <r>
    <x v="668"/>
    <s v="Tuesday"/>
    <s v="Overcast"/>
    <n v="37"/>
    <x v="0"/>
    <d v="1899-12-30T17:25:00"/>
    <n v="4.5199999999999996"/>
    <n v="95"/>
    <s v="DD"/>
  </r>
  <r>
    <x v="669"/>
    <s v="Saturday"/>
    <s v="Overcast"/>
    <n v="28"/>
    <x v="0"/>
    <d v="1899-12-30T14:10:00"/>
    <n v="6.85"/>
    <n v="134"/>
    <s v="UE"/>
  </r>
  <r>
    <x v="670"/>
    <s v="Sunday"/>
    <s v="Overcast"/>
    <n v="37"/>
    <x v="0"/>
    <d v="1899-12-30T10:10:00"/>
    <n v="1.03"/>
    <n v="29"/>
    <s v="DD"/>
  </r>
  <r>
    <x v="671"/>
    <s v="Monday"/>
    <s v="Partially Cloudy"/>
    <n v="39"/>
    <x v="0"/>
    <d v="1899-12-30T17:45:00"/>
    <n v="4.4800000000000004"/>
    <n v="71"/>
    <s v="DD"/>
  </r>
  <r>
    <x v="672"/>
    <s v="Wednesday"/>
    <s v="Clear"/>
    <n v="36"/>
    <x v="0"/>
    <d v="1899-12-30T17:10:00"/>
    <n v="2.52"/>
    <n v="33"/>
    <s v="DD"/>
  </r>
  <r>
    <x v="673"/>
    <s v="Thursday"/>
    <s v="Clear"/>
    <n v="34"/>
    <x v="0"/>
    <d v="1899-12-30T17:45:00"/>
    <n v="5.03"/>
    <n v="127"/>
    <s v="UE"/>
  </r>
  <r>
    <x v="674"/>
    <s v="Sunday"/>
    <s v="Partially Cloudy"/>
    <n v="55"/>
    <x v="3"/>
    <d v="1899-12-30T16:10:00"/>
    <n v="8.1300000000000008"/>
    <n v="205"/>
    <s v="UE"/>
  </r>
  <r>
    <x v="675"/>
    <s v="Monday"/>
    <s v="Light Rain"/>
    <n v="45"/>
    <x v="0"/>
    <d v="1899-12-30T18:05:00"/>
    <n v="2.78"/>
    <n v="39"/>
    <s v="DD"/>
  </r>
  <r>
    <x v="676"/>
    <s v="Tuesday"/>
    <s v="Clear"/>
    <n v="45"/>
    <x v="0"/>
    <d v="1899-12-30T17:20:00"/>
    <n v="4.87"/>
    <n v="92"/>
    <s v="DD"/>
  </r>
  <r>
    <x v="677"/>
    <s v="Wednesday"/>
    <s v="Clear"/>
    <n v="46"/>
    <x v="0"/>
    <d v="1899-12-30T17:40:00"/>
    <n v="3.42"/>
    <n v="80"/>
    <s v="DD"/>
  </r>
  <r>
    <x v="678"/>
    <s v="Friday"/>
    <s v="Mostly Cloudy"/>
    <n v="37"/>
    <x v="3"/>
    <d v="1899-12-30T17:55:00"/>
    <n v="6.82"/>
    <n v="152"/>
    <s v="DD"/>
  </r>
  <r>
    <x v="679"/>
    <s v="Saturday"/>
    <s v="Sunny"/>
    <n v="57"/>
    <x v="2"/>
    <d v="1899-12-30T13:11:00"/>
    <n v="2.9"/>
    <n v="32"/>
    <s v="DD"/>
  </r>
  <r>
    <x v="680"/>
    <s v="Sunday"/>
    <s v="Clear"/>
    <n v="30"/>
    <x v="0"/>
    <d v="1899-12-30T18:00:00"/>
    <n v="4.43"/>
    <n v="130"/>
    <s v="DD"/>
  </r>
  <r>
    <x v="681"/>
    <s v="Monday"/>
    <s v="Light Snow"/>
    <n v="30"/>
    <x v="2"/>
    <d v="1899-12-30T17:30:00"/>
    <n v="5.08"/>
    <n v="73"/>
    <s v="DD"/>
  </r>
  <r>
    <x v="682"/>
    <s v="Tuesday"/>
    <s v="Overcast"/>
    <n v="43"/>
    <x v="2"/>
    <d v="1899-12-30T17:15:00"/>
    <n v="2.4500000000000002"/>
    <n v="59"/>
    <s v="UE"/>
  </r>
  <r>
    <x v="683"/>
    <s v="Friday"/>
    <s v="Partially Cloudy"/>
    <n v="46"/>
    <x v="2"/>
    <d v="1899-12-30T17:25:00"/>
    <n v="3.98"/>
    <n v="68"/>
    <s v="DD"/>
  </r>
  <r>
    <x v="684"/>
    <s v="Sunday"/>
    <s v="Freezing Rain / Ice"/>
    <n v="34"/>
    <x v="0"/>
    <d v="1899-12-30T17:15:00"/>
    <n v="6.28"/>
    <n v="115"/>
    <s v="DD"/>
  </r>
  <r>
    <x v="685"/>
    <s v="Monday"/>
    <s v="Mostly Cloudy"/>
    <n v="39"/>
    <x v="0"/>
    <d v="1899-12-30T17:10:00"/>
    <n v="4.92"/>
    <n v="105"/>
    <s v="DD"/>
  </r>
  <r>
    <x v="686"/>
    <s v="Tuesday"/>
    <s v="Snow Storm"/>
    <n v="34"/>
    <x v="3"/>
    <d v="1899-12-30T18:10:00"/>
    <n v="5.57"/>
    <n v="119"/>
    <s v="UE"/>
  </r>
  <r>
    <x v="687"/>
    <s v="Friday"/>
    <s v="Overcast"/>
    <n v="43"/>
    <x v="3"/>
    <d v="1899-12-30T17:15:00"/>
    <n v="3.5"/>
    <n v="104"/>
    <s v="DD"/>
  </r>
  <r>
    <x v="688"/>
    <s v="Saturday"/>
    <s v="Partially Cloudy"/>
    <n v="37"/>
    <x v="3"/>
    <d v="1899-12-30T18:30:00"/>
    <n v="5.0199999999999996"/>
    <n v="101"/>
    <s v="DD"/>
  </r>
  <r>
    <x v="689"/>
    <s v="Monday"/>
    <s v="Clear"/>
    <n v="57"/>
    <x v="0"/>
    <d v="1899-12-30T17:45:00"/>
    <n v="4.9800000000000004"/>
    <n v="135"/>
    <s v="UE"/>
  </r>
  <r>
    <x v="690"/>
    <s v="Wednesday"/>
    <s v="Partially Cloudy"/>
    <n v="43"/>
    <x v="2"/>
    <d v="1899-12-30T17:35:00"/>
    <n v="5.28"/>
    <n v="108"/>
    <s v="DD"/>
  </r>
  <r>
    <x v="691"/>
    <s v="Thursday"/>
    <s v="Clear"/>
    <n v="52"/>
    <x v="2"/>
    <d v="1899-12-30T18:50:00"/>
    <n v="3.93"/>
    <n v="81"/>
    <s v="DD"/>
  </r>
  <r>
    <x v="692"/>
    <s v="Monday"/>
    <s v="Light Rain"/>
    <n v="48"/>
    <x v="0"/>
    <d v="1899-12-30T18:00:00"/>
    <n v="4.7"/>
    <n v="137"/>
    <s v="DD"/>
  </r>
  <r>
    <x v="693"/>
    <s v="Tuesday"/>
    <s v="Overcast"/>
    <n v="61"/>
    <x v="2"/>
    <d v="1899-12-30T19:25:00"/>
    <n v="4.0999999999999996"/>
    <n v="94"/>
    <s v="DD"/>
  </r>
  <r>
    <x v="694"/>
    <s v="Wednesday"/>
    <s v="Clear"/>
    <n v="61"/>
    <x v="0"/>
    <d v="1899-12-30T18:00:00"/>
    <n v="5.33"/>
    <n v="144"/>
    <s v="UE"/>
  </r>
  <r>
    <x v="695"/>
    <s v="Friday"/>
    <s v="Light Rain"/>
    <n v="57"/>
    <x v="2"/>
    <d v="1899-12-30T17:55:00"/>
    <n v="4.5199999999999996"/>
    <n v="59"/>
    <s v="DD"/>
  </r>
  <r>
    <x v="696"/>
    <s v="Saturday"/>
    <s v="Light Rain"/>
    <n v="55"/>
    <x v="3"/>
    <d v="1899-12-30T15:40:00"/>
    <n v="4.5999999999999996"/>
    <n v="115"/>
    <s v="DD"/>
  </r>
  <r>
    <x v="697"/>
    <s v="Sunday"/>
    <s v="Light Rain"/>
    <n v="43"/>
    <x v="3"/>
    <d v="1899-12-30T15:35:00"/>
    <n v="4.5999999999999996"/>
    <n v="108"/>
    <s v="DD"/>
  </r>
  <r>
    <x v="698"/>
    <s v="Monday"/>
    <s v="Clear"/>
    <n v="64"/>
    <x v="1"/>
    <d v="1899-12-30T18:45:00"/>
    <n v="7.02"/>
    <n v="172"/>
    <s v="DD"/>
  </r>
  <r>
    <x v="699"/>
    <s v="Tuesday"/>
    <s v="Clear"/>
    <n v="66"/>
    <x v="0"/>
    <d v="1899-12-30T17:15:00"/>
    <n v="5.52"/>
    <n v="134"/>
    <s v="DD"/>
  </r>
  <r>
    <x v="700"/>
    <s v="Wednesday"/>
    <s v="Clear"/>
    <n v="54"/>
    <x v="0"/>
    <d v="1899-12-30T19:40:00"/>
    <n v="4.08"/>
    <n v="94"/>
    <s v="DD"/>
  </r>
  <r>
    <x v="701"/>
    <s v="Thursday"/>
    <s v="Clear"/>
    <n v="54"/>
    <x v="0"/>
    <d v="1899-12-30T19:05:00"/>
    <n v="4.67"/>
    <n v="97"/>
    <s v="DD"/>
  </r>
  <r>
    <x v="702"/>
    <s v="Saturday"/>
    <s v="Mostly Cloudy"/>
    <n v="72"/>
    <x v="0"/>
    <d v="1899-12-30T12:25:00"/>
    <n v="3.42"/>
    <n v="67"/>
    <s v="DD"/>
  </r>
  <r>
    <x v="703"/>
    <s v="Sunday"/>
    <s v="Light Rain"/>
    <n v="57"/>
    <x v="0"/>
    <d v="1899-12-30T10:55:00"/>
    <n v="4.22"/>
    <n v="94"/>
    <s v="DD"/>
  </r>
  <r>
    <x v="704"/>
    <s v="Monday"/>
    <s v="Fog"/>
    <n v="50"/>
    <x v="1"/>
    <d v="1899-12-30T17:00:00"/>
    <n v="6.85"/>
    <n v="211"/>
    <s v="UE"/>
  </r>
  <r>
    <x v="705"/>
    <s v="Tuesday"/>
    <s v="Rain"/>
    <n v="55"/>
    <x v="0"/>
    <d v="1899-12-30T17:25:00"/>
    <n v="4.7699999999999996"/>
    <n v="103"/>
    <s v="DD"/>
  </r>
  <r>
    <x v="706"/>
    <s v="Wednesday"/>
    <s v="Light Rain"/>
    <n v="57"/>
    <x v="0"/>
    <d v="1899-12-30T18:40:00"/>
    <n v="5.55"/>
    <n v="134"/>
    <s v="DD"/>
  </r>
  <r>
    <x v="707"/>
    <s v="Thursday"/>
    <s v="Mostly Cloudy"/>
    <n v="61"/>
    <x v="0"/>
    <d v="1899-12-30T18:15:00"/>
    <n v="5.8"/>
    <n v="155"/>
    <s v="DD"/>
  </r>
  <r>
    <x v="708"/>
    <s v="Saturday"/>
    <s v="Clear"/>
    <n v="59"/>
    <x v="2"/>
    <d v="1899-12-30T17:50:00"/>
    <n v="4.68"/>
    <n v="106"/>
    <s v="UE"/>
  </r>
  <r>
    <x v="709"/>
    <s v="Sunday"/>
    <s v="Clear"/>
    <n v="59"/>
    <x v="0"/>
    <d v="1899-12-30T13:10:00"/>
    <n v="4.88"/>
    <n v="76"/>
    <s v="DD"/>
  </r>
  <r>
    <x v="710"/>
    <s v="Monday"/>
    <s v="Clear"/>
    <n v="61"/>
    <x v="0"/>
    <d v="1899-12-30T17:20:00"/>
    <n v="3.2"/>
    <n v="54"/>
    <s v="DD"/>
  </r>
  <r>
    <x v="711"/>
    <s v="Tuesday"/>
    <s v="Clear"/>
    <n v="61"/>
    <x v="0"/>
    <d v="1899-12-30T18:25:00"/>
    <n v="4.53"/>
    <n v="96"/>
    <s v="UE"/>
  </r>
  <r>
    <x v="712"/>
    <s v="Wednesday"/>
    <s v="Clear"/>
    <n v="66"/>
    <x v="0"/>
    <d v="1899-12-30T18:15:00"/>
    <n v="4.78"/>
    <n v="101"/>
    <s v="DD"/>
  </r>
  <r>
    <x v="713"/>
    <s v="Friday"/>
    <s v="Partially Cloudy"/>
    <n v="68"/>
    <x v="0"/>
    <d v="1899-12-30T17:35:00"/>
    <n v="7.08"/>
    <n v="159"/>
    <s v="DD"/>
  </r>
  <r>
    <x v="714"/>
    <s v="Saturday"/>
    <s v="Light Rain"/>
    <n v="55"/>
    <x v="2"/>
    <d v="1899-12-30T17:00:00"/>
    <n v="5.53"/>
    <n v="91"/>
    <s v="DD"/>
  </r>
  <r>
    <x v="715"/>
    <s v="Tuesday"/>
    <s v="Overcast"/>
    <n v="54"/>
    <x v="0"/>
    <d v="1899-12-30T17:40:00"/>
    <n v="5.0999999999999996"/>
    <n v="104"/>
    <s v="DD"/>
  </r>
  <r>
    <x v="716"/>
    <s v="Wednesday"/>
    <s v="Overcast"/>
    <n v="52"/>
    <x v="3"/>
    <d v="1899-12-30T18:40:00"/>
    <n v="5.0199999999999996"/>
    <n v="142"/>
    <s v="DD"/>
  </r>
  <r>
    <x v="717"/>
    <s v="Thursday"/>
    <s v="Overcast"/>
    <n v="50"/>
    <x v="0"/>
    <d v="1899-12-30T17:35:00"/>
    <n v="5.53"/>
    <n v="162"/>
    <s v="DD"/>
  </r>
  <r>
    <x v="718"/>
    <s v="Monday"/>
    <s v="Partially Cloudy"/>
    <n v="72"/>
    <x v="0"/>
    <d v="1899-12-30T11:55:00"/>
    <n v="5.75"/>
    <n v="143"/>
    <s v="DD"/>
  </r>
  <r>
    <x v="719"/>
    <s v="Tuesday"/>
    <s v="Partially Cloudy"/>
    <n v="73"/>
    <x v="0"/>
    <d v="1899-12-30T18:15:00"/>
    <n v="5.0199999999999996"/>
    <n v="120"/>
    <s v="UE"/>
  </r>
  <r>
    <x v="720"/>
    <s v="Wednesday"/>
    <s v="Clear"/>
    <n v="72"/>
    <x v="1"/>
    <d v="1899-12-30T18:50:00"/>
    <n v="5.77"/>
    <n v="147"/>
    <s v="UE"/>
  </r>
  <r>
    <x v="721"/>
    <s v="Thursday"/>
    <s v="Partially Cloudy"/>
    <n v="73"/>
    <x v="0"/>
    <d v="1899-12-30T18:25:00"/>
    <n v="4.82"/>
    <n v="108"/>
    <s v="DD"/>
  </r>
  <r>
    <x v="722"/>
    <s v="Friday"/>
    <s v="Partially Cloudy"/>
    <n v="70"/>
    <x v="0"/>
    <d v="1899-12-30T18:10:00"/>
    <n v="6.73"/>
    <n v="127"/>
    <s v="DD"/>
  </r>
  <r>
    <x v="723"/>
    <s v="Sunday"/>
    <s v="Partially Cloudy"/>
    <n v="61"/>
    <x v="0"/>
    <d v="1899-12-30T18:10:00"/>
    <n v="3.6"/>
    <n v="64"/>
    <s v="DD"/>
  </r>
  <r>
    <x v="724"/>
    <s v="Monday"/>
    <s v="Partially Cloudy"/>
    <n v="63"/>
    <x v="0"/>
    <d v="1899-12-30T18:05:00"/>
    <n v="4.03"/>
    <n v="101"/>
    <s v="DD"/>
  </r>
  <r>
    <x v="725"/>
    <s v="Tuesday"/>
    <s v="Sunny"/>
    <n v="70"/>
    <x v="0"/>
    <d v="1899-12-30T18:40:00"/>
    <n v="4.47"/>
    <n v="110"/>
    <s v="DD"/>
  </r>
  <r>
    <x v="726"/>
    <s v="Wednesday"/>
    <s v="Sunny"/>
    <n v="75"/>
    <x v="2"/>
    <d v="1899-12-30T18:10:00"/>
    <n v="4.83"/>
    <n v="76"/>
    <s v="DD"/>
  </r>
  <r>
    <x v="727"/>
    <s v="Friday"/>
    <s v="Light Rain"/>
    <n v="68"/>
    <x v="2"/>
    <d v="1899-12-30T17:50:00"/>
    <n v="4.97"/>
    <n v="74"/>
    <s v="DD"/>
  </r>
  <r>
    <x v="728"/>
    <s v="Saturday"/>
    <s v="Clear"/>
    <n v="68"/>
    <x v="0"/>
    <d v="1899-12-30T12:25:00"/>
    <n v="5.97"/>
    <n v="146"/>
    <s v="DD"/>
  </r>
  <r>
    <x v="729"/>
    <s v="Monday"/>
    <s v="Overcast"/>
    <n v="63"/>
    <x v="2"/>
    <d v="1899-12-30T18:25:00"/>
    <n v="5.8"/>
    <n v="92"/>
    <s v="DD"/>
  </r>
  <r>
    <x v="730"/>
    <s v="Tuesday"/>
    <s v="Fog"/>
    <n v="61"/>
    <x v="0"/>
    <d v="1899-12-30T18:10:00"/>
    <n v="3.67"/>
    <n v="80"/>
    <s v="UE"/>
  </r>
  <r>
    <x v="731"/>
    <s v="Thursday"/>
    <s v="Clear"/>
    <n v="73"/>
    <x v="0"/>
    <d v="1899-12-30T18:10:00"/>
    <n v="6.82"/>
    <n v="167"/>
    <s v="DD"/>
  </r>
  <r>
    <x v="732"/>
    <s v="Friday"/>
    <s v="Clear"/>
    <n v="68"/>
    <x v="2"/>
    <d v="1899-12-30T18:05:00"/>
    <n v="3.93"/>
    <n v="64"/>
    <s v="DD"/>
  </r>
  <r>
    <x v="733"/>
    <s v="Monday"/>
    <s v="Sunny"/>
    <n v="66"/>
    <x v="0"/>
    <d v="1899-12-30T17:20:00"/>
    <n v="5.23"/>
    <n v="131"/>
    <s v="DD"/>
  </r>
  <r>
    <x v="734"/>
    <s v="Thursday"/>
    <s v="Sunny"/>
    <n v="73"/>
    <x v="3"/>
    <d v="1899-12-30T18:10:00"/>
    <n v="3.12"/>
    <n v="86"/>
    <s v="DD"/>
  </r>
  <r>
    <x v="735"/>
    <s v="Saturday"/>
    <s v="Clear"/>
    <n v="81"/>
    <x v="0"/>
    <d v="1899-12-30T16:00:00"/>
    <n v="7.63"/>
    <n v="174"/>
    <s v="DD"/>
  </r>
  <r>
    <x v="736"/>
    <s v="Sunday"/>
    <s v="Overcast"/>
    <n v="84"/>
    <x v="0"/>
    <d v="1899-12-30T11:45:00"/>
    <n v="5.0199999999999996"/>
    <n v="148"/>
    <s v="UE"/>
  </r>
  <r>
    <x v="737"/>
    <s v="Monday"/>
    <s v="Clear"/>
    <n v="81"/>
    <x v="0"/>
    <d v="1899-12-30T20:30:00"/>
    <n v="4.63"/>
    <n v="129"/>
    <s v="DD"/>
  </r>
  <r>
    <x v="738"/>
    <s v="Tuesday"/>
    <s v="Clear"/>
    <n v="79"/>
    <x v="1"/>
    <d v="1899-12-30T17:05:00"/>
    <n v="5.53"/>
    <n v="147"/>
    <s v="UE"/>
  </r>
  <r>
    <x v="739"/>
    <s v="Wednesday"/>
    <s v="Clear"/>
    <n v="86"/>
    <x v="2"/>
    <d v="1899-12-30T19:25:00"/>
    <n v="3.52"/>
    <n v="75"/>
    <s v="DD"/>
  </r>
  <r>
    <x v="740"/>
    <s v="Friday"/>
    <s v="Partially Cloudy"/>
    <n v="66"/>
    <x v="1"/>
    <d v="1899-12-30T18:40:00"/>
    <n v="9.07"/>
    <n v="196"/>
    <s v="DD"/>
  </r>
  <r>
    <x v="741"/>
    <s v="Saturday"/>
    <s v="Fog"/>
    <n v="61"/>
    <x v="1"/>
    <d v="1899-12-30T18:25:00"/>
    <n v="1.28"/>
    <n v="36"/>
    <s v="DD"/>
  </r>
  <r>
    <x v="742"/>
    <s v="Sunday"/>
    <s v="Overcast"/>
    <n v="75"/>
    <x v="0"/>
    <d v="1899-12-30T10:25:00"/>
    <n v="3.68"/>
    <n v="89"/>
    <s v="DD"/>
  </r>
  <r>
    <x v="743"/>
    <s v="Monday"/>
    <s v="Clear"/>
    <n v="73"/>
    <x v="1"/>
    <d v="1899-12-30T18:20:00"/>
    <n v="4.72"/>
    <n v="108"/>
    <s v="UE"/>
  </r>
  <r>
    <x v="744"/>
    <s v="Tuesday"/>
    <s v="Partially Cloudy"/>
    <n v="81"/>
    <x v="0"/>
    <d v="1899-12-30T18:25:00"/>
    <n v="5.13"/>
    <n v="150"/>
    <s v="UE"/>
  </r>
  <r>
    <x v="745"/>
    <s v="Wednesday"/>
    <s v="Clear"/>
    <n v="82"/>
    <x v="0"/>
    <d v="1899-12-30T18:50:00"/>
    <n v="2.98"/>
    <n v="61"/>
    <s v="DD"/>
  </r>
  <r>
    <x v="746"/>
    <s v="Thursday"/>
    <s v="Clear"/>
    <n v="70"/>
    <x v="2"/>
    <d v="1899-12-30T19:55:00"/>
    <n v="2.17"/>
    <n v="57"/>
    <s v="DD"/>
  </r>
  <r>
    <x v="747"/>
    <s v="Monday"/>
    <s v="Partially Cloudy"/>
    <n v="84"/>
    <x v="1"/>
    <d v="1899-12-30T13:35:00"/>
    <n v="4.93"/>
    <n v="84"/>
    <s v="DD"/>
  </r>
  <r>
    <x v="748"/>
    <s v="Friday"/>
    <s v="Clear"/>
    <n v="77"/>
    <x v="1"/>
    <d v="1899-12-30T18:20:00"/>
    <n v="5.37"/>
    <n v="131"/>
    <s v="DD"/>
  </r>
  <r>
    <x v="749"/>
    <s v="Saturday"/>
    <s v="Clear"/>
    <n v="75"/>
    <x v="2"/>
    <d v="1899-12-30T19:10:00"/>
    <n v="8.2200000000000006"/>
    <n v="198"/>
    <s v="UE"/>
  </r>
  <r>
    <x v="750"/>
    <s v="Tuesday"/>
    <s v="Partially Cloudy"/>
    <n v="73"/>
    <x v="0"/>
    <d v="1899-12-30T18:50:00"/>
    <n v="5"/>
    <n v="96"/>
    <s v="DD"/>
  </r>
  <r>
    <x v="751"/>
    <s v="Thursday"/>
    <s v="Clear"/>
    <n v="74"/>
    <x v="1"/>
    <d v="1899-12-30T17:45:00"/>
    <n v="9.92"/>
    <n v="256"/>
    <s v="DD"/>
  </r>
  <r>
    <x v="752"/>
    <s v="Monday"/>
    <s v="Partially Cloudy"/>
    <n v="82"/>
    <x v="1"/>
    <d v="1899-12-30T13:40:00"/>
    <n v="6.18"/>
    <n v="119"/>
    <s v="UE"/>
  </r>
  <r>
    <x v="753"/>
    <s v="Wednesday"/>
    <s v="Partially Cloudy"/>
    <n v="82"/>
    <x v="0"/>
    <d v="1899-12-30T17:50:00"/>
    <n v="5.42"/>
    <n v="134"/>
    <s v="DD"/>
  </r>
  <r>
    <x v="754"/>
    <s v="Thursday"/>
    <s v="Light Rain"/>
    <n v="64"/>
    <x v="2"/>
    <d v="1899-12-30T17:55:00"/>
    <n v="5.97"/>
    <n v="142"/>
    <s v="UE"/>
  </r>
  <r>
    <x v="755"/>
    <s v="Friday"/>
    <s v="Partially Cloudy"/>
    <n v="73"/>
    <x v="0"/>
    <d v="1899-12-30T18:00:00"/>
    <n v="6.45"/>
    <n v="153"/>
    <s v="DD"/>
  </r>
  <r>
    <x v="756"/>
    <s v="Monday"/>
    <s v="Partially Cloudy"/>
    <n v="81"/>
    <x v="0"/>
    <d v="1899-12-30T17:35:00"/>
    <n v="5.85"/>
    <n v="138"/>
    <s v="UE"/>
  </r>
  <r>
    <x v="757"/>
    <s v="Wednesday"/>
    <s v="Clear"/>
    <n v="73"/>
    <x v="2"/>
    <d v="1899-12-30T18:15:00"/>
    <n v="4.3"/>
    <n v="88"/>
    <s v="DD"/>
  </r>
  <r>
    <x v="758"/>
    <s v="Friday"/>
    <s v="Sunny"/>
    <n v="73"/>
    <x v="0"/>
    <d v="1899-12-30T19:20:00"/>
    <n v="3.18"/>
    <n v="45.8"/>
    <s v="DD"/>
  </r>
  <r>
    <x v="759"/>
    <s v="Saturday"/>
    <s v="Clear"/>
    <n v="75"/>
    <x v="0"/>
    <d v="1899-12-30T17:05:00"/>
    <n v="6.57"/>
    <n v="128"/>
    <s v="DD"/>
  </r>
  <r>
    <x v="760"/>
    <s v="Sunday"/>
    <s v="Clear"/>
    <n v="82"/>
    <x v="2"/>
    <d v="1899-12-30T17:10:00"/>
    <n v="6.22"/>
    <n v="112"/>
    <s v="DD"/>
  </r>
  <r>
    <x v="761"/>
    <s v="Monday"/>
    <s v="Clear"/>
    <n v="88"/>
    <x v="2"/>
    <d v="1899-12-30T17:55:00"/>
    <n v="5.08"/>
    <n v="96"/>
    <s v="DD"/>
  </r>
  <r>
    <x v="762"/>
    <s v="Tuesday"/>
    <s v="Clear"/>
    <n v="90"/>
    <x v="2"/>
    <d v="1899-12-30T17:40:00"/>
    <n v="5.85"/>
    <n v="140"/>
    <s v="UE"/>
  </r>
  <r>
    <x v="763"/>
    <s v="Wednesday"/>
    <s v="Partially Cloudy"/>
    <n v="79"/>
    <x v="0"/>
    <d v="1899-12-30T19:35:00"/>
    <n v="3.13"/>
    <n v="54"/>
    <s v="DD"/>
  </r>
  <r>
    <x v="764"/>
    <s v="Thursday"/>
    <s v="Partially Cloudy"/>
    <n v="84"/>
    <x v="2"/>
    <d v="1899-12-30T19:15:00"/>
    <n v="4.07"/>
    <n v="82"/>
    <s v="UE"/>
  </r>
  <r>
    <x v="765"/>
    <s v="Friday"/>
    <s v="Clear"/>
    <n v="81"/>
    <x v="0"/>
    <d v="1899-12-30T18:10:00"/>
    <n v="6.38"/>
    <n v="145"/>
    <s v="DD"/>
  </r>
  <r>
    <x v="766"/>
    <s v="Saturday"/>
    <s v="Partially Cloudy"/>
    <n v="81"/>
    <x v="1"/>
    <d v="1899-12-30T10:30:00"/>
    <n v="7.33"/>
    <n v="172"/>
    <s v="UE"/>
  </r>
  <r>
    <x v="767"/>
    <s v="Sunday"/>
    <s v="Partially Cloudy"/>
    <n v="84"/>
    <x v="1"/>
    <d v="1899-12-30T12:30:00"/>
    <n v="3.02"/>
    <n v="56"/>
    <s v="UE"/>
  </r>
  <r>
    <x v="768"/>
    <s v="Monday"/>
    <s v="Clear"/>
    <n v="68"/>
    <x v="1"/>
    <d v="1899-12-30T18:25:00"/>
    <n v="5.13"/>
    <n v="114"/>
    <s v="DD"/>
  </r>
  <r>
    <x v="769"/>
    <s v="Wednesday"/>
    <s v="Clear"/>
    <n v="64"/>
    <x v="1"/>
    <d v="1899-12-30T18:35:00"/>
    <n v="7.05"/>
    <n v="155"/>
    <s v="UE"/>
  </r>
  <r>
    <x v="770"/>
    <s v="Thursday"/>
    <s v="Clear"/>
    <n v="72"/>
    <x v="2"/>
    <d v="1899-12-30T17:40:00"/>
    <n v="6.88"/>
    <n v="168"/>
    <s v="UE"/>
  </r>
  <r>
    <x v="771"/>
    <s v="Friday"/>
    <s v="Clear"/>
    <n v="81"/>
    <x v="0"/>
    <d v="1899-12-30T18:50:00"/>
    <n v="6.55"/>
    <n v="177"/>
    <s v="UE"/>
  </r>
  <r>
    <x v="772"/>
    <s v="Monday"/>
    <s v="Partially Cloudy"/>
    <n v="66"/>
    <x v="1"/>
    <d v="1899-12-30T17:25:00"/>
    <n v="6.42"/>
    <n v="129"/>
    <s v="UE"/>
  </r>
  <r>
    <x v="773"/>
    <s v="Wednesday"/>
    <s v="Mostly Cloudy"/>
    <n v="63"/>
    <x v="0"/>
    <d v="1899-12-30T17:00:00"/>
    <n v="6.45"/>
    <n v="150"/>
    <s v="DD"/>
  </r>
  <r>
    <x v="774"/>
    <s v="Thursday"/>
    <s v="Clear"/>
    <n v="66"/>
    <x v="0"/>
    <d v="1899-12-30T18:50:00"/>
    <n v="6.13"/>
    <n v="154"/>
    <s v="DD"/>
  </r>
  <r>
    <x v="775"/>
    <s v="Friday"/>
    <s v="Overcast"/>
    <n v="63"/>
    <x v="0"/>
    <d v="1899-12-30T18:40:00"/>
    <n v="6.98"/>
    <n v="208"/>
    <s v="DD"/>
  </r>
  <r>
    <x v="776"/>
    <s v="Sunday"/>
    <s v="Clear"/>
    <n v="73"/>
    <x v="0"/>
    <d v="1899-12-30T19:00:00"/>
    <n v="0.97"/>
    <n v="28"/>
    <s v="UE"/>
  </r>
  <r>
    <x v="777"/>
    <s v="Monday"/>
    <s v="Clear"/>
    <n v="73"/>
    <x v="0"/>
    <d v="1899-12-30T18:10:00"/>
    <n v="6.28"/>
    <n v="175"/>
    <s v="UE"/>
  </r>
  <r>
    <x v="778"/>
    <s v="Tuesday"/>
    <s v="Clear"/>
    <n v="66"/>
    <x v="1"/>
    <d v="1899-12-30T15:20:00"/>
    <n v="4.5199999999999996"/>
    <n v="101"/>
    <s v="UE"/>
  </r>
  <r>
    <x v="779"/>
    <s v="Thursday"/>
    <s v="Overcast"/>
    <n v="70"/>
    <x v="2"/>
    <d v="1899-12-30T18:10:00"/>
    <n v="1.37"/>
    <n v="49"/>
    <s v="UE"/>
  </r>
  <r>
    <x v="780"/>
    <s v="Saturday"/>
    <s v="Overcast"/>
    <n v="63"/>
    <x v="2"/>
    <d v="1899-12-30T18:40:00"/>
    <n v="6.92"/>
    <n v="130"/>
    <s v="DD"/>
  </r>
  <r>
    <x v="781"/>
    <s v="Sunday"/>
    <s v="Partially Cloudy"/>
    <n v="63"/>
    <x v="0"/>
    <d v="1899-12-30T14:20:00"/>
    <n v="2.27"/>
    <n v="37"/>
    <s v="DD"/>
  </r>
  <r>
    <x v="782"/>
    <s v="Monday"/>
    <s v="Clear"/>
    <n v="63"/>
    <x v="1"/>
    <d v="1899-12-30T18:00:00"/>
    <n v="5.53"/>
    <n v="119"/>
    <s v="UE"/>
  </r>
  <r>
    <x v="783"/>
    <s v="Tuesday"/>
    <s v="Clear"/>
    <n v="64"/>
    <x v="0"/>
    <d v="1899-12-30T17:55:00"/>
    <n v="5.08"/>
    <n v="135"/>
    <s v="DD"/>
  </r>
  <r>
    <x v="784"/>
    <s v="Thursday"/>
    <s v="Partially Cloudy"/>
    <n v="72"/>
    <x v="1"/>
    <d v="1899-12-30T18:45:00"/>
    <n v="5.43"/>
    <n v="138"/>
    <s v="UE"/>
  </r>
  <r>
    <x v="785"/>
    <s v="Friday"/>
    <s v="Clear"/>
    <n v="70"/>
    <x v="2"/>
    <d v="1899-12-30T18:40:00"/>
    <n v="8.33"/>
    <n v="168"/>
    <s v="DD"/>
  </r>
  <r>
    <x v="786"/>
    <s v="Sunday"/>
    <s v="Clear"/>
    <n v="66"/>
    <x v="1"/>
    <d v="1899-12-30T16:50:00"/>
    <n v="5.12"/>
    <n v="149"/>
    <s v="UE"/>
  </r>
  <r>
    <x v="787"/>
    <s v="Monday"/>
    <s v="Clear"/>
    <n v="63"/>
    <x v="1"/>
    <d v="1899-12-30T18:20:00"/>
    <n v="5.73"/>
    <n v="97"/>
    <s v="DD"/>
  </r>
  <r>
    <x v="788"/>
    <s v="Wednesday"/>
    <s v="Clear"/>
    <n v="66"/>
    <x v="2"/>
    <d v="1899-12-30T18:45:00"/>
    <n v="6.98"/>
    <n v="129"/>
    <s v="UE"/>
  </r>
  <r>
    <x v="789"/>
    <s v="Thursday"/>
    <s v="Clear"/>
    <n v="64"/>
    <x v="1"/>
    <d v="1899-12-30T18:30:00"/>
    <n v="5.75"/>
    <n v="129"/>
    <s v="UE"/>
  </r>
  <r>
    <x v="790"/>
    <s v="Friday"/>
    <s v="Clear"/>
    <n v="68"/>
    <x v="1"/>
    <d v="1899-12-30T18:50:00"/>
    <n v="5.07"/>
    <n v="116"/>
    <s v="UE"/>
  </r>
  <r>
    <x v="791"/>
    <s v="Sunday"/>
    <s v="Clear"/>
    <n v="63"/>
    <x v="0"/>
    <d v="1899-12-30T18:15:00"/>
    <n v="4"/>
    <n v="92"/>
    <s v="DD"/>
  </r>
  <r>
    <x v="792"/>
    <s v="Monday"/>
    <s v="Clear"/>
    <n v="63"/>
    <x v="1"/>
    <d v="1899-12-30T18:25:00"/>
    <n v="5.98"/>
    <n v="125"/>
    <s v="UE"/>
  </r>
  <r>
    <x v="793"/>
    <s v="Tuesday"/>
    <s v="Fog"/>
    <n v="64"/>
    <x v="2"/>
    <d v="1899-12-30T19:05:00"/>
    <n v="0.83819444444444446"/>
    <n v="21.6"/>
    <s v="DD"/>
  </r>
  <r>
    <x v="794"/>
    <s v="Wednesday"/>
    <s v="Overcast"/>
    <n v="61"/>
    <x v="0"/>
    <d v="1899-12-30T19:05:00"/>
    <n v="7.15"/>
    <n v="143"/>
    <s v="UE"/>
  </r>
  <r>
    <x v="795"/>
    <s v="Friday"/>
    <s v="Partially Cloudy"/>
    <n v="73"/>
    <x v="0"/>
    <d v="1899-12-30T19:45:00"/>
    <n v="5.63"/>
    <n v="155"/>
    <s v="DD"/>
  </r>
  <r>
    <x v="796"/>
    <s v="Saturday"/>
    <s v="Clear"/>
    <n v="66"/>
    <x v="0"/>
    <d v="1899-12-30T16:40:00"/>
    <n v="7.47"/>
    <n v="197"/>
    <s v="UE"/>
  </r>
  <r>
    <x v="797"/>
    <s v="Monday"/>
    <s v="Clear"/>
    <n v="72"/>
    <x v="0"/>
    <d v="1899-12-30T18:05:00"/>
    <n v="3.95"/>
    <n v="105"/>
    <s v="UE"/>
  </r>
  <r>
    <x v="798"/>
    <s v="Tuesday"/>
    <s v="Clear"/>
    <n v="64"/>
    <x v="0"/>
    <d v="1899-12-30T19:05:00"/>
    <n v="0.98"/>
    <n v="27"/>
    <s v="UE"/>
  </r>
  <r>
    <x v="799"/>
    <s v="Wednesday"/>
    <s v="Clear"/>
    <n v="64"/>
    <x v="0"/>
    <d v="1899-12-30T18:30:00"/>
    <n v="6.48"/>
    <n v="191"/>
    <s v="UE"/>
  </r>
  <r>
    <x v="800"/>
    <s v="Thursday"/>
    <s v="Clear"/>
    <n v="57"/>
    <x v="3"/>
    <d v="1899-12-30T18:30:00"/>
    <n v="2.58"/>
    <n v="68"/>
    <s v="UE"/>
  </r>
  <r>
    <x v="801"/>
    <s v="Friday"/>
    <s v="Clear"/>
    <n v="64"/>
    <x v="0"/>
    <d v="1899-12-30T18:00:00"/>
    <n v="7.28"/>
    <n v="175"/>
    <s v="UE"/>
  </r>
  <r>
    <x v="802"/>
    <s v="Sunday"/>
    <s v="Clear"/>
    <n v="64"/>
    <x v="1"/>
    <d v="1899-12-30T18:55:00"/>
    <n v="4.42"/>
    <n v="70"/>
    <s v="UE"/>
  </r>
  <r>
    <x v="803"/>
    <s v="Tuesday"/>
    <s v="Clear"/>
    <n v="70"/>
    <x v="0"/>
    <d v="1899-12-30T18:35:00"/>
    <n v="5.92"/>
    <n v="130"/>
    <s v="DD"/>
  </r>
  <r>
    <x v="804"/>
    <s v="Friday"/>
    <s v="Clear"/>
    <n v="50"/>
    <x v="0"/>
    <d v="1899-12-30T18:50:00"/>
    <n v="5.22"/>
    <n v="137"/>
    <s v="UE"/>
  </r>
  <r>
    <x v="805"/>
    <s v="Monday"/>
    <s v="Overcast"/>
    <n v="50"/>
    <x v="0"/>
    <d v="1899-12-30T18:45:00"/>
    <n v="3.47"/>
    <n v="50"/>
    <s v="DD"/>
  </r>
  <r>
    <x v="806"/>
    <s v="Tuesday"/>
    <s v="Mostly Cloudy"/>
    <n v="55"/>
    <x v="0"/>
    <d v="1899-12-30T17:35:00"/>
    <n v="6.02"/>
    <n v="106"/>
    <s v="DD"/>
  </r>
  <r>
    <x v="807"/>
    <s v="Friday"/>
    <s v="Clear"/>
    <n v="54"/>
    <x v="0"/>
    <d v="1899-12-30T18:10:00"/>
    <n v="6.48"/>
    <n v="136"/>
    <s v="DD"/>
  </r>
  <r>
    <x v="808"/>
    <s v="Monday"/>
    <s v="Rain"/>
    <n v="57"/>
    <x v="0"/>
    <d v="1899-12-30T18:00:00"/>
    <n v="6.07"/>
    <n v="118"/>
    <s v="DD"/>
  </r>
  <r>
    <x v="809"/>
    <s v="Tuesday"/>
    <s v="Clear"/>
    <n v="55"/>
    <x v="0"/>
    <d v="1899-12-30T17:40:00"/>
    <n v="7.1"/>
    <n v="147"/>
    <s v="DD"/>
  </r>
  <r>
    <x v="810"/>
    <s v="Saturday"/>
    <s v="Overcast"/>
    <n v="48"/>
    <x v="2"/>
    <d v="1899-12-30T21:20:00"/>
    <n v="4.67"/>
    <n v="86"/>
    <s v="DD"/>
  </r>
  <r>
    <x v="811"/>
    <s v="Monday"/>
    <s v="Partially Cloudy"/>
    <n v="45"/>
    <x v="0"/>
    <d v="1899-12-30T18:00:00"/>
    <n v="6.07"/>
    <n v="139"/>
    <s v="DD"/>
  </r>
  <r>
    <x v="812"/>
    <s v="Tuesday"/>
    <s v="Clear"/>
    <n v="48"/>
    <x v="0"/>
    <d v="1899-12-30T18:10:00"/>
    <n v="5.38"/>
    <n v="141"/>
    <s v="DD"/>
  </r>
  <r>
    <x v="813"/>
    <s v="Wednesday"/>
    <s v="Overcast"/>
    <n v="43"/>
    <x v="0"/>
    <d v="1899-12-30T18:00:00"/>
    <n v="5.92"/>
    <n v="165"/>
    <s v="UE"/>
  </r>
  <r>
    <x v="814"/>
    <s v="Saturday"/>
    <s v="Clear"/>
    <n v="43"/>
    <x v="1"/>
    <d v="1899-12-30T18:55:00"/>
    <n v="5.55"/>
    <n v="182"/>
    <s v="UE"/>
  </r>
  <r>
    <x v="815"/>
    <s v="Sunday"/>
    <s v="Clear"/>
    <n v="37"/>
    <x v="2"/>
    <d v="1899-12-30T15:05:00"/>
    <n v="1.1000000000000001"/>
    <n v="16"/>
    <s v="DD"/>
  </r>
  <r>
    <x v="816"/>
    <s v="Monday"/>
    <s v="Light Rain"/>
    <n v="52"/>
    <x v="0"/>
    <d v="1899-12-30T18:55:00"/>
    <n v="2.35"/>
    <n v="46"/>
    <s v="DD"/>
  </r>
  <r>
    <x v="817"/>
    <s v="Tuesday"/>
    <s v="Clear"/>
    <n v="45"/>
    <x v="0"/>
    <d v="1899-12-30T18:15:00"/>
    <n v="5.25"/>
    <n v="111"/>
    <s v="DD"/>
  </r>
  <r>
    <x v="818"/>
    <s v="Friday"/>
    <s v="Sunny"/>
    <n v="43"/>
    <x v="0"/>
    <d v="1899-12-30T14:05:00"/>
    <n v="2.1800000000000002"/>
    <n v="66"/>
    <s v="DD"/>
  </r>
  <r>
    <x v="819"/>
    <s v="Saturday"/>
    <s v="Clear"/>
    <n v="46"/>
    <x v="2"/>
    <d v="1899-12-30T18:30:00"/>
    <n v="6.3330000000000002"/>
    <n v="101"/>
    <s v="DD"/>
  </r>
  <r>
    <x v="820"/>
    <s v="Monday"/>
    <s v="Fog"/>
    <n v="46"/>
    <x v="0"/>
    <d v="1899-12-30T16:00:00"/>
    <n v="2.57"/>
    <n v="62"/>
    <s v="UE"/>
  </r>
  <r>
    <x v="821"/>
    <s v="Thursday"/>
    <s v="Mostly Cloudy"/>
    <n v="36"/>
    <x v="0"/>
    <d v="1899-12-30T18:10:00"/>
    <n v="4.32"/>
    <n v="94"/>
    <s v="DD"/>
  </r>
  <r>
    <x v="822"/>
    <s v="Saturday"/>
    <s v="Clear"/>
    <n v="32"/>
    <x v="2"/>
    <d v="1899-12-30T21:50:00"/>
    <n v="2.33"/>
    <n v="49"/>
    <s v="DD"/>
  </r>
  <r>
    <x v="823"/>
    <s v="Sunday"/>
    <s v="Overcast"/>
    <n v="36"/>
    <x v="1"/>
    <d v="1899-12-30T16:30:00"/>
    <n v="6"/>
    <n v="124"/>
    <s v="UE"/>
  </r>
  <r>
    <x v="824"/>
    <s v="Monday"/>
    <s v="Overcast"/>
    <n v="34"/>
    <x v="0"/>
    <d v="1899-12-30T18:20:00"/>
    <n v="3.65"/>
    <n v="94"/>
    <s v="UE"/>
  </r>
  <r>
    <x v="825"/>
    <s v="Tuesday"/>
    <s v="Clear"/>
    <n v="36"/>
    <x v="0"/>
    <d v="1899-12-30T19:00:00"/>
    <n v="2.57"/>
    <n v="50"/>
    <s v="DD"/>
  </r>
  <r>
    <x v="826"/>
    <s v="Friday"/>
    <s v="Clear"/>
    <n v="30"/>
    <x v="2"/>
    <d v="1899-12-30T18:10:00"/>
    <n v="0.4"/>
    <n v="10"/>
    <s v="DD"/>
  </r>
  <r>
    <x v="827"/>
    <s v="Sunday"/>
    <s v="Partially Cloudy"/>
    <n v="39"/>
    <x v="0"/>
    <d v="1899-12-30T11:30:00"/>
    <n v="4.1500000000000004"/>
    <n v="132"/>
    <s v="UE"/>
  </r>
  <r>
    <x v="828"/>
    <s v="Tuesday"/>
    <s v="Mostly Cloudy"/>
    <n v="48"/>
    <x v="0"/>
    <d v="1899-12-30T17:30:00"/>
    <n v="4.4000000000000004"/>
    <n v="63"/>
    <s v="UE"/>
  </r>
  <r>
    <x v="829"/>
    <s v="Friday"/>
    <s v="Clear"/>
    <n v="32"/>
    <x v="3"/>
    <d v="1899-12-30T13:05:00"/>
    <n v="8.26"/>
    <n v="185"/>
    <s v="DD"/>
  </r>
  <r>
    <x v="830"/>
    <s v="Saturday"/>
    <s v="Clear"/>
    <n v="30"/>
    <x v="0"/>
    <d v="1899-12-30T14:50:00"/>
    <n v="5.47"/>
    <n v="140"/>
    <s v="UE"/>
  </r>
  <r>
    <x v="831"/>
    <s v="Sunday"/>
    <s v="Rain"/>
    <n v="43"/>
    <x v="0"/>
    <d v="1899-12-30T17:25:00"/>
    <n v="6.03"/>
    <n v="123"/>
    <s v="UE"/>
  </r>
  <r>
    <x v="832"/>
    <s v="Tuesday"/>
    <s v="Light Snow"/>
    <n v="27"/>
    <x v="1"/>
    <d v="1899-12-30T19:20:00"/>
    <n v="4.5999999999999996"/>
    <n v="124"/>
    <s v="UE"/>
  </r>
  <r>
    <x v="833"/>
    <s v="Wednesday"/>
    <s v="Overcast"/>
    <n v="30"/>
    <x v="3"/>
    <d v="1899-12-30T18:35:00"/>
    <n v="3.65"/>
    <n v="111"/>
    <s v="UE"/>
  </r>
  <r>
    <x v="834"/>
    <s v="Saturday"/>
    <s v="Partially Sunny"/>
    <n v="27"/>
    <x v="1"/>
    <d v="1899-12-30T13:00:00"/>
    <n v="6.58"/>
    <n v="148"/>
    <s v="UE"/>
  </r>
  <r>
    <x v="835"/>
    <s v="Sunday"/>
    <s v="Overcast"/>
    <n v="32"/>
    <x v="0"/>
    <d v="1899-12-30T14:55:00"/>
    <n v="8.7200000000000006"/>
    <n v="201"/>
    <s v="UE"/>
  </r>
  <r>
    <x v="836"/>
    <s v="Monday"/>
    <s v="Sunny"/>
    <n v="18"/>
    <x v="2"/>
    <d v="1899-12-30T13:10:00"/>
    <n v="5.8"/>
    <n v="112"/>
    <s v="UE"/>
  </r>
  <r>
    <x v="837"/>
    <s v="Tuesday"/>
    <s v="Sunny"/>
    <n v="21"/>
    <x v="0"/>
    <d v="1899-12-30T10:00:00"/>
    <n v="7.5"/>
    <n v="181"/>
    <s v="DD"/>
  </r>
  <r>
    <x v="838"/>
    <s v="Thursday"/>
    <s v="Partially Sunny"/>
    <n v="30"/>
    <x v="2"/>
    <d v="1899-12-30T10:35:00"/>
    <n v="6.78"/>
    <n v="159"/>
    <s v="UE"/>
  </r>
  <r>
    <x v="839"/>
    <s v="Friday"/>
    <s v="Partially Cloudy"/>
    <n v="27"/>
    <x v="0"/>
    <d v="1899-12-30T11:40:00"/>
    <n v="5.58"/>
    <n v="105"/>
    <s v="UE"/>
  </r>
  <r>
    <x v="840"/>
    <s v="Saturday"/>
    <s v="Mostly Cloudy"/>
    <n v="32"/>
    <x v="2"/>
    <d v="1899-12-30T14:00:00"/>
    <n v="6.83"/>
    <n v="147"/>
    <s v="DD"/>
  </r>
  <r>
    <x v="841"/>
    <s v="Sunday"/>
    <s v="Overcast"/>
    <n v="27"/>
    <x v="3"/>
    <d v="1899-12-30T11:55:00"/>
    <n v="3.47"/>
    <n v="96"/>
    <s v="DD"/>
  </r>
  <r>
    <x v="842"/>
    <s v="Monday"/>
    <s v="Clear"/>
    <n v="19"/>
    <x v="0"/>
    <d v="1899-12-30T18:35:00"/>
    <n v="4.17"/>
    <n v="103"/>
    <s v="UE"/>
  </r>
  <r>
    <x v="843"/>
    <s v="Tuesday"/>
    <s v="Clear"/>
    <n v="28"/>
    <x v="2"/>
    <d v="1899-12-30T18:35:00"/>
    <n v="3.83"/>
    <n v="58"/>
    <s v="DD"/>
  </r>
  <r>
    <x v="844"/>
    <s v="Friday"/>
    <s v="Overcast"/>
    <n v="43"/>
    <x v="3"/>
    <d v="1899-12-30T20:10:00"/>
    <n v="3.87"/>
    <n v="111"/>
    <s v="DD"/>
  </r>
  <r>
    <x v="845"/>
    <s v="Sunday"/>
    <s v="Clear"/>
    <n v="30"/>
    <x v="1"/>
    <d v="1899-12-30T17:15:00"/>
    <n v="5.73"/>
    <n v="151"/>
    <s v="UE"/>
  </r>
  <r>
    <x v="846"/>
    <s v="Tuesday"/>
    <s v="Partially Cloudy"/>
    <n v="14"/>
    <x v="0"/>
    <d v="1899-12-30T19:55:00"/>
    <n v="4.6500000000000004"/>
    <n v="100"/>
    <s v="DD"/>
  </r>
  <r>
    <x v="847"/>
    <s v="Thursday"/>
    <s v="Light Snow"/>
    <n v="28"/>
    <x v="2"/>
    <d v="1899-12-30T14:45:00"/>
    <n v="0.43"/>
    <n v="11"/>
    <s v="DD"/>
  </r>
  <r>
    <x v="848"/>
    <s v="Saturday"/>
    <s v="Partially Cloudy"/>
    <n v="19"/>
    <x v="0"/>
    <d v="1899-12-30T20:30:00"/>
    <n v="4.83"/>
    <n v="137"/>
    <s v="UE"/>
  </r>
  <r>
    <x v="849"/>
    <s v="Sunday"/>
    <s v="Overcast"/>
    <n v="18"/>
    <x v="0"/>
    <d v="1899-12-30T20:55:00"/>
    <n v="1.22"/>
    <n v="37"/>
    <s v="DD"/>
  </r>
  <r>
    <x v="850"/>
    <s v="Thursday"/>
    <s v="Clear"/>
    <n v="36"/>
    <x v="2"/>
    <d v="1899-12-30T20:15:00"/>
    <n v="1.72"/>
    <n v="33"/>
    <s v="UE"/>
  </r>
  <r>
    <x v="851"/>
    <s v="Wednesday"/>
    <s v="Light Rain"/>
    <n v="41"/>
    <x v="2"/>
    <d v="1899-12-30T20:10:00"/>
    <n v="2.23"/>
    <n v="38"/>
    <s v="UE"/>
  </r>
  <r>
    <x v="852"/>
    <s v="Friday"/>
    <s v="Clear"/>
    <n v="18"/>
    <x v="0"/>
    <d v="1899-12-30T19:35:00"/>
    <n v="4.12"/>
    <n v="100"/>
    <s v="UE"/>
  </r>
  <r>
    <x v="853"/>
    <s v="Saturday"/>
    <s v="Light Snow"/>
    <n v="25"/>
    <x v="2"/>
    <d v="1899-12-30T16:00:00"/>
    <n v="4.2699999999999996"/>
    <n v="72"/>
    <s v="DD"/>
  </r>
  <r>
    <x v="854"/>
    <s v="Sunday"/>
    <s v="Overcast"/>
    <n v="30"/>
    <x v="0"/>
    <d v="1899-12-30T16:10:00"/>
    <n v="1.63"/>
    <n v="45"/>
    <s v="UE"/>
  </r>
  <r>
    <x v="855"/>
    <s v="Monday"/>
    <s v="Overcast"/>
    <n v="30"/>
    <x v="1"/>
    <d v="1899-12-30T12:10:00"/>
    <n v="4.47"/>
    <n v="90"/>
    <s v="UE"/>
  </r>
  <r>
    <x v="856"/>
    <s v="Saturday"/>
    <s v="Clear"/>
    <n v="16"/>
    <x v="0"/>
    <d v="1899-12-30T18:40:00"/>
    <n v="4.62"/>
    <n v="94"/>
    <s v="DD"/>
  </r>
  <r>
    <x v="857"/>
    <s v="Monday"/>
    <s v="Light Snow"/>
    <n v="12"/>
    <x v="0"/>
    <d v="1899-12-30T21:40:00"/>
    <n v="0.85"/>
    <n v="24"/>
    <s v="DD"/>
  </r>
  <r>
    <x v="858"/>
    <s v="Sunday"/>
    <s v="Clear"/>
    <n v="21"/>
    <x v="0"/>
    <d v="1899-12-30T18:45:00"/>
    <n v="4.4800000000000004"/>
    <n v="119"/>
    <s v="UE"/>
  </r>
  <r>
    <x v="859"/>
    <s v="Friday"/>
    <s v="Clear"/>
    <n v="25"/>
    <x v="1"/>
    <d v="1899-12-30T20:00:00"/>
    <n v="4.33"/>
    <n v="131"/>
    <s v="DD"/>
  </r>
  <r>
    <x v="860"/>
    <s v="Saturday"/>
    <s v="Clear"/>
    <n v="28"/>
    <x v="0"/>
    <d v="1899-12-30T21:15:00"/>
    <n v="3.5"/>
    <n v="109"/>
    <s v="UE"/>
  </r>
  <r>
    <x v="861"/>
    <s v="Friday"/>
    <s v="Snow Storm"/>
    <n v="32"/>
    <x v="0"/>
    <d v="1899-12-30T19:55:00"/>
    <n v="4.22"/>
    <n v="77"/>
    <s v="UE"/>
  </r>
  <r>
    <x v="862"/>
    <s v="Saturday"/>
    <s v="Clear"/>
    <n v="27"/>
    <x v="0"/>
    <d v="1899-12-30T15:40:00"/>
    <n v="4.9800000000000004"/>
    <n v="122"/>
    <s v="UE"/>
  </r>
  <r>
    <x v="863"/>
    <s v="Monday"/>
    <s v="Clear"/>
    <n v="18"/>
    <x v="0"/>
    <d v="1899-12-30T19:55:00"/>
    <n v="4.87"/>
    <n v="111"/>
    <s v="DD"/>
  </r>
  <r>
    <x v="864"/>
    <s v="Tuesday"/>
    <s v="Snow Storm"/>
    <n v="28"/>
    <x v="2"/>
    <d v="1899-12-30T21:50:00"/>
    <n v="2.33"/>
    <n v="23"/>
    <s v="DD"/>
  </r>
  <r>
    <x v="865"/>
    <s v="Friday"/>
    <s v="Mostly Cloudy"/>
    <n v="32"/>
    <x v="0"/>
    <d v="1899-12-30T19:55:00"/>
    <n v="3.1"/>
    <n v="70"/>
    <s v="UE"/>
  </r>
  <r>
    <x v="866"/>
    <s v="Tuesday"/>
    <s v="Partially Cloudy"/>
    <n v="50"/>
    <x v="1"/>
    <d v="1899-12-30T18:50:00"/>
    <n v="4.05"/>
    <n v="74"/>
    <s v="UE"/>
  </r>
  <r>
    <x v="867"/>
    <s v="Friday"/>
    <s v="Overcast"/>
    <n v="34"/>
    <x v="0"/>
    <d v="1899-12-30T20:00:00"/>
    <n v="3.97"/>
    <n v="124"/>
    <s v="DD"/>
  </r>
  <r>
    <x v="868"/>
    <s v="Tuesday"/>
    <s v="Clear"/>
    <n v="34"/>
    <x v="0"/>
    <d v="1899-12-30T20:45:00"/>
    <n v="3.75"/>
    <n v="105"/>
    <s v="UE"/>
  </r>
  <r>
    <x v="869"/>
    <s v="Wednesday"/>
    <s v="Clear"/>
    <n v="41"/>
    <x v="0"/>
    <d v="1899-12-30T18:35:00"/>
    <n v="4.75"/>
    <n v="102"/>
    <s v="DD"/>
  </r>
  <r>
    <x v="870"/>
    <s v="Thursday"/>
    <s v="Mostly Cloudy"/>
    <n v="45"/>
    <x v="0"/>
    <d v="1899-12-30T19:35:00"/>
    <n v="4.38"/>
    <n v="105"/>
    <s v="UE"/>
  </r>
  <r>
    <x v="871"/>
    <s v="Tuesday"/>
    <s v="Fog"/>
    <n v="54"/>
    <x v="0"/>
    <d v="1899-12-30T20:50:00"/>
    <n v="3.12"/>
    <n v="47"/>
    <s v="DD"/>
  </r>
  <r>
    <x v="872"/>
    <s v="Wednesday"/>
    <s v="Overcast"/>
    <n v="43"/>
    <x v="2"/>
    <d v="1899-12-30T19:00:00"/>
    <n v="4.7300000000000004"/>
    <n v="72"/>
    <s v="UE"/>
  </r>
  <r>
    <x v="873"/>
    <s v="Friday"/>
    <s v="Overcast"/>
    <n v="46"/>
    <x v="2"/>
    <d v="1899-12-30T20:00:00"/>
    <n v="7.17"/>
    <n v="107"/>
    <s v="UE"/>
  </r>
  <r>
    <x v="874"/>
    <s v="Wednesday"/>
    <s v="Light Rain"/>
    <n v="48"/>
    <x v="2"/>
    <d v="1899-12-30T19:45:00"/>
    <n v="5.47"/>
    <n v="87"/>
    <s v="DD"/>
  </r>
  <r>
    <x v="875"/>
    <s v="Monday"/>
    <s v="Clear"/>
    <n v="64"/>
    <x v="0"/>
    <d v="1899-12-30T20:00:00"/>
    <n v="3.75"/>
    <n v="73"/>
    <s v="DD"/>
  </r>
  <r>
    <x v="876"/>
    <s v="Friday"/>
    <s v="Mostly Cloudy"/>
    <n v="54"/>
    <x v="0"/>
    <d v="1899-12-30T15:20:00"/>
    <n v="1.8"/>
    <n v="59"/>
    <s v="UE"/>
  </r>
  <r>
    <x v="877"/>
    <s v="Monday"/>
    <s v="Clear"/>
    <n v="54"/>
    <x v="0"/>
    <d v="1899-12-30T20:30:00"/>
    <n v="3.15"/>
    <n v="81"/>
    <s v="UE"/>
  </r>
  <r>
    <x v="878"/>
    <s v="Tuesday"/>
    <s v="Overcast"/>
    <n v="54"/>
    <x v="0"/>
    <d v="1899-12-30T19:25:00"/>
    <n v="3.57"/>
    <n v="100"/>
    <s v="DD"/>
  </r>
  <r>
    <x v="879"/>
    <s v="Sunday"/>
    <s v="Clear"/>
    <n v="79"/>
    <x v="1"/>
    <d v="1899-12-30T17:55:00"/>
    <n v="6.37"/>
    <n v="113"/>
    <s v="UE"/>
  </r>
  <r>
    <x v="880"/>
    <s v="Wednesday"/>
    <s v="Clear"/>
    <n v="84"/>
    <x v="2"/>
    <d v="1899-12-30T18:05:00"/>
    <n v="5.0199999999999996"/>
    <n v="102"/>
    <s v="UE"/>
  </r>
  <r>
    <x v="881"/>
    <s v="Friday"/>
    <s v="Clear"/>
    <n v="46"/>
    <x v="2"/>
    <d v="1899-12-30T20:50:00"/>
    <n v="6.23"/>
    <n v="144"/>
    <s v="UE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98">
  <r>
    <n v="1"/>
    <s v="UE"/>
    <s v="Order"/>
    <n v="1"/>
    <x v="0"/>
    <x v="0"/>
    <n v="1"/>
    <n v="28.21"/>
    <d v="1899-12-30T04:20:00"/>
    <n v="4.333333333333333"/>
    <n v="4.25"/>
    <x v="0"/>
    <s v="Brunswick/Bath/Freeport"/>
    <n v="2"/>
  </r>
  <r>
    <n v="2"/>
    <s v="UE"/>
    <s v="Order"/>
    <n v="1"/>
    <x v="1"/>
    <x v="1"/>
    <n v="4"/>
    <n v="53.14"/>
    <d v="1899-12-30T03:06:00"/>
    <n v="3.1000000000000005"/>
    <n v="3"/>
    <x v="1"/>
    <s v="Portland"/>
    <n v="4"/>
  </r>
  <r>
    <n v="3"/>
    <s v="UE"/>
    <s v="Order"/>
    <n v="2"/>
    <x v="0"/>
    <x v="2"/>
    <n v="2"/>
    <n v="12.04"/>
    <d v="1899-12-30T02:03:00"/>
    <n v="2.0499999999999998"/>
    <n v="2"/>
    <x v="0"/>
    <s v="Portland"/>
    <n v="4"/>
  </r>
  <r>
    <n v="4"/>
    <s v="UE"/>
    <s v="Order"/>
    <n v="2"/>
    <x v="2"/>
    <x v="3"/>
    <n v="5"/>
    <n v="63.93"/>
    <d v="1899-12-30T06:37:00"/>
    <n v="6.6166666666666671"/>
    <n v="6.5"/>
    <x v="0"/>
    <s v="Portland"/>
    <n v="4"/>
  </r>
  <r>
    <n v="5"/>
    <s v="UE"/>
    <s v="Order"/>
    <n v="3"/>
    <x v="2"/>
    <x v="4"/>
    <n v="2"/>
    <n v="35.950000000000003"/>
    <d v="1899-12-30T03:40:00"/>
    <n v="3.6666666666666661"/>
    <n v="3.75"/>
    <x v="0"/>
    <s v="Portland"/>
    <n v="4"/>
  </r>
  <r>
    <n v="6"/>
    <s v="UE"/>
    <s v="Order"/>
    <n v="5"/>
    <x v="1"/>
    <x v="5"/>
    <n v="7"/>
    <n v="100.51"/>
    <d v="1899-12-30T07:10:00"/>
    <n v="7.1666666666666661"/>
    <n v="7.25"/>
    <x v="0"/>
    <s v="Portland"/>
    <n v="4"/>
  </r>
  <r>
    <n v="7"/>
    <s v="UE"/>
    <s v="Order"/>
    <n v="5"/>
    <x v="2"/>
    <x v="6"/>
    <n v="1"/>
    <n v="8.68"/>
    <d v="1899-12-30T02:21:00"/>
    <n v="2.35"/>
    <n v="2.25"/>
    <x v="0"/>
    <s v="Lewiston"/>
    <n v="3"/>
  </r>
  <r>
    <n v="8"/>
    <s v="UE"/>
    <s v="Order"/>
    <n v="6"/>
    <x v="3"/>
    <x v="7"/>
    <n v="2"/>
    <n v="24.85"/>
    <d v="1899-12-30T02:09:00"/>
    <n v="2.15"/>
    <n v="2.25"/>
    <x v="1"/>
    <s v="Portland"/>
    <n v="4"/>
  </r>
  <r>
    <n v="9"/>
    <s v="UE"/>
    <s v="Order"/>
    <n v="6"/>
    <x v="4"/>
    <x v="8"/>
    <n v="5"/>
    <n v="53.84"/>
    <d v="1899-12-30T04:58:00"/>
    <n v="4.9666666666666668"/>
    <n v="5"/>
    <x v="1"/>
    <s v="Portland"/>
    <n v="4"/>
  </r>
  <r>
    <n v="10"/>
    <s v="UE"/>
    <s v="Order"/>
    <n v="6"/>
    <x v="2"/>
    <x v="9"/>
    <n v="6"/>
    <n v="74.709999999999994"/>
    <d v="1899-12-30T05:24:00"/>
    <n v="5.4"/>
    <n v="5.5"/>
    <x v="0"/>
    <s v="Portland"/>
    <n v="4"/>
  </r>
  <r>
    <n v="11"/>
    <s v="UE"/>
    <s v="Order"/>
    <n v="7"/>
    <x v="2"/>
    <x v="10"/>
    <n v="8"/>
    <n v="174.88"/>
    <d v="1899-12-30T06:15:00"/>
    <n v="6.25"/>
    <n v="6.25"/>
    <x v="0"/>
    <s v="Brunswick/Bath/Freeport"/>
    <n v="2"/>
  </r>
  <r>
    <n v="12"/>
    <s v="DD"/>
    <s v="Order"/>
    <n v="8"/>
    <x v="1"/>
    <x v="11"/>
    <n v="10"/>
    <n v="89.93"/>
    <d v="1899-12-30T05:13:00"/>
    <n v="5.2166666666666668"/>
    <n v="5.25"/>
    <x v="0"/>
    <s v="Brunswick/Bath/Freeport"/>
    <n v="2"/>
  </r>
  <r>
    <n v="13"/>
    <s v="DD"/>
    <s v="Order"/>
    <n v="8"/>
    <x v="2"/>
    <x v="12"/>
    <n v="12"/>
    <n v="90.75"/>
    <d v="1899-12-30T04:36:00"/>
    <n v="4.5999999999999996"/>
    <n v="4.5"/>
    <x v="1"/>
    <s v="Brunswick/Bath/Freeport"/>
    <n v="2"/>
  </r>
  <r>
    <n v="14"/>
    <s v="DD"/>
    <s v="Order"/>
    <n v="9"/>
    <x v="1"/>
    <x v="13"/>
    <n v="8"/>
    <n v="55.9"/>
    <d v="1899-12-30T03:43:00"/>
    <n v="3.7166666666666668"/>
    <n v="3.75"/>
    <x v="0"/>
    <s v="Lewiston"/>
    <n v="3"/>
  </r>
  <r>
    <n v="15"/>
    <s v="DD"/>
    <s v="Order"/>
    <n v="10"/>
    <x v="3"/>
    <x v="14"/>
    <n v="4"/>
    <n v="37.5"/>
    <d v="1899-12-30T01:52:00"/>
    <n v="1.8666666666666667"/>
    <n v="1.75"/>
    <x v="0"/>
    <s v="Brunswick/Bath/Freeport"/>
    <n v="2"/>
  </r>
  <r>
    <n v="16"/>
    <s v="DD"/>
    <s v="Order"/>
    <n v="10"/>
    <x v="4"/>
    <x v="15"/>
    <n v="4"/>
    <n v="29.5"/>
    <d v="1899-12-30T01:30:00"/>
    <n v="1.5"/>
    <n v="1.5"/>
    <x v="0"/>
    <s v="Lewiston"/>
    <n v="3"/>
  </r>
  <r>
    <n v="17"/>
    <s v="UE"/>
    <s v="Order"/>
    <n v="10"/>
    <x v="0"/>
    <x v="16"/>
    <n v="7"/>
    <n v="142.68"/>
    <d v="1899-12-30T04:21:00"/>
    <n v="4.3499999999999996"/>
    <n v="4.25"/>
    <x v="0"/>
    <s v="Portland"/>
    <n v="4"/>
  </r>
  <r>
    <n v="18"/>
    <s v="DD"/>
    <s v="Order"/>
    <n v="10"/>
    <x v="1"/>
    <x v="17"/>
    <n v="1"/>
    <n v="8.75"/>
    <d v="1899-12-30T00:38:00"/>
    <n v="0.6333333333333333"/>
    <n v="0.75"/>
    <x v="0"/>
    <s v="Brunswick/Bath/Freeport"/>
    <n v="2"/>
  </r>
  <r>
    <n v="19"/>
    <s v="UE"/>
    <s v="Order"/>
    <n v="10"/>
    <x v="1"/>
    <x v="17"/>
    <n v="1"/>
    <n v="22.3"/>
    <d v="1899-12-30T00:29:00"/>
    <n v="0.48333333333333339"/>
    <n v="0.5"/>
    <x v="0"/>
    <s v="Brunswick/Bath/Freeport"/>
    <n v="2"/>
  </r>
  <r>
    <n v="20"/>
    <s v="DD"/>
    <s v="Order"/>
    <n v="11"/>
    <x v="4"/>
    <x v="18"/>
    <n v="3"/>
    <n v="30.52"/>
    <d v="1899-12-30T00:58:00"/>
    <n v="0.96666666666666679"/>
    <n v="1"/>
    <x v="0"/>
    <s v="Brunswick/Bath/Freeport"/>
    <n v="2"/>
  </r>
  <r>
    <n v="21"/>
    <s v="UE"/>
    <s v="Order"/>
    <n v="11"/>
    <x v="4"/>
    <x v="18"/>
    <n v="1"/>
    <n v="39.89"/>
    <d v="1899-12-30T01:17:00"/>
    <n v="1.2833333333333332"/>
    <n v="1.25"/>
    <x v="0"/>
    <s v="Brunswick/Bath/Freeport"/>
    <n v="2"/>
  </r>
  <r>
    <n v="22"/>
    <s v="DD"/>
    <s v="Order"/>
    <n v="11"/>
    <x v="5"/>
    <x v="19"/>
    <n v="3"/>
    <n v="24"/>
    <d v="1899-12-30T01:25:00"/>
    <n v="1.4166666666666667"/>
    <n v="1.5"/>
    <x v="0"/>
    <s v="Brunswick/Bath/Freeport"/>
    <n v="2"/>
  </r>
  <r>
    <n v="23"/>
    <s v="UE"/>
    <s v="Order"/>
    <n v="11"/>
    <x v="5"/>
    <x v="19"/>
    <n v="1"/>
    <n v="17.62"/>
    <d v="1899-12-30T00:58:00"/>
    <n v="0.96666666666666679"/>
    <n v="1"/>
    <x v="0"/>
    <s v="Brunswick/Bath/Freeport"/>
    <n v="2"/>
  </r>
  <r>
    <n v="24"/>
    <s v="DD"/>
    <s v="Order"/>
    <n v="11"/>
    <x v="0"/>
    <x v="20"/>
    <n v="4"/>
    <n v="20.25"/>
    <d v="1899-12-30T01:53:00"/>
    <n v="1.8833333333333333"/>
    <n v="2"/>
    <x v="0"/>
    <s v="Brunswick/Bath/Freeport"/>
    <n v="2"/>
  </r>
  <r>
    <n v="25"/>
    <s v="UE"/>
    <s v="Order"/>
    <n v="11"/>
    <x v="0"/>
    <x v="20"/>
    <n v="1"/>
    <n v="20.61"/>
    <d v="1899-12-30T00:31:00"/>
    <n v="0.51666666666666672"/>
    <n v="0.5"/>
    <x v="0"/>
    <s v="Brunswick/Bath/Freeport"/>
    <n v="2"/>
  </r>
  <r>
    <n v="26"/>
    <s v="DD"/>
    <s v="Order"/>
    <n v="12"/>
    <x v="3"/>
    <x v="21"/>
    <n v="5"/>
    <n v="61.5"/>
    <d v="1899-12-30T01:59:00"/>
    <n v="1.9833333333333334"/>
    <n v="2"/>
    <x v="0"/>
    <s v="Brunswick/Bath/Freeport"/>
    <n v="2"/>
  </r>
  <r>
    <n v="27"/>
    <s v="UE"/>
    <s v="Order"/>
    <n v="12"/>
    <x v="3"/>
    <x v="21"/>
    <n v="1"/>
    <n v="20.5"/>
    <d v="1899-12-30T00:52:00"/>
    <n v="0.8666666666666667"/>
    <n v="0.75"/>
    <x v="0"/>
    <s v="Brunswick/Bath/Freeport"/>
    <n v="2"/>
  </r>
  <r>
    <n v="28"/>
    <s v="DD"/>
    <s v="Order"/>
    <n v="12"/>
    <x v="5"/>
    <x v="22"/>
    <n v="5"/>
    <n v="43.620000000000005"/>
    <d v="1899-12-30T01:51:00"/>
    <n v="1.85"/>
    <n v="1.75"/>
    <x v="0"/>
    <s v="Brunswick/Bath/Freeport"/>
    <n v="2"/>
  </r>
  <r>
    <n v="29"/>
    <s v="UE"/>
    <s v="Order"/>
    <n v="12"/>
    <x v="5"/>
    <x v="22"/>
    <n v="2"/>
    <n v="40.17"/>
    <d v="1899-12-30T01:28:00"/>
    <n v="1.4666666666666668"/>
    <n v="1.5"/>
    <x v="0"/>
    <s v="Brunswick/Bath/Freeport"/>
    <n v="2"/>
  </r>
  <r>
    <n v="30"/>
    <s v="UE"/>
    <s v="Order"/>
    <n v="12"/>
    <x v="0"/>
    <x v="23"/>
    <n v="6"/>
    <n v="122.86"/>
    <d v="1899-12-30T03:36:00"/>
    <n v="3.5999999999999996"/>
    <n v="3.5"/>
    <x v="0"/>
    <s v="Portland"/>
    <n v="4"/>
  </r>
  <r>
    <n v="31"/>
    <s v="UE"/>
    <s v="Order"/>
    <n v="13"/>
    <x v="3"/>
    <x v="24"/>
    <n v="2"/>
    <n v="35.35"/>
    <d v="1899-12-30T00:50:00"/>
    <n v="0.83333333333333337"/>
    <n v="0.75"/>
    <x v="0"/>
    <s v="Brunswick/Bath/Freeport"/>
    <n v="2"/>
  </r>
  <r>
    <n v="32"/>
    <s v="DD"/>
    <s v="Order"/>
    <n v="13"/>
    <x v="3"/>
    <x v="24"/>
    <n v="3"/>
    <n v="32.5"/>
    <d v="1899-12-30T01:29:00"/>
    <n v="1.4833333333333334"/>
    <n v="1.5"/>
    <x v="0"/>
    <s v="Brunswick/Bath/Freeport"/>
    <n v="2"/>
  </r>
  <r>
    <n v="33"/>
    <s v="UE"/>
    <s v="Order"/>
    <n v="13"/>
    <x v="5"/>
    <x v="25"/>
    <n v="2"/>
    <n v="50.59"/>
    <d v="1899-12-30T01:39:00"/>
    <n v="1.65"/>
    <n v="1.75"/>
    <x v="0"/>
    <s v="Brunswick/Bath/Freeport"/>
    <n v="2"/>
  </r>
  <r>
    <n v="34"/>
    <s v="DD"/>
    <s v="Order"/>
    <n v="13"/>
    <x v="5"/>
    <x v="25"/>
    <n v="4"/>
    <n v="40"/>
    <d v="1899-12-30T01:37:00"/>
    <n v="1.6166666666666667"/>
    <n v="1.5"/>
    <x v="0"/>
    <s v="Brunswick/Bath/Freeport"/>
    <n v="2"/>
  </r>
  <r>
    <n v="35"/>
    <s v="UE"/>
    <s v="Order"/>
    <n v="13"/>
    <x v="1"/>
    <x v="26"/>
    <n v="8"/>
    <n v="157.85"/>
    <d v="1899-12-30T06:00:00"/>
    <n v="6"/>
    <n v="6"/>
    <x v="0"/>
    <s v="Brunswick/Bath/Freeport"/>
    <n v="2"/>
  </r>
  <r>
    <n v="36"/>
    <s v="DD"/>
    <s v="Order"/>
    <n v="13"/>
    <x v="1"/>
    <x v="26"/>
    <n v="9"/>
    <n v="99.2"/>
    <d v="1899-12-30T04:19:00"/>
    <n v="4.3166666666666664"/>
    <n v="4.25"/>
    <x v="0"/>
    <s v="Brunswick/Bath/Freeport"/>
    <n v="2"/>
  </r>
  <r>
    <n v="37"/>
    <s v="UE"/>
    <s v="Order"/>
    <n v="14"/>
    <x v="1"/>
    <x v="27"/>
    <n v="1"/>
    <n v="17.739999999999998"/>
    <d v="1899-12-30T00:51:00"/>
    <n v="0.85"/>
    <n v="0.75"/>
    <x v="1"/>
    <s v="Brunswick/Bath/Freeport"/>
    <n v="2"/>
  </r>
  <r>
    <n v="38"/>
    <s v="DD"/>
    <s v="Order"/>
    <n v="14"/>
    <x v="1"/>
    <x v="27"/>
    <n v="2"/>
    <n v="18"/>
    <d v="1899-12-30T00:45:00"/>
    <n v="0.75"/>
    <n v="0.75"/>
    <x v="1"/>
    <s v="Brunswick/Bath/Freeport"/>
    <n v="2"/>
  </r>
  <r>
    <n v="39"/>
    <s v="DD"/>
    <s v="Order"/>
    <n v="16"/>
    <x v="0"/>
    <x v="28"/>
    <n v="8"/>
    <n v="81"/>
    <d v="1899-12-30T05:32:00"/>
    <n v="5.5333333333333332"/>
    <n v="5.5"/>
    <x v="0"/>
    <s v="Portland"/>
    <n v="4"/>
  </r>
  <r>
    <n v="40"/>
    <s v="UE"/>
    <s v="Order"/>
    <n v="16"/>
    <x v="0"/>
    <x v="28"/>
    <n v="4"/>
    <n v="58.62"/>
    <d v="1899-12-30T04:19:00"/>
    <n v="4.3166666666666664"/>
    <n v="4.25"/>
    <x v="0"/>
    <s v="Portland"/>
    <n v="4"/>
  </r>
  <r>
    <n v="41"/>
    <s v="DD"/>
    <s v="Order"/>
    <n v="16"/>
    <x v="1"/>
    <x v="29"/>
    <n v="3"/>
    <n v="24"/>
    <d v="1899-12-30T02:00:00"/>
    <n v="2"/>
    <n v="2"/>
    <x v="0"/>
    <s v="Brunswick/Bath/Freeport"/>
    <n v="2"/>
  </r>
  <r>
    <n v="42"/>
    <s v="UE"/>
    <s v="Order"/>
    <n v="16"/>
    <x v="1"/>
    <x v="29"/>
    <n v="3"/>
    <n v="59.04"/>
    <d v="1899-12-30T01:46:00"/>
    <n v="1.7666666666666666"/>
    <n v="1.75"/>
    <x v="0"/>
    <s v="Brunswick/Bath/Freeport"/>
    <n v="2"/>
  </r>
  <r>
    <n v="43"/>
    <s v="DD"/>
    <s v="Order"/>
    <n v="16"/>
    <x v="2"/>
    <x v="30"/>
    <n v="4"/>
    <n v="30.67"/>
    <d v="1899-12-30T01:34:00"/>
    <n v="1.5666666666666669"/>
    <n v="1.5"/>
    <x v="1"/>
    <s v="Portland"/>
    <n v="4"/>
  </r>
  <r>
    <n v="44"/>
    <s v="DD"/>
    <s v="Order"/>
    <n v="17"/>
    <x v="2"/>
    <x v="31"/>
    <n v="5"/>
    <n v="41"/>
    <d v="1899-12-30T01:41:00"/>
    <n v="1.6833333333333333"/>
    <n v="1.75"/>
    <x v="1"/>
    <s v="Brunswick/Bath/Freeport"/>
    <n v="2"/>
  </r>
  <r>
    <n v="45"/>
    <s v="UE"/>
    <s v="Order"/>
    <n v="17"/>
    <x v="2"/>
    <x v="31"/>
    <n v="0"/>
    <n v="0"/>
    <d v="1899-12-30T00:47:00"/>
    <n v="0.78333333333333344"/>
    <n v="0.75"/>
    <x v="1"/>
    <s v="Brunswick/Bath/Freeport"/>
    <n v="2"/>
  </r>
  <r>
    <n v="46"/>
    <s v="DD"/>
    <s v="Order"/>
    <n v="18"/>
    <x v="2"/>
    <x v="32"/>
    <n v="6"/>
    <n v="41"/>
    <d v="1899-12-30T02:46:00"/>
    <n v="2.7666666666666666"/>
    <n v="2.75"/>
    <x v="0"/>
    <s v="Brunswick/Bath/Freeport"/>
    <n v="2"/>
  </r>
  <r>
    <n v="47"/>
    <s v="UE"/>
    <s v="Order"/>
    <n v="18"/>
    <x v="2"/>
    <x v="32"/>
    <n v="0"/>
    <n v="0"/>
    <d v="1899-12-30T01:08:00"/>
    <n v="1.1333333333333333"/>
    <n v="1.25"/>
    <x v="0"/>
    <s v="Brunswick/Bath/Freeport"/>
    <n v="2"/>
  </r>
  <r>
    <n v="48"/>
    <s v="UE"/>
    <s v="Order"/>
    <n v="19"/>
    <x v="3"/>
    <x v="33"/>
    <n v="2"/>
    <n v="36.549999999999997"/>
    <d v="1899-12-30T01:35:00"/>
    <n v="1.5833333333333335"/>
    <n v="1.5"/>
    <x v="0"/>
    <s v="Brunswick/Bath/Freeport"/>
    <n v="2"/>
  </r>
  <r>
    <n v="49"/>
    <s v="DD"/>
    <s v="Order"/>
    <n v="19"/>
    <x v="3"/>
    <x v="33"/>
    <n v="5"/>
    <n v="37.58"/>
    <d v="1899-12-30T02:52:00"/>
    <n v="2.8666666666666667"/>
    <n v="2.75"/>
    <x v="0"/>
    <s v="Brunswick/Bath/Freeport"/>
    <n v="2"/>
  </r>
  <r>
    <n v="50"/>
    <s v="DD"/>
    <s v="Order"/>
    <n v="19"/>
    <x v="4"/>
    <x v="34"/>
    <n v="3"/>
    <n v="26"/>
    <d v="1899-12-30T01:23:00"/>
    <n v="1.3833333333333333"/>
    <n v="1.5"/>
    <x v="0"/>
    <s v="Brunswick/Bath/Freeport"/>
    <n v="2"/>
  </r>
  <r>
    <n v="51"/>
    <s v="UE"/>
    <s v="Order"/>
    <n v="19"/>
    <x v="4"/>
    <x v="34"/>
    <n v="0"/>
    <n v="0"/>
    <d v="1899-12-30T01:37:00"/>
    <n v="1.6166666666666667"/>
    <n v="1.5"/>
    <x v="0"/>
    <s v="Brunswick/Bath/Freeport"/>
    <n v="2"/>
  </r>
  <r>
    <n v="52"/>
    <s v="UE"/>
    <s v="Order"/>
    <n v="19"/>
    <x v="5"/>
    <x v="35"/>
    <n v="7"/>
    <n v="104.94"/>
    <d v="1899-12-30T04:05:00"/>
    <n v="4.083333333333333"/>
    <n v="4"/>
    <x v="0"/>
    <s v="Brunswick/Bath/Freeport"/>
    <n v="2"/>
  </r>
  <r>
    <n v="53"/>
    <s v="UE"/>
    <s v="Order"/>
    <n v="19"/>
    <x v="6"/>
    <x v="36"/>
    <n v="3"/>
    <n v="30.47"/>
    <d v="1899-12-30T02:48:00"/>
    <n v="2.8"/>
    <n v="2.75"/>
    <x v="0"/>
    <s v="Portland"/>
    <n v="4"/>
  </r>
  <r>
    <n v="54"/>
    <s v="DD"/>
    <s v="Order"/>
    <n v="19"/>
    <x v="6"/>
    <x v="36"/>
    <n v="3"/>
    <n v="36.5"/>
    <d v="1899-12-30T02:36:00"/>
    <n v="2.6"/>
    <n v="2.5"/>
    <x v="0"/>
    <s v="Portland"/>
    <n v="4"/>
  </r>
  <r>
    <n v="55"/>
    <s v="UE"/>
    <s v="Order"/>
    <n v="19"/>
    <x v="0"/>
    <x v="37"/>
    <n v="2"/>
    <n v="31.57"/>
    <d v="1899-12-30T02:16:00"/>
    <n v="2.2666666666666666"/>
    <n v="2.25"/>
    <x v="0"/>
    <s v="Portland"/>
    <n v="4"/>
  </r>
  <r>
    <n v="56"/>
    <s v="DD"/>
    <s v="Order"/>
    <n v="19"/>
    <x v="0"/>
    <x v="37"/>
    <n v="9"/>
    <n v="55"/>
    <d v="1899-12-30T05:16:00"/>
    <n v="5.2666666666666666"/>
    <n v="5.25"/>
    <x v="0"/>
    <s v="Portland"/>
    <n v="4"/>
  </r>
  <r>
    <n v="57"/>
    <s v="UE"/>
    <s v="Order"/>
    <n v="20"/>
    <x v="5"/>
    <x v="38"/>
    <n v="7"/>
    <n v="115.58"/>
    <d v="1899-12-30T03:57:00"/>
    <n v="3.95"/>
    <n v="4"/>
    <x v="0"/>
    <s v="Brunswick/Bath/Freeport"/>
    <n v="2"/>
  </r>
  <r>
    <n v="58"/>
    <s v="DD"/>
    <s v="Order"/>
    <n v="20"/>
    <x v="5"/>
    <x v="38"/>
    <n v="4"/>
    <n v="30.5"/>
    <d v="1899-12-30T02:11:00"/>
    <n v="2.1833333333333331"/>
    <n v="2.25"/>
    <x v="0"/>
    <s v="Brunswick/Bath/Freeport"/>
    <n v="2"/>
  </r>
  <r>
    <n v="59"/>
    <s v="UE"/>
    <s v="Order"/>
    <n v="20"/>
    <x v="0"/>
    <x v="39"/>
    <n v="4"/>
    <n v="86.24"/>
    <d v="1899-12-30T01:41:00"/>
    <n v="1.6833333333333333"/>
    <n v="1.75"/>
    <x v="0"/>
    <s v="Portland"/>
    <n v="4"/>
  </r>
  <r>
    <n v="60"/>
    <s v="DD"/>
    <s v="Order"/>
    <n v="21"/>
    <x v="3"/>
    <x v="40"/>
    <n v="6"/>
    <n v="42"/>
    <d v="1899-12-30T03:14:00"/>
    <n v="3.2333333333333334"/>
    <n v="3.25"/>
    <x v="0"/>
    <s v="Brunswick/Bath/Freeport"/>
    <n v="2"/>
  </r>
  <r>
    <n v="61"/>
    <s v="UE"/>
    <s v="Order"/>
    <n v="21"/>
    <x v="3"/>
    <x v="40"/>
    <n v="3"/>
    <n v="37.729999999999997"/>
    <d v="1899-12-30T01:58:00"/>
    <n v="1.9666666666666668"/>
    <n v="2"/>
    <x v="0"/>
    <s v="Brunswick/Bath/Freeport"/>
    <n v="2"/>
  </r>
  <r>
    <n v="62"/>
    <s v="UE"/>
    <s v="Order"/>
    <n v="21"/>
    <x v="6"/>
    <x v="41"/>
    <n v="2"/>
    <n v="19.61"/>
    <d v="1899-12-30T00:58:00"/>
    <n v="0.96666666666666679"/>
    <n v="1"/>
    <x v="0"/>
    <s v="Brunswick/Bath/Freeport"/>
    <n v="2"/>
  </r>
  <r>
    <n v="63"/>
    <s v="UE"/>
    <s v="Order"/>
    <n v="21"/>
    <x v="0"/>
    <x v="42"/>
    <n v="3"/>
    <n v="43.87"/>
    <d v="1899-12-30T01:36:00"/>
    <n v="1.6"/>
    <n v="1.5"/>
    <x v="0"/>
    <s v="Portland"/>
    <n v="4"/>
  </r>
  <r>
    <n v="64"/>
    <s v="DD"/>
    <s v="Order"/>
    <n v="21"/>
    <x v="2"/>
    <x v="43"/>
    <n v="9"/>
    <n v="97.75"/>
    <d v="1899-12-30T05:39:00"/>
    <n v="5.65"/>
    <n v="5.75"/>
    <x v="0"/>
    <s v="Portland"/>
    <n v="4"/>
  </r>
  <r>
    <n v="65"/>
    <s v="UE"/>
    <s v="Order"/>
    <n v="21"/>
    <x v="2"/>
    <x v="43"/>
    <n v="5"/>
    <n v="92.05"/>
    <d v="1899-12-30T03:45:00"/>
    <n v="3.75"/>
    <n v="3.75"/>
    <x v="1"/>
    <s v="Portland"/>
    <n v="4"/>
  </r>
  <r>
    <n v="66"/>
    <s v="UE"/>
    <s v="Order"/>
    <n v="22"/>
    <x v="5"/>
    <x v="44"/>
    <n v="3"/>
    <n v="23.91"/>
    <d v="1899-12-30T01:19:00"/>
    <n v="1.3166666666666667"/>
    <n v="1.25"/>
    <x v="0"/>
    <s v="Lewiston"/>
    <n v="3"/>
  </r>
  <r>
    <n v="67"/>
    <s v="DD"/>
    <s v="Order"/>
    <n v="22"/>
    <x v="5"/>
    <x v="44"/>
    <n v="10"/>
    <n v="78.94"/>
    <d v="1899-12-30T03:57:00"/>
    <n v="3.95"/>
    <n v="4"/>
    <x v="0"/>
    <s v="Lewiston"/>
    <n v="3"/>
  </r>
  <r>
    <n v="68"/>
    <s v="UE"/>
    <s v="Order"/>
    <n v="22"/>
    <x v="1"/>
    <x v="45"/>
    <n v="1"/>
    <n v="12.75"/>
    <d v="1899-12-30T01:41:00"/>
    <n v="1.6833333333333333"/>
    <n v="1.75"/>
    <x v="0"/>
    <s v="Brunswick/Bath/Freeport"/>
    <n v="2"/>
  </r>
  <r>
    <n v="69"/>
    <s v="DD"/>
    <s v="Order"/>
    <n v="22"/>
    <x v="1"/>
    <x v="45"/>
    <n v="6"/>
    <n v="53.75"/>
    <d v="1899-12-30T04:57:00"/>
    <n v="4.9499999999999993"/>
    <n v="5"/>
    <x v="0"/>
    <s v="Brunswick/Bath/Freeport"/>
    <n v="2"/>
  </r>
  <r>
    <n v="70"/>
    <s v="UE"/>
    <s v="Order"/>
    <n v="23"/>
    <x v="3"/>
    <x v="46"/>
    <n v="1"/>
    <n v="24.82"/>
    <d v="1899-12-30T01:37:00"/>
    <n v="1.6166666666666667"/>
    <n v="1.5"/>
    <x v="0"/>
    <s v="Brunswick/Bath/Freeport"/>
    <n v="2"/>
  </r>
  <r>
    <n v="71"/>
    <s v="DD"/>
    <s v="Order"/>
    <n v="23"/>
    <x v="3"/>
    <x v="46"/>
    <n v="10"/>
    <n v="73.540000000000006"/>
    <d v="1899-12-30T03:47:00"/>
    <n v="3.7833333333333332"/>
    <n v="3.75"/>
    <x v="0"/>
    <s v="Brunswick/Bath/Freeport"/>
    <n v="2"/>
  </r>
  <r>
    <n v="72"/>
    <s v="UE"/>
    <s v="Order"/>
    <n v="23"/>
    <x v="6"/>
    <x v="47"/>
    <n v="0"/>
    <n v="0"/>
    <d v="1899-12-30T01:04:00"/>
    <n v="1.0666666666666667"/>
    <n v="1"/>
    <x v="0"/>
    <s v="Lewiston"/>
    <n v="3"/>
  </r>
  <r>
    <n v="73"/>
    <s v="DD"/>
    <s v="Order"/>
    <n v="23"/>
    <x v="6"/>
    <x v="47"/>
    <n v="6"/>
    <n v="56"/>
    <d v="1899-12-30T02:45:00"/>
    <n v="2.75"/>
    <n v="2.75"/>
    <x v="0"/>
    <s v="Lewiston"/>
    <n v="3"/>
  </r>
  <r>
    <n v="74"/>
    <s v="UE"/>
    <s v="Order"/>
    <n v="23"/>
    <x v="0"/>
    <x v="48"/>
    <n v="4"/>
    <n v="47.64"/>
    <d v="1899-12-30T02:10:00"/>
    <n v="2.1666666666666665"/>
    <n v="2.25"/>
    <x v="0"/>
    <s v="Lewiston"/>
    <n v="3"/>
  </r>
  <r>
    <n v="75"/>
    <s v="DD"/>
    <s v="Order"/>
    <n v="23"/>
    <x v="0"/>
    <x v="48"/>
    <n v="4"/>
    <n v="29.75"/>
    <d v="1899-12-30T03:48:00"/>
    <n v="3.8"/>
    <n v="3.75"/>
    <x v="0"/>
    <s v="Lewiston"/>
    <n v="3"/>
  </r>
  <r>
    <n v="76"/>
    <s v="UE"/>
    <s v="Order"/>
    <n v="24"/>
    <x v="3"/>
    <x v="49"/>
    <n v="0"/>
    <n v="0"/>
    <d v="1899-12-30T01:07:00"/>
    <n v="1.1166666666666667"/>
    <n v="1"/>
    <x v="0"/>
    <s v="Lewiston"/>
    <n v="3"/>
  </r>
  <r>
    <n v="77"/>
    <s v="DD"/>
    <s v="Order"/>
    <n v="24"/>
    <x v="3"/>
    <x v="49"/>
    <n v="5"/>
    <n v="24.75"/>
    <d v="1899-12-30T01:53:00"/>
    <n v="1.8833333333333333"/>
    <n v="2"/>
    <x v="0"/>
    <s v="Lewiston"/>
    <n v="3"/>
  </r>
  <r>
    <n v="78"/>
    <s v="UE"/>
    <s v="Order"/>
    <n v="24"/>
    <x v="1"/>
    <x v="50"/>
    <n v="2"/>
    <n v="26.34"/>
    <d v="1899-12-30T01:28:00"/>
    <n v="1.4666666666666668"/>
    <n v="1.5"/>
    <x v="1"/>
    <s v="Portland"/>
    <n v="4"/>
  </r>
  <r>
    <n v="79"/>
    <s v="UE"/>
    <s v="Order"/>
    <n v="25"/>
    <x v="3"/>
    <x v="51"/>
    <n v="0"/>
    <n v="0"/>
    <d v="1899-12-30T01:09:00"/>
    <n v="1.1499999999999999"/>
    <n v="1.25"/>
    <x v="0"/>
    <s v="Brunswick/Bath/Freeport"/>
    <n v="2"/>
  </r>
  <r>
    <n v="80"/>
    <s v="DD"/>
    <s v="Order"/>
    <n v="25"/>
    <x v="3"/>
    <x v="51"/>
    <n v="4"/>
    <n v="35.75"/>
    <d v="1899-12-30T02:33:00"/>
    <n v="2.5499999999999998"/>
    <n v="2.5"/>
    <x v="0"/>
    <s v="Brunswick/Bath/Freeport"/>
    <n v="2"/>
  </r>
  <r>
    <n v="81"/>
    <s v="UE"/>
    <s v="Order"/>
    <n v="25"/>
    <x v="1"/>
    <x v="52"/>
    <n v="7"/>
    <n v="87.73"/>
    <d v="1899-12-30T04:21:00"/>
    <n v="4.3499999999999996"/>
    <n v="4.25"/>
    <x v="0"/>
    <s v="Portland"/>
    <n v="4"/>
  </r>
  <r>
    <n v="82"/>
    <s v="DD"/>
    <s v="Order"/>
    <n v="25"/>
    <x v="1"/>
    <x v="52"/>
    <n v="8"/>
    <n v="55.25"/>
    <d v="1899-12-30T04:20:00"/>
    <n v="4.333333333333333"/>
    <n v="4.25"/>
    <x v="0"/>
    <s v="Portland"/>
    <n v="4"/>
  </r>
  <r>
    <n v="83"/>
    <s v="UE"/>
    <s v="Order"/>
    <n v="25"/>
    <x v="2"/>
    <x v="53"/>
    <n v="4"/>
    <n v="102.39"/>
    <d v="1899-12-30T04:00:00"/>
    <n v="4"/>
    <n v="4"/>
    <x v="0"/>
    <s v="Portland"/>
    <n v="4"/>
  </r>
  <r>
    <n v="84"/>
    <s v="DD"/>
    <s v="Order"/>
    <n v="25"/>
    <x v="2"/>
    <x v="53"/>
    <n v="1"/>
    <n v="8.5"/>
    <d v="1899-12-30T01:29:00"/>
    <n v="1.4833333333333334"/>
    <n v="1.5"/>
    <x v="0"/>
    <s v="Portland"/>
    <n v="4"/>
  </r>
  <r>
    <n v="85"/>
    <s v="UE"/>
    <s v="Order"/>
    <n v="26"/>
    <x v="4"/>
    <x v="54"/>
    <n v="1"/>
    <n v="30.28"/>
    <d v="1899-12-30T01:31:00"/>
    <n v="1.5166666666666666"/>
    <n v="1.5"/>
    <x v="0"/>
    <s v="Brunswick/Bath/Freeport"/>
    <n v="2"/>
  </r>
  <r>
    <n v="86"/>
    <s v="DD"/>
    <s v="Order"/>
    <n v="26"/>
    <x v="4"/>
    <x v="54"/>
    <n v="1"/>
    <n v="2.63"/>
    <d v="1899-12-30T01:43:00"/>
    <n v="1.7166666666666668"/>
    <n v="1.75"/>
    <x v="0"/>
    <s v="Brunswick/Bath/Freeport"/>
    <n v="2"/>
  </r>
  <r>
    <n v="87"/>
    <s v="UE"/>
    <s v="Order"/>
    <n v="26"/>
    <x v="6"/>
    <x v="55"/>
    <n v="1"/>
    <n v="15.25"/>
    <d v="1899-12-30T01:05:00"/>
    <n v="1.0833333333333333"/>
    <n v="1"/>
    <x v="0"/>
    <s v="Brunswick/Bath/Freeport"/>
    <n v="2"/>
  </r>
  <r>
    <n v="88"/>
    <s v="DD"/>
    <s v="Order"/>
    <n v="26"/>
    <x v="6"/>
    <x v="55"/>
    <n v="7"/>
    <n v="53.56"/>
    <d v="1899-12-30T02:59:00"/>
    <n v="2.9833333333333334"/>
    <n v="3"/>
    <x v="0"/>
    <s v="Brunswick/Bath/Freeport"/>
    <n v="2"/>
  </r>
  <r>
    <n v="89"/>
    <s v="UE"/>
    <s v="Order"/>
    <n v="26"/>
    <x v="1"/>
    <x v="56"/>
    <n v="5"/>
    <n v="51.54"/>
    <d v="1899-12-30T03:32:00"/>
    <n v="3.5333333333333332"/>
    <n v="3.5"/>
    <x v="0"/>
    <s v="Portland"/>
    <n v="4"/>
  </r>
  <r>
    <n v="90"/>
    <s v="DD"/>
    <s v="Order"/>
    <n v="26"/>
    <x v="1"/>
    <x v="56"/>
    <n v="13"/>
    <n v="82.82"/>
    <d v="1899-12-30T05:43:00"/>
    <n v="5.7166666666666668"/>
    <n v="5.75"/>
    <x v="0"/>
    <s v="Portland"/>
    <n v="4"/>
  </r>
  <r>
    <n v="91"/>
    <s v="UE"/>
    <s v="Order"/>
    <n v="27"/>
    <x v="4"/>
    <x v="57"/>
    <n v="2"/>
    <n v="37.43"/>
    <d v="1899-12-30T01:19:00"/>
    <n v="1.3166666666666667"/>
    <n v="1.25"/>
    <x v="0"/>
    <s v="Brunswick/Bath/Freeport"/>
    <n v="2"/>
  </r>
  <r>
    <n v="92"/>
    <s v="DD"/>
    <s v="Order"/>
    <n v="27"/>
    <x v="4"/>
    <x v="57"/>
    <n v="7"/>
    <n v="60.75"/>
    <d v="1899-12-30T03:34:00"/>
    <n v="3.5666666666666664"/>
    <n v="3.5"/>
    <x v="0"/>
    <s v="Brunswick/Bath/Freeport"/>
    <n v="2"/>
  </r>
  <r>
    <n v="93"/>
    <s v="UE"/>
    <s v="Order"/>
    <n v="27"/>
    <x v="0"/>
    <x v="58"/>
    <n v="0"/>
    <n v="0"/>
    <d v="1899-12-30T01:27:00"/>
    <n v="1.45"/>
    <n v="1.5"/>
    <x v="0"/>
    <s v="Portland"/>
    <n v="4"/>
  </r>
  <r>
    <n v="94"/>
    <s v="DD"/>
    <s v="Order"/>
    <n v="27"/>
    <x v="0"/>
    <x v="58"/>
    <n v="7"/>
    <n v="50.5"/>
    <d v="1899-12-30T03:14:00"/>
    <n v="3.2333333333333334"/>
    <n v="3.25"/>
    <x v="0"/>
    <s v="Portland"/>
    <n v="4"/>
  </r>
  <r>
    <n v="95"/>
    <s v="UE"/>
    <s v="Order"/>
    <n v="27"/>
    <x v="1"/>
    <x v="59"/>
    <n v="0"/>
    <n v="0"/>
    <d v="1899-12-30T02:10:00"/>
    <n v="2.1666666666666665"/>
    <n v="2.25"/>
    <x v="1"/>
    <s v="Brunswick/Bath/Freeport"/>
    <n v="2"/>
  </r>
  <r>
    <n v="96"/>
    <s v="DD"/>
    <s v="Order"/>
    <n v="27"/>
    <x v="1"/>
    <x v="59"/>
    <n v="7"/>
    <n v="52"/>
    <d v="1899-12-30T04:20:00"/>
    <n v="4.3333333333333339"/>
    <n v="4.25"/>
    <x v="1"/>
    <s v="Brunswick/Bath/Freeport"/>
    <n v="2"/>
  </r>
  <r>
    <n v="97"/>
    <s v="UE"/>
    <s v="Order"/>
    <n v="30"/>
    <x v="1"/>
    <x v="60"/>
    <n v="0"/>
    <n v="0"/>
    <d v="1899-12-30T00:38:00"/>
    <n v="0.6333333333333333"/>
    <n v="0.75"/>
    <x v="0"/>
    <s v="Brunswick/Bath/Freeport"/>
    <n v="2"/>
  </r>
  <r>
    <n v="98"/>
    <s v="DD"/>
    <s v="Order"/>
    <n v="30"/>
    <x v="1"/>
    <x v="60"/>
    <n v="3"/>
    <n v="24"/>
    <d v="1899-12-30T01:34:00"/>
    <n v="1.5666666666666669"/>
    <n v="1.5"/>
    <x v="0"/>
    <s v="Brunswick/Bath/Freeport"/>
    <n v="2"/>
  </r>
  <r>
    <n v="99"/>
    <s v="UE"/>
    <s v="Order"/>
    <n v="31"/>
    <x v="1"/>
    <x v="61"/>
    <n v="1"/>
    <n v="14.2"/>
    <d v="1899-12-30T00:40:00"/>
    <n v="0.66666666666666663"/>
    <n v="0.75"/>
    <x v="1"/>
    <s v="Brunswick/Bath/Freeport"/>
    <n v="2"/>
  </r>
  <r>
    <n v="100"/>
    <s v="DD"/>
    <s v="Order"/>
    <n v="31"/>
    <x v="1"/>
    <x v="61"/>
    <n v="2"/>
    <n v="14"/>
    <d v="1899-12-30T00:48:00"/>
    <n v="0.8"/>
    <n v="0.75"/>
    <x v="1"/>
    <s v="Brunswick/Bath/Freeport"/>
    <n v="2"/>
  </r>
  <r>
    <n v="101"/>
    <s v="UE"/>
    <s v="Order"/>
    <n v="31"/>
    <x v="2"/>
    <x v="62"/>
    <n v="2"/>
    <n v="27.8"/>
    <d v="1899-12-30T00:50:00"/>
    <n v="0.83333333333333337"/>
    <n v="0.75"/>
    <x v="0"/>
    <s v="Brunswick/Bath/Freeport"/>
    <n v="2"/>
  </r>
  <r>
    <n v="102"/>
    <s v="DD"/>
    <s v="Order"/>
    <n v="36"/>
    <x v="3"/>
    <x v="63"/>
    <n v="2"/>
    <n v="16"/>
    <d v="1899-12-30T00:54:00"/>
    <n v="0.89999999999999991"/>
    <n v="1"/>
    <x v="0"/>
    <s v="Brunswick/Bath/Freeport"/>
    <n v="2"/>
  </r>
  <r>
    <n v="103"/>
    <s v="DD"/>
    <s v="Order"/>
    <n v="36"/>
    <x v="4"/>
    <x v="64"/>
    <n v="4"/>
    <n v="23.25"/>
    <d v="1899-12-30T01:27:00"/>
    <n v="1.45"/>
    <n v="1.5"/>
    <x v="0"/>
    <s v="Brunswick/Bath/Freeport"/>
    <n v="2"/>
  </r>
  <r>
    <n v="104"/>
    <s v="UE"/>
    <s v="Order"/>
    <n v="36"/>
    <x v="4"/>
    <x v="64"/>
    <n v="2"/>
    <n v="30.41"/>
    <d v="1899-12-30T01:13:00"/>
    <n v="1.2166666666666668"/>
    <n v="1.25"/>
    <x v="0"/>
    <s v="Brunswick/Bath/Freeport"/>
    <n v="2"/>
  </r>
  <r>
    <n v="105"/>
    <s v="DD"/>
    <s v="Order"/>
    <n v="37"/>
    <x v="0"/>
    <x v="65"/>
    <n v="10"/>
    <n v="83.36"/>
    <d v="1899-12-30T03:43:00"/>
    <n v="3.7166666666666668"/>
    <n v="3.75"/>
    <x v="0"/>
    <s v="Brunswick/Bath/Freeport"/>
    <n v="2"/>
  </r>
  <r>
    <n v="106"/>
    <s v="DD"/>
    <s v="Order"/>
    <n v="37"/>
    <x v="2"/>
    <x v="66"/>
    <n v="2"/>
    <n v="20.149999999999999"/>
    <d v="1899-12-30T00:43:00"/>
    <n v="0.71666666666666667"/>
    <n v="0.75"/>
    <x v="0"/>
    <s v="Brunswick/Bath/Freeport"/>
    <n v="2"/>
  </r>
  <r>
    <n v="107"/>
    <s v="DD"/>
    <s v="Order"/>
    <n v="38"/>
    <x v="6"/>
    <x v="67"/>
    <n v="4"/>
    <n v="39.5"/>
    <d v="1899-12-30T02:15:00"/>
    <n v="2.25"/>
    <n v="2.25"/>
    <x v="0"/>
    <s v="Brunswick/Bath/Freeport"/>
    <n v="2"/>
  </r>
  <r>
    <n v="108"/>
    <s v="DD"/>
    <s v="Order"/>
    <n v="39"/>
    <x v="1"/>
    <x v="68"/>
    <n v="14"/>
    <n v="142.32"/>
    <d v="1899-12-30T08:50:00"/>
    <n v="8.8333333333333339"/>
    <n v="8.75"/>
    <x v="0"/>
    <s v="Brunswick/Bath/Freeport"/>
    <n v="2"/>
  </r>
  <r>
    <n v="109"/>
    <s v="UE"/>
    <s v="Order"/>
    <n v="39"/>
    <x v="1"/>
    <x v="68"/>
    <n v="2"/>
    <n v="37.08"/>
    <d v="1899-12-30T01:34:00"/>
    <n v="1.5666666666666669"/>
    <n v="1.5"/>
    <x v="0"/>
    <s v="Brunswick/Bath/Freeport"/>
    <n v="2"/>
  </r>
  <r>
    <n v="110"/>
    <s v="DD"/>
    <s v="Order"/>
    <n v="40"/>
    <x v="1"/>
    <x v="69"/>
    <n v="5"/>
    <n v="35.75"/>
    <d v="1899-12-30T02:24:00"/>
    <n v="2.4"/>
    <n v="2.5"/>
    <x v="0"/>
    <s v="Brunswick/Bath/Freeport"/>
    <n v="2"/>
  </r>
  <r>
    <n v="111"/>
    <s v="DD"/>
    <s v="Order"/>
    <n v="41"/>
    <x v="2"/>
    <x v="70"/>
    <n v="2"/>
    <n v="22.5"/>
    <d v="1899-12-30T01:02:00"/>
    <n v="1.0333333333333334"/>
    <n v="1"/>
    <x v="0"/>
    <s v="Brunswick/Bath/Freeport"/>
    <n v="2"/>
  </r>
  <r>
    <n v="112"/>
    <s v="DD"/>
    <s v="Order"/>
    <n v="42"/>
    <x v="3"/>
    <x v="71"/>
    <n v="3"/>
    <n v="43.75"/>
    <d v="1899-12-30T02:45:00"/>
    <n v="2.75"/>
    <n v="2.75"/>
    <x v="0"/>
    <s v="Brunswick/Bath/Freeport"/>
    <n v="2"/>
  </r>
  <r>
    <n v="113"/>
    <s v="DD"/>
    <s v="Order"/>
    <n v="43"/>
    <x v="2"/>
    <x v="72"/>
    <n v="12"/>
    <n v="99.44"/>
    <d v="1899-12-30T04:52:00"/>
    <n v="4.8666666666666671"/>
    <n v="4.75"/>
    <x v="0"/>
    <s v="Brunswick/Bath/Freeport"/>
    <n v="2"/>
  </r>
  <r>
    <n v="114"/>
    <s v="UE"/>
    <s v="Order"/>
    <n v="43"/>
    <x v="2"/>
    <x v="72"/>
    <n v="2"/>
    <n v="38.07"/>
    <d v="1899-12-30T01:38:00"/>
    <n v="1.6333333333333333"/>
    <n v="1.75"/>
    <x v="0"/>
    <s v="Brunswick/Bath/Freeport"/>
    <n v="2"/>
  </r>
  <r>
    <n v="115"/>
    <s v="DD"/>
    <s v="Order"/>
    <n v="44"/>
    <x v="3"/>
    <x v="73"/>
    <n v="8"/>
    <n v="67.37"/>
    <d v="1899-12-30T03:23:00"/>
    <n v="3.3833333333333333"/>
    <n v="3.5"/>
    <x v="0"/>
    <s v="Brunswick/Bath/Freeport"/>
    <n v="2"/>
  </r>
  <r>
    <n v="116"/>
    <s v="UE"/>
    <s v="Order"/>
    <n v="44"/>
    <x v="3"/>
    <x v="73"/>
    <n v="1"/>
    <n v="12.84"/>
    <d v="1899-12-30T01:18:00"/>
    <n v="1.3"/>
    <n v="1.25"/>
    <x v="0"/>
    <s v="Brunswick/Bath/Freeport"/>
    <n v="2"/>
  </r>
  <r>
    <n v="117"/>
    <s v="DD"/>
    <s v="Order"/>
    <n v="45"/>
    <x v="4"/>
    <x v="74"/>
    <n v="4"/>
    <n v="27.5"/>
    <d v="1899-12-30T01:06:00"/>
    <n v="1.1000000000000001"/>
    <n v="1"/>
    <x v="0"/>
    <s v="Brunswick/Bath/Freeport"/>
    <n v="2"/>
  </r>
  <r>
    <n v="118"/>
    <s v="DD"/>
    <s v="Order"/>
    <n v="45"/>
    <x v="0"/>
    <x v="75"/>
    <n v="3"/>
    <n v="32.5"/>
    <d v="1899-12-30T02:32:00"/>
    <n v="2.5333333333333337"/>
    <n v="2.5"/>
    <x v="0"/>
    <s v="Brunswick/Bath/Freeport"/>
    <n v="2"/>
  </r>
  <r>
    <n v="119"/>
    <s v="UE"/>
    <s v="Order"/>
    <n v="45"/>
    <x v="0"/>
    <x v="75"/>
    <n v="3"/>
    <n v="44.6"/>
    <d v="1899-12-30T03:13:00"/>
    <n v="3.2166666666666668"/>
    <n v="3.25"/>
    <x v="0"/>
    <s v="Brunswick/Bath/Freeport"/>
    <n v="2"/>
  </r>
  <r>
    <n v="120"/>
    <s v="DD"/>
    <s v="Order"/>
    <n v="45"/>
    <x v="2"/>
    <x v="76"/>
    <n v="4"/>
    <n v="30.46"/>
    <d v="1899-12-30T02:11:00"/>
    <n v="2.1833333333333331"/>
    <n v="2.25"/>
    <x v="1"/>
    <s v="Lewiston"/>
    <n v="3"/>
  </r>
  <r>
    <n v="121"/>
    <s v="UE"/>
    <s v="Order"/>
    <n v="45"/>
    <x v="2"/>
    <x v="76"/>
    <n v="1"/>
    <n v="9.94"/>
    <d v="1899-12-30T00:17:00"/>
    <n v="0.28333333333333333"/>
    <n v="0.25"/>
    <x v="1"/>
    <s v="Lewiston"/>
    <n v="3"/>
  </r>
  <r>
    <n v="122"/>
    <s v="UE"/>
    <s v="Order"/>
    <n v="46"/>
    <x v="4"/>
    <x v="77"/>
    <n v="6"/>
    <n v="97.49"/>
    <d v="1899-12-30T03:06:00"/>
    <n v="3.1000000000000005"/>
    <n v="3"/>
    <x v="0"/>
    <s v="Brunswick/Bath/Freeport"/>
    <n v="2"/>
  </r>
  <r>
    <n v="123"/>
    <s v="DD"/>
    <s v="Order"/>
    <n v="46"/>
    <x v="4"/>
    <x v="77"/>
    <n v="3"/>
    <n v="22.25"/>
    <d v="1899-12-30T02:26:00"/>
    <n v="2.4333333333333336"/>
    <n v="2.5"/>
    <x v="0"/>
    <s v="Brunswick/Bath/Freeport"/>
    <n v="2"/>
  </r>
  <r>
    <n v="124"/>
    <s v="UE"/>
    <s v="Order"/>
    <n v="46"/>
    <x v="6"/>
    <x v="78"/>
    <n v="3"/>
    <n v="47.14"/>
    <d v="1899-12-30T02:37:00"/>
    <n v="2.6166666666666667"/>
    <n v="2.5"/>
    <x v="0"/>
    <s v="Brunswick/Bath/Freeport"/>
    <n v="2"/>
  </r>
  <r>
    <n v="125"/>
    <s v="DD"/>
    <s v="Order"/>
    <n v="46"/>
    <x v="6"/>
    <x v="78"/>
    <n v="2"/>
    <n v="13.84"/>
    <d v="1899-12-30T01:06:00"/>
    <n v="1.1000000000000001"/>
    <n v="1"/>
    <x v="0"/>
    <s v="Brunswick/Bath/Freeport"/>
    <n v="2"/>
  </r>
  <r>
    <n v="126"/>
    <s v="DD"/>
    <s v="Order"/>
    <n v="46"/>
    <x v="6"/>
    <x v="78"/>
    <n v="4"/>
    <n v="22.25"/>
    <d v="1899-12-30T01:29:00"/>
    <n v="1.4833333333333334"/>
    <n v="1.5"/>
    <x v="0"/>
    <s v="Portland"/>
    <n v="4"/>
  </r>
  <r>
    <n v="127"/>
    <s v="DD"/>
    <s v="Order"/>
    <n v="46"/>
    <x v="2"/>
    <x v="79"/>
    <n v="6"/>
    <n v="44.5"/>
    <d v="1899-12-30T03:28:00"/>
    <n v="3.4666666666666663"/>
    <n v="3.5"/>
    <x v="0"/>
    <s v="Lewiston"/>
    <n v="3"/>
  </r>
  <r>
    <n v="128"/>
    <s v="UE"/>
    <s v="Order"/>
    <n v="46"/>
    <x v="2"/>
    <x v="79"/>
    <n v="6"/>
    <n v="57.949999999999996"/>
    <d v="1899-12-30T01:35:00"/>
    <n v="1.5833333333333335"/>
    <n v="1.5"/>
    <x v="0"/>
    <s v="Lewiston"/>
    <n v="3"/>
  </r>
  <r>
    <n v="129"/>
    <s v="DD"/>
    <s v="Order"/>
    <n v="47"/>
    <x v="3"/>
    <x v="80"/>
    <n v="7"/>
    <n v="55.69"/>
    <d v="1899-12-30T04:14:00"/>
    <n v="4.2333333333333334"/>
    <n v="4.25"/>
    <x v="0"/>
    <s v="Portland"/>
    <n v="4"/>
  </r>
  <r>
    <n v="130"/>
    <s v="UE"/>
    <s v="Order"/>
    <n v="47"/>
    <x v="3"/>
    <x v="80"/>
    <n v="6"/>
    <n v="61.12"/>
    <d v="1899-12-30T02:52:00"/>
    <n v="2.8666666666666667"/>
    <n v="2.75"/>
    <x v="0"/>
    <s v="Portland"/>
    <n v="4"/>
  </r>
  <r>
    <n v="131"/>
    <s v="DD"/>
    <s v="Order"/>
    <n v="47"/>
    <x v="4"/>
    <x v="81"/>
    <n v="6"/>
    <n v="40"/>
    <d v="1899-12-30T03:30:00"/>
    <n v="3.5"/>
    <n v="3.5"/>
    <x v="0"/>
    <s v="Portland"/>
    <n v="4"/>
  </r>
  <r>
    <n v="132"/>
    <s v="UE"/>
    <s v="Order"/>
    <n v="47"/>
    <x v="4"/>
    <x v="81"/>
    <n v="5"/>
    <n v="47.54"/>
    <d v="1899-12-30T03:02:00"/>
    <n v="3.0333333333333332"/>
    <n v="3"/>
    <x v="0"/>
    <s v="Portland"/>
    <n v="4"/>
  </r>
  <r>
    <n v="133"/>
    <s v="DD"/>
    <s v="Order"/>
    <n v="47"/>
    <x v="5"/>
    <x v="82"/>
    <n v="2"/>
    <n v="13.25"/>
    <d v="1899-12-30T01:32:00"/>
    <n v="1.5333333333333332"/>
    <n v="1.5"/>
    <x v="0"/>
    <s v="Portland"/>
    <n v="4"/>
  </r>
  <r>
    <n v="134"/>
    <s v="UE"/>
    <s v="Order"/>
    <n v="47"/>
    <x v="0"/>
    <x v="83"/>
    <n v="4"/>
    <n v="36.28"/>
    <d v="1899-12-30T03:45:00"/>
    <n v="3.75"/>
    <n v="3.75"/>
    <x v="2"/>
    <s v="Lewiston"/>
    <n v="3"/>
  </r>
  <r>
    <n v="135"/>
    <s v="DD"/>
    <s v="Order"/>
    <n v="47"/>
    <x v="0"/>
    <x v="83"/>
    <n v="1"/>
    <n v="12.5"/>
    <d v="1899-12-30T01:28:00"/>
    <n v="1.4666666666666668"/>
    <n v="1.5"/>
    <x v="2"/>
    <s v="Lewiston"/>
    <n v="3"/>
  </r>
  <r>
    <n v="136"/>
    <s v="DD"/>
    <s v="Order"/>
    <n v="47"/>
    <x v="0"/>
    <x v="83"/>
    <n v="3"/>
    <n v="24.25"/>
    <d v="1899-12-30T01:45:00"/>
    <n v="1.75"/>
    <n v="1.75"/>
    <x v="2"/>
    <s v="Portland"/>
    <n v="4"/>
  </r>
  <r>
    <n v="137"/>
    <s v="DD"/>
    <s v="Order"/>
    <n v="47"/>
    <x v="2"/>
    <x v="84"/>
    <n v="3"/>
    <n v="19.75"/>
    <d v="1899-12-30T02:50:00"/>
    <n v="2.833333333333333"/>
    <n v="2.75"/>
    <x v="0"/>
    <s v="Lewiston"/>
    <n v="3"/>
  </r>
  <r>
    <n v="138"/>
    <s v="UE"/>
    <s v="Order"/>
    <n v="47"/>
    <x v="2"/>
    <x v="84"/>
    <n v="3"/>
    <n v="43.5"/>
    <d v="1899-12-30T01:52:00"/>
    <n v="1.8666666666666667"/>
    <n v="1.75"/>
    <x v="0"/>
    <s v="Lewiston"/>
    <n v="3"/>
  </r>
  <r>
    <n v="139"/>
    <s v="DD"/>
    <s v="Order"/>
    <n v="48"/>
    <x v="3"/>
    <x v="85"/>
    <n v="7"/>
    <n v="61.57"/>
    <d v="1899-12-30T03:30:00"/>
    <n v="3.5"/>
    <n v="3.5"/>
    <x v="0"/>
    <s v="Brunswick/Bath/Freeport"/>
    <n v="2"/>
  </r>
  <r>
    <n v="140"/>
    <s v="UE"/>
    <s v="Order"/>
    <n v="48"/>
    <x v="3"/>
    <x v="85"/>
    <n v="4"/>
    <n v="58.43"/>
    <d v="1899-12-30T02:42:00"/>
    <n v="2.7"/>
    <n v="2.75"/>
    <x v="0"/>
    <s v="Brunswick/Bath/Freeport"/>
    <n v="2"/>
  </r>
  <r>
    <n v="141"/>
    <s v="UE"/>
    <s v="Order"/>
    <n v="48"/>
    <x v="1"/>
    <x v="86"/>
    <n v="9"/>
    <n v="126.7"/>
    <d v="1899-12-30T06:15:00"/>
    <n v="6.25"/>
    <n v="6.25"/>
    <x v="0"/>
    <s v="Portland"/>
    <n v="4"/>
  </r>
  <r>
    <n v="142"/>
    <s v="DD"/>
    <s v="Order"/>
    <n v="48"/>
    <x v="1"/>
    <x v="86"/>
    <n v="15"/>
    <n v="135.25"/>
    <d v="1899-12-30T06:37:00"/>
    <n v="6.6166666666666671"/>
    <n v="6.5"/>
    <x v="0"/>
    <s v="Portland"/>
    <n v="4"/>
  </r>
  <r>
    <n v="143"/>
    <s v="DD"/>
    <s v="Order"/>
    <n v="48"/>
    <x v="1"/>
    <x v="86"/>
    <n v="2"/>
    <n v="18.5"/>
    <d v="1899-12-30T02:03:00"/>
    <n v="2.0499999999999998"/>
    <n v="2"/>
    <x v="2"/>
    <s v="Portland"/>
    <n v="4"/>
  </r>
  <r>
    <n v="144"/>
    <s v="UE"/>
    <s v="Order"/>
    <n v="49"/>
    <x v="3"/>
    <x v="87"/>
    <n v="10"/>
    <n v="80"/>
    <d v="1899-12-30T03:48:00"/>
    <n v="3.8"/>
    <n v="3.75"/>
    <x v="0"/>
    <s v="Lewiston"/>
    <n v="3"/>
  </r>
  <r>
    <n v="145"/>
    <s v="DD"/>
    <s v="Order"/>
    <n v="49"/>
    <x v="3"/>
    <x v="87"/>
    <n v="4"/>
    <n v="33"/>
    <d v="1899-12-30T03:22:00"/>
    <n v="3.3666666666666667"/>
    <n v="3.25"/>
    <x v="0"/>
    <s v="Lewiston"/>
    <n v="3"/>
  </r>
  <r>
    <n v="146"/>
    <s v="UE"/>
    <s v="Order"/>
    <n v="49"/>
    <x v="0"/>
    <x v="88"/>
    <n v="4"/>
    <n v="40.909999999999997"/>
    <d v="1899-12-30T02:57:00"/>
    <n v="2.95"/>
    <n v="3"/>
    <x v="0"/>
    <s v="Portland"/>
    <n v="4"/>
  </r>
  <r>
    <n v="147"/>
    <s v="DD"/>
    <s v="Order"/>
    <n v="49"/>
    <x v="0"/>
    <x v="88"/>
    <n v="5"/>
    <n v="46.25"/>
    <d v="1899-12-30T03:02:00"/>
    <n v="3.0333333333333332"/>
    <n v="3"/>
    <x v="0"/>
    <s v="Portland"/>
    <n v="4"/>
  </r>
  <r>
    <n v="148"/>
    <s v="DD"/>
    <s v="Order"/>
    <n v="49"/>
    <x v="0"/>
    <x v="88"/>
    <n v="2"/>
    <n v="28.5"/>
    <d v="1899-12-30T01:45:00"/>
    <n v="1.75"/>
    <n v="1.75"/>
    <x v="2"/>
    <s v="Portland"/>
    <n v="4"/>
  </r>
  <r>
    <n v="149"/>
    <s v="UE"/>
    <s v="Order"/>
    <n v="50"/>
    <x v="3"/>
    <x v="89"/>
    <n v="2"/>
    <n v="30.71"/>
    <d v="1899-12-30T02:02:00"/>
    <n v="2.0333333333333332"/>
    <n v="2"/>
    <x v="0"/>
    <s v="Brunswick/Bath/Freeport"/>
    <n v="2"/>
  </r>
  <r>
    <n v="150"/>
    <s v="DD"/>
    <s v="Order"/>
    <n v="50"/>
    <x v="3"/>
    <x v="89"/>
    <n v="8"/>
    <n v="76.75"/>
    <d v="1899-12-30T03:51:00"/>
    <n v="3.8500000000000005"/>
    <n v="3.75"/>
    <x v="0"/>
    <s v="Brunswick/Bath/Freeport"/>
    <n v="2"/>
  </r>
  <r>
    <n v="151"/>
    <s v="DD"/>
    <s v="Order"/>
    <n v="50"/>
    <x v="3"/>
    <x v="89"/>
    <n v="1"/>
    <n v="9.75"/>
    <d v="1899-12-30T01:23:00"/>
    <n v="1.3833333333333333"/>
    <n v="1.5"/>
    <x v="2"/>
    <s v="Portland"/>
    <n v="4"/>
  </r>
  <r>
    <n v="152"/>
    <s v="UE"/>
    <s v="Order"/>
    <n v="50"/>
    <x v="4"/>
    <x v="90"/>
    <n v="1"/>
    <n v="25.57"/>
    <d v="1899-12-30T01:29:00"/>
    <n v="1.4833333333333334"/>
    <n v="1.5"/>
    <x v="0"/>
    <s v="Lewiston"/>
    <n v="3"/>
  </r>
  <r>
    <n v="153"/>
    <s v="DD"/>
    <s v="Order"/>
    <n v="50"/>
    <x v="4"/>
    <x v="90"/>
    <n v="5"/>
    <n v="37"/>
    <d v="1899-12-30T01:38:00"/>
    <n v="1.6333333333333333"/>
    <n v="1.75"/>
    <x v="0"/>
    <s v="Lewiston"/>
    <n v="3"/>
  </r>
  <r>
    <n v="154"/>
    <s v="UE"/>
    <s v="Order"/>
    <n v="50"/>
    <x v="0"/>
    <x v="91"/>
    <n v="3"/>
    <n v="37.729999999999997"/>
    <d v="1899-12-30T03:50:00"/>
    <n v="3.8333333333333339"/>
    <n v="3.75"/>
    <x v="2"/>
    <s v="Portland"/>
    <n v="4"/>
  </r>
  <r>
    <n v="155"/>
    <s v="DD"/>
    <s v="Order"/>
    <n v="50"/>
    <x v="0"/>
    <x v="91"/>
    <n v="5"/>
    <n v="48.62"/>
    <d v="1899-12-30T02:31:00"/>
    <n v="2.5166666666666666"/>
    <n v="2.5"/>
    <x v="0"/>
    <s v="Portland"/>
    <n v="4"/>
  </r>
  <r>
    <n v="156"/>
    <s v="DD"/>
    <s v="Order"/>
    <n v="50"/>
    <x v="0"/>
    <x v="91"/>
    <n v="3"/>
    <n v="23"/>
    <d v="1899-12-30T02:30:00"/>
    <n v="2.5"/>
    <n v="2.5"/>
    <x v="2"/>
    <s v="Portland"/>
    <n v="4"/>
  </r>
  <r>
    <n v="157"/>
    <s v="UE"/>
    <s v="Order"/>
    <n v="51"/>
    <x v="5"/>
    <x v="92"/>
    <n v="1"/>
    <n v="12.63"/>
    <d v="1899-12-30T01:09:00"/>
    <n v="1.1499999999999999"/>
    <n v="1.25"/>
    <x v="0"/>
    <s v="Brunswick/Bath/Freeport"/>
    <n v="2"/>
  </r>
  <r>
    <n v="158"/>
    <s v="DD"/>
    <s v="Order"/>
    <n v="51"/>
    <x v="5"/>
    <x v="92"/>
    <n v="7"/>
    <n v="66.92"/>
    <d v="1899-12-30T03:17:00"/>
    <n v="3.2833333333333332"/>
    <n v="3.25"/>
    <x v="0"/>
    <s v="Brunswick/Bath/Freeport"/>
    <n v="2"/>
  </r>
  <r>
    <n v="159"/>
    <s v="UE"/>
    <s v="Order"/>
    <n v="1"/>
    <x v="3"/>
    <x v="93"/>
    <n v="2"/>
    <n v="40.049999999999997"/>
    <d v="1899-12-30T01:37:00"/>
    <n v="1.6166666666666667"/>
    <n v="1.5"/>
    <x v="0"/>
    <s v="Brunswick/Bath/Freeport"/>
    <n v="2"/>
  </r>
  <r>
    <n v="160"/>
    <s v="UE"/>
    <s v="Order"/>
    <n v="1"/>
    <x v="0"/>
    <x v="94"/>
    <n v="3"/>
    <n v="77.58"/>
    <d v="1899-12-30T02:46:00"/>
    <n v="2.7666666666666666"/>
    <n v="2.75"/>
    <x v="0"/>
    <s v="Brunswick/Bath/Freeport"/>
    <n v="2"/>
  </r>
  <r>
    <n v="161"/>
    <s v="DD"/>
    <s v="Order"/>
    <n v="1"/>
    <x v="0"/>
    <x v="94"/>
    <n v="7"/>
    <n v="72.599999999999994"/>
    <d v="1899-12-30T03:35:00"/>
    <n v="3.583333333333333"/>
    <n v="3.5"/>
    <x v="0"/>
    <s v="Brunswick/Bath/Freeport"/>
    <n v="2"/>
  </r>
  <r>
    <n v="162"/>
    <s v="UE"/>
    <s v="Order"/>
    <n v="3"/>
    <x v="4"/>
    <x v="95"/>
    <n v="2"/>
    <n v="27.95"/>
    <d v="1899-12-30T01:41:00"/>
    <n v="1.6833333333333333"/>
    <n v="1.75"/>
    <x v="0"/>
    <s v="Brunswick/Bath/Freeport"/>
    <n v="2"/>
  </r>
  <r>
    <n v="163"/>
    <s v="DD"/>
    <s v="Order"/>
    <n v="3"/>
    <x v="4"/>
    <x v="95"/>
    <n v="6"/>
    <n v="51.5"/>
    <d v="1899-12-30T03:12:00"/>
    <n v="3.2"/>
    <n v="3.25"/>
    <x v="0"/>
    <s v="Brunswick/Bath/Freeport"/>
    <n v="2"/>
  </r>
  <r>
    <n v="164"/>
    <s v="UE"/>
    <s v="Order"/>
    <n v="3"/>
    <x v="1"/>
    <x v="96"/>
    <n v="1"/>
    <n v="11.25"/>
    <d v="1899-12-30T01:14:00"/>
    <n v="1.2333333333333334"/>
    <n v="1.25"/>
    <x v="0"/>
    <s v="Lewiston"/>
    <n v="3"/>
  </r>
  <r>
    <n v="165"/>
    <s v="DD"/>
    <s v="Order"/>
    <n v="3"/>
    <x v="1"/>
    <x v="96"/>
    <n v="7"/>
    <n v="56.5"/>
    <d v="1899-12-30T02:54:00"/>
    <n v="2.9"/>
    <n v="3"/>
    <x v="0"/>
    <s v="Lewiston"/>
    <n v="3"/>
  </r>
  <r>
    <n v="166"/>
    <s v="DD"/>
    <s v="Order"/>
    <n v="3"/>
    <x v="1"/>
    <x v="96"/>
    <n v="6"/>
    <n v="32.5"/>
    <d v="1899-12-30T03:35:00"/>
    <n v="3.583333333333333"/>
    <n v="3.5"/>
    <x v="0"/>
    <s v="Lewiston"/>
    <n v="3"/>
  </r>
  <r>
    <n v="167"/>
    <s v="DD"/>
    <s v="Order"/>
    <n v="5"/>
    <x v="3"/>
    <x v="97"/>
    <n v="2"/>
    <n v="15.5"/>
    <d v="1899-12-30T01:20:00"/>
    <n v="1.3333333333333333"/>
    <n v="1.25"/>
    <x v="0"/>
    <s v="Brunswick/Bath/Freeport"/>
    <n v="2"/>
  </r>
  <r>
    <n v="168"/>
    <s v="UE"/>
    <s v="Order"/>
    <n v="5"/>
    <x v="3"/>
    <x v="97"/>
    <n v="2"/>
    <n v="22.93"/>
    <d v="1899-12-30T01:21:00"/>
    <n v="1.35"/>
    <n v="1.25"/>
    <x v="0"/>
    <s v="Brunswick/Bath/Freeport"/>
    <n v="2"/>
  </r>
  <r>
    <n v="169"/>
    <s v="DD"/>
    <s v="Order"/>
    <n v="6"/>
    <x v="6"/>
    <x v="98"/>
    <n v="8"/>
    <n v="55.89"/>
    <d v="1899-12-30T02:58:00"/>
    <n v="2.9666666666666668"/>
    <n v="3"/>
    <x v="0"/>
    <s v="Brunswick/Bath/Freeport"/>
    <n v="2"/>
  </r>
  <r>
    <n v="170"/>
    <s v="UE"/>
    <s v="Order"/>
    <n v="7"/>
    <x v="4"/>
    <x v="99"/>
    <n v="5"/>
    <n v="90.74"/>
    <d v="1899-12-30T02:58:00"/>
    <n v="2.9666666666666668"/>
    <n v="3"/>
    <x v="0"/>
    <s v="Brunswick/Bath/Freeport"/>
    <n v="2"/>
  </r>
  <r>
    <n v="171"/>
    <s v="DD"/>
    <s v="Order"/>
    <n v="7"/>
    <x v="4"/>
    <x v="99"/>
    <n v="1"/>
    <n v="20"/>
    <d v="1899-12-30T00:32:00"/>
    <n v="0.53333333333333333"/>
    <n v="0.5"/>
    <x v="0"/>
    <s v="Brunswick/Bath/Freeport"/>
    <n v="2"/>
  </r>
  <r>
    <n v="172"/>
    <s v="DD"/>
    <s v="Order"/>
    <n v="7"/>
    <x v="1"/>
    <x v="100"/>
    <n v="14"/>
    <n v="102.55"/>
    <d v="1899-12-30T06:18:00"/>
    <n v="6.3000000000000007"/>
    <n v="6.25"/>
    <x v="0"/>
    <s v="Brunswick/Bath/Freeport"/>
    <n v="2"/>
  </r>
  <r>
    <n v="173"/>
    <s v="DD"/>
    <s v="Order"/>
    <n v="8"/>
    <x v="3"/>
    <x v="101"/>
    <n v="2"/>
    <n v="21.75"/>
    <d v="1899-12-30T00:49:00"/>
    <n v="0.81666666666666665"/>
    <n v="0.75"/>
    <x v="0"/>
    <s v="Brunswick/Bath/Freeport"/>
    <n v="2"/>
  </r>
  <r>
    <n v="174"/>
    <s v="UE"/>
    <s v="Order"/>
    <n v="9"/>
    <x v="6"/>
    <x v="102"/>
    <n v="2"/>
    <n v="28.42"/>
    <d v="1899-12-30T01:34:00"/>
    <n v="1.5666666666666669"/>
    <n v="1.5"/>
    <x v="0"/>
    <s v="Lewiston"/>
    <n v="3"/>
  </r>
  <r>
    <n v="175"/>
    <s v="DD"/>
    <s v="Order"/>
    <n v="9"/>
    <x v="6"/>
    <x v="102"/>
    <n v="8"/>
    <n v="44.51"/>
    <d v="1899-12-30T04:25:00"/>
    <n v="4.416666666666667"/>
    <n v="4.5"/>
    <x v="0"/>
    <s v="Lewiston"/>
    <n v="3"/>
  </r>
  <r>
    <n v="176"/>
    <s v="UE"/>
    <s v="Order"/>
    <n v="9"/>
    <x v="2"/>
    <x v="103"/>
    <n v="11"/>
    <n v="106.85"/>
    <d v="1899-12-30T04:18:00"/>
    <n v="4.2999999999999989"/>
    <n v="4.25"/>
    <x v="0"/>
    <s v="Portland"/>
    <n v="4"/>
  </r>
  <r>
    <n v="177"/>
    <s v="DD"/>
    <s v="Order"/>
    <n v="9"/>
    <x v="2"/>
    <x v="103"/>
    <n v="5"/>
    <n v="38.25"/>
    <d v="1899-12-30T02:07:00"/>
    <n v="2.1166666666666663"/>
    <n v="2"/>
    <x v="0"/>
    <s v="Portland"/>
    <n v="4"/>
  </r>
  <r>
    <n v="178"/>
    <s v="UE"/>
    <s v="Order"/>
    <n v="10"/>
    <x v="3"/>
    <x v="104"/>
    <n v="6"/>
    <n v="74.23"/>
    <d v="1899-12-30T03:04:00"/>
    <n v="3.0666666666666673"/>
    <n v="3"/>
    <x v="0"/>
    <s v="Brunswick/Bath/Freeport"/>
    <n v="2"/>
  </r>
  <r>
    <n v="179"/>
    <s v="DD"/>
    <s v="Order"/>
    <n v="10"/>
    <x v="3"/>
    <x v="104"/>
    <n v="5"/>
    <n v="48.12"/>
    <d v="1899-12-30T03:10:00"/>
    <n v="3.166666666666667"/>
    <n v="3.25"/>
    <x v="0"/>
    <s v="Brunswick/Bath/Freeport"/>
    <n v="2"/>
  </r>
  <r>
    <n v="180"/>
    <s v="DD"/>
    <s v="Order"/>
    <n v="11"/>
    <x v="3"/>
    <x v="105"/>
    <n v="3"/>
    <n v="20"/>
    <d v="1899-12-30T01:31:00"/>
    <n v="1.5166666666666666"/>
    <n v="1.5"/>
    <x v="0"/>
    <s v="Brunswick/Bath/Freeport"/>
    <n v="2"/>
  </r>
  <r>
    <n v="181"/>
    <s v="UE"/>
    <s v="Order"/>
    <n v="11"/>
    <x v="3"/>
    <x v="105"/>
    <n v="3"/>
    <n v="52.14"/>
    <d v="1899-12-30T01:06:00"/>
    <n v="1.1000000000000001"/>
    <n v="1"/>
    <x v="0"/>
    <s v="Brunswick/Bath/Freeport"/>
    <n v="2"/>
  </r>
  <r>
    <n v="182"/>
    <s v="DD"/>
    <s v="Order"/>
    <n v="11"/>
    <x v="1"/>
    <x v="106"/>
    <n v="7"/>
    <n v="87.78"/>
    <d v="1899-12-30T05:01:00"/>
    <n v="5.0166666666666666"/>
    <n v="5"/>
    <x v="0"/>
    <s v="Brunswick/Bath/Freeport"/>
    <n v="2"/>
  </r>
  <r>
    <n v="183"/>
    <s v="UE"/>
    <s v="Order"/>
    <n v="11"/>
    <x v="1"/>
    <x v="106"/>
    <n v="4"/>
    <n v="57.36"/>
    <d v="1899-12-30T02:01:00"/>
    <n v="2.0166666666666666"/>
    <n v="2"/>
    <x v="1"/>
    <s v="Brunswick/Bath/Freeport"/>
    <n v="2"/>
  </r>
  <r>
    <n v="184"/>
    <s v="DD"/>
    <s v="Order"/>
    <n v="12"/>
    <x v="3"/>
    <x v="107"/>
    <n v="10"/>
    <n v="73.62"/>
    <d v="1899-12-30T05:22:00"/>
    <n v="5.3666666666666663"/>
    <n v="5.25"/>
    <x v="0"/>
    <s v="Brunswick/Bath/Freeport"/>
    <n v="2"/>
  </r>
  <r>
    <n v="185"/>
    <s v="UE"/>
    <s v="Order"/>
    <n v="12"/>
    <x v="3"/>
    <x v="107"/>
    <n v="1"/>
    <n v="15.05"/>
    <d v="1899-12-30T02:15:00"/>
    <n v="2.25"/>
    <n v="2.25"/>
    <x v="0"/>
    <s v="Brunswick/Bath/Freeport"/>
    <n v="2"/>
  </r>
  <r>
    <n v="186"/>
    <s v="UE"/>
    <s v="Order"/>
    <n v="12"/>
    <x v="1"/>
    <x v="108"/>
    <n v="3"/>
    <n v="51.91"/>
    <d v="1899-12-30T03:28:00"/>
    <n v="3.4666666666666668"/>
    <n v="3.5"/>
    <x v="0"/>
    <s v="Brunswick/Bath/Freeport"/>
    <n v="2"/>
  </r>
  <r>
    <n v="187"/>
    <s v="DD"/>
    <s v="Order"/>
    <n v="12"/>
    <x v="1"/>
    <x v="108"/>
    <n v="11"/>
    <n v="103.52"/>
    <d v="1899-12-30T04:42:00"/>
    <n v="4.7"/>
    <n v="4.75"/>
    <x v="1"/>
    <s v="Brunswick/Bath/Freeport"/>
    <n v="2"/>
  </r>
  <r>
    <n v="188"/>
    <s v="DD"/>
    <s v="Order"/>
    <n v="12"/>
    <x v="1"/>
    <x v="108"/>
    <n v="6"/>
    <n v="47.5"/>
    <d v="1899-12-30T03:24:00"/>
    <n v="3.4"/>
    <n v="3.5"/>
    <x v="0"/>
    <s v="Brunswick/Bath/Freeport"/>
    <n v="2"/>
  </r>
  <r>
    <n v="189"/>
    <s v="DD"/>
    <s v="Order"/>
    <n v="12"/>
    <x v="1"/>
    <x v="108"/>
    <n v="3"/>
    <n v="19.5"/>
    <d v="1899-12-30T01:15:00"/>
    <n v="1.25"/>
    <n v="1.25"/>
    <x v="2"/>
    <s v="Lewiston"/>
    <n v="3"/>
  </r>
  <r>
    <n v="190"/>
    <s v="UE"/>
    <s v="Order"/>
    <n v="12"/>
    <x v="2"/>
    <x v="109"/>
    <n v="11"/>
    <n v="96.81"/>
    <d v="1899-12-30T04:39:00"/>
    <n v="4.6500000000000004"/>
    <n v="4.75"/>
    <x v="0"/>
    <s v="Brunswick/Bath/Freeport"/>
    <n v="2"/>
  </r>
  <r>
    <n v="191"/>
    <s v="DD"/>
    <s v="Order"/>
    <n v="12"/>
    <x v="2"/>
    <x v="109"/>
    <n v="2"/>
    <n v="13.89"/>
    <d v="1899-12-30T01:16:00"/>
    <n v="1.2666666666666666"/>
    <n v="1.25"/>
    <x v="0"/>
    <s v="Brunswick/Bath/Freeport"/>
    <n v="2"/>
  </r>
  <r>
    <n v="192"/>
    <s v="DD"/>
    <s v="Order"/>
    <n v="13"/>
    <x v="6"/>
    <x v="110"/>
    <n v="2"/>
    <n v="26.25"/>
    <d v="1899-12-30T01:11:00"/>
    <n v="1.1833333333333333"/>
    <n v="1.25"/>
    <x v="0"/>
    <s v="Brunswick/Bath/Freeport"/>
    <n v="2"/>
  </r>
  <r>
    <n v="193"/>
    <s v="UE"/>
    <s v="Order"/>
    <n v="13"/>
    <x v="0"/>
    <x v="111"/>
    <n v="3"/>
    <n v="19.649999999999999"/>
    <d v="1899-12-30T01:39:00"/>
    <n v="1.65"/>
    <n v="1.75"/>
    <x v="2"/>
    <s v="Portland"/>
    <n v="4"/>
  </r>
  <r>
    <n v="194"/>
    <s v="DD"/>
    <s v="Order"/>
    <n v="13"/>
    <x v="0"/>
    <x v="111"/>
    <n v="12"/>
    <n v="82.92"/>
    <d v="1899-12-30T04:45:00"/>
    <n v="4.75"/>
    <n v="4.75"/>
    <x v="2"/>
    <s v="Portland"/>
    <n v="4"/>
  </r>
  <r>
    <n v="195"/>
    <s v="UE"/>
    <s v="Order"/>
    <n v="13"/>
    <x v="1"/>
    <x v="112"/>
    <n v="4"/>
    <n v="84.47"/>
    <d v="1899-12-30T02:46:00"/>
    <n v="2.7666666666666666"/>
    <n v="2.75"/>
    <x v="0"/>
    <s v="Brunswick/Bath/Freeport"/>
    <n v="2"/>
  </r>
  <r>
    <n v="196"/>
    <s v="DD"/>
    <s v="Order"/>
    <n v="13"/>
    <x v="1"/>
    <x v="112"/>
    <n v="5"/>
    <n v="45.5"/>
    <d v="1899-12-30T03:12:00"/>
    <n v="3.2"/>
    <n v="3.25"/>
    <x v="1"/>
    <s v="Brunswick/Bath/Freeport"/>
    <n v="2"/>
  </r>
  <r>
    <n v="197"/>
    <s v="DD"/>
    <s v="Order"/>
    <n v="14"/>
    <x v="4"/>
    <x v="113"/>
    <n v="1"/>
    <n v="15.75"/>
    <d v="1899-12-30T02:15:00"/>
    <n v="2.25"/>
    <n v="2.25"/>
    <x v="0"/>
    <s v="Brunswick/Bath/Freeport"/>
    <n v="2"/>
  </r>
  <r>
    <n v="198"/>
    <s v="UE"/>
    <s v="Order"/>
    <n v="14"/>
    <x v="4"/>
    <x v="113"/>
    <n v="3"/>
    <n v="40.89"/>
    <d v="1899-12-30T01:56:00"/>
    <n v="1.9333333333333336"/>
    <n v="2"/>
    <x v="0"/>
    <s v="Brunswick/Bath/Freeport"/>
    <n v="2"/>
  </r>
  <r>
    <n v="199"/>
    <s v="DD"/>
    <s v="Order"/>
    <n v="14"/>
    <x v="6"/>
    <x v="114"/>
    <n v="10"/>
    <n v="71.25"/>
    <d v="1899-12-30T04:21:00"/>
    <n v="4.3499999999999996"/>
    <n v="4.25"/>
    <x v="0"/>
    <s v="Brunswick/Bath/Freeport"/>
    <n v="2"/>
  </r>
  <r>
    <n v="200"/>
    <s v="UE"/>
    <s v="Order"/>
    <n v="14"/>
    <x v="1"/>
    <x v="115"/>
    <n v="2"/>
    <n v="32.82"/>
    <d v="1899-12-30T02:04:00"/>
    <n v="2.0666666666666669"/>
    <n v="2"/>
    <x v="1"/>
    <s v="Brunswick/Bath/Freeport"/>
    <n v="2"/>
  </r>
  <r>
    <n v="201"/>
    <s v="DD"/>
    <s v="Order"/>
    <n v="14"/>
    <x v="1"/>
    <x v="115"/>
    <n v="5"/>
    <n v="42.25"/>
    <d v="1899-12-30T03:13:00"/>
    <n v="3.2166666666666668"/>
    <n v="3.25"/>
    <x v="1"/>
    <s v="Brunswick/Bath/Freeport"/>
    <n v="2"/>
  </r>
  <r>
    <n v="202"/>
    <s v="DD"/>
    <s v="Order"/>
    <n v="15"/>
    <x v="1"/>
    <x v="116"/>
    <n v="5"/>
    <n v="45.6"/>
    <d v="1899-12-30T02:52:00"/>
    <n v="2.8666666666666667"/>
    <n v="2.75"/>
    <x v="0"/>
    <s v="Brunswick/Bath/Freeport"/>
    <n v="2"/>
  </r>
  <r>
    <n v="203"/>
    <s v="DD"/>
    <s v="Order"/>
    <n v="15"/>
    <x v="1"/>
    <x v="116"/>
    <n v="1"/>
    <n v="5.25"/>
    <d v="1899-12-30T00:43:00"/>
    <n v="0.71666666666666667"/>
    <n v="0.75"/>
    <x v="2"/>
    <s v="Brunswick/Bath/Freeport"/>
    <n v="2"/>
  </r>
  <r>
    <n v="204"/>
    <s v="UE"/>
    <s v="Order"/>
    <n v="15"/>
    <x v="1"/>
    <x v="116"/>
    <n v="2"/>
    <n v="19.47"/>
    <d v="1899-12-30T01:49:00"/>
    <n v="1.8166666666666664"/>
    <n v="1.75"/>
    <x v="0"/>
    <s v="Brunswick/Bath/Freeport"/>
    <n v="2"/>
  </r>
  <r>
    <n v="205"/>
    <s v="DD"/>
    <s v="Order"/>
    <n v="17"/>
    <x v="0"/>
    <x v="117"/>
    <n v="1"/>
    <n v="7"/>
    <d v="1899-12-30T00:56:00"/>
    <n v="0.93333333333333335"/>
    <n v="1"/>
    <x v="0"/>
    <s v="Portland"/>
    <n v="4"/>
  </r>
  <r>
    <n v="206"/>
    <s v="DD"/>
    <s v="Order"/>
    <n v="17"/>
    <x v="0"/>
    <x v="117"/>
    <n v="3"/>
    <n v="34.75"/>
    <d v="1899-12-30T01:22:00"/>
    <n v="1.3666666666666667"/>
    <n v="1.25"/>
    <x v="0"/>
    <s v="Portland"/>
    <n v="4"/>
  </r>
  <r>
    <n v="207"/>
    <s v="DD"/>
    <s v="Order"/>
    <n v="17"/>
    <x v="0"/>
    <x v="117"/>
    <n v="7"/>
    <n v="47.75"/>
    <d v="1899-12-30T03:29:00"/>
    <n v="3.4833333333333334"/>
    <n v="3.5"/>
    <x v="2"/>
    <s v="Portland"/>
    <n v="4"/>
  </r>
  <r>
    <n v="208"/>
    <s v="UE"/>
    <s v="Order"/>
    <n v="17"/>
    <x v="0"/>
    <x v="117"/>
    <n v="7"/>
    <n v="106.23"/>
    <d v="1899-12-30T05:18:00"/>
    <n v="5.3"/>
    <n v="5.25"/>
    <x v="0"/>
    <s v="Portland"/>
    <n v="4"/>
  </r>
  <r>
    <n v="209"/>
    <s v="DD"/>
    <s v="Order"/>
    <n v="19"/>
    <x v="4"/>
    <x v="118"/>
    <n v="7"/>
    <n v="41.5"/>
    <d v="1899-12-30T03:16:00"/>
    <n v="3.2666666666666666"/>
    <n v="3.25"/>
    <x v="0"/>
    <s v="Lewiston"/>
    <n v="3"/>
  </r>
  <r>
    <n v="210"/>
    <s v="UE"/>
    <s v="Order"/>
    <n v="19"/>
    <x v="4"/>
    <x v="118"/>
    <n v="1"/>
    <n v="9.18"/>
    <d v="1899-12-30T01:08:00"/>
    <n v="1.1333333333333333"/>
    <n v="1.25"/>
    <x v="0"/>
    <s v="Lewiston"/>
    <n v="3"/>
  </r>
  <r>
    <n v="211"/>
    <s v="UE"/>
    <s v="Order"/>
    <n v="19"/>
    <x v="5"/>
    <x v="119"/>
    <n v="9"/>
    <n v="82.49"/>
    <d v="1899-12-30T04:13:00"/>
    <n v="4.2166666666666668"/>
    <n v="4.25"/>
    <x v="0"/>
    <s v="Portland"/>
    <n v="4"/>
  </r>
  <r>
    <n v="212"/>
    <s v="UE"/>
    <s v="Order"/>
    <n v="19"/>
    <x v="1"/>
    <x v="120"/>
    <n v="6"/>
    <n v="91.28"/>
    <d v="1899-12-30T07:01:00"/>
    <n v="7.0166666666666675"/>
    <n v="7"/>
    <x v="0"/>
    <s v="Brunswick/Bath/Freeport"/>
    <n v="2"/>
  </r>
  <r>
    <n v="213"/>
    <s v="DD"/>
    <s v="Order"/>
    <n v="19"/>
    <x v="1"/>
    <x v="120"/>
    <n v="4"/>
    <n v="28"/>
    <d v="1899-12-30T01:38:00"/>
    <n v="1.6333333333333333"/>
    <n v="1.75"/>
    <x v="0"/>
    <s v="Brunswick/Bath/Freeport"/>
    <n v="2"/>
  </r>
  <r>
    <n v="214"/>
    <s v="DD"/>
    <s v="Order"/>
    <n v="19"/>
    <x v="1"/>
    <x v="120"/>
    <n v="8"/>
    <n v="58.25"/>
    <d v="1899-12-30T03:21:00"/>
    <n v="3.35"/>
    <n v="3.25"/>
    <x v="2"/>
    <s v="Brunswick/Bath/Freeport"/>
    <n v="2"/>
  </r>
  <r>
    <n v="215"/>
    <s v="UE"/>
    <s v="Order"/>
    <n v="20"/>
    <x v="5"/>
    <x v="121"/>
    <n v="2"/>
    <n v="16.27"/>
    <d v="1899-12-30T02:49:00"/>
    <n v="2.8166666666666664"/>
    <n v="2.75"/>
    <x v="0"/>
    <s v="Brunswick/Bath/Freeport"/>
    <n v="2"/>
  </r>
  <r>
    <n v="216"/>
    <s v="DD"/>
    <s v="Order"/>
    <n v="20"/>
    <x v="5"/>
    <x v="121"/>
    <n v="6"/>
    <n v="48.07"/>
    <d v="1899-12-30T03:19:00"/>
    <n v="3.3166666666666664"/>
    <n v="3.25"/>
    <x v="0"/>
    <s v="Brunswick/Bath/Freeport"/>
    <n v="2"/>
  </r>
  <r>
    <n v="217"/>
    <s v="UE"/>
    <s v="Order"/>
    <n v="20"/>
    <x v="6"/>
    <x v="122"/>
    <n v="2"/>
    <n v="12.96"/>
    <d v="1899-12-30T02:48:00"/>
    <n v="2.8"/>
    <n v="2.75"/>
    <x v="0"/>
    <s v="Lewiston"/>
    <n v="3"/>
  </r>
  <r>
    <n v="218"/>
    <s v="DD"/>
    <s v="Order"/>
    <n v="20"/>
    <x v="6"/>
    <x v="122"/>
    <n v="5"/>
    <n v="27.44"/>
    <d v="1899-12-30T02:06:00"/>
    <n v="2.1"/>
    <n v="2"/>
    <x v="0"/>
    <s v="Lewiston"/>
    <n v="3"/>
  </r>
  <r>
    <n v="219"/>
    <s v="DD"/>
    <s v="Order"/>
    <n v="20"/>
    <x v="0"/>
    <x v="123"/>
    <n v="1"/>
    <n v="9"/>
    <d v="1899-12-30T01:20:00"/>
    <n v="1.3333333333333333"/>
    <n v="1.25"/>
    <x v="0"/>
    <s v="Brunswick/Bath/Freeport"/>
    <n v="2"/>
  </r>
  <r>
    <n v="220"/>
    <s v="DD"/>
    <s v="Order"/>
    <n v="20"/>
    <x v="0"/>
    <x v="123"/>
    <n v="5"/>
    <n v="41.75"/>
    <d v="1899-12-30T01:59:00"/>
    <n v="1.9833333333333334"/>
    <n v="2"/>
    <x v="0"/>
    <s v="Brunswick/Bath/Freeport"/>
    <n v="2"/>
  </r>
  <r>
    <n v="221"/>
    <s v="UE"/>
    <s v="Order"/>
    <n v="20"/>
    <x v="0"/>
    <x v="123"/>
    <n v="5"/>
    <n v="73.86"/>
    <d v="1899-12-30T06:24:00"/>
    <n v="6.4"/>
    <n v="6.5"/>
    <x v="0"/>
    <s v="Brunswick/Bath/Freeport"/>
    <n v="2"/>
  </r>
  <r>
    <n v="222"/>
    <s v="DD"/>
    <s v="Order"/>
    <n v="21"/>
    <x v="6"/>
    <x v="124"/>
    <n v="3"/>
    <n v="21.5"/>
    <d v="1899-12-30T01:54:00"/>
    <n v="1.9"/>
    <n v="2"/>
    <x v="0"/>
    <s v="Brunswick/Bath/Freeport"/>
    <n v="2"/>
  </r>
  <r>
    <n v="223"/>
    <s v="UE"/>
    <s v="Order"/>
    <n v="21"/>
    <x v="6"/>
    <x v="124"/>
    <n v="2"/>
    <n v="22.93"/>
    <d v="1899-12-30T03:34:00"/>
    <n v="3.5666666666666664"/>
    <n v="3.5"/>
    <x v="0"/>
    <s v="Brunswick/Bath/Freeport"/>
    <n v="2"/>
  </r>
  <r>
    <n v="224"/>
    <s v="DD"/>
    <s v="Order"/>
    <n v="21"/>
    <x v="6"/>
    <x v="124"/>
    <n v="2"/>
    <n v="16"/>
    <d v="1899-12-30T01:32:00"/>
    <n v="1.5333333333333332"/>
    <n v="1.5"/>
    <x v="0"/>
    <s v="Brunswick/Bath/Freeport"/>
    <n v="2"/>
  </r>
  <r>
    <n v="225"/>
    <s v="UE"/>
    <s v="Order"/>
    <n v="21"/>
    <x v="0"/>
    <x v="125"/>
    <n v="5"/>
    <n v="23.25"/>
    <d v="1899-12-30T02:01:00"/>
    <n v="2.0166666666666666"/>
    <n v="2"/>
    <x v="0"/>
    <s v="Lewiston"/>
    <n v="3"/>
  </r>
  <r>
    <n v="226"/>
    <s v="UE"/>
    <s v="Order"/>
    <n v="22"/>
    <x v="3"/>
    <x v="126"/>
    <n v="4"/>
    <n v="52.4"/>
    <d v="1899-12-30T04:56:00"/>
    <n v="4.9333333333333336"/>
    <n v="5"/>
    <x v="0"/>
    <s v="Portland"/>
    <n v="4"/>
  </r>
  <r>
    <n v="227"/>
    <s v="DD"/>
    <s v="Order"/>
    <n v="22"/>
    <x v="3"/>
    <x v="126"/>
    <n v="2"/>
    <n v="10.5"/>
    <d v="1899-12-30T01:35:00"/>
    <n v="1.5833333333333335"/>
    <n v="1.5"/>
    <x v="0"/>
    <s v="Portland"/>
    <n v="4"/>
  </r>
  <r>
    <n v="228"/>
    <s v="DD"/>
    <s v="Order"/>
    <n v="22"/>
    <x v="3"/>
    <x v="126"/>
    <n v="2"/>
    <n v="17"/>
    <d v="1899-12-30T00:59:00"/>
    <n v="0.98333333333333339"/>
    <n v="1"/>
    <x v="0"/>
    <s v="Portland"/>
    <n v="4"/>
  </r>
  <r>
    <n v="229"/>
    <s v="DD"/>
    <s v="Order"/>
    <n v="22"/>
    <x v="3"/>
    <x v="126"/>
    <n v="5"/>
    <n v="29.5"/>
    <d v="1899-12-30T01:40:00"/>
    <n v="1.6666666666666665"/>
    <n v="1.75"/>
    <x v="0"/>
    <s v="Portland"/>
    <n v="4"/>
  </r>
  <r>
    <n v="230"/>
    <s v="UE"/>
    <s v="Order"/>
    <n v="23"/>
    <x v="6"/>
    <x v="127"/>
    <n v="2"/>
    <n v="53.15"/>
    <d v="1899-12-30T03:52:00"/>
    <n v="3.8666666666666671"/>
    <n v="3.75"/>
    <x v="0"/>
    <s v="Brunswick/Bath/Freeport"/>
    <n v="2"/>
  </r>
  <r>
    <n v="231"/>
    <s v="DD"/>
    <s v="Order"/>
    <n v="23"/>
    <x v="6"/>
    <x v="127"/>
    <n v="2"/>
    <n v="20.5"/>
    <d v="1899-12-30T02:13:00"/>
    <n v="2.2166666666666668"/>
    <n v="2.25"/>
    <x v="0"/>
    <s v="Brunswick/Bath/Freeport"/>
    <n v="2"/>
  </r>
  <r>
    <n v="232"/>
    <s v="DD"/>
    <s v="Order"/>
    <n v="23"/>
    <x v="6"/>
    <x v="127"/>
    <n v="2"/>
    <n v="17.75"/>
    <d v="1899-12-30T00:53:00"/>
    <n v="0.8833333333333333"/>
    <n v="1"/>
    <x v="0"/>
    <s v="Brunswick/Bath/Freeport"/>
    <n v="2"/>
  </r>
  <r>
    <n v="233"/>
    <s v="DD"/>
    <s v="Order"/>
    <n v="23"/>
    <x v="0"/>
    <x v="128"/>
    <n v="1"/>
    <n v="11.75"/>
    <d v="1899-12-30T00:51:00"/>
    <n v="0.85"/>
    <n v="0.75"/>
    <x v="0"/>
    <s v="Portland"/>
    <n v="4"/>
  </r>
  <r>
    <n v="234"/>
    <s v="DD"/>
    <s v="Order"/>
    <n v="23"/>
    <x v="0"/>
    <x v="128"/>
    <n v="2"/>
    <n v="19.5"/>
    <d v="1899-12-30T01:36:00"/>
    <n v="1.6"/>
    <n v="1.5"/>
    <x v="0"/>
    <s v="Portland"/>
    <n v="4"/>
  </r>
  <r>
    <n v="235"/>
    <s v="UE"/>
    <s v="Order"/>
    <n v="23"/>
    <x v="0"/>
    <x v="128"/>
    <n v="1"/>
    <n v="9.9700000000000006"/>
    <d v="1899-12-30T03:51:00"/>
    <n v="3.8500000000000005"/>
    <n v="3.75"/>
    <x v="0"/>
    <s v="Portland"/>
    <n v="4"/>
  </r>
  <r>
    <n v="236"/>
    <s v="UE"/>
    <s v="Order"/>
    <n v="24"/>
    <x v="6"/>
    <x v="129"/>
    <n v="1"/>
    <n v="11.52"/>
    <d v="1899-12-30T05:07:00"/>
    <n v="5.1166666666666663"/>
    <n v="5"/>
    <x v="0"/>
    <s v="Brunswick/Bath/Freeport"/>
    <n v="2"/>
  </r>
  <r>
    <n v="237"/>
    <s v="DD"/>
    <s v="Order"/>
    <n v="24"/>
    <x v="6"/>
    <x v="129"/>
    <n v="10"/>
    <n v="77.11"/>
    <d v="1899-12-30T05:47:00"/>
    <n v="5.7833333333333332"/>
    <n v="5.75"/>
    <x v="0"/>
    <s v="Brunswick/Bath/Freeport"/>
    <n v="2"/>
  </r>
  <r>
    <n v="238"/>
    <s v="UE"/>
    <s v="Order"/>
    <n v="24"/>
    <x v="0"/>
    <x v="130"/>
    <n v="2"/>
    <n v="48.75"/>
    <d v="1899-12-30T05:36:00"/>
    <n v="5.6"/>
    <n v="5.5"/>
    <x v="0"/>
    <s v="Portland"/>
    <n v="4"/>
  </r>
  <r>
    <n v="239"/>
    <s v="DD"/>
    <s v="Order"/>
    <n v="24"/>
    <x v="0"/>
    <x v="130"/>
    <n v="8"/>
    <n v="57.5"/>
    <d v="1899-12-30T02:35:00"/>
    <n v="2.5833333333333335"/>
    <n v="2.5"/>
    <x v="2"/>
    <s v="Portland"/>
    <n v="4"/>
  </r>
  <r>
    <n v="240"/>
    <s v="DD"/>
    <s v="Order"/>
    <n v="24"/>
    <x v="0"/>
    <x v="130"/>
    <n v="6"/>
    <n v="48.25"/>
    <d v="1899-12-30T02:37:00"/>
    <n v="2.6166666666666667"/>
    <n v="2.5"/>
    <x v="2"/>
    <s v="Portland"/>
    <n v="4"/>
  </r>
  <r>
    <n v="241"/>
    <s v="UE"/>
    <s v="Order"/>
    <n v="24"/>
    <x v="2"/>
    <x v="131"/>
    <n v="3"/>
    <n v="43.01"/>
    <d v="1899-12-30T05:37:00"/>
    <n v="5.616666666666668"/>
    <n v="5.5"/>
    <x v="0"/>
    <s v="Portland"/>
    <n v="4"/>
  </r>
  <r>
    <n v="242"/>
    <s v="DD"/>
    <s v="Order"/>
    <n v="24"/>
    <x v="2"/>
    <x v="131"/>
    <n v="10"/>
    <n v="101.63"/>
    <d v="1899-12-30T05:56:00"/>
    <n v="5.9333333333333336"/>
    <n v="6"/>
    <x v="0"/>
    <s v="Portland"/>
    <n v="4"/>
  </r>
  <r>
    <n v="243"/>
    <s v="UE"/>
    <s v="Order"/>
    <n v="25"/>
    <x v="6"/>
    <x v="132"/>
    <n v="7"/>
    <n v="83.72"/>
    <d v="1899-12-30T05:49:00"/>
    <n v="5.8166666666666664"/>
    <n v="5.75"/>
    <x v="0"/>
    <s v="Portland"/>
    <n v="4"/>
  </r>
  <r>
    <n v="244"/>
    <s v="DD"/>
    <s v="Order"/>
    <n v="25"/>
    <x v="6"/>
    <x v="132"/>
    <n v="1"/>
    <n v="10.25"/>
    <d v="1899-12-30T01:16:00"/>
    <n v="1.2666666666666666"/>
    <n v="1.25"/>
    <x v="0"/>
    <s v="Portland"/>
    <n v="4"/>
  </r>
  <r>
    <n v="245"/>
    <s v="DD"/>
    <s v="Order"/>
    <n v="25"/>
    <x v="6"/>
    <x v="132"/>
    <n v="1"/>
    <n v="9.75"/>
    <d v="1899-12-30T00:48:00"/>
    <n v="0.8"/>
    <n v="0.75"/>
    <x v="0"/>
    <s v="Portland"/>
    <n v="4"/>
  </r>
  <r>
    <n v="246"/>
    <s v="DD"/>
    <s v="Order"/>
    <n v="25"/>
    <x v="6"/>
    <x v="132"/>
    <n v="1"/>
    <n v="20"/>
    <d v="1899-12-30T00:51:00"/>
    <n v="0.85"/>
    <n v="0.75"/>
    <x v="2"/>
    <s v="Portland"/>
    <n v="4"/>
  </r>
  <r>
    <n v="247"/>
    <s v="UE"/>
    <s v="Order"/>
    <n v="25"/>
    <x v="1"/>
    <x v="133"/>
    <n v="7"/>
    <n v="84.91"/>
    <d v="1899-12-30T06:00:00"/>
    <n v="6"/>
    <n v="6"/>
    <x v="0"/>
    <s v="Lewiston"/>
    <n v="3"/>
  </r>
  <r>
    <n v="248"/>
    <s v="DD"/>
    <s v="Order"/>
    <n v="25"/>
    <x v="1"/>
    <x v="133"/>
    <n v="8"/>
    <n v="57.5"/>
    <d v="1899-12-30T04:55:00"/>
    <n v="4.916666666666667"/>
    <n v="5"/>
    <x v="0"/>
    <s v="Lewiston"/>
    <n v="3"/>
  </r>
  <r>
    <n v="249"/>
    <s v="DD"/>
    <s v="Order"/>
    <n v="25"/>
    <x v="1"/>
    <x v="133"/>
    <n v="1"/>
    <n v="13"/>
    <d v="1899-12-30T01:13:00"/>
    <n v="1.2166666666666668"/>
    <n v="1.25"/>
    <x v="2"/>
    <s v="Lewiston"/>
    <n v="3"/>
  </r>
  <r>
    <n v="250"/>
    <s v="DD"/>
    <s v="Order"/>
    <n v="25"/>
    <x v="1"/>
    <x v="133"/>
    <n v="1"/>
    <n v="7"/>
    <d v="1899-12-30T00:37:00"/>
    <n v="0.6166666666666667"/>
    <n v="0.5"/>
    <x v="2"/>
    <s v="Lewiston"/>
    <n v="3"/>
  </r>
  <r>
    <n v="251"/>
    <s v="UE"/>
    <s v="Order"/>
    <n v="26"/>
    <x v="5"/>
    <x v="134"/>
    <n v="2"/>
    <n v="13.98"/>
    <d v="1899-12-30T03:07:00"/>
    <n v="3.1166666666666671"/>
    <n v="3"/>
    <x v="0"/>
    <s v="Lewiston"/>
    <n v="3"/>
  </r>
  <r>
    <n v="252"/>
    <s v="DD"/>
    <s v="Order"/>
    <n v="26"/>
    <x v="5"/>
    <x v="134"/>
    <n v="1"/>
    <n v="6.25"/>
    <d v="1899-12-30T01:47:00"/>
    <n v="1.7833333333333332"/>
    <n v="1.75"/>
    <x v="0"/>
    <s v="Lewiston"/>
    <n v="3"/>
  </r>
  <r>
    <n v="253"/>
    <s v="DD"/>
    <s v="Order"/>
    <n v="26"/>
    <x v="5"/>
    <x v="134"/>
    <n v="2"/>
    <n v="7.5"/>
    <d v="1899-12-30T01:34:00"/>
    <n v="1.5666666666666669"/>
    <n v="1.5"/>
    <x v="0"/>
    <s v="Lewiston"/>
    <n v="3"/>
  </r>
  <r>
    <n v="254"/>
    <s v="UE"/>
    <s v="Order"/>
    <n v="26"/>
    <x v="0"/>
    <x v="135"/>
    <n v="3"/>
    <n v="46.44"/>
    <d v="1899-12-30T04:51:00"/>
    <n v="4.8499999999999996"/>
    <n v="4.75"/>
    <x v="0"/>
    <s v="Brunswick/Bath/Freeport"/>
    <n v="2"/>
  </r>
  <r>
    <n v="255"/>
    <s v="DD"/>
    <s v="Order"/>
    <n v="26"/>
    <x v="0"/>
    <x v="135"/>
    <n v="3"/>
    <n v="41.9"/>
    <d v="1899-12-30T02:48:00"/>
    <n v="2.8"/>
    <n v="2.75"/>
    <x v="0"/>
    <s v="Brunswick/Bath/Freeport"/>
    <n v="2"/>
  </r>
  <r>
    <n v="256"/>
    <s v="DD"/>
    <s v="Order"/>
    <n v="26"/>
    <x v="0"/>
    <x v="135"/>
    <n v="2"/>
    <n v="28.75"/>
    <d v="1899-12-30T01:09:00"/>
    <n v="1.1499999999999999"/>
    <n v="1.25"/>
    <x v="0"/>
    <s v="Brunswick/Bath/Freeport"/>
    <n v="2"/>
  </r>
  <r>
    <n v="257"/>
    <s v="DD"/>
    <s v="Order"/>
    <n v="26"/>
    <x v="0"/>
    <x v="135"/>
    <n v="1"/>
    <n v="7"/>
    <d v="1899-12-30T01:45:00"/>
    <n v="1.75"/>
    <n v="1.75"/>
    <x v="2"/>
    <s v="Lewiston"/>
    <n v="3"/>
  </r>
  <r>
    <n v="258"/>
    <s v="UE"/>
    <s v="Order"/>
    <n v="26"/>
    <x v="1"/>
    <x v="136"/>
    <n v="3"/>
    <n v="37.93"/>
    <d v="1899-12-30T05:13:00"/>
    <n v="5.2166666666666668"/>
    <n v="5.25"/>
    <x v="0"/>
    <s v="Lewiston"/>
    <n v="3"/>
  </r>
  <r>
    <n v="259"/>
    <s v="DD"/>
    <s v="Order"/>
    <n v="26"/>
    <x v="1"/>
    <x v="136"/>
    <n v="13"/>
    <n v="80.75"/>
    <d v="1899-12-30T05:48:00"/>
    <n v="5.8"/>
    <n v="5.75"/>
    <x v="0"/>
    <s v="Lewiston"/>
    <n v="3"/>
  </r>
  <r>
    <n v="260"/>
    <s v="UE"/>
    <s v="Order"/>
    <n v="26"/>
    <x v="2"/>
    <x v="137"/>
    <n v="5"/>
    <n v="44.9"/>
    <d v="1899-12-30T05:15:00"/>
    <n v="5.25"/>
    <n v="5.25"/>
    <x v="0"/>
    <s v="Lewiston"/>
    <n v="3"/>
  </r>
  <r>
    <n v="261"/>
    <s v="DD"/>
    <s v="Order"/>
    <n v="26"/>
    <x v="2"/>
    <x v="137"/>
    <n v="6"/>
    <n v="45.89"/>
    <d v="1899-12-30T03:33:00"/>
    <n v="3.55"/>
    <n v="3.5"/>
    <x v="0"/>
    <s v="Lewiston"/>
    <n v="3"/>
  </r>
  <r>
    <n v="262"/>
    <s v="DD"/>
    <s v="Order"/>
    <n v="26"/>
    <x v="2"/>
    <x v="137"/>
    <n v="5"/>
    <n v="32.79"/>
    <d v="1899-12-30T02:42:00"/>
    <n v="2.7"/>
    <n v="2.75"/>
    <x v="0"/>
    <s v="Lewiston"/>
    <n v="3"/>
  </r>
  <r>
    <n v="263"/>
    <s v="UE"/>
    <s v="Order"/>
    <n v="27"/>
    <x v="4"/>
    <x v="138"/>
    <n v="2"/>
    <n v="24.87"/>
    <d v="1899-12-30T02:25:00"/>
    <n v="2.4166666666666665"/>
    <n v="2.5"/>
    <x v="0"/>
    <s v="Portland"/>
    <n v="4"/>
  </r>
  <r>
    <n v="264"/>
    <s v="DD"/>
    <s v="Order"/>
    <n v="27"/>
    <x v="4"/>
    <x v="138"/>
    <n v="1"/>
    <n v="16"/>
    <d v="1899-12-30T01:19:00"/>
    <n v="1.3166666666666667"/>
    <n v="1.25"/>
    <x v="0"/>
    <s v="Portland"/>
    <n v="4"/>
  </r>
  <r>
    <n v="265"/>
    <s v="DD"/>
    <s v="Order"/>
    <n v="27"/>
    <x v="4"/>
    <x v="138"/>
    <n v="2"/>
    <n v="20"/>
    <d v="1899-12-30T02:03:00"/>
    <n v="2.0499999999999998"/>
    <n v="2"/>
    <x v="0"/>
    <s v="Portland"/>
    <n v="4"/>
  </r>
  <r>
    <n v="266"/>
    <s v="UE"/>
    <s v="Order"/>
    <n v="27"/>
    <x v="0"/>
    <x v="139"/>
    <n v="8"/>
    <n v="92.86"/>
    <d v="1899-12-30T08:05:00"/>
    <n v="8.0833333333333339"/>
    <n v="8"/>
    <x v="0"/>
    <s v="Lewiston"/>
    <n v="3"/>
  </r>
  <r>
    <n v="267"/>
    <s v="DD"/>
    <s v="Order"/>
    <n v="27"/>
    <x v="0"/>
    <x v="139"/>
    <n v="2"/>
    <n v="12.25"/>
    <d v="1899-12-30T01:44:00"/>
    <n v="1.7333333333333334"/>
    <n v="1.75"/>
    <x v="0"/>
    <s v="Lewiston"/>
    <n v="3"/>
  </r>
  <r>
    <n v="268"/>
    <s v="DD"/>
    <s v="Order"/>
    <n v="27"/>
    <x v="0"/>
    <x v="139"/>
    <n v="2"/>
    <n v="5.75"/>
    <d v="1899-12-30T01:09:00"/>
    <n v="1.1499999999999999"/>
    <n v="1.25"/>
    <x v="2"/>
    <s v="Lewiston"/>
    <n v="3"/>
  </r>
  <r>
    <n v="269"/>
    <s v="DD"/>
    <s v="Order"/>
    <n v="27"/>
    <x v="1"/>
    <x v="140"/>
    <n v="5"/>
    <n v="40.409999999999997"/>
    <d v="1899-12-30T03:19:00"/>
    <n v="3.3166666666666664"/>
    <n v="3.25"/>
    <x v="2"/>
    <s v="Portland"/>
    <n v="4"/>
  </r>
  <r>
    <n v="270"/>
    <s v="UE"/>
    <s v="Order"/>
    <n v="27"/>
    <x v="1"/>
    <x v="140"/>
    <n v="3"/>
    <n v="23.88"/>
    <d v="1899-12-30T05:16:00"/>
    <n v="5.2666666666666666"/>
    <n v="5.25"/>
    <x v="0"/>
    <s v="Lewiston"/>
    <n v="3"/>
  </r>
  <r>
    <n v="271"/>
    <s v="DD"/>
    <s v="Order"/>
    <n v="27"/>
    <x v="1"/>
    <x v="140"/>
    <n v="7"/>
    <n v="68.25"/>
    <d v="1899-12-30T03:38:00"/>
    <n v="3.6333333333333329"/>
    <n v="3.75"/>
    <x v="0"/>
    <s v="Lewiston"/>
    <n v="3"/>
  </r>
  <r>
    <n v="272"/>
    <s v="DD"/>
    <s v="Order"/>
    <n v="27"/>
    <x v="1"/>
    <x v="140"/>
    <n v="4"/>
    <n v="37.25"/>
    <d v="1899-12-30T02:57:00"/>
    <n v="2.95"/>
    <n v="3"/>
    <x v="2"/>
    <s v="Lewiston"/>
    <n v="3"/>
  </r>
  <r>
    <n v="273"/>
    <s v="DD"/>
    <s v="Order"/>
    <n v="27"/>
    <x v="1"/>
    <x v="140"/>
    <n v="1"/>
    <n v="18"/>
    <d v="1899-12-30T00:43:00"/>
    <n v="0.71666666666666667"/>
    <n v="0.75"/>
    <x v="2"/>
    <s v="Portland"/>
    <n v="4"/>
  </r>
  <r>
    <n v="274"/>
    <s v="DD"/>
    <s v="Order"/>
    <n v="28"/>
    <x v="4"/>
    <x v="141"/>
    <n v="8"/>
    <n v="60.43"/>
    <d v="1899-12-30T03:07:00"/>
    <n v="3.1166666666666671"/>
    <n v="3"/>
    <x v="0"/>
    <s v="Lewiston"/>
    <n v="3"/>
  </r>
  <r>
    <n v="275"/>
    <s v="UE"/>
    <s v="Order"/>
    <n v="28"/>
    <x v="5"/>
    <x v="142"/>
    <n v="2"/>
    <n v="45.68"/>
    <d v="1899-12-30T03:09:00"/>
    <n v="3.1500000000000004"/>
    <n v="3.25"/>
    <x v="0"/>
    <s v="Brunswick/Bath/Freeport"/>
    <n v="2"/>
  </r>
  <r>
    <n v="276"/>
    <s v="DD"/>
    <s v="Order"/>
    <n v="28"/>
    <x v="5"/>
    <x v="142"/>
    <n v="3"/>
    <n v="19.25"/>
    <d v="1899-12-30T01:16:00"/>
    <n v="1.2666666666666666"/>
    <n v="1.25"/>
    <x v="0"/>
    <s v="Brunswick/Bath/Freeport"/>
    <n v="2"/>
  </r>
  <r>
    <n v="277"/>
    <s v="DD"/>
    <s v="Order"/>
    <n v="28"/>
    <x v="5"/>
    <x v="142"/>
    <n v="1"/>
    <n v="2.5"/>
    <d v="1899-12-30T00:49:00"/>
    <n v="0.81666666666666665"/>
    <n v="0.75"/>
    <x v="0"/>
    <s v="Brunswick/Bath/Freeport"/>
    <n v="2"/>
  </r>
  <r>
    <n v="278"/>
    <s v="UE"/>
    <s v="Order"/>
    <n v="28"/>
    <x v="6"/>
    <x v="143"/>
    <n v="1"/>
    <n v="8.6999999999999993"/>
    <d v="1899-12-30T03:30:00"/>
    <n v="3.5"/>
    <n v="3.5"/>
    <x v="0"/>
    <s v="Portland"/>
    <n v="4"/>
  </r>
  <r>
    <n v="279"/>
    <s v="DD"/>
    <s v="Order"/>
    <n v="28"/>
    <x v="6"/>
    <x v="143"/>
    <n v="5"/>
    <n v="38.5"/>
    <d v="1899-12-30T02:03:00"/>
    <n v="2.0499999999999998"/>
    <n v="2"/>
    <x v="0"/>
    <s v="Portland"/>
    <n v="4"/>
  </r>
  <r>
    <n v="280"/>
    <s v="DD"/>
    <s v="Order"/>
    <n v="28"/>
    <x v="6"/>
    <x v="143"/>
    <n v="7"/>
    <n v="44"/>
    <d v="1899-12-30T02:23:00"/>
    <n v="2.3833333333333333"/>
    <n v="2.5"/>
    <x v="2"/>
    <s v="Portland"/>
    <n v="4"/>
  </r>
  <r>
    <n v="281"/>
    <s v="DD"/>
    <s v="Order"/>
    <n v="28"/>
    <x v="0"/>
    <x v="144"/>
    <n v="7"/>
    <n v="65.73"/>
    <d v="1899-12-30T03:40:00"/>
    <n v="3.6666666666666661"/>
    <n v="3.75"/>
    <x v="0"/>
    <s v="Brunswick/Bath/Freeport"/>
    <n v="2"/>
  </r>
  <r>
    <n v="282"/>
    <s v="DD"/>
    <s v="Order"/>
    <n v="28"/>
    <x v="0"/>
    <x v="144"/>
    <n v="4"/>
    <n v="25.5"/>
    <d v="1899-12-30T01:10:00"/>
    <n v="1.1666666666666667"/>
    <n v="1.25"/>
    <x v="2"/>
    <s v="Portland"/>
    <n v="4"/>
  </r>
  <r>
    <n v="283"/>
    <s v="DD"/>
    <s v="Order"/>
    <n v="28"/>
    <x v="0"/>
    <x v="144"/>
    <n v="7"/>
    <n v="54.34"/>
    <d v="1899-12-30T03:34:00"/>
    <n v="3.5666666666666664"/>
    <n v="3.5"/>
    <x v="2"/>
    <s v="Portland"/>
    <n v="4"/>
  </r>
  <r>
    <n v="284"/>
    <s v="UE"/>
    <s v="Order"/>
    <n v="29"/>
    <x v="3"/>
    <x v="145"/>
    <n v="9"/>
    <n v="112.81"/>
    <d v="1899-12-30T05:11:00"/>
    <n v="5.1833333333333336"/>
    <n v="5.25"/>
    <x v="0"/>
    <s v="Portland"/>
    <n v="4"/>
  </r>
  <r>
    <n v="285"/>
    <s v="DD"/>
    <s v="Order"/>
    <n v="29"/>
    <x v="3"/>
    <x v="145"/>
    <n v="1"/>
    <n v="9.75"/>
    <d v="1899-12-30T00:55:00"/>
    <n v="0.91666666666666652"/>
    <n v="1"/>
    <x v="0"/>
    <s v="Portland"/>
    <n v="4"/>
  </r>
  <r>
    <n v="286"/>
    <s v="UE"/>
    <s v="Order"/>
    <n v="29"/>
    <x v="5"/>
    <x v="146"/>
    <n v="4"/>
    <n v="90.59"/>
    <d v="1899-12-30T04:20:00"/>
    <n v="4.333333333333333"/>
    <n v="4.25"/>
    <x v="0"/>
    <s v="Portland"/>
    <n v="4"/>
  </r>
  <r>
    <n v="287"/>
    <s v="DD"/>
    <s v="Order"/>
    <n v="29"/>
    <x v="5"/>
    <x v="146"/>
    <n v="4"/>
    <n v="38.619999999999997"/>
    <d v="1899-12-30T02:46:00"/>
    <n v="2.7666666666666666"/>
    <n v="2.75"/>
    <x v="0"/>
    <s v="Portland"/>
    <n v="4"/>
  </r>
  <r>
    <n v="288"/>
    <s v="UE"/>
    <s v="Order"/>
    <n v="29"/>
    <x v="0"/>
    <x v="147"/>
    <n v="2"/>
    <n v="22.83"/>
    <d v="1899-12-30T00:55:34"/>
    <n v="0.92611111111111111"/>
    <n v="1"/>
    <x v="0"/>
    <s v="Brunswick/Bath/Freeport"/>
    <n v="2"/>
  </r>
  <r>
    <n v="289"/>
    <s v="DD"/>
    <s v="Order"/>
    <n v="29"/>
    <x v="0"/>
    <x v="147"/>
    <n v="2"/>
    <n v="12.75"/>
    <d v="1899-12-30T01:18:00"/>
    <n v="1.3"/>
    <n v="1.25"/>
    <x v="0"/>
    <s v="Brunswick/Bath/Freeport"/>
    <n v="2"/>
  </r>
  <r>
    <n v="290"/>
    <s v="DD"/>
    <s v="Order"/>
    <n v="29"/>
    <x v="0"/>
    <x v="147"/>
    <n v="1"/>
    <n v="6.5"/>
    <d v="1899-12-30T01:31:00"/>
    <n v="1.5166666666666666"/>
    <n v="1.5"/>
    <x v="0"/>
    <s v="Portland"/>
    <n v="4"/>
  </r>
  <r>
    <n v="291"/>
    <s v="UE"/>
    <s v="Order"/>
    <n v="29"/>
    <x v="0"/>
    <x v="147"/>
    <n v="6"/>
    <n v="58.040000000000006"/>
    <d v="1899-12-30T05:44:26"/>
    <n v="5.7405555555555559"/>
    <n v="5.75"/>
    <x v="0"/>
    <s v="Portland"/>
    <n v="4"/>
  </r>
  <r>
    <n v="292"/>
    <s v="UE"/>
    <s v="Order"/>
    <n v="29"/>
    <x v="1"/>
    <x v="148"/>
    <n v="2"/>
    <n v="15.01"/>
    <d v="1899-12-30T04:35:00"/>
    <n v="4.583333333333333"/>
    <n v="4.5"/>
    <x v="0"/>
    <s v="Portland"/>
    <n v="4"/>
  </r>
  <r>
    <n v="293"/>
    <s v="DD"/>
    <s v="Order"/>
    <n v="29"/>
    <x v="1"/>
    <x v="148"/>
    <n v="3"/>
    <n v="26.75"/>
    <d v="1899-12-30T03:34:00"/>
    <n v="3.5666666666666664"/>
    <n v="3.5"/>
    <x v="0"/>
    <s v="Brunswick/Bath/Freeport"/>
    <n v="2"/>
  </r>
  <r>
    <n v="294"/>
    <s v="DD"/>
    <s v="Order"/>
    <n v="29"/>
    <x v="1"/>
    <x v="148"/>
    <n v="9"/>
    <n v="88.21"/>
    <d v="1899-12-30T03:10:00"/>
    <n v="3.166666666666667"/>
    <n v="3.25"/>
    <x v="2"/>
    <s v="Portland"/>
    <n v="4"/>
  </r>
  <r>
    <n v="295"/>
    <s v="UE"/>
    <s v="Order"/>
    <n v="30"/>
    <x v="5"/>
    <x v="149"/>
    <n v="7"/>
    <n v="79.959999999999994"/>
    <d v="1899-12-30T04:46:00"/>
    <n v="4.7666666666666666"/>
    <n v="4.75"/>
    <x v="0"/>
    <s v="Portland"/>
    <n v="4"/>
  </r>
  <r>
    <n v="296"/>
    <s v="DD"/>
    <s v="Order"/>
    <n v="30"/>
    <x v="5"/>
    <x v="149"/>
    <n v="5"/>
    <n v="56.75"/>
    <d v="1899-12-30T02:09:00"/>
    <n v="2.15"/>
    <n v="2.25"/>
    <x v="0"/>
    <s v="Portland"/>
    <n v="4"/>
  </r>
  <r>
    <n v="297"/>
    <s v="UE"/>
    <s v="Order"/>
    <n v="30"/>
    <x v="6"/>
    <x v="150"/>
    <n v="5"/>
    <n v="57.42"/>
    <d v="1899-12-30T03:42:00"/>
    <n v="3.7"/>
    <n v="3.75"/>
    <x v="0"/>
    <s v="Brunswick/Bath/Freeport"/>
    <n v="2"/>
  </r>
  <r>
    <n v="298"/>
    <s v="DD"/>
    <s v="Order"/>
    <n v="30"/>
    <x v="6"/>
    <x v="150"/>
    <n v="7"/>
    <n v="56.75"/>
    <d v="1899-12-30T03:32:00"/>
    <n v="3.5333333333333332"/>
    <n v="3.5"/>
    <x v="0"/>
    <s v="Portland"/>
    <n v="4"/>
  </r>
  <r>
    <n v="299"/>
    <s v="UE"/>
    <s v="Order"/>
    <n v="33"/>
    <x v="3"/>
    <x v="151"/>
    <n v="2"/>
    <n v="8.99"/>
    <d v="1899-12-30T02:09:00"/>
    <n v="2.15"/>
    <n v="2.25"/>
    <x v="0"/>
    <s v="Lewiston"/>
    <n v="3"/>
  </r>
  <r>
    <n v="300"/>
    <s v="DD"/>
    <s v="Order"/>
    <n v="33"/>
    <x v="3"/>
    <x v="151"/>
    <n v="3"/>
    <n v="20.75"/>
    <d v="1899-12-30T01:54:00"/>
    <n v="1.9"/>
    <n v="2"/>
    <x v="0"/>
    <s v="Lewiston"/>
    <n v="3"/>
  </r>
  <r>
    <n v="301"/>
    <s v="DD"/>
    <s v="Order"/>
    <n v="33"/>
    <x v="3"/>
    <x v="151"/>
    <n v="5"/>
    <n v="26.84"/>
    <d v="1899-12-30T01:59:00"/>
    <n v="1.9833333333333334"/>
    <n v="2"/>
    <x v="0"/>
    <s v="Lewiston"/>
    <n v="3"/>
  </r>
  <r>
    <n v="302"/>
    <s v="UE"/>
    <s v="Order"/>
    <n v="33"/>
    <x v="4"/>
    <x v="152"/>
    <n v="7"/>
    <n v="71.319999999999993"/>
    <d v="1899-12-30T03:30:00"/>
    <n v="3.5"/>
    <n v="3.5"/>
    <x v="0"/>
    <s v="Portland"/>
    <n v="4"/>
  </r>
  <r>
    <n v="303"/>
    <s v="DD"/>
    <s v="Order"/>
    <n v="33"/>
    <x v="4"/>
    <x v="152"/>
    <n v="5"/>
    <n v="43.25"/>
    <d v="1899-12-30T01:57:00"/>
    <n v="1.9500000000000002"/>
    <n v="2"/>
    <x v="0"/>
    <s v="Portland"/>
    <n v="4"/>
  </r>
  <r>
    <n v="304"/>
    <s v="UE"/>
    <s v="Order"/>
    <n v="33"/>
    <x v="5"/>
    <x v="153"/>
    <n v="4"/>
    <n v="47.5"/>
    <d v="1899-12-30T04:22:00"/>
    <n v="4.3666666666666663"/>
    <n v="4.25"/>
    <x v="0"/>
    <s v="Lewiston"/>
    <n v="3"/>
  </r>
  <r>
    <n v="305"/>
    <s v="DD"/>
    <s v="Order"/>
    <n v="33"/>
    <x v="5"/>
    <x v="153"/>
    <n v="2"/>
    <n v="11"/>
    <d v="1899-12-30T00:46:00"/>
    <n v="0.76666666666666683"/>
    <n v="0.75"/>
    <x v="0"/>
    <s v="Lewiston"/>
    <n v="3"/>
  </r>
  <r>
    <n v="306"/>
    <s v="DD"/>
    <s v="Order"/>
    <n v="33"/>
    <x v="5"/>
    <x v="153"/>
    <n v="5"/>
    <n v="29"/>
    <d v="1899-12-30T02:39:00"/>
    <n v="2.65"/>
    <n v="2.75"/>
    <x v="2"/>
    <s v="Lewiston"/>
    <n v="3"/>
  </r>
  <r>
    <n v="307"/>
    <s v="DD"/>
    <s v="Order"/>
    <n v="33"/>
    <x v="5"/>
    <x v="153"/>
    <n v="1"/>
    <n v="12.5"/>
    <d v="1899-12-30T00:21:00"/>
    <n v="0.35"/>
    <n v="0.25"/>
    <x v="2"/>
    <s v="Lewiston"/>
    <n v="3"/>
  </r>
  <r>
    <n v="308"/>
    <s v="UE"/>
    <s v="Order"/>
    <n v="34"/>
    <x v="4"/>
    <x v="154"/>
    <n v="1"/>
    <n v="21.47"/>
    <d v="1899-12-30T04:21:00"/>
    <n v="4.3499999999999996"/>
    <n v="4.25"/>
    <x v="0"/>
    <s v="Brunswick/Bath/Freeport"/>
    <n v="2"/>
  </r>
  <r>
    <n v="309"/>
    <s v="DD"/>
    <s v="Order"/>
    <n v="34"/>
    <x v="4"/>
    <x v="154"/>
    <n v="7"/>
    <n v="65.25"/>
    <d v="1899-12-30T04:11:00"/>
    <n v="4.1833333333333336"/>
    <n v="4.25"/>
    <x v="0"/>
    <s v="Brunswick/Bath/Freeport"/>
    <n v="2"/>
  </r>
  <r>
    <n v="310"/>
    <s v="UE"/>
    <s v="Order"/>
    <n v="34"/>
    <x v="5"/>
    <x v="155"/>
    <n v="5"/>
    <n v="89.63"/>
    <d v="1899-12-30T05:01:00"/>
    <n v="5.0166666666666666"/>
    <n v="5"/>
    <x v="0"/>
    <s v="Portland"/>
    <n v="4"/>
  </r>
  <r>
    <n v="311"/>
    <s v="DD"/>
    <s v="Order"/>
    <n v="34"/>
    <x v="5"/>
    <x v="155"/>
    <n v="2"/>
    <n v="11.75"/>
    <d v="1899-12-30T00:59:00"/>
    <n v="0.98333333333333339"/>
    <n v="1"/>
    <x v="0"/>
    <s v="Portland"/>
    <n v="4"/>
  </r>
  <r>
    <n v="312"/>
    <s v="DD"/>
    <s v="Order"/>
    <n v="34"/>
    <x v="5"/>
    <x v="155"/>
    <n v="3"/>
    <n v="29.25"/>
    <d v="1899-12-30T02:28:00"/>
    <n v="2.4666666666666668"/>
    <n v="2.5"/>
    <x v="0"/>
    <s v="Portland"/>
    <n v="4"/>
  </r>
  <r>
    <n v="313"/>
    <s v="UE"/>
    <s v="Order"/>
    <n v="34"/>
    <x v="6"/>
    <x v="156"/>
    <n v="3"/>
    <n v="31.37"/>
    <d v="1899-12-30T03:59:00"/>
    <n v="3.9833333333333334"/>
    <n v="4"/>
    <x v="0"/>
    <s v="Portland"/>
    <n v="4"/>
  </r>
  <r>
    <n v="314"/>
    <s v="DD"/>
    <s v="Order"/>
    <n v="34"/>
    <x v="6"/>
    <x v="156"/>
    <n v="1"/>
    <n v="6.82"/>
    <d v="1899-12-30T01:39:00"/>
    <n v="1.65"/>
    <n v="1.75"/>
    <x v="0"/>
    <s v="Portland"/>
    <n v="4"/>
  </r>
  <r>
    <n v="315"/>
    <s v="DD"/>
    <s v="Order"/>
    <n v="34"/>
    <x v="6"/>
    <x v="156"/>
    <n v="2"/>
    <n v="23.88"/>
    <d v="1899-12-30T01:57:00"/>
    <n v="1.9500000000000002"/>
    <n v="2"/>
    <x v="0"/>
    <s v="Portland"/>
    <n v="4"/>
  </r>
  <r>
    <n v="316"/>
    <s v="DD"/>
    <s v="Order"/>
    <n v="34"/>
    <x v="6"/>
    <x v="156"/>
    <n v="2"/>
    <n v="21.75"/>
    <d v="1899-12-30T01:13:00"/>
    <n v="1.2166666666666668"/>
    <n v="1.25"/>
    <x v="0"/>
    <s v="Portland"/>
    <n v="4"/>
  </r>
  <r>
    <n v="317"/>
    <s v="UE"/>
    <s v="Order"/>
    <n v="34"/>
    <x v="1"/>
    <x v="157"/>
    <n v="4"/>
    <n v="70.52"/>
    <d v="1899-12-30T05:36:00"/>
    <n v="5.6"/>
    <n v="5.5"/>
    <x v="0"/>
    <s v="Brunswick/Bath/Freeport"/>
    <n v="2"/>
  </r>
  <r>
    <n v="318"/>
    <s v="DD"/>
    <s v="Order"/>
    <n v="34"/>
    <x v="1"/>
    <x v="157"/>
    <n v="6"/>
    <n v="39.25"/>
    <d v="1899-12-30T03:23:00"/>
    <n v="3.3833333333333333"/>
    <n v="3.5"/>
    <x v="0"/>
    <s v="Brunswick/Bath/Freeport"/>
    <n v="2"/>
  </r>
  <r>
    <n v="319"/>
    <s v="DD"/>
    <s v="Order"/>
    <n v="34"/>
    <x v="1"/>
    <x v="157"/>
    <n v="3"/>
    <n v="17.5"/>
    <d v="1899-12-30T01:33:00"/>
    <n v="1.5500000000000003"/>
    <n v="1.5"/>
    <x v="0"/>
    <s v="Brunswick/Bath/Freeport"/>
    <n v="2"/>
  </r>
  <r>
    <n v="320"/>
    <s v="UE"/>
    <s v="Order"/>
    <n v="35"/>
    <x v="3"/>
    <x v="158"/>
    <n v="2"/>
    <n v="25.72"/>
    <d v="1899-12-30T02:11:00"/>
    <n v="2.1833333333333331"/>
    <n v="2.25"/>
    <x v="0"/>
    <s v="Portland"/>
    <n v="4"/>
  </r>
  <r>
    <n v="321"/>
    <s v="DD"/>
    <s v="Order"/>
    <n v="35"/>
    <x v="3"/>
    <x v="158"/>
    <n v="7"/>
    <n v="75"/>
    <d v="1899-12-30T05:06:00"/>
    <n v="5.0999999999999996"/>
    <n v="5"/>
    <x v="0"/>
    <s v="Portland"/>
    <n v="4"/>
  </r>
  <r>
    <n v="322"/>
    <s v="UE"/>
    <s v="Order"/>
    <n v="35"/>
    <x v="1"/>
    <x v="159"/>
    <n v="5"/>
    <n v="89.85"/>
    <d v="1899-12-30T06:38:00"/>
    <n v="6.6333333333333329"/>
    <n v="6.75"/>
    <x v="0"/>
    <s v="Brunswick/Bath/Freeport"/>
    <n v="2"/>
  </r>
  <r>
    <n v="323"/>
    <s v="DD"/>
    <s v="Order"/>
    <n v="35"/>
    <x v="1"/>
    <x v="159"/>
    <n v="1"/>
    <n v="7.5"/>
    <d v="1899-12-30T01:06:00"/>
    <n v="1.1000000000000001"/>
    <n v="1"/>
    <x v="0"/>
    <s v="Brunswick/Bath/Freeport"/>
    <n v="2"/>
  </r>
  <r>
    <n v="324"/>
    <s v="DD"/>
    <s v="Order"/>
    <n v="35"/>
    <x v="1"/>
    <x v="159"/>
    <n v="2"/>
    <n v="17.75"/>
    <d v="1899-12-30T01:20:00"/>
    <n v="1.3333333333333333"/>
    <n v="1.25"/>
    <x v="2"/>
    <s v="Brunswick/Bath/Freeport"/>
    <n v="2"/>
  </r>
  <r>
    <n v="325"/>
    <s v="DD"/>
    <s v="Order"/>
    <n v="35"/>
    <x v="1"/>
    <x v="159"/>
    <n v="1"/>
    <n v="7"/>
    <d v="1899-12-30T01:31:00"/>
    <n v="1.5166666666666666"/>
    <n v="1.5"/>
    <x v="2"/>
    <s v="Brunswick/Bath/Freeport"/>
    <n v="2"/>
  </r>
  <r>
    <n v="326"/>
    <s v="UE"/>
    <s v="Order"/>
    <n v="36"/>
    <x v="3"/>
    <x v="160"/>
    <n v="1"/>
    <n v="17.79"/>
    <d v="1899-12-30T03:46:00"/>
    <n v="3.7666666666666666"/>
    <n v="3.75"/>
    <x v="0"/>
    <s v="Brunswick/Bath/Freeport"/>
    <n v="2"/>
  </r>
  <r>
    <n v="327"/>
    <s v="DD"/>
    <s v="Order"/>
    <n v="36"/>
    <x v="3"/>
    <x v="160"/>
    <n v="6"/>
    <n v="62"/>
    <d v="1899-12-30T05:16:00"/>
    <n v="5.2666666666666666"/>
    <n v="5.25"/>
    <x v="0"/>
    <s v="Brunswick/Bath/Freeport"/>
    <n v="2"/>
  </r>
  <r>
    <n v="328"/>
    <s v="UE"/>
    <s v="Order"/>
    <n v="36"/>
    <x v="4"/>
    <x v="161"/>
    <n v="9"/>
    <n v="96.78"/>
    <d v="1899-12-30T04:20:00"/>
    <n v="4.333333333333333"/>
    <n v="4.25"/>
    <x v="0"/>
    <s v="Portland"/>
    <n v="4"/>
  </r>
  <r>
    <n v="329"/>
    <s v="DD"/>
    <s v="Order"/>
    <n v="36"/>
    <x v="4"/>
    <x v="161"/>
    <n v="1"/>
    <n v="10.5"/>
    <d v="1899-12-30T00:30:00"/>
    <n v="0.5"/>
    <n v="0.5"/>
    <x v="0"/>
    <s v="Portland"/>
    <n v="4"/>
  </r>
  <r>
    <n v="330"/>
    <s v="DD"/>
    <s v="Order"/>
    <n v="36"/>
    <x v="4"/>
    <x v="161"/>
    <n v="2"/>
    <n v="11"/>
    <d v="1899-12-30T00:58:00"/>
    <n v="0.96666666666666679"/>
    <n v="1"/>
    <x v="2"/>
    <s v="Portland"/>
    <n v="4"/>
  </r>
  <r>
    <n v="331"/>
    <s v="UE"/>
    <s v="Order"/>
    <n v="36"/>
    <x v="5"/>
    <x v="162"/>
    <n v="5"/>
    <n v="94.24"/>
    <d v="1899-12-30T04:12:00"/>
    <n v="4.2"/>
    <n v="4.25"/>
    <x v="0"/>
    <s v="Portland"/>
    <n v="4"/>
  </r>
  <r>
    <n v="332"/>
    <s v="DD"/>
    <s v="Order"/>
    <n v="36"/>
    <x v="5"/>
    <x v="162"/>
    <n v="5"/>
    <n v="31.25"/>
    <d v="1899-12-30T01:53:00"/>
    <n v="1.8833333333333333"/>
    <n v="2"/>
    <x v="2"/>
    <s v="Portland"/>
    <n v="4"/>
  </r>
  <r>
    <n v="333"/>
    <s v="DD"/>
    <s v="Order"/>
    <n v="36"/>
    <x v="6"/>
    <x v="163"/>
    <n v="11"/>
    <n v="78.5"/>
    <d v="1899-12-30T05:11:00"/>
    <n v="5.1833333333333336"/>
    <n v="5.25"/>
    <x v="0"/>
    <s v="Lewiston"/>
    <n v="3"/>
  </r>
  <r>
    <n v="334"/>
    <s v="UE"/>
    <s v="Order"/>
    <n v="36"/>
    <x v="0"/>
    <x v="164"/>
    <n v="2"/>
    <n v="28.37"/>
    <d v="1899-12-30T03:15:00"/>
    <n v="3.25"/>
    <n v="3.25"/>
    <x v="1"/>
    <s v="Brunswick/Bath/Freeport"/>
    <n v="2"/>
  </r>
  <r>
    <n v="335"/>
    <s v="DD"/>
    <s v="Order"/>
    <n v="36"/>
    <x v="0"/>
    <x v="164"/>
    <n v="6"/>
    <n v="78.91"/>
    <d v="1899-12-30T02:36:00"/>
    <n v="2.6"/>
    <n v="2.5"/>
    <x v="1"/>
    <s v="Brunswick/Bath/Freeport"/>
    <n v="2"/>
  </r>
  <r>
    <n v="336"/>
    <s v="DD"/>
    <s v="Order"/>
    <n v="36"/>
    <x v="0"/>
    <x v="164"/>
    <n v="3"/>
    <n v="28.75"/>
    <d v="1899-12-30T01:16:00"/>
    <n v="1.2666666666666666"/>
    <n v="1.25"/>
    <x v="0"/>
    <s v="Brunswick/Bath/Freeport"/>
    <n v="2"/>
  </r>
  <r>
    <n v="337"/>
    <s v="UE"/>
    <s v="Order"/>
    <n v="36"/>
    <x v="1"/>
    <x v="165"/>
    <n v="5"/>
    <n v="72.39"/>
    <d v="1899-12-30T06:48:00"/>
    <n v="6.8"/>
    <n v="6.75"/>
    <x v="0"/>
    <s v="Brunswick/Bath/Freeport"/>
    <n v="2"/>
  </r>
  <r>
    <n v="338"/>
    <s v="DD"/>
    <s v="Order"/>
    <n v="36"/>
    <x v="1"/>
    <x v="165"/>
    <n v="5"/>
    <n v="46.17"/>
    <d v="1899-12-30T01:36:00"/>
    <n v="1.6"/>
    <n v="1.5"/>
    <x v="0"/>
    <s v="Brunswick/Bath/Freeport"/>
    <n v="2"/>
  </r>
  <r>
    <n v="339"/>
    <s v="DD"/>
    <s v="Order"/>
    <n v="36"/>
    <x v="1"/>
    <x v="165"/>
    <n v="2"/>
    <n v="20"/>
    <d v="1899-12-30T01:17:00"/>
    <n v="1.2833333333333332"/>
    <n v="1.25"/>
    <x v="0"/>
    <s v="Brunswick/Bath/Freeport"/>
    <n v="2"/>
  </r>
  <r>
    <n v="340"/>
    <s v="DD"/>
    <s v="Order"/>
    <n v="36"/>
    <x v="1"/>
    <x v="165"/>
    <n v="1"/>
    <n v="8"/>
    <d v="1899-12-30T00:49:00"/>
    <n v="0.81666666666666665"/>
    <n v="0.75"/>
    <x v="2"/>
    <s v="Brunswick/Bath/Freeport"/>
    <n v="2"/>
  </r>
  <r>
    <n v="341"/>
    <s v="DD"/>
    <s v="Order"/>
    <n v="36"/>
    <x v="1"/>
    <x v="165"/>
    <n v="4"/>
    <n v="39.43"/>
    <d v="1899-12-30T01:56:00"/>
    <n v="1.9333333333333336"/>
    <n v="2"/>
    <x v="2"/>
    <s v="Portland"/>
    <n v="4"/>
  </r>
  <r>
    <n v="342"/>
    <s v="UE"/>
    <s v="Order"/>
    <n v="37"/>
    <x v="3"/>
    <x v="166"/>
    <n v="10"/>
    <n v="127.1"/>
    <d v="1899-12-30T07:14:00"/>
    <n v="7.2333333333333325"/>
    <n v="7.25"/>
    <x v="0"/>
    <s v="Portland"/>
    <n v="4"/>
  </r>
  <r>
    <n v="343"/>
    <s v="DD"/>
    <s v="Order"/>
    <n v="37"/>
    <x v="3"/>
    <x v="166"/>
    <n v="2"/>
    <n v="24.5"/>
    <d v="1899-12-30T01:50:00"/>
    <n v="1.8333333333333335"/>
    <n v="1.75"/>
    <x v="2"/>
    <s v="Portland"/>
    <n v="4"/>
  </r>
  <r>
    <n v="344"/>
    <s v="DD"/>
    <s v="Order"/>
    <n v="37"/>
    <x v="3"/>
    <x v="166"/>
    <n v="2"/>
    <n v="22.5"/>
    <d v="1899-12-30T01:14:00"/>
    <n v="1.2333333333333334"/>
    <n v="1.25"/>
    <x v="2"/>
    <s v="Portland"/>
    <n v="4"/>
  </r>
  <r>
    <n v="345"/>
    <s v="UE"/>
    <s v="Order"/>
    <n v="37"/>
    <x v="4"/>
    <x v="167"/>
    <n v="6"/>
    <n v="95.26"/>
    <d v="1899-12-30T05:09:00"/>
    <n v="5.15"/>
    <n v="5.25"/>
    <x v="0"/>
    <s v="Portland"/>
    <n v="4"/>
  </r>
  <r>
    <n v="346"/>
    <s v="DD"/>
    <s v="Order"/>
    <n v="37"/>
    <x v="4"/>
    <x v="167"/>
    <n v="3"/>
    <n v="14.75"/>
    <d v="1899-12-30T00:57:00"/>
    <n v="0.95"/>
    <n v="1"/>
    <x v="0"/>
    <s v="Portland"/>
    <n v="4"/>
  </r>
  <r>
    <n v="347"/>
    <s v="UE"/>
    <s v="Order"/>
    <n v="37"/>
    <x v="5"/>
    <x v="168"/>
    <n v="3"/>
    <n v="18.829999999999998"/>
    <d v="1899-12-30T02:49:00"/>
    <n v="2.8166666666666664"/>
    <n v="2.75"/>
    <x v="0"/>
    <s v="Portland"/>
    <n v="4"/>
  </r>
  <r>
    <n v="348"/>
    <s v="UE"/>
    <s v="Order"/>
    <n v="37"/>
    <x v="6"/>
    <x v="169"/>
    <n v="11"/>
    <n v="96.87"/>
    <d v="1899-12-30T04:43:00"/>
    <n v="4.7166666666666668"/>
    <n v="4.75"/>
    <x v="0"/>
    <s v="Portland"/>
    <n v="4"/>
  </r>
  <r>
    <n v="349"/>
    <s v="DD"/>
    <s v="Order"/>
    <n v="37"/>
    <x v="6"/>
    <x v="169"/>
    <n v="1"/>
    <n v="8.9"/>
    <d v="1899-12-30T00:59:00"/>
    <n v="0.98333333333333339"/>
    <n v="1"/>
    <x v="0"/>
    <s v="Portland"/>
    <n v="4"/>
  </r>
  <r>
    <n v="350"/>
    <s v="DD"/>
    <s v="Order"/>
    <n v="37"/>
    <x v="6"/>
    <x v="169"/>
    <n v="2"/>
    <n v="9"/>
    <d v="1899-12-30T00:40:00"/>
    <n v="0.66666666666666663"/>
    <n v="0.75"/>
    <x v="0"/>
    <s v="Portland"/>
    <n v="4"/>
  </r>
  <r>
    <n v="351"/>
    <s v="UE"/>
    <s v="Order"/>
    <n v="37"/>
    <x v="0"/>
    <x v="170"/>
    <n v="1"/>
    <n v="4.7300000000000004"/>
    <d v="1899-12-30T07:06:00"/>
    <n v="7.1"/>
    <n v="7"/>
    <x v="2"/>
    <s v="Portland"/>
    <n v="4"/>
  </r>
  <r>
    <n v="352"/>
    <s v="DD"/>
    <s v="Order"/>
    <n v="37"/>
    <x v="0"/>
    <x v="170"/>
    <n v="7"/>
    <n v="75.11"/>
    <d v="1899-12-30T04:34:00"/>
    <n v="4.5666666666666664"/>
    <n v="4.5"/>
    <x v="0"/>
    <s v="Brunswick/Bath/Freeport"/>
    <n v="2"/>
  </r>
  <r>
    <n v="353"/>
    <s v="DD"/>
    <s v="Order"/>
    <n v="37"/>
    <x v="0"/>
    <x v="170"/>
    <n v="2"/>
    <n v="30.75"/>
    <d v="1899-12-30T01:54:00"/>
    <n v="1.9"/>
    <n v="2"/>
    <x v="2"/>
    <s v="Portland"/>
    <n v="4"/>
  </r>
  <r>
    <n v="354"/>
    <s v="DD"/>
    <s v="Order"/>
    <n v="37"/>
    <x v="1"/>
    <x v="171"/>
    <n v="1"/>
    <n v="8.7799999999999994"/>
    <d v="1899-12-30T01:40:00"/>
    <n v="1.6666666666666665"/>
    <n v="1.75"/>
    <x v="2"/>
    <s v="Portland"/>
    <n v="4"/>
  </r>
  <r>
    <n v="355"/>
    <s v="UE"/>
    <s v="Order"/>
    <n v="37"/>
    <x v="1"/>
    <x v="171"/>
    <n v="4"/>
    <n v="29.02"/>
    <d v="1899-12-30T02:31:00"/>
    <n v="2.5166666666666666"/>
    <n v="2.5"/>
    <x v="0"/>
    <s v="Lewiston"/>
    <n v="3"/>
  </r>
  <r>
    <n v="356"/>
    <s v="DD"/>
    <s v="Order"/>
    <n v="37"/>
    <x v="1"/>
    <x v="171"/>
    <n v="1"/>
    <n v="8.5"/>
    <d v="1899-12-30T00:20:00"/>
    <n v="0.33333333333333331"/>
    <n v="0.25"/>
    <x v="1"/>
    <s v="Lewiston"/>
    <n v="3"/>
  </r>
  <r>
    <n v="357"/>
    <s v="DD"/>
    <s v="Order"/>
    <n v="37"/>
    <x v="1"/>
    <x v="171"/>
    <n v="6"/>
    <n v="57.5"/>
    <d v="1899-12-30T04:04:00"/>
    <n v="4.0666666666666664"/>
    <n v="4"/>
    <x v="0"/>
    <s v="Lewiston"/>
    <n v="3"/>
  </r>
  <r>
    <n v="358"/>
    <s v="DD"/>
    <s v="Order"/>
    <n v="37"/>
    <x v="1"/>
    <x v="171"/>
    <n v="1"/>
    <n v="8.5"/>
    <d v="1899-12-30T00:26:00"/>
    <n v="0.43333333333333335"/>
    <n v="0.5"/>
    <x v="0"/>
    <s v="Lewiston"/>
    <n v="3"/>
  </r>
  <r>
    <n v="359"/>
    <s v="UE"/>
    <s v="Order"/>
    <n v="37"/>
    <x v="2"/>
    <x v="172"/>
    <n v="7"/>
    <n v="43.47"/>
    <d v="1899-12-30T07:19:00"/>
    <n v="7.3166666666666664"/>
    <n v="7.25"/>
    <x v="0"/>
    <s v="Lewiston"/>
    <n v="3"/>
  </r>
  <r>
    <n v="360"/>
    <s v="DD"/>
    <s v="Order"/>
    <n v="37"/>
    <x v="2"/>
    <x v="172"/>
    <n v="1"/>
    <n v="6"/>
    <d v="1899-12-30T00:57:00"/>
    <n v="0.95"/>
    <n v="1"/>
    <x v="1"/>
    <s v="Lewiston"/>
    <n v="3"/>
  </r>
  <r>
    <n v="361"/>
    <s v="DD"/>
    <s v="Order"/>
    <n v="37"/>
    <x v="2"/>
    <x v="172"/>
    <n v="15"/>
    <n v="100.32"/>
    <d v="1899-12-30T06:43:00"/>
    <n v="6.7166666666666668"/>
    <n v="6.75"/>
    <x v="0"/>
    <s v="Lewiston"/>
    <n v="3"/>
  </r>
  <r>
    <n v="362"/>
    <s v="UE"/>
    <s v="Order"/>
    <n v="38"/>
    <x v="3"/>
    <x v="173"/>
    <n v="8"/>
    <n v="78.94"/>
    <d v="1899-12-30T04:09:00"/>
    <n v="4.1500000000000004"/>
    <n v="4.25"/>
    <x v="0"/>
    <s v="Portland"/>
    <n v="4"/>
  </r>
  <r>
    <n v="363"/>
    <s v="DD"/>
    <s v="Order"/>
    <n v="38"/>
    <x v="3"/>
    <x v="173"/>
    <n v="4"/>
    <n v="27.25"/>
    <d v="1899-12-30T01:39:00"/>
    <n v="1.65"/>
    <n v="1.75"/>
    <x v="0"/>
    <s v="Portland"/>
    <n v="4"/>
  </r>
  <r>
    <n v="364"/>
    <s v="UE"/>
    <s v="Order"/>
    <n v="38"/>
    <x v="6"/>
    <x v="174"/>
    <n v="15"/>
    <n v="157.62"/>
    <d v="1899-12-30T07:12:00"/>
    <n v="7.1999999999999993"/>
    <n v="7.25"/>
    <x v="0"/>
    <s v="Lewiston"/>
    <n v="3"/>
  </r>
  <r>
    <n v="365"/>
    <s v="DD"/>
    <s v="Order"/>
    <n v="38"/>
    <x v="6"/>
    <x v="174"/>
    <n v="1"/>
    <n v="11"/>
    <d v="1899-12-30T01:59:00"/>
    <n v="1.9833333333333334"/>
    <n v="2"/>
    <x v="0"/>
    <s v="Lewiston"/>
    <n v="3"/>
  </r>
  <r>
    <n v="366"/>
    <s v="UE"/>
    <s v="Order"/>
    <n v="38"/>
    <x v="0"/>
    <x v="175"/>
    <n v="3"/>
    <n v="48.28"/>
    <d v="1899-12-30T02:08:00"/>
    <n v="2.1333333333333333"/>
    <n v="2.25"/>
    <x v="0"/>
    <s v="Brunswick/Bath/Freeport"/>
    <n v="2"/>
  </r>
  <r>
    <n v="367"/>
    <s v="DD"/>
    <s v="Order"/>
    <n v="38"/>
    <x v="0"/>
    <x v="175"/>
    <n v="3"/>
    <n v="17.5"/>
    <d v="1899-12-30T01:45:00"/>
    <n v="1.75"/>
    <n v="1.75"/>
    <x v="0"/>
    <s v="Brunswick/Bath/Freeport"/>
    <n v="2"/>
  </r>
  <r>
    <n v="368"/>
    <s v="UE"/>
    <s v="Order"/>
    <n v="38"/>
    <x v="2"/>
    <x v="176"/>
    <n v="4"/>
    <n v="77.679999999999993"/>
    <d v="1899-12-30T03:14:00"/>
    <n v="3.2333333333333334"/>
    <n v="3.25"/>
    <x v="0"/>
    <s v="Brunswick/Bath/Freeport"/>
    <n v="2"/>
  </r>
  <r>
    <n v="369"/>
    <s v="DD"/>
    <s v="Order"/>
    <n v="38"/>
    <x v="2"/>
    <x v="176"/>
    <n v="7"/>
    <n v="84.15"/>
    <d v="1899-12-30T05:19:00"/>
    <n v="5.3166666666666664"/>
    <n v="5.25"/>
    <x v="0"/>
    <s v="Brunswick/Bath/Freeport"/>
    <n v="2"/>
  </r>
  <r>
    <n v="370"/>
    <s v="UE"/>
    <s v="Order"/>
    <n v="39"/>
    <x v="3"/>
    <x v="177"/>
    <n v="5"/>
    <n v="59.41"/>
    <d v="1899-12-30T04:27:00"/>
    <n v="4.45"/>
    <n v="4.5"/>
    <x v="0"/>
    <s v="Portland"/>
    <n v="4"/>
  </r>
  <r>
    <n v="371"/>
    <s v="DD"/>
    <s v="Order"/>
    <n v="39"/>
    <x v="3"/>
    <x v="177"/>
    <n v="3"/>
    <n v="19.11"/>
    <d v="1899-12-30T01:47:00"/>
    <n v="1.7833333333333332"/>
    <n v="1.75"/>
    <x v="0"/>
    <s v="Portland"/>
    <n v="4"/>
  </r>
  <r>
    <n v="372"/>
    <s v="UE"/>
    <s v="Order"/>
    <n v="39"/>
    <x v="4"/>
    <x v="178"/>
    <n v="3"/>
    <n v="35.19"/>
    <d v="1899-12-30T02:18:00"/>
    <n v="2.2999999999999998"/>
    <n v="2.25"/>
    <x v="0"/>
    <s v="Lewiston"/>
    <n v="3"/>
  </r>
  <r>
    <n v="373"/>
    <s v="UE"/>
    <s v="Order"/>
    <n v="39"/>
    <x v="5"/>
    <x v="179"/>
    <n v="1"/>
    <n v="4.3499999999999996"/>
    <d v="1899-12-30T02:28:00"/>
    <n v="2.4666666666666668"/>
    <n v="2.5"/>
    <x v="0"/>
    <s v="Lewiston"/>
    <n v="3"/>
  </r>
  <r>
    <n v="374"/>
    <s v="DD"/>
    <s v="Order"/>
    <n v="39"/>
    <x v="5"/>
    <x v="179"/>
    <n v="5"/>
    <n v="28.25"/>
    <d v="1899-12-30T02:03:00"/>
    <n v="2.0499999999999998"/>
    <n v="2"/>
    <x v="0"/>
    <s v="Lewiston"/>
    <n v="3"/>
  </r>
  <r>
    <n v="375"/>
    <s v="DD"/>
    <s v="Order"/>
    <n v="39"/>
    <x v="5"/>
    <x v="179"/>
    <n v="4"/>
    <n v="13.25"/>
    <d v="1899-12-30T01:18:00"/>
    <n v="1.3"/>
    <n v="1.25"/>
    <x v="0"/>
    <s v="Lewiston"/>
    <n v="3"/>
  </r>
  <r>
    <n v="376"/>
    <s v="UE"/>
    <s v="Order"/>
    <n v="39"/>
    <x v="0"/>
    <x v="180"/>
    <n v="2"/>
    <n v="17.72"/>
    <d v="1899-12-30T04:53:00"/>
    <n v="4.8833333333333329"/>
    <n v="5"/>
    <x v="0"/>
    <s v="Brunswick/Bath/Freeport"/>
    <n v="2"/>
  </r>
  <r>
    <n v="377"/>
    <s v="DD"/>
    <s v="Order"/>
    <n v="39"/>
    <x v="0"/>
    <x v="180"/>
    <n v="11"/>
    <n v="76.31"/>
    <d v="1899-12-30T06:46:00"/>
    <n v="6.7666666666666666"/>
    <n v="6.75"/>
    <x v="0"/>
    <s v="Brunswick/Bath/Freeport"/>
    <n v="2"/>
  </r>
  <r>
    <n v="378"/>
    <s v="UE"/>
    <s v="Order"/>
    <n v="39"/>
    <x v="2"/>
    <x v="181"/>
    <n v="1"/>
    <n v="18.97"/>
    <d v="1899-12-30T03:19:00"/>
    <n v="3.3166666666666664"/>
    <n v="3.25"/>
    <x v="0"/>
    <s v="Brunswick/Bath/Freeport"/>
    <n v="2"/>
  </r>
  <r>
    <n v="379"/>
    <s v="DD"/>
    <s v="Order"/>
    <n v="39"/>
    <x v="2"/>
    <x v="181"/>
    <n v="5"/>
    <n v="46"/>
    <d v="1899-12-30T02:59:00"/>
    <n v="2.9833333333333334"/>
    <n v="3"/>
    <x v="0"/>
    <s v="Brunswick/Bath/Freeport"/>
    <n v="2"/>
  </r>
  <r>
    <n v="380"/>
    <s v="UE"/>
    <s v="Order"/>
    <n v="40"/>
    <x v="3"/>
    <x v="182"/>
    <n v="6"/>
    <n v="80.540000000000006"/>
    <d v="1899-12-30T05:54:00"/>
    <n v="5.9"/>
    <n v="6"/>
    <x v="0"/>
    <s v="Portland"/>
    <n v="4"/>
  </r>
  <r>
    <n v="381"/>
    <s v="DD"/>
    <s v="Order"/>
    <n v="40"/>
    <x v="3"/>
    <x v="182"/>
    <n v="4"/>
    <n v="27"/>
    <d v="1899-12-30T02:25:00"/>
    <n v="2.4166666666666665"/>
    <n v="2.5"/>
    <x v="0"/>
    <s v="Portland"/>
    <n v="4"/>
  </r>
  <r>
    <n v="382"/>
    <s v="DD"/>
    <s v="Order"/>
    <n v="40"/>
    <x v="3"/>
    <x v="182"/>
    <n v="1"/>
    <n v="7.3"/>
    <d v="1899-12-30T00:42:00"/>
    <n v="0.7"/>
    <n v="0.75"/>
    <x v="2"/>
    <s v="Portland"/>
    <n v="4"/>
  </r>
  <r>
    <n v="383"/>
    <s v="DD"/>
    <s v="Order"/>
    <n v="40"/>
    <x v="3"/>
    <x v="182"/>
    <n v="5"/>
    <n v="52.75"/>
    <d v="1899-12-30T01:29:00"/>
    <n v="1.4833333333333334"/>
    <n v="1.5"/>
    <x v="2"/>
    <s v="Portland"/>
    <n v="4"/>
  </r>
  <r>
    <n v="384"/>
    <s v="UE"/>
    <s v="Order"/>
    <n v="40"/>
    <x v="4"/>
    <x v="183"/>
    <n v="4"/>
    <n v="24.42"/>
    <d v="1899-12-30T06:01:00"/>
    <n v="6.0166666666666666"/>
    <n v="6"/>
    <x v="0"/>
    <s v="Portland"/>
    <n v="4"/>
  </r>
  <r>
    <n v="385"/>
    <s v="DD"/>
    <s v="Order"/>
    <n v="40"/>
    <x v="4"/>
    <x v="183"/>
    <n v="2"/>
    <n v="12"/>
    <d v="1899-12-30T01:02:00"/>
    <n v="1.0333333333333334"/>
    <n v="1"/>
    <x v="0"/>
    <s v="Portland"/>
    <n v="4"/>
  </r>
  <r>
    <n v="386"/>
    <s v="DD"/>
    <s v="Order"/>
    <n v="40"/>
    <x v="4"/>
    <x v="183"/>
    <n v="7"/>
    <n v="49.5"/>
    <d v="1899-12-30T03:36:00"/>
    <n v="3.5999999999999996"/>
    <n v="3.5"/>
    <x v="0"/>
    <s v="Portland"/>
    <n v="4"/>
  </r>
  <r>
    <n v="387"/>
    <s v="UE"/>
    <s v="Order"/>
    <n v="40"/>
    <x v="6"/>
    <x v="184"/>
    <n v="7"/>
    <n v="76.180000000000007"/>
    <d v="1899-12-30T04:48:00"/>
    <n v="4.8"/>
    <n v="4.75"/>
    <x v="0"/>
    <s v="Portland"/>
    <n v="4"/>
  </r>
  <r>
    <n v="388"/>
    <s v="DD"/>
    <s v="Order"/>
    <n v="40"/>
    <x v="6"/>
    <x v="184"/>
    <n v="3"/>
    <n v="25.75"/>
    <d v="1899-12-30T02:04:00"/>
    <n v="2.0666666666666669"/>
    <n v="2"/>
    <x v="0"/>
    <s v="Portland"/>
    <n v="4"/>
  </r>
  <r>
    <n v="389"/>
    <s v="UE"/>
    <s v="Order"/>
    <n v="40"/>
    <x v="0"/>
    <x v="185"/>
    <n v="5"/>
    <n v="63.46"/>
    <d v="1899-12-30T02:15:00"/>
    <n v="2.25"/>
    <n v="2.25"/>
    <x v="0"/>
    <s v="Brunswick/Bath/Freeport"/>
    <n v="2"/>
  </r>
  <r>
    <n v="390"/>
    <s v="DD"/>
    <s v="Order"/>
    <n v="40"/>
    <x v="0"/>
    <x v="185"/>
    <n v="2"/>
    <n v="22"/>
    <d v="1899-12-30T01:31:00"/>
    <n v="1.5166666666666666"/>
    <n v="1.5"/>
    <x v="0"/>
    <s v="Brunswick/Bath/Freeport"/>
    <n v="2"/>
  </r>
  <r>
    <n v="391"/>
    <s v="UE"/>
    <s v="Order"/>
    <n v="40"/>
    <x v="2"/>
    <x v="186"/>
    <n v="1"/>
    <n v="9.83"/>
    <d v="1899-12-30T02:45:00"/>
    <n v="2.75"/>
    <n v="2.75"/>
    <x v="0"/>
    <s v="Brunswick/Bath/Freeport"/>
    <n v="2"/>
  </r>
  <r>
    <n v="392"/>
    <s v="DD"/>
    <s v="Order"/>
    <n v="40"/>
    <x v="2"/>
    <x v="186"/>
    <n v="3"/>
    <n v="36"/>
    <d v="1899-12-30T01:36:00"/>
    <n v="1.6"/>
    <n v="1.5"/>
    <x v="0"/>
    <s v="Brunswick/Bath/Freeport"/>
    <n v="2"/>
  </r>
  <r>
    <n v="393"/>
    <s v="UE"/>
    <s v="Order"/>
    <n v="41"/>
    <x v="3"/>
    <x v="187"/>
    <n v="6"/>
    <n v="36.9"/>
    <d v="1899-12-30T05:57:00"/>
    <n v="5.95"/>
    <n v="6"/>
    <x v="0"/>
    <s v="Lewiston"/>
    <n v="3"/>
  </r>
  <r>
    <n v="394"/>
    <s v="DD"/>
    <s v="Order"/>
    <n v="41"/>
    <x v="3"/>
    <x v="187"/>
    <n v="2"/>
    <n v="14"/>
    <d v="1899-12-30T01:03:00"/>
    <n v="1.05"/>
    <n v="1"/>
    <x v="0"/>
    <s v="Lewiston"/>
    <n v="3"/>
  </r>
  <r>
    <n v="395"/>
    <s v="DD"/>
    <s v="Order"/>
    <n v="41"/>
    <x v="3"/>
    <x v="187"/>
    <n v="4"/>
    <n v="32"/>
    <d v="1899-12-30T01:53:00"/>
    <n v="1.8833333333333333"/>
    <n v="2"/>
    <x v="2"/>
    <s v="Lewiston"/>
    <n v="3"/>
  </r>
  <r>
    <n v="396"/>
    <s v="UE"/>
    <s v="Order"/>
    <n v="41"/>
    <x v="5"/>
    <x v="188"/>
    <n v="8"/>
    <n v="95.1"/>
    <d v="1899-12-30T07:04:00"/>
    <n v="7.0666666666666664"/>
    <n v="7"/>
    <x v="0"/>
    <s v="Portland"/>
    <n v="4"/>
  </r>
  <r>
    <n v="397"/>
    <s v="DD"/>
    <s v="Order"/>
    <n v="41"/>
    <x v="5"/>
    <x v="188"/>
    <n v="5"/>
    <n v="37"/>
    <d v="1899-12-30T03:43:00"/>
    <n v="3.7166666666666668"/>
    <n v="3.75"/>
    <x v="2"/>
    <s v="Portland"/>
    <n v="4"/>
  </r>
  <r>
    <n v="398"/>
    <s v="UE"/>
    <s v="Order"/>
    <n v="41"/>
    <x v="6"/>
    <x v="189"/>
    <n v="8"/>
    <n v="148.06"/>
    <d v="1899-12-30T04:36:00"/>
    <n v="4.5999999999999996"/>
    <n v="4.5"/>
    <x v="0"/>
    <s v="Brunswick/Bath/Freeport"/>
    <n v="2"/>
  </r>
  <r>
    <n v="399"/>
    <s v="DD"/>
    <s v="Order"/>
    <n v="41"/>
    <x v="6"/>
    <x v="189"/>
    <n v="4"/>
    <n v="19.5"/>
    <d v="1899-12-30T01:43:00"/>
    <n v="1.7166666666666668"/>
    <n v="1.75"/>
    <x v="2"/>
    <s v="Brunswick/Bath/Freeport"/>
    <n v="2"/>
  </r>
  <r>
    <n v="400"/>
    <s v="DD"/>
    <s v="Order"/>
    <n v="41"/>
    <x v="6"/>
    <x v="189"/>
    <n v="2"/>
    <n v="9.75"/>
    <d v="1899-12-30T00:41:00"/>
    <n v="0.68333333333333335"/>
    <n v="0.75"/>
    <x v="2"/>
    <s v="Brunswick/Bath/Freeport"/>
    <n v="2"/>
  </r>
  <r>
    <n v="401"/>
    <s v="UE"/>
    <s v="Order"/>
    <n v="41"/>
    <x v="0"/>
    <x v="190"/>
    <n v="16"/>
    <n v="164.45"/>
    <d v="1899-12-30T10:29:00"/>
    <n v="10.483333333333333"/>
    <n v="10.5"/>
    <x v="1"/>
    <s v="Brunswick/Bath/Freeport"/>
    <n v="2"/>
  </r>
  <r>
    <n v="402"/>
    <s v="DD"/>
    <s v="Order"/>
    <n v="41"/>
    <x v="0"/>
    <x v="190"/>
    <n v="5"/>
    <n v="34.54"/>
    <d v="1899-12-30T02:37:00"/>
    <n v="2.6166666666666667"/>
    <n v="2.5"/>
    <x v="1"/>
    <s v="Brunswick/Bath/Freeport"/>
    <n v="2"/>
  </r>
  <r>
    <n v="403"/>
    <s v="DD"/>
    <s v="Order"/>
    <n v="41"/>
    <x v="0"/>
    <x v="190"/>
    <n v="1"/>
    <n v="10"/>
    <d v="1899-12-30T01:59:00"/>
    <n v="1.9833333333333334"/>
    <n v="2"/>
    <x v="0"/>
    <s v="Brunswick/Bath/Freeport"/>
    <n v="2"/>
  </r>
  <r>
    <n v="404"/>
    <s v="UE"/>
    <s v="Order"/>
    <n v="41"/>
    <x v="1"/>
    <x v="191"/>
    <n v="5"/>
    <n v="55.79"/>
    <d v="1899-12-30T07:58:00"/>
    <n v="7.9666666666666668"/>
    <n v="8"/>
    <x v="0"/>
    <s v="Lewiston"/>
    <n v="3"/>
  </r>
  <r>
    <n v="405"/>
    <s v="DD"/>
    <s v="Order"/>
    <n v="41"/>
    <x v="1"/>
    <x v="191"/>
    <n v="1"/>
    <n v="9.5"/>
    <d v="1899-12-30T01:10:00"/>
    <n v="1.1666666666666667"/>
    <n v="1.25"/>
    <x v="0"/>
    <s v="Lewiston"/>
    <n v="3"/>
  </r>
  <r>
    <n v="406"/>
    <s v="DD"/>
    <s v="Order"/>
    <n v="41"/>
    <x v="1"/>
    <x v="191"/>
    <n v="6"/>
    <n v="62.17"/>
    <d v="1899-12-30T03:29:00"/>
    <n v="3.4833333333333334"/>
    <n v="3.5"/>
    <x v="0"/>
    <s v="Lewiston"/>
    <n v="3"/>
  </r>
  <r>
    <n v="407"/>
    <s v="DD"/>
    <s v="Order"/>
    <n v="41"/>
    <x v="1"/>
    <x v="191"/>
    <n v="6"/>
    <n v="48"/>
    <d v="1899-12-30T02:38:00"/>
    <n v="2.6333333333333333"/>
    <n v="2.75"/>
    <x v="0"/>
    <s v="Lewiston"/>
    <n v="3"/>
  </r>
  <r>
    <n v="408"/>
    <s v="DD"/>
    <s v="Order"/>
    <n v="41"/>
    <x v="1"/>
    <x v="191"/>
    <n v="3"/>
    <n v="31"/>
    <d v="1899-12-30T01:34:00"/>
    <n v="1.5666666666666669"/>
    <n v="1.5"/>
    <x v="2"/>
    <s v="Lewiston"/>
    <n v="3"/>
  </r>
  <r>
    <n v="409"/>
    <s v="UE"/>
    <s v="Order"/>
    <n v="42"/>
    <x v="4"/>
    <x v="192"/>
    <n v="1"/>
    <n v="3.27"/>
    <d v="1899-12-30T02:53:00"/>
    <n v="2.8833333333333333"/>
    <n v="3"/>
    <x v="0"/>
    <s v="Lewiston"/>
    <n v="3"/>
  </r>
  <r>
    <n v="410"/>
    <s v="DD"/>
    <s v="Order"/>
    <n v="42"/>
    <x v="4"/>
    <x v="192"/>
    <n v="9"/>
    <n v="69.75"/>
    <d v="1899-12-30T04:19:00"/>
    <n v="4.3166666666666664"/>
    <n v="4.25"/>
    <x v="0"/>
    <s v="Lewiston"/>
    <n v="3"/>
  </r>
  <r>
    <n v="411"/>
    <s v="UE"/>
    <s v="Order"/>
    <n v="42"/>
    <x v="5"/>
    <x v="193"/>
    <n v="1"/>
    <n v="24.7"/>
    <d v="1899-12-30T03:25:00"/>
    <n v="3.4166666666666665"/>
    <n v="3.5"/>
    <x v="0"/>
    <s v="Brunswick/Bath/Freeport"/>
    <n v="2"/>
  </r>
  <r>
    <n v="412"/>
    <s v="DD"/>
    <s v="Order"/>
    <n v="42"/>
    <x v="5"/>
    <x v="193"/>
    <n v="1"/>
    <n v="6.75"/>
    <d v="1899-12-30T01:02:00"/>
    <n v="1.0333333333333334"/>
    <n v="1"/>
    <x v="0"/>
    <s v="Brunswick/Bath/Freeport"/>
    <n v="2"/>
  </r>
  <r>
    <n v="413"/>
    <s v="DD"/>
    <s v="Order"/>
    <n v="42"/>
    <x v="5"/>
    <x v="193"/>
    <n v="4"/>
    <n v="37.5"/>
    <d v="1899-12-30T01:47:00"/>
    <n v="1.7833333333333332"/>
    <n v="1.75"/>
    <x v="0"/>
    <s v="Brunswick/Bath/Freeport"/>
    <n v="2"/>
  </r>
  <r>
    <n v="414"/>
    <s v="DD"/>
    <s v="Order"/>
    <n v="42"/>
    <x v="5"/>
    <x v="193"/>
    <n v="3"/>
    <n v="22"/>
    <d v="1899-12-30T01:38:00"/>
    <n v="1.6333333333333333"/>
    <n v="1.75"/>
    <x v="2"/>
    <s v="Brunswick/Bath/Freeport"/>
    <n v="2"/>
  </r>
  <r>
    <n v="415"/>
    <s v="UE"/>
    <s v="Order"/>
    <n v="42"/>
    <x v="0"/>
    <x v="194"/>
    <n v="9"/>
    <n v="159.03"/>
    <d v="1899-12-30T06:49:00"/>
    <n v="6.8166666666666664"/>
    <n v="6.75"/>
    <x v="0"/>
    <s v="Brunswick/Bath/Freeport"/>
    <n v="2"/>
  </r>
  <r>
    <n v="416"/>
    <s v="DD"/>
    <s v="Order"/>
    <n v="42"/>
    <x v="0"/>
    <x v="194"/>
    <n v="1"/>
    <n v="5.75"/>
    <d v="1899-12-30T00:34:00"/>
    <n v="0.56666666666666665"/>
    <n v="0.5"/>
    <x v="0"/>
    <s v="Brunswick/Bath/Freeport"/>
    <n v="2"/>
  </r>
  <r>
    <n v="417"/>
    <s v="DD"/>
    <s v="Order"/>
    <n v="42"/>
    <x v="0"/>
    <x v="194"/>
    <n v="1"/>
    <n v="4.25"/>
    <d v="1899-12-30T00:21:00"/>
    <n v="0.35"/>
    <n v="0.25"/>
    <x v="2"/>
    <s v="Brunswick/Bath/Freeport"/>
    <n v="2"/>
  </r>
  <r>
    <n v="418"/>
    <s v="DD"/>
    <s v="Order"/>
    <n v="42"/>
    <x v="0"/>
    <x v="194"/>
    <n v="1"/>
    <n v="8.5"/>
    <d v="1899-12-30T01:14:00"/>
    <n v="1.2333333333333334"/>
    <n v="1.25"/>
    <x v="2"/>
    <s v="Brunswick/Bath/Freeport"/>
    <n v="2"/>
  </r>
  <r>
    <n v="419"/>
    <s v="UE"/>
    <s v="Order"/>
    <n v="45"/>
    <x v="0"/>
    <x v="195"/>
    <n v="1"/>
    <n v="22.03"/>
    <d v="1899-12-30T03:46:00"/>
    <n v="3.7666666666666666"/>
    <n v="3.75"/>
    <x v="0"/>
    <s v="Brunswick/Bath/Freeport"/>
    <n v="2"/>
  </r>
  <r>
    <n v="420"/>
    <s v="DD"/>
    <s v="Order"/>
    <n v="45"/>
    <x v="0"/>
    <x v="195"/>
    <n v="5"/>
    <n v="41"/>
    <d v="1899-12-30T02:07:00"/>
    <n v="2.1166666666666667"/>
    <n v="2"/>
    <x v="0"/>
    <s v="Brunswick/Bath/Freeport"/>
    <n v="2"/>
  </r>
  <r>
    <n v="421"/>
    <s v="DD"/>
    <s v="Hourly"/>
    <n v="45"/>
    <x v="0"/>
    <x v="195"/>
    <n v="2"/>
    <n v="22.17"/>
    <d v="1899-12-30T01:32:00"/>
    <n v="1.5333333333333332"/>
    <n v="1.5"/>
    <x v="2"/>
    <s v="Brunswick/Bath/Freeport"/>
    <n v="2"/>
  </r>
  <r>
    <n v="422"/>
    <s v="DD"/>
    <s v="Hourly"/>
    <n v="45"/>
    <x v="0"/>
    <x v="195"/>
    <n v="1"/>
    <n v="10.01"/>
    <d v="1899-12-30T00:45:00"/>
    <n v="0.75"/>
    <n v="0.75"/>
    <x v="2"/>
    <s v="Brunswick/Bath/Freeport"/>
    <n v="2"/>
  </r>
  <r>
    <n v="423"/>
    <s v="UE"/>
    <s v="Order"/>
    <n v="46"/>
    <x v="3"/>
    <x v="196"/>
    <n v="7"/>
    <n v="82.87"/>
    <d v="1899-12-30T03:21:00"/>
    <n v="3.35"/>
    <n v="3.25"/>
    <x v="0"/>
    <s v="Portland"/>
    <n v="4"/>
  </r>
  <r>
    <n v="424"/>
    <s v="DD"/>
    <s v="Hourly"/>
    <n v="46"/>
    <x v="3"/>
    <x v="196"/>
    <n v="1"/>
    <n v="8.16"/>
    <d v="1899-12-30T01:33:00"/>
    <n v="1.5500000000000003"/>
    <n v="1.5"/>
    <x v="0"/>
    <s v="Portland"/>
    <n v="4"/>
  </r>
  <r>
    <n v="425"/>
    <s v="DD"/>
    <s v="Hourly"/>
    <n v="46"/>
    <x v="3"/>
    <x v="196"/>
    <n v="3"/>
    <n v="38.14"/>
    <d v="1899-12-30T01:34:00"/>
    <n v="1.5666666666666669"/>
    <n v="1.5"/>
    <x v="2"/>
    <s v="Portland"/>
    <n v="4"/>
  </r>
  <r>
    <n v="426"/>
    <s v="UE"/>
    <s v="Order"/>
    <n v="46"/>
    <x v="5"/>
    <x v="197"/>
    <n v="1"/>
    <n v="8.09"/>
    <d v="1899-12-30T00:57:00"/>
    <n v="0.95"/>
    <n v="1"/>
    <x v="0"/>
    <s v="Lewiston"/>
    <n v="3"/>
  </r>
  <r>
    <n v="427"/>
    <s v="DD"/>
    <s v="Order"/>
    <n v="46"/>
    <x v="5"/>
    <x v="197"/>
    <n v="4"/>
    <n v="37"/>
    <d v="1899-12-30T02:24:00"/>
    <n v="2.4"/>
    <n v="2.5"/>
    <x v="0"/>
    <s v="Lewiston"/>
    <n v="3"/>
  </r>
  <r>
    <n v="428"/>
    <s v="UE"/>
    <s v="Order"/>
    <n v="46"/>
    <x v="6"/>
    <x v="198"/>
    <n v="6"/>
    <n v="53.99"/>
    <d v="1899-12-30T04:11:00"/>
    <n v="4.1833333333333336"/>
    <n v="4.25"/>
    <x v="0"/>
    <s v="Portland"/>
    <n v="4"/>
  </r>
  <r>
    <n v="429"/>
    <s v="DD"/>
    <s v="Hourly"/>
    <n v="46"/>
    <x v="6"/>
    <x v="198"/>
    <n v="3"/>
    <n v="27.87"/>
    <d v="1899-12-30T01:40:00"/>
    <n v="1.6666666666666665"/>
    <n v="1.75"/>
    <x v="0"/>
    <s v="Portland"/>
    <n v="4"/>
  </r>
  <r>
    <n v="430"/>
    <s v="UE"/>
    <s v="Order"/>
    <n v="46"/>
    <x v="0"/>
    <x v="199"/>
    <n v="4"/>
    <n v="69.34"/>
    <d v="1899-12-30T03:24:00"/>
    <n v="3.4"/>
    <n v="3.5"/>
    <x v="0"/>
    <s v="Brunswick/Bath/Freeport"/>
    <n v="2"/>
  </r>
  <r>
    <n v="431"/>
    <s v="DD"/>
    <s v="Order"/>
    <n v="46"/>
    <x v="0"/>
    <x v="199"/>
    <n v="2"/>
    <n v="17.5"/>
    <d v="1899-12-30T01:05:00"/>
    <n v="1.0833333333333333"/>
    <n v="1"/>
    <x v="0"/>
    <s v="Brunswick/Bath/Freeport"/>
    <n v="2"/>
  </r>
  <r>
    <n v="432"/>
    <s v="DD"/>
    <s v="Hourly"/>
    <n v="46"/>
    <x v="0"/>
    <x v="199"/>
    <n v="4"/>
    <n v="41.84"/>
    <d v="1899-12-30T03:33:00"/>
    <n v="3.55"/>
    <n v="3.5"/>
    <x v="0"/>
    <s v="Brunswick/Bath/Freeport"/>
    <n v="2"/>
  </r>
  <r>
    <n v="433"/>
    <s v="DD"/>
    <s v="Hourly"/>
    <n v="46"/>
    <x v="0"/>
    <x v="199"/>
    <n v="1"/>
    <n v="9.7100000000000009"/>
    <d v="1899-12-30T01:03:00"/>
    <n v="1.05"/>
    <n v="1"/>
    <x v="2"/>
    <s v="Brunswick/Bath/Freeport"/>
    <n v="2"/>
  </r>
  <r>
    <n v="434"/>
    <s v="UE"/>
    <s v="Order"/>
    <n v="47"/>
    <x v="6"/>
    <x v="200"/>
    <n v="4"/>
    <n v="68.91"/>
    <d v="1899-12-30T03:11:00"/>
    <n v="3.1833333333333336"/>
    <n v="3.25"/>
    <x v="0"/>
    <s v="Brunswick/Bath/Freeport"/>
    <n v="2"/>
  </r>
  <r>
    <n v="435"/>
    <s v="DD"/>
    <s v="Order"/>
    <n v="47"/>
    <x v="6"/>
    <x v="200"/>
    <n v="3"/>
    <n v="26.75"/>
    <d v="1899-12-30T01:39:00"/>
    <n v="1.65"/>
    <n v="1.75"/>
    <x v="0"/>
    <s v="Brunswick/Bath/Freeport"/>
    <n v="2"/>
  </r>
  <r>
    <n v="436"/>
    <s v="DD"/>
    <s v="Hourly"/>
    <n v="47"/>
    <x v="6"/>
    <x v="200"/>
    <n v="1"/>
    <n v="9.2899999999999991"/>
    <d v="1899-12-30T00:32:00"/>
    <n v="0.53333333333333333"/>
    <n v="0.5"/>
    <x v="0"/>
    <s v="Brunswick/Bath/Freeport"/>
    <n v="2"/>
  </r>
  <r>
    <n v="437"/>
    <s v="DD"/>
    <s v="Hourly"/>
    <n v="47"/>
    <x v="6"/>
    <x v="200"/>
    <n v="1"/>
    <n v="7.08"/>
    <d v="1899-12-30T00:26:00"/>
    <n v="0.43333333333333335"/>
    <n v="0.5"/>
    <x v="2"/>
    <s v="Brunswick/Bath/Freeport"/>
    <n v="2"/>
  </r>
  <r>
    <n v="438"/>
    <s v="UE"/>
    <s v="Order"/>
    <n v="47"/>
    <x v="0"/>
    <x v="201"/>
    <n v="4"/>
    <n v="113"/>
    <d v="1899-12-30T04:32:00"/>
    <n v="4.5333333333333332"/>
    <n v="4.5"/>
    <x v="0"/>
    <s v="Brunswick/Bath/Freeport"/>
    <n v="2"/>
  </r>
  <r>
    <n v="439"/>
    <s v="DD"/>
    <s v="Hourly"/>
    <n v="47"/>
    <x v="0"/>
    <x v="201"/>
    <n v="4"/>
    <n v="29.51"/>
    <d v="1899-12-30T01:32:00"/>
    <n v="1.5333333333333332"/>
    <n v="1.5"/>
    <x v="0"/>
    <s v="Brunswick/Bath/Freeport"/>
    <n v="2"/>
  </r>
  <r>
    <n v="440"/>
    <s v="DD"/>
    <s v="Hourly"/>
    <n v="47"/>
    <x v="0"/>
    <x v="201"/>
    <n v="5"/>
    <n v="58.52"/>
    <d v="1899-12-30T02:40:00"/>
    <n v="2.6666666666666665"/>
    <n v="2.75"/>
    <x v="2"/>
    <s v="Portland"/>
    <n v="4"/>
  </r>
  <r>
    <n v="441"/>
    <s v="DD"/>
    <s v="Hourly"/>
    <n v="47"/>
    <x v="0"/>
    <x v="201"/>
    <n v="2"/>
    <n v="13.95"/>
    <d v="1899-12-30T01:13:00"/>
    <n v="1.2166666666666668"/>
    <n v="1.25"/>
    <x v="2"/>
    <s v="Portland"/>
    <n v="4"/>
  </r>
  <r>
    <n v="442"/>
    <s v="UE"/>
    <s v="Order"/>
    <n v="48"/>
    <x v="3"/>
    <x v="202"/>
    <n v="5"/>
    <n v="99.72"/>
    <d v="1899-12-30T04:18:00"/>
    <n v="4.3"/>
    <n v="4.25"/>
    <x v="0"/>
    <s v="Portland"/>
    <n v="4"/>
  </r>
  <r>
    <n v="443"/>
    <s v="DD"/>
    <s v="Hourly"/>
    <n v="48"/>
    <x v="3"/>
    <x v="202"/>
    <n v="5"/>
    <n v="41.05"/>
    <d v="1899-12-30T03:47:00"/>
    <n v="3.7833333333333332"/>
    <n v="3.75"/>
    <x v="0"/>
    <s v="Portland"/>
    <n v="4"/>
  </r>
  <r>
    <n v="444"/>
    <s v="UE"/>
    <s v="Order"/>
    <n v="48"/>
    <x v="5"/>
    <x v="203"/>
    <n v="6"/>
    <n v="78.02"/>
    <d v="1899-12-30T04:00:00"/>
    <n v="4"/>
    <n v="4"/>
    <x v="0"/>
    <s v="Brunswick/Bath/Freeport"/>
    <n v="2"/>
  </r>
  <r>
    <n v="445"/>
    <s v="DD"/>
    <s v="Hourly"/>
    <n v="48"/>
    <x v="5"/>
    <x v="203"/>
    <n v="1"/>
    <n v="5.7"/>
    <d v="1899-12-30T00:30:00"/>
    <n v="0.5"/>
    <n v="0.5"/>
    <x v="0"/>
    <s v="Brunswick/Bath/Freeport"/>
    <n v="2"/>
  </r>
  <r>
    <n v="446"/>
    <s v="DD"/>
    <s v="Hourly"/>
    <n v="48"/>
    <x v="5"/>
    <x v="203"/>
    <n v="4"/>
    <n v="36.44"/>
    <d v="1899-12-30T02:11:00"/>
    <n v="2.1833333333333331"/>
    <n v="2.25"/>
    <x v="2"/>
    <s v="Brunswick/Bath/Freeport"/>
    <n v="2"/>
  </r>
  <r>
    <n v="447"/>
    <s v="UE"/>
    <s v="Order"/>
    <n v="48"/>
    <x v="0"/>
    <x v="204"/>
    <n v="5"/>
    <n v="68.28"/>
    <d v="1899-12-30T03:33:00"/>
    <n v="3.55"/>
    <n v="3.5"/>
    <x v="0"/>
    <s v="Brunswick/Bath/Freeport"/>
    <n v="2"/>
  </r>
  <r>
    <n v="448"/>
    <s v="DD"/>
    <s v="Hourly"/>
    <n v="48"/>
    <x v="0"/>
    <x v="204"/>
    <n v="2"/>
    <n v="14.9"/>
    <d v="1899-12-30T00:57:00"/>
    <n v="0.95"/>
    <n v="1"/>
    <x v="0"/>
    <s v="Brunswick/Bath/Freeport"/>
    <n v="2"/>
  </r>
  <r>
    <n v="449"/>
    <s v="DD"/>
    <s v="Hourly"/>
    <n v="48"/>
    <x v="0"/>
    <x v="204"/>
    <n v="2"/>
    <n v="13.24"/>
    <d v="1899-12-30T01:14:00"/>
    <n v="1.2333333333333334"/>
    <n v="1.25"/>
    <x v="2"/>
    <s v="Brunswick/Bath/Freeport"/>
    <n v="2"/>
  </r>
  <r>
    <n v="450"/>
    <s v="UE"/>
    <s v="Order"/>
    <n v="48"/>
    <x v="1"/>
    <x v="205"/>
    <n v="3"/>
    <n v="40.049999999999997"/>
    <d v="1899-12-30T04:33:00"/>
    <n v="4.55"/>
    <n v="4.5"/>
    <x v="0"/>
    <s v="Augusta"/>
    <n v="1"/>
  </r>
  <r>
    <n v="451"/>
    <s v="DD"/>
    <s v="Order"/>
    <n v="48"/>
    <x v="1"/>
    <x v="205"/>
    <n v="4"/>
    <n v="25"/>
    <d v="1899-12-30T02:56:00"/>
    <n v="2.9333333333333336"/>
    <n v="3"/>
    <x v="0"/>
    <s v="Augusta"/>
    <n v="1"/>
  </r>
  <r>
    <n v="452"/>
    <s v="DD"/>
    <s v="Order"/>
    <n v="48"/>
    <x v="1"/>
    <x v="205"/>
    <n v="2"/>
    <n v="15.75"/>
    <d v="1899-12-30T01:16:00"/>
    <n v="1.2666666666666666"/>
    <n v="1.25"/>
    <x v="0"/>
    <s v="Augusta"/>
    <n v="1"/>
  </r>
  <r>
    <n v="453"/>
    <s v="DD"/>
    <s v="Hourly"/>
    <n v="48"/>
    <x v="1"/>
    <x v="205"/>
    <n v="3"/>
    <n v="27.27"/>
    <d v="1899-12-30T01:52:00"/>
    <n v="1.8666666666666667"/>
    <n v="1.75"/>
    <x v="2"/>
    <s v="Brunswick/Bath/Freeport"/>
    <n v="2"/>
  </r>
  <r>
    <n v="454"/>
    <s v="UE"/>
    <s v="Order"/>
    <n v="48"/>
    <x v="2"/>
    <x v="206"/>
    <n v="1"/>
    <n v="12.08"/>
    <d v="1899-12-30T02:09:00"/>
    <n v="2.15"/>
    <n v="2.25"/>
    <x v="0"/>
    <s v="Brunswick/Bath/Freeport"/>
    <n v="2"/>
  </r>
  <r>
    <n v="455"/>
    <s v="DD"/>
    <s v="Hourly"/>
    <n v="48"/>
    <x v="2"/>
    <x v="206"/>
    <n v="2"/>
    <n v="20.89"/>
    <d v="1899-12-30T00:45:00"/>
    <n v="0.75"/>
    <n v="0.75"/>
    <x v="0"/>
    <s v="Brunswick/Bath/Freeport"/>
    <n v="2"/>
  </r>
  <r>
    <n v="456"/>
    <s v="DD"/>
    <s v="Hourly"/>
    <n v="48"/>
    <x v="2"/>
    <x v="206"/>
    <n v="6"/>
    <n v="35.630000000000003"/>
    <d v="1899-12-30T02:35:00"/>
    <n v="2.5833333333333335"/>
    <n v="2.5"/>
    <x v="0"/>
    <s v="Brunswick/Bath/Freeport"/>
    <n v="2"/>
  </r>
  <r>
    <n v="457"/>
    <s v="DD"/>
    <s v="Hourly"/>
    <n v="48"/>
    <x v="2"/>
    <x v="206"/>
    <n v="2"/>
    <n v="30.42"/>
    <d v="1899-12-30T00:55:00"/>
    <n v="0.91666666666666652"/>
    <n v="1"/>
    <x v="2"/>
    <s v="Brunswick/Bath/Freeport"/>
    <n v="2"/>
  </r>
  <r>
    <n v="458"/>
    <s v="UE"/>
    <s v="Order"/>
    <n v="49"/>
    <x v="3"/>
    <x v="207"/>
    <n v="5"/>
    <n v="46.61"/>
    <d v="1899-12-30T03:18:00"/>
    <n v="3.3"/>
    <n v="3.25"/>
    <x v="0"/>
    <s v="Portland"/>
    <n v="4"/>
  </r>
  <r>
    <n v="459"/>
    <s v="UE"/>
    <s v="Order"/>
    <n v="49"/>
    <x v="6"/>
    <x v="208"/>
    <n v="3"/>
    <n v="38.17"/>
    <d v="1899-12-30T02:24:00"/>
    <n v="2.4"/>
    <n v="2.5"/>
    <x v="0"/>
    <s v="Brunswick/Bath/Freeport"/>
    <n v="2"/>
  </r>
  <r>
    <n v="460"/>
    <s v="DD"/>
    <s v="Hourly"/>
    <n v="49"/>
    <x v="6"/>
    <x v="208"/>
    <n v="2"/>
    <n v="25.55"/>
    <d v="1899-12-30T02:25:00"/>
    <n v="2.4166666666666665"/>
    <n v="2.5"/>
    <x v="0"/>
    <s v="Brunswick/Bath/Freeport"/>
    <n v="2"/>
  </r>
  <r>
    <n v="461"/>
    <s v="DD"/>
    <s v="Hourly"/>
    <n v="49"/>
    <x v="6"/>
    <x v="208"/>
    <n v="1"/>
    <n v="10.15"/>
    <d v="1899-12-30T00:44:00"/>
    <n v="0.73333333333333328"/>
    <n v="0.75"/>
    <x v="0"/>
    <s v="Brunswick/Bath/Freeport"/>
    <n v="2"/>
  </r>
  <r>
    <n v="462"/>
    <s v="UE"/>
    <s v="Order"/>
    <n v="49"/>
    <x v="1"/>
    <x v="209"/>
    <n v="7"/>
    <n v="65.33"/>
    <d v="1899-12-30T04:33:00"/>
    <n v="4.55"/>
    <n v="4.5"/>
    <x v="0"/>
    <s v="Lewiston"/>
    <n v="3"/>
  </r>
  <r>
    <n v="463"/>
    <s v="DD"/>
    <s v="Order"/>
    <n v="49"/>
    <x v="1"/>
    <x v="209"/>
    <n v="1"/>
    <n v="10"/>
    <d v="1899-12-30T00:33:00"/>
    <n v="0.55000000000000004"/>
    <n v="0.5"/>
    <x v="0"/>
    <s v="Lewiston"/>
    <n v="3"/>
  </r>
  <r>
    <n v="464"/>
    <s v="DD"/>
    <s v="Order"/>
    <n v="49"/>
    <x v="1"/>
    <x v="209"/>
    <n v="1"/>
    <n v="4.25"/>
    <d v="1899-12-30T01:01:00"/>
    <n v="1.0166666666666666"/>
    <n v="1"/>
    <x v="0"/>
    <s v="Lewiston"/>
    <n v="3"/>
  </r>
  <r>
    <n v="465"/>
    <s v="DD"/>
    <s v="Order"/>
    <n v="49"/>
    <x v="1"/>
    <x v="209"/>
    <n v="5"/>
    <n v="38.5"/>
    <d v="1899-12-30T02:10:00"/>
    <n v="2.1666666666666665"/>
    <n v="2.25"/>
    <x v="0"/>
    <s v="Lewiston"/>
    <n v="3"/>
  </r>
  <r>
    <n v="466"/>
    <s v="DD"/>
    <s v="Order"/>
    <n v="49"/>
    <x v="1"/>
    <x v="209"/>
    <n v="2"/>
    <n v="16.5"/>
    <d v="1899-12-30T01:11:00"/>
    <n v="1.1833333333333333"/>
    <n v="1.25"/>
    <x v="2"/>
    <s v="Lewiston"/>
    <n v="3"/>
  </r>
  <r>
    <n v="467"/>
    <s v="DD"/>
    <s v="Order"/>
    <n v="49"/>
    <x v="1"/>
    <x v="209"/>
    <n v="5"/>
    <n v="34.5"/>
    <d v="1899-12-30T01:43:00"/>
    <n v="1.7166666666666668"/>
    <n v="1.75"/>
    <x v="2"/>
    <s v="Lewiston"/>
    <n v="3"/>
  </r>
  <r>
    <n v="468"/>
    <s v="UE"/>
    <s v="Order"/>
    <n v="50"/>
    <x v="3"/>
    <x v="210"/>
    <n v="8"/>
    <n v="67"/>
    <d v="1899-12-30T04:06:00"/>
    <n v="4.0999999999999996"/>
    <n v="4"/>
    <x v="0"/>
    <s v="Portland"/>
    <n v="4"/>
  </r>
  <r>
    <n v="469"/>
    <s v="DD"/>
    <s v="Hourly"/>
    <n v="50"/>
    <x v="3"/>
    <x v="210"/>
    <n v="1"/>
    <n v="4.63"/>
    <d v="1899-12-30T00:21:00"/>
    <n v="0.35"/>
    <n v="0.25"/>
    <x v="0"/>
    <s v="Portland"/>
    <n v="4"/>
  </r>
  <r>
    <n v="470"/>
    <s v="UE"/>
    <s v="Order"/>
    <n v="50"/>
    <x v="5"/>
    <x v="211"/>
    <n v="5"/>
    <n v="66.23"/>
    <d v="1899-12-30T03:46:00"/>
    <n v="3.7666666666666666"/>
    <n v="3.75"/>
    <x v="0"/>
    <s v="Brunswick/Bath/Freeport"/>
    <n v="2"/>
  </r>
  <r>
    <n v="471"/>
    <s v="DD"/>
    <s v="Hourly"/>
    <n v="50"/>
    <x v="5"/>
    <x v="211"/>
    <n v="7"/>
    <n v="78.510000000000005"/>
    <d v="1899-12-30T04:11:00"/>
    <n v="4.1833333333333336"/>
    <n v="4.25"/>
    <x v="0"/>
    <s v="Brunswick/Bath/Freeport"/>
    <n v="2"/>
  </r>
  <r>
    <n v="472"/>
    <s v="DD"/>
    <s v="Hourly"/>
    <n v="50"/>
    <x v="5"/>
    <x v="211"/>
    <n v="2"/>
    <n v="20.49"/>
    <d v="1899-12-30T01:17:00"/>
    <n v="1.2833333333333332"/>
    <n v="1.25"/>
    <x v="0"/>
    <s v="Brunswick/Bath/Freeport"/>
    <n v="2"/>
  </r>
  <r>
    <n v="473"/>
    <s v="UE"/>
    <s v="Order"/>
    <n v="50"/>
    <x v="6"/>
    <x v="212"/>
    <n v="2"/>
    <n v="23.75"/>
    <d v="1899-12-30T02:19:00"/>
    <n v="2.3166666666666664"/>
    <n v="2.25"/>
    <x v="0"/>
    <s v="Brunswick/Bath/Freeport"/>
    <n v="2"/>
  </r>
  <r>
    <n v="474"/>
    <s v="DD"/>
    <s v="Hourly"/>
    <n v="50"/>
    <x v="6"/>
    <x v="212"/>
    <n v="5"/>
    <n v="49.68"/>
    <d v="1899-12-30T03:09:00"/>
    <n v="3.1500000000000004"/>
    <n v="3.25"/>
    <x v="0"/>
    <s v="Brunswick/Bath/Freeport"/>
    <n v="2"/>
  </r>
  <r>
    <n v="475"/>
    <s v="DD"/>
    <s v="Hourly"/>
    <n v="50"/>
    <x v="6"/>
    <x v="212"/>
    <n v="2"/>
    <n v="23.08"/>
    <d v="1899-12-30T01:01:00"/>
    <n v="1.0166666666666666"/>
    <n v="1"/>
    <x v="2"/>
    <s v="Brunswick/Bath/Freeport"/>
    <n v="2"/>
  </r>
  <r>
    <n v="476"/>
    <s v="UE"/>
    <s v="Order"/>
    <n v="50"/>
    <x v="0"/>
    <x v="213"/>
    <n v="7"/>
    <n v="97.37"/>
    <d v="1899-12-30T04:23:00"/>
    <n v="4.3833333333333337"/>
    <n v="4.5"/>
    <x v="0"/>
    <s v="Brunswick/Bath/Freeport"/>
    <n v="2"/>
  </r>
  <r>
    <n v="477"/>
    <s v="DD"/>
    <s v="Hourly"/>
    <n v="50"/>
    <x v="0"/>
    <x v="213"/>
    <n v="5"/>
    <n v="45.08"/>
    <d v="1899-12-30T02:16:00"/>
    <n v="2.2666666666666666"/>
    <n v="2.25"/>
    <x v="0"/>
    <s v="Brunswick/Bath/Freeport"/>
    <n v="2"/>
  </r>
  <r>
    <n v="478"/>
    <s v="UE"/>
    <s v="Order"/>
    <n v="50"/>
    <x v="2"/>
    <x v="214"/>
    <n v="5"/>
    <n v="51.13"/>
    <d v="1899-12-30T03:31:00"/>
    <n v="3.5166666666666666"/>
    <n v="3.5"/>
    <x v="0"/>
    <s v="Augusta"/>
    <n v="1"/>
  </r>
  <r>
    <n v="479"/>
    <s v="UE"/>
    <s v="Order"/>
    <n v="51"/>
    <x v="3"/>
    <x v="215"/>
    <n v="3"/>
    <n v="23.689999999999998"/>
    <d v="1899-12-30T02:09:00"/>
    <n v="2.15"/>
    <n v="2.25"/>
    <x v="0"/>
    <s v="Lewiston"/>
    <n v="3"/>
  </r>
  <r>
    <n v="480"/>
    <s v="UE"/>
    <s v="Order"/>
    <n v="51"/>
    <x v="3"/>
    <x v="215"/>
    <n v="3"/>
    <n v="26.71"/>
    <d v="1899-12-30T01:46:00"/>
    <n v="1.7666666666666666"/>
    <n v="1.75"/>
    <x v="0"/>
    <s v="Lewiston"/>
    <n v="3"/>
  </r>
  <r>
    <n v="481"/>
    <s v="UE"/>
    <s v="Order"/>
    <n v="51"/>
    <x v="3"/>
    <x v="215"/>
    <n v="6"/>
    <n v="34.5"/>
    <d v="1899-12-30T02:28:00"/>
    <n v="2.4666666666666668"/>
    <n v="2.5"/>
    <x v="0"/>
    <s v="Lewiston"/>
    <n v="3"/>
  </r>
  <r>
    <n v="482"/>
    <s v="UE"/>
    <s v="Order"/>
    <n v="51"/>
    <x v="4"/>
    <x v="216"/>
    <n v="2"/>
    <n v="41.1"/>
    <d v="1899-12-30T01:55:00"/>
    <n v="1.9166666666666665"/>
    <n v="2"/>
    <x v="0"/>
    <s v="Brunswick/Bath/Freeport"/>
    <n v="2"/>
  </r>
  <r>
    <n v="483"/>
    <s v="DD"/>
    <s v="Hourly"/>
    <n v="51"/>
    <x v="4"/>
    <x v="216"/>
    <n v="4"/>
    <n v="35.72"/>
    <d v="1899-12-30T02:58:00"/>
    <n v="2.9666666666666668"/>
    <n v="3"/>
    <x v="0"/>
    <s v="Brunswick/Bath/Freeport"/>
    <n v="2"/>
  </r>
  <r>
    <n v="484"/>
    <s v="DD"/>
    <s v="Hourly"/>
    <n v="51"/>
    <x v="4"/>
    <x v="216"/>
    <n v="1"/>
    <n v="8.23"/>
    <d v="1899-12-30T00:45:00"/>
    <n v="0.75"/>
    <n v="0.75"/>
    <x v="0"/>
    <s v="Brunswick/Bath/Freeport"/>
    <n v="2"/>
  </r>
  <r>
    <n v="485"/>
    <s v="DD"/>
    <s v="Hourly"/>
    <n v="51"/>
    <x v="5"/>
    <x v="217"/>
    <n v="11"/>
    <n v="98.96"/>
    <d v="1899-12-30T05:00:00"/>
    <n v="5"/>
    <n v="5"/>
    <x v="0"/>
    <s v="Brunswick/Bath/Freeport"/>
    <n v="2"/>
  </r>
  <r>
    <n v="486"/>
    <s v="DD"/>
    <s v="Hourly"/>
    <n v="51"/>
    <x v="5"/>
    <x v="217"/>
    <n v="1"/>
    <n v="5.15"/>
    <d v="1899-12-30T02:14:00"/>
    <n v="2.2333333333333334"/>
    <n v="2.25"/>
    <x v="2"/>
    <s v="Brunswick/Bath/Freeport"/>
    <n v="2"/>
  </r>
  <r>
    <n v="487"/>
    <s v="UE"/>
    <s v="Order"/>
    <n v="51"/>
    <x v="6"/>
    <x v="218"/>
    <n v="4"/>
    <n v="53.54"/>
    <d v="1899-12-30T04:44:00"/>
    <n v="4.7333333333333334"/>
    <n v="4.75"/>
    <x v="0"/>
    <s v="Augusta"/>
    <n v="1"/>
  </r>
  <r>
    <n v="488"/>
    <s v="DD"/>
    <s v="Order"/>
    <n v="51"/>
    <x v="6"/>
    <x v="218"/>
    <n v="12"/>
    <n v="111.25"/>
    <d v="1899-12-30T09:13:00"/>
    <n v="9.2166666666666668"/>
    <n v="9.25"/>
    <x v="0"/>
    <s v="Augusta"/>
    <n v="1"/>
  </r>
  <r>
    <n v="489"/>
    <s v="UE"/>
    <s v="Order"/>
    <n v="51"/>
    <x v="0"/>
    <x v="219"/>
    <n v="2"/>
    <n v="54.52"/>
    <d v="1899-12-30T03:01:00"/>
    <n v="3.0166666666666666"/>
    <n v="3"/>
    <x v="0"/>
    <s v="Brunswick/Bath/Freeport"/>
    <n v="2"/>
  </r>
  <r>
    <n v="490"/>
    <s v="DD"/>
    <s v="Hourly"/>
    <n v="51"/>
    <x v="0"/>
    <x v="219"/>
    <n v="5"/>
    <n v="44.23"/>
    <d v="1899-12-30T03:42:00"/>
    <n v="3.7"/>
    <n v="3.75"/>
    <x v="0"/>
    <s v="Brunswick/Bath/Freeport"/>
    <n v="2"/>
  </r>
  <r>
    <n v="491"/>
    <s v="DD"/>
    <s v="Hourly"/>
    <n v="51"/>
    <x v="0"/>
    <x v="219"/>
    <n v="3"/>
    <n v="37.18"/>
    <d v="1899-12-30T02:18:00"/>
    <n v="2.2999999999999998"/>
    <n v="2.25"/>
    <x v="2"/>
    <s v="Brunswick/Bath/Freeport"/>
    <n v="2"/>
  </r>
  <r>
    <n v="492"/>
    <s v="UE"/>
    <s v="Order"/>
    <n v="51"/>
    <x v="1"/>
    <x v="220"/>
    <n v="1"/>
    <n v="13.01"/>
    <d v="1899-12-30T01:06:00"/>
    <n v="1.1000000000000001"/>
    <n v="1"/>
    <x v="0"/>
    <s v="Lewiston"/>
    <n v="3"/>
  </r>
  <r>
    <n v="493"/>
    <s v="UE"/>
    <s v="Order"/>
    <n v="51"/>
    <x v="2"/>
    <x v="221"/>
    <n v="5"/>
    <n v="33.75"/>
    <d v="1899-12-30T03:47:00"/>
    <n v="3.7833333333333332"/>
    <n v="3.75"/>
    <x v="0"/>
    <s v="Portland"/>
    <n v="4"/>
  </r>
  <r>
    <n v="494"/>
    <s v="DD"/>
    <s v="Hourly"/>
    <n v="51"/>
    <x v="2"/>
    <x v="221"/>
    <n v="4"/>
    <n v="43.16"/>
    <d v="1899-12-30T01:41:00"/>
    <n v="1.6833333333333333"/>
    <n v="1.75"/>
    <x v="1"/>
    <s v="Brunswick/Bath/Freeport"/>
    <n v="2"/>
  </r>
  <r>
    <n v="495"/>
    <s v="DD"/>
    <s v="Hourly"/>
    <n v="51"/>
    <x v="2"/>
    <x v="221"/>
    <n v="4"/>
    <n v="26.19"/>
    <d v="1899-12-30T01:29:00"/>
    <n v="1.4833333333333334"/>
    <n v="1.5"/>
    <x v="2"/>
    <s v="Portland"/>
    <n v="4"/>
  </r>
  <r>
    <n v="496"/>
    <s v="DD"/>
    <s v="Hourly"/>
    <n v="51"/>
    <x v="2"/>
    <x v="221"/>
    <n v="2"/>
    <n v="23.86"/>
    <d v="1899-12-30T01:17:00"/>
    <n v="1.2833333333333332"/>
    <n v="1.25"/>
    <x v="2"/>
    <s v="Portland"/>
    <n v="4"/>
  </r>
  <r>
    <n v="497"/>
    <s v="DD"/>
    <s v="Hourly"/>
    <n v="51"/>
    <x v="2"/>
    <x v="221"/>
    <n v="2"/>
    <n v="21.18"/>
    <d v="1899-12-30T02:00:00"/>
    <n v="2"/>
    <n v="2"/>
    <x v="2"/>
    <s v="Portland"/>
    <n v="4"/>
  </r>
  <r>
    <n v="498"/>
    <s v="DD"/>
    <s v="Order"/>
    <n v="52"/>
    <x v="3"/>
    <x v="222"/>
    <n v="1"/>
    <n v="16"/>
    <d v="1899-12-30T00:42:00"/>
    <n v="0.7"/>
    <n v="0.75"/>
    <x v="0"/>
    <s v="Lewiston"/>
    <n v="3"/>
  </r>
  <r>
    <n v="499"/>
    <s v="UE"/>
    <s v="Order"/>
    <n v="52"/>
    <x v="4"/>
    <x v="223"/>
    <n v="3"/>
    <n v="27.49"/>
    <d v="1899-12-30T03:00:00"/>
    <n v="3"/>
    <n v="3"/>
    <x v="0"/>
    <s v="Brunswick/Bath/Freeport"/>
    <n v="2"/>
  </r>
  <r>
    <n v="500"/>
    <s v="DD"/>
    <s v="Hourly"/>
    <n v="52"/>
    <x v="4"/>
    <x v="223"/>
    <n v="6"/>
    <n v="47.17"/>
    <d v="1899-12-30T04:06:00"/>
    <n v="4.0999999999999996"/>
    <n v="4"/>
    <x v="1"/>
    <s v="Brunswick/Bath/Freeport"/>
    <n v="2"/>
  </r>
  <r>
    <n v="501"/>
    <s v="DD"/>
    <s v="Order"/>
    <n v="52"/>
    <x v="4"/>
    <x v="223"/>
    <n v="4"/>
    <n v="23.25"/>
    <d v="1899-12-30T01:29:00"/>
    <n v="1.4833333333333334"/>
    <n v="1.5"/>
    <x v="0"/>
    <s v="Brunswick/Bath/Freeport"/>
    <n v="2"/>
  </r>
  <r>
    <n v="502"/>
    <s v="DD"/>
    <s v="Order"/>
    <n v="52"/>
    <x v="4"/>
    <x v="223"/>
    <n v="2"/>
    <n v="15.5"/>
    <d v="1899-12-30T01:04:00"/>
    <n v="1.0666666666666667"/>
    <n v="1"/>
    <x v="0"/>
    <s v="Brunswick/Bath/Freeport"/>
    <n v="2"/>
  </r>
  <r>
    <n v="503"/>
    <s v="DD"/>
    <s v="Order"/>
    <n v="52"/>
    <x v="4"/>
    <x v="223"/>
    <n v="3"/>
    <n v="26.75"/>
    <d v="1899-12-30T01:36:00"/>
    <n v="1.6"/>
    <n v="1.5"/>
    <x v="0"/>
    <s v="Brunswick/Bath/Freeport"/>
    <n v="2"/>
  </r>
  <r>
    <n v="504"/>
    <s v="UE"/>
    <s v="Order"/>
    <n v="1"/>
    <x v="4"/>
    <x v="224"/>
    <n v="4"/>
    <n v="31.18"/>
    <d v="1899-12-30T02:29:00"/>
    <n v="2.4833333333333334"/>
    <n v="2.5"/>
    <x v="0"/>
    <s v="Augusta"/>
    <n v="1"/>
  </r>
  <r>
    <n v="505"/>
    <s v="DD"/>
    <s v="Order"/>
    <n v="1"/>
    <x v="4"/>
    <x v="224"/>
    <n v="4"/>
    <n v="22"/>
    <d v="1899-12-30T02:40:00"/>
    <n v="2.6666666666666665"/>
    <n v="2.75"/>
    <x v="0"/>
    <s v="Augusta"/>
    <n v="1"/>
  </r>
  <r>
    <n v="506"/>
    <s v="DD"/>
    <s v="Order"/>
    <n v="1"/>
    <x v="4"/>
    <x v="224"/>
    <n v="1"/>
    <n v="7"/>
    <d v="1899-12-30T00:23:00"/>
    <n v="0.38333333333333341"/>
    <n v="0.5"/>
    <x v="2"/>
    <s v="Augusta"/>
    <n v="1"/>
  </r>
  <r>
    <n v="507"/>
    <s v="UE"/>
    <s v="Order"/>
    <n v="1"/>
    <x v="6"/>
    <x v="225"/>
    <n v="2"/>
    <n v="24.66"/>
    <d v="1899-12-30T03:24:00"/>
    <n v="3.4"/>
    <n v="3.5"/>
    <x v="0"/>
    <s v="Brunswick/Bath/Freeport"/>
    <n v="2"/>
  </r>
  <r>
    <n v="508"/>
    <s v="DD"/>
    <s v="Order"/>
    <n v="1"/>
    <x v="6"/>
    <x v="225"/>
    <n v="4"/>
    <n v="33.75"/>
    <d v="1899-12-30T03:24:00"/>
    <n v="3.4"/>
    <n v="3.5"/>
    <x v="0"/>
    <s v="Brunswick/Bath/Freeport"/>
    <n v="2"/>
  </r>
  <r>
    <n v="509"/>
    <s v="DD"/>
    <s v="Hourly"/>
    <n v="1"/>
    <x v="6"/>
    <x v="225"/>
    <n v="4"/>
    <n v="48.08"/>
    <d v="1899-12-30T03:42:00"/>
    <n v="3.7"/>
    <n v="3.75"/>
    <x v="2"/>
    <s v="Brunswick/Bath/Freeport"/>
    <n v="2"/>
  </r>
  <r>
    <n v="510"/>
    <s v="UE"/>
    <s v="Order"/>
    <n v="1"/>
    <x v="0"/>
    <x v="226"/>
    <n v="3"/>
    <n v="58.57"/>
    <d v="1899-12-30T04:19:00"/>
    <n v="4.3166666666666664"/>
    <n v="4.25"/>
    <x v="0"/>
    <s v="Brunswick/Bath/Freeport"/>
    <n v="2"/>
  </r>
  <r>
    <n v="511"/>
    <s v="DD"/>
    <s v="Hourly"/>
    <n v="1"/>
    <x v="0"/>
    <x v="226"/>
    <n v="5"/>
    <n v="54.29"/>
    <d v="1899-12-30T05:05:00"/>
    <n v="5.083333333333333"/>
    <n v="5"/>
    <x v="0"/>
    <s v="Brunswick/Bath/Freeport"/>
    <n v="2"/>
  </r>
  <r>
    <n v="512"/>
    <s v="UE"/>
    <s v="Order"/>
    <n v="1"/>
    <x v="2"/>
    <x v="227"/>
    <n v="2"/>
    <n v="25.74"/>
    <d v="1899-12-30T03:30:00"/>
    <n v="3.5"/>
    <n v="3.5"/>
    <x v="0"/>
    <s v="Brunswick/Bath/Freeport"/>
    <n v="2"/>
  </r>
  <r>
    <n v="513"/>
    <s v="DD"/>
    <s v="Hourly"/>
    <n v="1"/>
    <x v="2"/>
    <x v="227"/>
    <n v="10"/>
    <n v="93.79"/>
    <d v="1899-12-30T05:24:00"/>
    <n v="5.4"/>
    <n v="5.5"/>
    <x v="0"/>
    <s v="Brunswick/Bath/Freeport"/>
    <n v="2"/>
  </r>
  <r>
    <n v="514"/>
    <s v="DD"/>
    <s v="Hourly"/>
    <n v="1"/>
    <x v="2"/>
    <x v="227"/>
    <n v="2"/>
    <n v="21.68"/>
    <d v="1899-12-30T00:56:00"/>
    <n v="0.93333333333333335"/>
    <n v="1"/>
    <x v="2"/>
    <s v="Brunswick/Bath/Freeport"/>
    <n v="2"/>
  </r>
  <r>
    <n v="515"/>
    <s v="DD"/>
    <s v="Hourly"/>
    <n v="1"/>
    <x v="2"/>
    <x v="227"/>
    <n v="1"/>
    <n v="14.26"/>
    <d v="1899-12-30T02:03:00"/>
    <n v="2.0499999999999998"/>
    <n v="2"/>
    <x v="2"/>
    <s v="Brunswick/Bath/Freeport"/>
    <n v="2"/>
  </r>
  <r>
    <n v="516"/>
    <s v="DD"/>
    <s v="Hourly"/>
    <n v="2"/>
    <x v="4"/>
    <x v="228"/>
    <n v="4"/>
    <n v="35.85"/>
    <d v="1899-12-30T02:54:00"/>
    <n v="2.9"/>
    <n v="3"/>
    <x v="0"/>
    <s v="Brunswick/Bath/Freeport"/>
    <n v="2"/>
  </r>
  <r>
    <n v="517"/>
    <s v="DD"/>
    <s v="Order"/>
    <n v="2"/>
    <x v="4"/>
    <x v="228"/>
    <n v="6"/>
    <n v="55"/>
    <d v="1899-12-30T03:32:00"/>
    <n v="3.5333333333333332"/>
    <n v="3.5"/>
    <x v="2"/>
    <s v="Brunswick/Bath/Freeport"/>
    <n v="2"/>
  </r>
  <r>
    <n v="518"/>
    <s v="UE"/>
    <s v="Order"/>
    <n v="2"/>
    <x v="5"/>
    <x v="229"/>
    <n v="4"/>
    <n v="38.630000000000003"/>
    <d v="1899-12-30T03:27:00"/>
    <n v="3.45"/>
    <n v="3.5"/>
    <x v="0"/>
    <s v="Portland"/>
    <n v="4"/>
  </r>
  <r>
    <n v="519"/>
    <s v="DD"/>
    <s v="Hourly"/>
    <n v="2"/>
    <x v="5"/>
    <x v="229"/>
    <n v="2"/>
    <n v="9.82"/>
    <d v="1899-12-30T00:59:00"/>
    <n v="0.98333333333333339"/>
    <n v="1"/>
    <x v="0"/>
    <s v="Portland"/>
    <n v="4"/>
  </r>
  <r>
    <n v="520"/>
    <s v="DD"/>
    <s v="Hourly"/>
    <n v="2"/>
    <x v="5"/>
    <x v="229"/>
    <n v="4"/>
    <n v="43.58"/>
    <d v="1899-12-30T02:04:00"/>
    <n v="2.0666666666666669"/>
    <n v="2"/>
    <x v="0"/>
    <s v="Portland"/>
    <n v="4"/>
  </r>
  <r>
    <n v="521"/>
    <s v="DD"/>
    <s v="Hourly"/>
    <n v="2"/>
    <x v="5"/>
    <x v="229"/>
    <n v="2"/>
    <n v="18.47"/>
    <d v="1899-12-30T00:53:00"/>
    <n v="0.8833333333333333"/>
    <n v="1"/>
    <x v="0"/>
    <s v="Portland"/>
    <n v="4"/>
  </r>
  <r>
    <n v="522"/>
    <s v="DD"/>
    <s v="Hourly"/>
    <n v="2"/>
    <x v="5"/>
    <x v="229"/>
    <n v="1"/>
    <n v="13.96"/>
    <d v="1899-12-30T00:47:00"/>
    <n v="0.78333333333333344"/>
    <n v="0.75"/>
    <x v="2"/>
    <s v="Portland"/>
    <n v="4"/>
  </r>
  <r>
    <n v="523"/>
    <s v="UE"/>
    <s v="Order"/>
    <n v="2"/>
    <x v="6"/>
    <x v="230"/>
    <n v="4"/>
    <n v="30.13"/>
    <d v="1899-12-30T02:51:00"/>
    <n v="2.85"/>
    <n v="2.75"/>
    <x v="0"/>
    <s v="Portland"/>
    <n v="4"/>
  </r>
  <r>
    <n v="524"/>
    <s v="DD"/>
    <s v="Hourly"/>
    <n v="2"/>
    <x v="6"/>
    <x v="230"/>
    <n v="2"/>
    <n v="17.82"/>
    <d v="1899-12-30T00:59:00"/>
    <n v="0.98333333333333339"/>
    <n v="1"/>
    <x v="0"/>
    <s v="Portland"/>
    <n v="4"/>
  </r>
  <r>
    <n v="525"/>
    <s v="DD"/>
    <s v="Hourly"/>
    <n v="2"/>
    <x v="6"/>
    <x v="230"/>
    <n v="4"/>
    <n v="36.03"/>
    <d v="1899-12-30T02:04:00"/>
    <n v="2.0666666666666669"/>
    <n v="2"/>
    <x v="0"/>
    <s v="Portland"/>
    <n v="4"/>
  </r>
  <r>
    <n v="526"/>
    <s v="UE"/>
    <s v="Order"/>
    <n v="2"/>
    <x v="2"/>
    <x v="231"/>
    <n v="3"/>
    <n v="35.299999999999997"/>
    <d v="1899-12-30T03:54:00"/>
    <n v="3.9000000000000004"/>
    <n v="4"/>
    <x v="0"/>
    <s v="Augusta"/>
    <n v="1"/>
  </r>
  <r>
    <n v="527"/>
    <s v="DD"/>
    <s v="Order"/>
    <n v="2"/>
    <x v="2"/>
    <x v="231"/>
    <n v="6"/>
    <n v="42"/>
    <d v="1899-12-30T03:06:00"/>
    <n v="3.1000000000000005"/>
    <n v="3"/>
    <x v="0"/>
    <s v="Augusta"/>
    <n v="1"/>
  </r>
  <r>
    <n v="528"/>
    <s v="UE"/>
    <s v="Order"/>
    <n v="3"/>
    <x v="3"/>
    <x v="232"/>
    <n v="4"/>
    <n v="33.200000000000003"/>
    <d v="1899-12-30T03:04:00"/>
    <n v="3.0666666666666673"/>
    <n v="3"/>
    <x v="0"/>
    <s v="Lewiston"/>
    <n v="3"/>
  </r>
  <r>
    <n v="529"/>
    <s v="DD"/>
    <s v="Order"/>
    <n v="3"/>
    <x v="3"/>
    <x v="232"/>
    <n v="5"/>
    <n v="53.27"/>
    <d v="1899-12-30T04:27:00"/>
    <n v="4.45"/>
    <n v="4.5"/>
    <x v="0"/>
    <s v="Lewiston"/>
    <n v="3"/>
  </r>
  <r>
    <n v="530"/>
    <s v="DD"/>
    <s v="Order"/>
    <n v="3"/>
    <x v="3"/>
    <x v="232"/>
    <n v="1"/>
    <n v="8.25"/>
    <d v="1899-12-30T00:33:00"/>
    <n v="0.55000000000000004"/>
    <n v="0.5"/>
    <x v="2"/>
    <s v="Lewiston"/>
    <n v="3"/>
  </r>
  <r>
    <n v="531"/>
    <s v="DD"/>
    <s v="Order"/>
    <n v="3"/>
    <x v="3"/>
    <x v="232"/>
    <n v="1"/>
    <n v="10"/>
    <d v="1899-12-30T00:51:00"/>
    <n v="0.85"/>
    <n v="0.75"/>
    <x v="2"/>
    <s v="Lewiston"/>
    <n v="3"/>
  </r>
  <r>
    <n v="532"/>
    <s v="UE"/>
    <s v="Order"/>
    <n v="3"/>
    <x v="4"/>
    <x v="233"/>
    <n v="6"/>
    <n v="65.650000000000006"/>
    <d v="1899-12-30T04:33:00"/>
    <n v="4.55"/>
    <n v="4.5"/>
    <x v="0"/>
    <s v="Augusta"/>
    <n v="1"/>
  </r>
  <r>
    <n v="533"/>
    <s v="DD"/>
    <s v="Order"/>
    <n v="3"/>
    <x v="4"/>
    <x v="233"/>
    <n v="1"/>
    <n v="7"/>
    <d v="1899-12-30T00:26:00"/>
    <n v="0.43333333333333335"/>
    <n v="0.5"/>
    <x v="0"/>
    <s v="Augusta"/>
    <n v="1"/>
  </r>
  <r>
    <n v="534"/>
    <s v="DD"/>
    <s v="Order"/>
    <n v="3"/>
    <x v="4"/>
    <x v="233"/>
    <n v="1"/>
    <n v="8.5"/>
    <d v="1899-12-30T00:56:00"/>
    <n v="0.93333333333333335"/>
    <n v="1"/>
    <x v="0"/>
    <s v="Augusta"/>
    <n v="1"/>
  </r>
  <r>
    <n v="535"/>
    <s v="DD"/>
    <s v="Order"/>
    <n v="3"/>
    <x v="4"/>
    <x v="233"/>
    <n v="1"/>
    <n v="11.5"/>
    <d v="1899-12-30T01:13:00"/>
    <n v="1.2166666666666668"/>
    <n v="1.25"/>
    <x v="2"/>
    <s v="Augusta"/>
    <n v="1"/>
  </r>
  <r>
    <n v="536"/>
    <s v="DD"/>
    <s v="Order"/>
    <n v="3"/>
    <x v="5"/>
    <x v="234"/>
    <n v="1"/>
    <n v="7.5"/>
    <d v="1899-12-30T02:16:00"/>
    <n v="2.2666666666666666"/>
    <n v="2.25"/>
    <x v="0"/>
    <s v="Lewiston"/>
    <n v="3"/>
  </r>
  <r>
    <n v="537"/>
    <s v="UE"/>
    <s v="Order"/>
    <n v="3"/>
    <x v="6"/>
    <x v="235"/>
    <n v="4"/>
    <n v="45.88"/>
    <d v="1899-12-30T04:32:00"/>
    <n v="4.5333333333333332"/>
    <n v="4.5"/>
    <x v="0"/>
    <s v="Augusta"/>
    <n v="1"/>
  </r>
  <r>
    <n v="538"/>
    <s v="DD"/>
    <s v="Order"/>
    <n v="3"/>
    <x v="6"/>
    <x v="235"/>
    <n v="2"/>
    <n v="11.89"/>
    <d v="1899-12-30T00:34:00"/>
    <n v="0.56666666666666665"/>
    <n v="0.5"/>
    <x v="0"/>
    <s v="Augusta"/>
    <n v="1"/>
  </r>
  <r>
    <n v="539"/>
    <s v="DD"/>
    <s v="Order"/>
    <n v="3"/>
    <x v="6"/>
    <x v="235"/>
    <n v="2"/>
    <n v="21.25"/>
    <d v="1899-12-30T02:16:00"/>
    <n v="2.2666666666666666"/>
    <n v="2.25"/>
    <x v="2"/>
    <s v="Augusta"/>
    <n v="1"/>
  </r>
  <r>
    <n v="540"/>
    <s v="UE"/>
    <s v="Order"/>
    <n v="3"/>
    <x v="0"/>
    <x v="236"/>
    <n v="10"/>
    <n v="113.57"/>
    <d v="1899-12-30T05:51:00"/>
    <n v="5.85"/>
    <n v="5.75"/>
    <x v="0"/>
    <s v="Lewiston"/>
    <n v="3"/>
  </r>
  <r>
    <n v="541"/>
    <s v="DD"/>
    <s v="Order"/>
    <n v="3"/>
    <x v="0"/>
    <x v="236"/>
    <n v="11"/>
    <n v="94.5"/>
    <d v="1899-12-30T05:05:00"/>
    <n v="5.083333333333333"/>
    <n v="5"/>
    <x v="2"/>
    <s v="Lewiston"/>
    <n v="3"/>
  </r>
  <r>
    <n v="542"/>
    <s v="UE"/>
    <s v="Order"/>
    <n v="4"/>
    <x v="3"/>
    <x v="237"/>
    <n v="1"/>
    <n v="7.04"/>
    <d v="1899-12-30T02:24:00"/>
    <n v="2.4"/>
    <n v="2.5"/>
    <x v="0"/>
    <s v="Augusta"/>
    <n v="1"/>
  </r>
  <r>
    <n v="543"/>
    <s v="DD"/>
    <s v="Order"/>
    <n v="4"/>
    <x v="3"/>
    <x v="237"/>
    <n v="2"/>
    <n v="17.5"/>
    <d v="1899-12-30T02:35:00"/>
    <n v="2.5833333333333335"/>
    <n v="2.5"/>
    <x v="0"/>
    <s v="Augusta"/>
    <n v="1"/>
  </r>
  <r>
    <n v="544"/>
    <s v="DD"/>
    <s v="Order"/>
    <n v="4"/>
    <x v="3"/>
    <x v="237"/>
    <n v="7"/>
    <n v="68.75"/>
    <d v="1899-12-30T03:33:00"/>
    <n v="3.55"/>
    <n v="3.5"/>
    <x v="0"/>
    <s v="Augusta"/>
    <n v="1"/>
  </r>
  <r>
    <n v="545"/>
    <s v="UE"/>
    <s v="Order"/>
    <n v="4"/>
    <x v="6"/>
    <x v="238"/>
    <n v="4"/>
    <n v="40"/>
    <d v="1899-12-30T03:05:00"/>
    <n v="3.0833333333333339"/>
    <n v="3"/>
    <x v="0"/>
    <s v="Lewiston"/>
    <n v="3"/>
  </r>
  <r>
    <n v="546"/>
    <s v="DD"/>
    <s v="Order"/>
    <n v="4"/>
    <x v="6"/>
    <x v="238"/>
    <n v="6"/>
    <n v="52.5"/>
    <d v="1899-12-30T03:15:00"/>
    <n v="3.25"/>
    <n v="3.25"/>
    <x v="0"/>
    <s v="Lewiston"/>
    <n v="3"/>
  </r>
  <r>
    <n v="547"/>
    <s v="DD"/>
    <s v="Order"/>
    <n v="4"/>
    <x v="6"/>
    <x v="238"/>
    <n v="1"/>
    <n v="7"/>
    <d v="1899-12-30T00:42:00"/>
    <n v="0.7"/>
    <n v="0.75"/>
    <x v="0"/>
    <s v="Lewiston"/>
    <n v="3"/>
  </r>
  <r>
    <n v="548"/>
    <s v="DD"/>
    <s v="Order"/>
    <n v="4"/>
    <x v="6"/>
    <x v="238"/>
    <n v="1"/>
    <n v="15.25"/>
    <d v="1899-12-30T00:36:00"/>
    <n v="0.6"/>
    <n v="0.5"/>
    <x v="2"/>
    <s v="Lewiston"/>
    <n v="3"/>
  </r>
  <r>
    <n v="549"/>
    <s v="DD"/>
    <s v="Order"/>
    <n v="4"/>
    <x v="6"/>
    <x v="238"/>
    <n v="2"/>
    <n v="14.5"/>
    <d v="1899-12-30T00:51:00"/>
    <n v="0.85"/>
    <n v="0.75"/>
    <x v="2"/>
    <s v="Lewiston"/>
    <n v="3"/>
  </r>
  <r>
    <n v="550"/>
    <s v="UE"/>
    <s v="Order"/>
    <n v="4"/>
    <x v="1"/>
    <x v="239"/>
    <n v="4"/>
    <n v="57.23"/>
    <d v="1899-12-30T04:39:00"/>
    <n v="4.6500000000000004"/>
    <n v="4.75"/>
    <x v="0"/>
    <s v="Augusta"/>
    <n v="1"/>
  </r>
  <r>
    <n v="551"/>
    <s v="DD"/>
    <s v="Order"/>
    <n v="4"/>
    <x v="1"/>
    <x v="239"/>
    <n v="3"/>
    <n v="38"/>
    <d v="1899-12-30T02:11:00"/>
    <n v="2.1833333333333331"/>
    <n v="2.25"/>
    <x v="0"/>
    <s v="Augusta"/>
    <n v="1"/>
  </r>
  <r>
    <n v="552"/>
    <s v="DD"/>
    <s v="Order"/>
    <n v="4"/>
    <x v="1"/>
    <x v="239"/>
    <n v="3"/>
    <n v="20.25"/>
    <d v="1899-12-30T01:50:00"/>
    <n v="1.8333333333333335"/>
    <n v="1.75"/>
    <x v="2"/>
    <s v="Augusta"/>
    <n v="1"/>
  </r>
  <r>
    <n v="553"/>
    <s v="DD"/>
    <s v="Order"/>
    <n v="4"/>
    <x v="1"/>
    <x v="239"/>
    <n v="3"/>
    <n v="33"/>
    <d v="1899-12-30T01:57:00"/>
    <n v="1.9500000000000002"/>
    <n v="2"/>
    <x v="2"/>
    <s v="Augusta"/>
    <n v="1"/>
  </r>
  <r>
    <n v="554"/>
    <s v="UE"/>
    <s v="Order"/>
    <n v="5"/>
    <x v="5"/>
    <x v="240"/>
    <n v="1"/>
    <n v="11.54"/>
    <d v="1899-12-30T01:07:00"/>
    <n v="1.1166666666666667"/>
    <n v="1"/>
    <x v="0"/>
    <s v="Augusta"/>
    <n v="1"/>
  </r>
  <r>
    <n v="555"/>
    <s v="DD"/>
    <s v="Order"/>
    <n v="5"/>
    <x v="5"/>
    <x v="240"/>
    <n v="5"/>
    <n v="32"/>
    <d v="1899-12-30T02:39:00"/>
    <n v="2.65"/>
    <n v="2.75"/>
    <x v="0"/>
    <s v="Augusta"/>
    <n v="1"/>
  </r>
  <r>
    <n v="556"/>
    <s v="UE"/>
    <s v="Order"/>
    <n v="5"/>
    <x v="6"/>
    <x v="241"/>
    <n v="3"/>
    <n v="46.52"/>
    <d v="1899-12-30T02:31:00"/>
    <n v="2.5166666666666666"/>
    <n v="2.5"/>
    <x v="0"/>
    <s v="Lewiston"/>
    <n v="3"/>
  </r>
  <r>
    <n v="557"/>
    <s v="DD"/>
    <s v="Order"/>
    <n v="5"/>
    <x v="6"/>
    <x v="241"/>
    <n v="4"/>
    <n v="31.2"/>
    <d v="1899-12-30T02:03:00"/>
    <n v="2.0499999999999998"/>
    <n v="2"/>
    <x v="0"/>
    <s v="Lewiston"/>
    <n v="3"/>
  </r>
  <r>
    <n v="558"/>
    <s v="DD"/>
    <s v="Order"/>
    <n v="5"/>
    <x v="6"/>
    <x v="241"/>
    <n v="1"/>
    <n v="14.75"/>
    <d v="1899-12-30T00:26:00"/>
    <n v="0.43333333333333335"/>
    <n v="0.5"/>
    <x v="0"/>
    <s v="Lewiston"/>
    <n v="3"/>
  </r>
  <r>
    <n v="559"/>
    <s v="DD"/>
    <s v="Order"/>
    <n v="5"/>
    <x v="6"/>
    <x v="241"/>
    <n v="5"/>
    <n v="37.85"/>
    <d v="1899-12-30T02:50:00"/>
    <n v="2.8333333333333335"/>
    <n v="2.75"/>
    <x v="2"/>
    <s v="Lewiston"/>
    <n v="3"/>
  </r>
  <r>
    <n v="560"/>
    <s v="UE"/>
    <s v="Order"/>
    <n v="5"/>
    <x v="0"/>
    <x v="242"/>
    <n v="3"/>
    <n v="24.33"/>
    <d v="1899-12-30T03:13:00"/>
    <n v="3.2166666666666668"/>
    <n v="3.25"/>
    <x v="0"/>
    <s v="Augusta"/>
    <n v="1"/>
  </r>
  <r>
    <n v="561"/>
    <s v="DD"/>
    <s v="Order"/>
    <n v="5"/>
    <x v="0"/>
    <x v="242"/>
    <n v="8"/>
    <n v="58.75"/>
    <d v="1899-12-30T04:47:00"/>
    <n v="4.7833333333333332"/>
    <n v="4.75"/>
    <x v="0"/>
    <s v="Augusta"/>
    <n v="1"/>
  </r>
  <r>
    <n v="562"/>
    <s v="UE"/>
    <s v="Order"/>
    <n v="5"/>
    <x v="1"/>
    <x v="243"/>
    <n v="2"/>
    <n v="25.1"/>
    <d v="1899-12-30T02:22:00"/>
    <n v="2.3666666666666667"/>
    <n v="2.25"/>
    <x v="0"/>
    <s v="Brunswick/Bath/Freeport"/>
    <n v="2"/>
  </r>
  <r>
    <n v="563"/>
    <s v="DD"/>
    <s v="Hourly"/>
    <n v="5"/>
    <x v="1"/>
    <x v="243"/>
    <n v="4"/>
    <n v="39.86"/>
    <d v="1899-12-30T02:06:00"/>
    <n v="2.1"/>
    <n v="2"/>
    <x v="0"/>
    <s v="Brunswick/Bath/Freeport"/>
    <n v="2"/>
  </r>
  <r>
    <n v="564"/>
    <s v="DD"/>
    <s v="Hourly"/>
    <n v="5"/>
    <x v="1"/>
    <x v="243"/>
    <n v="2"/>
    <n v="11.4"/>
    <d v="1899-12-30T01:41:00"/>
    <n v="1.6833333333333333"/>
    <n v="1.75"/>
    <x v="2"/>
    <s v="Brunswick/Bath/Freeport"/>
    <n v="2"/>
  </r>
  <r>
    <n v="565"/>
    <s v="DD"/>
    <s v="Order"/>
    <n v="5"/>
    <x v="1"/>
    <x v="243"/>
    <n v="3"/>
    <n v="20.75"/>
    <d v="1899-12-30T01:47:00"/>
    <n v="1.7833333333333332"/>
    <n v="1.75"/>
    <x v="2"/>
    <s v="Brunswick/Bath/Freeport"/>
    <n v="2"/>
  </r>
  <r>
    <n v="566"/>
    <s v="UE"/>
    <s v="Order"/>
    <n v="6"/>
    <x v="4"/>
    <x v="244"/>
    <n v="9"/>
    <n v="169.18"/>
    <d v="1899-12-30T04:59:00"/>
    <n v="4.9833333333333334"/>
    <n v="5"/>
    <x v="0"/>
    <s v="Brunswick/Bath/Freeport"/>
    <n v="2"/>
  </r>
  <r>
    <n v="567"/>
    <s v="DD"/>
    <s v="Order"/>
    <n v="6"/>
    <x v="4"/>
    <x v="244"/>
    <n v="2"/>
    <n v="29.72"/>
    <d v="1899-12-30T01:53:00"/>
    <n v="1.8833333333333333"/>
    <n v="2"/>
    <x v="2"/>
    <s v="Brunswick/Bath/Freeport"/>
    <n v="2"/>
  </r>
  <r>
    <n v="568"/>
    <s v="UE"/>
    <s v="Order"/>
    <n v="6"/>
    <x v="5"/>
    <x v="245"/>
    <n v="6"/>
    <n v="63.64"/>
    <d v="1899-12-30T02:59:00"/>
    <n v="2.9833333333333334"/>
    <n v="3"/>
    <x v="0"/>
    <s v="Lewiston"/>
    <n v="3"/>
  </r>
  <r>
    <n v="569"/>
    <s v="DD"/>
    <s v="Order"/>
    <n v="6"/>
    <x v="5"/>
    <x v="245"/>
    <n v="1"/>
    <n v="8"/>
    <d v="1899-12-30T00:51:00"/>
    <n v="0.85"/>
    <n v="0.75"/>
    <x v="0"/>
    <s v="Lewiston"/>
    <n v="3"/>
  </r>
  <r>
    <n v="570"/>
    <s v="DD"/>
    <s v="Order"/>
    <n v="6"/>
    <x v="5"/>
    <x v="245"/>
    <n v="1"/>
    <n v="3.75"/>
    <d v="1899-12-30T00:24:00"/>
    <n v="0.4"/>
    <n v="0.5"/>
    <x v="0"/>
    <s v="Lewiston"/>
    <n v="3"/>
  </r>
  <r>
    <n v="571"/>
    <s v="DD"/>
    <s v="Order"/>
    <n v="6"/>
    <x v="5"/>
    <x v="245"/>
    <n v="3"/>
    <n v="31.01"/>
    <d v="1899-12-30T02:14:00"/>
    <n v="2.2333333333333334"/>
    <n v="2.25"/>
    <x v="2"/>
    <s v="Lewiston"/>
    <n v="3"/>
  </r>
  <r>
    <n v="572"/>
    <s v="UE"/>
    <s v="Order"/>
    <n v="7"/>
    <x v="4"/>
    <x v="246"/>
    <n v="6"/>
    <n v="69.31"/>
    <d v="1899-12-30T03:34:00"/>
    <n v="3.5666666666666664"/>
    <n v="3.5"/>
    <x v="0"/>
    <s v="Lewiston"/>
    <n v="3"/>
  </r>
  <r>
    <n v="573"/>
    <s v="DD"/>
    <s v="Order"/>
    <n v="7"/>
    <x v="4"/>
    <x v="246"/>
    <n v="1"/>
    <n v="3.75"/>
    <d v="1899-12-30T00:30:00"/>
    <n v="0.5"/>
    <n v="0.5"/>
    <x v="0"/>
    <s v="Lewiston"/>
    <n v="3"/>
  </r>
  <r>
    <n v="574"/>
    <s v="DD"/>
    <s v="Order"/>
    <n v="7"/>
    <x v="4"/>
    <x v="246"/>
    <n v="4"/>
    <n v="47"/>
    <d v="1899-12-30T02:30:00"/>
    <n v="2.5"/>
    <n v="2.5"/>
    <x v="0"/>
    <s v="Lewiston"/>
    <n v="3"/>
  </r>
  <r>
    <n v="575"/>
    <s v="DD"/>
    <s v="Order"/>
    <n v="7"/>
    <x v="4"/>
    <x v="246"/>
    <n v="1"/>
    <n v="6.05"/>
    <d v="1899-12-30T00:34:00"/>
    <n v="0.56666666666666665"/>
    <n v="0.5"/>
    <x v="2"/>
    <s v="Lewiston"/>
    <n v="3"/>
  </r>
  <r>
    <n v="576"/>
    <s v="UE"/>
    <s v="Order"/>
    <n v="7"/>
    <x v="5"/>
    <x v="247"/>
    <n v="7"/>
    <n v="90.58"/>
    <d v="1899-12-30T04:19:00"/>
    <n v="4.3166666666666664"/>
    <n v="4.25"/>
    <x v="0"/>
    <s v="Brunswick/Bath/Freeport"/>
    <n v="2"/>
  </r>
  <r>
    <n v="577"/>
    <s v="DD"/>
    <s v="Hourly"/>
    <n v="7"/>
    <x v="5"/>
    <x v="247"/>
    <n v="1"/>
    <n v="10.37"/>
    <d v="1899-12-30T01:50:00"/>
    <n v="1.8333333333333335"/>
    <n v="1.75"/>
    <x v="0"/>
    <s v="Brunswick/Bath/Freeport"/>
    <n v="2"/>
  </r>
  <r>
    <n v="578"/>
    <s v="DD"/>
    <s v="Order"/>
    <n v="7"/>
    <x v="6"/>
    <x v="248"/>
    <n v="9"/>
    <n v="75.209999999999994"/>
    <d v="1899-12-30T03:24:00"/>
    <n v="3.4"/>
    <n v="3.5"/>
    <x v="0"/>
    <s v="Lewiston"/>
    <n v="3"/>
  </r>
  <r>
    <n v="579"/>
    <s v="UE"/>
    <s v="Order"/>
    <n v="7"/>
    <x v="0"/>
    <x v="249"/>
    <n v="1"/>
    <n v="6.4"/>
    <d v="1899-12-30T02:10:00"/>
    <n v="2.1666666666666665"/>
    <n v="2.25"/>
    <x v="0"/>
    <s v="Lewiston"/>
    <n v="3"/>
  </r>
  <r>
    <n v="580"/>
    <s v="DD"/>
    <s v="Order"/>
    <n v="7"/>
    <x v="0"/>
    <x v="249"/>
    <n v="17"/>
    <n v="117"/>
    <d v="1899-12-30T06:49:00"/>
    <n v="6.8166666666666664"/>
    <n v="6.75"/>
    <x v="0"/>
    <s v="Lewiston"/>
    <n v="3"/>
  </r>
  <r>
    <n v="581"/>
    <s v="DD"/>
    <s v="Order"/>
    <n v="7"/>
    <x v="0"/>
    <x v="249"/>
    <n v="1"/>
    <n v="10"/>
    <d v="1899-12-30T00:33:00"/>
    <n v="0.55000000000000004"/>
    <n v="0.5"/>
    <x v="2"/>
    <s v="Lewiston"/>
    <n v="3"/>
  </r>
  <r>
    <n v="582"/>
    <s v="UE"/>
    <s v="Order"/>
    <n v="7"/>
    <x v="1"/>
    <x v="250"/>
    <n v="2"/>
    <n v="31.78"/>
    <d v="1899-12-30T01:33:00"/>
    <n v="1.5500000000000003"/>
    <n v="1.5"/>
    <x v="0"/>
    <s v="Brunswick/Bath/Freeport"/>
    <n v="2"/>
  </r>
  <r>
    <n v="583"/>
    <s v="DD"/>
    <s v="Order"/>
    <n v="7"/>
    <x v="1"/>
    <x v="250"/>
    <n v="8"/>
    <n v="86.25"/>
    <d v="1899-12-30T04:31:00"/>
    <n v="4.5166666666666666"/>
    <n v="4.5"/>
    <x v="0"/>
    <s v="Brunswick/Bath/Freeport"/>
    <n v="2"/>
  </r>
  <r>
    <n v="584"/>
    <s v="UE"/>
    <s v="Order"/>
    <n v="7"/>
    <x v="2"/>
    <x v="251"/>
    <n v="3"/>
    <n v="40.67"/>
    <d v="1899-12-30T02:19:00"/>
    <n v="2.3166666666666664"/>
    <n v="2.25"/>
    <x v="0"/>
    <s v="Lewiston"/>
    <n v="3"/>
  </r>
  <r>
    <n v="585"/>
    <s v="DD"/>
    <s v="Order"/>
    <n v="7"/>
    <x v="2"/>
    <x v="251"/>
    <n v="8"/>
    <n v="65"/>
    <d v="1899-12-30T05:08:00"/>
    <n v="5.1333333333333337"/>
    <n v="5.25"/>
    <x v="0"/>
    <s v="Lewiston"/>
    <n v="3"/>
  </r>
  <r>
    <n v="586"/>
    <s v="UE"/>
    <s v="Order"/>
    <n v="8"/>
    <x v="4"/>
    <x v="252"/>
    <n v="8"/>
    <n v="154.87"/>
    <d v="1899-12-30T03:09:00"/>
    <n v="3.1500000000000004"/>
    <n v="3.25"/>
    <x v="0"/>
    <s v="Brunswick/Bath/Freeport"/>
    <n v="2"/>
  </r>
  <r>
    <n v="587"/>
    <s v="DD"/>
    <s v="Order"/>
    <n v="8"/>
    <x v="4"/>
    <x v="252"/>
    <n v="6"/>
    <n v="39.75"/>
    <d v="1899-12-30T02:21:00"/>
    <n v="2.35"/>
    <n v="2.25"/>
    <x v="0"/>
    <s v="Brunswick/Bath/Freeport"/>
    <n v="2"/>
  </r>
  <r>
    <n v="588"/>
    <s v="UE"/>
    <s v="Order"/>
    <n v="8"/>
    <x v="5"/>
    <x v="253"/>
    <n v="1"/>
    <n v="14.09"/>
    <d v="1899-12-30T01:09:00"/>
    <n v="1.1499999999999999"/>
    <n v="1.25"/>
    <x v="0"/>
    <s v="Brunswick/Bath/Freeport"/>
    <n v="2"/>
  </r>
  <r>
    <n v="589"/>
    <s v="DD"/>
    <s v="Order"/>
    <n v="8"/>
    <x v="5"/>
    <x v="253"/>
    <n v="8"/>
    <n v="68.25"/>
    <d v="1899-12-30T03:39:00"/>
    <n v="3.6499999999999995"/>
    <n v="3.75"/>
    <x v="0"/>
    <s v="Brunswick/Bath/Freeport"/>
    <n v="2"/>
  </r>
  <r>
    <n v="590"/>
    <s v="DD"/>
    <s v="Hourly"/>
    <n v="8"/>
    <x v="5"/>
    <x v="253"/>
    <n v="2"/>
    <n v="20.89"/>
    <d v="1899-12-30T00:49:00"/>
    <n v="0.81666666666666665"/>
    <n v="0.75"/>
    <x v="2"/>
    <s v="Brunswick/Bath/Freeport"/>
    <n v="2"/>
  </r>
  <r>
    <n v="591"/>
    <s v="UE"/>
    <s v="Order"/>
    <n v="8"/>
    <x v="6"/>
    <x v="254"/>
    <n v="2"/>
    <n v="35.520000000000003"/>
    <d v="1899-12-30T02:45:00"/>
    <n v="2.75"/>
    <n v="2.75"/>
    <x v="0"/>
    <s v="Lewiston"/>
    <n v="3"/>
  </r>
  <r>
    <n v="592"/>
    <s v="DD"/>
    <s v="Order"/>
    <n v="8"/>
    <x v="6"/>
    <x v="254"/>
    <n v="2"/>
    <n v="28"/>
    <d v="1899-12-30T01:51:00"/>
    <n v="1.85"/>
    <n v="1.75"/>
    <x v="0"/>
    <s v="Lewiston"/>
    <n v="3"/>
  </r>
  <r>
    <n v="593"/>
    <s v="DD"/>
    <s v="Order"/>
    <n v="8"/>
    <x v="6"/>
    <x v="254"/>
    <n v="6"/>
    <n v="41.75"/>
    <d v="1899-12-30T02:50:00"/>
    <n v="2.8333333333333335"/>
    <n v="2.75"/>
    <x v="2"/>
    <s v="Lewiston"/>
    <n v="3"/>
  </r>
  <r>
    <n v="594"/>
    <s v="UE"/>
    <s v="Order"/>
    <n v="8"/>
    <x v="0"/>
    <x v="255"/>
    <n v="1"/>
    <n v="5.0199999999999996"/>
    <d v="1899-12-30T01:44:00"/>
    <n v="1.7333333333333334"/>
    <n v="1.75"/>
    <x v="0"/>
    <s v="Lewiston"/>
    <n v="3"/>
  </r>
  <r>
    <n v="595"/>
    <s v="DD"/>
    <s v="Order"/>
    <n v="8"/>
    <x v="0"/>
    <x v="255"/>
    <n v="2"/>
    <n v="24"/>
    <d v="1899-12-30T01:41:00"/>
    <n v="1.6833333333333333"/>
    <n v="1.75"/>
    <x v="0"/>
    <s v="Lewiston"/>
    <n v="3"/>
  </r>
  <r>
    <n v="596"/>
    <s v="DD"/>
    <s v="Order"/>
    <n v="8"/>
    <x v="0"/>
    <x v="255"/>
    <n v="2"/>
    <n v="15"/>
    <d v="1899-12-30T00:33:00"/>
    <n v="0.55000000000000004"/>
    <n v="0.5"/>
    <x v="2"/>
    <s v="Lewiston"/>
    <n v="3"/>
  </r>
  <r>
    <n v="597"/>
    <s v="DD"/>
    <s v="Order"/>
    <n v="8"/>
    <x v="0"/>
    <x v="255"/>
    <n v="7"/>
    <n v="63.75"/>
    <d v="1899-12-30T03:51:00"/>
    <n v="3.8500000000000005"/>
    <n v="3.75"/>
    <x v="2"/>
    <s v="Lewiston"/>
    <n v="3"/>
  </r>
  <r>
    <n v="598"/>
    <s v="DD"/>
    <s v="Order"/>
    <n v="9"/>
    <x v="6"/>
    <x v="256"/>
    <n v="12"/>
    <n v="116.25"/>
    <d v="1899-12-30T04:04:00"/>
    <n v="4.0666666666666664"/>
    <n v="4"/>
    <x v="0"/>
    <s v="Lewiston"/>
    <n v="3"/>
  </r>
  <r>
    <n v="599"/>
    <s v="DD"/>
    <s v="Order"/>
    <n v="9"/>
    <x v="0"/>
    <x v="257"/>
    <n v="1"/>
    <n v="7.25"/>
    <d v="1899-12-30T00:27:00"/>
    <n v="0.44999999999999996"/>
    <n v="0.5"/>
    <x v="0"/>
    <s v="Lewiston"/>
    <n v="3"/>
  </r>
  <r>
    <n v="600"/>
    <s v="DD"/>
    <s v="Order"/>
    <n v="9"/>
    <x v="0"/>
    <x v="257"/>
    <n v="7"/>
    <n v="47.5"/>
    <d v="1899-12-30T02:48:00"/>
    <n v="2.8"/>
    <n v="2.75"/>
    <x v="0"/>
    <s v="Lewiston"/>
    <n v="3"/>
  </r>
  <r>
    <n v="601"/>
    <s v="UE"/>
    <s v="Order"/>
    <n v="9"/>
    <x v="2"/>
    <x v="258"/>
    <n v="2"/>
    <n v="41.09"/>
    <d v="1899-12-30T02:09:00"/>
    <n v="2.15"/>
    <n v="2.25"/>
    <x v="0"/>
    <s v="Brunswick/Bath/Freeport"/>
    <n v="2"/>
  </r>
  <r>
    <n v="602"/>
    <s v="DD"/>
    <s v="Order"/>
    <n v="9"/>
    <x v="2"/>
    <x v="258"/>
    <n v="12"/>
    <n v="154.79"/>
    <d v="1899-12-30T04:25:00"/>
    <n v="4.416666666666667"/>
    <n v="4.5"/>
    <x v="0"/>
    <s v="Brunswick/Bath/Freeport"/>
    <n v="2"/>
  </r>
  <r>
    <n v="603"/>
    <s v="DD"/>
    <s v="Order"/>
    <n v="9"/>
    <x v="2"/>
    <x v="258"/>
    <n v="7"/>
    <n v="82"/>
    <d v="1899-12-30T02:35:00"/>
    <n v="2.5833333333333335"/>
    <n v="2.5"/>
    <x v="0"/>
    <s v="Brunswick/Bath/Freeport"/>
    <n v="2"/>
  </r>
  <r>
    <n v="604"/>
    <s v="UE"/>
    <s v="Order"/>
    <n v="10"/>
    <x v="4"/>
    <x v="259"/>
    <n v="2"/>
    <n v="9.1"/>
    <d v="1899-12-30T00:42:00"/>
    <n v="0.7"/>
    <n v="0.75"/>
    <x v="0"/>
    <s v="Brunswick/Bath/Freeport"/>
    <n v="2"/>
  </r>
  <r>
    <n v="605"/>
    <s v="DD"/>
    <s v="Order"/>
    <n v="10"/>
    <x v="4"/>
    <x v="259"/>
    <n v="7"/>
    <n v="116.37"/>
    <d v="1899-12-30T04:27:00"/>
    <n v="4.45"/>
    <n v="4.5"/>
    <x v="0"/>
    <s v="Brunswick/Bath/Freeport"/>
    <n v="2"/>
  </r>
  <r>
    <n v="606"/>
    <s v="DD"/>
    <s v="Order"/>
    <n v="10"/>
    <x v="5"/>
    <x v="260"/>
    <n v="5"/>
    <n v="59.25"/>
    <d v="1899-12-30T03:46:00"/>
    <n v="3.7666666666666666"/>
    <n v="3.75"/>
    <x v="0"/>
    <s v="Augusta"/>
    <n v="1"/>
  </r>
  <r>
    <n v="607"/>
    <s v="DD"/>
    <s v="Order"/>
    <n v="10"/>
    <x v="5"/>
    <x v="260"/>
    <n v="3"/>
    <n v="16.5"/>
    <d v="1899-12-30T00:54:00"/>
    <n v="0.89999999999999991"/>
    <n v="1"/>
    <x v="2"/>
    <s v="Augusta"/>
    <n v="1"/>
  </r>
  <r>
    <n v="608"/>
    <s v="UE"/>
    <s v="Order"/>
    <n v="10"/>
    <x v="0"/>
    <x v="261"/>
    <n v="2"/>
    <n v="31.93"/>
    <d v="1899-12-30T00:55:00"/>
    <n v="0.91666666666666652"/>
    <n v="1"/>
    <x v="0"/>
    <s v="Lewiston"/>
    <n v="3"/>
  </r>
  <r>
    <n v="609"/>
    <s v="DD"/>
    <s v="Order"/>
    <n v="10"/>
    <x v="0"/>
    <x v="261"/>
    <n v="1"/>
    <n v="9"/>
    <d v="1899-12-30T00:46:00"/>
    <n v="0.76666666666666683"/>
    <n v="0.75"/>
    <x v="0"/>
    <s v="Lewiston"/>
    <n v="3"/>
  </r>
  <r>
    <n v="610"/>
    <s v="UE"/>
    <s v="Order"/>
    <n v="10"/>
    <x v="1"/>
    <x v="262"/>
    <n v="6"/>
    <n v="121.15"/>
    <d v="1899-12-30T04:00:00"/>
    <n v="4"/>
    <n v="4"/>
    <x v="0"/>
    <s v="Brunswick/Bath/Freeport"/>
    <n v="2"/>
  </r>
  <r>
    <n v="611"/>
    <s v="DD"/>
    <s v="Order"/>
    <n v="10"/>
    <x v="1"/>
    <x v="262"/>
    <n v="1"/>
    <n v="35.5"/>
    <d v="1899-12-30T02:12:00"/>
    <n v="2.2000000000000002"/>
    <n v="2.25"/>
    <x v="2"/>
    <s v="Brunswick/Bath/Freeport"/>
    <n v="2"/>
  </r>
  <r>
    <n v="612"/>
    <s v="DD"/>
    <s v="Order"/>
    <n v="11"/>
    <x v="4"/>
    <x v="263"/>
    <n v="8"/>
    <n v="68"/>
    <d v="1899-12-30T04:08:00"/>
    <n v="4.1333333333333337"/>
    <n v="4.25"/>
    <x v="0"/>
    <s v="Brunswick/Bath/Freeport"/>
    <n v="2"/>
  </r>
  <r>
    <n v="613"/>
    <s v="UE"/>
    <s v="Order"/>
    <n v="11"/>
    <x v="6"/>
    <x v="264"/>
    <n v="3"/>
    <n v="43.83"/>
    <d v="1899-12-30T01:56:00"/>
    <n v="1.9333333333333336"/>
    <n v="2"/>
    <x v="0"/>
    <s v="Portland"/>
    <n v="4"/>
  </r>
  <r>
    <n v="614"/>
    <s v="DD"/>
    <s v="Order"/>
    <n v="11"/>
    <x v="6"/>
    <x v="264"/>
    <n v="2"/>
    <n v="15"/>
    <d v="1899-12-30T01:43:00"/>
    <n v="1.7166666666666668"/>
    <n v="1.75"/>
    <x v="0"/>
    <s v="Portland"/>
    <n v="4"/>
  </r>
  <r>
    <n v="615"/>
    <s v="UE"/>
    <s v="Order"/>
    <n v="11"/>
    <x v="0"/>
    <x v="265"/>
    <n v="1"/>
    <n v="4.7"/>
    <d v="1899-12-30T01:10:00"/>
    <n v="1.1666666666666667"/>
    <n v="1.25"/>
    <x v="0"/>
    <s v="Lewiston"/>
    <n v="3"/>
  </r>
  <r>
    <n v="616"/>
    <s v="DD"/>
    <s v="Order"/>
    <n v="11"/>
    <x v="0"/>
    <x v="265"/>
    <n v="8"/>
    <n v="59.38"/>
    <d v="1899-12-30T03:33:00"/>
    <n v="3.55"/>
    <n v="3.5"/>
    <x v="0"/>
    <s v="Lewiston"/>
    <n v="3"/>
  </r>
  <r>
    <n v="617"/>
    <s v="UE"/>
    <s v="Order"/>
    <n v="11"/>
    <x v="1"/>
    <x v="266"/>
    <n v="4"/>
    <n v="42.7"/>
    <d v="1899-12-30T03:36:00"/>
    <n v="3.5999999999999996"/>
    <n v="3.5"/>
    <x v="0"/>
    <s v="Brunswick/Bath/Freeport"/>
    <n v="2"/>
  </r>
  <r>
    <n v="618"/>
    <s v="DD"/>
    <s v="Order"/>
    <n v="11"/>
    <x v="1"/>
    <x v="266"/>
    <n v="4"/>
    <n v="50.25"/>
    <d v="1899-12-30T02:29:00"/>
    <n v="2.4833333333333334"/>
    <n v="2.5"/>
    <x v="0"/>
    <s v="Brunswick/Bath/Freeport"/>
    <n v="2"/>
  </r>
  <r>
    <n v="619"/>
    <s v="DD"/>
    <s v="Order"/>
    <n v="11"/>
    <x v="1"/>
    <x v="266"/>
    <n v="3"/>
    <n v="29.5"/>
    <d v="1899-12-30T01:43:00"/>
    <n v="1.7166666666666668"/>
    <n v="1.75"/>
    <x v="2"/>
    <s v="Brunswick/Bath/Freeport"/>
    <n v="2"/>
  </r>
  <r>
    <n v="620"/>
    <s v="UE"/>
    <s v="Order"/>
    <n v="12"/>
    <x v="4"/>
    <x v="267"/>
    <n v="1"/>
    <n v="17.3"/>
    <d v="1899-12-30T00:41:00"/>
    <n v="0.68333333333333335"/>
    <n v="0.75"/>
    <x v="0"/>
    <s v="Brunswick/Bath/Freeport"/>
    <n v="2"/>
  </r>
  <r>
    <n v="621"/>
    <s v="DD"/>
    <s v="Order"/>
    <n v="12"/>
    <x v="4"/>
    <x v="267"/>
    <n v="2"/>
    <n v="43.12"/>
    <d v="1899-12-30T03:13:00"/>
    <n v="3.2166666666666668"/>
    <n v="3.25"/>
    <x v="0"/>
    <s v="Brunswick/Bath/Freeport"/>
    <n v="2"/>
  </r>
  <r>
    <n v="622"/>
    <s v="UE"/>
    <s v="Order"/>
    <n v="12"/>
    <x v="5"/>
    <x v="268"/>
    <n v="6"/>
    <n v="29.21"/>
    <d v="1899-12-30T02:04:00"/>
    <n v="2.0666666666666669"/>
    <n v="2"/>
    <x v="0"/>
    <s v="Lewiston"/>
    <n v="3"/>
  </r>
  <r>
    <n v="623"/>
    <s v="DD"/>
    <s v="Order"/>
    <n v="12"/>
    <x v="5"/>
    <x v="268"/>
    <n v="4"/>
    <n v="29"/>
    <d v="1899-12-30T02:32:00"/>
    <n v="2.5333333333333332"/>
    <n v="2.5"/>
    <x v="0"/>
    <s v="Lewiston"/>
    <n v="3"/>
  </r>
  <r>
    <n v="624"/>
    <s v="DD"/>
    <s v="Order"/>
    <n v="12"/>
    <x v="5"/>
    <x v="268"/>
    <n v="2"/>
    <n v="20"/>
    <d v="1899-12-30T01:18:00"/>
    <n v="1.3"/>
    <n v="1.25"/>
    <x v="0"/>
    <s v="Lewiston"/>
    <n v="3"/>
  </r>
  <r>
    <n v="625"/>
    <s v="DD"/>
    <s v="Order"/>
    <n v="12"/>
    <x v="5"/>
    <x v="268"/>
    <n v="1"/>
    <n v="7.75"/>
    <d v="1899-12-30T00:24:00"/>
    <n v="0.4"/>
    <n v="0.5"/>
    <x v="2"/>
    <s v="Lewiston"/>
    <n v="3"/>
  </r>
  <r>
    <n v="626"/>
    <s v="IC"/>
    <s v="Order"/>
    <n v="12"/>
    <x v="6"/>
    <x v="269"/>
    <n v="3"/>
    <n v="61.69"/>
    <d v="1899-12-30T04:04:00"/>
    <n v="4.0666666666666664"/>
    <n v="4"/>
    <x v="0"/>
    <s v="Brunswick/Bath/Freeport"/>
    <n v="2"/>
  </r>
  <r>
    <n v="627"/>
    <s v="DD"/>
    <s v="Order"/>
    <n v="12"/>
    <x v="6"/>
    <x v="269"/>
    <n v="1"/>
    <n v="8.5"/>
    <d v="1899-12-30T00:41:00"/>
    <n v="0.68333333333333335"/>
    <n v="0.75"/>
    <x v="2"/>
    <s v="Brunswick/Bath/Freeport"/>
    <n v="2"/>
  </r>
  <r>
    <n v="628"/>
    <s v="DD"/>
    <s v="Order"/>
    <n v="12"/>
    <x v="0"/>
    <x v="270"/>
    <n v="8"/>
    <n v="51.5"/>
    <d v="1899-12-30T04:01:00"/>
    <n v="4.0166666666666666"/>
    <n v="4"/>
    <x v="0"/>
    <s v="Lewiston"/>
    <n v="3"/>
  </r>
  <r>
    <n v="629"/>
    <s v="UE"/>
    <s v="Order"/>
    <n v="12"/>
    <x v="1"/>
    <x v="271"/>
    <n v="1"/>
    <n v="13.41"/>
    <d v="1899-12-30T02:06:00"/>
    <n v="2.1"/>
    <n v="2"/>
    <x v="0"/>
    <s v="Brunswick/Bath/Freeport"/>
    <n v="2"/>
  </r>
  <r>
    <n v="630"/>
    <s v="DD"/>
    <s v="Order"/>
    <n v="12"/>
    <x v="1"/>
    <x v="271"/>
    <n v="3"/>
    <n v="33.75"/>
    <d v="1899-12-30T01:25:00"/>
    <n v="1.4166666666666667"/>
    <n v="1.5"/>
    <x v="0"/>
    <s v="Brunswick/Bath/Freeport"/>
    <n v="2"/>
  </r>
  <r>
    <n v="631"/>
    <s v="DD"/>
    <s v="Order"/>
    <n v="12"/>
    <x v="1"/>
    <x v="271"/>
    <n v="5"/>
    <n v="47.75"/>
    <d v="1899-12-30T04:07:00"/>
    <n v="4.1166666666666663"/>
    <n v="4"/>
    <x v="2"/>
    <s v="Brunswick/Bath/Freeport"/>
    <n v="2"/>
  </r>
  <r>
    <n v="632"/>
    <s v="UE"/>
    <s v="Order"/>
    <n v="13"/>
    <x v="6"/>
    <x v="272"/>
    <n v="5"/>
    <n v="49.99"/>
    <d v="1899-12-30T02:18:00"/>
    <n v="2.2999999999999998"/>
    <n v="2.25"/>
    <x v="0"/>
    <s v="Portland"/>
    <n v="4"/>
  </r>
  <r>
    <n v="633"/>
    <s v="DD"/>
    <s v="Order"/>
    <n v="13"/>
    <x v="6"/>
    <x v="272"/>
    <n v="5"/>
    <n v="48.25"/>
    <d v="1899-12-30T02:34:00"/>
    <n v="2.5666666666666664"/>
    <n v="2.5"/>
    <x v="2"/>
    <s v="Portland"/>
    <n v="4"/>
  </r>
  <r>
    <n v="634"/>
    <s v="DD"/>
    <s v="Order"/>
    <n v="13"/>
    <x v="0"/>
    <x v="273"/>
    <n v="7"/>
    <n v="56.25"/>
    <d v="1899-12-30T02:28:00"/>
    <n v="2.4666666666666668"/>
    <n v="2.5"/>
    <x v="0"/>
    <s v="Brunswick/Bath/Freeport"/>
    <n v="2"/>
  </r>
  <r>
    <n v="635"/>
    <s v="DD"/>
    <s v="Order"/>
    <n v="13"/>
    <x v="0"/>
    <x v="273"/>
    <n v="1"/>
    <n v="9.5"/>
    <d v="1899-12-30T00:43:00"/>
    <n v="0.71666666666666667"/>
    <n v="0.75"/>
    <x v="2"/>
    <s v="Brunswick/Bath/Freeport"/>
    <n v="2"/>
  </r>
  <r>
    <n v="636"/>
    <s v="UE"/>
    <s v="Order"/>
    <n v="13"/>
    <x v="1"/>
    <x v="274"/>
    <n v="7"/>
    <n v="112.55"/>
    <d v="1899-12-30T04:12:00"/>
    <n v="4.2"/>
    <n v="4.25"/>
    <x v="0"/>
    <s v="Brunswick/Bath/Freeport"/>
    <n v="2"/>
  </r>
  <r>
    <n v="637"/>
    <s v="DD"/>
    <s v="Order"/>
    <n v="13"/>
    <x v="1"/>
    <x v="274"/>
    <n v="1"/>
    <n v="4.12"/>
    <d v="1899-12-30T00:05:00"/>
    <n v="8.3333333333333329E-2"/>
    <n v="0"/>
    <x v="0"/>
    <s v="Brunswick/Bath/Freeport"/>
    <n v="2"/>
  </r>
  <r>
    <n v="638"/>
    <s v="UE"/>
    <s v="Order"/>
    <n v="13"/>
    <x v="2"/>
    <x v="275"/>
    <n v="7"/>
    <n v="78.989999999999995"/>
    <d v="1899-12-30T03:13:00"/>
    <n v="3.2166666666666668"/>
    <n v="3.25"/>
    <x v="0"/>
    <s v="Portland"/>
    <n v="4"/>
  </r>
  <r>
    <n v="639"/>
    <s v="DD"/>
    <s v="Order"/>
    <n v="13"/>
    <x v="2"/>
    <x v="275"/>
    <n v="1"/>
    <n v="10"/>
    <d v="1899-12-30T00:37:00"/>
    <n v="0.6166666666666667"/>
    <n v="0.5"/>
    <x v="2"/>
    <s v="Portland"/>
    <n v="4"/>
  </r>
  <r>
    <n v="640"/>
    <s v="DD"/>
    <s v="Hourly"/>
    <n v="13"/>
    <x v="2"/>
    <x v="275"/>
    <n v="2"/>
    <n v="25.54"/>
    <d v="1899-12-30T00:59:00"/>
    <n v="0.98333333333333339"/>
    <n v="1"/>
    <x v="2"/>
    <s v="Portland"/>
    <n v="4"/>
  </r>
  <r>
    <n v="641"/>
    <s v="UE"/>
    <s v="Order"/>
    <n v="14"/>
    <x v="5"/>
    <x v="276"/>
    <n v="3"/>
    <n v="25.73"/>
    <d v="1899-12-30T02:30:00"/>
    <n v="2.5"/>
    <n v="2.5"/>
    <x v="0"/>
    <s v="Portland"/>
    <n v="4"/>
  </r>
  <r>
    <n v="642"/>
    <s v="DD"/>
    <s v="Order"/>
    <n v="14"/>
    <x v="5"/>
    <x v="276"/>
    <n v="2"/>
    <n v="9.5"/>
    <d v="1899-12-30T00:49:00"/>
    <n v="0.81666666666666665"/>
    <n v="0.75"/>
    <x v="0"/>
    <s v="Portland"/>
    <n v="4"/>
  </r>
  <r>
    <n v="643"/>
    <s v="DD"/>
    <s v="Order"/>
    <n v="14"/>
    <x v="5"/>
    <x v="276"/>
    <n v="5"/>
    <n v="31.75"/>
    <d v="1899-12-30T01:54:00"/>
    <n v="1.9"/>
    <n v="2"/>
    <x v="0"/>
    <s v="Portland"/>
    <n v="4"/>
  </r>
  <r>
    <n v="644"/>
    <s v="UE"/>
    <s v="Order"/>
    <n v="14"/>
    <x v="6"/>
    <x v="277"/>
    <n v="3"/>
    <n v="39.200000000000003"/>
    <d v="1899-12-30T02:39:00"/>
    <n v="2.65"/>
    <n v="2.75"/>
    <x v="0"/>
    <s v="Lewiston"/>
    <n v="3"/>
  </r>
  <r>
    <n v="645"/>
    <s v="DD"/>
    <s v="Order"/>
    <n v="14"/>
    <x v="6"/>
    <x v="277"/>
    <n v="3"/>
    <n v="32.19"/>
    <d v="1899-12-30T01:52:00"/>
    <n v="1.8666666666666667"/>
    <n v="1.75"/>
    <x v="0"/>
    <s v="Lewiston"/>
    <n v="3"/>
  </r>
  <r>
    <n v="646"/>
    <s v="DD"/>
    <s v="Order"/>
    <n v="14"/>
    <x v="6"/>
    <x v="277"/>
    <n v="5"/>
    <n v="32"/>
    <d v="1899-12-30T02:54:00"/>
    <n v="2.9"/>
    <n v="3"/>
    <x v="2"/>
    <s v="Lewiston"/>
    <n v="3"/>
  </r>
  <r>
    <n v="647"/>
    <s v="UE"/>
    <s v="Order"/>
    <n v="14"/>
    <x v="0"/>
    <x v="278"/>
    <n v="11"/>
    <n v="119.45000000000002"/>
    <d v="1899-12-30T06:48:00"/>
    <n v="6.8"/>
    <n v="6.75"/>
    <x v="0"/>
    <s v="Portland"/>
    <n v="4"/>
  </r>
  <r>
    <n v="648"/>
    <s v="DD"/>
    <s v="Order"/>
    <n v="14"/>
    <x v="0"/>
    <x v="278"/>
    <n v="1"/>
    <n v="6.7"/>
    <d v="1899-12-30T00:25:00"/>
    <n v="0.41666666666666669"/>
    <n v="0.5"/>
    <x v="0"/>
    <s v="Portland"/>
    <n v="4"/>
  </r>
  <r>
    <n v="649"/>
    <s v="DD"/>
    <s v="Order"/>
    <n v="14"/>
    <x v="0"/>
    <x v="278"/>
    <n v="3"/>
    <n v="47.5"/>
    <d v="1899-12-30T01:26:00"/>
    <n v="1.4333333333333333"/>
    <n v="1.5"/>
    <x v="2"/>
    <s v="Portland"/>
    <n v="4"/>
  </r>
  <r>
    <n v="650"/>
    <s v="DD"/>
    <s v="Order"/>
    <n v="14"/>
    <x v="0"/>
    <x v="278"/>
    <n v="3"/>
    <n v="32.81"/>
    <d v="1899-12-30T02:29:00"/>
    <n v="2.4833333333333334"/>
    <n v="2.5"/>
    <x v="2"/>
    <s v="Portland"/>
    <n v="4"/>
  </r>
  <r>
    <n v="651"/>
    <s v="UE"/>
    <s v="Order"/>
    <n v="14"/>
    <x v="1"/>
    <x v="279"/>
    <n v="8"/>
    <n v="68.150000000000006"/>
    <d v="1899-12-30T03:58:00"/>
    <n v="3.9666666666666668"/>
    <n v="4"/>
    <x v="0"/>
    <s v="Portland"/>
    <n v="4"/>
  </r>
  <r>
    <n v="652"/>
    <s v="DD"/>
    <s v="Order"/>
    <n v="14"/>
    <x v="1"/>
    <x v="279"/>
    <n v="1"/>
    <n v="5.5"/>
    <d v="1899-12-30T00:58:00"/>
    <n v="0.96666666666666679"/>
    <n v="1"/>
    <x v="2"/>
    <s v="Portland"/>
    <n v="4"/>
  </r>
  <r>
    <n v="653"/>
    <s v="DD"/>
    <s v="Order"/>
    <n v="14"/>
    <x v="1"/>
    <x v="279"/>
    <n v="1"/>
    <n v="5.25"/>
    <d v="1899-12-30T01:35:00"/>
    <n v="1.5833333333333335"/>
    <n v="1.5"/>
    <x v="2"/>
    <s v="Portland"/>
    <n v="4"/>
  </r>
  <r>
    <n v="654"/>
    <s v="DD"/>
    <s v="Order"/>
    <n v="15"/>
    <x v="4"/>
    <x v="280"/>
    <n v="3"/>
    <n v="25.5"/>
    <d v="1899-12-30T01:51:00"/>
    <n v="1.85"/>
    <n v="1.75"/>
    <x v="0"/>
    <s v="Brunswick/Bath/Freeport"/>
    <n v="2"/>
  </r>
  <r>
    <n v="655"/>
    <s v="UE"/>
    <s v="Order"/>
    <n v="16"/>
    <x v="6"/>
    <x v="281"/>
    <n v="3"/>
    <n v="55.17"/>
    <d v="1899-12-30T03:01:00"/>
    <n v="3.0166666666666666"/>
    <n v="3"/>
    <x v="0"/>
    <s v="Brunswick/Bath/Freeport"/>
    <n v="2"/>
  </r>
  <r>
    <n v="656"/>
    <s v="DD"/>
    <s v="Order"/>
    <n v="16"/>
    <x v="6"/>
    <x v="281"/>
    <n v="2"/>
    <n v="12"/>
    <d v="1899-12-30T01:30:00"/>
    <n v="1.5"/>
    <n v="1.5"/>
    <x v="0"/>
    <s v="Brunswick/Bath/Freeport"/>
    <n v="2"/>
  </r>
  <r>
    <n v="657"/>
    <s v="DD"/>
    <s v="Order"/>
    <n v="16"/>
    <x v="6"/>
    <x v="281"/>
    <n v="1"/>
    <n v="17.5"/>
    <d v="1899-12-30T01:04:00"/>
    <n v="1.0666666666666667"/>
    <n v="1"/>
    <x v="0"/>
    <s v="Brunswick/Bath/Freeport"/>
    <n v="2"/>
  </r>
  <r>
    <n v="658"/>
    <s v="DD"/>
    <s v="Order"/>
    <n v="16"/>
    <x v="6"/>
    <x v="281"/>
    <n v="2"/>
    <n v="20"/>
    <d v="1899-12-30T01:01:00"/>
    <n v="1.0166666666666666"/>
    <n v="1"/>
    <x v="0"/>
    <s v="Brunswick/Bath/Freeport"/>
    <n v="2"/>
  </r>
  <r>
    <n v="659"/>
    <s v="UE"/>
    <s v="Order"/>
    <n v="16"/>
    <x v="1"/>
    <x v="282"/>
    <n v="2"/>
    <n v="26.93"/>
    <d v="1899-12-30T02:27:00"/>
    <n v="2.4500000000000002"/>
    <n v="2.5"/>
    <x v="0"/>
    <s v="Brunswick/Bath/Freeport"/>
    <n v="2"/>
  </r>
  <r>
    <n v="660"/>
    <s v="DD"/>
    <s v="Order"/>
    <n v="16"/>
    <x v="1"/>
    <x v="282"/>
    <n v="5"/>
    <n v="54.06"/>
    <d v="1899-12-30T02:46:00"/>
    <n v="2.7666666666666666"/>
    <n v="2.75"/>
    <x v="0"/>
    <s v="Brunswick/Bath/Freeport"/>
    <n v="2"/>
  </r>
  <r>
    <n v="661"/>
    <s v="DD"/>
    <s v="Order"/>
    <n v="16"/>
    <x v="1"/>
    <x v="282"/>
    <n v="1"/>
    <n v="5"/>
    <d v="1899-12-30T00:22:00"/>
    <n v="0.36666666666666664"/>
    <n v="0.25"/>
    <x v="0"/>
    <s v="Brunswick/Bath/Freeport"/>
    <n v="2"/>
  </r>
  <r>
    <n v="662"/>
    <s v="DD"/>
    <s v="Order"/>
    <n v="16"/>
    <x v="1"/>
    <x v="282"/>
    <n v="5"/>
    <n v="45.5"/>
    <d v="1899-12-30T02:25:00"/>
    <n v="2.4166666666666665"/>
    <n v="2.5"/>
    <x v="2"/>
    <s v="Brunswick/Bath/Freeport"/>
    <n v="2"/>
  </r>
  <r>
    <n v="663"/>
    <s v="UE"/>
    <s v="Order"/>
    <n v="17"/>
    <x v="5"/>
    <x v="283"/>
    <n v="1"/>
    <n v="14.59"/>
    <d v="1899-12-30T02:12:00"/>
    <n v="2.2000000000000002"/>
    <n v="2.25"/>
    <x v="0"/>
    <s v="Brunswick/Bath/Freeport"/>
    <n v="2"/>
  </r>
  <r>
    <n v="664"/>
    <s v="DD"/>
    <s v="Order"/>
    <n v="17"/>
    <x v="5"/>
    <x v="283"/>
    <n v="9"/>
    <n v="76.599999999999994"/>
    <d v="1899-12-30T04:03:00"/>
    <n v="4.05"/>
    <n v="4"/>
    <x v="0"/>
    <s v="Brunswick/Bath/Freeport"/>
    <n v="2"/>
  </r>
  <r>
    <n v="665"/>
    <s v="UE"/>
    <s v="Order"/>
    <n v="17"/>
    <x v="6"/>
    <x v="284"/>
    <n v="4"/>
    <n v="76.72"/>
    <d v="1899-12-30T03:13:00"/>
    <n v="3.2166666666666668"/>
    <n v="3.25"/>
    <x v="0"/>
    <s v="Brunswick/Bath/Freeport"/>
    <n v="2"/>
  </r>
  <r>
    <n v="666"/>
    <s v="DD"/>
    <s v="Order"/>
    <n v="17"/>
    <x v="6"/>
    <x v="284"/>
    <n v="8"/>
    <n v="44.7"/>
    <d v="1899-12-30T03:38:00"/>
    <n v="3.6333333333333329"/>
    <n v="3.75"/>
    <x v="0"/>
    <s v="Brunswick/Bath/Freeport"/>
    <n v="2"/>
  </r>
  <r>
    <n v="667"/>
    <s v="DD"/>
    <s v="Order"/>
    <n v="17"/>
    <x v="6"/>
    <x v="284"/>
    <n v="2"/>
    <n v="13"/>
    <d v="1899-12-30T00:58:00"/>
    <n v="0.96666666666666679"/>
    <n v="1"/>
    <x v="2"/>
    <s v="Brunswick/Bath/Freeport"/>
    <n v="2"/>
  </r>
  <r>
    <n v="668"/>
    <s v="UE"/>
    <s v="Order"/>
    <n v="17"/>
    <x v="0"/>
    <x v="285"/>
    <n v="2"/>
    <n v="29.52"/>
    <d v="1899-12-30T01:15:00"/>
    <n v="1.25"/>
    <n v="1.25"/>
    <x v="0"/>
    <s v="Brunswick/Bath/Freeport"/>
    <n v="2"/>
  </r>
  <r>
    <n v="669"/>
    <s v="DD"/>
    <s v="Order"/>
    <n v="17"/>
    <x v="0"/>
    <x v="285"/>
    <n v="5"/>
    <n v="46.9"/>
    <d v="1899-12-30T03:09:00"/>
    <n v="3.1500000000000004"/>
    <n v="3.25"/>
    <x v="0"/>
    <s v="Brunswick/Bath/Freeport"/>
    <n v="2"/>
  </r>
  <r>
    <n v="670"/>
    <s v="UE"/>
    <s v="Order"/>
    <n v="17"/>
    <x v="1"/>
    <x v="286"/>
    <n v="7"/>
    <n v="110"/>
    <d v="1899-12-30T05:13:00"/>
    <n v="5.2166666666666668"/>
    <n v="5.25"/>
    <x v="0"/>
    <s v="Brunswick/Bath/Freeport"/>
    <n v="2"/>
  </r>
  <r>
    <n v="671"/>
    <s v="DD"/>
    <s v="Order"/>
    <n v="17"/>
    <x v="1"/>
    <x v="286"/>
    <n v="4"/>
    <n v="24.5"/>
    <d v="1899-12-30T01:31:00"/>
    <n v="1.5166666666666666"/>
    <n v="1.5"/>
    <x v="0"/>
    <s v="Brunswick/Bath/Freeport"/>
    <n v="2"/>
  </r>
  <r>
    <n v="672"/>
    <s v="DD"/>
    <s v="Order"/>
    <n v="17"/>
    <x v="1"/>
    <x v="286"/>
    <n v="2"/>
    <n v="10.5"/>
    <d v="1899-12-30T01:04:00"/>
    <n v="1.0666666666666667"/>
    <n v="1"/>
    <x v="0"/>
    <s v="Brunswick/Bath/Freeport"/>
    <n v="2"/>
  </r>
  <r>
    <n v="673"/>
    <s v="DD"/>
    <s v="Order"/>
    <n v="17"/>
    <x v="1"/>
    <x v="286"/>
    <n v="2"/>
    <n v="16"/>
    <d v="1899-12-30T01:08:00"/>
    <n v="1.1333333333333333"/>
    <n v="1.25"/>
    <x v="0"/>
    <s v="Brunswick/Bath/Freeport"/>
    <n v="2"/>
  </r>
  <r>
    <n v="674"/>
    <s v="UE"/>
    <s v="Order"/>
    <n v="17"/>
    <x v="2"/>
    <x v="287"/>
    <n v="5"/>
    <n v="55.33"/>
    <d v="1899-12-30T03:32:00"/>
    <n v="3.5333333333333332"/>
    <n v="3.5"/>
    <x v="0"/>
    <s v="Augusta"/>
    <n v="1"/>
  </r>
  <r>
    <n v="675"/>
    <s v="DD"/>
    <s v="Order"/>
    <n v="17"/>
    <x v="2"/>
    <x v="287"/>
    <n v="3"/>
    <n v="30.5"/>
    <d v="1899-12-30T01:30:00"/>
    <n v="1.5"/>
    <n v="1.5"/>
    <x v="0"/>
    <s v="Augusta"/>
    <n v="1"/>
  </r>
  <r>
    <n v="676"/>
    <s v="DD"/>
    <s v="Order"/>
    <n v="17"/>
    <x v="2"/>
    <x v="287"/>
    <n v="1"/>
    <n v="13.25"/>
    <d v="1899-12-30T00:42:00"/>
    <n v="0.7"/>
    <n v="0.75"/>
    <x v="2"/>
    <s v="Augusta"/>
    <n v="1"/>
  </r>
  <r>
    <n v="677"/>
    <s v="UE"/>
    <s v="Order"/>
    <n v="18"/>
    <x v="5"/>
    <x v="288"/>
    <n v="2"/>
    <n v="40.56"/>
    <d v="1899-12-30T02:08:00"/>
    <n v="2.1333333333333333"/>
    <n v="2.25"/>
    <x v="0"/>
    <s v="Portland"/>
    <n v="4"/>
  </r>
  <r>
    <n v="678"/>
    <s v="DD"/>
    <s v="Order"/>
    <n v="18"/>
    <x v="5"/>
    <x v="288"/>
    <n v="1"/>
    <n v="11"/>
    <d v="1899-12-30T00:29:00"/>
    <n v="0.48333333333333339"/>
    <n v="0.5"/>
    <x v="0"/>
    <s v="Portland"/>
    <n v="4"/>
  </r>
  <r>
    <n v="679"/>
    <s v="DD"/>
    <s v="Order"/>
    <n v="18"/>
    <x v="5"/>
    <x v="288"/>
    <n v="3"/>
    <n v="29.25"/>
    <d v="1899-12-30T01:10:00"/>
    <n v="1.1666666666666667"/>
    <n v="1.25"/>
    <x v="0"/>
    <s v="Portland"/>
    <n v="4"/>
  </r>
  <r>
    <n v="680"/>
    <s v="DD"/>
    <s v="Order"/>
    <n v="18"/>
    <x v="5"/>
    <x v="288"/>
    <n v="6"/>
    <n v="40.25"/>
    <d v="1899-12-30T02:10:00"/>
    <n v="2.1666666666666665"/>
    <n v="2.25"/>
    <x v="0"/>
    <s v="Portland"/>
    <n v="4"/>
  </r>
  <r>
    <n v="681"/>
    <s v="DD"/>
    <s v="Order"/>
    <n v="18"/>
    <x v="6"/>
    <x v="289"/>
    <n v="3"/>
    <n v="25.82"/>
    <d v="1899-12-30T01:53:00"/>
    <n v="1.8833333333333333"/>
    <n v="2"/>
    <x v="0"/>
    <s v="Augusta"/>
    <n v="1"/>
  </r>
  <r>
    <n v="682"/>
    <s v="IC"/>
    <s v="Order"/>
    <n v="18"/>
    <x v="6"/>
    <x v="289"/>
    <n v="1"/>
    <n v="16.63"/>
    <d v="1899-12-30T00:36:00"/>
    <n v="0.6"/>
    <n v="0.5"/>
    <x v="0"/>
    <s v="Augusta"/>
    <n v="1"/>
  </r>
  <r>
    <n v="683"/>
    <s v="UE"/>
    <s v="Order"/>
    <n v="18"/>
    <x v="0"/>
    <x v="290"/>
    <n v="2"/>
    <n v="42.84"/>
    <d v="1899-12-30T01:56:00"/>
    <n v="1.9333333333333336"/>
    <n v="2"/>
    <x v="0"/>
    <s v="Brunswick/Bath/Freeport"/>
    <n v="2"/>
  </r>
  <r>
    <n v="684"/>
    <s v="DD"/>
    <s v="Order"/>
    <n v="18"/>
    <x v="0"/>
    <x v="290"/>
    <n v="6"/>
    <n v="68.08"/>
    <d v="1899-12-30T02:35:00"/>
    <n v="2.5833333333333335"/>
    <n v="2.5"/>
    <x v="0"/>
    <s v="Brunswick/Bath/Freeport"/>
    <n v="2"/>
  </r>
  <r>
    <n v="685"/>
    <s v="DD"/>
    <s v="Order"/>
    <n v="18"/>
    <x v="0"/>
    <x v="290"/>
    <n v="1"/>
    <n v="5.5"/>
    <d v="1899-12-30T01:06:00"/>
    <n v="1.1000000000000001"/>
    <n v="1"/>
    <x v="2"/>
    <s v="Brunswick/Bath/Freeport"/>
    <n v="2"/>
  </r>
  <r>
    <n v="686"/>
    <s v="UE"/>
    <s v="Order"/>
    <n v="18"/>
    <x v="1"/>
    <x v="291"/>
    <n v="2"/>
    <n v="27.67"/>
    <d v="1899-12-30T00:46:00"/>
    <n v="0.76666666666666683"/>
    <n v="0.75"/>
    <x v="0"/>
    <s v="Brunswick/Bath/Freeport"/>
    <n v="2"/>
  </r>
  <r>
    <n v="687"/>
    <s v="DD"/>
    <s v="Order"/>
    <n v="18"/>
    <x v="1"/>
    <x v="291"/>
    <n v="1"/>
    <n v="10"/>
    <d v="1899-12-30T01:25:00"/>
    <n v="1.4166666666666667"/>
    <n v="1.5"/>
    <x v="0"/>
    <s v="Brunswick/Bath/Freeport"/>
    <n v="2"/>
  </r>
  <r>
    <n v="688"/>
    <s v="UE"/>
    <s v="Order"/>
    <n v="18"/>
    <x v="2"/>
    <x v="292"/>
    <n v="1"/>
    <n v="10.029999999999999"/>
    <d v="1899-12-30T01:48:00"/>
    <n v="1.7999999999999998"/>
    <n v="1.75"/>
    <x v="0"/>
    <s v="Augusta"/>
    <n v="1"/>
  </r>
  <r>
    <n v="689"/>
    <s v="DD"/>
    <s v="Order"/>
    <n v="18"/>
    <x v="2"/>
    <x v="292"/>
    <n v="6"/>
    <n v="50.75"/>
    <d v="1899-12-30T03:29:00"/>
    <n v="3.4833333333333334"/>
    <n v="3.5"/>
    <x v="0"/>
    <s v="Augusta"/>
    <n v="1"/>
  </r>
  <r>
    <n v="690"/>
    <s v="DD"/>
    <s v="Order"/>
    <n v="18"/>
    <x v="2"/>
    <x v="292"/>
    <n v="1"/>
    <n v="7"/>
    <d v="1899-12-30T00:40:00"/>
    <n v="0.66666666666666663"/>
    <n v="0.75"/>
    <x v="2"/>
    <s v="Augusta"/>
    <n v="1"/>
  </r>
  <r>
    <n v="691"/>
    <s v="UE"/>
    <s v="Order"/>
    <n v="19"/>
    <x v="4"/>
    <x v="293"/>
    <n v="1"/>
    <n v="7.07"/>
    <d v="1899-12-30T02:00:00"/>
    <n v="2"/>
    <n v="2"/>
    <x v="0"/>
    <s v="Augusta"/>
    <n v="1"/>
  </r>
  <r>
    <n v="692"/>
    <s v="DD"/>
    <s v="Order"/>
    <n v="19"/>
    <x v="4"/>
    <x v="293"/>
    <n v="8"/>
    <n v="73.75"/>
    <d v="1899-12-30T05:04:00"/>
    <n v="5.0666666666666664"/>
    <n v="5"/>
    <x v="0"/>
    <s v="Augusta"/>
    <n v="1"/>
  </r>
  <r>
    <n v="693"/>
    <s v="UE"/>
    <s v="Order"/>
    <n v="19"/>
    <x v="5"/>
    <x v="294"/>
    <n v="6"/>
    <n v="43.45"/>
    <d v="1899-12-30T03:21:00"/>
    <n v="3.35"/>
    <n v="3.25"/>
    <x v="0"/>
    <s v="Portland"/>
    <n v="4"/>
  </r>
  <r>
    <n v="694"/>
    <s v="DD"/>
    <s v="Order"/>
    <n v="19"/>
    <x v="5"/>
    <x v="294"/>
    <n v="2"/>
    <n v="11.37"/>
    <d v="1899-12-30T01:54:00"/>
    <n v="1.9"/>
    <n v="2"/>
    <x v="0"/>
    <s v="Portland"/>
    <n v="4"/>
  </r>
  <r>
    <n v="695"/>
    <s v="DD"/>
    <s v="Order"/>
    <n v="19"/>
    <x v="5"/>
    <x v="294"/>
    <n v="8"/>
    <n v="54.5"/>
    <d v="1899-12-30T03:37:00"/>
    <n v="3.6166666666666663"/>
    <n v="3.5"/>
    <x v="2"/>
    <s v="Portland"/>
    <n v="4"/>
  </r>
  <r>
    <n v="696"/>
    <s v="UE"/>
    <s v="Order"/>
    <n v="19"/>
    <x v="6"/>
    <x v="295"/>
    <n v="1"/>
    <n v="10.7"/>
    <d v="1899-12-30T01:47:00"/>
    <n v="1.7833333333333332"/>
    <n v="1.75"/>
    <x v="0"/>
    <s v="Brunswick/Bath/Freeport"/>
    <n v="2"/>
  </r>
  <r>
    <n v="697"/>
    <s v="DD"/>
    <s v="Order"/>
    <n v="19"/>
    <x v="6"/>
    <x v="295"/>
    <n v="7"/>
    <n v="58.59"/>
    <d v="1899-12-30T03:43:00"/>
    <n v="3.7166666666666668"/>
    <n v="3.75"/>
    <x v="0"/>
    <s v="Brunswick/Bath/Freeport"/>
    <n v="2"/>
  </r>
  <r>
    <n v="698"/>
    <s v="UE"/>
    <s v="Order"/>
    <n v="19"/>
    <x v="0"/>
    <x v="296"/>
    <n v="8"/>
    <n v="93.94"/>
    <d v="1899-12-30T05:29:00"/>
    <n v="5.4833333333333334"/>
    <n v="5.5"/>
    <x v="0"/>
    <s v="Portland"/>
    <n v="4"/>
  </r>
  <r>
    <n v="699"/>
    <s v="DD"/>
    <s v="Order"/>
    <n v="19"/>
    <x v="0"/>
    <x v="296"/>
    <n v="7"/>
    <n v="61"/>
    <d v="1899-12-30T03:39:00"/>
    <n v="3.6499999999999995"/>
    <n v="3.75"/>
    <x v="2"/>
    <s v="Portland"/>
    <n v="4"/>
  </r>
  <r>
    <n v="700"/>
    <s v="UE"/>
    <s v="Order"/>
    <n v="19"/>
    <x v="2"/>
    <x v="297"/>
    <n v="6"/>
    <n v="63.84"/>
    <d v="1899-12-30T03:37:00"/>
    <n v="3.6166666666666663"/>
    <n v="3.5"/>
    <x v="0"/>
    <s v="Portland"/>
    <n v="4"/>
  </r>
  <r>
    <n v="701"/>
    <s v="DD"/>
    <s v="Hourly"/>
    <n v="19"/>
    <x v="2"/>
    <x v="297"/>
    <n v="1"/>
    <n v="10.029999999999999"/>
    <d v="1899-12-30T00:39:00"/>
    <n v="0.65"/>
    <n v="0.75"/>
    <x v="0"/>
    <s v="Portland"/>
    <n v="4"/>
  </r>
  <r>
    <n v="702"/>
    <s v="UE"/>
    <s v="Order"/>
    <n v="20"/>
    <x v="5"/>
    <x v="298"/>
    <n v="2"/>
    <n v="36.46"/>
    <d v="1899-12-30T03:33:00"/>
    <n v="3.55"/>
    <n v="3.5"/>
    <x v="0"/>
    <s v="Brunswick/Bath/Freeport"/>
    <n v="2"/>
  </r>
  <r>
    <n v="703"/>
    <s v="DD"/>
    <s v="Order"/>
    <n v="20"/>
    <x v="5"/>
    <x v="298"/>
    <n v="4"/>
    <n v="43.5"/>
    <d v="1899-12-30T02:24:00"/>
    <n v="2.4"/>
    <n v="2.5"/>
    <x v="0"/>
    <s v="Brunswick/Bath/Freeport"/>
    <n v="2"/>
  </r>
  <r>
    <n v="704"/>
    <s v="DD"/>
    <s v="Order"/>
    <n v="20"/>
    <x v="0"/>
    <x v="299"/>
    <n v="5"/>
    <n v="47.5"/>
    <d v="1899-12-30T02:37:00"/>
    <n v="2.6166666666666667"/>
    <n v="2.5"/>
    <x v="0"/>
    <s v="Brunswick/Bath/Freeport"/>
    <n v="2"/>
  </r>
  <r>
    <n v="705"/>
    <s v="DD"/>
    <s v="Hourly"/>
    <n v="20"/>
    <x v="0"/>
    <x v="299"/>
    <n v="2"/>
    <n v="19.93"/>
    <d v="1899-12-30T01:23:00"/>
    <n v="1.3833333333333333"/>
    <n v="1.5"/>
    <x v="0"/>
    <s v="Brunswick/Bath/Freeport"/>
    <n v="2"/>
  </r>
  <r>
    <n v="706"/>
    <s v="DD"/>
    <s v="Hourly"/>
    <n v="20"/>
    <x v="0"/>
    <x v="299"/>
    <n v="6"/>
    <n v="60.370000000000005"/>
    <d v="1899-12-30T02:24:00"/>
    <n v="2.4"/>
    <n v="2.5"/>
    <x v="2"/>
    <s v="Brunswick/Bath/Freeport"/>
    <n v="2"/>
  </r>
  <r>
    <n v="707"/>
    <s v="UE"/>
    <s v="Order"/>
    <n v="21"/>
    <x v="6"/>
    <x v="300"/>
    <n v="5"/>
    <n v="47.07"/>
    <d v="1899-12-30T03:22:00"/>
    <n v="3.3666666666666667"/>
    <n v="3.25"/>
    <x v="0"/>
    <s v="Portland"/>
    <n v="4"/>
  </r>
  <r>
    <n v="708"/>
    <s v="DD"/>
    <s v="Hourly"/>
    <n v="21"/>
    <x v="6"/>
    <x v="300"/>
    <n v="1"/>
    <n v="5.5"/>
    <d v="1899-12-30T02:26:00"/>
    <n v="2.4333333333333336"/>
    <n v="2.5"/>
    <x v="0"/>
    <s v="Portland"/>
    <n v="4"/>
  </r>
  <r>
    <n v="709"/>
    <s v="DD"/>
    <s v="Hourly"/>
    <n v="21"/>
    <x v="6"/>
    <x v="300"/>
    <n v="1"/>
    <n v="6.7"/>
    <d v="1899-12-30T00:16:00"/>
    <n v="0.26666666666666666"/>
    <n v="0.25"/>
    <x v="2"/>
    <s v="Portland"/>
    <n v="4"/>
  </r>
  <r>
    <n v="710"/>
    <s v="UE"/>
    <s v="Order"/>
    <n v="21"/>
    <x v="2"/>
    <x v="301"/>
    <n v="3"/>
    <n v="19.8"/>
    <d v="1899-12-30T02:15:00"/>
    <n v="2.25"/>
    <n v="2.25"/>
    <x v="0"/>
    <s v="Portland"/>
    <n v="4"/>
  </r>
  <r>
    <n v="711"/>
    <s v="UE"/>
    <s v="Order"/>
    <n v="22"/>
    <x v="3"/>
    <x v="302"/>
    <n v="3"/>
    <n v="28.11"/>
    <d v="1899-12-30T02:47:00"/>
    <n v="2.7833333333333332"/>
    <n v="2.75"/>
    <x v="0"/>
    <s v="Augusta"/>
    <n v="1"/>
  </r>
  <r>
    <n v="712"/>
    <s v="DD"/>
    <s v="Order"/>
    <n v="22"/>
    <x v="3"/>
    <x v="302"/>
    <n v="4"/>
    <n v="44.25"/>
    <d v="1899-12-30T02:16:00"/>
    <n v="2.2666666666666666"/>
    <n v="2.25"/>
    <x v="0"/>
    <s v="Augusta"/>
    <n v="1"/>
  </r>
  <r>
    <n v="713"/>
    <s v="DD"/>
    <s v="Order"/>
    <n v="22"/>
    <x v="3"/>
    <x v="302"/>
    <n v="1"/>
    <n v="18"/>
    <d v="1899-12-30T01:00:00"/>
    <n v="1"/>
    <n v="1"/>
    <x v="2"/>
    <s v="Augusta"/>
    <n v="1"/>
  </r>
  <r>
    <n v="714"/>
    <s v="UE"/>
    <s v="Order"/>
    <n v="22"/>
    <x v="5"/>
    <x v="303"/>
    <n v="1"/>
    <n v="12.76"/>
    <d v="1899-12-30T01:48:00"/>
    <n v="1.7999999999999998"/>
    <n v="1.75"/>
    <x v="0"/>
    <s v="Portland"/>
    <n v="4"/>
  </r>
  <r>
    <n v="715"/>
    <s v="DD"/>
    <s v="Order"/>
    <n v="22"/>
    <x v="5"/>
    <x v="303"/>
    <n v="5"/>
    <n v="37.25"/>
    <d v="1899-12-30T01:46:00"/>
    <n v="1.7666666666666666"/>
    <n v="1.75"/>
    <x v="0"/>
    <s v="Portland"/>
    <n v="4"/>
  </r>
  <r>
    <n v="716"/>
    <s v="DD"/>
    <s v="Order"/>
    <n v="22"/>
    <x v="5"/>
    <x v="303"/>
    <n v="5"/>
    <n v="50.25"/>
    <d v="1899-12-30T02:00:00"/>
    <n v="2"/>
    <n v="2"/>
    <x v="2"/>
    <s v="Portland"/>
    <n v="4"/>
  </r>
  <r>
    <n v="717"/>
    <s v="UE"/>
    <s v="Order"/>
    <n v="22"/>
    <x v="0"/>
    <x v="304"/>
    <n v="3"/>
    <n v="60.95"/>
    <d v="1899-12-30T03:28:00"/>
    <n v="3.4666666666666668"/>
    <n v="3.5"/>
    <x v="1"/>
    <s v="Brunswick/Bath/Freeport"/>
    <n v="2"/>
  </r>
  <r>
    <n v="718"/>
    <s v="DD"/>
    <s v="Hourly"/>
    <n v="22"/>
    <x v="0"/>
    <x v="304"/>
    <n v="4"/>
    <n v="37.53"/>
    <d v="1899-12-30T02:03:00"/>
    <n v="2.0499999999999998"/>
    <n v="2"/>
    <x v="1"/>
    <s v="Brunswick/Bath/Freeport"/>
    <n v="2"/>
  </r>
  <r>
    <n v="719"/>
    <s v="DD"/>
    <s v="Hourly"/>
    <n v="22"/>
    <x v="0"/>
    <x v="304"/>
    <n v="8"/>
    <n v="84.17"/>
    <d v="1899-12-30T04:10:00"/>
    <n v="4.166666666666667"/>
    <n v="4.25"/>
    <x v="0"/>
    <s v="Brunswick/Bath/Freeport"/>
    <n v="2"/>
  </r>
  <r>
    <n v="720"/>
    <s v="UE"/>
    <s v="Order"/>
    <n v="23"/>
    <x v="5"/>
    <x v="305"/>
    <n v="5"/>
    <n v="52.38"/>
    <d v="1899-12-30T03:58:00"/>
    <n v="3.9666666666666668"/>
    <n v="4"/>
    <x v="0"/>
    <s v="Portland"/>
    <n v="4"/>
  </r>
  <r>
    <n v="721"/>
    <s v="DD"/>
    <s v="Order"/>
    <n v="23"/>
    <x v="6"/>
    <x v="306"/>
    <n v="13"/>
    <n v="108"/>
    <d v="1899-12-30T05:02:00"/>
    <n v="5.0333333333333332"/>
    <n v="5"/>
    <x v="0"/>
    <s v="Brunswick/Bath/Freeport"/>
    <n v="2"/>
  </r>
  <r>
    <n v="722"/>
    <s v="UE"/>
    <s v="Order"/>
    <n v="23"/>
    <x v="0"/>
    <x v="307"/>
    <n v="3"/>
    <n v="50.08"/>
    <d v="1899-12-30T02:56:00"/>
    <n v="2.9333333333333336"/>
    <n v="3"/>
    <x v="0"/>
    <s v="Brunswick/Bath/Freeport"/>
    <n v="2"/>
  </r>
  <r>
    <n v="723"/>
    <s v="DD"/>
    <s v="Order"/>
    <n v="23"/>
    <x v="0"/>
    <x v="307"/>
    <n v="6"/>
    <n v="63.5"/>
    <d v="1899-12-30T04:56:00"/>
    <n v="4.9333333333333336"/>
    <n v="5"/>
    <x v="0"/>
    <s v="Brunswick/Bath/Freeport"/>
    <n v="2"/>
  </r>
  <r>
    <n v="724"/>
    <s v="UE"/>
    <s v="Order"/>
    <n v="24"/>
    <x v="0"/>
    <x v="308"/>
    <n v="4"/>
    <n v="40.590000000000003"/>
    <d v="1899-12-30T03:01:00"/>
    <n v="3.0166666666666666"/>
    <n v="3"/>
    <x v="0"/>
    <s v="Brunswick/Bath/Freeport"/>
    <n v="2"/>
  </r>
  <r>
    <n v="725"/>
    <s v="DD"/>
    <s v="Hourly"/>
    <n v="24"/>
    <x v="0"/>
    <x v="308"/>
    <n v="3"/>
    <n v="26.63"/>
    <d v="1899-12-30T01:41:00"/>
    <n v="1.6833333333333333"/>
    <n v="1.75"/>
    <x v="0"/>
    <s v="Brunswick/Bath/Freeport"/>
    <n v="2"/>
  </r>
  <r>
    <n v="726"/>
    <s v="DD"/>
    <s v="Hourly"/>
    <n v="24"/>
    <x v="0"/>
    <x v="308"/>
    <n v="3"/>
    <n v="45.66"/>
    <d v="1899-12-30T02:29:00"/>
    <n v="2.4833333333333334"/>
    <n v="2.5"/>
    <x v="0"/>
    <s v="Brunswick/Bath/Freeport"/>
    <n v="2"/>
  </r>
  <r>
    <n v="727"/>
    <s v="UE"/>
    <s v="Order"/>
    <n v="24"/>
    <x v="1"/>
    <x v="309"/>
    <n v="6"/>
    <n v="59.05"/>
    <d v="1899-12-30T02:18:00"/>
    <n v="2.2999999999999998"/>
    <n v="2.25"/>
    <x v="0"/>
    <s v="Brunswick/Bath/Freeport"/>
    <n v="2"/>
  </r>
  <r>
    <n v="728"/>
    <s v="DD"/>
    <s v="Order"/>
    <n v="24"/>
    <x v="1"/>
    <x v="309"/>
    <n v="6"/>
    <n v="44.5"/>
    <d v="1899-12-30T01:33:00"/>
    <n v="1.5500000000000003"/>
    <n v="1.5"/>
    <x v="0"/>
    <s v="Brunswick/Bath/Freeport"/>
    <n v="2"/>
  </r>
  <r>
    <n v="729"/>
    <s v="DD"/>
    <s v="Order"/>
    <n v="24"/>
    <x v="1"/>
    <x v="309"/>
    <n v="2"/>
    <n v="15.25"/>
    <d v="1899-12-30T00:39:00"/>
    <n v="0.65"/>
    <n v="0.75"/>
    <x v="0"/>
    <s v="Brunswick/Bath/Freeport"/>
    <n v="2"/>
  </r>
  <r>
    <n v="730"/>
    <s v="UE"/>
    <s v="Order"/>
    <n v="26"/>
    <x v="4"/>
    <x v="310"/>
    <n v="1"/>
    <n v="14.77"/>
    <d v="1899-12-30T01:42:00"/>
    <n v="1.7"/>
    <n v="1.75"/>
    <x v="0"/>
    <s v="Augusta"/>
    <n v="1"/>
  </r>
  <r>
    <n v="731"/>
    <s v="DD"/>
    <s v="Order"/>
    <n v="26"/>
    <x v="4"/>
    <x v="310"/>
    <n v="4"/>
    <n v="47.05"/>
    <d v="1899-12-30T02:26:00"/>
    <n v="2.4333333333333336"/>
    <n v="2.5"/>
    <x v="0"/>
    <s v="Augusta"/>
    <n v="1"/>
  </r>
  <r>
    <n v="732"/>
    <s v="DD"/>
    <s v="Order"/>
    <n v="26"/>
    <x v="4"/>
    <x v="310"/>
    <n v="2"/>
    <n v="23.75"/>
    <d v="1899-12-30T01:17:00"/>
    <n v="1.2833333333333332"/>
    <n v="1.25"/>
    <x v="0"/>
    <s v="Augusta"/>
    <n v="1"/>
  </r>
  <r>
    <n v="733"/>
    <s v="DD"/>
    <s v="Order"/>
    <n v="26"/>
    <x v="4"/>
    <x v="310"/>
    <n v="3"/>
    <n v="19.75"/>
    <d v="1899-12-30T00:51:00"/>
    <n v="0.85"/>
    <n v="0.75"/>
    <x v="2"/>
    <s v="Augusta"/>
    <n v="1"/>
  </r>
  <r>
    <n v="734"/>
    <s v="UE"/>
    <s v="Order"/>
    <n v="26"/>
    <x v="5"/>
    <x v="311"/>
    <n v="6"/>
    <n v="54.19"/>
    <d v="1899-12-30T03:43:00"/>
    <n v="3.7166666666666668"/>
    <n v="3.75"/>
    <x v="0"/>
    <s v="Portland"/>
    <n v="4"/>
  </r>
  <r>
    <n v="735"/>
    <s v="DD"/>
    <s v="Hourly"/>
    <n v="26"/>
    <x v="5"/>
    <x v="311"/>
    <n v="1"/>
    <n v="6.99"/>
    <d v="1899-12-30T00:54:00"/>
    <n v="0.89999999999999991"/>
    <n v="1"/>
    <x v="0"/>
    <s v="Portland"/>
    <n v="4"/>
  </r>
  <r>
    <n v="736"/>
    <s v="UE"/>
    <s v="Order"/>
    <n v="26"/>
    <x v="0"/>
    <x v="312"/>
    <n v="2"/>
    <n v="53.06"/>
    <d v="1899-12-30T02:27:00"/>
    <n v="2.4500000000000002"/>
    <n v="2.5"/>
    <x v="0"/>
    <s v="Augusta"/>
    <n v="1"/>
  </r>
  <r>
    <n v="737"/>
    <s v="DD"/>
    <s v="Order"/>
    <n v="26"/>
    <x v="0"/>
    <x v="312"/>
    <n v="4"/>
    <n v="41.5"/>
    <d v="1899-12-30T03:31:00"/>
    <n v="3.5166666666666666"/>
    <n v="3.5"/>
    <x v="0"/>
    <s v="Augusta"/>
    <n v="1"/>
  </r>
  <r>
    <n v="738"/>
    <s v="DD"/>
    <s v="Order"/>
    <n v="26"/>
    <x v="0"/>
    <x v="312"/>
    <n v="2"/>
    <n v="14.9"/>
    <d v="1899-12-30T01:38:00"/>
    <n v="1.6333333333333333"/>
    <n v="1.75"/>
    <x v="2"/>
    <s v="Augusta"/>
    <n v="1"/>
  </r>
  <r>
    <n v="739"/>
    <s v="UE"/>
    <s v="Order"/>
    <n v="28"/>
    <x v="5"/>
    <x v="313"/>
    <n v="7"/>
    <n v="80.33"/>
    <d v="1899-12-30T04:21:00"/>
    <n v="4.3499999999999996"/>
    <n v="4.25"/>
    <x v="0"/>
    <s v="Portland"/>
    <n v="4"/>
  </r>
  <r>
    <n v="740"/>
    <s v="DD"/>
    <s v="Hourly"/>
    <n v="28"/>
    <x v="5"/>
    <x v="313"/>
    <n v="1"/>
    <n v="7.78"/>
    <d v="1899-12-30T00:25:00"/>
    <n v="0.41666666666666669"/>
    <n v="0.5"/>
    <x v="0"/>
    <s v="Portland"/>
    <n v="4"/>
  </r>
  <r>
    <n v="741"/>
    <s v="DD"/>
    <s v="Hourly"/>
    <n v="28"/>
    <x v="5"/>
    <x v="313"/>
    <n v="5"/>
    <n v="32.43"/>
    <d v="1899-12-30T01:17:00"/>
    <n v="1.2833333333333332"/>
    <n v="1.25"/>
    <x v="2"/>
    <s v="Portland"/>
    <n v="4"/>
  </r>
  <r>
    <n v="742"/>
    <s v="UE"/>
    <s v="Order"/>
    <n v="28"/>
    <x v="0"/>
    <x v="314"/>
    <n v="6"/>
    <n v="119.08"/>
    <d v="1899-12-30T05:49:00"/>
    <n v="5.8166666666666664"/>
    <n v="5.75"/>
    <x v="0"/>
    <s v="Portland"/>
    <n v="4"/>
  </r>
  <r>
    <n v="743"/>
    <s v="DD"/>
    <s v="Hourly"/>
    <n v="28"/>
    <x v="0"/>
    <x v="314"/>
    <n v="5"/>
    <n v="56.05"/>
    <d v="1899-12-30T02:32:00"/>
    <n v="2.5333333333333332"/>
    <n v="2.5"/>
    <x v="2"/>
    <s v="Portland"/>
    <n v="4"/>
  </r>
  <r>
    <n v="744"/>
    <s v="UE"/>
    <s v="Order"/>
    <n v="28"/>
    <x v="1"/>
    <x v="315"/>
    <n v="1"/>
    <n v="22"/>
    <d v="1899-12-30T02:22:00"/>
    <n v="2.3666666666666667"/>
    <n v="2.25"/>
    <x v="0"/>
    <s v="Augusta"/>
    <n v="1"/>
  </r>
  <r>
    <n v="745"/>
    <s v="DD"/>
    <s v="Order"/>
    <n v="28"/>
    <x v="1"/>
    <x v="315"/>
    <n v="7"/>
    <n v="41.76"/>
    <d v="1899-12-30T03:19:00"/>
    <n v="3.3166666666666664"/>
    <n v="3.25"/>
    <x v="0"/>
    <s v="Augusta"/>
    <n v="1"/>
  </r>
  <r>
    <n v="746"/>
    <s v="DD"/>
    <s v="Hourly"/>
    <n v="28"/>
    <x v="1"/>
    <x v="315"/>
    <n v="4"/>
    <n v="33.47"/>
    <d v="1899-12-30T02:05:00"/>
    <n v="2.0833333333333335"/>
    <n v="2"/>
    <x v="2"/>
    <s v="Augusta"/>
    <n v="1"/>
  </r>
  <r>
    <n v="747"/>
    <s v="UE"/>
    <s v="Order"/>
    <n v="28"/>
    <x v="2"/>
    <x v="316"/>
    <n v="1"/>
    <n v="5.05"/>
    <d v="1899-12-30T01:51:00"/>
    <n v="1.85"/>
    <n v="1.75"/>
    <x v="0"/>
    <s v="Lewiston"/>
    <n v="3"/>
  </r>
  <r>
    <n v="748"/>
    <s v="DD"/>
    <s v="Order"/>
    <n v="28"/>
    <x v="2"/>
    <x v="316"/>
    <n v="8"/>
    <n v="66.14"/>
    <d v="1899-12-30T03:24:00"/>
    <n v="3.4"/>
    <n v="3.5"/>
    <x v="0"/>
    <s v="Lewiston"/>
    <n v="3"/>
  </r>
  <r>
    <n v="749"/>
    <s v="DD"/>
    <s v="Order"/>
    <n v="28"/>
    <x v="2"/>
    <x v="316"/>
    <n v="1"/>
    <n v="5"/>
    <d v="1899-12-30T00:25:00"/>
    <n v="0.41666666666666669"/>
    <n v="0.5"/>
    <x v="0"/>
    <s v="Lewiston"/>
    <n v="3"/>
  </r>
  <r>
    <n v="750"/>
    <s v="DD"/>
    <s v="Hourly"/>
    <n v="28"/>
    <x v="2"/>
    <x v="316"/>
    <n v="1"/>
    <n v="10.68"/>
    <d v="1899-12-30T00:47:00"/>
    <n v="0.78333333333333344"/>
    <n v="0.75"/>
    <x v="2"/>
    <s v="Lewiston"/>
    <n v="3"/>
  </r>
  <r>
    <n v="751"/>
    <s v="UE"/>
    <s v="Order"/>
    <n v="29"/>
    <x v="4"/>
    <x v="317"/>
    <n v="5"/>
    <n v="59.93"/>
    <d v="1899-12-30T04:13:00"/>
    <n v="4.2166666666666668"/>
    <n v="4.25"/>
    <x v="0"/>
    <s v="Portland"/>
    <n v="4"/>
  </r>
  <r>
    <n v="752"/>
    <s v="DD"/>
    <s v="Order"/>
    <n v="29"/>
    <x v="4"/>
    <x v="317"/>
    <n v="4"/>
    <n v="23.5"/>
    <d v="1899-12-30T01:39:00"/>
    <n v="1.65"/>
    <n v="1.75"/>
    <x v="0"/>
    <s v="Portland"/>
    <n v="4"/>
  </r>
  <r>
    <n v="753"/>
    <s v="DD"/>
    <s v="Order"/>
    <n v="29"/>
    <x v="4"/>
    <x v="317"/>
    <n v="3"/>
    <n v="29.5"/>
    <d v="1899-12-30T01:34:00"/>
    <n v="1.5666666666666669"/>
    <n v="1.5"/>
    <x v="2"/>
    <s v="Portland"/>
    <n v="4"/>
  </r>
  <r>
    <n v="754"/>
    <s v="UE"/>
    <s v="Order"/>
    <n v="29"/>
    <x v="5"/>
    <x v="318"/>
    <n v="2"/>
    <n v="18.170000000000002"/>
    <d v="1899-12-30T02:27:00"/>
    <n v="2.4500000000000002"/>
    <n v="2.5"/>
    <x v="0"/>
    <s v="Portland"/>
    <n v="4"/>
  </r>
  <r>
    <n v="755"/>
    <s v="DD"/>
    <s v="Hourly"/>
    <n v="29"/>
    <x v="5"/>
    <x v="318"/>
    <n v="6"/>
    <n v="50.81"/>
    <d v="1899-12-30T02:26:00"/>
    <n v="2.4333333333333336"/>
    <n v="2.5"/>
    <x v="0"/>
    <s v="Portland"/>
    <n v="4"/>
  </r>
  <r>
    <n v="756"/>
    <s v="DD"/>
    <s v="Order"/>
    <n v="29"/>
    <x v="5"/>
    <x v="318"/>
    <n v="4"/>
    <n v="35"/>
    <d v="1899-12-30T02:20:00"/>
    <n v="2.3333333333333335"/>
    <n v="2.25"/>
    <x v="0"/>
    <s v="Portland"/>
    <n v="4"/>
  </r>
  <r>
    <n v="757"/>
    <s v="DD"/>
    <s v="Order"/>
    <n v="29"/>
    <x v="6"/>
    <x v="319"/>
    <n v="8"/>
    <n v="64.75"/>
    <d v="1899-12-30T04:46:00"/>
    <n v="4.7666666666666666"/>
    <n v="4.75"/>
    <x v="0"/>
    <s v="Augusta"/>
    <n v="1"/>
  </r>
  <r>
    <n v="758"/>
    <s v="UE"/>
    <s v="Order"/>
    <n v="29"/>
    <x v="0"/>
    <x v="320"/>
    <n v="11"/>
    <n v="84.96"/>
    <d v="1899-12-30T05:23:00"/>
    <n v="5.3833333333333337"/>
    <n v="5.5"/>
    <x v="0"/>
    <s v="Portland"/>
    <n v="4"/>
  </r>
  <r>
    <n v="759"/>
    <s v="DD"/>
    <s v="Hourly"/>
    <n v="29"/>
    <x v="0"/>
    <x v="320"/>
    <n v="1"/>
    <n v="17.39"/>
    <d v="1899-12-30T00:53:00"/>
    <n v="0.8833333333333333"/>
    <n v="1"/>
    <x v="0"/>
    <s v="Portland"/>
    <n v="4"/>
  </r>
  <r>
    <n v="760"/>
    <s v="DD"/>
    <s v="Hourly"/>
    <n v="29"/>
    <x v="0"/>
    <x v="320"/>
    <n v="1"/>
    <n v="11.48"/>
    <d v="1899-12-30T00:51:00"/>
    <n v="0.85"/>
    <n v="0.75"/>
    <x v="2"/>
    <s v="Portland"/>
    <n v="4"/>
  </r>
  <r>
    <n v="761"/>
    <s v="UE"/>
    <s v="Order"/>
    <n v="29"/>
    <x v="1"/>
    <x v="321"/>
    <n v="1"/>
    <n v="7.54"/>
    <d v="1899-12-30T02:07:00"/>
    <n v="2.1166666666666667"/>
    <n v="2"/>
    <x v="1"/>
    <s v="Lewiston"/>
    <n v="3"/>
  </r>
  <r>
    <n v="762"/>
    <s v="DD"/>
    <s v="Order"/>
    <n v="29"/>
    <x v="1"/>
    <x v="321"/>
    <n v="15"/>
    <n v="116.25"/>
    <d v="1899-12-30T05:46:00"/>
    <n v="5.7666666666666666"/>
    <n v="5.75"/>
    <x v="0"/>
    <s v="Lewiston"/>
    <n v="3"/>
  </r>
  <r>
    <n v="763"/>
    <s v="UE"/>
    <s v="Order"/>
    <n v="29"/>
    <x v="2"/>
    <x v="322"/>
    <n v="1"/>
    <n v="17.88"/>
    <d v="1899-12-30T01:18:00"/>
    <n v="1.3"/>
    <n v="1.25"/>
    <x v="0"/>
    <s v="Brunswick/Bath/Freeport"/>
    <n v="2"/>
  </r>
  <r>
    <n v="764"/>
    <s v="DD"/>
    <s v="Order"/>
    <n v="29"/>
    <x v="2"/>
    <x v="322"/>
    <n v="2"/>
    <n v="20.75"/>
    <d v="1899-12-30T00:57:00"/>
    <n v="0.95"/>
    <n v="1"/>
    <x v="0"/>
    <s v="Brunswick/Bath/Freeport"/>
    <n v="2"/>
  </r>
  <r>
    <n v="765"/>
    <s v="DD"/>
    <s v="Order"/>
    <n v="29"/>
    <x v="2"/>
    <x v="322"/>
    <n v="2"/>
    <n v="20"/>
    <d v="1899-12-30T01:21:00"/>
    <n v="1.35"/>
    <n v="1.25"/>
    <x v="0"/>
    <s v="Brunswick/Bath/Freeport"/>
    <n v="2"/>
  </r>
  <r>
    <n v="766"/>
    <s v="UE"/>
    <s v="Order"/>
    <n v="30"/>
    <x v="3"/>
    <x v="323"/>
    <n v="11"/>
    <n v="138.4"/>
    <d v="1899-12-30T06:10:00"/>
    <n v="6.1666666666666679"/>
    <n v="6.25"/>
    <x v="0"/>
    <s v="Portland"/>
    <n v="4"/>
  </r>
  <r>
    <n v="767"/>
    <s v="DD"/>
    <s v="Order"/>
    <n v="30"/>
    <x v="3"/>
    <x v="323"/>
    <n v="1"/>
    <n v="9.5"/>
    <d v="1899-12-30T00:45:00"/>
    <n v="0.75"/>
    <n v="0.75"/>
    <x v="2"/>
    <s v="Portland"/>
    <n v="4"/>
  </r>
  <r>
    <n v="768"/>
    <s v="DD"/>
    <s v="Order"/>
    <n v="30"/>
    <x v="3"/>
    <x v="323"/>
    <n v="2"/>
    <n v="15.5"/>
    <d v="1899-12-30T00:42:00"/>
    <n v="0.7"/>
    <n v="0.75"/>
    <x v="2"/>
    <s v="Portland"/>
    <n v="4"/>
  </r>
  <r>
    <n v="769"/>
    <s v="UE"/>
    <s v="Order"/>
    <n v="30"/>
    <x v="4"/>
    <x v="324"/>
    <n v="6"/>
    <n v="77.290000000000006"/>
    <d v="1899-12-30T04:10:00"/>
    <n v="4.166666666666667"/>
    <n v="4.25"/>
    <x v="0"/>
    <s v="Portland"/>
    <n v="4"/>
  </r>
  <r>
    <n v="770"/>
    <s v="DD"/>
    <s v="Order"/>
    <n v="30"/>
    <x v="4"/>
    <x v="324"/>
    <n v="2"/>
    <n v="28"/>
    <d v="1899-12-30T02:43:00"/>
    <n v="2.7166666666666668"/>
    <n v="2.75"/>
    <x v="0"/>
    <s v="Portland"/>
    <n v="4"/>
  </r>
  <r>
    <n v="771"/>
    <s v="DD"/>
    <s v="Order"/>
    <n v="30"/>
    <x v="4"/>
    <x v="324"/>
    <n v="1"/>
    <n v="10.5"/>
    <d v="1899-12-30T00:31:00"/>
    <n v="0.51666666666666672"/>
    <n v="0.5"/>
    <x v="2"/>
    <s v="Portland"/>
    <n v="4"/>
  </r>
  <r>
    <n v="772"/>
    <s v="UE"/>
    <s v="Order"/>
    <n v="30"/>
    <x v="1"/>
    <x v="325"/>
    <n v="3"/>
    <n v="46.56"/>
    <d v="1899-12-30T04:03:00"/>
    <n v="4.05"/>
    <n v="4"/>
    <x v="0"/>
    <s v="Lewiston"/>
    <n v="3"/>
  </r>
  <r>
    <n v="773"/>
    <s v="DD"/>
    <s v="Order"/>
    <n v="30"/>
    <x v="1"/>
    <x v="325"/>
    <n v="4"/>
    <n v="38.68"/>
    <d v="1899-12-30T02:18:00"/>
    <n v="2.2999999999999998"/>
    <n v="2.25"/>
    <x v="0"/>
    <s v="Lewiston"/>
    <n v="3"/>
  </r>
  <r>
    <n v="774"/>
    <s v="DD"/>
    <s v="Order"/>
    <n v="30"/>
    <x v="1"/>
    <x v="325"/>
    <n v="5"/>
    <n v="52.51"/>
    <d v="1899-12-30T01:50:00"/>
    <n v="1.8333333333333335"/>
    <n v="1.75"/>
    <x v="0"/>
    <s v="Lewiston"/>
    <n v="3"/>
  </r>
  <r>
    <n v="775"/>
    <s v="DD"/>
    <s v="Order"/>
    <n v="30"/>
    <x v="1"/>
    <x v="325"/>
    <n v="6"/>
    <n v="50.5"/>
    <d v="1899-12-30T02:22:00"/>
    <n v="2.3666666666666667"/>
    <n v="2.25"/>
    <x v="0"/>
    <s v="Lewiston"/>
    <n v="3"/>
  </r>
  <r>
    <n v="776"/>
    <s v="DD"/>
    <s v="Order"/>
    <n v="30"/>
    <x v="1"/>
    <x v="325"/>
    <n v="1"/>
    <n v="5.5"/>
    <d v="1899-12-30T00:54:00"/>
    <n v="0.89999999999999991"/>
    <n v="1"/>
    <x v="2"/>
    <s v="Lewiston"/>
    <n v="3"/>
  </r>
  <r>
    <n v="777"/>
    <s v="UE"/>
    <s v="Order"/>
    <n v="31"/>
    <x v="3"/>
    <x v="326"/>
    <n v="5"/>
    <n v="42.69"/>
    <d v="1899-12-30T02:55:00"/>
    <n v="2.9166666666666665"/>
    <n v="3"/>
    <x v="0"/>
    <s v="Portland"/>
    <n v="4"/>
  </r>
  <r>
    <n v="778"/>
    <s v="DD"/>
    <s v="Order"/>
    <n v="31"/>
    <x v="3"/>
    <x v="326"/>
    <n v="1"/>
    <n v="8"/>
    <d v="1899-12-30T00:38:00"/>
    <n v="0.6333333333333333"/>
    <n v="0.75"/>
    <x v="0"/>
    <s v="Portland"/>
    <n v="4"/>
  </r>
  <r>
    <n v="779"/>
    <s v="UE"/>
    <s v="Order"/>
    <n v="31"/>
    <x v="1"/>
    <x v="327"/>
    <n v="12"/>
    <n v="132.94"/>
    <d v="1899-12-30T06:10:00"/>
    <n v="6.1666666666666679"/>
    <n v="6.25"/>
    <x v="0"/>
    <s v="Lewiston"/>
    <n v="3"/>
  </r>
  <r>
    <n v="780"/>
    <s v="DD"/>
    <s v="Order"/>
    <n v="31"/>
    <x v="1"/>
    <x v="327"/>
    <n v="1"/>
    <n v="8"/>
    <d v="1899-12-30T00:17:00"/>
    <n v="0.28333333333333333"/>
    <n v="0.25"/>
    <x v="0"/>
    <s v="Lewiston"/>
    <n v="3"/>
  </r>
  <r>
    <n v="781"/>
    <s v="DD"/>
    <s v="Order"/>
    <n v="31"/>
    <x v="1"/>
    <x v="327"/>
    <n v="3"/>
    <n v="35.64"/>
    <d v="1899-12-30T02:16:00"/>
    <n v="2.2666666666666666"/>
    <n v="2.25"/>
    <x v="0"/>
    <s v="Lewiston"/>
    <n v="3"/>
  </r>
  <r>
    <n v="782"/>
    <s v="DD"/>
    <s v="Order"/>
    <n v="31"/>
    <x v="1"/>
    <x v="327"/>
    <n v="3"/>
    <n v="21.5"/>
    <d v="1899-12-30T01:29:00"/>
    <n v="1.4833333333333334"/>
    <n v="1.5"/>
    <x v="0"/>
    <s v="Lewiston"/>
    <n v="3"/>
  </r>
  <r>
    <n v="783"/>
    <s v="UE"/>
    <s v="Order"/>
    <n v="32"/>
    <x v="3"/>
    <x v="328"/>
    <n v="6"/>
    <n v="71.400000000000006"/>
    <d v="1899-12-30T04:29:00"/>
    <n v="4.4833333333333334"/>
    <n v="4.5"/>
    <x v="0"/>
    <s v="Portland"/>
    <n v="4"/>
  </r>
  <r>
    <n v="784"/>
    <s v="DD"/>
    <s v="Order"/>
    <n v="32"/>
    <x v="3"/>
    <x v="328"/>
    <n v="2"/>
    <n v="23"/>
    <d v="1899-12-30T00:36:00"/>
    <n v="0.6"/>
    <n v="0.5"/>
    <x v="0"/>
    <s v="Portland"/>
    <n v="4"/>
  </r>
  <r>
    <n v="785"/>
    <s v="DD"/>
    <s v="Order"/>
    <n v="32"/>
    <x v="3"/>
    <x v="328"/>
    <n v="1"/>
    <n v="10.5"/>
    <d v="1899-12-30T00:42:00"/>
    <n v="0.7"/>
    <n v="0.75"/>
    <x v="2"/>
    <s v="Portland"/>
    <n v="4"/>
  </r>
  <r>
    <n v="786"/>
    <s v="UE"/>
    <s v="Order"/>
    <n v="32"/>
    <x v="5"/>
    <x v="329"/>
    <n v="4"/>
    <n v="35.69"/>
    <d v="1899-12-30T03:30:00"/>
    <n v="3.5"/>
    <n v="3.5"/>
    <x v="0"/>
    <s v="Augusta"/>
    <n v="1"/>
  </r>
  <r>
    <n v="787"/>
    <s v="DD"/>
    <s v="Order"/>
    <n v="32"/>
    <x v="5"/>
    <x v="329"/>
    <n v="2"/>
    <n v="12.75"/>
    <d v="1899-12-30T01:38:00"/>
    <n v="1.6333333333333333"/>
    <n v="1.75"/>
    <x v="0"/>
    <s v="Augusta"/>
    <n v="1"/>
  </r>
  <r>
    <n v="788"/>
    <s v="DD"/>
    <s v="Order"/>
    <n v="32"/>
    <x v="5"/>
    <x v="329"/>
    <n v="2"/>
    <n v="18.25"/>
    <d v="1899-12-30T02:25:00"/>
    <n v="2.4166666666666665"/>
    <n v="2.5"/>
    <x v="0"/>
    <s v="Augusta"/>
    <n v="1"/>
  </r>
  <r>
    <n v="789"/>
    <s v="DD"/>
    <s v="Order"/>
    <n v="32"/>
    <x v="0"/>
    <x v="330"/>
    <n v="11"/>
    <n v="73.69"/>
    <d v="1899-12-30T04:35:00"/>
    <n v="4.583333333333333"/>
    <n v="4.5"/>
    <x v="0"/>
    <s v="Brunswick/Bath/Freeport"/>
    <n v="2"/>
  </r>
  <r>
    <n v="790"/>
    <s v="UE"/>
    <s v="Order"/>
    <n v="32"/>
    <x v="1"/>
    <x v="331"/>
    <n v="7"/>
    <n v="83.28"/>
    <d v="1899-12-30T05:27:00"/>
    <n v="5.45"/>
    <n v="5.5"/>
    <x v="0"/>
    <s v="Lewiston"/>
    <n v="3"/>
  </r>
  <r>
    <n v="791"/>
    <s v="DD"/>
    <s v="Order"/>
    <n v="32"/>
    <x v="1"/>
    <x v="331"/>
    <n v="6"/>
    <n v="79.75"/>
    <d v="1899-12-30T04:27:00"/>
    <n v="4.45"/>
    <n v="4.5"/>
    <x v="0"/>
    <s v="Lewiston"/>
    <n v="3"/>
  </r>
  <r>
    <n v="792"/>
    <s v="DD"/>
    <s v="Order"/>
    <n v="32"/>
    <x v="1"/>
    <x v="331"/>
    <n v="5"/>
    <n v="28.75"/>
    <d v="1899-12-30T02:13:00"/>
    <n v="2.2166666666666668"/>
    <n v="2.25"/>
    <x v="2"/>
    <s v="Lewiston"/>
    <n v="3"/>
  </r>
  <r>
    <n v="793"/>
    <s v="UE"/>
    <s v="Order"/>
    <n v="32"/>
    <x v="2"/>
    <x v="332"/>
    <n v="3"/>
    <n v="59.31"/>
    <d v="1899-12-30T02:36:00"/>
    <n v="2.6"/>
    <n v="2.5"/>
    <x v="0"/>
    <s v="Lewiston"/>
    <n v="3"/>
  </r>
  <r>
    <n v="794"/>
    <s v="DD"/>
    <s v="Order"/>
    <n v="32"/>
    <x v="2"/>
    <x v="332"/>
    <n v="3"/>
    <n v="15.5"/>
    <d v="1899-12-30T02:35:00"/>
    <n v="2.5833333333333335"/>
    <n v="2.5"/>
    <x v="0"/>
    <s v="Lewiston"/>
    <n v="3"/>
  </r>
  <r>
    <n v="795"/>
    <s v="DD"/>
    <s v="Hourly"/>
    <n v="32"/>
    <x v="2"/>
    <x v="332"/>
    <n v="1"/>
    <n v="4.1500000000000004"/>
    <d v="1899-12-30T00:18:00"/>
    <n v="0.3"/>
    <n v="0.25"/>
    <x v="0"/>
    <s v="Lewiston"/>
    <n v="3"/>
  </r>
  <r>
    <n v="796"/>
    <s v="UE"/>
    <s v="Order"/>
    <n v="33"/>
    <x v="3"/>
    <x v="333"/>
    <n v="2"/>
    <n v="15.98"/>
    <d v="1899-12-30T02:57:00"/>
    <n v="2.95"/>
    <n v="3"/>
    <x v="0"/>
    <s v="Augusta"/>
    <n v="1"/>
  </r>
  <r>
    <n v="797"/>
    <s v="DD"/>
    <s v="Hourly"/>
    <n v="33"/>
    <x v="3"/>
    <x v="333"/>
    <n v="7"/>
    <n v="69.930000000000007"/>
    <d v="1899-12-30T05:12:00"/>
    <n v="5.2"/>
    <n v="5.25"/>
    <x v="0"/>
    <s v="Augusta"/>
    <n v="1"/>
  </r>
  <r>
    <n v="798"/>
    <s v="UE"/>
    <s v="Order"/>
    <n v="33"/>
    <x v="4"/>
    <x v="334"/>
    <n v="3"/>
    <n v="44.07"/>
    <d v="1899-12-30T04:51:00"/>
    <n v="4.8499999999999996"/>
    <n v="4.75"/>
    <x v="0"/>
    <s v="Brunswick/Bath/Freeport"/>
    <n v="2"/>
  </r>
  <r>
    <n v="799"/>
    <s v="DD"/>
    <s v="Order"/>
    <n v="33"/>
    <x v="4"/>
    <x v="334"/>
    <n v="4"/>
    <n v="49.5"/>
    <d v="1899-12-30T02:18:00"/>
    <n v="2.2999999999999998"/>
    <n v="2.25"/>
    <x v="0"/>
    <s v="Brunswick/Bath/Freeport"/>
    <n v="2"/>
  </r>
  <r>
    <n v="800"/>
    <s v="DD"/>
    <s v="Hourly"/>
    <n v="33"/>
    <x v="4"/>
    <x v="334"/>
    <n v="2"/>
    <n v="12.85"/>
    <d v="1899-12-30T01:13:00"/>
    <n v="1.2166666666666668"/>
    <n v="1.25"/>
    <x v="0"/>
    <s v="Brunswick/Bath/Freeport"/>
    <n v="2"/>
  </r>
  <r>
    <n v="801"/>
    <s v="UE"/>
    <s v="Order"/>
    <n v="33"/>
    <x v="6"/>
    <x v="335"/>
    <n v="4"/>
    <n v="41.14"/>
    <d v="1899-12-30T02:10:00"/>
    <n v="2.1666666666666665"/>
    <n v="2.25"/>
    <x v="0"/>
    <s v="Portland"/>
    <n v="4"/>
  </r>
  <r>
    <n v="802"/>
    <s v="DD"/>
    <s v="Hourly"/>
    <n v="33"/>
    <x v="6"/>
    <x v="335"/>
    <n v="1"/>
    <n v="16.18"/>
    <d v="1899-12-30T01:11:00"/>
    <n v="1.1833333333333333"/>
    <n v="1.25"/>
    <x v="0"/>
    <s v="Portland"/>
    <n v="4"/>
  </r>
  <r>
    <n v="803"/>
    <s v="UE"/>
    <s v="Order"/>
    <n v="33"/>
    <x v="0"/>
    <x v="336"/>
    <n v="2"/>
    <n v="22.08"/>
    <d v="1899-12-30T02:07:00"/>
    <n v="2.1166666666666667"/>
    <n v="2"/>
    <x v="0"/>
    <s v="Brunswick/Bath/Freeport"/>
    <n v="2"/>
  </r>
  <r>
    <n v="804"/>
    <s v="DD"/>
    <s v="Hourly"/>
    <n v="33"/>
    <x v="0"/>
    <x v="336"/>
    <n v="3"/>
    <n v="29.68"/>
    <d v="1899-12-30T02:38:00"/>
    <n v="2.6333333333333333"/>
    <n v="2.75"/>
    <x v="0"/>
    <s v="Brunswick/Bath/Freeport"/>
    <n v="2"/>
  </r>
  <r>
    <n v="805"/>
    <s v="UE"/>
    <s v="Order"/>
    <n v="34"/>
    <x v="5"/>
    <x v="337"/>
    <n v="9"/>
    <n v="93.13"/>
    <d v="1899-12-30T04:25:00"/>
    <n v="4.416666666666667"/>
    <n v="4.5"/>
    <x v="0"/>
    <s v="Portland"/>
    <n v="4"/>
  </r>
  <r>
    <n v="806"/>
    <s v="DD"/>
    <s v="Hourly"/>
    <n v="34"/>
    <x v="5"/>
    <x v="337"/>
    <n v="5"/>
    <n v="38.31"/>
    <d v="1899-12-30T01:34:00"/>
    <n v="1.5666666666666669"/>
    <n v="1.5"/>
    <x v="0"/>
    <s v="Portland"/>
    <n v="4"/>
  </r>
  <r>
    <n v="807"/>
    <s v="UE"/>
    <s v="Order"/>
    <n v="34"/>
    <x v="6"/>
    <x v="338"/>
    <n v="4"/>
    <n v="43.62"/>
    <d v="1899-12-30T02:24:00"/>
    <n v="2.4"/>
    <n v="2.5"/>
    <x v="0"/>
    <s v="Portland"/>
    <n v="4"/>
  </r>
  <r>
    <n v="808"/>
    <s v="DD"/>
    <s v="Hourly"/>
    <n v="34"/>
    <x v="6"/>
    <x v="338"/>
    <n v="7"/>
    <n v="54.18"/>
    <d v="1899-12-30T02:12:00"/>
    <n v="2.2000000000000002"/>
    <n v="2.25"/>
    <x v="0"/>
    <s v="Portland"/>
    <n v="4"/>
  </r>
  <r>
    <n v="809"/>
    <s v="UE"/>
    <s v="Order"/>
    <n v="34"/>
    <x v="0"/>
    <x v="339"/>
    <n v="3"/>
    <n v="30.31"/>
    <d v="1899-12-30T02:24:00"/>
    <n v="2.4"/>
    <n v="2.5"/>
    <x v="0"/>
    <s v="Augusta"/>
    <n v="1"/>
  </r>
  <r>
    <n v="810"/>
    <s v="DD"/>
    <s v="Hourly"/>
    <n v="34"/>
    <x v="0"/>
    <x v="339"/>
    <n v="4"/>
    <n v="33.369999999999997"/>
    <d v="1899-12-30T01:44:00"/>
    <n v="1.7333333333333334"/>
    <n v="1.75"/>
    <x v="0"/>
    <s v="Augusta"/>
    <n v="1"/>
  </r>
  <r>
    <n v="811"/>
    <s v="DD"/>
    <s v="Hourly"/>
    <n v="34"/>
    <x v="0"/>
    <x v="339"/>
    <n v="2"/>
    <n v="14.85"/>
    <d v="1899-12-30T01:27:00"/>
    <n v="1.45"/>
    <n v="1.5"/>
    <x v="0"/>
    <s v="Augusta"/>
    <n v="1"/>
  </r>
  <r>
    <n v="812"/>
    <s v="DD"/>
    <s v="Hourly"/>
    <n v="34"/>
    <x v="0"/>
    <x v="339"/>
    <n v="3"/>
    <n v="31.52"/>
    <d v="1899-12-30T01:44:00"/>
    <n v="1.7333333333333334"/>
    <n v="1.75"/>
    <x v="2"/>
    <s v="Augusta"/>
    <n v="1"/>
  </r>
  <r>
    <n v="813"/>
    <s v="DD"/>
    <s v="Hourly"/>
    <n v="34"/>
    <x v="1"/>
    <x v="340"/>
    <n v="10"/>
    <n v="66.97"/>
    <d v="1899-12-30T03:04:00"/>
    <n v="3.0666666666666673"/>
    <n v="3"/>
    <x v="0"/>
    <s v="Lewiston"/>
    <n v="3"/>
  </r>
  <r>
    <n v="814"/>
    <s v="DD"/>
    <s v="Hourly"/>
    <n v="34"/>
    <x v="1"/>
    <x v="340"/>
    <n v="5"/>
    <n v="37.28"/>
    <d v="1899-12-30T02:13:00"/>
    <n v="2.2166666666666668"/>
    <n v="2.25"/>
    <x v="0"/>
    <s v="Lewiston"/>
    <n v="3"/>
  </r>
  <r>
    <n v="815"/>
    <s v="DD"/>
    <s v="Hourly"/>
    <n v="34"/>
    <x v="2"/>
    <x v="341"/>
    <n v="2"/>
    <n v="20.39"/>
    <d v="1899-12-30T01:24:00"/>
    <n v="1.4"/>
    <n v="1.5"/>
    <x v="0"/>
    <s v="Lewiston"/>
    <n v="3"/>
  </r>
  <r>
    <n v="816"/>
    <s v="DD"/>
    <s v="Hourly"/>
    <n v="35"/>
    <x v="5"/>
    <x v="342"/>
    <n v="8"/>
    <n v="82.61"/>
    <d v="1899-12-30T03:39:00"/>
    <n v="3.6499999999999995"/>
    <n v="3.75"/>
    <x v="0"/>
    <s v="Brunswick/Bath/Freeport"/>
    <n v="2"/>
  </r>
  <r>
    <n v="817"/>
    <s v="UE"/>
    <s v="Order"/>
    <n v="35"/>
    <x v="6"/>
    <x v="343"/>
    <n v="3"/>
    <n v="25.68"/>
    <d v="1899-12-30T02:17:00"/>
    <n v="2.2833333333333332"/>
    <n v="2.25"/>
    <x v="0"/>
    <s v="Portland"/>
    <n v="4"/>
  </r>
  <r>
    <n v="818"/>
    <s v="DD"/>
    <s v="Order"/>
    <n v="35"/>
    <x v="6"/>
    <x v="343"/>
    <n v="1"/>
    <n v="10"/>
    <d v="1899-12-30T01:01:00"/>
    <n v="1.0166666666666666"/>
    <n v="1"/>
    <x v="0"/>
    <s v="Portland"/>
    <n v="4"/>
  </r>
  <r>
    <n v="819"/>
    <s v="DD"/>
    <s v="Order"/>
    <n v="35"/>
    <x v="6"/>
    <x v="343"/>
    <n v="2"/>
    <n v="20"/>
    <d v="1899-12-30T01:35:00"/>
    <n v="1.5833333333333335"/>
    <n v="1.5"/>
    <x v="0"/>
    <s v="Portland"/>
    <n v="4"/>
  </r>
  <r>
    <n v="820"/>
    <s v="UE"/>
    <s v="Order"/>
    <n v="35"/>
    <x v="0"/>
    <x v="344"/>
    <n v="4"/>
    <n v="62.74"/>
    <d v="1899-12-30T03:30:00"/>
    <n v="3.5"/>
    <n v="3.5"/>
    <x v="0"/>
    <s v="Brunswick/Bath/Freeport"/>
    <n v="2"/>
  </r>
  <r>
    <n v="821"/>
    <s v="DD"/>
    <s v="Order"/>
    <n v="35"/>
    <x v="0"/>
    <x v="344"/>
    <n v="5"/>
    <n v="70.25"/>
    <d v="1899-12-30T02:43:00"/>
    <n v="2.7166666666666668"/>
    <n v="2.75"/>
    <x v="0"/>
    <s v="Brunswick/Bath/Freeport"/>
    <n v="2"/>
  </r>
  <r>
    <n v="822"/>
    <s v="DD"/>
    <s v="Order"/>
    <n v="35"/>
    <x v="0"/>
    <x v="344"/>
    <n v="1"/>
    <n v="12"/>
    <d v="1899-12-30T01:34:00"/>
    <n v="1.5666666666666669"/>
    <n v="1.5"/>
    <x v="2"/>
    <s v="Brunswick/Bath/Freeport"/>
    <n v="2"/>
  </r>
  <r>
    <n v="823"/>
    <s v="DD"/>
    <s v="Order"/>
    <n v="35"/>
    <x v="0"/>
    <x v="344"/>
    <n v="2"/>
    <n v="16.5"/>
    <d v="1899-12-30T00:54:00"/>
    <n v="0.89999999999999991"/>
    <n v="1"/>
    <x v="2"/>
    <s v="Brunswick/Bath/Freeport"/>
    <n v="2"/>
  </r>
  <r>
    <n v="824"/>
    <s v="DD"/>
    <s v="Order"/>
    <n v="35"/>
    <x v="0"/>
    <x v="344"/>
    <n v="1"/>
    <n v="12.25"/>
    <d v="1899-12-30T00:57:00"/>
    <n v="0.95"/>
    <n v="1"/>
    <x v="2"/>
    <s v="Brunswick/Bath/Freeport"/>
    <n v="2"/>
  </r>
  <r>
    <n v="825"/>
    <s v="UE"/>
    <s v="Order"/>
    <n v="35"/>
    <x v="1"/>
    <x v="345"/>
    <n v="10"/>
    <n v="91.95"/>
    <d v="1899-12-30T05:48:00"/>
    <n v="5.8"/>
    <n v="5.75"/>
    <x v="0"/>
    <s v="Portland"/>
    <n v="4"/>
  </r>
  <r>
    <n v="826"/>
    <s v="DD"/>
    <s v="Hourly"/>
    <n v="35"/>
    <x v="1"/>
    <x v="345"/>
    <n v="2"/>
    <n v="19.149999999999999"/>
    <d v="1899-12-30T01:07:00"/>
    <n v="1.1166666666666667"/>
    <n v="1"/>
    <x v="0"/>
    <s v="Portland"/>
    <n v="4"/>
  </r>
  <r>
    <n v="827"/>
    <s v="DD"/>
    <s v="Hourly"/>
    <n v="35"/>
    <x v="1"/>
    <x v="345"/>
    <n v="1"/>
    <n v="5.9"/>
    <d v="1899-12-30T00:57:00"/>
    <n v="0.95"/>
    <n v="1"/>
    <x v="2"/>
    <s v="Portland"/>
    <n v="4"/>
  </r>
  <r>
    <n v="828"/>
    <s v="DD"/>
    <s v="Hourly"/>
    <n v="35"/>
    <x v="1"/>
    <x v="345"/>
    <n v="2"/>
    <n v="9.6999999999999993"/>
    <d v="1899-12-30T01:18:00"/>
    <n v="1.3"/>
    <n v="1.25"/>
    <x v="2"/>
    <s v="Portland"/>
    <n v="4"/>
  </r>
  <r>
    <n v="829"/>
    <s v="DD"/>
    <s v="Hourly"/>
    <n v="35"/>
    <x v="1"/>
    <x v="345"/>
    <n v="1"/>
    <n v="22.88"/>
    <d v="1899-12-30T00:34:00"/>
    <n v="0.56666666666666665"/>
    <n v="0.5"/>
    <x v="2"/>
    <s v="Portland"/>
    <n v="4"/>
  </r>
  <r>
    <n v="830"/>
    <s v="UE"/>
    <s v="Order"/>
    <n v="36"/>
    <x v="4"/>
    <x v="346"/>
    <n v="1"/>
    <n v="6.69"/>
    <d v="1899-12-30T00:58:00"/>
    <n v="0.96666666666666679"/>
    <n v="1"/>
    <x v="0"/>
    <s v="Brunswick/Bath/Freeport"/>
    <n v="2"/>
  </r>
  <r>
    <n v="831"/>
    <s v="DD"/>
    <s v="Order"/>
    <n v="36"/>
    <x v="4"/>
    <x v="346"/>
    <n v="8"/>
    <n v="56.75"/>
    <d v="1899-12-30T02:46:00"/>
    <n v="2.7666666666666666"/>
    <n v="2.75"/>
    <x v="0"/>
    <s v="Brunswick/Bath/Freeport"/>
    <n v="2"/>
  </r>
  <r>
    <n v="832"/>
    <s v="DD"/>
    <s v="Order"/>
    <n v="36"/>
    <x v="4"/>
    <x v="346"/>
    <n v="3"/>
    <n v="17.5"/>
    <d v="1899-12-30T01:06:00"/>
    <n v="1.1000000000000001"/>
    <n v="1"/>
    <x v="0"/>
    <s v="Brunswick/Bath/Freeport"/>
    <n v="2"/>
  </r>
  <r>
    <n v="833"/>
    <s v="UE"/>
    <s v="Order"/>
    <n v="36"/>
    <x v="5"/>
    <x v="347"/>
    <n v="7"/>
    <n v="67.5"/>
    <d v="1899-12-30T03:51:00"/>
    <n v="3.8500000000000005"/>
    <n v="3.75"/>
    <x v="0"/>
    <s v="Portland"/>
    <n v="4"/>
  </r>
  <r>
    <n v="834"/>
    <s v="DD"/>
    <s v="Hourly"/>
    <n v="36"/>
    <x v="5"/>
    <x v="347"/>
    <n v="1"/>
    <n v="17"/>
    <d v="1899-12-30T01:05:00"/>
    <n v="1.0833333333333333"/>
    <n v="1"/>
    <x v="0"/>
    <s v="Portland"/>
    <n v="4"/>
  </r>
  <r>
    <n v="835"/>
    <s v="DD"/>
    <s v="Hourly"/>
    <n v="36"/>
    <x v="5"/>
    <x v="347"/>
    <n v="2"/>
    <n v="21.6"/>
    <d v="1899-12-30T01:17:00"/>
    <n v="1.2833333333333332"/>
    <n v="1.25"/>
    <x v="2"/>
    <s v="Portland"/>
    <n v="4"/>
  </r>
  <r>
    <n v="836"/>
    <s v="UE"/>
    <s v="Order"/>
    <n v="36"/>
    <x v="6"/>
    <x v="348"/>
    <n v="7"/>
    <n v="97.96"/>
    <d v="1899-12-30T04:40:00"/>
    <n v="4.666666666666667"/>
    <n v="4.75"/>
    <x v="0"/>
    <s v="Portland"/>
    <n v="4"/>
  </r>
  <r>
    <n v="837"/>
    <s v="DD"/>
    <s v="Order"/>
    <n v="36"/>
    <x v="6"/>
    <x v="348"/>
    <n v="3"/>
    <n v="21.09"/>
    <d v="1899-12-30T01:11:00"/>
    <n v="1.1833333333333333"/>
    <n v="1.25"/>
    <x v="0"/>
    <s v="Portland"/>
    <n v="4"/>
  </r>
  <r>
    <n v="838"/>
    <s v="DD"/>
    <s v="Order"/>
    <n v="36"/>
    <x v="6"/>
    <x v="348"/>
    <n v="5"/>
    <n v="33"/>
    <d v="1899-12-30T02:02:00"/>
    <n v="2.0333333333333332"/>
    <n v="2"/>
    <x v="0"/>
    <s v="Portland"/>
    <n v="4"/>
  </r>
  <r>
    <n v="839"/>
    <s v="DD"/>
    <s v="Order"/>
    <n v="36"/>
    <x v="0"/>
    <x v="349"/>
    <n v="1"/>
    <n v="8.5"/>
    <d v="1899-12-30T00:26:00"/>
    <n v="0.43333333333333335"/>
    <n v="0.5"/>
    <x v="0"/>
    <s v="Lewiston"/>
    <n v="3"/>
  </r>
  <r>
    <n v="840"/>
    <s v="DD"/>
    <s v="Hourly"/>
    <n v="36"/>
    <x v="0"/>
    <x v="349"/>
    <n v="7"/>
    <n v="54.52"/>
    <d v="1899-12-30T03:32:00"/>
    <n v="3.5333333333333332"/>
    <n v="3.5"/>
    <x v="0"/>
    <s v="Lewiston"/>
    <n v="3"/>
  </r>
  <r>
    <n v="841"/>
    <s v="UE"/>
    <s v="Order"/>
    <n v="36"/>
    <x v="1"/>
    <x v="350"/>
    <n v="5"/>
    <n v="40.18"/>
    <d v="1899-12-30T03:31:00"/>
    <n v="3.5166666666666666"/>
    <n v="3.5"/>
    <x v="0"/>
    <s v="Brunswick/Bath/Freeport"/>
    <n v="2"/>
  </r>
  <r>
    <n v="842"/>
    <s v="DD"/>
    <s v="Hourly"/>
    <n v="36"/>
    <x v="1"/>
    <x v="350"/>
    <n v="2"/>
    <n v="16.350000000000001"/>
    <d v="1899-12-30T01:32:00"/>
    <n v="1.5333333333333332"/>
    <n v="1.5"/>
    <x v="0"/>
    <s v="Brunswick/Bath/Freeport"/>
    <n v="2"/>
  </r>
  <r>
    <n v="843"/>
    <s v="DD"/>
    <s v="Hourly"/>
    <n v="36"/>
    <x v="1"/>
    <x v="350"/>
    <n v="3"/>
    <n v="23.2"/>
    <d v="1899-12-30T00:56:00"/>
    <n v="0.93333333333333335"/>
    <n v="1"/>
    <x v="0"/>
    <s v="Brunswick/Bath/Freeport"/>
    <n v="2"/>
  </r>
  <r>
    <n v="844"/>
    <s v="DD"/>
    <s v="Hourly"/>
    <n v="36"/>
    <x v="1"/>
    <x v="350"/>
    <n v="4"/>
    <n v="46.77"/>
    <d v="1899-12-30T02:27:00"/>
    <n v="2.4500000000000002"/>
    <n v="2.5"/>
    <x v="0"/>
    <s v="Brunswick/Bath/Freeport"/>
    <n v="2"/>
  </r>
  <r>
    <n v="845"/>
    <s v="DD"/>
    <s v="Hourly"/>
    <n v="36"/>
    <x v="1"/>
    <x v="350"/>
    <n v="1"/>
    <n v="16.91"/>
    <d v="1899-12-30T01:04:00"/>
    <n v="1.0666666666666667"/>
    <n v="1"/>
    <x v="2"/>
    <s v="Brunswick/Bath/Freeport"/>
    <n v="2"/>
  </r>
  <r>
    <n v="846"/>
    <s v="DD"/>
    <s v="Order"/>
    <n v="36"/>
    <x v="1"/>
    <x v="350"/>
    <n v="3"/>
    <n v="30.5"/>
    <d v="1899-12-30T01:16:00"/>
    <n v="1.2666666666666666"/>
    <n v="1.25"/>
    <x v="2"/>
    <s v="Brunswick/Bath/Freeport"/>
    <n v="2"/>
  </r>
  <r>
    <n v="847"/>
    <s v="UE"/>
    <s v="Order"/>
    <n v="37"/>
    <x v="5"/>
    <x v="351"/>
    <n v="6"/>
    <n v="94.25"/>
    <d v="1899-12-30T03:17:00"/>
    <n v="3.2833333333333332"/>
    <n v="3.25"/>
    <x v="0"/>
    <s v="Brunswick/Bath/Freeport"/>
    <n v="2"/>
  </r>
  <r>
    <n v="848"/>
    <s v="DD"/>
    <s v="Hourly"/>
    <n v="37"/>
    <x v="5"/>
    <x v="351"/>
    <n v="2"/>
    <n v="27.9"/>
    <d v="1899-12-30T01:31:00"/>
    <n v="1.5166666666666666"/>
    <n v="1.5"/>
    <x v="0"/>
    <s v="Brunswick/Bath/Freeport"/>
    <n v="2"/>
  </r>
  <r>
    <n v="849"/>
    <s v="DD"/>
    <s v="Hourly"/>
    <n v="37"/>
    <x v="5"/>
    <x v="351"/>
    <n v="2"/>
    <n v="22.94"/>
    <d v="1899-12-30T01:38:00"/>
    <n v="1.6333333333333333"/>
    <n v="1.75"/>
    <x v="0"/>
    <s v="Brunswick/Bath/Freeport"/>
    <n v="2"/>
  </r>
  <r>
    <n v="850"/>
    <s v="UE"/>
    <s v="Order"/>
    <n v="37"/>
    <x v="6"/>
    <x v="352"/>
    <n v="9"/>
    <n v="98.49"/>
    <d v="1899-12-30T05:00:00"/>
    <n v="5"/>
    <n v="5"/>
    <x v="0"/>
    <s v="Portland"/>
    <n v="4"/>
  </r>
  <r>
    <n v="851"/>
    <s v="DD"/>
    <s v="Hourly"/>
    <n v="37"/>
    <x v="6"/>
    <x v="352"/>
    <n v="4"/>
    <n v="36.409999999999997"/>
    <d v="1899-12-30T01:17:00"/>
    <n v="1.2833333333333332"/>
    <n v="1.25"/>
    <x v="2"/>
    <s v="Portland"/>
    <n v="4"/>
  </r>
  <r>
    <n v="852"/>
    <s v="UE"/>
    <s v="Order"/>
    <n v="37"/>
    <x v="0"/>
    <x v="353"/>
    <n v="4"/>
    <n v="81.459999999999994"/>
    <d v="1899-12-30T02:58:00"/>
    <n v="2.9666666666666668"/>
    <n v="3"/>
    <x v="0"/>
    <s v="Brunswick/Bath/Freeport"/>
    <n v="2"/>
  </r>
  <r>
    <n v="853"/>
    <s v="DD"/>
    <s v="Hourly"/>
    <n v="37"/>
    <x v="0"/>
    <x v="353"/>
    <n v="7"/>
    <n v="58.56"/>
    <d v="1899-12-30T03:34:00"/>
    <n v="3.5666666666666664"/>
    <n v="3.5"/>
    <x v="0"/>
    <s v="Brunswick/Bath/Freeport"/>
    <n v="2"/>
  </r>
  <r>
    <n v="854"/>
    <s v="UE"/>
    <s v="Order"/>
    <n v="37"/>
    <x v="2"/>
    <x v="354"/>
    <n v="7"/>
    <n v="110.85"/>
    <d v="1899-12-30T04:37:00"/>
    <n v="4.6166666666666671"/>
    <n v="4.5"/>
    <x v="0"/>
    <s v="Portland"/>
    <n v="4"/>
  </r>
  <r>
    <n v="855"/>
    <s v="DD"/>
    <s v="Order"/>
    <n v="37"/>
    <x v="2"/>
    <x v="354"/>
    <n v="1"/>
    <n v="4.33"/>
    <d v="1899-12-30T00:15:00"/>
    <n v="0.25"/>
    <n v="0.25"/>
    <x v="0"/>
    <s v="Portland"/>
    <n v="4"/>
  </r>
  <r>
    <n v="856"/>
    <s v="UE"/>
    <s v="Order"/>
    <n v="38"/>
    <x v="3"/>
    <x v="355"/>
    <n v="5"/>
    <n v="74.349999999999994"/>
    <d v="1899-12-30T03:03:00"/>
    <n v="3.05"/>
    <n v="3"/>
    <x v="0"/>
    <s v="Brunswick/Bath/Freeport"/>
    <n v="2"/>
  </r>
  <r>
    <n v="857"/>
    <s v="DD"/>
    <s v="Hourly"/>
    <n v="38"/>
    <x v="3"/>
    <x v="355"/>
    <n v="3"/>
    <n v="27.5"/>
    <d v="1899-12-30T01:28:00"/>
    <n v="1.4666666666666668"/>
    <n v="1.5"/>
    <x v="0"/>
    <s v="Brunswick/Bath/Freeport"/>
    <n v="2"/>
  </r>
  <r>
    <n v="858"/>
    <s v="DD"/>
    <s v="Hourly"/>
    <n v="38"/>
    <x v="3"/>
    <x v="355"/>
    <n v="2"/>
    <n v="14.71"/>
    <d v="1899-12-30T01:03:00"/>
    <n v="1.05"/>
    <n v="1"/>
    <x v="2"/>
    <s v="Brunswick/Bath/Freeport"/>
    <n v="2"/>
  </r>
  <r>
    <n v="859"/>
    <s v="DD"/>
    <s v="Order"/>
    <n v="38"/>
    <x v="5"/>
    <x v="356"/>
    <n v="8"/>
    <n v="90"/>
    <d v="1899-12-30T03:25:00"/>
    <n v="3.4166666666666665"/>
    <n v="3.5"/>
    <x v="0"/>
    <s v="Brunswick/Bath/Freeport"/>
    <n v="2"/>
  </r>
  <r>
    <n v="860"/>
    <s v="UE"/>
    <s v="Order"/>
    <n v="38"/>
    <x v="6"/>
    <x v="357"/>
    <n v="1"/>
    <n v="21.98"/>
    <d v="1899-12-30T00:53:00"/>
    <n v="0.8833333333333333"/>
    <n v="1"/>
    <x v="0"/>
    <s v="Brunswick/Bath/Freeport"/>
    <n v="2"/>
  </r>
  <r>
    <n v="861"/>
    <s v="UE"/>
    <s v="Order"/>
    <n v="38"/>
    <x v="1"/>
    <x v="358"/>
    <n v="1"/>
    <n v="15.63"/>
    <d v="1899-12-30T01:45:00"/>
    <n v="1.75"/>
    <n v="1.75"/>
    <x v="0"/>
    <s v="Brunswick/Bath/Freeport"/>
    <n v="2"/>
  </r>
  <r>
    <n v="862"/>
    <s v="DD"/>
    <s v="Hourly"/>
    <n v="38"/>
    <x v="1"/>
    <x v="358"/>
    <n v="4"/>
    <n v="44.9"/>
    <d v="1899-12-30T03:08:00"/>
    <n v="3.1333333333333337"/>
    <n v="3.25"/>
    <x v="0"/>
    <s v="Brunswick/Bath/Freeport"/>
    <n v="2"/>
  </r>
  <r>
    <n v="863"/>
    <s v="DD"/>
    <s v="Hourly"/>
    <n v="38"/>
    <x v="1"/>
    <x v="358"/>
    <n v="4"/>
    <n v="38.68"/>
    <d v="1899-12-30T02:16:00"/>
    <n v="2.2666666666666666"/>
    <n v="2.25"/>
    <x v="0"/>
    <s v="Brunswick/Bath/Freeport"/>
    <n v="2"/>
  </r>
  <r>
    <n v="864"/>
    <s v="DD"/>
    <s v="Hourly"/>
    <n v="38"/>
    <x v="1"/>
    <x v="358"/>
    <n v="1"/>
    <n v="5.76"/>
    <d v="1899-12-30T00:19:00"/>
    <n v="0.31666666666666665"/>
    <n v="0.25"/>
    <x v="2"/>
    <s v="Brunswick/Bath/Freeport"/>
    <n v="2"/>
  </r>
  <r>
    <n v="865"/>
    <s v="UE"/>
    <s v="Order"/>
    <n v="39"/>
    <x v="4"/>
    <x v="359"/>
    <n v="1"/>
    <n v="4.45"/>
    <d v="1899-12-30T01:31:00"/>
    <n v="1.5166666666666666"/>
    <n v="1.5"/>
    <x v="0"/>
    <s v="Augusta"/>
    <n v="1"/>
  </r>
  <r>
    <n v="866"/>
    <s v="DD"/>
    <s v="Order"/>
    <n v="39"/>
    <x v="4"/>
    <x v="359"/>
    <n v="5"/>
    <n v="50.5"/>
    <d v="1899-12-30T03:42:00"/>
    <n v="3.7"/>
    <n v="3.75"/>
    <x v="0"/>
    <s v="Augusta"/>
    <n v="1"/>
  </r>
  <r>
    <n v="867"/>
    <s v="UE"/>
    <s v="Order"/>
    <n v="39"/>
    <x v="6"/>
    <x v="360"/>
    <n v="5"/>
    <n v="46.19"/>
    <d v="1899-12-30T02:54:00"/>
    <n v="2.9"/>
    <n v="3"/>
    <x v="0"/>
    <s v="Portland"/>
    <n v="4"/>
  </r>
  <r>
    <n v="868"/>
    <s v="DD"/>
    <s v="Order"/>
    <n v="39"/>
    <x v="0"/>
    <x v="361"/>
    <n v="1"/>
    <n v="11.5"/>
    <d v="1899-12-30T00:57:00"/>
    <n v="0.95"/>
    <n v="1"/>
    <x v="0"/>
    <s v="Brunswick/Bath/Freeport"/>
    <n v="2"/>
  </r>
  <r>
    <n v="869"/>
    <s v="UE"/>
    <s v="Order"/>
    <n v="39"/>
    <x v="1"/>
    <x v="362"/>
    <n v="2"/>
    <n v="22.08"/>
    <d v="1899-12-30T02:48:00"/>
    <n v="2.8"/>
    <n v="2.75"/>
    <x v="0"/>
    <s v="Lewiston"/>
    <n v="3"/>
  </r>
  <r>
    <n v="870"/>
    <s v="DD"/>
    <s v="Order"/>
    <n v="39"/>
    <x v="1"/>
    <x v="362"/>
    <n v="16"/>
    <n v="122.53"/>
    <d v="1899-12-30T06:06:00"/>
    <n v="6.1"/>
    <n v="6"/>
    <x v="0"/>
    <s v="Lewiston"/>
    <n v="3"/>
  </r>
  <r>
    <n v="871"/>
    <s v="DD"/>
    <s v="Hourly"/>
    <n v="39"/>
    <x v="1"/>
    <x v="362"/>
    <n v="3"/>
    <n v="19.59"/>
    <d v="1899-12-30T01:15:00"/>
    <m/>
    <m/>
    <x v="2"/>
    <s v="Lewiston"/>
    <n v="3"/>
  </r>
  <r>
    <n v="872"/>
    <s v="DD"/>
    <s v="Hourly"/>
    <n v="39"/>
    <x v="1"/>
    <x v="362"/>
    <n v="4"/>
    <n v="44.56"/>
    <d v="1899-12-30T02:13:00"/>
    <n v="2.2166666666666668"/>
    <n v="2.25"/>
    <x v="2"/>
    <s v="Lewiston"/>
    <n v="3"/>
  </r>
  <r>
    <n v="873"/>
    <s v="DD"/>
    <s v="Order"/>
    <n v="39"/>
    <x v="1"/>
    <x v="362"/>
    <n v="1"/>
    <n v="5"/>
    <d v="1899-12-30T00:34:00"/>
    <n v="0.56666666666666665"/>
    <n v="0.5"/>
    <x v="2"/>
    <s v="Lewiston"/>
    <n v="3"/>
  </r>
  <r>
    <n v="874"/>
    <s v="UE"/>
    <s v="Order"/>
    <n v="40"/>
    <x v="3"/>
    <x v="363"/>
    <n v="3"/>
    <n v="60.12"/>
    <d v="1899-12-30T02:23:00"/>
    <n v="2.3833333333333333"/>
    <n v="2.5"/>
    <x v="0"/>
    <s v="Brunswick/Bath/Freeport"/>
    <n v="2"/>
  </r>
  <r>
    <n v="875"/>
    <s v="DD"/>
    <s v="Hourly"/>
    <n v="40"/>
    <x v="3"/>
    <x v="363"/>
    <n v="2"/>
    <n v="10.85"/>
    <d v="1899-12-30T00:48:00"/>
    <n v="0.8"/>
    <n v="0.75"/>
    <x v="0"/>
    <s v="Brunswick/Bath/Freeport"/>
    <n v="2"/>
  </r>
  <r>
    <n v="876"/>
    <s v="UE"/>
    <s v="Order"/>
    <n v="40"/>
    <x v="4"/>
    <x v="364"/>
    <n v="1"/>
    <n v="8.5399999999999991"/>
    <d v="1899-12-30T01:13:00"/>
    <n v="1.2166666666666668"/>
    <n v="1.25"/>
    <x v="0"/>
    <s v="Lewiston"/>
    <n v="3"/>
  </r>
  <r>
    <n v="877"/>
    <s v="DD"/>
    <s v="Hourly"/>
    <n v="40"/>
    <x v="4"/>
    <x v="364"/>
    <n v="6"/>
    <n v="46.58"/>
    <d v="1899-12-30T03:05:00"/>
    <n v="3.0833333333333339"/>
    <n v="3"/>
    <x v="0"/>
    <s v="Lewiston"/>
    <n v="3"/>
  </r>
  <r>
    <n v="878"/>
    <s v="DD"/>
    <s v="Hourly"/>
    <n v="40"/>
    <x v="4"/>
    <x v="364"/>
    <n v="1"/>
    <n v="5.05"/>
    <d v="1899-12-30T00:18:00"/>
    <n v="0.3"/>
    <n v="0.25"/>
    <x v="2"/>
    <s v="Lewiston"/>
    <n v="3"/>
  </r>
  <r>
    <n v="879"/>
    <s v="UE"/>
    <s v="Order"/>
    <n v="40"/>
    <x v="5"/>
    <x v="365"/>
    <n v="2"/>
    <n v="22.49"/>
    <d v="1899-12-30T01:37:00"/>
    <n v="1.6166666666666667"/>
    <n v="1.5"/>
    <x v="0"/>
    <s v="Brunswick/Bath/Freeport"/>
    <n v="2"/>
  </r>
  <r>
    <n v="880"/>
    <s v="DD"/>
    <s v="Hourly"/>
    <n v="40"/>
    <x v="5"/>
    <x v="365"/>
    <n v="5"/>
    <n v="39.17"/>
    <d v="1899-12-30T03:13:00"/>
    <n v="3.2166666666666668"/>
    <n v="3.25"/>
    <x v="0"/>
    <s v="Brunswick/Bath/Freeport"/>
    <n v="2"/>
  </r>
  <r>
    <n v="881"/>
    <s v="UE"/>
    <s v="Order"/>
    <n v="40"/>
    <x v="6"/>
    <x v="366"/>
    <n v="1"/>
    <n v="17.09"/>
    <d v="1899-12-30T01:15:00"/>
    <n v="1.25"/>
    <n v="1.25"/>
    <x v="0"/>
    <s v="Portland"/>
    <n v="4"/>
  </r>
  <r>
    <n v="882"/>
    <s v="DD"/>
    <s v="Hourly"/>
    <n v="40"/>
    <x v="6"/>
    <x v="366"/>
    <n v="1"/>
    <n v="7.9"/>
    <d v="1899-12-30T00:58:00"/>
    <n v="0.96666666666666679"/>
    <n v="1"/>
    <x v="0"/>
    <s v="Portland"/>
    <n v="4"/>
  </r>
  <r>
    <n v="883"/>
    <s v="UE"/>
    <s v="Order"/>
    <n v="40"/>
    <x v="0"/>
    <x v="367"/>
    <n v="2"/>
    <n v="26.16"/>
    <d v="1899-12-30T02:28:00"/>
    <n v="2.4666666666666668"/>
    <n v="2.5"/>
    <x v="0"/>
    <s v="Brunswick/Bath/Freeport"/>
    <n v="2"/>
  </r>
  <r>
    <n v="884"/>
    <s v="DD"/>
    <s v="Hourly"/>
    <n v="40"/>
    <x v="0"/>
    <x v="367"/>
    <n v="9"/>
    <n v="104.93"/>
    <d v="1899-12-30T05:02:00"/>
    <n v="5.0333333333333332"/>
    <n v="5"/>
    <x v="0"/>
    <s v="Brunswick/Bath/Freeport"/>
    <n v="2"/>
  </r>
  <r>
    <n v="885"/>
    <s v="DD"/>
    <s v="Hourly"/>
    <n v="40"/>
    <x v="0"/>
    <x v="367"/>
    <n v="1"/>
    <n v="6.27"/>
    <d v="1899-12-30T00:36:00"/>
    <n v="0.6"/>
    <n v="0.5"/>
    <x v="2"/>
    <s v="Brunswick/Bath/Freeport"/>
    <n v="2"/>
  </r>
  <r>
    <n v="886"/>
    <s v="DD"/>
    <s v="Hourly"/>
    <n v="40"/>
    <x v="0"/>
    <x v="367"/>
    <n v="2"/>
    <n v="19.62"/>
    <d v="1899-12-30T01:00:00"/>
    <n v="1"/>
    <n v="1"/>
    <x v="2"/>
    <s v="Brunswick/Bath/Freeport"/>
    <n v="2"/>
  </r>
  <r>
    <n v="887"/>
    <s v="UE"/>
    <s v="Order"/>
    <n v="41"/>
    <x v="3"/>
    <x v="368"/>
    <n v="2"/>
    <n v="25.09"/>
    <d v="1899-12-30T01:54:00"/>
    <n v="1.9"/>
    <n v="2"/>
    <x v="0"/>
    <s v="Lewiston"/>
    <n v="3"/>
  </r>
  <r>
    <n v="888"/>
    <s v="DD"/>
    <s v="Hourly"/>
    <n v="41"/>
    <x v="3"/>
    <x v="368"/>
    <n v="5"/>
    <n v="34.24"/>
    <d v="1899-12-30T03:06:00"/>
    <n v="3.1000000000000005"/>
    <n v="3"/>
    <x v="0"/>
    <s v="Lewiston"/>
    <n v="3"/>
  </r>
  <r>
    <n v="889"/>
    <s v="DD"/>
    <s v="Hourly"/>
    <n v="41"/>
    <x v="3"/>
    <x v="368"/>
    <n v="3"/>
    <n v="18.47"/>
    <d v="1899-12-30T01:02:00"/>
    <n v="1.0333333333333334"/>
    <n v="1"/>
    <x v="2"/>
    <s v="Lewiston"/>
    <n v="3"/>
  </r>
  <r>
    <n v="890"/>
    <s v="UE"/>
    <s v="Order"/>
    <n v="41"/>
    <x v="6"/>
    <x v="369"/>
    <n v="6"/>
    <n v="67.08"/>
    <d v="1899-12-30T02:51:00"/>
    <n v="2.85"/>
    <n v="2.75"/>
    <x v="0"/>
    <s v="Brunswick/Bath/Freeport"/>
    <n v="2"/>
  </r>
  <r>
    <n v="891"/>
    <s v="DD"/>
    <s v="Hourly"/>
    <n v="41"/>
    <x v="6"/>
    <x v="369"/>
    <n v="3"/>
    <n v="27.22"/>
    <d v="1899-12-30T02:32:00"/>
    <n v="2.5333333333333332"/>
    <n v="2.5"/>
    <x v="0"/>
    <s v="Brunswick/Bath/Freeport"/>
    <n v="2"/>
  </r>
  <r>
    <n v="892"/>
    <s v="DD"/>
    <s v="Hourly"/>
    <n v="41"/>
    <x v="0"/>
    <x v="370"/>
    <n v="5"/>
    <n v="47.39"/>
    <d v="1899-12-30T02:14:00"/>
    <n v="2.2333333333333334"/>
    <n v="2.25"/>
    <x v="0"/>
    <s v="Brunswick/Bath/Freeport"/>
    <n v="2"/>
  </r>
  <r>
    <n v="893"/>
    <s v="UE"/>
    <s v="Order"/>
    <n v="42"/>
    <x v="3"/>
    <x v="371"/>
    <n v="1"/>
    <n v="12.68"/>
    <d v="1899-12-30T02:15:00"/>
    <n v="2.25"/>
    <n v="2.25"/>
    <x v="0"/>
    <s v="Brunswick/Bath/Freeport"/>
    <n v="2"/>
  </r>
  <r>
    <n v="894"/>
    <s v="DD"/>
    <s v="Order"/>
    <n v="42"/>
    <x v="3"/>
    <x v="371"/>
    <n v="9"/>
    <n v="109.25"/>
    <d v="1899-12-30T04:02:00"/>
    <n v="4.0333333333333332"/>
    <n v="4"/>
    <x v="0"/>
    <s v="Brunswick/Bath/Freeport"/>
    <n v="2"/>
  </r>
  <r>
    <n v="895"/>
    <s v="DD"/>
    <s v="Hourly"/>
    <n v="42"/>
    <x v="4"/>
    <x v="372"/>
    <n v="3"/>
    <n v="27.44"/>
    <d v="1899-12-30T01:42:00"/>
    <n v="1.7"/>
    <n v="1.75"/>
    <x v="0"/>
    <s v="Brunswick/Bath/Freeport"/>
    <n v="2"/>
  </r>
  <r>
    <n v="896"/>
    <s v="DD"/>
    <s v="Order"/>
    <n v="42"/>
    <x v="4"/>
    <x v="372"/>
    <n v="4"/>
    <n v="35"/>
    <d v="1899-12-30T02:10:00"/>
    <n v="2.1666666666666665"/>
    <n v="2.25"/>
    <x v="0"/>
    <s v="Brunswick/Bath/Freeport"/>
    <n v="2"/>
  </r>
  <r>
    <n v="897"/>
    <s v="DD"/>
    <s v="Hourly"/>
    <n v="42"/>
    <x v="0"/>
    <x v="373"/>
    <n v="11"/>
    <n v="135.33000000000001"/>
    <d v="1899-12-30T05:28:00"/>
    <n v="5.4666666666666668"/>
    <n v="5.5"/>
    <x v="0"/>
    <s v="Augusta"/>
    <n v="1"/>
  </r>
  <r>
    <n v="898"/>
    <s v="DD"/>
    <s v="Order"/>
    <n v="42"/>
    <x v="2"/>
    <x v="374"/>
    <n v="4"/>
    <n v="50.75"/>
    <d v="1899-12-30T01:44:00"/>
    <n v="1.7333333333333334"/>
    <n v="1.75"/>
    <x v="0"/>
    <s v="Brunswick/Bath/Freeport"/>
    <n v="2"/>
  </r>
  <r>
    <n v="899"/>
    <s v="DD"/>
    <s v="Order"/>
    <n v="43"/>
    <x v="4"/>
    <x v="375"/>
    <n v="15"/>
    <n v="126.25"/>
    <d v="1899-12-30T04:58:00"/>
    <n v="4.9666666666666668"/>
    <n v="5"/>
    <x v="0"/>
    <s v="Portland"/>
    <n v="4"/>
  </r>
  <r>
    <n v="900"/>
    <s v="UE"/>
    <s v="Order"/>
    <n v="43"/>
    <x v="5"/>
    <x v="376"/>
    <n v="3"/>
    <n v="56.27"/>
    <d v="1899-12-30T03:21:00"/>
    <n v="3.35"/>
    <n v="3.25"/>
    <x v="0"/>
    <s v="Brunswick/Bath/Freeport"/>
    <n v="2"/>
  </r>
  <r>
    <n v="901"/>
    <s v="DD"/>
    <s v="Order"/>
    <n v="43"/>
    <x v="5"/>
    <x v="376"/>
    <n v="2"/>
    <n v="37.5"/>
    <d v="1899-12-30T01:23:00"/>
    <n v="1.3833333333333333"/>
    <n v="1.5"/>
    <x v="0"/>
    <s v="Brunswick/Bath/Freeport"/>
    <n v="2"/>
  </r>
  <r>
    <n v="902"/>
    <s v="DD"/>
    <s v="Order"/>
    <n v="43"/>
    <x v="5"/>
    <x v="376"/>
    <n v="2"/>
    <n v="10.75"/>
    <d v="1899-12-30T01:06:00"/>
    <n v="1.1000000000000001"/>
    <n v="1"/>
    <x v="0"/>
    <s v="Brunswick/Bath/Freeport"/>
    <n v="2"/>
  </r>
  <r>
    <n v="903"/>
    <s v="DD"/>
    <s v="Order"/>
    <n v="43"/>
    <x v="5"/>
    <x v="376"/>
    <n v="2"/>
    <n v="11"/>
    <d v="1899-12-30T02:06:00"/>
    <n v="2.1"/>
    <n v="2"/>
    <x v="2"/>
    <s v="Brunswick/Bath/Freeport"/>
    <n v="2"/>
  </r>
  <r>
    <n v="904"/>
    <s v="UE"/>
    <s v="Order"/>
    <n v="44"/>
    <x v="3"/>
    <x v="377"/>
    <n v="4"/>
    <n v="32.700000000000003"/>
    <d v="1899-12-30T02:36:00"/>
    <n v="2.6"/>
    <n v="2.5"/>
    <x v="0"/>
    <s v="Brunswick/Bath/Freeport"/>
    <n v="2"/>
  </r>
  <r>
    <n v="905"/>
    <s v="DD"/>
    <s v="Order"/>
    <n v="44"/>
    <x v="3"/>
    <x v="377"/>
    <n v="2"/>
    <n v="25.25"/>
    <d v="1899-12-30T00:58:00"/>
    <n v="0.96666666666666679"/>
    <n v="1"/>
    <x v="0"/>
    <s v="Brunswick/Bath/Freeport"/>
    <n v="2"/>
  </r>
  <r>
    <n v="906"/>
    <s v="DD"/>
    <s v="Order"/>
    <n v="44"/>
    <x v="3"/>
    <x v="377"/>
    <n v="3"/>
    <n v="36"/>
    <d v="1899-12-30T01:50:00"/>
    <n v="1.8333333333333335"/>
    <n v="1.75"/>
    <x v="0"/>
    <s v="Brunswick/Bath/Freeport"/>
    <n v="2"/>
  </r>
  <r>
    <n v="907"/>
    <s v="UE"/>
    <s v="Order"/>
    <n v="44"/>
    <x v="4"/>
    <x v="378"/>
    <n v="2"/>
    <n v="28.27"/>
    <d v="1899-12-30T01:31:00"/>
    <n v="1.5166666666666666"/>
    <n v="1.5"/>
    <x v="0"/>
    <s v="Brunswick/Bath/Freeport"/>
    <n v="2"/>
  </r>
  <r>
    <n v="908"/>
    <s v="DD"/>
    <s v="Order"/>
    <n v="44"/>
    <x v="4"/>
    <x v="378"/>
    <n v="8"/>
    <n v="60.91"/>
    <d v="1899-12-30T02:28:00"/>
    <n v="2.4666666666666668"/>
    <n v="2.5"/>
    <x v="0"/>
    <s v="Brunswick/Bath/Freeport"/>
    <n v="2"/>
  </r>
  <r>
    <n v="909"/>
    <s v="DD"/>
    <s v="Order"/>
    <n v="44"/>
    <x v="5"/>
    <x v="379"/>
    <n v="6"/>
    <n v="50.75"/>
    <d v="1899-12-30T03:14:00"/>
    <n v="3.2333333333333334"/>
    <n v="3.25"/>
    <x v="0"/>
    <s v="Augusta"/>
    <n v="1"/>
  </r>
  <r>
    <n v="910"/>
    <s v="UE"/>
    <s v="Order"/>
    <n v="44"/>
    <x v="1"/>
    <x v="380"/>
    <n v="3"/>
    <n v="58.95"/>
    <d v="1899-12-30T02:45:00"/>
    <n v="2.75"/>
    <n v="2.75"/>
    <x v="0"/>
    <s v="Brunswick/Bath/Freeport"/>
    <n v="2"/>
  </r>
  <r>
    <n v="911"/>
    <s v="DD"/>
    <s v="Order"/>
    <n v="44"/>
    <x v="1"/>
    <x v="380"/>
    <n v="2"/>
    <n v="16.75"/>
    <d v="1899-12-30T00:35:00"/>
    <n v="0.58333333333333337"/>
    <n v="0.5"/>
    <x v="0"/>
    <s v="Brunswick/Bath/Freeport"/>
    <n v="2"/>
  </r>
  <r>
    <n v="912"/>
    <s v="DD"/>
    <s v="Order"/>
    <n v="44"/>
    <x v="1"/>
    <x v="380"/>
    <n v="2"/>
    <n v="50"/>
    <d v="1899-12-30T02:18:00"/>
    <n v="2.2999999999999998"/>
    <n v="2.25"/>
    <x v="0"/>
    <s v="Brunswick/Bath/Freeport"/>
    <n v="2"/>
  </r>
  <r>
    <n v="913"/>
    <s v="DD"/>
    <s v="Order"/>
    <n v="44"/>
    <x v="1"/>
    <x v="380"/>
    <n v="2"/>
    <n v="11"/>
    <d v="1899-12-30T01:10:00"/>
    <n v="1.1666666666666667"/>
    <n v="1.25"/>
    <x v="0"/>
    <s v="Brunswick/Bath/Freeport"/>
    <n v="2"/>
  </r>
  <r>
    <n v="914"/>
    <s v="DD"/>
    <s v="Order"/>
    <n v="44"/>
    <x v="1"/>
    <x v="380"/>
    <n v="1"/>
    <n v="10.5"/>
    <d v="1899-12-30T00:28:00"/>
    <n v="0.46666666666666667"/>
    <n v="0.5"/>
    <x v="2"/>
    <s v="Brunswick/Bath/Freeport"/>
    <n v="2"/>
  </r>
  <r>
    <n v="915"/>
    <s v="UE"/>
    <s v="Order"/>
    <n v="44"/>
    <x v="2"/>
    <x v="381"/>
    <n v="7"/>
    <n v="120.46"/>
    <d v="1899-12-30T04:34:00"/>
    <n v="4.5666666666666664"/>
    <n v="4.5"/>
    <x v="0"/>
    <s v="Brunswick/Bath/Freeport"/>
    <n v="2"/>
  </r>
  <r>
    <n v="916"/>
    <s v="DD"/>
    <s v="Order"/>
    <n v="44"/>
    <x v="2"/>
    <x v="381"/>
    <n v="1"/>
    <n v="4.5"/>
    <d v="1899-12-30T01:16:00"/>
    <n v="1.2666666666666666"/>
    <n v="1.25"/>
    <x v="0"/>
    <s v="Brunswick/Bath/Freeport"/>
    <n v="2"/>
  </r>
  <r>
    <n v="917"/>
    <s v="DD"/>
    <s v="Order"/>
    <n v="44"/>
    <x v="2"/>
    <x v="381"/>
    <n v="4"/>
    <n v="39"/>
    <d v="1899-12-30T02:54:00"/>
    <n v="2.9"/>
    <n v="3"/>
    <x v="0"/>
    <s v="Brunswick/Bath/Freeport"/>
    <n v="2"/>
  </r>
  <r>
    <n v="918"/>
    <s v="DD"/>
    <s v="Order"/>
    <n v="45"/>
    <x v="3"/>
    <x v="382"/>
    <n v="10"/>
    <n v="128.74"/>
    <d v="1899-12-30T04:31:00"/>
    <n v="4.5166666666666666"/>
    <n v="4.5"/>
    <x v="0"/>
    <s v="Brunswick/Bath/Freeport"/>
    <n v="2"/>
  </r>
  <r>
    <n v="919"/>
    <s v="UE"/>
    <s v="Order"/>
    <n v="45"/>
    <x v="4"/>
    <x v="383"/>
    <n v="2"/>
    <n v="22.09"/>
    <d v="1899-12-30T01:13:00"/>
    <n v="1.2166666666666668"/>
    <n v="1.25"/>
    <x v="0"/>
    <s v="Brunswick/Bath/Freeport"/>
    <n v="2"/>
  </r>
  <r>
    <n v="920"/>
    <s v="DD"/>
    <s v="Hourly"/>
    <n v="45"/>
    <x v="4"/>
    <x v="383"/>
    <n v="8"/>
    <n v="71.819999999999993"/>
    <d v="1899-12-30T03:10:00"/>
    <n v="3.166666666666667"/>
    <n v="3.25"/>
    <x v="0"/>
    <s v="Brunswick/Bath/Freeport"/>
    <n v="2"/>
  </r>
  <r>
    <n v="921"/>
    <s v="UE"/>
    <s v="Order"/>
    <n v="45"/>
    <x v="5"/>
    <x v="384"/>
    <n v="2"/>
    <n v="26.5"/>
    <d v="1899-12-30T01:51:00"/>
    <n v="1.85"/>
    <n v="1.75"/>
    <x v="0"/>
    <s v="Brunswick/Bath/Freeport"/>
    <n v="2"/>
  </r>
  <r>
    <n v="922"/>
    <s v="DD"/>
    <s v="Hourly"/>
    <n v="45"/>
    <x v="5"/>
    <x v="384"/>
    <n v="8"/>
    <n v="72.89"/>
    <d v="1899-12-30T04:13:00"/>
    <n v="4.2166666666666668"/>
    <n v="4.25"/>
    <x v="0"/>
    <s v="Brunswick/Bath/Freeport"/>
    <n v="2"/>
  </r>
  <r>
    <n v="923"/>
    <s v="UE"/>
    <s v="Order"/>
    <n v="45"/>
    <x v="0"/>
    <x v="385"/>
    <n v="8"/>
    <n v="107.02"/>
    <d v="1899-12-30T04:01:00"/>
    <n v="4.0166666666666666"/>
    <n v="4"/>
    <x v="0"/>
    <s v="Brunswick/Bath/Freeport"/>
    <n v="2"/>
  </r>
  <r>
    <n v="924"/>
    <s v="DD"/>
    <s v="Hourly"/>
    <n v="45"/>
    <x v="0"/>
    <x v="385"/>
    <n v="1"/>
    <n v="9.15"/>
    <d v="1899-12-30T00:47:00"/>
    <n v="0.78333333333333344"/>
    <n v="0.75"/>
    <x v="2"/>
    <s v="Brunswick/Bath/Freeport"/>
    <n v="2"/>
  </r>
  <r>
    <n v="925"/>
    <s v="UE"/>
    <s v="Order"/>
    <n v="46"/>
    <x v="3"/>
    <x v="386"/>
    <n v="4"/>
    <n v="77.56"/>
    <d v="1899-12-30T03:07:00"/>
    <n v="3.1166666666666671"/>
    <n v="3"/>
    <x v="0"/>
    <s v="Brunswick/Bath/Freeport"/>
    <n v="2"/>
  </r>
  <r>
    <n v="926"/>
    <s v="DD"/>
    <s v="Hourly"/>
    <n v="46"/>
    <x v="3"/>
    <x v="386"/>
    <n v="4"/>
    <n v="20.97"/>
    <d v="1899-12-30T02:01:00"/>
    <n v="2.0166666666666666"/>
    <n v="2"/>
    <x v="0"/>
    <s v="Brunswick/Bath/Freeport"/>
    <n v="2"/>
  </r>
  <r>
    <n v="927"/>
    <s v="UE"/>
    <s v="Order"/>
    <n v="46"/>
    <x v="5"/>
    <x v="387"/>
    <n v="2"/>
    <n v="37.880000000000003"/>
    <d v="1899-12-30T02:59:00"/>
    <n v="2.9833333333333334"/>
    <n v="3"/>
    <x v="0"/>
    <s v="Brunswick/Bath/Freeport"/>
    <n v="2"/>
  </r>
  <r>
    <n v="928"/>
    <s v="DD"/>
    <s v="Hourly"/>
    <n v="46"/>
    <x v="5"/>
    <x v="387"/>
    <n v="7"/>
    <n v="69.98"/>
    <d v="1899-12-30T03:49:00"/>
    <n v="3.8166666666666664"/>
    <n v="3.75"/>
    <x v="0"/>
    <s v="Brunswick/Bath/Freeport"/>
    <n v="2"/>
  </r>
  <r>
    <n v="929"/>
    <s v="UE"/>
    <s v="Order"/>
    <n v="46"/>
    <x v="0"/>
    <x v="388"/>
    <n v="1"/>
    <n v="23.08"/>
    <d v="1899-12-30T01:58:00"/>
    <n v="1.9666666666666668"/>
    <n v="2"/>
    <x v="0"/>
    <s v="Lewiston"/>
    <n v="3"/>
  </r>
  <r>
    <n v="930"/>
    <s v="DD"/>
    <s v="Hourly"/>
    <n v="46"/>
    <x v="0"/>
    <x v="388"/>
    <n v="14"/>
    <n v="115.28"/>
    <d v="1899-12-30T06:33:00"/>
    <n v="6.5499999999999989"/>
    <n v="6.5"/>
    <x v="0"/>
    <s v="Lewiston"/>
    <n v="3"/>
  </r>
  <r>
    <n v="931"/>
    <s v="UE"/>
    <s v="Order"/>
    <n v="46"/>
    <x v="1"/>
    <x v="389"/>
    <n v="10"/>
    <n v="84.63"/>
    <d v="1899-12-30T04:34:00"/>
    <n v="4.5666666666666664"/>
    <n v="4.5"/>
    <x v="0"/>
    <s v="Portland"/>
    <n v="4"/>
  </r>
  <r>
    <n v="932"/>
    <s v="DD"/>
    <s v="Hourly"/>
    <n v="46"/>
    <x v="1"/>
    <x v="389"/>
    <n v="3"/>
    <n v="28.87"/>
    <d v="1899-12-30T02:53:00"/>
    <n v="2.8833333333333333"/>
    <n v="3"/>
    <x v="0"/>
    <s v="Portland"/>
    <n v="4"/>
  </r>
  <r>
    <n v="933"/>
    <s v="UE"/>
    <s v="Order"/>
    <n v="46"/>
    <x v="2"/>
    <x v="390"/>
    <n v="4"/>
    <n v="51.49"/>
    <d v="1899-12-30T02:07:00"/>
    <n v="2.1166666666666667"/>
    <n v="2"/>
    <x v="0"/>
    <s v="Brunswick/Bath/Freeport"/>
    <n v="2"/>
  </r>
  <r>
    <n v="934"/>
    <s v="DD"/>
    <s v="Hourly"/>
    <n v="46"/>
    <x v="2"/>
    <x v="390"/>
    <n v="12"/>
    <n v="107.7"/>
    <d v="1899-12-30T05:34:00"/>
    <n v="5.5666666666666664"/>
    <n v="5.5"/>
    <x v="0"/>
    <s v="Brunswick/Bath/Freeport"/>
    <n v="2"/>
  </r>
  <r>
    <n v="935"/>
    <s v="UE"/>
    <s v="Order"/>
    <n v="47"/>
    <x v="3"/>
    <x v="391"/>
    <n v="6"/>
    <n v="110.38"/>
    <d v="1899-12-30T03:30:00"/>
    <n v="3.5"/>
    <n v="3.5"/>
    <x v="0"/>
    <s v="Augusta"/>
    <n v="1"/>
  </r>
  <r>
    <n v="936"/>
    <s v="DD"/>
    <s v="Hourly"/>
    <n v="47"/>
    <x v="3"/>
    <x v="391"/>
    <n v="2"/>
    <n v="14.78"/>
    <d v="1899-12-30T01:45:00"/>
    <n v="1.75"/>
    <n v="1.75"/>
    <x v="0"/>
    <s v="Augusta"/>
    <n v="1"/>
  </r>
  <r>
    <n v="937"/>
    <s v="DD"/>
    <s v="Hourly"/>
    <n v="47"/>
    <x v="3"/>
    <x v="391"/>
    <n v="2"/>
    <n v="18.91"/>
    <d v="1899-12-30T00:47:00"/>
    <n v="0.78333333333333344"/>
    <n v="0.75"/>
    <x v="2"/>
    <s v="Augusta"/>
    <n v="1"/>
  </r>
  <r>
    <n v="938"/>
    <s v="UE"/>
    <s v="Order"/>
    <n v="47"/>
    <x v="4"/>
    <x v="392"/>
    <n v="3"/>
    <n v="35.06"/>
    <d v="1899-12-30T02:06:00"/>
    <n v="2.1"/>
    <n v="2"/>
    <x v="0"/>
    <s v="Brunswick/Bath/Freeport"/>
    <n v="2"/>
  </r>
  <r>
    <n v="939"/>
    <s v="DD"/>
    <s v="Hourly"/>
    <n v="47"/>
    <x v="4"/>
    <x v="392"/>
    <n v="5"/>
    <n v="46.56"/>
    <d v="1899-12-30T03:31:00"/>
    <n v="3.5166666666666666"/>
    <n v="3.5"/>
    <x v="0"/>
    <s v="Brunswick/Bath/Freeport"/>
    <n v="2"/>
  </r>
  <r>
    <n v="940"/>
    <s v="UE"/>
    <s v="Order"/>
    <n v="47"/>
    <x v="6"/>
    <x v="393"/>
    <n v="1"/>
    <n v="3.05"/>
    <d v="1899-12-30T00:43:00"/>
    <n v="0.71666666666666667"/>
    <n v="0.75"/>
    <x v="0"/>
    <s v="Lewiston"/>
    <n v="3"/>
  </r>
  <r>
    <n v="941"/>
    <s v="DD"/>
    <s v="Hourly"/>
    <n v="47"/>
    <x v="6"/>
    <x v="393"/>
    <n v="4"/>
    <n v="24.35"/>
    <d v="1899-12-30T02:04:00"/>
    <n v="2.0666666666666669"/>
    <n v="2"/>
    <x v="0"/>
    <s v="Lewiston"/>
    <n v="3"/>
  </r>
  <r>
    <n v="942"/>
    <s v="UE"/>
    <s v="Order"/>
    <n v="47"/>
    <x v="0"/>
    <x v="394"/>
    <n v="2"/>
    <n v="16.77"/>
    <d v="1899-12-30T01:01:00"/>
    <n v="1.0166666666666666"/>
    <n v="1"/>
    <x v="0"/>
    <s v="Brunswick/Bath/Freeport"/>
    <n v="2"/>
  </r>
  <r>
    <n v="943"/>
    <s v="UE"/>
    <s v="Order"/>
    <n v="48"/>
    <x v="3"/>
    <x v="395"/>
    <n v="2"/>
    <n v="19.350000000000001"/>
    <d v="1899-12-30T02:09:00"/>
    <n v="2.15"/>
    <n v="2.25"/>
    <x v="0"/>
    <s v="Augusta"/>
    <n v="1"/>
  </r>
  <r>
    <n v="944"/>
    <s v="DD"/>
    <s v="Hourly"/>
    <n v="48"/>
    <x v="3"/>
    <x v="395"/>
    <n v="8"/>
    <n v="94.06"/>
    <d v="1899-12-30T03:55:00"/>
    <n v="3.916666666666667"/>
    <n v="4"/>
    <x v="0"/>
    <s v="Augusta"/>
    <n v="1"/>
  </r>
  <r>
    <n v="945"/>
    <s v="UE"/>
    <s v="Order"/>
    <n v="48"/>
    <x v="4"/>
    <x v="396"/>
    <n v="2"/>
    <n v="12.27"/>
    <d v="1899-12-30T01:37:00"/>
    <n v="1.6166666666666667"/>
    <n v="1.5"/>
    <x v="0"/>
    <s v="Lewiston"/>
    <n v="3"/>
  </r>
  <r>
    <n v="946"/>
    <s v="DD"/>
    <s v="Hourly"/>
    <n v="48"/>
    <x v="4"/>
    <x v="396"/>
    <n v="7"/>
    <n v="61.23"/>
    <d v="1899-12-30T03:59:00"/>
    <n v="3.9833333333333334"/>
    <n v="4"/>
    <x v="0"/>
    <s v="Lewiston"/>
    <n v="3"/>
  </r>
  <r>
    <n v="947"/>
    <s v="UE"/>
    <s v="Order"/>
    <n v="48"/>
    <x v="5"/>
    <x v="397"/>
    <n v="3"/>
    <n v="32.18"/>
    <d v="1899-12-30T01:49:00"/>
    <n v="1.8166666666666664"/>
    <n v="1.75"/>
    <x v="0"/>
    <s v="Brunswick/Bath/Freeport"/>
    <n v="2"/>
  </r>
  <r>
    <n v="948"/>
    <s v="UE"/>
    <s v="Order"/>
    <n v="48"/>
    <x v="0"/>
    <x v="398"/>
    <n v="6"/>
    <n v="100.39"/>
    <d v="1899-12-30T03:57:00"/>
    <n v="3.95"/>
    <n v="4"/>
    <x v="0"/>
    <s v="Brunswick/Bath/Freeport"/>
    <n v="2"/>
  </r>
  <r>
    <n v="949"/>
    <s v="DD"/>
    <s v="Hourly"/>
    <n v="48"/>
    <x v="0"/>
    <x v="398"/>
    <n v="2"/>
    <n v="10.44"/>
    <d v="1899-12-30T00:45:00"/>
    <n v="0.75"/>
    <n v="0.75"/>
    <x v="0"/>
    <s v="Brunswick/Bath/Freeport"/>
    <n v="2"/>
  </r>
  <r>
    <n v="950"/>
    <s v="DD"/>
    <s v="Hourly"/>
    <n v="48"/>
    <x v="0"/>
    <x v="398"/>
    <n v="7"/>
    <n v="67.92"/>
    <d v="1899-12-30T02:36:00"/>
    <n v="2.6"/>
    <n v="2.5"/>
    <x v="0"/>
    <s v="Brunswick/Bath/Freeport"/>
    <n v="2"/>
  </r>
  <r>
    <n v="951"/>
    <s v="UE"/>
    <s v="Order"/>
    <n v="49"/>
    <x v="3"/>
    <x v="399"/>
    <n v="3"/>
    <n v="50.71"/>
    <d v="1899-12-30T01:57:00"/>
    <n v="1.9500000000000002"/>
    <n v="2"/>
    <x v="0"/>
    <s v="Brunswick/Bath/Freeport"/>
    <n v="2"/>
  </r>
  <r>
    <n v="952"/>
    <s v="DD"/>
    <s v="Order"/>
    <n v="49"/>
    <x v="3"/>
    <x v="399"/>
    <n v="3"/>
    <n v="36.25"/>
    <d v="1899-12-30T01:09:00"/>
    <n v="1.1499999999999999"/>
    <n v="1.25"/>
    <x v="0"/>
    <s v="Brunswick/Bath/Freeport"/>
    <n v="2"/>
  </r>
  <r>
    <n v="953"/>
    <s v="DD"/>
    <s v="Order"/>
    <n v="49"/>
    <x v="3"/>
    <x v="399"/>
    <n v="3"/>
    <n v="25.25"/>
    <d v="1899-12-30T01:10:00"/>
    <n v="1.1666666666666667"/>
    <n v="1.25"/>
    <x v="0"/>
    <s v="Brunswick/Bath/Freeport"/>
    <n v="2"/>
  </r>
  <r>
    <n v="954"/>
    <s v="UE"/>
    <s v="Order"/>
    <n v="49"/>
    <x v="4"/>
    <x v="400"/>
    <n v="6"/>
    <n v="112.54"/>
    <d v="1899-12-30T04:27:00"/>
    <n v="4.45"/>
    <n v="4.5"/>
    <x v="0"/>
    <s v="Brunswick/Bath/Freeport"/>
    <n v="2"/>
  </r>
  <r>
    <n v="955"/>
    <s v="DD"/>
    <s v="Hourly"/>
    <n v="49"/>
    <x v="4"/>
    <x v="400"/>
    <n v="2"/>
    <n v="40.869999999999997"/>
    <d v="1899-12-30T01:56:00"/>
    <n v="1.9333333333333336"/>
    <n v="2"/>
    <x v="0"/>
    <s v="Brunswick/Bath/Freeport"/>
    <n v="2"/>
  </r>
  <r>
    <n v="956"/>
    <s v="UE"/>
    <s v="Order"/>
    <n v="49"/>
    <x v="6"/>
    <x v="401"/>
    <n v="3"/>
    <n v="25.63"/>
    <d v="1899-12-30T02:09:00"/>
    <n v="2.15"/>
    <n v="2.25"/>
    <x v="0"/>
    <s v="Portland"/>
    <n v="4"/>
  </r>
  <r>
    <n v="957"/>
    <s v="DD"/>
    <s v="Hourly"/>
    <n v="49"/>
    <x v="6"/>
    <x v="401"/>
    <n v="5"/>
    <n v="42.5"/>
    <d v="1899-12-30T03:25:00"/>
    <n v="3.4166666666666665"/>
    <n v="3.5"/>
    <x v="0"/>
    <s v="Portland"/>
    <n v="4"/>
  </r>
  <r>
    <n v="958"/>
    <s v="UE"/>
    <s v="Order"/>
    <n v="50"/>
    <x v="5"/>
    <x v="402"/>
    <n v="2"/>
    <n v="14.65"/>
    <d v="1899-12-30T01:37:00"/>
    <n v="1.6166666666666667"/>
    <n v="1.5"/>
    <x v="0"/>
    <s v="Portland"/>
    <n v="4"/>
  </r>
  <r>
    <n v="959"/>
    <s v="DD"/>
    <s v="Hourly"/>
    <n v="50"/>
    <x v="5"/>
    <x v="402"/>
    <n v="5"/>
    <n v="61.5"/>
    <d v="1899-12-30T03:42:00"/>
    <n v="3.7"/>
    <n v="3.75"/>
    <x v="0"/>
    <s v="Portland"/>
    <n v="4"/>
  </r>
  <r>
    <n v="960"/>
    <s v="UE"/>
    <s v="Order"/>
    <n v="50"/>
    <x v="6"/>
    <x v="403"/>
    <n v="5"/>
    <n v="68.91"/>
    <d v="1899-12-30T02:51:00"/>
    <n v="2.85"/>
    <n v="2.75"/>
    <x v="0"/>
    <s v="Brunswick/Bath/Freeport"/>
    <n v="2"/>
  </r>
  <r>
    <n v="961"/>
    <s v="DD"/>
    <s v="Hourly"/>
    <n v="50"/>
    <x v="6"/>
    <x v="403"/>
    <n v="4"/>
    <n v="43.97"/>
    <d v="1899-12-30T02:24:00"/>
    <n v="2.4"/>
    <n v="2.5"/>
    <x v="0"/>
    <s v="Brunswick/Bath/Freeport"/>
    <n v="2"/>
  </r>
  <r>
    <n v="962"/>
    <s v="UE"/>
    <s v="Order"/>
    <n v="50"/>
    <x v="0"/>
    <x v="404"/>
    <n v="5"/>
    <n v="46.79"/>
    <d v="1899-12-30T02:50:00"/>
    <n v="2.8333333333333335"/>
    <n v="2.75"/>
    <x v="0"/>
    <s v="Portland"/>
    <n v="4"/>
  </r>
  <r>
    <n v="963"/>
    <s v="DD"/>
    <s v="Hourly"/>
    <n v="50"/>
    <x v="0"/>
    <x v="404"/>
    <n v="1"/>
    <n v="7.55"/>
    <d v="1899-12-30T01:31:00"/>
    <n v="1.5166666666666666"/>
    <n v="1.5"/>
    <x v="0"/>
    <s v="Portland"/>
    <n v="4"/>
  </r>
  <r>
    <n v="964"/>
    <s v="DD"/>
    <s v="Hourly"/>
    <n v="50"/>
    <x v="1"/>
    <x v="405"/>
    <n v="7"/>
    <n v="38.44"/>
    <d v="1899-12-30T02:41:00"/>
    <n v="2.6833333333333336"/>
    <n v="2.75"/>
    <x v="0"/>
    <s v="Lewiston"/>
    <n v="3"/>
  </r>
  <r>
    <n v="965"/>
    <s v="UE"/>
    <s v="Order"/>
    <n v="51"/>
    <x v="6"/>
    <x v="406"/>
    <n v="7"/>
    <n v="97.37"/>
    <d v="1899-12-30T04:25:00"/>
    <n v="4.416666666666667"/>
    <n v="4.5"/>
    <x v="0"/>
    <s v="Brunswick/Bath/Freeport"/>
    <n v="2"/>
  </r>
  <r>
    <n v="966"/>
    <s v="DD"/>
    <s v="Hourly"/>
    <n v="51"/>
    <x v="6"/>
    <x v="406"/>
    <n v="2"/>
    <n v="17.37"/>
    <d v="1899-12-30T00:44:00"/>
    <n v="0.73333333333333328"/>
    <n v="0.75"/>
    <x v="0"/>
    <s v="Brunswick/Bath/Freeport"/>
    <n v="2"/>
  </r>
  <r>
    <n v="967"/>
    <s v="DD"/>
    <s v="Hourly"/>
    <n v="51"/>
    <x v="6"/>
    <x v="406"/>
    <n v="1"/>
    <n v="13.42"/>
    <d v="1899-12-30T00:42:00"/>
    <n v="0.7"/>
    <n v="0.75"/>
    <x v="2"/>
    <s v="Brunswick/Bath/Freeport"/>
    <n v="2"/>
  </r>
  <r>
    <n v="968"/>
    <s v="DD"/>
    <s v="Order"/>
    <n v="51"/>
    <x v="6"/>
    <x v="406"/>
    <n v="2"/>
    <n v="38.5"/>
    <d v="1899-12-30T01:27:00"/>
    <n v="1.45"/>
    <n v="1.5"/>
    <x v="2"/>
    <s v="Brunswick/Bath/Freeport"/>
    <n v="2"/>
  </r>
  <r>
    <n v="969"/>
    <s v="UE"/>
    <s v="Order"/>
    <n v="51"/>
    <x v="1"/>
    <x v="407"/>
    <n v="2"/>
    <n v="29.1"/>
    <d v="1899-12-30T02:12:00"/>
    <n v="2.2000000000000002"/>
    <n v="2.25"/>
    <x v="0"/>
    <s v="Augusta"/>
    <n v="1"/>
  </r>
  <r>
    <n v="970"/>
    <s v="DD"/>
    <s v="Hourly"/>
    <n v="51"/>
    <x v="1"/>
    <x v="407"/>
    <n v="4"/>
    <n v="35.619999999999997"/>
    <d v="1899-12-30T02:17:00"/>
    <n v="2.2833333333333332"/>
    <n v="2.25"/>
    <x v="0"/>
    <s v="Augusta"/>
    <n v="1"/>
  </r>
  <r>
    <n v="971"/>
    <s v="DD"/>
    <s v="Hourly"/>
    <n v="52"/>
    <x v="3"/>
    <x v="408"/>
    <n v="3"/>
    <n v="44.82"/>
    <d v="1899-12-30T02:06:00"/>
    <n v="2.1"/>
    <n v="2"/>
    <x v="0"/>
    <s v="Brunswick/Bath/Freeport"/>
    <n v="2"/>
  </r>
  <r>
    <n v="972"/>
    <s v="DD"/>
    <s v="Hourly"/>
    <n v="52"/>
    <x v="3"/>
    <x v="408"/>
    <n v="3"/>
    <n v="21.84"/>
    <d v="1899-12-30T01:08:00"/>
    <n v="1.1333333333333333"/>
    <n v="1.25"/>
    <x v="0"/>
    <s v="Brunswick/Bath/Freeport"/>
    <n v="2"/>
  </r>
  <r>
    <n v="973"/>
    <s v="DD"/>
    <s v="Hourly"/>
    <n v="52"/>
    <x v="3"/>
    <x v="408"/>
    <n v="2"/>
    <n v="21.1"/>
    <d v="1899-12-30T01:02:00"/>
    <n v="1.0333333333333334"/>
    <n v="1"/>
    <x v="2"/>
    <s v="Brunswick/Bath/Freeport"/>
    <n v="2"/>
  </r>
  <r>
    <n v="974"/>
    <s v="UE"/>
    <s v="Order"/>
    <n v="52"/>
    <x v="0"/>
    <x v="409"/>
    <n v="6"/>
    <n v="84.94"/>
    <d v="1899-12-30T03:19:00"/>
    <n v="3.3166666666666664"/>
    <n v="3.25"/>
    <x v="0"/>
    <s v="Brunswick/Bath/Freeport"/>
    <n v="2"/>
  </r>
  <r>
    <n v="975"/>
    <s v="DD"/>
    <s v="Hourly"/>
    <n v="52"/>
    <x v="0"/>
    <x v="409"/>
    <n v="3"/>
    <n v="31.37"/>
    <d v="1899-12-30T01:27:00"/>
    <n v="1.45"/>
    <n v="1.5"/>
    <x v="0"/>
    <s v="Brunswick/Bath/Freeport"/>
    <n v="2"/>
  </r>
  <r>
    <n v="976"/>
    <s v="DD"/>
    <s v="Hourly"/>
    <n v="52"/>
    <x v="0"/>
    <x v="409"/>
    <n v="1"/>
    <n v="6.73"/>
    <d v="1899-12-30T00:46:00"/>
    <n v="0.76666666666666683"/>
    <n v="0.75"/>
    <x v="2"/>
    <s v="Brunswick/Bath/Freeport"/>
    <n v="2"/>
  </r>
  <r>
    <n v="977"/>
    <s v="UE"/>
    <s v="Order"/>
    <n v="52"/>
    <x v="1"/>
    <x v="410"/>
    <n v="3"/>
    <n v="40.270000000000003"/>
    <d v="1899-12-30T02:21:00"/>
    <n v="2.35"/>
    <n v="2.25"/>
    <x v="0"/>
    <s v="Brunswick/Bath/Freeport"/>
    <n v="2"/>
  </r>
  <r>
    <n v="978"/>
    <s v="DD"/>
    <s v="Hourly"/>
    <n v="52"/>
    <x v="1"/>
    <x v="410"/>
    <n v="4"/>
    <n v="42.83"/>
    <d v="1899-12-30T02:42:00"/>
    <n v="2.7"/>
    <n v="2.75"/>
    <x v="0"/>
    <s v="Brunswick/Bath/Freeport"/>
    <n v="2"/>
  </r>
  <r>
    <n v="979"/>
    <s v="UE"/>
    <s v="Order"/>
    <n v="52"/>
    <x v="2"/>
    <x v="411"/>
    <n v="1"/>
    <n v="13.09"/>
    <d v="1899-12-30T00:54:00"/>
    <n v="0.89999999999999991"/>
    <n v="1"/>
    <x v="1"/>
    <s v="Brunswick/Bath/Freeport"/>
    <n v="2"/>
  </r>
  <r>
    <n v="980"/>
    <s v="DD"/>
    <s v="Hourly"/>
    <n v="52"/>
    <x v="2"/>
    <x v="411"/>
    <n v="1"/>
    <n v="12.99"/>
    <d v="1899-12-30T01:35:00"/>
    <n v="1.5833333333333335"/>
    <n v="1.5"/>
    <x v="1"/>
    <s v="Brunswick/Bath/Freeport"/>
    <n v="2"/>
  </r>
  <r>
    <n v="981"/>
    <s v="UE"/>
    <s v="Order"/>
    <n v="53"/>
    <x v="5"/>
    <x v="412"/>
    <n v="3"/>
    <n v="52.12"/>
    <d v="1899-12-30T02:42:00"/>
    <n v="2.7"/>
    <n v="2.75"/>
    <x v="0"/>
    <s v="Brunswick/Bath/Freeport"/>
    <n v="2"/>
  </r>
  <r>
    <n v="982"/>
    <s v="DD"/>
    <s v="Order"/>
    <n v="53"/>
    <x v="5"/>
    <x v="412"/>
    <n v="3"/>
    <n v="14.53"/>
    <d v="1899-12-30T00:49:00"/>
    <n v="0.81666666666666665"/>
    <n v="0.75"/>
    <x v="0"/>
    <s v="Brunswick/Bath/Freeport"/>
    <n v="2"/>
  </r>
  <r>
    <n v="983"/>
    <s v="DD"/>
    <s v="Hourly"/>
    <n v="53"/>
    <x v="5"/>
    <x v="412"/>
    <n v="2"/>
    <n v="32.909999999999997"/>
    <d v="1899-12-30T01:02:00"/>
    <n v="1.0333333333333334"/>
    <n v="1"/>
    <x v="0"/>
    <s v="Brunswick/Bath/Freeport"/>
    <n v="2"/>
  </r>
  <r>
    <n v="984"/>
    <s v="UE"/>
    <s v="Order"/>
    <n v="53"/>
    <x v="0"/>
    <x v="413"/>
    <n v="6"/>
    <n v="91.8"/>
    <d v="1899-12-30T03:42:00"/>
    <n v="3.7"/>
    <n v="3.75"/>
    <x v="0"/>
    <s v="Brunswick/Bath/Freeport"/>
    <n v="2"/>
  </r>
  <r>
    <n v="985"/>
    <s v="DD"/>
    <s v="Hourly"/>
    <n v="53"/>
    <x v="0"/>
    <x v="413"/>
    <n v="1"/>
    <n v="11.59"/>
    <d v="1899-12-30T00:52:00"/>
    <n v="0.8666666666666667"/>
    <n v="0.75"/>
    <x v="0"/>
    <s v="Brunswick/Bath/Freeport"/>
    <n v="2"/>
  </r>
  <r>
    <n v="986"/>
    <s v="DD"/>
    <s v="Hourly"/>
    <n v="53"/>
    <x v="0"/>
    <x v="413"/>
    <n v="2"/>
    <n v="23.83"/>
    <d v="1899-12-30T00:55:00"/>
    <n v="0.91666666666666652"/>
    <n v="1"/>
    <x v="0"/>
    <s v="Brunswick/Bath/Freeport"/>
    <n v="2"/>
  </r>
  <r>
    <n v="987"/>
    <s v="DD"/>
    <s v="Hourly"/>
    <n v="53"/>
    <x v="0"/>
    <x v="413"/>
    <n v="5"/>
    <n v="51.07"/>
    <d v="1899-12-30T02:16:00"/>
    <n v="2.2666666666666666"/>
    <n v="2.25"/>
    <x v="2"/>
    <s v="Brunswick/Bath/Freeport"/>
    <n v="2"/>
  </r>
  <r>
    <n v="988"/>
    <s v="UE"/>
    <s v="Order"/>
    <n v="1"/>
    <x v="3"/>
    <x v="414"/>
    <n v="5"/>
    <n v="45.19"/>
    <d v="1899-12-30T02:32:00"/>
    <n v="2.5333333333333332"/>
    <n v="2.5"/>
    <x v="0"/>
    <s v="Portland"/>
    <n v="4"/>
  </r>
  <r>
    <n v="989"/>
    <s v="DD"/>
    <s v="Hourly"/>
    <n v="1"/>
    <x v="3"/>
    <x v="414"/>
    <n v="1"/>
    <n v="11.54"/>
    <d v="1899-12-30T00:32:00"/>
    <n v="0.53333333333333333"/>
    <n v="0.5"/>
    <x v="0"/>
    <s v="Portland"/>
    <n v="4"/>
  </r>
  <r>
    <n v="990"/>
    <s v="DD"/>
    <s v="Hourly"/>
    <n v="1"/>
    <x v="3"/>
    <x v="414"/>
    <n v="1"/>
    <n v="5.27"/>
    <d v="1899-12-30T00:50:00"/>
    <n v="0.83333333333333337"/>
    <n v="0.75"/>
    <x v="2"/>
    <s v="Portland"/>
    <n v="4"/>
  </r>
  <r>
    <n v="991"/>
    <s v="UE"/>
    <s v="Order"/>
    <n v="1"/>
    <x v="4"/>
    <x v="415"/>
    <n v="6"/>
    <n v="71.77"/>
    <d v="1899-12-30T03:09:00"/>
    <n v="3.1500000000000004"/>
    <n v="3.25"/>
    <x v="0"/>
    <s v="Portland"/>
    <n v="4"/>
  </r>
  <r>
    <n v="992"/>
    <s v="DD"/>
    <s v="Hourly"/>
    <n v="1"/>
    <x v="4"/>
    <x v="415"/>
    <n v="1"/>
    <n v="11.26"/>
    <d v="1899-12-30T00:25:00"/>
    <n v="0.41666666666666669"/>
    <n v="0.5"/>
    <x v="0"/>
    <s v="Portland"/>
    <n v="4"/>
  </r>
  <r>
    <n v="993"/>
    <s v="UE"/>
    <s v="Order"/>
    <n v="1"/>
    <x v="5"/>
    <x v="416"/>
    <n v="4"/>
    <n v="53.99"/>
    <d v="1899-12-30T02:02:00"/>
    <n v="2.0333333333333332"/>
    <n v="2"/>
    <x v="0"/>
    <s v="Brunswick/Bath/Freeport"/>
    <n v="2"/>
  </r>
  <r>
    <n v="994"/>
    <s v="DD"/>
    <s v="Hourly"/>
    <n v="1"/>
    <x v="5"/>
    <x v="416"/>
    <n v="5"/>
    <n v="38.020000000000003"/>
    <d v="1899-12-30T01:31:00"/>
    <n v="1.5166666666666666"/>
    <n v="1.5"/>
    <x v="0"/>
    <s v="Brunswick/Bath/Freeport"/>
    <n v="2"/>
  </r>
  <r>
    <n v="995"/>
    <s v="UE"/>
    <s v="Order"/>
    <n v="1"/>
    <x v="0"/>
    <x v="417"/>
    <n v="4"/>
    <n v="44"/>
    <d v="1899-12-30T02:56:00"/>
    <n v="2.9333333333333336"/>
    <n v="3"/>
    <x v="0"/>
    <s v="Brunswick/Bath/Freeport"/>
    <n v="2"/>
  </r>
  <r>
    <n v="996"/>
    <s v="UE"/>
    <s v="Order"/>
    <n v="1"/>
    <x v="1"/>
    <x v="418"/>
    <n v="4"/>
    <n v="36.24"/>
    <d v="1899-12-30T03:12:00"/>
    <n v="3.2"/>
    <n v="3.25"/>
    <x v="0"/>
    <s v="Portland"/>
    <n v="4"/>
  </r>
  <r>
    <n v="997"/>
    <s v="DD"/>
    <s v="Hourly"/>
    <n v="1"/>
    <x v="1"/>
    <x v="418"/>
    <n v="1"/>
    <n v="12.93"/>
    <d v="1899-12-30T00:39:00"/>
    <n v="0.65"/>
    <n v="0.75"/>
    <x v="0"/>
    <s v="Portland"/>
    <n v="4"/>
  </r>
  <r>
    <n v="998"/>
    <s v="DD"/>
    <s v="Hourly"/>
    <n v="1"/>
    <x v="1"/>
    <x v="418"/>
    <n v="4"/>
    <n v="69.61"/>
    <d v="1899-12-30T01:55:00"/>
    <n v="1.9166666666666665"/>
    <n v="2"/>
    <x v="0"/>
    <s v="Portland"/>
    <n v="4"/>
  </r>
  <r>
    <n v="999"/>
    <s v="DD"/>
    <s v="Hourly"/>
    <n v="1"/>
    <x v="1"/>
    <x v="418"/>
    <n v="1"/>
    <n v="16.63"/>
    <d v="1899-12-30T00:22:00"/>
    <n v="0.36666666666666664"/>
    <n v="0.25"/>
    <x v="0"/>
    <s v="Portland"/>
    <n v="4"/>
  </r>
  <r>
    <n v="1000"/>
    <s v="UE"/>
    <s v="Order"/>
    <n v="1"/>
    <x v="2"/>
    <x v="419"/>
    <n v="4"/>
    <n v="53.84"/>
    <d v="1899-12-30T02:09:00"/>
    <n v="2.15"/>
    <n v="2.25"/>
    <x v="1"/>
    <s v="Brunswick/Bath/Freeport"/>
    <n v="2"/>
  </r>
  <r>
    <n v="1001"/>
    <s v="DD"/>
    <s v="Hourly"/>
    <n v="1"/>
    <x v="2"/>
    <x v="419"/>
    <n v="3"/>
    <n v="38.89"/>
    <d v="1899-12-30T03:13:00"/>
    <n v="3.2166666666666668"/>
    <n v="3.25"/>
    <x v="1"/>
    <s v="Brunswick/Bath/Freeport"/>
    <n v="2"/>
  </r>
  <r>
    <n v="1002"/>
    <s v="UE"/>
    <s v="Order"/>
    <n v="2"/>
    <x v="3"/>
    <x v="420"/>
    <n v="2"/>
    <n v="29.1"/>
    <d v="1899-12-30T01:33:00"/>
    <n v="1.5500000000000003"/>
    <n v="1.5"/>
    <x v="0"/>
    <s v="Brunswick/Bath/Freeport"/>
    <n v="2"/>
  </r>
  <r>
    <n v="1003"/>
    <s v="DD"/>
    <s v="Hourly"/>
    <n v="2"/>
    <x v="3"/>
    <x v="420"/>
    <n v="3"/>
    <n v="29.24"/>
    <d v="1899-12-30T01:26:00"/>
    <n v="1.4333333333333333"/>
    <n v="1.5"/>
    <x v="0"/>
    <s v="Brunswick/Bath/Freeport"/>
    <n v="2"/>
  </r>
  <r>
    <n v="1004"/>
    <s v="DD"/>
    <s v="Hourly"/>
    <n v="2"/>
    <x v="3"/>
    <x v="420"/>
    <n v="1"/>
    <n v="18.5"/>
    <d v="1899-12-30T00:38:00"/>
    <n v="0.6333333333333333"/>
    <n v="0.75"/>
    <x v="0"/>
    <s v="Brunswick/Bath/Freeport"/>
    <n v="2"/>
  </r>
  <r>
    <n v="1005"/>
    <s v="DD"/>
    <s v="Hourly"/>
    <n v="2"/>
    <x v="4"/>
    <x v="421"/>
    <n v="4"/>
    <n v="48.6"/>
    <d v="1899-12-30T02:17:00"/>
    <n v="2.2833333333333332"/>
    <n v="2.25"/>
    <x v="0"/>
    <s v="Brunswick/Bath/Freeport"/>
    <n v="2"/>
  </r>
  <r>
    <n v="1006"/>
    <s v="DD"/>
    <s v="Hourly"/>
    <n v="2"/>
    <x v="4"/>
    <x v="421"/>
    <n v="1"/>
    <n v="17.690000000000001"/>
    <d v="1899-12-30T00:30:00"/>
    <n v="0.5"/>
    <n v="0.5"/>
    <x v="0"/>
    <s v="Brunswick/Bath/Freeport"/>
    <n v="2"/>
  </r>
  <r>
    <n v="1007"/>
    <s v="DD"/>
    <s v="Hourly"/>
    <n v="2"/>
    <x v="5"/>
    <x v="422"/>
    <n v="2"/>
    <n v="19.37"/>
    <d v="1899-12-30T00:45:00"/>
    <n v="0.75"/>
    <n v="0.75"/>
    <x v="0"/>
    <s v="Brunswick/Bath/Freeport"/>
    <n v="2"/>
  </r>
  <r>
    <n v="1008"/>
    <s v="UE"/>
    <s v="Order"/>
    <n v="2"/>
    <x v="6"/>
    <x v="423"/>
    <n v="4"/>
    <n v="61.35"/>
    <d v="1899-12-30T02:52:00"/>
    <n v="2.8666666666666667"/>
    <n v="2.75"/>
    <x v="0"/>
    <s v="Augusta"/>
    <n v="1"/>
  </r>
  <r>
    <n v="1009"/>
    <s v="DD"/>
    <s v="Hourly"/>
    <n v="2"/>
    <x v="6"/>
    <x v="423"/>
    <n v="1"/>
    <n v="10.81"/>
    <d v="1899-12-30T00:46:00"/>
    <n v="0.76666666666666683"/>
    <n v="0.75"/>
    <x v="0"/>
    <s v="Augusta"/>
    <n v="1"/>
  </r>
  <r>
    <n v="1010"/>
    <s v="DD"/>
    <s v="Hourly"/>
    <n v="2"/>
    <x v="1"/>
    <x v="424"/>
    <n v="6"/>
    <n v="56.12"/>
    <d v="1899-12-30T02:12:00"/>
    <n v="2.2000000000000002"/>
    <n v="2.25"/>
    <x v="0"/>
    <s v="Lewiston"/>
    <n v="3"/>
  </r>
  <r>
    <n v="1011"/>
    <s v="UE"/>
    <s v="Order"/>
    <n v="2"/>
    <x v="2"/>
    <x v="425"/>
    <n v="3"/>
    <n v="34.57"/>
    <d v="1899-12-30T02:16:00"/>
    <n v="2.2666666666666666"/>
    <n v="2.25"/>
    <x v="0"/>
    <s v="Brunswick/Bath/Freeport"/>
    <n v="2"/>
  </r>
  <r>
    <n v="1012"/>
    <s v="DD"/>
    <s v="Hourly"/>
    <n v="2"/>
    <x v="2"/>
    <x v="425"/>
    <n v="2"/>
    <n v="27.19"/>
    <d v="1899-12-30T00:38:00"/>
    <n v="0.6333333333333333"/>
    <n v="0.75"/>
    <x v="0"/>
    <s v="Brunswick/Bath/Freeport"/>
    <n v="2"/>
  </r>
  <r>
    <n v="1013"/>
    <s v="DD"/>
    <s v="Hourly"/>
    <n v="2"/>
    <x v="2"/>
    <x v="425"/>
    <n v="2"/>
    <n v="23.75"/>
    <d v="1899-12-30T00:32:00"/>
    <n v="0.53333333333333333"/>
    <n v="0.5"/>
    <x v="0"/>
    <s v="Brunswick/Bath/Freeport"/>
    <n v="2"/>
  </r>
  <r>
    <n v="1014"/>
    <s v="UE"/>
    <s v="Order"/>
    <n v="3"/>
    <x v="3"/>
    <x v="426"/>
    <n v="1"/>
    <n v="11.07"/>
    <d v="1899-12-30T01:13:00"/>
    <n v="1.2166666666666668"/>
    <n v="1.25"/>
    <x v="0"/>
    <s v="Brunswick/Bath/Freeport"/>
    <n v="2"/>
  </r>
  <r>
    <n v="1015"/>
    <s v="DD"/>
    <s v="Hourly"/>
    <n v="3"/>
    <x v="3"/>
    <x v="426"/>
    <n v="2"/>
    <n v="29.03"/>
    <d v="1899-12-30T00:56:00"/>
    <n v="0.93333333333333335"/>
    <n v="1"/>
    <x v="0"/>
    <s v="Brunswick/Bath/Freeport"/>
    <n v="2"/>
  </r>
  <r>
    <n v="1016"/>
    <s v="DD"/>
    <s v="Hourly"/>
    <n v="3"/>
    <x v="3"/>
    <x v="426"/>
    <n v="4"/>
    <n v="33.130000000000003"/>
    <d v="1899-12-30T01:17:00"/>
    <n v="1.2833333333333332"/>
    <n v="1.25"/>
    <x v="0"/>
    <s v="Brunswick/Bath/Freeport"/>
    <n v="2"/>
  </r>
  <r>
    <n v="1017"/>
    <s v="DD"/>
    <s v="Hourly"/>
    <n v="3"/>
    <x v="3"/>
    <x v="426"/>
    <n v="1"/>
    <n v="8.9700000000000006"/>
    <d v="1899-12-30T00:31:00"/>
    <n v="0.51666666666666672"/>
    <n v="0.5"/>
    <x v="0"/>
    <s v="Brunswick/Bath/Freeport"/>
    <n v="2"/>
  </r>
  <r>
    <n v="1018"/>
    <s v="UE"/>
    <s v="Order"/>
    <n v="3"/>
    <x v="4"/>
    <x v="427"/>
    <n v="4"/>
    <n v="102.67"/>
    <d v="1899-12-30T03:00:00"/>
    <n v="3"/>
    <n v="3"/>
    <x v="0"/>
    <s v="Brunswick/Bath/Freeport"/>
    <n v="2"/>
  </r>
  <r>
    <n v="1019"/>
    <s v="DD"/>
    <s v="Hourly"/>
    <n v="3"/>
    <x v="4"/>
    <x v="427"/>
    <n v="3"/>
    <n v="52.57"/>
    <d v="1899-12-30T02:17:00"/>
    <n v="2.2833333333333332"/>
    <n v="2.25"/>
    <x v="0"/>
    <s v="Brunswick/Bath/Freeport"/>
    <n v="2"/>
  </r>
  <r>
    <n v="1020"/>
    <s v="DD"/>
    <s v="Hourly"/>
    <n v="3"/>
    <x v="4"/>
    <x v="427"/>
    <n v="2"/>
    <n v="22.25"/>
    <d v="1899-12-30T00:47:00"/>
    <n v="0.78333333333333344"/>
    <n v="0.75"/>
    <x v="2"/>
    <s v="Brunswick/Bath/Freeport"/>
    <n v="2"/>
  </r>
  <r>
    <n v="1021"/>
    <s v="UE"/>
    <s v="Order"/>
    <n v="3"/>
    <x v="1"/>
    <x v="428"/>
    <n v="2"/>
    <n v="20.12"/>
    <d v="1899-12-30T02:25:00"/>
    <n v="2.4166666666666665"/>
    <n v="2.5"/>
    <x v="0"/>
    <s v="Brunswick/Bath/Freeport"/>
    <n v="2"/>
  </r>
  <r>
    <n v="1022"/>
    <s v="DD"/>
    <s v="Hourly"/>
    <n v="3"/>
    <x v="1"/>
    <x v="428"/>
    <n v="6"/>
    <n v="43.79"/>
    <d v="1899-12-30T03:05:00"/>
    <n v="3.0833333333333339"/>
    <n v="3"/>
    <x v="0"/>
    <s v="Brunswick/Bath/Freeport"/>
    <n v="2"/>
  </r>
  <r>
    <n v="1023"/>
    <s v="DD"/>
    <s v="Hourly"/>
    <n v="3"/>
    <x v="1"/>
    <x v="428"/>
    <n v="4"/>
    <n v="33.49"/>
    <d v="1899-12-30T01:52:00"/>
    <n v="1.8666666666666667"/>
    <n v="1.75"/>
    <x v="2"/>
    <s v="Brunswick/Bath/Freeport"/>
    <n v="2"/>
  </r>
  <r>
    <n v="1024"/>
    <s v="UE"/>
    <s v="Order"/>
    <n v="4"/>
    <x v="3"/>
    <x v="429"/>
    <n v="1"/>
    <n v="11.08"/>
    <d v="1899-12-30T01:46:00"/>
    <n v="1.7666666666666666"/>
    <n v="1.75"/>
    <x v="0"/>
    <s v="Brunswick/Bath/Freeport"/>
    <n v="2"/>
  </r>
  <r>
    <n v="1025"/>
    <s v="DD"/>
    <s v="Hourly"/>
    <n v="4"/>
    <x v="3"/>
    <x v="429"/>
    <n v="3"/>
    <n v="47.36"/>
    <d v="1899-12-30T02:10:00"/>
    <n v="2.1666666666666665"/>
    <n v="2.25"/>
    <x v="0"/>
    <s v="Brunswick/Bath/Freeport"/>
    <n v="2"/>
  </r>
  <r>
    <n v="1026"/>
    <s v="DD"/>
    <s v="Hourly"/>
    <n v="4"/>
    <x v="3"/>
    <x v="429"/>
    <n v="1"/>
    <n v="8.26"/>
    <d v="1899-12-30T00:29:00"/>
    <n v="0.48333333333333339"/>
    <n v="0.5"/>
    <x v="0"/>
    <s v="Brunswick/Bath/Freeport"/>
    <n v="2"/>
  </r>
  <r>
    <n v="1027"/>
    <s v="DD"/>
    <s v="Order"/>
    <n v="4"/>
    <x v="3"/>
    <x v="429"/>
    <n v="2"/>
    <n v="15"/>
    <d v="1899-12-30T00:35:00"/>
    <n v="0.58333333333333337"/>
    <n v="0.5"/>
    <x v="0"/>
    <s v="Brunswick/Bath/Freeport"/>
    <n v="2"/>
  </r>
  <r>
    <n v="1028"/>
    <s v="DD"/>
    <s v="Hourly"/>
    <n v="4"/>
    <x v="3"/>
    <x v="429"/>
    <n v="2"/>
    <n v="16.62"/>
    <d v="1899-12-30T00:47:00"/>
    <n v="0.78333333333333344"/>
    <n v="0.75"/>
    <x v="2"/>
    <s v="Brunswick/Bath/Freeport"/>
    <n v="2"/>
  </r>
  <r>
    <n v="1029"/>
    <s v="UE"/>
    <s v="Order"/>
    <n v="4"/>
    <x v="4"/>
    <x v="430"/>
    <n v="2"/>
    <n v="16.97"/>
    <d v="1899-12-30T01:31:00"/>
    <n v="1.5166666666666666"/>
    <n v="1.5"/>
    <x v="0"/>
    <s v="Brunswick/Bath/Freeport"/>
    <n v="2"/>
  </r>
  <r>
    <n v="1030"/>
    <s v="DD"/>
    <s v="Hourly"/>
    <n v="4"/>
    <x v="4"/>
    <x v="430"/>
    <n v="3"/>
    <n v="25.37"/>
    <d v="1899-12-30T01:03:00"/>
    <n v="1.05"/>
    <n v="1"/>
    <x v="0"/>
    <s v="Brunswick/Bath/Freeport"/>
    <n v="2"/>
  </r>
  <r>
    <n v="1031"/>
    <s v="UE"/>
    <s v="Order"/>
    <n v="4"/>
    <x v="6"/>
    <x v="431"/>
    <n v="3"/>
    <n v="51.5"/>
    <d v="1899-12-30T02:40:00"/>
    <n v="2.6666666666666665"/>
    <n v="2.75"/>
    <x v="0"/>
    <s v="Brunswick/Bath/Freeport"/>
    <n v="2"/>
  </r>
  <r>
    <n v="1032"/>
    <s v="DD"/>
    <s v="Hourly"/>
    <n v="4"/>
    <x v="6"/>
    <x v="431"/>
    <n v="1"/>
    <n v="20.41"/>
    <d v="1899-12-30T00:46:00"/>
    <n v="0.76666666666666683"/>
    <n v="0.75"/>
    <x v="0"/>
    <s v="Brunswick/Bath/Freeport"/>
    <n v="2"/>
  </r>
  <r>
    <n v="1033"/>
    <s v="DD"/>
    <s v="Hourly"/>
    <n v="4"/>
    <x v="6"/>
    <x v="431"/>
    <n v="2"/>
    <n v="21.31"/>
    <d v="1899-12-30T01:03:00"/>
    <n v="1.05"/>
    <n v="1"/>
    <x v="0"/>
    <s v="Brunswick/Bath/Freeport"/>
    <n v="2"/>
  </r>
  <r>
    <n v="1034"/>
    <s v="UE"/>
    <s v="Order"/>
    <n v="4"/>
    <x v="0"/>
    <x v="432"/>
    <n v="2"/>
    <n v="7.74"/>
    <d v="1899-12-30T01:41:00"/>
    <n v="1.6833333333333333"/>
    <n v="1.75"/>
    <x v="0"/>
    <s v="Lewiston"/>
    <n v="3"/>
  </r>
  <r>
    <n v="1035"/>
    <s v="DD"/>
    <s v="Hourly"/>
    <n v="4"/>
    <x v="0"/>
    <x v="432"/>
    <n v="2"/>
    <n v="21.32"/>
    <d v="1899-12-30T01:01:00"/>
    <n v="1.0166666666666666"/>
    <n v="1"/>
    <x v="0"/>
    <s v="Lewiston"/>
    <n v="3"/>
  </r>
  <r>
    <n v="1036"/>
    <s v="DD"/>
    <s v="Hourly"/>
    <n v="4"/>
    <x v="0"/>
    <x v="432"/>
    <n v="4"/>
    <n v="34"/>
    <d v="1899-12-30T02:00:00"/>
    <n v="2"/>
    <n v="2"/>
    <x v="0"/>
    <s v="Lewiston"/>
    <n v="3"/>
  </r>
  <r>
    <n v="1037"/>
    <s v="DD"/>
    <s v="Hourly"/>
    <n v="4"/>
    <x v="0"/>
    <x v="432"/>
    <n v="4"/>
    <n v="33.75"/>
    <d v="1899-12-30T01:52:00"/>
    <n v="1.8666666666666667"/>
    <n v="1.75"/>
    <x v="2"/>
    <s v="Lewiston"/>
    <n v="3"/>
  </r>
  <r>
    <n v="1038"/>
    <s v="UE"/>
    <s v="Order"/>
    <n v="4"/>
    <x v="1"/>
    <x v="433"/>
    <n v="7"/>
    <n v="99.47"/>
    <d v="1899-12-30T04:09:00"/>
    <n v="4.1500000000000004"/>
    <n v="4.25"/>
    <x v="0"/>
    <s v="Brunswick/Bath/Freeport"/>
    <n v="2"/>
  </r>
  <r>
    <n v="1039"/>
    <s v="DD"/>
    <s v="Hourly"/>
    <n v="4"/>
    <x v="1"/>
    <x v="433"/>
    <n v="1"/>
    <n v="11.25"/>
    <d v="1899-12-30T00:46:00"/>
    <n v="0.76666666666666683"/>
    <n v="0.75"/>
    <x v="0"/>
    <s v="Brunswick/Bath/Freeport"/>
    <n v="2"/>
  </r>
  <r>
    <n v="1040"/>
    <s v="UE"/>
    <s v="Order"/>
    <n v="5"/>
    <x v="4"/>
    <x v="434"/>
    <n v="5"/>
    <n v="108.86"/>
    <d v="1899-12-30T02:52:00"/>
    <n v="2.8666666666666667"/>
    <n v="2.75"/>
    <x v="0"/>
    <s v="Brunswick/Bath/Freeport"/>
    <n v="2"/>
  </r>
  <r>
    <n v="1041"/>
    <s v="DD"/>
    <s v="Hourly"/>
    <n v="5"/>
    <x v="4"/>
    <x v="434"/>
    <n v="1"/>
    <n v="13"/>
    <d v="1899-12-30T00:48:00"/>
    <n v="0.8"/>
    <n v="0.75"/>
    <x v="0"/>
    <s v="Brunswick/Bath/Freeport"/>
    <n v="2"/>
  </r>
  <r>
    <n v="1042"/>
    <s v="DD"/>
    <s v="Hourly"/>
    <n v="5"/>
    <x v="4"/>
    <x v="434"/>
    <n v="4"/>
    <n v="49.41"/>
    <d v="1899-12-30T02:09:00"/>
    <n v="2.15"/>
    <n v="2.25"/>
    <x v="2"/>
    <s v="Brunswick/Bath/Freeport"/>
    <n v="2"/>
  </r>
  <r>
    <n v="1043"/>
    <s v="DD"/>
    <s v="Hourly"/>
    <n v="5"/>
    <x v="5"/>
    <x v="435"/>
    <n v="3"/>
    <n v="28.75"/>
    <d v="1899-12-30T02:02:00"/>
    <n v="2.0333333333333332"/>
    <n v="2"/>
    <x v="0"/>
    <s v="Augusta"/>
    <n v="1"/>
  </r>
  <r>
    <n v="1044"/>
    <s v="DD"/>
    <s v="Order"/>
    <n v="5"/>
    <x v="5"/>
    <x v="435"/>
    <n v="2"/>
    <n v="12"/>
    <d v="1899-12-30T00:52:00"/>
    <n v="0.8666666666666667"/>
    <n v="0.75"/>
    <x v="0"/>
    <s v="Augusta"/>
    <n v="1"/>
  </r>
  <r>
    <n v="1045"/>
    <s v="DD"/>
    <s v="Hourly"/>
    <n v="5"/>
    <x v="5"/>
    <x v="435"/>
    <n v="1"/>
    <n v="9.6"/>
    <d v="1899-12-30T00:21:00"/>
    <n v="0.35"/>
    <n v="0.25"/>
    <x v="0"/>
    <s v="Augusta"/>
    <n v="1"/>
  </r>
  <r>
    <n v="1046"/>
    <s v="UE"/>
    <s v="Order"/>
    <n v="5"/>
    <x v="6"/>
    <x v="436"/>
    <n v="2"/>
    <n v="19.850000000000001"/>
    <d v="1899-12-30T01:06:00"/>
    <n v="1.1000000000000001"/>
    <n v="1"/>
    <x v="0"/>
    <s v="Lewiston"/>
    <n v="3"/>
  </r>
  <r>
    <n v="1047"/>
    <s v="DD"/>
    <s v="Hourly"/>
    <n v="5"/>
    <x v="6"/>
    <x v="436"/>
    <n v="7"/>
    <n v="38.979999999999997"/>
    <d v="1899-12-30T03:16:00"/>
    <n v="3.2666666666666666"/>
    <n v="3.25"/>
    <x v="0"/>
    <s v="Lewiston"/>
    <n v="3"/>
  </r>
  <r>
    <n v="1048"/>
    <s v="UE"/>
    <s v="Order"/>
    <n v="5"/>
    <x v="0"/>
    <x v="437"/>
    <n v="4"/>
    <n v="23.07"/>
    <d v="1899-12-30T02:07:00"/>
    <n v="2.1166666666666667"/>
    <n v="2"/>
    <x v="0"/>
    <s v="Lewiston"/>
    <n v="3"/>
  </r>
  <r>
    <n v="1049"/>
    <s v="DD"/>
    <s v="Hourly"/>
    <n v="5"/>
    <x v="0"/>
    <x v="437"/>
    <n v="5"/>
    <n v="47.69"/>
    <d v="1899-12-30T02:41:00"/>
    <n v="2.6833333333333336"/>
    <n v="2.75"/>
    <x v="0"/>
    <s v="Lewiston"/>
    <n v="3"/>
  </r>
  <r>
    <n v="1050"/>
    <s v="DD"/>
    <s v="Hourly"/>
    <n v="5"/>
    <x v="0"/>
    <x v="437"/>
    <n v="1"/>
    <n v="8.65"/>
    <d v="1899-12-30T00:53:00"/>
    <n v="0.8833333333333333"/>
    <n v="1"/>
    <x v="0"/>
    <s v="Lewiston"/>
    <n v="3"/>
  </r>
  <r>
    <n v="1051"/>
    <s v="DD"/>
    <s v="Hourly"/>
    <n v="5"/>
    <x v="0"/>
    <x v="437"/>
    <n v="2"/>
    <n v="9.23"/>
    <d v="1899-12-30T01:03:00"/>
    <n v="1.0499999999999998"/>
    <n v="1"/>
    <x v="0"/>
    <s v="Lewiston"/>
    <n v="3"/>
  </r>
  <r>
    <n v="1052"/>
    <s v="DD"/>
    <s v="Hourly"/>
    <n v="6"/>
    <x v="3"/>
    <x v="438"/>
    <n v="5"/>
    <n v="39.82"/>
    <d v="1899-12-30T02:26:00"/>
    <n v="2.4333333333333336"/>
    <n v="2.5"/>
    <x v="0"/>
    <s v="Lewiston"/>
    <n v="3"/>
  </r>
  <r>
    <n v="1053"/>
    <s v="DD"/>
    <s v="Hourly"/>
    <n v="6"/>
    <x v="5"/>
    <x v="439"/>
    <n v="5"/>
    <n v="54.54"/>
    <d v="1899-12-30T02:59:00"/>
    <n v="2.9833333333333334"/>
    <n v="3"/>
    <x v="0"/>
    <s v="Brunswick/Bath/Freeport"/>
    <n v="2"/>
  </r>
  <r>
    <n v="1054"/>
    <s v="UE"/>
    <s v="Order"/>
    <n v="6"/>
    <x v="6"/>
    <x v="440"/>
    <n v="5"/>
    <n v="52.23"/>
    <d v="1899-12-30T03:33:00"/>
    <n v="3.55"/>
    <n v="3.5"/>
    <x v="0"/>
    <s v="Lewiston"/>
    <n v="3"/>
  </r>
  <r>
    <n v="1055"/>
    <s v="DD"/>
    <s v="Order"/>
    <n v="6"/>
    <x v="6"/>
    <x v="440"/>
    <n v="4"/>
    <n v="46.5"/>
    <d v="1899-12-30T01:59:00"/>
    <n v="1.9833333333333334"/>
    <n v="2"/>
    <x v="0"/>
    <s v="Lewiston"/>
    <n v="3"/>
  </r>
  <r>
    <n v="1056"/>
    <s v="DD"/>
    <s v="Order"/>
    <n v="6"/>
    <x v="6"/>
    <x v="440"/>
    <n v="4"/>
    <n v="20"/>
    <d v="1899-12-30T01:03:00"/>
    <n v="1.0499999999999998"/>
    <n v="1"/>
    <x v="2"/>
    <s v="Lewiston"/>
    <n v="3"/>
  </r>
  <r>
    <n v="1057"/>
    <s v="UE"/>
    <s v="Order"/>
    <n v="6"/>
    <x v="0"/>
    <x v="441"/>
    <n v="2"/>
    <n v="25.09"/>
    <d v="1899-12-30T02:21:00"/>
    <n v="2.35"/>
    <n v="2.25"/>
    <x v="0"/>
    <s v="Lewiston"/>
    <n v="3"/>
  </r>
  <r>
    <n v="1058"/>
    <s v="DD"/>
    <s v="Order"/>
    <n v="6"/>
    <x v="0"/>
    <x v="441"/>
    <n v="10"/>
    <n v="84.5"/>
    <d v="1899-12-30T05:26:00"/>
    <n v="5.4333333333333336"/>
    <n v="5.5"/>
    <x v="0"/>
    <s v="Lewiston"/>
    <n v="3"/>
  </r>
  <r>
    <n v="1059"/>
    <s v="DD"/>
    <s v="Order"/>
    <n v="6"/>
    <x v="0"/>
    <x v="441"/>
    <n v="1"/>
    <n v="11"/>
    <d v="1899-12-30T00:30:00"/>
    <n v="0.5"/>
    <n v="0.5"/>
    <x v="2"/>
    <s v="Lewiston"/>
    <n v="3"/>
  </r>
  <r>
    <n v="1060"/>
    <s v="UE"/>
    <s v="Order"/>
    <n v="6"/>
    <x v="1"/>
    <x v="442"/>
    <n v="1"/>
    <n v="16.02"/>
    <d v="1899-12-30T01:20:00"/>
    <n v="1.3333333333333333"/>
    <n v="1.25"/>
    <x v="0"/>
    <s v="Brunswick/Bath/Freeport"/>
    <n v="2"/>
  </r>
  <r>
    <n v="1061"/>
    <s v="DD"/>
    <s v="Order"/>
    <n v="6"/>
    <x v="1"/>
    <x v="442"/>
    <n v="7"/>
    <n v="53"/>
    <d v="1899-12-30T03:30:00"/>
    <n v="3.5"/>
    <n v="3.5"/>
    <x v="0"/>
    <s v="Brunswick/Bath/Freeport"/>
    <n v="2"/>
  </r>
  <r>
    <n v="1062"/>
    <s v="UE"/>
    <s v="Order"/>
    <n v="7"/>
    <x v="4"/>
    <x v="443"/>
    <n v="3"/>
    <n v="40.54"/>
    <d v="1899-12-30T01:49:00"/>
    <n v="1.8166666666666664"/>
    <n v="1.75"/>
    <x v="0"/>
    <s v="Brunswick/Bath/Freeport"/>
    <n v="2"/>
  </r>
  <r>
    <n v="1063"/>
    <s v="DD"/>
    <s v="Order"/>
    <n v="7"/>
    <x v="4"/>
    <x v="443"/>
    <n v="6"/>
    <n v="48.75"/>
    <d v="1899-12-30T02:58:00"/>
    <n v="2.9666666666666668"/>
    <n v="3"/>
    <x v="0"/>
    <s v="Brunswick/Bath/Freeport"/>
    <n v="2"/>
  </r>
  <r>
    <n v="1064"/>
    <s v="DD"/>
    <s v="Order"/>
    <n v="7"/>
    <x v="4"/>
    <x v="443"/>
    <n v="1"/>
    <n v="11.25"/>
    <d v="1899-12-30T00:36:00"/>
    <n v="0.60000000000000009"/>
    <n v="0.5"/>
    <x v="2"/>
    <s v="Brunswick/Bath/Freeport"/>
    <n v="2"/>
  </r>
  <r>
    <n v="1065"/>
    <s v="UE"/>
    <s v="Order"/>
    <n v="7"/>
    <x v="5"/>
    <x v="444"/>
    <n v="11"/>
    <n v="166.65"/>
    <d v="1899-12-30T04:20:00"/>
    <n v="4.333333333333333"/>
    <n v="4.25"/>
    <x v="0"/>
    <s v="Brunswick/Bath/Freeport"/>
    <n v="2"/>
  </r>
  <r>
    <n v="1066"/>
    <s v="DD"/>
    <s v="Order"/>
    <n v="7"/>
    <x v="5"/>
    <x v="444"/>
    <n v="2"/>
    <n v="18.5"/>
    <d v="1899-12-30T01:04:00"/>
    <n v="1.0666666666666667"/>
    <n v="1"/>
    <x v="0"/>
    <s v="Brunswick/Bath/Freeport"/>
    <n v="2"/>
  </r>
  <r>
    <n v="1067"/>
    <s v="DD"/>
    <s v="Order"/>
    <n v="7"/>
    <x v="5"/>
    <x v="444"/>
    <n v="1"/>
    <n v="7"/>
    <d v="1899-12-30T00:29:00"/>
    <n v="0.48333333333333339"/>
    <n v="0.5"/>
    <x v="2"/>
    <s v="Brunswick/Bath/Freeport"/>
    <n v="2"/>
  </r>
  <r>
    <n v="1068"/>
    <s v="UE"/>
    <s v="Order"/>
    <n v="7"/>
    <x v="0"/>
    <x v="445"/>
    <n v="3"/>
    <n v="14.64"/>
    <d v="1899-12-30T01:59:00"/>
    <n v="1.9833333333333334"/>
    <n v="2"/>
    <x v="0"/>
    <s v="Lewiston"/>
    <n v="3"/>
  </r>
  <r>
    <n v="1069"/>
    <s v="DD"/>
    <s v="Order"/>
    <n v="7"/>
    <x v="0"/>
    <x v="445"/>
    <n v="8"/>
    <n v="46.65"/>
    <d v="1899-12-30T02:37:00"/>
    <n v="2.6166666666666667"/>
    <n v="2.5"/>
    <x v="0"/>
    <s v="Lewiston"/>
    <n v="3"/>
  </r>
  <r>
    <n v="1070"/>
    <s v="DD"/>
    <s v="Order"/>
    <n v="7"/>
    <x v="0"/>
    <x v="445"/>
    <n v="2"/>
    <n v="12.25"/>
    <d v="1899-12-30T00:53:00"/>
    <n v="0.8833333333333333"/>
    <n v="1"/>
    <x v="0"/>
    <s v="Lewiston"/>
    <n v="3"/>
  </r>
  <r>
    <n v="1071"/>
    <s v="DD"/>
    <s v="Order"/>
    <n v="7"/>
    <x v="0"/>
    <x v="445"/>
    <n v="2"/>
    <n v="8"/>
    <d v="1899-12-30T00:38:00"/>
    <n v="0.6333333333333333"/>
    <n v="0.75"/>
    <x v="2"/>
    <s v="Lewiston"/>
    <n v="3"/>
  </r>
  <r>
    <n v="1072"/>
    <s v="UE"/>
    <s v="Order"/>
    <n v="7"/>
    <x v="1"/>
    <x v="446"/>
    <n v="4"/>
    <n v="58.71"/>
    <d v="1899-12-30T02:52:00"/>
    <n v="2.8666666666666667"/>
    <n v="2.75"/>
    <x v="0"/>
    <s v="Brunswick/Bath/Freeport"/>
    <n v="2"/>
  </r>
  <r>
    <n v="1073"/>
    <s v="DD"/>
    <s v="Order"/>
    <n v="7"/>
    <x v="1"/>
    <x v="446"/>
    <n v="6"/>
    <n v="53.5"/>
    <d v="1899-12-30T02:18:00"/>
    <n v="2.3000000000000003"/>
    <n v="2.25"/>
    <x v="0"/>
    <s v="Brunswick/Bath/Freeport"/>
    <n v="2"/>
  </r>
  <r>
    <n v="1074"/>
    <s v="DD"/>
    <s v="Order"/>
    <n v="7"/>
    <x v="1"/>
    <x v="446"/>
    <n v="1"/>
    <n v="19.98"/>
    <d v="1899-12-30T01:14:00"/>
    <n v="1.2333333333333334"/>
    <n v="1.25"/>
    <x v="2"/>
    <s v="Brunswick/Bath/Freeport"/>
    <n v="2"/>
  </r>
  <r>
    <n v="1075"/>
    <s v="DD"/>
    <s v="Hourly"/>
    <n v="7"/>
    <x v="2"/>
    <x v="447"/>
    <n v="6"/>
    <n v="52.45"/>
    <d v="1899-12-30T02:44:00"/>
    <n v="2.7333333333333334"/>
    <n v="2.75"/>
    <x v="1"/>
    <s v="Augusta"/>
    <n v="1"/>
  </r>
  <r>
    <n v="1076"/>
    <s v="UE"/>
    <s v="Order"/>
    <n v="8"/>
    <x v="3"/>
    <x v="448"/>
    <n v="5"/>
    <n v="68.67"/>
    <d v="1899-12-30T02:28:00"/>
    <n v="2.4666666666666668"/>
    <n v="2.5"/>
    <x v="0"/>
    <s v="Brunswick/Bath/Freeport"/>
    <n v="2"/>
  </r>
  <r>
    <n v="1077"/>
    <s v="DD"/>
    <s v="Hourly"/>
    <n v="8"/>
    <x v="3"/>
    <x v="448"/>
    <n v="4"/>
    <n v="26.82"/>
    <d v="1899-12-30T02:16:00"/>
    <n v="2.2666666666666666"/>
    <n v="2.25"/>
    <x v="0"/>
    <s v="Brunswick/Bath/Freeport"/>
    <n v="2"/>
  </r>
  <r>
    <n v="1078"/>
    <s v="DD"/>
    <s v="Order"/>
    <n v="8"/>
    <x v="3"/>
    <x v="448"/>
    <n v="1"/>
    <n v="17"/>
    <d v="1899-12-30T00:47:00"/>
    <n v="0.78333333333333344"/>
    <n v="0.75"/>
    <x v="0"/>
    <s v="Brunswick/Bath/Freeport"/>
    <n v="2"/>
  </r>
  <r>
    <n v="1079"/>
    <s v="UE"/>
    <s v="Order"/>
    <n v="8"/>
    <x v="4"/>
    <x v="449"/>
    <n v="1"/>
    <n v="10.53"/>
    <d v="1899-12-30T00:45:00"/>
    <n v="0.75"/>
    <n v="0.75"/>
    <x v="0"/>
    <s v="Lewiston"/>
    <n v="3"/>
  </r>
  <r>
    <n v="1080"/>
    <s v="DD"/>
    <s v="Hourly"/>
    <n v="8"/>
    <x v="4"/>
    <x v="449"/>
    <n v="5"/>
    <n v="28.79"/>
    <d v="1899-12-30T02:28:00"/>
    <n v="2.4666666666666668"/>
    <n v="2.5"/>
    <x v="0"/>
    <s v="Lewiston"/>
    <n v="3"/>
  </r>
  <r>
    <n v="1081"/>
    <s v="DD"/>
    <s v="Hourly"/>
    <n v="8"/>
    <x v="5"/>
    <x v="450"/>
    <n v="4"/>
    <n v="27.94"/>
    <d v="1899-12-30T01:45:00"/>
    <n v="1.75"/>
    <n v="1.75"/>
    <x v="0"/>
    <s v="Lewiston"/>
    <n v="3"/>
  </r>
  <r>
    <n v="1082"/>
    <s v="DD"/>
    <s v="Hourly"/>
    <n v="8"/>
    <x v="5"/>
    <x v="450"/>
    <n v="1"/>
    <n v="9.7200000000000006"/>
    <d v="1899-12-30T00:28:00"/>
    <n v="0.46666666666666667"/>
    <n v="0.5"/>
    <x v="0"/>
    <s v="Lewiston"/>
    <n v="3"/>
  </r>
  <r>
    <n v="1083"/>
    <s v="UE"/>
    <s v="Order"/>
    <n v="8"/>
    <x v="6"/>
    <x v="451"/>
    <n v="5"/>
    <n v="50.98"/>
    <d v="1899-12-30T02:33:00"/>
    <n v="2.5499999999999998"/>
    <n v="2.5"/>
    <x v="0"/>
    <s v="Lewiston"/>
    <n v="3"/>
  </r>
  <r>
    <n v="1084"/>
    <s v="DD"/>
    <s v="Hourly"/>
    <n v="8"/>
    <x v="6"/>
    <x v="451"/>
    <n v="2"/>
    <n v="29.68"/>
    <d v="1899-12-30T01:29:00"/>
    <n v="1.4833333333333334"/>
    <n v="1.5"/>
    <x v="0"/>
    <s v="Lewiston"/>
    <n v="3"/>
  </r>
  <r>
    <n v="1085"/>
    <s v="DD"/>
    <s v="Hourly"/>
    <n v="8"/>
    <x v="6"/>
    <x v="451"/>
    <n v="1"/>
    <n v="5.43"/>
    <d v="1899-12-30T01:10:00"/>
    <n v="1.1666666666666667"/>
    <n v="1.25"/>
    <x v="0"/>
    <s v="Lewiston"/>
    <n v="3"/>
  </r>
  <r>
    <n v="1086"/>
    <s v="DD"/>
    <s v="Order"/>
    <n v="8"/>
    <x v="6"/>
    <x v="451"/>
    <n v="2"/>
    <n v="19.25"/>
    <d v="1899-12-30T00:48:00"/>
    <n v="0.8"/>
    <n v="0.75"/>
    <x v="0"/>
    <s v="Lewiston"/>
    <n v="3"/>
  </r>
  <r>
    <n v="1087"/>
    <s v="UE"/>
    <s v="Order"/>
    <n v="8"/>
    <x v="1"/>
    <x v="452"/>
    <n v="7"/>
    <n v="91.17"/>
    <d v="1899-12-30T03:09:00"/>
    <n v="3.1500000000000004"/>
    <n v="3.25"/>
    <x v="0"/>
    <s v="Brunswick/Bath/Freeport"/>
    <n v="2"/>
  </r>
  <r>
    <n v="1088"/>
    <s v="DD"/>
    <s v="Hourly"/>
    <n v="8"/>
    <x v="1"/>
    <x v="452"/>
    <n v="1"/>
    <n v="4.6900000000000004"/>
    <d v="1899-12-30T00:48:00"/>
    <n v="0.8"/>
    <n v="0.75"/>
    <x v="0"/>
    <s v="Brunswick/Bath/Freeport"/>
    <n v="2"/>
  </r>
  <r>
    <n v="1089"/>
    <s v="DD"/>
    <s v="Hourly"/>
    <n v="8"/>
    <x v="1"/>
    <x v="452"/>
    <n v="2"/>
    <n v="10.52"/>
    <d v="1899-12-30T00:35:00"/>
    <n v="0.58333333333333337"/>
    <n v="0.5"/>
    <x v="2"/>
    <s v="Brunswick/Bath/Freeport"/>
    <n v="2"/>
  </r>
  <r>
    <n v="1090"/>
    <s v="UE"/>
    <s v="Order"/>
    <n v="9"/>
    <x v="4"/>
    <x v="453"/>
    <n v="8"/>
    <n v="98.8"/>
    <d v="1899-12-30T03:16:00"/>
    <n v="3.2666666666666666"/>
    <n v="3.25"/>
    <x v="0"/>
    <s v="Brunswick/Bath/Freeport"/>
    <n v="2"/>
  </r>
  <r>
    <n v="1091"/>
    <s v="DD"/>
    <s v="Order"/>
    <n v="9"/>
    <x v="4"/>
    <x v="453"/>
    <n v="2"/>
    <n v="25.75"/>
    <d v="1899-12-30T01:02:00"/>
    <n v="1.0333333333333332"/>
    <n v="1"/>
    <x v="2"/>
    <s v="Brunswick/Bath/Freeport"/>
    <n v="2"/>
  </r>
  <r>
    <n v="1092"/>
    <s v="UE"/>
    <s v="Order"/>
    <n v="9"/>
    <x v="5"/>
    <x v="454"/>
    <n v="2"/>
    <n v="20.63"/>
    <d v="1899-12-30T01:16:00"/>
    <n v="1.2666666666666666"/>
    <n v="1.25"/>
    <x v="0"/>
    <s v="Brunswick/Bath/Freeport"/>
    <n v="2"/>
  </r>
  <r>
    <n v="1093"/>
    <s v="DD"/>
    <s v="Order"/>
    <n v="9"/>
    <x v="5"/>
    <x v="454"/>
    <n v="2"/>
    <n v="22.25"/>
    <d v="1899-12-30T01:04:00"/>
    <n v="1.0666666666666667"/>
    <n v="1"/>
    <x v="0"/>
    <s v="Brunswick/Bath/Freeport"/>
    <n v="2"/>
  </r>
  <r>
    <n v="1094"/>
    <s v="DD"/>
    <s v="Order"/>
    <n v="9"/>
    <x v="5"/>
    <x v="454"/>
    <n v="4"/>
    <n v="29.5"/>
    <d v="1899-12-30T01:03:00"/>
    <n v="1.0499999999999998"/>
    <n v="1"/>
    <x v="0"/>
    <s v="Brunswick/Bath/Freeport"/>
    <n v="2"/>
  </r>
  <r>
    <n v="1095"/>
    <s v="UE"/>
    <s v="Order"/>
    <n v="9"/>
    <x v="0"/>
    <x v="455"/>
    <n v="6"/>
    <n v="85.14"/>
    <d v="1899-12-30T03:39:00"/>
    <n v="3.6499999999999995"/>
    <n v="3.75"/>
    <x v="0"/>
    <s v="Brunswick/Bath/Freeport"/>
    <n v="2"/>
  </r>
  <r>
    <n v="1096"/>
    <s v="UE"/>
    <s v="Order"/>
    <n v="9"/>
    <x v="1"/>
    <x v="456"/>
    <n v="6"/>
    <n v="88.14"/>
    <d v="1899-12-30T03:19:00"/>
    <n v="3.3166666666666669"/>
    <n v="3.25"/>
    <x v="0"/>
    <s v="Brunswick/Bath/Freeport"/>
    <n v="2"/>
  </r>
  <r>
    <n v="1097"/>
    <s v="DD"/>
    <s v="Order"/>
    <n v="9"/>
    <x v="1"/>
    <x v="456"/>
    <n v="1"/>
    <n v="16"/>
    <d v="1899-12-30T00:39:00"/>
    <n v="0.65"/>
    <n v="0.75"/>
    <x v="0"/>
    <s v="Brunswick/Bath/Freeport"/>
    <n v="2"/>
  </r>
  <r>
    <n v="1098"/>
    <s v="DD"/>
    <s v="Order"/>
    <n v="9"/>
    <x v="1"/>
    <x v="456"/>
    <n v="1"/>
    <n v="17.5"/>
    <d v="1899-12-30T01:07:00"/>
    <n v="1.1166666666666667"/>
    <n v="1"/>
    <x v="0"/>
    <s v="Brunswick/Bath/Freeport"/>
    <n v="2"/>
  </r>
  <r>
    <n v="1099"/>
    <s v="DD"/>
    <s v="Order"/>
    <n v="9"/>
    <x v="1"/>
    <x v="456"/>
    <n v="1"/>
    <n v="7.5"/>
    <d v="1899-12-30T00:37:00"/>
    <n v="0.6166666666666667"/>
    <n v="0.5"/>
    <x v="2"/>
    <s v="Brunswick/Bath/Freeport"/>
    <n v="2"/>
  </r>
  <r>
    <n v="1100"/>
    <s v="UE"/>
    <s v="Order"/>
    <n v="9"/>
    <x v="2"/>
    <x v="457"/>
    <n v="2"/>
    <n v="24.46"/>
    <d v="1899-12-30T01:38:00"/>
    <n v="1.6333333333333333"/>
    <n v="1.75"/>
    <x v="0"/>
    <s v="Lewiston"/>
    <n v="3"/>
  </r>
  <r>
    <n v="1101"/>
    <s v="DD"/>
    <s v="Order"/>
    <n v="9"/>
    <x v="2"/>
    <x v="457"/>
    <n v="7"/>
    <n v="54.9"/>
    <d v="1899-12-30T02:58:00"/>
    <n v="2.9666666666666668"/>
    <n v="3"/>
    <x v="0"/>
    <s v="Lewiston"/>
    <n v="3"/>
  </r>
  <r>
    <n v="1102"/>
    <s v="UE"/>
    <s v="Order"/>
    <n v="10"/>
    <x v="4"/>
    <x v="458"/>
    <n v="1"/>
    <n v="9.02"/>
    <d v="1899-12-30T01:12:00"/>
    <n v="1.2000000000000002"/>
    <n v="1.25"/>
    <x v="0"/>
    <s v="Brunswick/Bath/Freeport"/>
    <n v="2"/>
  </r>
  <r>
    <n v="1103"/>
    <s v="DD"/>
    <s v="Order"/>
    <n v="10"/>
    <x v="4"/>
    <x v="458"/>
    <n v="6"/>
    <n v="47.5"/>
    <d v="1899-12-30T03:03:00"/>
    <n v="3.05"/>
    <n v="3"/>
    <x v="0"/>
    <s v="Brunswick/Bath/Freeport"/>
    <n v="2"/>
  </r>
  <r>
    <n v="1104"/>
    <s v="DD"/>
    <s v="Hourly"/>
    <n v="10"/>
    <x v="4"/>
    <x v="458"/>
    <n v="1"/>
    <n v="8.8000000000000007"/>
    <d v="1899-12-30T00:23:00"/>
    <n v="0.3833333333333333"/>
    <n v="0.5"/>
    <x v="0"/>
    <s v="Brunswick/Bath/Freeport"/>
    <n v="2"/>
  </r>
  <r>
    <n v="1105"/>
    <s v="UE"/>
    <s v="Order"/>
    <n v="10"/>
    <x v="1"/>
    <x v="459"/>
    <n v="7"/>
    <n v="123.05"/>
    <d v="1899-12-30T05:00:00"/>
    <n v="5"/>
    <n v="5"/>
    <x v="3"/>
    <s v="Brunswick/Bath/Freeport"/>
    <n v="2"/>
  </r>
  <r>
    <n v="1106"/>
    <s v="DD"/>
    <s v="Order"/>
    <n v="10"/>
    <x v="1"/>
    <x v="459"/>
    <n v="2"/>
    <n v="23.05"/>
    <d v="1899-12-30T00:49:00"/>
    <n v="0.81666666666666665"/>
    <n v="0.75"/>
    <x v="1"/>
    <s v="Brunswick/Bath/Freeport"/>
    <n v="2"/>
  </r>
  <r>
    <n v="1107"/>
    <s v="DD"/>
    <s v="Hourly"/>
    <n v="10"/>
    <x v="1"/>
    <x v="459"/>
    <n v="6"/>
    <n v="44.32"/>
    <d v="1899-12-30T03:13:00"/>
    <n v="3.2166666666666668"/>
    <n v="3.25"/>
    <x v="1"/>
    <s v="Brunswick/Bath/Freeport"/>
    <n v="2"/>
  </r>
  <r>
    <n v="1108"/>
    <s v="DD"/>
    <s v="Order"/>
    <n v="10"/>
    <x v="1"/>
    <x v="459"/>
    <n v="1"/>
    <n v="12.5"/>
    <d v="1899-12-30T00:33:00"/>
    <n v="0.54999999999999993"/>
    <n v="0.5"/>
    <x v="0"/>
    <s v="Brunswick/Bath/Freeport"/>
    <n v="2"/>
  </r>
  <r>
    <n v="1109"/>
    <s v="DD"/>
    <s v="Hourly"/>
    <n v="10"/>
    <x v="1"/>
    <x v="459"/>
    <n v="1"/>
    <n v="18.899999999999999"/>
    <d v="1899-12-30T00:42:00"/>
    <n v="0.7"/>
    <n v="0.75"/>
    <x v="0"/>
    <s v="Brunswick/Bath/Freeport"/>
    <n v="2"/>
  </r>
  <r>
    <n v="1110"/>
    <s v="UE"/>
    <s v="Order"/>
    <n v="11"/>
    <x v="3"/>
    <x v="460"/>
    <n v="1"/>
    <n v="11.06"/>
    <d v="1899-12-30T01:07:00"/>
    <n v="1.1166666666666667"/>
    <n v="1"/>
    <x v="0"/>
    <s v="Brunswick/Bath/Freeport"/>
    <n v="2"/>
  </r>
  <r>
    <n v="1111"/>
    <s v="DD"/>
    <s v="Order"/>
    <n v="11"/>
    <x v="3"/>
    <x v="460"/>
    <n v="9"/>
    <n v="85.63"/>
    <d v="1899-12-30T03:06:00"/>
    <n v="3.1000000000000005"/>
    <n v="3"/>
    <x v="0"/>
    <s v="Brunswick/Bath/Freeport"/>
    <n v="2"/>
  </r>
  <r>
    <n v="1112"/>
    <s v="UE"/>
    <s v="Order"/>
    <n v="11"/>
    <x v="5"/>
    <x v="461"/>
    <n v="3"/>
    <n v="42.91"/>
    <d v="1899-12-30T01:43:00"/>
    <n v="1.7166666666666666"/>
    <n v="1.75"/>
    <x v="0"/>
    <s v="Portland"/>
    <n v="4"/>
  </r>
  <r>
    <n v="1113"/>
    <s v="DD"/>
    <s v="Order"/>
    <n v="11"/>
    <x v="5"/>
    <x v="461"/>
    <n v="4"/>
    <n v="56.36"/>
    <d v="1899-12-30T02:20:00"/>
    <n v="2.3333333333333335"/>
    <n v="2.25"/>
    <x v="0"/>
    <s v="Brunswick/Bath/Freeport"/>
    <n v="2"/>
  </r>
  <r>
    <n v="1114"/>
    <s v="DD"/>
    <s v="Order"/>
    <n v="11"/>
    <x v="5"/>
    <x v="461"/>
    <n v="2"/>
    <n v="15.25"/>
    <d v="1899-12-30T00:41:00"/>
    <n v="0.68333333333333335"/>
    <n v="0.75"/>
    <x v="0"/>
    <s v="Brunswick/Bath/Freeport"/>
    <n v="2"/>
  </r>
  <r>
    <n v="1115"/>
    <s v="UE"/>
    <s v="Order"/>
    <n v="11"/>
    <x v="6"/>
    <x v="462"/>
    <n v="3"/>
    <n v="38.25"/>
    <d v="1899-12-30T02:29:00"/>
    <n v="2.4833333333333334"/>
    <n v="2.5"/>
    <x v="0"/>
    <s v="Portland"/>
    <n v="4"/>
  </r>
  <r>
    <n v="1116"/>
    <s v="DD"/>
    <s v="Order"/>
    <n v="11"/>
    <x v="6"/>
    <x v="462"/>
    <n v="1"/>
    <n v="16.25"/>
    <d v="1899-12-30T01:45:00"/>
    <n v="1.75"/>
    <n v="1.75"/>
    <x v="0"/>
    <s v="Portland"/>
    <n v="4"/>
  </r>
  <r>
    <n v="1117"/>
    <s v="DD"/>
    <s v="Order"/>
    <n v="11"/>
    <x v="6"/>
    <x v="462"/>
    <n v="2"/>
    <n v="21.5"/>
    <d v="1899-12-30T01:10:00"/>
    <n v="1.1666666666666667"/>
    <n v="1.25"/>
    <x v="0"/>
    <s v="Portland"/>
    <n v="4"/>
  </r>
  <r>
    <n v="1118"/>
    <s v="UE"/>
    <s v="Order"/>
    <n v="11"/>
    <x v="0"/>
    <x v="463"/>
    <n v="4"/>
    <n v="35.799999999999997"/>
    <d v="1899-12-30T01:34:00"/>
    <n v="1.5666666666666669"/>
    <n v="1.5"/>
    <x v="0"/>
    <s v="Lewiston"/>
    <n v="3"/>
  </r>
  <r>
    <n v="1119"/>
    <s v="DD"/>
    <s v="Order"/>
    <n v="11"/>
    <x v="0"/>
    <x v="463"/>
    <n v="1"/>
    <n v="9.5"/>
    <d v="1899-12-30T00:53:00"/>
    <n v="0.8833333333333333"/>
    <n v="1"/>
    <x v="0"/>
    <s v="Lewiston"/>
    <n v="3"/>
  </r>
  <r>
    <n v="1120"/>
    <s v="DD"/>
    <s v="Order"/>
    <n v="11"/>
    <x v="0"/>
    <x v="463"/>
    <n v="6"/>
    <n v="39.5"/>
    <d v="1899-12-30T01:49:00"/>
    <n v="1.8166666666666664"/>
    <n v="1.75"/>
    <x v="0"/>
    <s v="Lewiston"/>
    <n v="3"/>
  </r>
  <r>
    <n v="1121"/>
    <s v="DD"/>
    <s v="Order"/>
    <n v="11"/>
    <x v="0"/>
    <x v="463"/>
    <n v="1"/>
    <n v="6.25"/>
    <d v="1899-12-30T00:25:00"/>
    <n v="0.41666666666666669"/>
    <n v="0.5"/>
    <x v="2"/>
    <s v="Lewiston"/>
    <n v="3"/>
  </r>
  <r>
    <n v="1122"/>
    <s v="UE"/>
    <s v="Order"/>
    <n v="11"/>
    <x v="1"/>
    <x v="464"/>
    <n v="4"/>
    <n v="53.21"/>
    <d v="1899-12-30T02:46:00"/>
    <n v="2.7666666666666666"/>
    <n v="2.75"/>
    <x v="1"/>
    <s v="Brunswick/Bath/Freeport"/>
    <n v="2"/>
  </r>
  <r>
    <n v="1123"/>
    <s v="DD"/>
    <s v="Order"/>
    <n v="11"/>
    <x v="1"/>
    <x v="464"/>
    <n v="2"/>
    <n v="30.94"/>
    <d v="1899-12-30T02:29:00"/>
    <n v="2.4833333333333334"/>
    <n v="2.5"/>
    <x v="1"/>
    <s v="Brunswick/Bath/Freeport"/>
    <n v="2"/>
  </r>
  <r>
    <n v="1124"/>
    <s v="UE"/>
    <s v="Order"/>
    <n v="12"/>
    <x v="4"/>
    <x v="465"/>
    <n v="8"/>
    <n v="114.44"/>
    <d v="1899-12-30T03:22:00"/>
    <n v="3.3666666666666667"/>
    <n v="3.25"/>
    <x v="0"/>
    <s v="Brunswick/Bath/Freeport"/>
    <n v="2"/>
  </r>
  <r>
    <n v="1125"/>
    <s v="UE"/>
    <s v="Order"/>
    <n v="13"/>
    <x v="3"/>
    <x v="466"/>
    <n v="2"/>
    <n v="44.4"/>
    <d v="1899-12-30T01:27:00"/>
    <n v="1.45"/>
    <n v="1.5"/>
    <x v="0"/>
    <s v="Brunswick/Bath/Freeport"/>
    <n v="2"/>
  </r>
  <r>
    <n v="1126"/>
    <s v="DD"/>
    <s v="Hourly"/>
    <n v="13"/>
    <x v="3"/>
    <x v="466"/>
    <n v="1"/>
    <n v="26.54"/>
    <d v="1899-12-30T00:51:00"/>
    <n v="0.85"/>
    <n v="0.75"/>
    <x v="0"/>
    <s v="Brunswick/Bath/Freeport"/>
    <n v="2"/>
  </r>
  <r>
    <n v="1127"/>
    <s v="DD"/>
    <s v="Hourly"/>
    <n v="13"/>
    <x v="3"/>
    <x v="466"/>
    <n v="3"/>
    <n v="31.04"/>
    <d v="1899-12-30T01:43:00"/>
    <n v="1.7166666666666666"/>
    <n v="1.75"/>
    <x v="0"/>
    <s v="Brunswick/Bath/Freeport"/>
    <n v="2"/>
  </r>
  <r>
    <n v="1128"/>
    <s v="DD"/>
    <s v="Order"/>
    <n v="13"/>
    <x v="4"/>
    <x v="467"/>
    <n v="7"/>
    <n v="69.17"/>
    <d v="1899-12-30T02:38:00"/>
    <n v="2.6333333333333333"/>
    <n v="2.75"/>
    <x v="0"/>
    <s v="Brunswick/Bath/Freeport"/>
    <n v="2"/>
  </r>
  <r>
    <n v="1129"/>
    <s v="UE"/>
    <s v="Order"/>
    <n v="13"/>
    <x v="5"/>
    <x v="468"/>
    <n v="5"/>
    <n v="82.86"/>
    <d v="1899-12-30T02:33:00"/>
    <n v="2.5499999999999998"/>
    <n v="2.5"/>
    <x v="0"/>
    <s v="Brunswick/Bath/Freeport"/>
    <n v="2"/>
  </r>
  <r>
    <n v="1130"/>
    <s v="DD"/>
    <s v="Order"/>
    <n v="13"/>
    <x v="5"/>
    <x v="468"/>
    <n v="2"/>
    <n v="43.5"/>
    <d v="1899-12-30T00:55:00"/>
    <n v="0.91666666666666674"/>
    <n v="1"/>
    <x v="0"/>
    <s v="Brunswick/Bath/Freeport"/>
    <n v="2"/>
  </r>
  <r>
    <n v="1131"/>
    <s v="UE"/>
    <s v="Order"/>
    <n v="13"/>
    <x v="0"/>
    <x v="469"/>
    <n v="9"/>
    <n v="155.94"/>
    <d v="1899-12-30T05:14:00"/>
    <n v="5.2333333333333334"/>
    <n v="5.25"/>
    <x v="0"/>
    <s v="Portland"/>
    <n v="4"/>
  </r>
  <r>
    <n v="1132"/>
    <s v="UE"/>
    <s v="Order"/>
    <n v="14"/>
    <x v="3"/>
    <x v="470"/>
    <n v="6"/>
    <n v="60.83"/>
    <d v="1899-12-30T04:05:00"/>
    <n v="4.0833333333333339"/>
    <n v="4"/>
    <x v="0"/>
    <s v="Lewiston"/>
    <n v="3"/>
  </r>
  <r>
    <n v="1133"/>
    <s v="DD"/>
    <s v="Order"/>
    <n v="14"/>
    <x v="3"/>
    <x v="470"/>
    <n v="1"/>
    <n v="8"/>
    <d v="1899-12-30T00:51:00"/>
    <n v="0.85"/>
    <n v="0.75"/>
    <x v="0"/>
    <s v="Lewiston"/>
    <n v="3"/>
  </r>
  <r>
    <n v="1134"/>
    <s v="UE"/>
    <s v="Order"/>
    <n v="14"/>
    <x v="4"/>
    <x v="471"/>
    <n v="2"/>
    <n v="20.7"/>
    <d v="1899-12-30T01:47:00"/>
    <n v="1.7833333333333332"/>
    <n v="1.75"/>
    <x v="0"/>
    <s v="Brunswick/Bath/Freeport"/>
    <n v="2"/>
  </r>
  <r>
    <n v="1135"/>
    <s v="DD"/>
    <s v="Order"/>
    <n v="14"/>
    <x v="4"/>
    <x v="471"/>
    <n v="8"/>
    <n v="50"/>
    <d v="1899-12-30T02:27:00"/>
    <n v="2.4500000000000002"/>
    <n v="2.5"/>
    <x v="0"/>
    <s v="Brunswick/Bath/Freeport"/>
    <n v="2"/>
  </r>
  <r>
    <n v="1136"/>
    <s v="DD"/>
    <s v="Order"/>
    <n v="14"/>
    <x v="4"/>
    <x v="471"/>
    <n v="2"/>
    <n v="11"/>
    <d v="1899-12-30T00:37:00"/>
    <n v="0.6166666666666667"/>
    <n v="0.5"/>
    <x v="0"/>
    <s v="Brunswick/Bath/Freeport"/>
    <n v="2"/>
  </r>
  <r>
    <n v="1137"/>
    <s v="DD"/>
    <s v="Order"/>
    <n v="14"/>
    <x v="5"/>
    <x v="472"/>
    <n v="4"/>
    <n v="33"/>
    <d v="1899-12-30T01:56:00"/>
    <n v="1.9333333333333336"/>
    <n v="2"/>
    <x v="0"/>
    <s v="Lewiston"/>
    <n v="3"/>
  </r>
  <r>
    <n v="1138"/>
    <s v="DD"/>
    <s v="Order"/>
    <n v="14"/>
    <x v="5"/>
    <x v="472"/>
    <n v="1"/>
    <n v="5.25"/>
    <d v="1899-12-30T00:26:00"/>
    <n v="0.43333333333333329"/>
    <n v="0.5"/>
    <x v="0"/>
    <s v="Lewiston"/>
    <n v="3"/>
  </r>
  <r>
    <n v="1139"/>
    <s v="UE"/>
    <s v="Order"/>
    <n v="14"/>
    <x v="0"/>
    <x v="473"/>
    <n v="14"/>
    <n v="225.25"/>
    <d v="1899-12-30T05:58:00"/>
    <n v="5.9666666666666668"/>
    <n v="6"/>
    <x v="0"/>
    <s v="Brunswick/Bath/Freeport"/>
    <n v="2"/>
  </r>
  <r>
    <n v="1140"/>
    <s v="DD"/>
    <s v="Order"/>
    <n v="14"/>
    <x v="1"/>
    <x v="474"/>
    <n v="3"/>
    <n v="20.65"/>
    <d v="1899-12-30T01:10:00"/>
    <n v="1.1666666666666667"/>
    <n v="1.25"/>
    <x v="0"/>
    <s v="Lewiston"/>
    <n v="3"/>
  </r>
  <r>
    <n v="1141"/>
    <s v="DD"/>
    <s v="Order"/>
    <n v="14"/>
    <x v="1"/>
    <x v="474"/>
    <n v="3"/>
    <n v="24.25"/>
    <d v="1899-12-30T01:26:00"/>
    <n v="1.4333333333333333"/>
    <n v="1.5"/>
    <x v="0"/>
    <s v="Lewiston"/>
    <n v="3"/>
  </r>
  <r>
    <n v="1142"/>
    <s v="DD"/>
    <s v="Order"/>
    <n v="14"/>
    <x v="1"/>
    <x v="474"/>
    <n v="2"/>
    <n v="21"/>
    <d v="1899-12-30T00:52:00"/>
    <n v="0.86666666666666659"/>
    <n v="0.75"/>
    <x v="0"/>
    <s v="Lewiston"/>
    <n v="3"/>
  </r>
  <r>
    <n v="1143"/>
    <s v="UE"/>
    <s v="Order"/>
    <n v="15"/>
    <x v="3"/>
    <x v="475"/>
    <n v="2"/>
    <n v="34.619999999999997"/>
    <d v="1899-12-30T01:57:00"/>
    <n v="1.9500000000000002"/>
    <n v="2"/>
    <x v="0"/>
    <s v="Portland"/>
    <n v="4"/>
  </r>
  <r>
    <n v="1144"/>
    <s v="DD"/>
    <s v="Order"/>
    <n v="15"/>
    <x v="3"/>
    <x v="475"/>
    <n v="2"/>
    <n v="21.38"/>
    <d v="1899-12-30T01:17:00"/>
    <n v="1.2833333333333332"/>
    <n v="1.25"/>
    <x v="0"/>
    <s v="Portland"/>
    <n v="4"/>
  </r>
  <r>
    <n v="1145"/>
    <s v="DD"/>
    <s v="Order"/>
    <n v="15"/>
    <x v="3"/>
    <x v="475"/>
    <n v="4"/>
    <n v="33.75"/>
    <d v="1899-12-30T01:17:00"/>
    <n v="1.2833333333333332"/>
    <n v="1.25"/>
    <x v="0"/>
    <s v="Portland"/>
    <n v="4"/>
  </r>
  <r>
    <n v="1146"/>
    <s v="UE"/>
    <s v="Order"/>
    <n v="15"/>
    <x v="4"/>
    <x v="476"/>
    <n v="6"/>
    <n v="79.87"/>
    <d v="1899-12-30T03:06:00"/>
    <n v="3.1000000000000005"/>
    <n v="3"/>
    <x v="0"/>
    <s v="Brunswick/Bath/Freeport"/>
    <n v="2"/>
  </r>
  <r>
    <n v="1147"/>
    <s v="DD"/>
    <s v="Order"/>
    <n v="15"/>
    <x v="4"/>
    <x v="476"/>
    <n v="1"/>
    <n v="5"/>
    <d v="1899-12-30T00:23:00"/>
    <n v="0.3833333333333333"/>
    <n v="0.5"/>
    <x v="0"/>
    <s v="Brunswick/Bath/Freeport"/>
    <n v="2"/>
  </r>
  <r>
    <n v="1148"/>
    <s v="DD"/>
    <s v="Order"/>
    <n v="15"/>
    <x v="4"/>
    <x v="476"/>
    <n v="1"/>
    <n v="16.489999999999998"/>
    <d v="1899-12-30T01:01:00"/>
    <n v="1.0166666666666666"/>
    <n v="1"/>
    <x v="0"/>
    <s v="Brunswick/Bath/Freeport"/>
    <n v="2"/>
  </r>
  <r>
    <n v="1149"/>
    <s v="DD"/>
    <s v="Order"/>
    <n v="15"/>
    <x v="4"/>
    <x v="476"/>
    <n v="1"/>
    <n v="3.75"/>
    <d v="1899-12-30T00:55:00"/>
    <n v="0.91666666666666674"/>
    <n v="1"/>
    <x v="0"/>
    <s v="Brunswick/Bath/Freeport"/>
    <n v="2"/>
  </r>
  <r>
    <n v="1150"/>
    <s v="UE"/>
    <s v="Order"/>
    <n v="15"/>
    <x v="0"/>
    <x v="477"/>
    <n v="7"/>
    <n v="122.13"/>
    <d v="1899-12-30T04:03:00"/>
    <n v="4.0500000000000007"/>
    <n v="4"/>
    <x v="0"/>
    <s v="Brunswick/Bath/Freeport"/>
    <n v="2"/>
  </r>
  <r>
    <n v="1151"/>
    <s v="DD"/>
    <s v="Order"/>
    <n v="15"/>
    <x v="0"/>
    <x v="477"/>
    <n v="5"/>
    <n v="32"/>
    <d v="1899-12-30T02:36:00"/>
    <n v="2.6"/>
    <n v="2.5"/>
    <x v="0"/>
    <s v="Brunswick/Bath/Freeport"/>
    <n v="2"/>
  </r>
  <r>
    <n v="1152"/>
    <s v="DD"/>
    <s v="Order"/>
    <n v="15"/>
    <x v="0"/>
    <x v="477"/>
    <n v="2"/>
    <n v="23.87"/>
    <d v="1899-12-30T01:14:00"/>
    <n v="1.2333333333333334"/>
    <n v="1.25"/>
    <x v="2"/>
    <s v="Brunswick/Bath/Freeport"/>
    <n v="2"/>
  </r>
  <r>
    <n v="1153"/>
    <s v="DD"/>
    <s v="Order"/>
    <n v="15"/>
    <x v="1"/>
    <x v="478"/>
    <n v="2"/>
    <n v="7.25"/>
    <d v="1899-12-30T00:54:00"/>
    <n v="0.89999999999999991"/>
    <n v="1"/>
    <x v="2"/>
    <s v="Brunswick/Bath/Freeport"/>
    <n v="2"/>
  </r>
  <r>
    <n v="1154"/>
    <s v="DD"/>
    <s v="Order"/>
    <n v="15"/>
    <x v="1"/>
    <x v="478"/>
    <n v="3"/>
    <n v="25.5"/>
    <d v="1899-12-30T01:08:00"/>
    <n v="1.1333333333333333"/>
    <n v="1.25"/>
    <x v="2"/>
    <s v="Brunswick/Bath/Freeport"/>
    <n v="2"/>
  </r>
  <r>
    <n v="1155"/>
    <s v="DD"/>
    <s v="Order"/>
    <n v="15"/>
    <x v="1"/>
    <x v="478"/>
    <n v="1"/>
    <n v="6.25"/>
    <d v="1899-12-30T00:38:00"/>
    <n v="0.6333333333333333"/>
    <n v="0.75"/>
    <x v="0"/>
    <s v="Augusta"/>
    <n v="1"/>
  </r>
  <r>
    <n v="1156"/>
    <s v="DD"/>
    <s v="Order"/>
    <n v="15"/>
    <x v="1"/>
    <x v="478"/>
    <n v="1"/>
    <n v="5"/>
    <d v="1899-12-30T00:29:00"/>
    <n v="0.48333333333333339"/>
    <n v="0.5"/>
    <x v="0"/>
    <s v="Augusta"/>
    <n v="1"/>
  </r>
  <r>
    <n v="1157"/>
    <s v="DD"/>
    <s v="Order"/>
    <n v="15"/>
    <x v="1"/>
    <x v="478"/>
    <n v="6"/>
    <n v="30.75"/>
    <d v="1899-12-30T01:36:00"/>
    <n v="1.6"/>
    <n v="1.5"/>
    <x v="0"/>
    <s v="Augusta"/>
    <n v="1"/>
  </r>
  <r>
    <n v="1158"/>
    <s v="UE"/>
    <s v="Order"/>
    <n v="16"/>
    <x v="4"/>
    <x v="479"/>
    <n v="2"/>
    <n v="16.79"/>
    <d v="1899-12-30T02:37:00"/>
    <n v="2.6166666666666667"/>
    <n v="2.5"/>
    <x v="0"/>
    <s v="Brunswick/Bath/Freeport"/>
    <n v="2"/>
  </r>
  <r>
    <n v="1159"/>
    <s v="DD"/>
    <s v="Order"/>
    <n v="16"/>
    <x v="4"/>
    <x v="479"/>
    <n v="4"/>
    <n v="47.37"/>
    <d v="1899-12-30T01:29:00"/>
    <n v="1.4833333333333334"/>
    <n v="1.5"/>
    <x v="0"/>
    <s v="Brunswick/Bath/Freeport"/>
    <n v="2"/>
  </r>
  <r>
    <n v="1160"/>
    <s v="DD"/>
    <s v="Order"/>
    <n v="16"/>
    <x v="4"/>
    <x v="479"/>
    <n v="2"/>
    <n v="27.12"/>
    <d v="1899-12-30T02:11:00"/>
    <n v="2.1833333333333331"/>
    <n v="2.25"/>
    <x v="2"/>
    <s v="Brunswick/Bath/Freeport"/>
    <n v="2"/>
  </r>
  <r>
    <n v="1161"/>
    <s v="UE"/>
    <s v="Order"/>
    <n v="16"/>
    <x v="5"/>
    <x v="480"/>
    <n v="1"/>
    <n v="18.940000000000001"/>
    <d v="1899-12-30T02:10:00"/>
    <n v="2.1666666666666665"/>
    <n v="2.25"/>
    <x v="0"/>
    <s v="Augusta"/>
    <n v="1"/>
  </r>
  <r>
    <n v="1162"/>
    <s v="DD"/>
    <s v="Order"/>
    <n v="16"/>
    <x v="5"/>
    <x v="480"/>
    <n v="2"/>
    <n v="23.25"/>
    <d v="1899-12-30T00:57:00"/>
    <n v="0.95"/>
    <n v="1"/>
    <x v="0"/>
    <s v="Augusta"/>
    <n v="1"/>
  </r>
  <r>
    <n v="1163"/>
    <s v="DD"/>
    <s v="Order"/>
    <n v="16"/>
    <x v="5"/>
    <x v="480"/>
    <n v="1"/>
    <n v="8.25"/>
    <d v="1899-12-30T00:37:00"/>
    <n v="0.6166666666666667"/>
    <n v="0.5"/>
    <x v="0"/>
    <s v="Augusta"/>
    <n v="1"/>
  </r>
  <r>
    <n v="1164"/>
    <s v="DD"/>
    <s v="Order"/>
    <n v="16"/>
    <x v="0"/>
    <x v="481"/>
    <n v="6"/>
    <n v="74.75"/>
    <d v="1899-12-30T04:00:00"/>
    <n v="4"/>
    <n v="4"/>
    <x v="0"/>
    <s v="Brunswick/Bath/Freeport"/>
    <n v="2"/>
  </r>
  <r>
    <n v="1165"/>
    <s v="UE"/>
    <s v="Order"/>
    <n v="16"/>
    <x v="1"/>
    <x v="482"/>
    <n v="2"/>
    <n v="23.52"/>
    <d v="1899-12-30T02:12:00"/>
    <n v="2.1999999999999997"/>
    <n v="2.25"/>
    <x v="0"/>
    <s v="Brunswick/Bath/Freeport"/>
    <n v="2"/>
  </r>
  <r>
    <n v="1166"/>
    <s v="DD"/>
    <s v="Order"/>
    <n v="16"/>
    <x v="1"/>
    <x v="482"/>
    <n v="2"/>
    <n v="20.75"/>
    <d v="1899-12-30T01:32:00"/>
    <n v="1.5333333333333332"/>
    <n v="1.5"/>
    <x v="0"/>
    <s v="Brunswick/Bath/Freeport"/>
    <n v="2"/>
  </r>
  <r>
    <n v="1167"/>
    <s v="DD"/>
    <s v="Order"/>
    <n v="16"/>
    <x v="1"/>
    <x v="482"/>
    <n v="4"/>
    <n v="35.5"/>
    <d v="1899-12-30T01:40:00"/>
    <n v="1.6666666666666667"/>
    <n v="1.75"/>
    <x v="0"/>
    <s v="Brunswick/Bath/Freeport"/>
    <n v="2"/>
  </r>
  <r>
    <n v="1168"/>
    <s v="DD"/>
    <s v="Order"/>
    <n v="16"/>
    <x v="1"/>
    <x v="482"/>
    <n v="2"/>
    <n v="24.95"/>
    <d v="1899-12-30T01:11:00"/>
    <n v="1.1833333333333333"/>
    <n v="1.25"/>
    <x v="0"/>
    <s v="Brunswick/Bath/Freeport"/>
    <n v="2"/>
  </r>
  <r>
    <n v="1169"/>
    <s v="UE"/>
    <s v="Order"/>
    <n v="16"/>
    <x v="2"/>
    <x v="483"/>
    <n v="7"/>
    <n v="107.51"/>
    <d v="1899-12-30T03:43:00"/>
    <n v="3.7166666666666668"/>
    <n v="3.75"/>
    <x v="0"/>
    <s v="Brunswick/Bath/Freeport"/>
    <n v="2"/>
  </r>
  <r>
    <n v="1170"/>
    <s v="DD"/>
    <s v="Order"/>
    <n v="16"/>
    <x v="2"/>
    <x v="483"/>
    <n v="1"/>
    <n v="8.25"/>
    <d v="1899-12-30T01:13:00"/>
    <n v="1.2166666666666668"/>
    <n v="1.25"/>
    <x v="0"/>
    <s v="Brunswick/Bath/Freeport"/>
    <n v="2"/>
  </r>
  <r>
    <n v="1171"/>
    <s v="DD"/>
    <s v="Order"/>
    <n v="16"/>
    <x v="2"/>
    <x v="483"/>
    <n v="2"/>
    <n v="12.9"/>
    <d v="1899-12-30T00:59:00"/>
    <n v="0.98333333333333339"/>
    <n v="1"/>
    <x v="2"/>
    <s v="Brunswick/Bath/Freeport"/>
    <n v="2"/>
  </r>
  <r>
    <n v="1172"/>
    <s v="DD"/>
    <s v="Order"/>
    <n v="17"/>
    <x v="3"/>
    <x v="484"/>
    <n v="6"/>
    <n v="37.25"/>
    <d v="1899-12-30T02:07:00"/>
    <n v="2.1166666666666667"/>
    <n v="2"/>
    <x v="0"/>
    <s v="Brunswick/Bath/Freeport"/>
    <n v="2"/>
  </r>
  <r>
    <n v="1173"/>
    <s v="DD"/>
    <s v="Order"/>
    <n v="17"/>
    <x v="3"/>
    <x v="484"/>
    <n v="3"/>
    <n v="19.75"/>
    <d v="1899-12-30T01:09:00"/>
    <n v="1.1500000000000001"/>
    <n v="1.25"/>
    <x v="0"/>
    <s v="Brunswick/Bath/Freeport"/>
    <n v="2"/>
  </r>
  <r>
    <n v="1174"/>
    <s v="UE"/>
    <s v="Order"/>
    <n v="17"/>
    <x v="4"/>
    <x v="485"/>
    <n v="1"/>
    <n v="5.05"/>
    <d v="1899-12-30T01:11:00"/>
    <n v="1.1833333333333333"/>
    <n v="1.25"/>
    <x v="0"/>
    <s v="Lewiston"/>
    <n v="3"/>
  </r>
  <r>
    <n v="1175"/>
    <s v="DD"/>
    <s v="Order"/>
    <n v="17"/>
    <x v="4"/>
    <x v="485"/>
    <n v="4"/>
    <n v="39.75"/>
    <d v="1899-12-30T02:19:00"/>
    <n v="2.3166666666666669"/>
    <n v="2.25"/>
    <x v="0"/>
    <s v="Lewiston"/>
    <n v="3"/>
  </r>
  <r>
    <n v="1176"/>
    <s v="DD"/>
    <s v="Order"/>
    <n v="17"/>
    <x v="4"/>
    <x v="485"/>
    <n v="6"/>
    <n v="28"/>
    <d v="1899-12-30T01:53:00"/>
    <n v="1.8833333333333333"/>
    <n v="2"/>
    <x v="0"/>
    <s v="Lewiston"/>
    <n v="3"/>
  </r>
  <r>
    <n v="1177"/>
    <s v="UE"/>
    <s v="Order"/>
    <n v="17"/>
    <x v="6"/>
    <x v="486"/>
    <n v="3"/>
    <n v="41.86"/>
    <d v="1899-12-30T02:35:00"/>
    <n v="2.5833333333333335"/>
    <n v="2.5"/>
    <x v="0"/>
    <s v="Lewiston"/>
    <n v="3"/>
  </r>
  <r>
    <n v="1178"/>
    <s v="DD"/>
    <s v="Order"/>
    <n v="17"/>
    <x v="6"/>
    <x v="486"/>
    <n v="3"/>
    <n v="26.75"/>
    <d v="1899-12-30T01:59:00"/>
    <n v="1.9833333333333334"/>
    <n v="2"/>
    <x v="0"/>
    <s v="Lewiston"/>
    <n v="3"/>
  </r>
  <r>
    <n v="1179"/>
    <s v="UE"/>
    <s v="Order"/>
    <n v="17"/>
    <x v="0"/>
    <x v="487"/>
    <n v="2"/>
    <n v="25.16"/>
    <d v="1899-12-30T01:33:00"/>
    <n v="1.5500000000000003"/>
    <n v="1.5"/>
    <x v="0"/>
    <s v="Brunswick/Bath/Freeport"/>
    <n v="2"/>
  </r>
  <r>
    <n v="1180"/>
    <s v="DD"/>
    <s v="Order"/>
    <n v="17"/>
    <x v="0"/>
    <x v="487"/>
    <n v="5"/>
    <n v="47.04"/>
    <d v="1899-12-30T02:09:00"/>
    <n v="2.15"/>
    <n v="2.25"/>
    <x v="0"/>
    <s v="Brunswick/Bath/Freeport"/>
    <n v="2"/>
  </r>
  <r>
    <n v="1181"/>
    <s v="DD"/>
    <s v="Order"/>
    <n v="17"/>
    <x v="0"/>
    <x v="487"/>
    <n v="5"/>
    <n v="34.5"/>
    <d v="1899-12-30T01:55:00"/>
    <n v="1.9166666666666665"/>
    <n v="2"/>
    <x v="0"/>
    <s v="Brunswick/Bath/Freeport"/>
    <n v="2"/>
  </r>
  <r>
    <n v="1182"/>
    <s v="DD"/>
    <s v="Order"/>
    <n v="17"/>
    <x v="0"/>
    <x v="487"/>
    <n v="2"/>
    <n v="14"/>
    <d v="1899-12-30T01:00:00"/>
    <n v="1"/>
    <n v="1"/>
    <x v="2"/>
    <s v="Brunswick/Bath/Freeport"/>
    <n v="2"/>
  </r>
  <r>
    <n v="1183"/>
    <s v="UE"/>
    <s v="Order"/>
    <n v="17"/>
    <x v="1"/>
    <x v="488"/>
    <n v="5"/>
    <n v="71.91"/>
    <d v="1899-12-30T03:13:00"/>
    <n v="3.2166666666666668"/>
    <n v="3.25"/>
    <x v="0"/>
    <s v="Brunswick/Bath/Freeport"/>
    <n v="2"/>
  </r>
  <r>
    <n v="1184"/>
    <s v="DD"/>
    <s v="Order"/>
    <n v="17"/>
    <x v="1"/>
    <x v="488"/>
    <n v="3"/>
    <n v="17"/>
    <d v="1899-12-30T01:53:00"/>
    <n v="1.8833333333333333"/>
    <n v="2"/>
    <x v="0"/>
    <s v="Brunswick/Bath/Freeport"/>
    <n v="2"/>
  </r>
  <r>
    <n v="1185"/>
    <s v="DD"/>
    <s v="Order"/>
    <n v="17"/>
    <x v="1"/>
    <x v="488"/>
    <n v="1"/>
    <n v="9.75"/>
    <d v="1899-12-30T00:49:00"/>
    <n v="0.81666666666666665"/>
    <n v="0.75"/>
    <x v="0"/>
    <s v="Brunswick/Bath/Freeport"/>
    <n v="2"/>
  </r>
  <r>
    <n v="1186"/>
    <s v="DD"/>
    <s v="Order"/>
    <n v="17"/>
    <x v="1"/>
    <x v="488"/>
    <n v="3"/>
    <n v="22.5"/>
    <d v="1899-12-30T01:07:00"/>
    <n v="1.1166666666666667"/>
    <n v="1"/>
    <x v="2"/>
    <s v="Brunswick/Bath/Freeport"/>
    <n v="2"/>
  </r>
  <r>
    <n v="1187"/>
    <s v="UE"/>
    <s v="Order"/>
    <n v="17"/>
    <x v="2"/>
    <x v="489"/>
    <n v="1"/>
    <n v="9.27"/>
    <d v="1899-12-30T01:52:00"/>
    <n v="1.8666666666666667"/>
    <n v="1.75"/>
    <x v="0"/>
    <s v="Augusta"/>
    <n v="1"/>
  </r>
  <r>
    <n v="1188"/>
    <s v="DD"/>
    <s v="Order"/>
    <n v="17"/>
    <x v="2"/>
    <x v="489"/>
    <n v="2"/>
    <n v="24.5"/>
    <d v="1899-12-30T00:50:00"/>
    <n v="0.83333333333333337"/>
    <n v="0.75"/>
    <x v="0"/>
    <s v="Augusta"/>
    <n v="1"/>
  </r>
  <r>
    <n v="1189"/>
    <s v="DD"/>
    <s v="Order"/>
    <n v="17"/>
    <x v="2"/>
    <x v="489"/>
    <n v="4"/>
    <n v="17.5"/>
    <d v="1899-12-30T01:19:00"/>
    <n v="1.3166666666666667"/>
    <n v="1.25"/>
    <x v="0"/>
    <s v="Augusta"/>
    <n v="1"/>
  </r>
  <r>
    <n v="1190"/>
    <s v="UE"/>
    <s v="Order"/>
    <n v="18"/>
    <x v="4"/>
    <x v="490"/>
    <n v="1"/>
    <n v="16.350000000000001"/>
    <d v="1899-12-30T00:31:00"/>
    <n v="0.51666666666666661"/>
    <n v="0.5"/>
    <x v="0"/>
    <s v="Brunswick/Bath/Freeport"/>
    <n v="2"/>
  </r>
  <r>
    <n v="1191"/>
    <s v="DD"/>
    <s v="Order"/>
    <n v="18"/>
    <x v="4"/>
    <x v="490"/>
    <n v="1"/>
    <n v="16.25"/>
    <d v="1899-12-30T00:46:00"/>
    <n v="0.76666666666666661"/>
    <n v="0.75"/>
    <x v="0"/>
    <s v="Brunswick/Bath/Freeport"/>
    <n v="2"/>
  </r>
  <r>
    <n v="1192"/>
    <s v="DD"/>
    <s v="Order"/>
    <n v="18"/>
    <x v="4"/>
    <x v="490"/>
    <n v="4"/>
    <n v="25.5"/>
    <d v="1899-12-30T01:33:00"/>
    <n v="1.5500000000000003"/>
    <n v="1.5"/>
    <x v="0"/>
    <s v="Brunswick/Bath/Freeport"/>
    <n v="2"/>
  </r>
  <r>
    <n v="1193"/>
    <s v="DD"/>
    <s v="Order"/>
    <n v="18"/>
    <x v="4"/>
    <x v="490"/>
    <n v="4"/>
    <n v="26.5"/>
    <d v="1899-12-30T01:25:00"/>
    <n v="1.4166666666666665"/>
    <n v="1.5"/>
    <x v="2"/>
    <s v="Brunswick/Bath/Freeport"/>
    <n v="2"/>
  </r>
  <r>
    <n v="1194"/>
    <s v="UE"/>
    <s v="Order"/>
    <n v="18"/>
    <x v="5"/>
    <x v="491"/>
    <n v="2"/>
    <n v="35.76"/>
    <d v="1899-12-30T01:09:00"/>
    <n v="1.1500000000000001"/>
    <n v="1.25"/>
    <x v="0"/>
    <s v="Brunswick/Bath/Freeport"/>
    <n v="2"/>
  </r>
  <r>
    <n v="1195"/>
    <s v="DD"/>
    <s v="Order"/>
    <n v="18"/>
    <x v="5"/>
    <x v="491"/>
    <n v="4"/>
    <n v="36.75"/>
    <d v="1899-12-30T02:11:00"/>
    <n v="2.1833333333333331"/>
    <n v="2.25"/>
    <x v="0"/>
    <s v="Brunswick/Bath/Freeport"/>
    <n v="2"/>
  </r>
  <r>
    <n v="1196"/>
    <s v="DD"/>
    <s v="Order"/>
    <n v="18"/>
    <x v="5"/>
    <x v="491"/>
    <n v="5"/>
    <n v="36"/>
    <d v="1899-12-30T01:36:00"/>
    <n v="1.6"/>
    <n v="1.5"/>
    <x v="0"/>
    <s v="Brunswick/Bath/Freeport"/>
    <n v="2"/>
  </r>
  <r>
    <n v="1197"/>
    <s v="DD"/>
    <s v="Order"/>
    <n v="18"/>
    <x v="5"/>
    <x v="491"/>
    <n v="1"/>
    <n v="6.9"/>
    <d v="1899-12-30T00:48:00"/>
    <n v="0.8"/>
    <n v="0.75"/>
    <x v="2"/>
    <s v="Brunswick/Bath/Freeport"/>
    <n v="2"/>
  </r>
  <r>
    <n v="1198"/>
    <s v="UE"/>
    <s v="Order"/>
    <n v="18"/>
    <x v="6"/>
    <x v="492"/>
    <n v="6"/>
    <n v="65.92"/>
    <d v="1899-12-30T02:07:00"/>
    <n v="2.1166666666666663"/>
    <n v="2"/>
    <x v="0"/>
    <s v="Augusta"/>
    <n v="1"/>
  </r>
  <r>
    <n v="1199"/>
    <s v="DD"/>
    <s v="Hourly"/>
    <n v="18"/>
    <x v="6"/>
    <x v="492"/>
    <n v="3"/>
    <n v="18.71"/>
    <d v="1899-12-30T01:47:00"/>
    <n v="1.7833333333333332"/>
    <n v="1.75"/>
    <x v="0"/>
    <s v="Augusta"/>
    <n v="1"/>
  </r>
  <r>
    <n v="1200"/>
    <s v="DD"/>
    <s v="Order"/>
    <n v="18"/>
    <x v="6"/>
    <x v="492"/>
    <n v="4"/>
    <n v="23"/>
    <d v="1899-12-30T01:31:00"/>
    <n v="1.5166666666666666"/>
    <n v="1.5"/>
    <x v="2"/>
    <s v="Augusta"/>
    <n v="1"/>
  </r>
  <r>
    <n v="1201"/>
    <s v="UE"/>
    <s v="Order"/>
    <n v="18"/>
    <x v="0"/>
    <x v="493"/>
    <n v="1"/>
    <n v="9.3699999999999992"/>
    <d v="1899-12-30T00:40:00"/>
    <n v="0.66666666666666663"/>
    <n v="0.75"/>
    <x v="0"/>
    <s v="Lewiston"/>
    <n v="3"/>
  </r>
  <r>
    <n v="1202"/>
    <s v="DD"/>
    <s v="Order"/>
    <n v="18"/>
    <x v="0"/>
    <x v="493"/>
    <n v="8"/>
    <n v="77.17"/>
    <d v="1899-12-30T02:55:00"/>
    <n v="2.9166666666666665"/>
    <n v="3"/>
    <x v="0"/>
    <s v="Lewiston"/>
    <n v="3"/>
  </r>
  <r>
    <n v="1203"/>
    <s v="DD"/>
    <s v="Order"/>
    <n v="18"/>
    <x v="0"/>
    <x v="493"/>
    <n v="6"/>
    <n v="37"/>
    <d v="1899-12-30T01:33:00"/>
    <n v="1.5500000000000003"/>
    <n v="1.5"/>
    <x v="2"/>
    <s v="Lewiston"/>
    <n v="3"/>
  </r>
  <r>
    <n v="1204"/>
    <s v="UE"/>
    <s v="Order"/>
    <n v="18"/>
    <x v="1"/>
    <x v="494"/>
    <n v="3"/>
    <n v="31.21"/>
    <d v="1899-12-30T01:09:00"/>
    <n v="1.1499999999999999"/>
    <n v="1.25"/>
    <x v="0"/>
    <s v="Brunswick/Bath/Freeport"/>
    <n v="2"/>
  </r>
  <r>
    <n v="1205"/>
    <s v="DD"/>
    <s v="Hourly"/>
    <n v="18"/>
    <x v="1"/>
    <x v="494"/>
    <n v="5"/>
    <n v="41.84"/>
    <d v="1899-12-30T02:50:00"/>
    <n v="2.833333333333333"/>
    <n v="2.75"/>
    <x v="0"/>
    <s v="Brunswick/Bath/Freeport"/>
    <n v="2"/>
  </r>
  <r>
    <n v="1206"/>
    <s v="UE"/>
    <s v="Order"/>
    <n v="18"/>
    <x v="2"/>
    <x v="495"/>
    <n v="2"/>
    <n v="46.51"/>
    <d v="1899-12-30T01:01:00"/>
    <n v="1.0166666666666666"/>
    <n v="1"/>
    <x v="0"/>
    <s v="Brunswick/Bath/Freeport"/>
    <n v="2"/>
  </r>
  <r>
    <n v="1207"/>
    <s v="DD"/>
    <s v="Order"/>
    <n v="18"/>
    <x v="2"/>
    <x v="495"/>
    <n v="6"/>
    <n v="60.57"/>
    <d v="1899-12-30T02:56:00"/>
    <n v="2.9333333333333331"/>
    <n v="3"/>
    <x v="0"/>
    <s v="Brunswick/Bath/Freeport"/>
    <n v="2"/>
  </r>
  <r>
    <n v="1208"/>
    <s v="DD"/>
    <s v="Order"/>
    <n v="18"/>
    <x v="2"/>
    <x v="495"/>
    <n v="2"/>
    <n v="34.549999999999997"/>
    <d v="1899-12-30T01:20:00"/>
    <n v="1.3333333333333333"/>
    <n v="1.25"/>
    <x v="2"/>
    <s v="Brunswick/Bath/Freeport"/>
    <n v="2"/>
  </r>
  <r>
    <n v="1209"/>
    <s v="UE"/>
    <s v="Order"/>
    <n v="19"/>
    <x v="3"/>
    <x v="496"/>
    <n v="5"/>
    <n v="75.8"/>
    <d v="1899-12-30T03:00:00"/>
    <n v="3"/>
    <n v="3"/>
    <x v="0"/>
    <s v="Brunswick/Bath/Freeport"/>
    <n v="2"/>
  </r>
  <r>
    <n v="1210"/>
    <s v="DD"/>
    <s v="Order"/>
    <n v="19"/>
    <x v="3"/>
    <x v="496"/>
    <n v="6"/>
    <n v="41.5"/>
    <d v="1899-12-30T03:06:00"/>
    <n v="3.1000000000000005"/>
    <n v="3"/>
    <x v="0"/>
    <s v="Brunswick/Bath/Freeport"/>
    <n v="2"/>
  </r>
  <r>
    <n v="1211"/>
    <s v="DD"/>
    <s v="Order"/>
    <n v="19"/>
    <x v="3"/>
    <x v="496"/>
    <n v="2"/>
    <n v="15.75"/>
    <d v="1899-12-30T01:22:00"/>
    <n v="1.3666666666666667"/>
    <n v="1.25"/>
    <x v="2"/>
    <s v="Brunswick/Bath/Freeport"/>
    <n v="2"/>
  </r>
  <r>
    <n v="1212"/>
    <s v="UE"/>
    <s v="Order"/>
    <n v="19"/>
    <x v="4"/>
    <x v="497"/>
    <n v="4"/>
    <n v="55.91"/>
    <d v="1899-12-30T02:48:00"/>
    <n v="2.8"/>
    <n v="2.75"/>
    <x v="0"/>
    <s v="Portland"/>
    <n v="4"/>
  </r>
  <r>
    <n v="1213"/>
    <s v="DD"/>
    <s v="Hourly"/>
    <n v="19"/>
    <x v="4"/>
    <x v="497"/>
    <n v="2"/>
    <n v="13.08"/>
    <d v="1899-12-30T00:57:00"/>
    <n v="0.95"/>
    <n v="1"/>
    <x v="0"/>
    <s v="Portland"/>
    <n v="4"/>
  </r>
  <r>
    <n v="1214"/>
    <s v="DD"/>
    <s v="Hourly"/>
    <n v="19"/>
    <x v="4"/>
    <x v="497"/>
    <n v="1"/>
    <n v="6.03"/>
    <d v="1899-12-30T00:28:00"/>
    <n v="0.46666666666666667"/>
    <n v="0.5"/>
    <x v="0"/>
    <s v="Portland"/>
    <n v="4"/>
  </r>
  <r>
    <n v="1215"/>
    <s v="UE"/>
    <s v="Order"/>
    <n v="19"/>
    <x v="6"/>
    <x v="498"/>
    <n v="3"/>
    <n v="53.21"/>
    <d v="1899-12-30T02:23:00"/>
    <n v="2.3833333333333333"/>
    <n v="2.5"/>
    <x v="0"/>
    <s v="Brunswick/Bath/Freeport"/>
    <n v="2"/>
  </r>
  <r>
    <n v="1216"/>
    <s v="DD"/>
    <s v="Order"/>
    <n v="19"/>
    <x v="6"/>
    <x v="498"/>
    <n v="4"/>
    <n v="32.840000000000003"/>
    <d v="1899-12-30T02:08:00"/>
    <n v="2.1333333333333333"/>
    <n v="2.25"/>
    <x v="0"/>
    <s v="Brunswick/Bath/Freeport"/>
    <n v="2"/>
  </r>
  <r>
    <n v="1217"/>
    <s v="DD"/>
    <s v="Order"/>
    <n v="19"/>
    <x v="6"/>
    <x v="498"/>
    <n v="1"/>
    <n v="5.5"/>
    <d v="1899-12-30T00:19:00"/>
    <n v="0.31666666666666665"/>
    <n v="0.25"/>
    <x v="2"/>
    <s v="Brunswick/Bath/Freeport"/>
    <n v="2"/>
  </r>
  <r>
    <n v="1218"/>
    <s v="UE"/>
    <s v="Order"/>
    <n v="20"/>
    <x v="3"/>
    <x v="499"/>
    <n v="6"/>
    <n v="96.7"/>
    <d v="1899-12-30T03:13:00"/>
    <n v="3.2166666666666668"/>
    <n v="3.25"/>
    <x v="0"/>
    <s v="Brunswick/Bath/Freeport"/>
    <n v="2"/>
  </r>
  <r>
    <n v="1219"/>
    <s v="DD"/>
    <s v="Order"/>
    <n v="20"/>
    <x v="3"/>
    <x v="499"/>
    <n v="7"/>
    <n v="47.13"/>
    <d v="1899-12-30T03:58:00"/>
    <n v="3.9666666666666668"/>
    <n v="4"/>
    <x v="0"/>
    <s v="Brunswick/Bath/Freeport"/>
    <n v="2"/>
  </r>
  <r>
    <n v="1220"/>
    <s v="UE"/>
    <s v="Order"/>
    <n v="20"/>
    <x v="4"/>
    <x v="500"/>
    <n v="4"/>
    <n v="58.48"/>
    <d v="1899-12-30T02:59:00"/>
    <n v="2.9833333333333334"/>
    <n v="3"/>
    <x v="0"/>
    <s v="Brunswick/Bath/Freeport"/>
    <n v="2"/>
  </r>
  <r>
    <n v="1221"/>
    <s v="DD"/>
    <s v="Order"/>
    <n v="20"/>
    <x v="4"/>
    <x v="500"/>
    <n v="10"/>
    <n v="76"/>
    <d v="1899-12-30T03:49:00"/>
    <n v="3.8166666666666664"/>
    <n v="3.75"/>
    <x v="0"/>
    <s v="Brunswick/Bath/Freeport"/>
    <n v="2"/>
  </r>
  <r>
    <n v="1222"/>
    <s v="DD"/>
    <s v="Order"/>
    <n v="20"/>
    <x v="4"/>
    <x v="500"/>
    <n v="2"/>
    <n v="8"/>
    <d v="1899-12-30T01:24:00"/>
    <n v="1.4"/>
    <n v="1.5"/>
    <x v="2"/>
    <s v="Brunswick/Bath/Freeport"/>
    <n v="2"/>
  </r>
  <r>
    <n v="1223"/>
    <s v="UE"/>
    <s v="Order"/>
    <n v="20"/>
    <x v="5"/>
    <x v="501"/>
    <n v="4"/>
    <n v="56.65"/>
    <d v="1899-12-30T02:10:00"/>
    <n v="2.1666666666666665"/>
    <n v="2.25"/>
    <x v="0"/>
    <s v="Brunswick/Bath/Freeport"/>
    <n v="2"/>
  </r>
  <r>
    <n v="1224"/>
    <s v="DD"/>
    <s v="Order"/>
    <n v="20"/>
    <x v="5"/>
    <x v="501"/>
    <n v="10"/>
    <n v="62.5"/>
    <d v="1899-12-30T04:27:00"/>
    <n v="4.45"/>
    <n v="4.5"/>
    <x v="0"/>
    <s v="Brunswick/Bath/Freeport"/>
    <n v="2"/>
  </r>
  <r>
    <n v="1225"/>
    <s v="DD"/>
    <s v="Order"/>
    <n v="20"/>
    <x v="5"/>
    <x v="501"/>
    <n v="1"/>
    <n v="6"/>
    <d v="1899-12-30T00:42:00"/>
    <n v="0.7"/>
    <n v="0.75"/>
    <x v="2"/>
    <s v="Brunswick/Bath/Freeport"/>
    <n v="2"/>
  </r>
  <r>
    <n v="1226"/>
    <s v="UE"/>
    <s v="Order"/>
    <n v="20"/>
    <x v="6"/>
    <x v="502"/>
    <n v="5"/>
    <n v="80.17"/>
    <d v="1899-12-30T03:36:00"/>
    <n v="3.5999999999999996"/>
    <n v="3.5"/>
    <x v="0"/>
    <s v="Brunswick/Bath/Freeport"/>
    <n v="2"/>
  </r>
  <r>
    <n v="1227"/>
    <s v="DD"/>
    <s v="Order"/>
    <n v="20"/>
    <x v="6"/>
    <x v="502"/>
    <n v="2"/>
    <n v="17.5"/>
    <d v="1899-12-30T02:17:00"/>
    <n v="2.2833333333333332"/>
    <n v="2.25"/>
    <x v="0"/>
    <s v="Brunswick/Bath/Freeport"/>
    <n v="2"/>
  </r>
  <r>
    <n v="1228"/>
    <s v="DD"/>
    <s v="Order"/>
    <n v="20"/>
    <x v="6"/>
    <x v="502"/>
    <n v="3"/>
    <n v="22"/>
    <d v="1899-12-30T02:28:00"/>
    <n v="2.4666666666666668"/>
    <n v="2.5"/>
    <x v="0"/>
    <s v="Brunswick/Bath/Freeport"/>
    <n v="2"/>
  </r>
  <r>
    <n v="1229"/>
    <s v="DD"/>
    <s v="Order"/>
    <n v="20"/>
    <x v="6"/>
    <x v="502"/>
    <n v="1"/>
    <n v="10"/>
    <d v="1899-12-30T00:32:00"/>
    <n v="0.53333333333333333"/>
    <n v="0.5"/>
    <x v="2"/>
    <s v="Brunswick/Bath/Freeport"/>
    <n v="2"/>
  </r>
  <r>
    <n v="1230"/>
    <s v="UE"/>
    <s v="Order"/>
    <n v="20"/>
    <x v="0"/>
    <x v="503"/>
    <n v="12"/>
    <n v="114.74"/>
    <d v="1899-12-30T05:13:00"/>
    <n v="5.2166666666666668"/>
    <n v="5.25"/>
    <x v="0"/>
    <s v="Portland"/>
    <n v="4"/>
  </r>
  <r>
    <n v="1231"/>
    <s v="DD"/>
    <s v="Order"/>
    <n v="20"/>
    <x v="0"/>
    <x v="503"/>
    <n v="2"/>
    <n v="20.75"/>
    <d v="1899-12-30T01:04:00"/>
    <n v="1.0666666666666667"/>
    <n v="1"/>
    <x v="0"/>
    <s v="Portland"/>
    <n v="4"/>
  </r>
  <r>
    <n v="1232"/>
    <s v="DD"/>
    <s v="Order"/>
    <n v="20"/>
    <x v="0"/>
    <x v="503"/>
    <n v="3"/>
    <n v="16"/>
    <d v="1899-12-30T00:40:00"/>
    <n v="0.66666666666666663"/>
    <n v="0.75"/>
    <x v="2"/>
    <s v="Portland"/>
    <n v="4"/>
  </r>
  <r>
    <n v="1233"/>
    <s v="DD"/>
    <s v="Order"/>
    <n v="21"/>
    <x v="3"/>
    <x v="504"/>
    <n v="4"/>
    <n v="22"/>
    <d v="1899-12-30T01:27:00"/>
    <n v="1.45"/>
    <n v="1.5"/>
    <x v="1"/>
    <s v="Brunswick/Bath/Freeport"/>
    <n v="2"/>
  </r>
  <r>
    <n v="1234"/>
    <s v="UE"/>
    <s v="Order"/>
    <n v="21"/>
    <x v="5"/>
    <x v="505"/>
    <n v="2"/>
    <n v="30.4"/>
    <d v="1899-12-30T01:48:00"/>
    <n v="1.7999999999999998"/>
    <n v="1.75"/>
    <x v="0"/>
    <s v="Brunswick/Bath/Freeport"/>
    <n v="2"/>
  </r>
  <r>
    <n v="1235"/>
    <s v="DD"/>
    <s v="Order"/>
    <n v="21"/>
    <x v="5"/>
    <x v="505"/>
    <n v="1"/>
    <n v="11.25"/>
    <d v="1899-12-30T00:33:00"/>
    <n v="0.54999999999999993"/>
    <n v="0.5"/>
    <x v="0"/>
    <s v="Brunswick/Bath/Freeport"/>
    <n v="2"/>
  </r>
  <r>
    <n v="1236"/>
    <s v="DD"/>
    <s v="Order"/>
    <n v="21"/>
    <x v="5"/>
    <x v="505"/>
    <n v="6"/>
    <n v="63.75"/>
    <d v="1899-12-30T04:23:00"/>
    <n v="4.3833333333333329"/>
    <n v="4.5"/>
    <x v="0"/>
    <s v="Brunswick/Bath/Freeport"/>
    <n v="2"/>
  </r>
  <r>
    <n v="1237"/>
    <s v="DD"/>
    <s v="Order"/>
    <n v="21"/>
    <x v="6"/>
    <x v="506"/>
    <n v="10"/>
    <n v="72.94"/>
    <d v="1899-12-30T04:02:00"/>
    <n v="4.0333333333333332"/>
    <n v="4"/>
    <x v="0"/>
    <s v="Brunswick/Bath/Freeport"/>
    <n v="2"/>
  </r>
  <r>
    <n v="1238"/>
    <s v="UE"/>
    <s v="Order"/>
    <n v="21"/>
    <x v="0"/>
    <x v="507"/>
    <n v="3"/>
    <n v="28.19"/>
    <d v="1899-12-30T02:39:00"/>
    <n v="2.65"/>
    <n v="2.75"/>
    <x v="0"/>
    <s v="Brunswick/Bath/Freeport"/>
    <n v="2"/>
  </r>
  <r>
    <n v="1239"/>
    <s v="DD"/>
    <s v="Order"/>
    <n v="21"/>
    <x v="0"/>
    <x v="507"/>
    <n v="1"/>
    <n v="5.5"/>
    <d v="1899-12-30T01:02:00"/>
    <n v="1.0333333333333332"/>
    <n v="1"/>
    <x v="0"/>
    <s v="Brunswick/Bath/Freeport"/>
    <n v="2"/>
  </r>
  <r>
    <n v="1240"/>
    <s v="DD"/>
    <s v="Order"/>
    <n v="21"/>
    <x v="0"/>
    <x v="507"/>
    <n v="2"/>
    <n v="15"/>
    <d v="1899-12-30T01:22:00"/>
    <n v="1.3666666666666667"/>
    <n v="1.25"/>
    <x v="0"/>
    <s v="Brunswick/Bath/Freeport"/>
    <n v="2"/>
  </r>
  <r>
    <n v="1241"/>
    <s v="DD"/>
    <s v="Order"/>
    <n v="21"/>
    <x v="0"/>
    <x v="507"/>
    <n v="2"/>
    <n v="23.5"/>
    <d v="1899-12-30T01:12:00"/>
    <n v="1.2000000000000002"/>
    <n v="1.25"/>
    <x v="0"/>
    <s v="Brunswick/Bath/Freeport"/>
    <n v="2"/>
  </r>
  <r>
    <n v="1242"/>
    <s v="UE"/>
    <s v="Order"/>
    <n v="22"/>
    <x v="3"/>
    <x v="508"/>
    <n v="3"/>
    <n v="38.770000000000003"/>
    <d v="1899-12-30T01:28:00"/>
    <n v="1.4666666666666668"/>
    <n v="1.5"/>
    <x v="0"/>
    <s v="Augusta"/>
    <n v="1"/>
  </r>
  <r>
    <n v="1243"/>
    <s v="DD"/>
    <s v="Order"/>
    <n v="22"/>
    <x v="3"/>
    <x v="508"/>
    <n v="1"/>
    <n v="5.5"/>
    <d v="1899-12-30T00:34:00"/>
    <n v="0.56666666666666665"/>
    <n v="0.5"/>
    <x v="0"/>
    <s v="Augusta"/>
    <n v="1"/>
  </r>
  <r>
    <n v="1244"/>
    <s v="DD"/>
    <s v="Hourly"/>
    <n v="22"/>
    <x v="3"/>
    <x v="508"/>
    <n v="3"/>
    <n v="27.98"/>
    <d v="1899-12-30T02:11:00"/>
    <n v="2.1833333333333331"/>
    <n v="2.25"/>
    <x v="0"/>
    <s v="Augusta"/>
    <n v="1"/>
  </r>
  <r>
    <n v="1245"/>
    <s v="DD"/>
    <s v="Hourly"/>
    <n v="22"/>
    <x v="3"/>
    <x v="508"/>
    <n v="3"/>
    <n v="21.24"/>
    <d v="1899-12-30T00:59:00"/>
    <n v="0.98333333333333339"/>
    <n v="1"/>
    <x v="0"/>
    <s v="Augusta"/>
    <n v="1"/>
  </r>
  <r>
    <n v="1246"/>
    <s v="UE"/>
    <s v="Order"/>
    <n v="22"/>
    <x v="4"/>
    <x v="509"/>
    <n v="2"/>
    <n v="23.740000000000002"/>
    <d v="1899-12-30T00:59:00"/>
    <n v="0.98333333333333339"/>
    <n v="1"/>
    <x v="0"/>
    <s v="Brunswick/Bath/Freeport"/>
    <n v="2"/>
  </r>
  <r>
    <n v="1247"/>
    <s v="DD"/>
    <s v="Order"/>
    <n v="22"/>
    <x v="4"/>
    <x v="509"/>
    <n v="1"/>
    <n v="7.75"/>
    <d v="1899-12-30T01:21:00"/>
    <n v="1.35"/>
    <n v="1.25"/>
    <x v="0"/>
    <s v="Brunswick/Bath/Freeport"/>
    <n v="2"/>
  </r>
  <r>
    <n v="1248"/>
    <s v="DD"/>
    <s v="Order"/>
    <n v="22"/>
    <x v="4"/>
    <x v="509"/>
    <n v="2"/>
    <n v="31.98"/>
    <d v="1899-12-30T01:25:00"/>
    <n v="1.4166666666666665"/>
    <n v="1.5"/>
    <x v="0"/>
    <s v="Brunswick/Bath/Freeport"/>
    <n v="2"/>
  </r>
  <r>
    <n v="1249"/>
    <s v="DD"/>
    <s v="Order"/>
    <n v="22"/>
    <x v="4"/>
    <x v="509"/>
    <n v="5"/>
    <n v="45.75"/>
    <d v="1899-12-30T01:51:00"/>
    <n v="1.85"/>
    <n v="1.75"/>
    <x v="0"/>
    <s v="Brunswick/Bath/Freeport"/>
    <n v="2"/>
  </r>
  <r>
    <n v="1250"/>
    <s v="DD"/>
    <s v="Order"/>
    <n v="22"/>
    <x v="4"/>
    <x v="509"/>
    <n v="1"/>
    <n v="12"/>
    <d v="1899-12-30T00:53:00"/>
    <n v="0.8833333333333333"/>
    <n v="1"/>
    <x v="2"/>
    <s v="Brunswick/Bath/Freeport"/>
    <n v="2"/>
  </r>
  <r>
    <n v="1251"/>
    <s v="UE"/>
    <s v="Order"/>
    <n v="22"/>
    <x v="5"/>
    <x v="510"/>
    <n v="2"/>
    <n v="11.23"/>
    <d v="1899-12-30T00:35:00"/>
    <n v="0.58333333333333326"/>
    <n v="0.5"/>
    <x v="0"/>
    <s v="Brunswick/Bath/Freeport"/>
    <n v="2"/>
  </r>
  <r>
    <n v="1252"/>
    <s v="DD"/>
    <s v="Order"/>
    <n v="22"/>
    <x v="5"/>
    <x v="510"/>
    <n v="5"/>
    <n v="37"/>
    <d v="1899-12-30T03:23:00"/>
    <n v="3.3833333333333333"/>
    <n v="3.5"/>
    <x v="0"/>
    <s v="Brunswick/Bath/Freeport"/>
    <n v="2"/>
  </r>
  <r>
    <n v="1253"/>
    <s v="UE"/>
    <s v="Order"/>
    <n v="22"/>
    <x v="6"/>
    <x v="511"/>
    <n v="4"/>
    <n v="85.210000000000008"/>
    <d v="1899-12-30T01:33:00"/>
    <n v="1.5499999999999998"/>
    <n v="1.5"/>
    <x v="0"/>
    <s v="Brunswick/Bath/Freeport"/>
    <n v="2"/>
  </r>
  <r>
    <n v="1254"/>
    <s v="DD"/>
    <s v="Order"/>
    <n v="22"/>
    <x v="6"/>
    <x v="511"/>
    <n v="4"/>
    <n v="46.89"/>
    <d v="1899-12-30T01:56:00"/>
    <n v="1.9333333333333336"/>
    <n v="2"/>
    <x v="0"/>
    <s v="Brunswick/Bath/Freeport"/>
    <n v="2"/>
  </r>
  <r>
    <n v="1255"/>
    <s v="DD"/>
    <s v="Order"/>
    <n v="22"/>
    <x v="6"/>
    <x v="511"/>
    <n v="1"/>
    <n v="8.25"/>
    <d v="1899-12-30T01:00:00"/>
    <n v="1"/>
    <n v="1"/>
    <x v="0"/>
    <s v="Brunswick/Bath/Freeport"/>
    <n v="2"/>
  </r>
  <r>
    <n v="1256"/>
    <s v="DD"/>
    <s v="Order"/>
    <n v="22"/>
    <x v="6"/>
    <x v="511"/>
    <n v="2"/>
    <n v="15.58"/>
    <d v="1899-12-30T01:05:00"/>
    <n v="1.0833333333333333"/>
    <n v="1"/>
    <x v="2"/>
    <s v="Brunswick/Bath/Freeport"/>
    <n v="2"/>
  </r>
  <r>
    <n v="1257"/>
    <s v="UE"/>
    <s v="Order"/>
    <n v="22"/>
    <x v="0"/>
    <x v="512"/>
    <n v="5"/>
    <n v="43.629999999999995"/>
    <d v="1899-12-30T01:59:00"/>
    <n v="1.9833333333333334"/>
    <n v="2"/>
    <x v="0"/>
    <s v="Brunswick/Bath/Freeport"/>
    <n v="2"/>
  </r>
  <r>
    <n v="1258"/>
    <s v="DD"/>
    <s v="Order"/>
    <n v="22"/>
    <x v="0"/>
    <x v="512"/>
    <n v="7"/>
    <n v="79.5"/>
    <d v="1899-12-30T04:07:00"/>
    <n v="4.1166666666666671"/>
    <n v="4"/>
    <x v="0"/>
    <s v="Brunswick/Bath/Freeport"/>
    <n v="2"/>
  </r>
  <r>
    <n v="1259"/>
    <s v="DD"/>
    <s v="Order"/>
    <n v="22"/>
    <x v="0"/>
    <x v="512"/>
    <n v="1"/>
    <n v="8"/>
    <d v="1899-12-30T00:19:00"/>
    <n v="0.31666666666666665"/>
    <n v="0.25"/>
    <x v="2"/>
    <s v="Brunswick/Bath/Freeport"/>
    <n v="2"/>
  </r>
  <r>
    <n v="1260"/>
    <s v="UE"/>
    <s v="Order"/>
    <n v="22"/>
    <x v="1"/>
    <x v="513"/>
    <n v="5"/>
    <n v="115.21999999999998"/>
    <d v="1899-12-30T02:40:00"/>
    <n v="2.6666666666666665"/>
    <n v="2.75"/>
    <x v="0"/>
    <s v="Portland"/>
    <n v="4"/>
  </r>
  <r>
    <n v="1261"/>
    <s v="DD"/>
    <s v="Hourly"/>
    <n v="22"/>
    <x v="1"/>
    <x v="513"/>
    <n v="3"/>
    <n v="37.5"/>
    <d v="1899-12-30T01:53:00"/>
    <n v="1.8833333333333333"/>
    <n v="2"/>
    <x v="0"/>
    <s v="Portland"/>
    <n v="4"/>
  </r>
  <r>
    <n v="1262"/>
    <s v="DD"/>
    <s v="Order"/>
    <n v="22"/>
    <x v="2"/>
    <x v="514"/>
    <n v="10"/>
    <n v="80.06"/>
    <d v="1899-12-30T04:18:00"/>
    <n v="4.3"/>
    <n v="4.25"/>
    <x v="0"/>
    <s v="Lewiston"/>
    <n v="3"/>
  </r>
  <r>
    <n v="1263"/>
    <s v="DD"/>
    <s v="Order"/>
    <n v="22"/>
    <x v="2"/>
    <x v="514"/>
    <n v="2"/>
    <n v="14.5"/>
    <d v="1899-12-30T01:13:00"/>
    <n v="1.2166666666666668"/>
    <n v="1.25"/>
    <x v="2"/>
    <s v="Lewiston"/>
    <n v="3"/>
  </r>
  <r>
    <n v="1264"/>
    <s v="DD"/>
    <s v="Order"/>
    <n v="23"/>
    <x v="3"/>
    <x v="515"/>
    <n v="10"/>
    <n v="96"/>
    <d v="1899-12-30T05:10:00"/>
    <n v="5.166666666666667"/>
    <n v="5.25"/>
    <x v="0"/>
    <s v="Brunswick/Bath/Freeport"/>
    <n v="2"/>
  </r>
  <r>
    <n v="1265"/>
    <s v="UE"/>
    <s v="Order"/>
    <n v="23"/>
    <x v="4"/>
    <x v="516"/>
    <n v="6"/>
    <n v="81.44"/>
    <d v="1899-12-30T04:37:00"/>
    <n v="4.6166666666666671"/>
    <n v="4.5"/>
    <x v="0"/>
    <s v="Brunswick/Bath/Freeport"/>
    <n v="2"/>
  </r>
  <r>
    <n v="1266"/>
    <s v="DD"/>
    <s v="Order"/>
    <n v="23"/>
    <x v="4"/>
    <x v="516"/>
    <n v="4"/>
    <n v="23.1"/>
    <d v="1899-12-30T02:40:00"/>
    <n v="2.6666666666666665"/>
    <n v="2.75"/>
    <x v="0"/>
    <s v="Brunswick/Bath/Freeport"/>
    <n v="2"/>
  </r>
  <r>
    <n v="1267"/>
    <s v="UE"/>
    <s v="Order"/>
    <n v="23"/>
    <x v="5"/>
    <x v="517"/>
    <n v="11"/>
    <n v="97.84"/>
    <d v="1899-12-30T05:13:00"/>
    <n v="5.2166666666666668"/>
    <n v="5.25"/>
    <x v="0"/>
    <s v="Portland"/>
    <n v="4"/>
  </r>
  <r>
    <n v="1268"/>
    <s v="DD"/>
    <s v="Order"/>
    <n v="23"/>
    <x v="5"/>
    <x v="517"/>
    <n v="1"/>
    <n v="6.75"/>
    <d v="1899-12-30T00:55:00"/>
    <n v="0.91666666666666674"/>
    <n v="1"/>
    <x v="0"/>
    <s v="Portland"/>
    <n v="4"/>
  </r>
  <r>
    <n v="1269"/>
    <s v="DD"/>
    <s v="Order"/>
    <n v="23"/>
    <x v="5"/>
    <x v="517"/>
    <n v="1"/>
    <n v="8.5"/>
    <d v="1899-12-30T00:57:00"/>
    <n v="0.95"/>
    <n v="1"/>
    <x v="0"/>
    <s v="Portland"/>
    <n v="4"/>
  </r>
  <r>
    <n v="1270"/>
    <s v="UE"/>
    <s v="Order"/>
    <n v="23"/>
    <x v="6"/>
    <x v="518"/>
    <n v="10"/>
    <n v="139.02000000000001"/>
    <d v="1899-12-30T06:09:00"/>
    <n v="6.1499999999999995"/>
    <n v="6.25"/>
    <x v="0"/>
    <s v="Portland"/>
    <n v="4"/>
  </r>
  <r>
    <n v="1271"/>
    <s v="UE"/>
    <s v="Order"/>
    <n v="23"/>
    <x v="0"/>
    <x v="519"/>
    <n v="6"/>
    <n v="78.06"/>
    <d v="1899-12-30T03:35:00"/>
    <n v="3.583333333333333"/>
    <n v="3.5"/>
    <x v="0"/>
    <s v="Brunswick/Bath/Freeport"/>
    <n v="2"/>
  </r>
  <r>
    <n v="1272"/>
    <s v="DD"/>
    <s v="Order"/>
    <n v="23"/>
    <x v="0"/>
    <x v="519"/>
    <n v="7"/>
    <n v="65.5"/>
    <d v="1899-12-30T03:16:00"/>
    <n v="3.2666666666666666"/>
    <n v="3.25"/>
    <x v="0"/>
    <s v="Brunswick/Bath/Freeport"/>
    <n v="2"/>
  </r>
  <r>
    <n v="1273"/>
    <s v="UE"/>
    <s v="Order"/>
    <n v="23"/>
    <x v="1"/>
    <x v="520"/>
    <n v="2"/>
    <n v="24.52"/>
    <d v="1899-12-30T03:06:00"/>
    <n v="3.1000000000000005"/>
    <n v="3"/>
    <x v="0"/>
    <s v="Brunswick/Bath/Freeport"/>
    <n v="2"/>
  </r>
  <r>
    <n v="1274"/>
    <s v="DD"/>
    <s v="Hourly"/>
    <n v="23"/>
    <x v="1"/>
    <x v="520"/>
    <n v="8"/>
    <n v="63.28"/>
    <d v="1899-12-30T03:42:00"/>
    <n v="3.7"/>
    <n v="3.75"/>
    <x v="0"/>
    <s v="Brunswick/Bath/Freeport"/>
    <n v="2"/>
  </r>
  <r>
    <n v="1275"/>
    <s v="DD"/>
    <s v="Hourly"/>
    <n v="23"/>
    <x v="1"/>
    <x v="520"/>
    <n v="6"/>
    <n v="41.71"/>
    <d v="1899-12-30T02:09:00"/>
    <n v="2.15"/>
    <n v="2.25"/>
    <x v="0"/>
    <s v="Brunswick/Bath/Freeport"/>
    <n v="2"/>
  </r>
  <r>
    <n v="1276"/>
    <s v="DD"/>
    <s v="Hourly"/>
    <n v="23"/>
    <x v="1"/>
    <x v="520"/>
    <n v="1"/>
    <n v="6.58"/>
    <d v="1899-12-30T00:21:00"/>
    <n v="0.35"/>
    <n v="0.25"/>
    <x v="2"/>
    <s v="Brunswick/Bath/Freeport"/>
    <n v="2"/>
  </r>
  <r>
    <n v="1277"/>
    <s v="UE"/>
    <s v="Order"/>
    <n v="23"/>
    <x v="2"/>
    <x v="521"/>
    <n v="12"/>
    <n v="168.09"/>
    <d v="1899-12-30T06:05:00"/>
    <n v="6.083333333333333"/>
    <n v="6"/>
    <x v="0"/>
    <s v="Portland"/>
    <n v="4"/>
  </r>
  <r>
    <n v="1278"/>
    <s v="DD"/>
    <s v="Hourly"/>
    <n v="23"/>
    <x v="2"/>
    <x v="521"/>
    <n v="1"/>
    <n v="5.98"/>
    <d v="1899-12-30T01:51:00"/>
    <n v="1.85"/>
    <n v="1.75"/>
    <x v="0"/>
    <s v="Portland"/>
    <n v="4"/>
  </r>
  <r>
    <n v="1279"/>
    <s v="UE"/>
    <s v="Order"/>
    <n v="24"/>
    <x v="3"/>
    <x v="522"/>
    <n v="3"/>
    <n v="57.58"/>
    <d v="1899-12-30T03:23:00"/>
    <n v="3.3833333333333333"/>
    <n v="3.5"/>
    <x v="0"/>
    <s v="Portland"/>
    <n v="4"/>
  </r>
  <r>
    <n v="1280"/>
    <s v="DD"/>
    <s v="Order"/>
    <n v="24"/>
    <x v="3"/>
    <x v="522"/>
    <n v="1"/>
    <n v="26.94"/>
    <d v="1899-12-30T01:45:00"/>
    <n v="1.75"/>
    <n v="1.75"/>
    <x v="0"/>
    <s v="Portland"/>
    <n v="4"/>
  </r>
  <r>
    <n v="1281"/>
    <s v="DD"/>
    <s v="Order"/>
    <n v="24"/>
    <x v="3"/>
    <x v="522"/>
    <n v="3"/>
    <n v="28.25"/>
    <d v="1899-12-30T01:28:00"/>
    <n v="1.4666666666666666"/>
    <n v="1.5"/>
    <x v="2"/>
    <s v="Portland"/>
    <n v="4"/>
  </r>
  <r>
    <n v="1282"/>
    <s v="DD"/>
    <s v="Order"/>
    <n v="24"/>
    <x v="3"/>
    <x v="522"/>
    <n v="1"/>
    <n v="18"/>
    <d v="1899-12-30T00:38:00"/>
    <n v="0.6333333333333333"/>
    <n v="0.75"/>
    <x v="2"/>
    <s v="Portland"/>
    <n v="4"/>
  </r>
  <r>
    <n v="1283"/>
    <s v="UE"/>
    <s v="Order"/>
    <n v="24"/>
    <x v="4"/>
    <x v="523"/>
    <n v="2"/>
    <n v="36.630000000000003"/>
    <d v="1899-12-30T02:51:00"/>
    <n v="2.8499999999999996"/>
    <n v="2.75"/>
    <x v="0"/>
    <s v="Brunswick/Bath/Freeport"/>
    <n v="2"/>
  </r>
  <r>
    <n v="1284"/>
    <s v="DD"/>
    <s v="Order"/>
    <n v="24"/>
    <x v="4"/>
    <x v="523"/>
    <n v="3"/>
    <n v="21"/>
    <d v="1899-12-30T01:19:00"/>
    <n v="1.3166666666666667"/>
    <n v="1.25"/>
    <x v="0"/>
    <s v="Brunswick/Bath/Freeport"/>
    <n v="2"/>
  </r>
  <r>
    <n v="1285"/>
    <s v="DD"/>
    <s v="Order"/>
    <n v="24"/>
    <x v="4"/>
    <x v="523"/>
    <n v="4"/>
    <n v="42.77"/>
    <d v="1899-12-30T02:23:00"/>
    <n v="2.3833333333333333"/>
    <n v="2.5"/>
    <x v="0"/>
    <s v="Brunswick/Bath/Freeport"/>
    <n v="2"/>
  </r>
  <r>
    <n v="1286"/>
    <s v="DD"/>
    <s v="Order"/>
    <n v="24"/>
    <x v="5"/>
    <x v="524"/>
    <n v="12"/>
    <n v="104.98"/>
    <d v="1899-12-30T05:52:00"/>
    <n v="5.8666666666666663"/>
    <n v="5.75"/>
    <x v="0"/>
    <s v="Brunswick/Bath/Freeport"/>
    <n v="2"/>
  </r>
  <r>
    <n v="1287"/>
    <s v="UE"/>
    <s v="Order"/>
    <n v="24"/>
    <x v="6"/>
    <x v="525"/>
    <n v="4"/>
    <n v="47.25"/>
    <d v="1899-12-30T02:57:00"/>
    <n v="2.9499999999999997"/>
    <n v="3"/>
    <x v="0"/>
    <s v="Brunswick/Bath/Freeport"/>
    <n v="2"/>
  </r>
  <r>
    <n v="1288"/>
    <s v="DD"/>
    <s v="Order"/>
    <n v="24"/>
    <x v="6"/>
    <x v="525"/>
    <n v="5"/>
    <n v="50.75"/>
    <d v="1899-12-30T03:44:00"/>
    <n v="3.7333333333333334"/>
    <n v="3.75"/>
    <x v="0"/>
    <s v="Brunswick/Bath/Freeport"/>
    <n v="2"/>
  </r>
  <r>
    <n v="1289"/>
    <s v="DD"/>
    <s v="Order"/>
    <n v="24"/>
    <x v="6"/>
    <x v="525"/>
    <n v="5"/>
    <n v="36"/>
    <d v="1899-12-30T02:01:00"/>
    <n v="2.0166666666666666"/>
    <n v="2"/>
    <x v="2"/>
    <s v="Brunswick/Bath/Freeport"/>
    <n v="2"/>
  </r>
  <r>
    <n v="1290"/>
    <s v="UE"/>
    <s v="Order"/>
    <n v="24"/>
    <x v="0"/>
    <x v="526"/>
    <n v="2"/>
    <n v="44.04"/>
    <d v="1899-12-30T02:24:00"/>
    <n v="2.4000000000000004"/>
    <n v="2.5"/>
    <x v="0"/>
    <s v="Brunswick/Bath/Freeport"/>
    <n v="2"/>
  </r>
  <r>
    <n v="1291"/>
    <s v="DD"/>
    <s v="Order"/>
    <n v="24"/>
    <x v="0"/>
    <x v="526"/>
    <n v="8"/>
    <n v="100"/>
    <d v="1899-12-30T04:26:00"/>
    <n v="4.4333333333333336"/>
    <n v="4.5"/>
    <x v="0"/>
    <s v="Brunswick/Bath/Freeport"/>
    <n v="2"/>
  </r>
  <r>
    <n v="1292"/>
    <s v="DD"/>
    <s v="Order"/>
    <n v="24"/>
    <x v="0"/>
    <x v="526"/>
    <n v="3"/>
    <n v="25.75"/>
    <d v="1899-12-30T01:30:00"/>
    <n v="1.5"/>
    <n v="1.5"/>
    <x v="2"/>
    <s v="Brunswick/Bath/Freeport"/>
    <n v="2"/>
  </r>
  <r>
    <n v="1293"/>
    <s v="DD"/>
    <s v="Order"/>
    <n v="24"/>
    <x v="0"/>
    <x v="526"/>
    <n v="4"/>
    <n v="37"/>
    <d v="1899-12-30T01:38:00"/>
    <n v="1.6333333333333333"/>
    <n v="1.75"/>
    <x v="2"/>
    <s v="Brunswick/Bath/Freeport"/>
    <n v="2"/>
  </r>
  <r>
    <n v="1294"/>
    <s v="UE"/>
    <s v="Order"/>
    <n v="24"/>
    <x v="1"/>
    <x v="527"/>
    <n v="1"/>
    <n v="21.62"/>
    <d v="1899-12-30T01:50:00"/>
    <n v="1.8333333333333335"/>
    <n v="1.75"/>
    <x v="0"/>
    <s v="Brunswick/Bath/Freeport"/>
    <n v="2"/>
  </r>
  <r>
    <n v="1295"/>
    <s v="DD"/>
    <s v="Hourly"/>
    <n v="24"/>
    <x v="1"/>
    <x v="527"/>
    <n v="1"/>
    <n v="14.54"/>
    <d v="1899-12-30T00:35:00"/>
    <n v="0.58333333333333337"/>
    <n v="0.5"/>
    <x v="0"/>
    <s v="Brunswick/Bath/Freeport"/>
    <n v="2"/>
  </r>
  <r>
    <n v="1296"/>
    <s v="DD"/>
    <s v="Hourly"/>
    <n v="24"/>
    <x v="1"/>
    <x v="527"/>
    <n v="9"/>
    <n v="106.72"/>
    <d v="1899-12-30T05:30:00"/>
    <n v="5.5"/>
    <n v="5.5"/>
    <x v="0"/>
    <s v="Brunswick/Bath/Freeport"/>
    <n v="2"/>
  </r>
  <r>
    <n v="1297"/>
    <s v="UE"/>
    <s v="Order"/>
    <n v="25"/>
    <x v="3"/>
    <x v="528"/>
    <n v="9"/>
    <n v="77.45"/>
    <d v="1899-12-30T04:13:00"/>
    <n v="4.2166666666666668"/>
    <n v="4.25"/>
    <x v="0"/>
    <s v="Portland"/>
    <n v="4"/>
  </r>
  <r>
    <n v="1298"/>
    <s v="DD"/>
    <s v="Order"/>
    <n v="25"/>
    <x v="3"/>
    <x v="528"/>
    <n v="2"/>
    <n v="40.380000000000003"/>
    <d v="1899-12-30T01:30:00"/>
    <n v="1.5"/>
    <n v="1.5"/>
    <x v="0"/>
    <s v="Portland"/>
    <n v="4"/>
  </r>
  <r>
    <n v="1299"/>
    <s v="UE"/>
    <s v="Order"/>
    <n v="25"/>
    <x v="4"/>
    <x v="529"/>
    <n v="1"/>
    <n v="10.220000000000001"/>
    <d v="1899-12-30T01:45:00"/>
    <n v="1.75"/>
    <n v="1.75"/>
    <x v="0"/>
    <s v="Brunswick/Bath/Freeport"/>
    <n v="2"/>
  </r>
  <r>
    <n v="1300"/>
    <s v="DD"/>
    <s v="Order"/>
    <n v="25"/>
    <x v="4"/>
    <x v="529"/>
    <n v="12"/>
    <n v="94"/>
    <d v="1899-12-30T04:58:00"/>
    <n v="4.9666666666666668"/>
    <n v="5"/>
    <x v="0"/>
    <s v="Brunswick/Bath/Freeport"/>
    <n v="2"/>
  </r>
  <r>
    <n v="1301"/>
    <s v="DD"/>
    <s v="Order"/>
    <n v="25"/>
    <x v="4"/>
    <x v="529"/>
    <n v="1"/>
    <n v="12.75"/>
    <d v="1899-12-30T00:29:00"/>
    <n v="0.48333333333333339"/>
    <n v="0.5"/>
    <x v="2"/>
    <s v="Brunswick/Bath/Freeport"/>
    <n v="2"/>
  </r>
  <r>
    <n v="1302"/>
    <s v="UE"/>
    <s v="Order"/>
    <n v="25"/>
    <x v="5"/>
    <x v="530"/>
    <n v="1"/>
    <n v="19.03"/>
    <d v="1899-12-30T01:50:00"/>
    <n v="1.8333333333333335"/>
    <n v="1.75"/>
    <x v="0"/>
    <s v="Brunswick/Bath/Freeport"/>
    <n v="2"/>
  </r>
  <r>
    <n v="1303"/>
    <s v="DD"/>
    <s v="Order"/>
    <n v="25"/>
    <x v="5"/>
    <x v="530"/>
    <n v="11"/>
    <n v="119.83"/>
    <d v="1899-12-30T05:51:00"/>
    <n v="5.85"/>
    <n v="5.75"/>
    <x v="0"/>
    <s v="Brunswick/Bath/Freeport"/>
    <n v="2"/>
  </r>
  <r>
    <n v="1304"/>
    <s v="UE"/>
    <s v="Order"/>
    <n v="25"/>
    <x v="6"/>
    <x v="531"/>
    <n v="1"/>
    <n v="13.03"/>
    <d v="1899-12-30T00:54:00"/>
    <n v="0.89999999999999991"/>
    <n v="1"/>
    <x v="0"/>
    <s v="Brunswick/Bath/Freeport"/>
    <n v="2"/>
  </r>
  <r>
    <n v="1305"/>
    <s v="DD"/>
    <s v="Order"/>
    <n v="25"/>
    <x v="6"/>
    <x v="531"/>
    <n v="11"/>
    <n v="129.91"/>
    <d v="1899-12-30T05:32:00"/>
    <n v="5.5333333333333332"/>
    <n v="5.5"/>
    <x v="0"/>
    <s v="Brunswick/Bath/Freeport"/>
    <n v="2"/>
  </r>
  <r>
    <n v="1306"/>
    <s v="UE"/>
    <s v="Order"/>
    <n v="25"/>
    <x v="0"/>
    <x v="532"/>
    <n v="1"/>
    <n v="35"/>
    <d v="1899-12-30T02:33:00"/>
    <n v="2.5499999999999998"/>
    <n v="2.5"/>
    <x v="0"/>
    <s v="Brunswick/Bath/Freeport"/>
    <n v="2"/>
  </r>
  <r>
    <n v="1307"/>
    <s v="DD"/>
    <s v="Order"/>
    <n v="25"/>
    <x v="0"/>
    <x v="532"/>
    <n v="6"/>
    <n v="53.25"/>
    <d v="1899-12-30T03:24:00"/>
    <n v="3.4"/>
    <n v="3.5"/>
    <x v="0"/>
    <s v="Brunswick/Bath/Freeport"/>
    <n v="2"/>
  </r>
  <r>
    <n v="1308"/>
    <s v="DD"/>
    <s v="Order"/>
    <n v="25"/>
    <x v="0"/>
    <x v="532"/>
    <n v="4"/>
    <n v="25.25"/>
    <d v="1899-12-30T02:16:00"/>
    <n v="2.2666666666666666"/>
    <n v="2.25"/>
    <x v="2"/>
    <s v="Brunswick/Bath/Freeport"/>
    <n v="2"/>
  </r>
  <r>
    <n v="1309"/>
    <s v="UE"/>
    <s v="Order"/>
    <n v="25"/>
    <x v="2"/>
    <x v="533"/>
    <n v="7"/>
    <n v="81.709999999999994"/>
    <d v="1899-12-30T03:49:00"/>
    <n v="3.8166666666666664"/>
    <n v="3.75"/>
    <x v="0"/>
    <s v="Portland"/>
    <n v="4"/>
  </r>
  <r>
    <n v="1310"/>
    <s v="DD"/>
    <s v="Order"/>
    <n v="25"/>
    <x v="2"/>
    <x v="533"/>
    <n v="1"/>
    <n v="7.17"/>
    <d v="1899-12-30T00:58:00"/>
    <n v="0.96666666666666679"/>
    <n v="1"/>
    <x v="0"/>
    <s v="Portland"/>
    <n v="4"/>
  </r>
  <r>
    <n v="1311"/>
    <s v="UE"/>
    <s v="Order"/>
    <n v="27"/>
    <x v="3"/>
    <x v="534"/>
    <n v="7"/>
    <n v="74.25"/>
    <d v="1899-12-30T03:17:00"/>
    <n v="3.2833333333333337"/>
    <n v="3.25"/>
    <x v="0"/>
    <s v="Lewiston"/>
    <n v="3"/>
  </r>
  <r>
    <n v="1312"/>
    <s v="DD"/>
    <s v="Order"/>
    <n v="27"/>
    <x v="3"/>
    <x v="534"/>
    <n v="4"/>
    <n v="24.25"/>
    <d v="1899-12-30T01:47:00"/>
    <n v="1.7833333333333332"/>
    <n v="1.75"/>
    <x v="0"/>
    <s v="Lewiston"/>
    <n v="3"/>
  </r>
  <r>
    <n v="1313"/>
    <s v="DD"/>
    <s v="Order"/>
    <n v="27"/>
    <x v="3"/>
    <x v="534"/>
    <n v="3"/>
    <n v="18"/>
    <d v="1899-12-30T01:27:00"/>
    <n v="1.45"/>
    <n v="1.5"/>
    <x v="2"/>
    <s v="Lewiston"/>
    <n v="3"/>
  </r>
  <r>
    <n v="1314"/>
    <s v="UE"/>
    <s v="Order"/>
    <n v="27"/>
    <x v="4"/>
    <x v="535"/>
    <n v="9"/>
    <n v="130.74"/>
    <d v="1899-12-30T05:05:00"/>
    <n v="5.083333333333333"/>
    <n v="5"/>
    <x v="0"/>
    <s v="Portland"/>
    <n v="4"/>
  </r>
  <r>
    <n v="1315"/>
    <s v="DD"/>
    <s v="Order"/>
    <n v="27"/>
    <x v="4"/>
    <x v="535"/>
    <n v="3"/>
    <n v="23"/>
    <d v="1899-12-30T01:05:00"/>
    <n v="1.0833333333333333"/>
    <n v="1"/>
    <x v="2"/>
    <s v="Portland"/>
    <n v="4"/>
  </r>
  <r>
    <n v="1316"/>
    <s v="UE"/>
    <s v="Order"/>
    <n v="27"/>
    <x v="5"/>
    <x v="536"/>
    <n v="3"/>
    <n v="38.54"/>
    <d v="1899-12-30T02:03:00"/>
    <n v="2.0499999999999998"/>
    <n v="2"/>
    <x v="0"/>
    <s v="Brunswick/Bath/Freeport"/>
    <n v="2"/>
  </r>
  <r>
    <n v="1317"/>
    <s v="DD"/>
    <s v="Order"/>
    <n v="27"/>
    <x v="5"/>
    <x v="536"/>
    <n v="11"/>
    <n v="92.25"/>
    <d v="1899-12-30T04:41:00"/>
    <n v="4.6833333333333336"/>
    <n v="4.75"/>
    <x v="0"/>
    <s v="Brunswick/Bath/Freeport"/>
    <n v="2"/>
  </r>
  <r>
    <n v="1318"/>
    <s v="UE"/>
    <s v="Order"/>
    <n v="27"/>
    <x v="6"/>
    <x v="537"/>
    <n v="6"/>
    <n v="95.36"/>
    <d v="1899-12-30T03:19:00"/>
    <n v="3.3166666666666669"/>
    <n v="3.25"/>
    <x v="0"/>
    <s v="Portland"/>
    <n v="4"/>
  </r>
  <r>
    <n v="1319"/>
    <s v="DD"/>
    <s v="Order"/>
    <n v="27"/>
    <x v="6"/>
    <x v="537"/>
    <n v="4"/>
    <n v="70.569999999999993"/>
    <d v="1899-12-30T03:26:00"/>
    <n v="3.4333333333333331"/>
    <n v="3.5"/>
    <x v="0"/>
    <s v="Portland"/>
    <n v="4"/>
  </r>
  <r>
    <n v="1320"/>
    <s v="UE"/>
    <s v="Order"/>
    <n v="28"/>
    <x v="4"/>
    <x v="538"/>
    <n v="1"/>
    <n v="8.5"/>
    <d v="1899-12-30T01:35:00"/>
    <n v="1.5833333333333335"/>
    <n v="1.5"/>
    <x v="0"/>
    <s v="Portland"/>
    <n v="4"/>
  </r>
  <r>
    <n v="1321"/>
    <s v="DD"/>
    <s v="Order"/>
    <n v="28"/>
    <x v="4"/>
    <x v="538"/>
    <n v="2"/>
    <n v="19.5"/>
    <d v="1899-12-30T01:14:00"/>
    <n v="1.2333333333333334"/>
    <n v="1.25"/>
    <x v="0"/>
    <s v="Portland"/>
    <n v="4"/>
  </r>
  <r>
    <n v="1322"/>
    <s v="UE"/>
    <s v="Order"/>
    <n v="28"/>
    <x v="6"/>
    <x v="539"/>
    <n v="1"/>
    <n v="13.39"/>
    <d v="1899-12-30T00:46:00"/>
    <n v="0.76666666666666661"/>
    <n v="0.75"/>
    <x v="0"/>
    <s v="Brunswick/Bath/Freeport"/>
    <n v="2"/>
  </r>
  <r>
    <n v="1323"/>
    <s v="UE"/>
    <s v="Order"/>
    <n v="28"/>
    <x v="0"/>
    <x v="540"/>
    <n v="6"/>
    <n v="66.62"/>
    <d v="1899-12-30T04:21:00"/>
    <n v="4.3499999999999996"/>
    <n v="4.25"/>
    <x v="0"/>
    <s v="Portland"/>
    <n v="4"/>
  </r>
  <r>
    <n v="1324"/>
    <s v="DD"/>
    <s v="Hourly"/>
    <n v="28"/>
    <x v="0"/>
    <x v="540"/>
    <n v="2"/>
    <n v="26.07"/>
    <d v="1899-12-30T01:47:00"/>
    <n v="1.7833333333333332"/>
    <n v="1.75"/>
    <x v="0"/>
    <s v="Portland"/>
    <n v="4"/>
  </r>
  <r>
    <n v="1325"/>
    <s v="DD"/>
    <s v="Hourly"/>
    <n v="28"/>
    <x v="0"/>
    <x v="540"/>
    <n v="4"/>
    <n v="34.97"/>
    <d v="1899-12-30T01:18:00"/>
    <n v="1.3"/>
    <n v="1.25"/>
    <x v="2"/>
    <s v="Portland"/>
    <n v="4"/>
  </r>
  <r>
    <n v="1326"/>
    <s v="UE"/>
    <s v="Order"/>
    <n v="29"/>
    <x v="3"/>
    <x v="541"/>
    <n v="12"/>
    <n v="119.68"/>
    <d v="1899-12-30T06:19:00"/>
    <n v="6.3166666666666664"/>
    <n v="6.25"/>
    <x v="0"/>
    <s v="Portland"/>
    <n v="4"/>
  </r>
  <r>
    <n v="1327"/>
    <s v="UE"/>
    <s v="Order"/>
    <n v="29"/>
    <x v="4"/>
    <x v="542"/>
    <n v="1"/>
    <n v="20.07"/>
    <d v="1899-12-30T01:25:00"/>
    <n v="1.4166666666666665"/>
    <n v="1.5"/>
    <x v="0"/>
    <s v="Brunswick/Bath/Freeport"/>
    <n v="2"/>
  </r>
  <r>
    <n v="1328"/>
    <s v="DD"/>
    <s v="Order"/>
    <n v="29"/>
    <x v="4"/>
    <x v="542"/>
    <n v="9"/>
    <n v="96.14"/>
    <d v="1899-12-30T05:09:00"/>
    <n v="5.1499999999999995"/>
    <n v="5.25"/>
    <x v="0"/>
    <s v="Brunswick/Bath/Freeport"/>
    <n v="2"/>
  </r>
  <r>
    <n v="1329"/>
    <s v="UE"/>
    <s v="Order"/>
    <n v="29"/>
    <x v="5"/>
    <x v="543"/>
    <n v="3"/>
    <n v="24.38"/>
    <d v="1899-12-30T02:07:00"/>
    <n v="2.1166666666666667"/>
    <n v="2"/>
    <x v="0"/>
    <s v="Lewiston"/>
    <n v="3"/>
  </r>
  <r>
    <n v="1330"/>
    <s v="DD"/>
    <s v="Order"/>
    <n v="29"/>
    <x v="5"/>
    <x v="543"/>
    <n v="5"/>
    <n v="34.5"/>
    <d v="1899-12-30T02:12:00"/>
    <n v="2.1999999999999997"/>
    <n v="2.25"/>
    <x v="0"/>
    <s v="Lewiston"/>
    <n v="3"/>
  </r>
  <r>
    <n v="1331"/>
    <s v="UE"/>
    <s v="Order"/>
    <n v="29"/>
    <x v="6"/>
    <x v="544"/>
    <n v="6"/>
    <n v="72.97"/>
    <d v="1899-12-30T03:58:00"/>
    <n v="3.9666666666666668"/>
    <n v="4"/>
    <x v="0"/>
    <s v="Portland"/>
    <n v="4"/>
  </r>
  <r>
    <n v="1332"/>
    <s v="DD"/>
    <s v="Order"/>
    <n v="29"/>
    <x v="6"/>
    <x v="544"/>
    <n v="2"/>
    <n v="41.25"/>
    <d v="1899-12-30T02:03:00"/>
    <n v="2.0499999999999998"/>
    <n v="2"/>
    <x v="0"/>
    <s v="Portland"/>
    <n v="4"/>
  </r>
  <r>
    <n v="1333"/>
    <s v="DD"/>
    <s v="Order"/>
    <n v="29"/>
    <x v="6"/>
    <x v="544"/>
    <n v="2"/>
    <n v="25.47"/>
    <d v="1899-12-30T01:27:00"/>
    <n v="1.45"/>
    <n v="1.5"/>
    <x v="0"/>
    <s v="Portland"/>
    <n v="4"/>
  </r>
  <r>
    <n v="1334"/>
    <s v="UE"/>
    <s v="Order"/>
    <n v="29"/>
    <x v="0"/>
    <x v="545"/>
    <n v="2"/>
    <n v="38.1"/>
    <d v="1899-12-30T03:06:00"/>
    <n v="3.1000000000000005"/>
    <n v="3"/>
    <x v="0"/>
    <s v="Brunswick/Bath/Freeport"/>
    <n v="2"/>
  </r>
  <r>
    <n v="1335"/>
    <s v="DD"/>
    <s v="Order"/>
    <n v="29"/>
    <x v="0"/>
    <x v="545"/>
    <n v="1"/>
    <n v="8"/>
    <d v="1899-12-30T00:32:00"/>
    <n v="0.53333333333333333"/>
    <n v="0.5"/>
    <x v="0"/>
    <s v="Brunswick/Bath/Freeport"/>
    <n v="2"/>
  </r>
  <r>
    <n v="1336"/>
    <s v="DD"/>
    <s v="Order"/>
    <n v="29"/>
    <x v="0"/>
    <x v="545"/>
    <n v="4"/>
    <n v="32.5"/>
    <d v="1899-12-30T01:29:00"/>
    <n v="1.4833333333333334"/>
    <n v="1.5"/>
    <x v="0"/>
    <s v="Brunswick/Bath/Freeport"/>
    <n v="2"/>
  </r>
  <r>
    <n v="1337"/>
    <s v="DD"/>
    <s v="Order"/>
    <n v="29"/>
    <x v="0"/>
    <x v="545"/>
    <n v="9"/>
    <n v="69"/>
    <d v="1899-12-30T04:17:00"/>
    <n v="4.2833333333333332"/>
    <n v="4.25"/>
    <x v="2"/>
    <s v="Brunswick/Bath/Freeport"/>
    <n v="2"/>
  </r>
  <r>
    <n v="1338"/>
    <s v="UE"/>
    <s v="Order"/>
    <n v="29"/>
    <x v="1"/>
    <x v="546"/>
    <n v="4"/>
    <n v="70.42"/>
    <d v="1899-12-30T03:43:00"/>
    <n v="3.7166666666666668"/>
    <n v="3.75"/>
    <x v="0"/>
    <s v="Augusta"/>
    <n v="1"/>
  </r>
  <r>
    <n v="1339"/>
    <s v="DD"/>
    <s v="Order"/>
    <n v="29"/>
    <x v="1"/>
    <x v="546"/>
    <n v="2"/>
    <n v="21"/>
    <d v="1899-12-30T01:58:00"/>
    <n v="1.9666666666666668"/>
    <n v="2"/>
    <x v="1"/>
    <s v="Augusta"/>
    <n v="1"/>
  </r>
  <r>
    <n v="1340"/>
    <s v="DD"/>
    <s v="Order"/>
    <n v="29"/>
    <x v="1"/>
    <x v="546"/>
    <n v="3"/>
    <n v="36.5"/>
    <d v="1899-12-30T01:29:00"/>
    <n v="1.4833333333333334"/>
    <n v="1.5"/>
    <x v="0"/>
    <s v="Augusta"/>
    <n v="1"/>
  </r>
  <r>
    <n v="1341"/>
    <s v="DD"/>
    <s v="Order"/>
    <n v="29"/>
    <x v="1"/>
    <x v="546"/>
    <n v="3"/>
    <n v="28.75"/>
    <d v="1899-12-30T01:44:00"/>
    <n v="1.7333333333333332"/>
    <n v="1.75"/>
    <x v="0"/>
    <s v="Augusta"/>
    <n v="1"/>
  </r>
  <r>
    <n v="1342"/>
    <s v="UE"/>
    <s v="Order"/>
    <n v="30"/>
    <x v="3"/>
    <x v="547"/>
    <n v="5"/>
    <n v="63.76"/>
    <d v="1899-12-30T03:34:00"/>
    <n v="3.5666666666666664"/>
    <n v="3.5"/>
    <x v="0"/>
    <s v="Portland"/>
    <n v="4"/>
  </r>
  <r>
    <n v="1343"/>
    <s v="DD"/>
    <s v="Order"/>
    <n v="30"/>
    <x v="3"/>
    <x v="547"/>
    <n v="1"/>
    <n v="22.73"/>
    <d v="1899-12-30T02:01:00"/>
    <n v="2.0166666666666666"/>
    <n v="2"/>
    <x v="0"/>
    <s v="Portland"/>
    <n v="4"/>
  </r>
  <r>
    <n v="1344"/>
    <s v="DD"/>
    <s v="Order"/>
    <n v="30"/>
    <x v="3"/>
    <x v="547"/>
    <n v="2"/>
    <n v="13.5"/>
    <d v="1899-12-30T00:39:00"/>
    <n v="0.65"/>
    <n v="0.75"/>
    <x v="0"/>
    <s v="Portland"/>
    <n v="4"/>
  </r>
  <r>
    <n v="1345"/>
    <s v="DD"/>
    <s v="Order"/>
    <n v="30"/>
    <x v="3"/>
    <x v="547"/>
    <n v="4"/>
    <n v="23"/>
    <d v="1899-12-30T01:22:00"/>
    <n v="1.3666666666666667"/>
    <n v="1.25"/>
    <x v="2"/>
    <s v="Portland"/>
    <n v="4"/>
  </r>
  <r>
    <n v="1346"/>
    <s v="UE"/>
    <s v="Order"/>
    <n v="30"/>
    <x v="4"/>
    <x v="548"/>
    <n v="2"/>
    <n v="38.61"/>
    <d v="1899-12-30T02:21:00"/>
    <n v="2.35"/>
    <n v="2.25"/>
    <x v="0"/>
    <s v="Brunswick/Bath/Freeport"/>
    <n v="2"/>
  </r>
  <r>
    <n v="1347"/>
    <s v="DD"/>
    <s v="Order"/>
    <n v="30"/>
    <x v="4"/>
    <x v="548"/>
    <n v="3"/>
    <n v="17"/>
    <d v="1899-12-30T01:23:00"/>
    <n v="1.3833333333333333"/>
    <n v="1.5"/>
    <x v="0"/>
    <s v="Brunswick/Bath/Freeport"/>
    <n v="2"/>
  </r>
  <r>
    <n v="1348"/>
    <s v="DD"/>
    <s v="Order"/>
    <n v="30"/>
    <x v="4"/>
    <x v="548"/>
    <n v="1"/>
    <n v="4.25"/>
    <d v="1899-12-30T00:38:00"/>
    <n v="0.6333333333333333"/>
    <n v="0.75"/>
    <x v="0"/>
    <s v="Brunswick/Bath/Freeport"/>
    <n v="2"/>
  </r>
  <r>
    <n v="1349"/>
    <s v="DD"/>
    <s v="Order"/>
    <n v="30"/>
    <x v="4"/>
    <x v="548"/>
    <n v="3"/>
    <n v="31.25"/>
    <d v="1899-12-30T01:46:00"/>
    <n v="1.7666666666666666"/>
    <n v="1.75"/>
    <x v="0"/>
    <s v="Brunswick/Bath/Freeport"/>
    <n v="2"/>
  </r>
  <r>
    <n v="1350"/>
    <s v="UE"/>
    <s v="Order"/>
    <n v="30"/>
    <x v="5"/>
    <x v="549"/>
    <n v="6"/>
    <n v="71.28"/>
    <d v="1899-12-30T03:12:00"/>
    <n v="3.2"/>
    <n v="3.25"/>
    <x v="0"/>
    <s v="Brunswick/Bath/Freeport"/>
    <n v="2"/>
  </r>
  <r>
    <n v="1351"/>
    <s v="DD"/>
    <s v="Order"/>
    <n v="30"/>
    <x v="5"/>
    <x v="549"/>
    <n v="6"/>
    <n v="39.97"/>
    <d v="1899-12-30T03:32:00"/>
    <n v="3.5333333333333332"/>
    <n v="3.5"/>
    <x v="0"/>
    <s v="Brunswick/Bath/Freeport"/>
    <n v="2"/>
  </r>
  <r>
    <n v="1352"/>
    <s v="DD"/>
    <s v="Order"/>
    <n v="30"/>
    <x v="5"/>
    <x v="549"/>
    <n v="4"/>
    <n v="33"/>
    <d v="1899-12-30T01:36:00"/>
    <n v="1.6"/>
    <n v="1.5"/>
    <x v="2"/>
    <s v="Brunswick/Bath/Freeport"/>
    <n v="2"/>
  </r>
  <r>
    <n v="1353"/>
    <s v="UE"/>
    <s v="Order"/>
    <n v="30"/>
    <x v="0"/>
    <x v="550"/>
    <n v="10"/>
    <n v="138.21"/>
    <d v="1899-12-30T07:19:00"/>
    <n v="7.3166666666666673"/>
    <n v="7.25"/>
    <x v="0"/>
    <s v="Portland"/>
    <n v="4"/>
  </r>
  <r>
    <n v="1354"/>
    <s v="DD"/>
    <s v="Order"/>
    <n v="30"/>
    <x v="0"/>
    <x v="550"/>
    <n v="3"/>
    <n v="37.11"/>
    <d v="1899-12-30T02:51:00"/>
    <n v="2.8499999999999996"/>
    <n v="2.75"/>
    <x v="2"/>
    <s v="Portland"/>
    <n v="4"/>
  </r>
  <r>
    <n v="1355"/>
    <s v="DD"/>
    <s v="Order"/>
    <n v="30"/>
    <x v="0"/>
    <x v="550"/>
    <n v="1"/>
    <n v="4.9800000000000004"/>
    <d v="1899-12-30T00:57:00"/>
    <n v="0.95"/>
    <n v="1"/>
    <x v="2"/>
    <s v="Portland"/>
    <n v="4"/>
  </r>
  <r>
    <n v="1356"/>
    <s v="UE"/>
    <s v="Order"/>
    <n v="30"/>
    <x v="1"/>
    <x v="551"/>
    <n v="1"/>
    <n v="12.34"/>
    <d v="1899-12-30T01:19:00"/>
    <n v="1.3166666666666667"/>
    <n v="1.25"/>
    <x v="0"/>
    <s v="Lewiston"/>
    <n v="3"/>
  </r>
  <r>
    <n v="1357"/>
    <s v="DD"/>
    <s v="Order"/>
    <n v="30"/>
    <x v="1"/>
    <x v="551"/>
    <n v="16"/>
    <n v="116.61"/>
    <d v="1899-12-30T05:26:00"/>
    <n v="5.4333333333333336"/>
    <n v="5.5"/>
    <x v="0"/>
    <s v="Lewiston"/>
    <n v="3"/>
  </r>
  <r>
    <n v="1358"/>
    <s v="UE"/>
    <s v="Order"/>
    <n v="31"/>
    <x v="3"/>
    <x v="552"/>
    <n v="6"/>
    <n v="87.96"/>
    <d v="1899-12-30T03:55:00"/>
    <n v="3.916666666666667"/>
    <n v="4"/>
    <x v="0"/>
    <s v="Portland"/>
    <n v="4"/>
  </r>
  <r>
    <n v="1359"/>
    <s v="DD"/>
    <s v="Order"/>
    <n v="31"/>
    <x v="3"/>
    <x v="552"/>
    <n v="2"/>
    <n v="60.43"/>
    <d v="1899-12-30T00:49:00"/>
    <n v="0.81666666666666665"/>
    <n v="0.75"/>
    <x v="0"/>
    <s v="Portland"/>
    <n v="4"/>
  </r>
  <r>
    <n v="1360"/>
    <s v="DD"/>
    <s v="Order"/>
    <n v="31"/>
    <x v="3"/>
    <x v="552"/>
    <n v="3"/>
    <n v="26.12"/>
    <d v="1899-12-30T01:47:00"/>
    <n v="1.7833333333333332"/>
    <n v="1.75"/>
    <x v="2"/>
    <s v="Portland"/>
    <n v="4"/>
  </r>
  <r>
    <n v="1361"/>
    <s v="UE"/>
    <s v="Order"/>
    <n v="31"/>
    <x v="4"/>
    <x v="553"/>
    <n v="1"/>
    <n v="16.3"/>
    <d v="1899-12-30T01:34:00"/>
    <n v="1.5666666666666669"/>
    <n v="1.5"/>
    <x v="0"/>
    <s v="Brunswick/Bath/Freeport"/>
    <n v="2"/>
  </r>
  <r>
    <n v="1362"/>
    <s v="DD"/>
    <s v="Order"/>
    <n v="31"/>
    <x v="4"/>
    <x v="553"/>
    <n v="13"/>
    <n v="117.45"/>
    <d v="1899-12-30T04:43:00"/>
    <n v="4.7166666666666668"/>
    <n v="4.75"/>
    <x v="0"/>
    <s v="Brunswick/Bath/Freeport"/>
    <n v="2"/>
  </r>
  <r>
    <n v="1363"/>
    <s v="DD"/>
    <s v="Order"/>
    <n v="31"/>
    <x v="5"/>
    <x v="554"/>
    <n v="5"/>
    <n v="42.74"/>
    <d v="1899-12-30T02:56:00"/>
    <n v="2.9333333333333331"/>
    <n v="3"/>
    <x v="0"/>
    <s v="Brunswick/Bath/Freeport"/>
    <n v="2"/>
  </r>
  <r>
    <n v="1364"/>
    <s v="UE"/>
    <s v="Order"/>
    <n v="31"/>
    <x v="6"/>
    <x v="555"/>
    <n v="3"/>
    <n v="18.14"/>
    <d v="1899-12-30T02:24:00"/>
    <n v="2.4000000000000004"/>
    <n v="2.5"/>
    <x v="0"/>
    <s v="Lewiston"/>
    <n v="3"/>
  </r>
  <r>
    <n v="1365"/>
    <s v="DD"/>
    <s v="Order"/>
    <n v="31"/>
    <x v="6"/>
    <x v="555"/>
    <n v="6"/>
    <n v="37.450000000000003"/>
    <d v="1899-12-30T02:27:00"/>
    <n v="2.4500000000000002"/>
    <n v="2.5"/>
    <x v="0"/>
    <s v="Lewiston"/>
    <n v="3"/>
  </r>
  <r>
    <n v="1366"/>
    <s v="DD"/>
    <s v="Order"/>
    <n v="31"/>
    <x v="6"/>
    <x v="555"/>
    <n v="5"/>
    <n v="30.25"/>
    <d v="1899-12-30T01:40:00"/>
    <n v="1.6666666666666667"/>
    <n v="1.75"/>
    <x v="2"/>
    <s v="Lewiston"/>
    <n v="3"/>
  </r>
  <r>
    <n v="1367"/>
    <s v="UE"/>
    <s v="Order"/>
    <n v="31"/>
    <x v="1"/>
    <x v="556"/>
    <n v="5"/>
    <n v="73.81"/>
    <d v="1899-12-30T04:18:00"/>
    <n v="4.3"/>
    <n v="4.25"/>
    <x v="0"/>
    <s v="Lewiston"/>
    <n v="3"/>
  </r>
  <r>
    <n v="1368"/>
    <s v="DD"/>
    <s v="Order"/>
    <n v="31"/>
    <x v="1"/>
    <x v="556"/>
    <n v="13"/>
    <n v="94.17"/>
    <d v="1899-12-30T04:26:00"/>
    <n v="4.4333333333333336"/>
    <n v="4.5"/>
    <x v="0"/>
    <s v="Lewiston"/>
    <n v="3"/>
  </r>
  <r>
    <n v="1369"/>
    <s v="UE"/>
    <s v="Order"/>
    <n v="31"/>
    <x v="2"/>
    <x v="557"/>
    <n v="1"/>
    <n v="9.06"/>
    <d v="1899-12-30T01:49:00"/>
    <n v="1.8166666666666664"/>
    <n v="1.75"/>
    <x v="0"/>
    <s v="Augusta"/>
    <n v="1"/>
  </r>
  <r>
    <n v="1370"/>
    <s v="DD"/>
    <s v="Order"/>
    <n v="31"/>
    <x v="2"/>
    <x v="557"/>
    <n v="11"/>
    <n v="110.63"/>
    <d v="1899-12-30T06:19:00"/>
    <n v="6.3166666666666664"/>
    <n v="6.25"/>
    <x v="0"/>
    <s v="Augusta"/>
    <n v="1"/>
  </r>
  <r>
    <n v="1371"/>
    <s v="UE"/>
    <s v="Order"/>
    <n v="32"/>
    <x v="4"/>
    <x v="558"/>
    <n v="4"/>
    <n v="52.87"/>
    <d v="1899-12-30T02:51:00"/>
    <n v="2.8499999999999996"/>
    <n v="2.75"/>
    <x v="0"/>
    <s v="Portland"/>
    <n v="4"/>
  </r>
  <r>
    <n v="1372"/>
    <s v="DD"/>
    <s v="Order"/>
    <n v="32"/>
    <x v="4"/>
    <x v="558"/>
    <n v="5"/>
    <n v="49"/>
    <d v="1899-12-30T02:53:00"/>
    <n v="2.8833333333333333"/>
    <n v="3"/>
    <x v="0"/>
    <s v="Portland"/>
    <n v="4"/>
  </r>
  <r>
    <n v="1373"/>
    <s v="DD"/>
    <s v="Order"/>
    <n v="32"/>
    <x v="4"/>
    <x v="558"/>
    <n v="5"/>
    <n v="43.27"/>
    <d v="1899-12-30T01:41:00"/>
    <n v="1.6833333333333333"/>
    <n v="1.75"/>
    <x v="2"/>
    <s v="Portland"/>
    <n v="4"/>
  </r>
  <r>
    <n v="1374"/>
    <s v="UE"/>
    <s v="Order"/>
    <n v="32"/>
    <x v="0"/>
    <x v="559"/>
    <n v="5"/>
    <n v="50.9"/>
    <d v="1899-12-30T03:30:00"/>
    <n v="3.5"/>
    <n v="3.5"/>
    <x v="0"/>
    <s v="Portland"/>
    <n v="4"/>
  </r>
  <r>
    <n v="1375"/>
    <s v="DD"/>
    <s v="Order"/>
    <n v="32"/>
    <x v="0"/>
    <x v="559"/>
    <n v="5"/>
    <n v="36"/>
    <d v="1899-12-30T02:13:00"/>
    <n v="2.2166666666666668"/>
    <n v="2.25"/>
    <x v="0"/>
    <s v="Portland"/>
    <n v="4"/>
  </r>
  <r>
    <n v="1376"/>
    <s v="DD"/>
    <s v="Hourly"/>
    <n v="32"/>
    <x v="0"/>
    <x v="559"/>
    <n v="7"/>
    <n v="58.02"/>
    <d v="1899-12-30T03:04:00"/>
    <n v="3.0666666666666664"/>
    <n v="3"/>
    <x v="2"/>
    <s v="Portland"/>
    <n v="4"/>
  </r>
  <r>
    <n v="1377"/>
    <s v="DD"/>
    <s v="Hourly"/>
    <n v="32"/>
    <x v="0"/>
    <x v="559"/>
    <n v="2"/>
    <n v="12.65"/>
    <d v="1899-12-30T00:28:00"/>
    <n v="0.46666666666666667"/>
    <n v="0.5"/>
    <x v="2"/>
    <s v="Portland"/>
    <n v="4"/>
  </r>
  <r>
    <n v="1378"/>
    <s v="UE"/>
    <s v="Order"/>
    <n v="32"/>
    <x v="1"/>
    <x v="560"/>
    <n v="10"/>
    <n v="76.34"/>
    <d v="1899-12-30T04:58:00"/>
    <n v="4.9666666666666668"/>
    <n v="5"/>
    <x v="0"/>
    <s v="Lewiston"/>
    <n v="3"/>
  </r>
  <r>
    <n v="1379"/>
    <s v="DD"/>
    <s v="Order"/>
    <n v="32"/>
    <x v="1"/>
    <x v="560"/>
    <n v="1"/>
    <n v="7.5"/>
    <d v="1899-12-30T01:05:00"/>
    <n v="1.0833333333333333"/>
    <n v="1"/>
    <x v="0"/>
    <s v="Lewiston"/>
    <n v="3"/>
  </r>
  <r>
    <n v="1380"/>
    <s v="DD"/>
    <s v="Order"/>
    <n v="32"/>
    <x v="1"/>
    <x v="560"/>
    <n v="5"/>
    <n v="42.75"/>
    <d v="1899-12-30T02:47:00"/>
    <n v="2.7833333333333332"/>
    <n v="2.75"/>
    <x v="0"/>
    <s v="Lewiston"/>
    <n v="3"/>
  </r>
  <r>
    <n v="1381"/>
    <s v="DD"/>
    <s v="Order"/>
    <n v="32"/>
    <x v="1"/>
    <x v="560"/>
    <n v="1"/>
    <n v="4"/>
    <d v="1899-12-30T00:17:00"/>
    <n v="0.28333333333333333"/>
    <n v="0.25"/>
    <x v="2"/>
    <s v="Lewiston"/>
    <n v="3"/>
  </r>
  <r>
    <n v="1382"/>
    <s v="UE"/>
    <s v="Order"/>
    <n v="32"/>
    <x v="2"/>
    <x v="561"/>
    <n v="12"/>
    <n v="163.27000000000001"/>
    <d v="1899-12-30T06:06:00"/>
    <n v="6.1"/>
    <n v="6"/>
    <x v="0"/>
    <s v="Portland"/>
    <n v="4"/>
  </r>
  <r>
    <n v="1383"/>
    <s v="DD"/>
    <s v="Hourly"/>
    <n v="32"/>
    <x v="2"/>
    <x v="561"/>
    <n v="1"/>
    <n v="7.77"/>
    <d v="1899-12-30T00:34:00"/>
    <n v="0.56666666666666665"/>
    <n v="0.5"/>
    <x v="0"/>
    <s v="Portland"/>
    <n v="4"/>
  </r>
  <r>
    <n v="1384"/>
    <s v="UE"/>
    <s v="Order"/>
    <n v="33"/>
    <x v="3"/>
    <x v="562"/>
    <n v="8"/>
    <n v="81.36"/>
    <d v="1899-12-30T03:57:00"/>
    <n v="3.95"/>
    <n v="4"/>
    <x v="0"/>
    <s v="Portland"/>
    <n v="4"/>
  </r>
  <r>
    <n v="1385"/>
    <s v="DD"/>
    <s v="Order"/>
    <n v="33"/>
    <x v="3"/>
    <x v="562"/>
    <n v="2"/>
    <n v="20"/>
    <d v="1899-12-30T02:02:00"/>
    <n v="2.0333333333333332"/>
    <n v="2"/>
    <x v="0"/>
    <s v="Portland"/>
    <n v="4"/>
  </r>
  <r>
    <n v="1386"/>
    <s v="DD"/>
    <s v="Order"/>
    <n v="33"/>
    <x v="3"/>
    <x v="562"/>
    <n v="1"/>
    <n v="13.25"/>
    <d v="1899-12-30T01:19:00"/>
    <n v="1.3166666666666667"/>
    <n v="1.25"/>
    <x v="0"/>
    <s v="Portland"/>
    <n v="4"/>
  </r>
  <r>
    <n v="1387"/>
    <s v="DD"/>
    <s v="Order"/>
    <n v="33"/>
    <x v="3"/>
    <x v="562"/>
    <n v="3"/>
    <n v="19"/>
    <d v="1899-12-30T01:41:00"/>
    <n v="1.6833333333333333"/>
    <n v="1.75"/>
    <x v="2"/>
    <s v="Portland"/>
    <n v="4"/>
  </r>
  <r>
    <n v="1388"/>
    <s v="DD"/>
    <s v="Order"/>
    <n v="33"/>
    <x v="4"/>
    <x v="563"/>
    <n v="6"/>
    <n v="39.75"/>
    <d v="1899-12-30T03:01:00"/>
    <n v="3.0166666666666666"/>
    <n v="3"/>
    <x v="0"/>
    <s v="Lewiston"/>
    <n v="3"/>
  </r>
  <r>
    <n v="1389"/>
    <s v="UE"/>
    <s v="Order"/>
    <n v="33"/>
    <x v="5"/>
    <x v="564"/>
    <n v="9"/>
    <n v="120.32"/>
    <d v="1899-12-30T05:08:00"/>
    <n v="5.1333333333333329"/>
    <n v="5.25"/>
    <x v="0"/>
    <s v="Portland"/>
    <n v="4"/>
  </r>
  <r>
    <n v="1390"/>
    <s v="DD"/>
    <s v="Hourly"/>
    <n v="33"/>
    <x v="5"/>
    <x v="564"/>
    <n v="1"/>
    <n v="9.73"/>
    <d v="1899-12-30T01:10:00"/>
    <n v="1.1666666666666667"/>
    <n v="1.25"/>
    <x v="0"/>
    <s v="Portland"/>
    <n v="4"/>
  </r>
  <r>
    <n v="1391"/>
    <s v="DD"/>
    <s v="Hourly"/>
    <n v="33"/>
    <x v="5"/>
    <x v="564"/>
    <n v="3"/>
    <n v="19.02"/>
    <d v="1899-12-30T01:16:00"/>
    <n v="1.2666666666666666"/>
    <n v="1.25"/>
    <x v="2"/>
    <s v="Portland"/>
    <n v="4"/>
  </r>
  <r>
    <n v="1392"/>
    <s v="DD"/>
    <s v="Hourly"/>
    <n v="33"/>
    <x v="5"/>
    <x v="564"/>
    <n v="1"/>
    <n v="9.94"/>
    <d v="1899-12-30T00:38:00"/>
    <n v="0.6333333333333333"/>
    <n v="0.75"/>
    <x v="2"/>
    <s v="Portland"/>
    <n v="4"/>
  </r>
  <r>
    <n v="1393"/>
    <s v="UE"/>
    <s v="Order"/>
    <n v="33"/>
    <x v="6"/>
    <x v="565"/>
    <n v="3"/>
    <n v="18.75"/>
    <d v="1899-12-30T01:48:00"/>
    <n v="1.7999999999999998"/>
    <n v="1.75"/>
    <x v="0"/>
    <s v="Lewiston"/>
    <n v="3"/>
  </r>
  <r>
    <n v="1394"/>
    <s v="DD"/>
    <s v="Order"/>
    <n v="33"/>
    <x v="6"/>
    <x v="565"/>
    <n v="15"/>
    <n v="91.92"/>
    <d v="1899-12-30T06:15:00"/>
    <n v="6.25"/>
    <n v="6.25"/>
    <x v="0"/>
    <s v="Lewiston"/>
    <n v="3"/>
  </r>
  <r>
    <n v="1395"/>
    <s v="UE"/>
    <s v="Order"/>
    <n v="33"/>
    <x v="0"/>
    <x v="566"/>
    <n v="4"/>
    <n v="50.67"/>
    <d v="1899-12-30T03:13:00"/>
    <n v="3.2166666666666668"/>
    <n v="3.25"/>
    <x v="0"/>
    <s v="Portland"/>
    <n v="4"/>
  </r>
  <r>
    <n v="1396"/>
    <s v="DD"/>
    <s v="Hourly"/>
    <n v="33"/>
    <x v="0"/>
    <x v="566"/>
    <n v="4"/>
    <n v="43.38"/>
    <d v="1899-12-30T01:49:00"/>
    <n v="1.8166666666666664"/>
    <n v="1.75"/>
    <x v="0"/>
    <s v="Portland"/>
    <n v="4"/>
  </r>
  <r>
    <n v="1397"/>
    <s v="DD"/>
    <s v="Hourly"/>
    <n v="33"/>
    <x v="0"/>
    <x v="566"/>
    <n v="6"/>
    <n v="40.06"/>
    <d v="1899-12-30T02:13:00"/>
    <n v="2.2166666666666668"/>
    <n v="2.25"/>
    <x v="2"/>
    <s v="Portland"/>
    <n v="4"/>
  </r>
  <r>
    <n v="1398"/>
    <s v="DD"/>
    <s v="Hourly"/>
    <n v="33"/>
    <x v="0"/>
    <x v="566"/>
    <n v="1"/>
    <n v="7.4"/>
    <d v="1899-12-30T00:53:00"/>
    <m/>
    <m/>
    <x v="2"/>
    <s v="Portland"/>
    <n v="4"/>
  </r>
  <r>
    <n v="1399"/>
    <s v="UE"/>
    <s v="Order"/>
    <n v="33"/>
    <x v="1"/>
    <x v="567"/>
    <n v="15"/>
    <n v="144.69999999999999"/>
    <d v="1899-12-30T05:40:00"/>
    <n v="5.6666666666666661"/>
    <n v="5.75"/>
    <x v="0"/>
    <s v="Portland"/>
    <n v="4"/>
  </r>
  <r>
    <n v="1400"/>
    <s v="DD"/>
    <s v="Order"/>
    <n v="33"/>
    <x v="1"/>
    <x v="567"/>
    <n v="2"/>
    <n v="20.75"/>
    <d v="1899-12-30T01:21:00"/>
    <n v="1.35"/>
    <n v="1.25"/>
    <x v="2"/>
    <s v="Portland"/>
    <n v="4"/>
  </r>
  <r>
    <n v="1401"/>
    <s v="DD"/>
    <s v="Hourly"/>
    <n v="33"/>
    <x v="2"/>
    <x v="568"/>
    <n v="11"/>
    <n v="76.099999999999994"/>
    <d v="1899-12-30T04:39:00"/>
    <n v="4.6500000000000004"/>
    <n v="4.75"/>
    <x v="0"/>
    <s v="Portland"/>
    <n v="4"/>
  </r>
  <r>
    <n v="1402"/>
    <s v="UE"/>
    <s v="Order"/>
    <n v="34"/>
    <x v="5"/>
    <x v="569"/>
    <n v="10"/>
    <n v="125.16"/>
    <d v="1899-12-30T05:06:00"/>
    <n v="5.0999999999999996"/>
    <n v="5"/>
    <x v="0"/>
    <s v="Portland"/>
    <n v="4"/>
  </r>
  <r>
    <n v="1403"/>
    <s v="DD"/>
    <s v="Hourly"/>
    <n v="34"/>
    <x v="5"/>
    <x v="569"/>
    <n v="1"/>
    <n v="10.18"/>
    <d v="1899-12-30T01:31:00"/>
    <n v="1.5166666666666666"/>
    <n v="1.5"/>
    <x v="2"/>
    <s v="Portland"/>
    <n v="4"/>
  </r>
  <r>
    <n v="1404"/>
    <s v="DD"/>
    <s v="Hourly"/>
    <n v="34"/>
    <x v="5"/>
    <x v="569"/>
    <n v="1"/>
    <n v="8.27"/>
    <d v="1899-12-30T00:26:00"/>
    <n v="0.43333333333333329"/>
    <n v="0.5"/>
    <x v="2"/>
    <s v="Portland"/>
    <n v="4"/>
  </r>
  <r>
    <n v="1405"/>
    <s v="UE"/>
    <s v="Order"/>
    <n v="34"/>
    <x v="6"/>
    <x v="570"/>
    <n v="7"/>
    <n v="83.65"/>
    <d v="1899-12-30T03:43:00"/>
    <n v="3.7166666666666668"/>
    <n v="3.75"/>
    <x v="0"/>
    <s v="Portland"/>
    <n v="4"/>
  </r>
  <r>
    <n v="1406"/>
    <s v="DD"/>
    <s v="Order"/>
    <n v="34"/>
    <x v="6"/>
    <x v="570"/>
    <n v="2"/>
    <n v="25"/>
    <d v="1899-12-30T01:49:00"/>
    <n v="1.8166666666666664"/>
    <n v="1.75"/>
    <x v="0"/>
    <s v="Portland"/>
    <n v="4"/>
  </r>
  <r>
    <n v="1407"/>
    <s v="DD"/>
    <s v="Order"/>
    <n v="34"/>
    <x v="6"/>
    <x v="570"/>
    <n v="4"/>
    <n v="26.03"/>
    <d v="1899-12-30T02:00:00"/>
    <n v="2"/>
    <n v="2"/>
    <x v="2"/>
    <s v="Portland"/>
    <n v="4"/>
  </r>
  <r>
    <n v="1408"/>
    <s v="DD"/>
    <s v="Order"/>
    <n v="34"/>
    <x v="6"/>
    <x v="570"/>
    <n v="2"/>
    <n v="10.5"/>
    <d v="1899-12-30T00:28:00"/>
    <n v="0.46666666666666667"/>
    <n v="0.5"/>
    <x v="2"/>
    <s v="Portland"/>
    <n v="4"/>
  </r>
  <r>
    <n v="1409"/>
    <s v="UE"/>
    <s v="Order"/>
    <n v="34"/>
    <x v="0"/>
    <x v="571"/>
    <n v="14"/>
    <n v="206.9"/>
    <d v="1899-12-30T07:02:00"/>
    <n v="7.0333333333333332"/>
    <n v="7"/>
    <x v="0"/>
    <s v="Portland"/>
    <n v="4"/>
  </r>
  <r>
    <n v="1410"/>
    <s v="DD"/>
    <s v="Hourly"/>
    <n v="34"/>
    <x v="0"/>
    <x v="571"/>
    <n v="2"/>
    <n v="27.69"/>
    <d v="1899-12-30T01:32:00"/>
    <n v="1.5333333333333332"/>
    <n v="1.5"/>
    <x v="0"/>
    <s v="Portland"/>
    <n v="4"/>
  </r>
  <r>
    <n v="1411"/>
    <s v="UE"/>
    <s v="Order"/>
    <n v="34"/>
    <x v="1"/>
    <x v="572"/>
    <n v="9"/>
    <n v="86.79"/>
    <d v="1899-12-30T04:50:00"/>
    <n v="4.8333333333333339"/>
    <n v="4.75"/>
    <x v="0"/>
    <s v="Portland"/>
    <n v="4"/>
  </r>
  <r>
    <n v="1412"/>
    <s v="DD"/>
    <s v="Order"/>
    <n v="34"/>
    <x v="1"/>
    <x v="572"/>
    <n v="4"/>
    <n v="38.5"/>
    <d v="1899-12-30T02:23:00"/>
    <n v="2.3833333333333333"/>
    <n v="2.5"/>
    <x v="0"/>
    <s v="Portland"/>
    <n v="4"/>
  </r>
  <r>
    <n v="1413"/>
    <s v="DD"/>
    <s v="Order"/>
    <n v="34"/>
    <x v="1"/>
    <x v="572"/>
    <n v="1"/>
    <n v="11.25"/>
    <d v="1899-12-30T00:53:00"/>
    <n v="0.8833333333333333"/>
    <n v="1"/>
    <x v="2"/>
    <s v="Portland"/>
    <n v="4"/>
  </r>
  <r>
    <n v="1414"/>
    <s v="DD"/>
    <s v="Order"/>
    <n v="34"/>
    <x v="1"/>
    <x v="572"/>
    <n v="2"/>
    <n v="8"/>
    <d v="1899-12-30T00:19:00"/>
    <n v="0.31666666666666665"/>
    <n v="0.25"/>
    <x v="2"/>
    <s v="Portland"/>
    <n v="4"/>
  </r>
  <r>
    <n v="1415"/>
    <s v="UE"/>
    <s v="Order"/>
    <n v="34"/>
    <x v="2"/>
    <x v="573"/>
    <n v="7"/>
    <n v="97.74"/>
    <d v="1899-12-30T03:52:00"/>
    <n v="3.8666666666666671"/>
    <n v="3.75"/>
    <x v="0"/>
    <s v="Portland"/>
    <n v="4"/>
  </r>
  <r>
    <n v="1416"/>
    <s v="DD"/>
    <s v="Hourly"/>
    <n v="34"/>
    <x v="2"/>
    <x v="573"/>
    <n v="8"/>
    <n v="61.28"/>
    <d v="1899-12-30T02:27:00"/>
    <n v="2.4500000000000002"/>
    <n v="2.5"/>
    <x v="0"/>
    <s v="Portland"/>
    <n v="4"/>
  </r>
  <r>
    <n v="1417"/>
    <s v="UE"/>
    <s v="Order"/>
    <n v="35"/>
    <x v="3"/>
    <x v="574"/>
    <n v="8"/>
    <n v="110.51"/>
    <d v="1899-12-30T04:20:00"/>
    <n v="4.333333333333333"/>
    <n v="4.25"/>
    <x v="0"/>
    <s v="Portland"/>
    <n v="4"/>
  </r>
  <r>
    <n v="1418"/>
    <s v="DD"/>
    <s v="Order"/>
    <n v="35"/>
    <x v="3"/>
    <x v="574"/>
    <n v="5"/>
    <n v="37.06"/>
    <d v="1899-12-30T02:08:00"/>
    <n v="2.1333333333333333"/>
    <n v="2.25"/>
    <x v="2"/>
    <s v="Portland"/>
    <n v="4"/>
  </r>
  <r>
    <n v="1419"/>
    <s v="DD"/>
    <s v="Order"/>
    <n v="35"/>
    <x v="4"/>
    <x v="575"/>
    <n v="11"/>
    <n v="106.47"/>
    <d v="1899-12-30T05:32:00"/>
    <n v="5.5333333333333332"/>
    <n v="5.5"/>
    <x v="0"/>
    <s v="Portland"/>
    <n v="4"/>
  </r>
  <r>
    <n v="1420"/>
    <s v="UE"/>
    <s v="Order"/>
    <n v="35"/>
    <x v="5"/>
    <x v="576"/>
    <n v="4"/>
    <n v="36.42"/>
    <d v="1899-12-30T01:49:00"/>
    <n v="1.8166666666666664"/>
    <n v="1.75"/>
    <x v="0"/>
    <s v="Brunswick/Bath/Freeport"/>
    <n v="2"/>
  </r>
  <r>
    <n v="1421"/>
    <s v="DD"/>
    <s v="Order"/>
    <n v="35"/>
    <x v="5"/>
    <x v="576"/>
    <n v="4"/>
    <n v="25.75"/>
    <d v="1899-12-30T01:52:00"/>
    <n v="1.8666666666666667"/>
    <n v="1.75"/>
    <x v="0"/>
    <s v="Brunswick/Bath/Freeport"/>
    <n v="2"/>
  </r>
  <r>
    <n v="1422"/>
    <s v="UE"/>
    <s v="Order"/>
    <n v="36"/>
    <x v="3"/>
    <x v="577"/>
    <n v="8"/>
    <n v="120.34"/>
    <d v="1899-12-30T03:56:00"/>
    <n v="3.9333333333333336"/>
    <n v="4"/>
    <x v="0"/>
    <s v="Portland"/>
    <n v="4"/>
  </r>
  <r>
    <n v="1423"/>
    <s v="DD"/>
    <s v="Order"/>
    <n v="36"/>
    <x v="3"/>
    <x v="577"/>
    <n v="2"/>
    <n v="14.25"/>
    <d v="1899-12-30T01:13:00"/>
    <n v="1.2166666666666668"/>
    <n v="1.25"/>
    <x v="0"/>
    <s v="Portland"/>
    <n v="4"/>
  </r>
  <r>
    <n v="1424"/>
    <s v="DD"/>
    <s v="Order"/>
    <n v="36"/>
    <x v="3"/>
    <x v="577"/>
    <n v="7"/>
    <n v="62.32"/>
    <d v="1899-12-30T02:36:00"/>
    <n v="2.6"/>
    <n v="2.5"/>
    <x v="0"/>
    <s v="Portland"/>
    <n v="4"/>
  </r>
  <r>
    <n v="1425"/>
    <s v="UE"/>
    <s v="Order"/>
    <n v="36"/>
    <x v="6"/>
    <x v="578"/>
    <n v="1"/>
    <n v="26.05"/>
    <d v="1899-12-30T01:31:00"/>
    <n v="1.5166666666666666"/>
    <n v="1.5"/>
    <x v="0"/>
    <s v="Lewiston"/>
    <n v="3"/>
  </r>
  <r>
    <n v="1426"/>
    <s v="DD"/>
    <s v="Order"/>
    <n v="36"/>
    <x v="6"/>
    <x v="578"/>
    <n v="1"/>
    <n v="14.5"/>
    <d v="1899-12-30T00:33:00"/>
    <n v="0.54999999999999993"/>
    <n v="0.5"/>
    <x v="0"/>
    <s v="Lewiston"/>
    <n v="3"/>
  </r>
  <r>
    <n v="1427"/>
    <s v="DD"/>
    <s v="Order"/>
    <n v="36"/>
    <x v="6"/>
    <x v="578"/>
    <n v="6"/>
    <n v="39.75"/>
    <d v="1899-12-30T02:36:00"/>
    <n v="2.6"/>
    <n v="2.5"/>
    <x v="0"/>
    <s v="Lewiston"/>
    <n v="3"/>
  </r>
  <r>
    <n v="1428"/>
    <s v="UE"/>
    <s v="Order"/>
    <n v="36"/>
    <x v="0"/>
    <x v="579"/>
    <n v="5"/>
    <n v="53.12"/>
    <d v="1899-12-30T02:45:00"/>
    <n v="2.75"/>
    <n v="2.75"/>
    <x v="0"/>
    <s v="Portland"/>
    <n v="4"/>
  </r>
  <r>
    <n v="1429"/>
    <s v="DD"/>
    <s v="Hourly"/>
    <n v="36"/>
    <x v="0"/>
    <x v="579"/>
    <n v="8"/>
    <n v="77.16"/>
    <d v="1899-12-30T04:29:00"/>
    <n v="4.4833333333333334"/>
    <n v="4.5"/>
    <x v="0"/>
    <s v="Portland"/>
    <n v="4"/>
  </r>
  <r>
    <n v="1430"/>
    <s v="UE"/>
    <s v="Order"/>
    <n v="36"/>
    <x v="1"/>
    <x v="580"/>
    <n v="2"/>
    <n v="15.07"/>
    <d v="1899-12-30T02:02:00"/>
    <n v="2.0333333333333332"/>
    <n v="2"/>
    <x v="0"/>
    <s v="Portland"/>
    <n v="4"/>
  </r>
  <r>
    <n v="1431"/>
    <s v="DD"/>
    <s v="Order"/>
    <n v="36"/>
    <x v="1"/>
    <x v="580"/>
    <n v="5"/>
    <n v="66.14"/>
    <d v="1899-12-30T03:24:00"/>
    <n v="3.4"/>
    <n v="3.5"/>
    <x v="0"/>
    <s v="Portland"/>
    <n v="4"/>
  </r>
  <r>
    <n v="1432"/>
    <s v="UE"/>
    <s v="Order"/>
    <n v="37"/>
    <x v="3"/>
    <x v="581"/>
    <n v="6"/>
    <n v="106.21"/>
    <d v="1899-12-30T03:12:00"/>
    <n v="3.2"/>
    <n v="3.25"/>
    <x v="0"/>
    <s v="Brunswick/Bath/Freeport"/>
    <n v="2"/>
  </r>
  <r>
    <n v="1433"/>
    <s v="DD"/>
    <s v="Hourly"/>
    <n v="37"/>
    <x v="3"/>
    <x v="581"/>
    <n v="2"/>
    <n v="17.28"/>
    <d v="1899-12-30T01:14:00"/>
    <n v="1.2333333333333334"/>
    <n v="1.25"/>
    <x v="0"/>
    <s v="Brunswick/Bath/Freeport"/>
    <n v="2"/>
  </r>
  <r>
    <n v="1434"/>
    <s v="DD"/>
    <s v="Hourly"/>
    <n v="37"/>
    <x v="3"/>
    <x v="581"/>
    <n v="8"/>
    <n v="80.25"/>
    <d v="1899-12-30T03:13:00"/>
    <n v="3.2166666666666668"/>
    <n v="3.25"/>
    <x v="0"/>
    <s v="Brunswick/Bath/Freeport"/>
    <n v="2"/>
  </r>
  <r>
    <n v="1435"/>
    <s v="DD"/>
    <s v="Order"/>
    <n v="37"/>
    <x v="4"/>
    <x v="582"/>
    <n v="10"/>
    <n v="96.5"/>
    <d v="1899-12-30T05:37:00"/>
    <n v="5.6166666666666671"/>
    <n v="5.5"/>
    <x v="0"/>
    <s v="Brunswick/Bath/Freeport"/>
    <n v="2"/>
  </r>
  <r>
    <n v="1436"/>
    <s v="UE"/>
    <s v="Order"/>
    <n v="37"/>
    <x v="5"/>
    <x v="583"/>
    <n v="1"/>
    <n v="9.1999999999999993"/>
    <d v="1899-12-30T01:31:00"/>
    <n v="1.5166666666666666"/>
    <n v="1.5"/>
    <x v="0"/>
    <s v="Brunswick/Bath/Freeport"/>
    <n v="2"/>
  </r>
  <r>
    <n v="1437"/>
    <s v="DD"/>
    <s v="Order"/>
    <n v="37"/>
    <x v="5"/>
    <x v="583"/>
    <n v="12"/>
    <n v="101.42"/>
    <d v="1899-12-30T06:04:00"/>
    <n v="6.0666666666666664"/>
    <n v="6"/>
    <x v="0"/>
    <s v="Brunswick/Bath/Freeport"/>
    <n v="2"/>
  </r>
  <r>
    <n v="1438"/>
    <s v="UE"/>
    <s v="Order"/>
    <n v="37"/>
    <x v="6"/>
    <x v="584"/>
    <n v="4"/>
    <n v="43.28"/>
    <d v="1899-12-30T02:24:00"/>
    <n v="2.4000000000000004"/>
    <n v="2.5"/>
    <x v="0"/>
    <s v="Lewiston"/>
    <n v="3"/>
  </r>
  <r>
    <n v="1439"/>
    <s v="DD"/>
    <s v="Hourly"/>
    <n v="37"/>
    <x v="6"/>
    <x v="584"/>
    <n v="2"/>
    <n v="14.59"/>
    <d v="1899-12-30T01:45:00"/>
    <n v="1.75"/>
    <n v="1.75"/>
    <x v="0"/>
    <s v="Lewiston"/>
    <n v="3"/>
  </r>
  <r>
    <n v="1440"/>
    <s v="DD"/>
    <s v="Hourly"/>
    <n v="37"/>
    <x v="6"/>
    <x v="584"/>
    <n v="9"/>
    <n v="65.540000000000006"/>
    <d v="1899-12-30T03:14:00"/>
    <n v="3.2333333333333334"/>
    <n v="3.25"/>
    <x v="0"/>
    <s v="Lewiston"/>
    <n v="3"/>
  </r>
  <r>
    <n v="1441"/>
    <s v="DD"/>
    <s v="Hourly"/>
    <n v="37"/>
    <x v="6"/>
    <x v="584"/>
    <n v="4"/>
    <n v="31.08"/>
    <d v="1899-12-30T00:51:00"/>
    <n v="0.85"/>
    <n v="0.75"/>
    <x v="2"/>
    <s v="Lewiston"/>
    <n v="3"/>
  </r>
  <r>
    <n v="1442"/>
    <s v="UE"/>
    <s v="Order"/>
    <n v="37"/>
    <x v="0"/>
    <x v="585"/>
    <n v="9"/>
    <n v="113.95"/>
    <d v="1899-12-30T04:59:00"/>
    <n v="4.9833333333333334"/>
    <n v="5"/>
    <x v="0"/>
    <s v="Lewiston"/>
    <n v="3"/>
  </r>
  <r>
    <n v="1443"/>
    <s v="DD"/>
    <s v="Order"/>
    <n v="37"/>
    <x v="0"/>
    <x v="585"/>
    <n v="2"/>
    <n v="37.25"/>
    <d v="1899-12-30T02:46:00"/>
    <n v="2.7666666666666666"/>
    <n v="2.75"/>
    <x v="0"/>
    <s v="Lewiston"/>
    <n v="3"/>
  </r>
  <r>
    <n v="1444"/>
    <s v="DD"/>
    <s v="Order"/>
    <n v="37"/>
    <x v="0"/>
    <x v="585"/>
    <n v="3"/>
    <n v="21.75"/>
    <d v="1899-12-30T02:51:00"/>
    <n v="2.8499999999999996"/>
    <n v="2.75"/>
    <x v="2"/>
    <s v="Lewiston"/>
    <n v="3"/>
  </r>
  <r>
    <n v="1445"/>
    <s v="UE"/>
    <s v="Order"/>
    <n v="37"/>
    <x v="1"/>
    <x v="586"/>
    <n v="3"/>
    <n v="35.07"/>
    <d v="1899-12-30T02:46:00"/>
    <n v="2.7666666666666666"/>
    <n v="2.75"/>
    <x v="0"/>
    <s v="Lewiston"/>
    <n v="3"/>
  </r>
  <r>
    <n v="1446"/>
    <s v="DD"/>
    <s v="Hourly"/>
    <n v="37"/>
    <x v="1"/>
    <x v="586"/>
    <n v="6"/>
    <n v="49.06"/>
    <d v="1899-12-30T03:03:00"/>
    <n v="3.05"/>
    <n v="3"/>
    <x v="0"/>
    <s v="Lewiston"/>
    <n v="3"/>
  </r>
  <r>
    <n v="1447"/>
    <s v="DD"/>
    <s v="Hourly"/>
    <n v="37"/>
    <x v="1"/>
    <x v="586"/>
    <n v="5"/>
    <n v="35.94"/>
    <d v="1899-12-30T01:32:00"/>
    <n v="1.5333333333333332"/>
    <n v="1.5"/>
    <x v="0"/>
    <s v="Lewiston"/>
    <n v="3"/>
  </r>
  <r>
    <n v="1448"/>
    <s v="DD"/>
    <s v="Hourly"/>
    <n v="37"/>
    <x v="2"/>
    <x v="587"/>
    <n v="11"/>
    <n v="93.35"/>
    <d v="1899-12-30T04:34:00"/>
    <n v="4.5666666666666664"/>
    <n v="4.5"/>
    <x v="1"/>
    <s v="Brunswick/Bath/Freeport"/>
    <n v="2"/>
  </r>
  <r>
    <n v="1449"/>
    <s v="UE"/>
    <s v="Order"/>
    <n v="38"/>
    <x v="0"/>
    <x v="588"/>
    <n v="13"/>
    <n v="138.31"/>
    <d v="1899-12-30T05:28:00"/>
    <n v="5.4666666666666668"/>
    <n v="5.5"/>
    <x v="0"/>
    <s v="Portland"/>
    <n v="4"/>
  </r>
  <r>
    <n v="1450"/>
    <s v="DD"/>
    <s v="Order"/>
    <n v="38"/>
    <x v="0"/>
    <x v="588"/>
    <n v="3"/>
    <n v="38.29"/>
    <d v="1899-12-30T02:17:00"/>
    <n v="2.2833333333333332"/>
    <n v="2.25"/>
    <x v="0"/>
    <s v="Portland"/>
    <n v="4"/>
  </r>
  <r>
    <n v="1451"/>
    <s v="DD"/>
    <s v="Order"/>
    <n v="38"/>
    <x v="0"/>
    <x v="588"/>
    <n v="2"/>
    <n v="12.25"/>
    <d v="1899-12-30T00:35:00"/>
    <n v="0.58333333333333337"/>
    <n v="0.5"/>
    <x v="2"/>
    <s v="Portland"/>
    <n v="4"/>
  </r>
  <r>
    <n v="1452"/>
    <s v="UE"/>
    <s v="Order"/>
    <n v="38"/>
    <x v="2"/>
    <x v="589"/>
    <n v="2"/>
    <n v="26.02"/>
    <d v="1899-12-30T00:56:00"/>
    <n v="0.93333333333333335"/>
    <n v="1"/>
    <x v="1"/>
    <s v="Brunswick/Bath/Freeport"/>
    <n v="2"/>
  </r>
  <r>
    <n v="1453"/>
    <s v="DD"/>
    <s v="Order"/>
    <n v="38"/>
    <x v="2"/>
    <x v="589"/>
    <n v="3"/>
    <n v="42.41"/>
    <d v="1899-12-30T01:42:00"/>
    <n v="1.7"/>
    <n v="1.75"/>
    <x v="1"/>
    <s v="Brunswick/Bath/Freeport"/>
    <n v="2"/>
  </r>
  <r>
    <n v="1454"/>
    <s v="UE"/>
    <s v="Order"/>
    <n v="39"/>
    <x v="3"/>
    <x v="590"/>
    <n v="6"/>
    <n v="87.81"/>
    <d v="1899-12-30T03:39:00"/>
    <n v="3.6499999999999995"/>
    <n v="3.75"/>
    <x v="0"/>
    <s v="Portland"/>
    <n v="4"/>
  </r>
  <r>
    <n v="1455"/>
    <s v="DD"/>
    <s v="Order"/>
    <n v="39"/>
    <x v="3"/>
    <x v="590"/>
    <n v="3"/>
    <n v="31.25"/>
    <d v="1899-12-30T01:25:00"/>
    <n v="1.4166666666666665"/>
    <n v="1.5"/>
    <x v="0"/>
    <s v="Portland"/>
    <n v="4"/>
  </r>
  <r>
    <n v="1456"/>
    <s v="DD"/>
    <s v="Hourly"/>
    <n v="39"/>
    <x v="3"/>
    <x v="590"/>
    <n v="2"/>
    <n v="19.329999999999998"/>
    <d v="1899-12-30T01:44:00"/>
    <n v="1.7333333333333332"/>
    <n v="1.75"/>
    <x v="0"/>
    <s v="Portland"/>
    <n v="4"/>
  </r>
  <r>
    <n v="1457"/>
    <s v="UE"/>
    <s v="Order"/>
    <n v="39"/>
    <x v="4"/>
    <x v="591"/>
    <n v="3"/>
    <n v="33.71"/>
    <d v="1899-12-30T01:50:00"/>
    <n v="1.8333333333333335"/>
    <n v="1.75"/>
    <x v="0"/>
    <s v="Brunswick/Bath/Freeport"/>
    <n v="2"/>
  </r>
  <r>
    <n v="1458"/>
    <s v="DD"/>
    <s v="Order"/>
    <n v="39"/>
    <x v="4"/>
    <x v="591"/>
    <n v="6"/>
    <n v="86.33"/>
    <d v="1899-12-30T03:31:00"/>
    <n v="3.5166666666666666"/>
    <n v="3.5"/>
    <x v="0"/>
    <s v="Brunswick/Bath/Freeport"/>
    <n v="2"/>
  </r>
  <r>
    <n v="1459"/>
    <s v="UE"/>
    <s v="Order"/>
    <n v="39"/>
    <x v="5"/>
    <x v="592"/>
    <n v="4"/>
    <n v="53.22"/>
    <d v="1899-12-30T02:41:00"/>
    <n v="2.6833333333333336"/>
    <n v="2.75"/>
    <x v="0"/>
    <s v="Brunswick/Bath/Freeport"/>
    <n v="2"/>
  </r>
  <r>
    <n v="1460"/>
    <s v="DD"/>
    <s v="Order"/>
    <n v="39"/>
    <x v="5"/>
    <x v="592"/>
    <n v="5"/>
    <n v="42"/>
    <d v="1899-12-30T02:20:00"/>
    <n v="2.3333333333333335"/>
    <n v="2.25"/>
    <x v="0"/>
    <s v="Brunswick/Bath/Freeport"/>
    <n v="2"/>
  </r>
  <r>
    <n v="1461"/>
    <s v="DD"/>
    <s v="Order"/>
    <n v="39"/>
    <x v="5"/>
    <x v="592"/>
    <n v="4"/>
    <n v="35"/>
    <d v="1899-12-30T01:56:00"/>
    <n v="1.9333333333333336"/>
    <n v="2"/>
    <x v="0"/>
    <s v="Brunswick/Bath/Freeport"/>
    <n v="2"/>
  </r>
  <r>
    <n v="1462"/>
    <s v="UE"/>
    <s v="Order"/>
    <n v="39"/>
    <x v="0"/>
    <x v="593"/>
    <n v="14"/>
    <n v="158.51"/>
    <d v="1899-12-30T06:25:00"/>
    <n v="6.4166666666666661"/>
    <n v="6.5"/>
    <x v="0"/>
    <s v="Portland"/>
    <n v="4"/>
  </r>
  <r>
    <n v="1463"/>
    <s v="DD"/>
    <s v="Hourly"/>
    <n v="39"/>
    <x v="0"/>
    <x v="593"/>
    <n v="1"/>
    <n v="8.39"/>
    <d v="1899-12-30T01:00:00"/>
    <n v="1"/>
    <n v="1"/>
    <x v="0"/>
    <s v="Portland"/>
    <n v="4"/>
  </r>
  <r>
    <n v="1464"/>
    <s v="DD"/>
    <s v="Hourly"/>
    <n v="39"/>
    <x v="0"/>
    <x v="593"/>
    <n v="8"/>
    <n v="70.12"/>
    <d v="1899-12-30T02:26:00"/>
    <n v="2.4333333333333336"/>
    <n v="2.5"/>
    <x v="2"/>
    <s v="Portland"/>
    <n v="4"/>
  </r>
  <r>
    <n v="1465"/>
    <s v="UE"/>
    <s v="Order"/>
    <n v="40"/>
    <x v="3"/>
    <x v="594"/>
    <n v="6"/>
    <n v="52.73"/>
    <d v="1899-12-30T03:21:00"/>
    <n v="3.35"/>
    <n v="3.25"/>
    <x v="0"/>
    <s v="Portland"/>
    <n v="4"/>
  </r>
  <r>
    <n v="1466"/>
    <s v="DD"/>
    <s v="Hourly"/>
    <n v="40"/>
    <x v="3"/>
    <x v="594"/>
    <n v="6"/>
    <n v="45.37"/>
    <d v="1899-12-30T02:47:00"/>
    <n v="2.7833333333333332"/>
    <n v="2.75"/>
    <x v="0"/>
    <s v="Portland"/>
    <n v="4"/>
  </r>
  <r>
    <n v="1467"/>
    <s v="UE"/>
    <s v="Order"/>
    <n v="40"/>
    <x v="4"/>
    <x v="595"/>
    <n v="3"/>
    <n v="34.5"/>
    <d v="1899-12-30T02:59:00"/>
    <n v="2.9833333333333334"/>
    <n v="3"/>
    <x v="0"/>
    <s v="Augusta"/>
    <n v="1"/>
  </r>
  <r>
    <n v="1468"/>
    <s v="DD"/>
    <s v="Order"/>
    <n v="40"/>
    <x v="4"/>
    <x v="595"/>
    <n v="2"/>
    <n v="13.81"/>
    <d v="1899-12-30T01:32:00"/>
    <n v="1.5333333333333332"/>
    <n v="1.5"/>
    <x v="0"/>
    <s v="Augusta"/>
    <n v="1"/>
  </r>
  <r>
    <n v="1469"/>
    <s v="DD"/>
    <s v="Hourly"/>
    <n v="40"/>
    <x v="4"/>
    <x v="595"/>
    <n v="1"/>
    <n v="10.28"/>
    <d v="1899-12-30T01:23:00"/>
    <n v="1.3833333333333333"/>
    <n v="1.5"/>
    <x v="0"/>
    <s v="Augusta"/>
    <n v="1"/>
  </r>
  <r>
    <n v="1470"/>
    <s v="UE"/>
    <s v="Order"/>
    <n v="40"/>
    <x v="1"/>
    <x v="596"/>
    <n v="9"/>
    <n v="99.28"/>
    <d v="1899-12-30T04:51:00"/>
    <n v="4.8499999999999996"/>
    <n v="4.75"/>
    <x v="0"/>
    <s v="Portland"/>
    <n v="4"/>
  </r>
  <r>
    <n v="1471"/>
    <s v="DD"/>
    <s v="Hourly"/>
    <n v="40"/>
    <x v="1"/>
    <x v="596"/>
    <n v="2"/>
    <n v="23.04"/>
    <d v="1899-12-30T02:07:00"/>
    <n v="2.1166666666666667"/>
    <n v="2"/>
    <x v="0"/>
    <s v="Portland"/>
    <n v="4"/>
  </r>
  <r>
    <n v="1472"/>
    <s v="DD"/>
    <s v="Hourly"/>
    <n v="40"/>
    <x v="1"/>
    <x v="596"/>
    <n v="4"/>
    <n v="22.22"/>
    <d v="1899-12-30T02:01:00"/>
    <n v="2.0166666666666666"/>
    <n v="2"/>
    <x v="2"/>
    <s v="Portland"/>
    <n v="4"/>
  </r>
  <r>
    <n v="1473"/>
    <s v="UE"/>
    <s v="Order"/>
    <n v="40"/>
    <x v="2"/>
    <x v="597"/>
    <n v="5"/>
    <n v="85.53"/>
    <d v="1899-12-30T03:35:00"/>
    <n v="3.583333333333333"/>
    <n v="3.5"/>
    <x v="0"/>
    <s v="Brunswick/Bath/Freeport"/>
    <n v="2"/>
  </r>
  <r>
    <n v="1474"/>
    <s v="DD"/>
    <s v="Order"/>
    <n v="40"/>
    <x v="2"/>
    <x v="597"/>
    <n v="3"/>
    <n v="44.6"/>
    <d v="1899-12-30T03:32:00"/>
    <n v="3.5333333333333332"/>
    <n v="3.5"/>
    <x v="0"/>
    <s v="Brunswick/Bath/Freeport"/>
    <n v="2"/>
  </r>
  <r>
    <n v="1475"/>
    <s v="DD"/>
    <s v="Hourly"/>
    <n v="40"/>
    <x v="2"/>
    <x v="597"/>
    <n v="2"/>
    <n v="19.170000000000002"/>
    <d v="1899-12-30T01:09:00"/>
    <n v="1.1500000000000001"/>
    <n v="1.25"/>
    <x v="0"/>
    <s v="Brunswick/Bath/Freeport"/>
    <n v="2"/>
  </r>
  <r>
    <n v="1476"/>
    <s v="UE"/>
    <s v="Order"/>
    <n v="41"/>
    <x v="3"/>
    <x v="598"/>
    <n v="5"/>
    <n v="71.87"/>
    <d v="1899-12-30T03:03:00"/>
    <n v="3.05"/>
    <n v="3"/>
    <x v="0"/>
    <s v="Brunswick/Bath/Freeport"/>
    <n v="2"/>
  </r>
  <r>
    <n v="1477"/>
    <s v="DD"/>
    <s v="Order"/>
    <n v="41"/>
    <x v="3"/>
    <x v="598"/>
    <n v="7"/>
    <n v="73.09"/>
    <d v="1899-12-30T04:15:00"/>
    <n v="4.25"/>
    <n v="4.25"/>
    <x v="0"/>
    <s v="Brunswick/Bath/Freeport"/>
    <n v="2"/>
  </r>
  <r>
    <n v="1478"/>
    <s v="DD"/>
    <s v="Order"/>
    <n v="41"/>
    <x v="3"/>
    <x v="598"/>
    <n v="2"/>
    <n v="14.620000000000001"/>
    <d v="1899-12-30T01:01:00"/>
    <n v="1.0166666666666666"/>
    <n v="1"/>
    <x v="2"/>
    <s v="Brunswick/Bath/Freeport"/>
    <n v="2"/>
  </r>
  <r>
    <n v="1479"/>
    <s v="UE"/>
    <s v="Order"/>
    <n v="41"/>
    <x v="1"/>
    <x v="599"/>
    <n v="2"/>
    <n v="22.61"/>
    <d v="1899-12-30T01:38:00"/>
    <n v="1.6333333333333333"/>
    <n v="1.75"/>
    <x v="1"/>
    <s v="Portland"/>
    <n v="4"/>
  </r>
  <r>
    <n v="1480"/>
    <s v="DD"/>
    <s v="Order"/>
    <n v="41"/>
    <x v="1"/>
    <x v="599"/>
    <n v="4"/>
    <n v="93.59"/>
    <d v="1899-12-30T02:38:00"/>
    <n v="2.6333333333333333"/>
    <n v="2.75"/>
    <x v="1"/>
    <s v="Portland"/>
    <n v="4"/>
  </r>
  <r>
    <n v="1481"/>
    <s v="UE"/>
    <s v="Order"/>
    <n v="42"/>
    <x v="3"/>
    <x v="600"/>
    <n v="1"/>
    <n v="43.05"/>
    <d v="1899-12-30T01:25:00"/>
    <n v="1.4166666666666665"/>
    <n v="1.5"/>
    <x v="0"/>
    <s v="Brunswick/Bath/Freeport"/>
    <n v="2"/>
  </r>
  <r>
    <n v="1482"/>
    <s v="DD"/>
    <s v="Order"/>
    <n v="42"/>
    <x v="3"/>
    <x v="600"/>
    <n v="8"/>
    <n v="67.650000000000006"/>
    <d v="1899-12-30T03:13:00"/>
    <n v="3.2166666666666668"/>
    <n v="3.25"/>
    <x v="0"/>
    <s v="Brunswick/Bath/Freeport"/>
    <n v="2"/>
  </r>
  <r>
    <n v="1483"/>
    <s v="DD"/>
    <s v="Order"/>
    <n v="42"/>
    <x v="3"/>
    <x v="600"/>
    <n v="1"/>
    <n v="6"/>
    <d v="1899-12-30T00:34:00"/>
    <n v="0.56666666666666665"/>
    <n v="0.5"/>
    <x v="2"/>
    <s v="Brunswick/Bath/Freeport"/>
    <n v="2"/>
  </r>
  <r>
    <n v="1484"/>
    <s v="UE"/>
    <s v="Order"/>
    <n v="42"/>
    <x v="5"/>
    <x v="601"/>
    <n v="5"/>
    <n v="35.46"/>
    <d v="1899-12-30T02:28:00"/>
    <n v="2.4666666666666668"/>
    <n v="2.5"/>
    <x v="0"/>
    <s v="Lewiston"/>
    <n v="3"/>
  </r>
  <r>
    <n v="1485"/>
    <s v="DD"/>
    <s v="Hourly"/>
    <n v="42"/>
    <x v="5"/>
    <x v="601"/>
    <n v="2"/>
    <n v="23.73"/>
    <d v="1899-12-30T01:02:00"/>
    <n v="1.0333333333333332"/>
    <n v="1"/>
    <x v="0"/>
    <s v="Lewiston"/>
    <n v="3"/>
  </r>
  <r>
    <n v="1486"/>
    <s v="UE"/>
    <s v="Order"/>
    <n v="42"/>
    <x v="6"/>
    <x v="602"/>
    <n v="1"/>
    <n v="13.05"/>
    <d v="1899-12-30T01:54:00"/>
    <n v="1.9"/>
    <n v="2"/>
    <x v="0"/>
    <s v="Lewiston"/>
    <n v="3"/>
  </r>
  <r>
    <n v="1487"/>
    <s v="DD"/>
    <s v="Hourly"/>
    <n v="42"/>
    <x v="6"/>
    <x v="602"/>
    <n v="2"/>
    <n v="13.27"/>
    <d v="1899-12-30T01:09:00"/>
    <n v="1.1500000000000001"/>
    <n v="1.25"/>
    <x v="0"/>
    <s v="Lewiston"/>
    <n v="3"/>
  </r>
  <r>
    <n v="1488"/>
    <s v="DD"/>
    <s v="Order"/>
    <n v="42"/>
    <x v="6"/>
    <x v="602"/>
    <n v="5"/>
    <n v="27.5"/>
    <d v="1899-12-30T01:27:00"/>
    <n v="1.45"/>
    <n v="1.5"/>
    <x v="0"/>
    <s v="Lewiston"/>
    <n v="3"/>
  </r>
  <r>
    <n v="1489"/>
    <s v="DD"/>
    <s v="Hourly"/>
    <n v="42"/>
    <x v="0"/>
    <x v="603"/>
    <n v="8"/>
    <n v="70.88"/>
    <d v="1899-12-30T02:37:00"/>
    <n v="2.6166666666666667"/>
    <n v="2.5"/>
    <x v="0"/>
    <s v="Brunswick/Bath/Freeport"/>
    <n v="2"/>
  </r>
  <r>
    <n v="1490"/>
    <s v="DD"/>
    <s v="Hourly"/>
    <n v="42"/>
    <x v="0"/>
    <x v="603"/>
    <n v="4"/>
    <n v="37.65"/>
    <d v="1899-12-30T01:47:00"/>
    <n v="1.7833333333333332"/>
    <n v="1.75"/>
    <x v="2"/>
    <s v="Brunswick/Bath/Freeport"/>
    <n v="2"/>
  </r>
  <r>
    <n v="1491"/>
    <s v="DD"/>
    <s v="Hourly"/>
    <n v="42"/>
    <x v="0"/>
    <x v="603"/>
    <n v="1"/>
    <n v="9.3800000000000008"/>
    <d v="1899-12-30T00:41:00"/>
    <n v="0.68333333333333335"/>
    <n v="0.75"/>
    <x v="2"/>
    <s v="Brunswick/Bath/Freeport"/>
    <n v="2"/>
  </r>
  <r>
    <n v="1492"/>
    <s v="DD"/>
    <s v="Hourly"/>
    <n v="42"/>
    <x v="0"/>
    <x v="603"/>
    <n v="3"/>
    <n v="32.61"/>
    <d v="1899-12-30T01:19:00"/>
    <n v="1.3166666666666667"/>
    <n v="1.25"/>
    <x v="2"/>
    <s v="Brunswick/Bath/Freeport"/>
    <n v="2"/>
  </r>
  <r>
    <n v="1493"/>
    <s v="DD"/>
    <s v="Hourly"/>
    <n v="42"/>
    <x v="1"/>
    <x v="604"/>
    <n v="4"/>
    <n v="38.71"/>
    <d v="1899-12-30T01:23:00"/>
    <n v="1.3833333333333333"/>
    <n v="1.5"/>
    <x v="0"/>
    <s v="Brunswick/Bath/Freeport"/>
    <n v="2"/>
  </r>
  <r>
    <n v="1494"/>
    <s v="DD"/>
    <s v="Hourly"/>
    <n v="42"/>
    <x v="2"/>
    <x v="605"/>
    <n v="11"/>
    <n v="86.51"/>
    <d v="1899-12-30T04:06:00"/>
    <n v="4.0999999999999996"/>
    <n v="4"/>
    <x v="0"/>
    <s v="Lewiston"/>
    <n v="3"/>
  </r>
  <r>
    <n v="1495"/>
    <s v="UE"/>
    <s v="Order"/>
    <n v="43"/>
    <x v="3"/>
    <x v="606"/>
    <n v="3"/>
    <n v="47.43"/>
    <d v="1899-12-30T05:28:00"/>
    <n v="5.4666666666666668"/>
    <n v="5.5"/>
    <x v="0"/>
    <s v="Augusta"/>
    <n v="1"/>
  </r>
  <r>
    <n v="1496"/>
    <s v="DD"/>
    <s v="Order"/>
    <n v="43"/>
    <x v="3"/>
    <x v="606"/>
    <n v="4"/>
    <n v="40"/>
    <d v="1899-12-30T03:40:00"/>
    <n v="3.666666666666667"/>
    <n v="3.75"/>
    <x v="0"/>
    <s v="Augusta"/>
    <n v="1"/>
  </r>
  <r>
    <n v="1497"/>
    <s v="DD"/>
    <s v="Order"/>
    <n v="43"/>
    <x v="4"/>
    <x v="607"/>
    <n v="11"/>
    <n v="100.80000000000001"/>
    <d v="1899-12-30T04:41:00"/>
    <n v="4.6833333333333336"/>
    <n v="4.75"/>
    <x v="0"/>
    <s v="Brunswick/Bath/Freeport"/>
    <n v="2"/>
  </r>
  <r>
    <n v="1498"/>
    <s v="DD"/>
    <s v="Hourly"/>
    <n v="43"/>
    <x v="0"/>
    <x v="608"/>
    <n v="11"/>
    <n v="105.94"/>
    <d v="1899-12-30T05:05:00"/>
    <n v="5.083333333333333"/>
    <n v="5"/>
    <x v="0"/>
    <s v="Brunswick/Bath/Freeport"/>
    <n v="2"/>
  </r>
  <r>
    <n v="1499"/>
    <s v="UE"/>
    <s v="Order"/>
    <n v="43"/>
    <x v="2"/>
    <x v="609"/>
    <n v="2"/>
    <n v="24.089999999999996"/>
    <d v="1899-12-30T01:53:00"/>
    <n v="1.883333333333334"/>
    <n v="2"/>
    <x v="0"/>
    <s v="Brunswick/Bath/Freeport"/>
    <n v="2"/>
  </r>
  <r>
    <n v="1500"/>
    <s v="DD"/>
    <s v="Order"/>
    <n v="43"/>
    <x v="2"/>
    <x v="609"/>
    <n v="12"/>
    <n v="86.25"/>
    <d v="1899-12-30T04:11:00"/>
    <n v="4.1833333333333336"/>
    <n v="4.25"/>
    <x v="0"/>
    <s v="Brunswick/Bath/Freeport"/>
    <n v="2"/>
  </r>
  <r>
    <n v="1501"/>
    <s v="UE"/>
    <s v="Order"/>
    <n v="44"/>
    <x v="3"/>
    <x v="610"/>
    <n v="1"/>
    <n v="14.07"/>
    <d v="1899-12-30T01:01:00"/>
    <n v="1.0166666666666666"/>
    <n v="1"/>
    <x v="0"/>
    <s v="Brunswick/Bath/Freeport"/>
    <n v="2"/>
  </r>
  <r>
    <n v="1502"/>
    <s v="DD"/>
    <s v="Order"/>
    <n v="44"/>
    <x v="3"/>
    <x v="610"/>
    <n v="1"/>
    <n v="16.190000000000001"/>
    <d v="1899-12-30T01:41:00"/>
    <n v="1.6833333333333333"/>
    <n v="1.75"/>
    <x v="0"/>
    <s v="Brunswick/Bath/Freeport"/>
    <n v="2"/>
  </r>
  <r>
    <n v="1503"/>
    <s v="UE"/>
    <s v="Order"/>
    <n v="44"/>
    <x v="4"/>
    <x v="611"/>
    <n v="8"/>
    <n v="61.53"/>
    <d v="1899-12-30T05:11:00"/>
    <n v="5.1833333333333336"/>
    <n v="5.25"/>
    <x v="0"/>
    <s v="Portland"/>
    <n v="4"/>
  </r>
  <r>
    <n v="1504"/>
    <s v="DD"/>
    <s v="Hourly"/>
    <n v="44"/>
    <x v="5"/>
    <x v="612"/>
    <n v="10"/>
    <n v="117.5"/>
    <d v="1899-12-30T04:12:00"/>
    <n v="4.1999999999999993"/>
    <n v="4.25"/>
    <x v="0"/>
    <s v="Brunswick/Bath/Freeport"/>
    <n v="2"/>
  </r>
  <r>
    <n v="1505"/>
    <s v="UE"/>
    <s v="Order"/>
    <n v="44"/>
    <x v="0"/>
    <x v="613"/>
    <n v="4"/>
    <n v="127.87"/>
    <d v="1899-12-30T03:59:00"/>
    <n v="3.9833333333333334"/>
    <n v="4"/>
    <x v="0"/>
    <s v="Brunswick/Bath/Freeport"/>
    <n v="2"/>
  </r>
  <r>
    <n v="1506"/>
    <s v="DD"/>
    <s v="Hourly"/>
    <n v="44"/>
    <x v="0"/>
    <x v="613"/>
    <n v="13"/>
    <n v="95.86999999999999"/>
    <d v="1899-12-30T05:15:00"/>
    <n v="5.25"/>
    <n v="5.25"/>
    <x v="0"/>
    <s v="Brunswick/Bath/Freeport"/>
    <n v="2"/>
  </r>
  <r>
    <n v="1507"/>
    <s v="UE"/>
    <s v="Order"/>
    <n v="44"/>
    <x v="1"/>
    <x v="614"/>
    <n v="12"/>
    <n v="94.36"/>
    <d v="1899-12-30T06:09:00"/>
    <n v="6.1499999999999995"/>
    <n v="6.25"/>
    <x v="0"/>
    <s v="Portland"/>
    <n v="4"/>
  </r>
  <r>
    <n v="1508"/>
    <s v="DD"/>
    <s v="Order"/>
    <n v="44"/>
    <x v="1"/>
    <x v="614"/>
    <n v="1"/>
    <n v="6"/>
    <d v="1899-12-30T00:54:00"/>
    <n v="0.89999999999999991"/>
    <n v="1"/>
    <x v="0"/>
    <s v="Portland"/>
    <n v="4"/>
  </r>
  <r>
    <n v="1509"/>
    <s v="UE"/>
    <s v="Order"/>
    <n v="44"/>
    <x v="2"/>
    <x v="615"/>
    <n v="1"/>
    <n v="12.09"/>
    <d v="1899-12-30T01:24:00"/>
    <n v="1.4"/>
    <n v="1.5"/>
    <x v="0"/>
    <s v="Brunswick/Bath/Freeport"/>
    <n v="2"/>
  </r>
  <r>
    <n v="1510"/>
    <s v="DD"/>
    <s v="Hourly"/>
    <n v="44"/>
    <x v="2"/>
    <x v="615"/>
    <n v="15"/>
    <n v="163.41"/>
    <d v="1899-12-30T06:07:00"/>
    <n v="6.1166666666666663"/>
    <n v="6"/>
    <x v="0"/>
    <s v="Brunswick/Bath/Freeport"/>
    <n v="2"/>
  </r>
  <r>
    <n v="1511"/>
    <s v="UE"/>
    <s v="Order"/>
    <n v="45"/>
    <x v="3"/>
    <x v="616"/>
    <n v="3"/>
    <n v="61.07"/>
    <d v="1899-12-30T02:09:00"/>
    <n v="2.15"/>
    <n v="2.25"/>
    <x v="0"/>
    <s v="Brunswick/Bath/Freeport"/>
    <n v="2"/>
  </r>
  <r>
    <n v="1512"/>
    <s v="DD"/>
    <s v="Order"/>
    <n v="45"/>
    <x v="3"/>
    <x v="616"/>
    <n v="4"/>
    <n v="21.25"/>
    <d v="1899-12-30T01:39:00"/>
    <n v="1.6500000000000001"/>
    <n v="1.75"/>
    <x v="0"/>
    <s v="Brunswick/Bath/Freeport"/>
    <n v="2"/>
  </r>
  <r>
    <n v="1513"/>
    <s v="DD"/>
    <s v="Order"/>
    <n v="45"/>
    <x v="3"/>
    <x v="616"/>
    <n v="4"/>
    <n v="44.99"/>
    <d v="1899-12-30T03:10:00"/>
    <n v="3.166666666666667"/>
    <n v="3.25"/>
    <x v="0"/>
    <s v="Brunswick/Bath/Freeport"/>
    <n v="2"/>
  </r>
  <r>
    <n v="1514"/>
    <s v="UE"/>
    <s v="Order"/>
    <n v="45"/>
    <x v="4"/>
    <x v="617"/>
    <n v="4"/>
    <n v="80.22"/>
    <d v="1899-12-30T02:27:00"/>
    <n v="2.4500000000000002"/>
    <n v="2.5"/>
    <x v="0"/>
    <s v="Brunswick/Bath/Freeport"/>
    <n v="2"/>
  </r>
  <r>
    <n v="1515"/>
    <s v="DD"/>
    <s v="Order"/>
    <n v="45"/>
    <x v="4"/>
    <x v="617"/>
    <n v="3"/>
    <n v="16"/>
    <d v="1899-12-30T01:22:00"/>
    <n v="1.3666666666666667"/>
    <n v="1.25"/>
    <x v="0"/>
    <s v="Brunswick/Bath/Freeport"/>
    <n v="2"/>
  </r>
  <r>
    <n v="1516"/>
    <s v="DD"/>
    <s v="Order"/>
    <n v="45"/>
    <x v="4"/>
    <x v="617"/>
    <n v="4"/>
    <n v="64.42"/>
    <d v="1899-12-30T02:43:00"/>
    <n v="2.7166666666666668"/>
    <n v="2.75"/>
    <x v="0"/>
    <s v="Brunswick/Bath/Freeport"/>
    <n v="2"/>
  </r>
  <r>
    <n v="1517"/>
    <s v="UE"/>
    <s v="Order"/>
    <n v="45"/>
    <x v="6"/>
    <x v="618"/>
    <n v="3"/>
    <n v="77.56"/>
    <d v="1899-12-30T02:34:00"/>
    <n v="2.5666666666666664"/>
    <n v="2.5"/>
    <x v="0"/>
    <s v="Brunswick/Bath/Freeport"/>
    <n v="2"/>
  </r>
  <r>
    <n v="1518"/>
    <s v="UE"/>
    <s v="Order"/>
    <n v="46"/>
    <x v="3"/>
    <x v="619"/>
    <n v="2"/>
    <n v="40.11"/>
    <d v="1899-12-30T01:19:00"/>
    <n v="1.3166666666666667"/>
    <n v="1.25"/>
    <x v="0"/>
    <s v="Brunswick/Bath/Freeport"/>
    <n v="2"/>
  </r>
  <r>
    <n v="1519"/>
    <s v="DD"/>
    <s v="Order"/>
    <n v="46"/>
    <x v="3"/>
    <x v="619"/>
    <n v="13"/>
    <n v="103.48"/>
    <d v="1899-12-30T05:04:00"/>
    <n v="5.0666666666666664"/>
    <n v="5"/>
    <x v="0"/>
    <s v="Brunswick/Bath/Freeport"/>
    <n v="2"/>
  </r>
  <r>
    <n v="1520"/>
    <s v="UE"/>
    <s v="Order"/>
    <n v="46"/>
    <x v="4"/>
    <x v="620"/>
    <n v="3"/>
    <n v="30.3"/>
    <d v="1899-12-30T02:36:00"/>
    <n v="2.6"/>
    <n v="2.5"/>
    <x v="0"/>
    <s v="Brunswick/Bath/Freeport"/>
    <n v="2"/>
  </r>
  <r>
    <n v="1521"/>
    <s v="DD"/>
    <s v="Order"/>
    <n v="46"/>
    <x v="4"/>
    <x v="620"/>
    <n v="9"/>
    <n v="59.11"/>
    <d v="1899-12-30T05:01:00"/>
    <n v="5.0166666666666666"/>
    <n v="5"/>
    <x v="0"/>
    <s v="Brunswick/Bath/Freeport"/>
    <n v="2"/>
  </r>
  <r>
    <n v="1522"/>
    <s v="UE"/>
    <s v="Order"/>
    <n v="46"/>
    <x v="0"/>
    <x v="621"/>
    <n v="3"/>
    <n v="38.51"/>
    <d v="1899-12-30T02:33:00"/>
    <n v="2.5499999999999998"/>
    <n v="2.5"/>
    <x v="0"/>
    <s v="Brunswick/Bath/Freeport"/>
    <n v="2"/>
  </r>
  <r>
    <n v="1523"/>
    <s v="DD"/>
    <s v="Order"/>
    <n v="46"/>
    <x v="0"/>
    <x v="621"/>
    <n v="2"/>
    <n v="19.5"/>
    <d v="1899-12-30T01:26:00"/>
    <n v="1.4333333333333333"/>
    <n v="1.5"/>
    <x v="0"/>
    <s v="Brunswick/Bath/Freeport"/>
    <n v="2"/>
  </r>
  <r>
    <n v="1524"/>
    <s v="DD"/>
    <s v="Order"/>
    <n v="46"/>
    <x v="0"/>
    <x v="621"/>
    <n v="12"/>
    <n v="92.25"/>
    <d v="1899-12-30T04:26:00"/>
    <n v="4.4333333333333336"/>
    <n v="4.5"/>
    <x v="0"/>
    <s v="Brunswick/Bath/Freeport"/>
    <n v="2"/>
  </r>
  <r>
    <n v="1525"/>
    <s v="UE"/>
    <s v="Order"/>
    <n v="46"/>
    <x v="1"/>
    <x v="622"/>
    <n v="4"/>
    <n v="52.19"/>
    <d v="1899-12-30T03:24:00"/>
    <n v="3.4"/>
    <n v="3.5"/>
    <x v="0"/>
    <s v="Lewiston"/>
    <n v="3"/>
  </r>
  <r>
    <n v="1526"/>
    <s v="DD"/>
    <s v="Order"/>
    <n v="46"/>
    <x v="1"/>
    <x v="622"/>
    <n v="1"/>
    <n v="7"/>
    <d v="1899-12-30T01:07:00"/>
    <n v="1.1166666666666667"/>
    <n v="1"/>
    <x v="0"/>
    <s v="Lewiston"/>
    <n v="3"/>
  </r>
  <r>
    <n v="1527"/>
    <s v="DD"/>
    <s v="Order"/>
    <n v="46"/>
    <x v="1"/>
    <x v="622"/>
    <n v="12"/>
    <n v="79.5"/>
    <d v="1899-12-30T04:06:00"/>
    <n v="4.0999999999999996"/>
    <n v="4"/>
    <x v="0"/>
    <s v="Lewiston"/>
    <n v="3"/>
  </r>
  <r>
    <n v="1528"/>
    <s v="DD"/>
    <s v="Hourly"/>
    <n v="46"/>
    <x v="1"/>
    <x v="622"/>
    <n v="1"/>
    <n v="6.09"/>
    <d v="1899-12-30T00:21:00"/>
    <n v="0.35"/>
    <n v="0.25"/>
    <x v="2"/>
    <s v="Lewiston"/>
    <n v="3"/>
  </r>
  <r>
    <n v="1529"/>
    <s v="DD"/>
    <s v="Order"/>
    <n v="46"/>
    <x v="1"/>
    <x v="622"/>
    <n v="2"/>
    <n v="29.5"/>
    <d v="1899-12-30T01:10:00"/>
    <n v="1.1666666666666667"/>
    <n v="1.25"/>
    <x v="2"/>
    <s v="Lewiston"/>
    <n v="3"/>
  </r>
  <r>
    <n v="1530"/>
    <s v="UE"/>
    <s v="Order"/>
    <n v="47"/>
    <x v="3"/>
    <x v="623"/>
    <n v="4"/>
    <n v="54.75"/>
    <d v="1899-12-30T02:25:00"/>
    <n v="2.416666666666667"/>
    <n v="2.5"/>
    <x v="0"/>
    <s v="Brunswick/Bath/Freeport"/>
    <n v="2"/>
  </r>
  <r>
    <n v="1531"/>
    <s v="DD"/>
    <s v="Order"/>
    <n v="47"/>
    <x v="3"/>
    <x v="623"/>
    <n v="1"/>
    <n v="14"/>
    <d v="1899-12-30T01:18:00"/>
    <n v="1.3"/>
    <n v="1.25"/>
    <x v="0"/>
    <s v="Brunswick/Bath/Freeport"/>
    <n v="2"/>
  </r>
  <r>
    <n v="1532"/>
    <s v="UE"/>
    <s v="Order"/>
    <n v="47"/>
    <x v="6"/>
    <x v="624"/>
    <n v="1"/>
    <n v="8.07"/>
    <d v="1899-12-30T00:35:00"/>
    <n v="0.58333333333333337"/>
    <n v="0.5"/>
    <x v="0"/>
    <s v="Brunswick/Bath/Freeport"/>
    <n v="2"/>
  </r>
  <r>
    <n v="1533"/>
    <s v="UE"/>
    <s v="Order"/>
    <n v="47"/>
    <x v="0"/>
    <x v="625"/>
    <n v="1"/>
    <n v="32.049999999999997"/>
    <d v="1899-12-30T02:16:00"/>
    <n v="2.2666666666666666"/>
    <n v="2.25"/>
    <x v="0"/>
    <s v="Brunswick/Bath/Freeport"/>
    <n v="2"/>
  </r>
  <r>
    <n v="1534"/>
    <s v="DD"/>
    <s v="Order"/>
    <n v="47"/>
    <x v="0"/>
    <x v="625"/>
    <n v="5"/>
    <n v="61.15"/>
    <d v="1899-12-30T03:03:00"/>
    <n v="3.05"/>
    <n v="3"/>
    <x v="0"/>
    <s v="Brunswick/Bath/Freeport"/>
    <n v="2"/>
  </r>
  <r>
    <n v="1535"/>
    <s v="DD"/>
    <s v="Order"/>
    <n v="47"/>
    <x v="0"/>
    <x v="625"/>
    <n v="2"/>
    <n v="12.5"/>
    <d v="1899-12-30T01:05:00"/>
    <n v="1.0833333333333333"/>
    <n v="1"/>
    <x v="2"/>
    <s v="Brunswick/Bath/Freeport"/>
    <n v="2"/>
  </r>
  <r>
    <n v="1536"/>
    <s v="UE"/>
    <s v="Order"/>
    <n v="48"/>
    <x v="3"/>
    <x v="626"/>
    <n v="2"/>
    <n v="22.53"/>
    <d v="1899-12-30T01:26:00"/>
    <n v="1.4333333333333333"/>
    <n v="1.5"/>
    <x v="0"/>
    <s v="Brunswick/Bath/Freeport"/>
    <n v="2"/>
  </r>
  <r>
    <n v="1537"/>
    <s v="DD"/>
    <s v="Order"/>
    <n v="48"/>
    <x v="3"/>
    <x v="626"/>
    <n v="1"/>
    <n v="11.09"/>
    <d v="1899-12-30T00:49:00"/>
    <n v="0.81666666666666665"/>
    <n v="0.75"/>
    <x v="0"/>
    <s v="Brunswick/Bath/Freeport"/>
    <n v="2"/>
  </r>
  <r>
    <n v="1538"/>
    <s v="DD"/>
    <s v="Order"/>
    <n v="48"/>
    <x v="3"/>
    <x v="626"/>
    <n v="3"/>
    <n v="30.77"/>
    <d v="1899-12-30T01:16:00"/>
    <n v="1.2666666666666666"/>
    <n v="1.25"/>
    <x v="0"/>
    <s v="Brunswick/Bath/Freeport"/>
    <n v="2"/>
  </r>
  <r>
    <n v="1539"/>
    <s v="UE"/>
    <s v="Order"/>
    <n v="48"/>
    <x v="5"/>
    <x v="627"/>
    <n v="2"/>
    <n v="26.35"/>
    <d v="1899-12-30T01:27:00"/>
    <n v="1.45"/>
    <n v="1.5"/>
    <x v="0"/>
    <s v="Brunswick/Bath/Freeport"/>
    <n v="2"/>
  </r>
  <r>
    <n v="1540"/>
    <s v="DD"/>
    <s v="Hourly"/>
    <n v="48"/>
    <x v="5"/>
    <x v="627"/>
    <n v="4"/>
    <n v="40.520000000000003"/>
    <d v="1899-12-30T02:00:00"/>
    <n v="2"/>
    <n v="2"/>
    <x v="0"/>
    <s v="Brunswick/Bath/Freeport"/>
    <n v="2"/>
  </r>
  <r>
    <n v="1541"/>
    <s v="UE"/>
    <s v="Order"/>
    <n v="48"/>
    <x v="0"/>
    <x v="628"/>
    <n v="2"/>
    <n v="33.53"/>
    <d v="1899-12-30T02:13:00"/>
    <n v="2.2166666666666668"/>
    <n v="2.25"/>
    <x v="0"/>
    <s v="Augusta"/>
    <n v="1"/>
  </r>
  <r>
    <n v="1542"/>
    <s v="DD"/>
    <s v="Order"/>
    <n v="48"/>
    <x v="0"/>
    <x v="628"/>
    <n v="1"/>
    <n v="30.5"/>
    <d v="1899-12-30T01:34:00"/>
    <n v="1.5666666666666669"/>
    <n v="1.5"/>
    <x v="0"/>
    <s v="Augusta"/>
    <n v="1"/>
  </r>
  <r>
    <n v="1543"/>
    <s v="DD"/>
    <s v="Hourly"/>
    <n v="48"/>
    <x v="0"/>
    <x v="628"/>
    <n v="8"/>
    <n v="86.26"/>
    <d v="1899-12-30T03:58:00"/>
    <n v="3.9666666666666668"/>
    <n v="4"/>
    <x v="0"/>
    <s v="Augusta"/>
    <n v="1"/>
  </r>
  <r>
    <n v="1544"/>
    <s v="UE"/>
    <s v="Order"/>
    <n v="49"/>
    <x v="3"/>
    <x v="629"/>
    <n v="6"/>
    <n v="35.08"/>
    <d v="1899-12-30T01:06:00"/>
    <n v="1.0999999999999999"/>
    <n v="1"/>
    <x v="0"/>
    <s v="Brunswick/Bath/Freeport"/>
    <n v="2"/>
  </r>
  <r>
    <n v="1545"/>
    <s v="DD"/>
    <s v="Order"/>
    <n v="49"/>
    <x v="3"/>
    <x v="629"/>
    <n v="4"/>
    <n v="31.5"/>
    <d v="1899-12-30T02:09:00"/>
    <n v="2.15"/>
    <n v="2.25"/>
    <x v="0"/>
    <s v="Brunswick/Bath/Freeport"/>
    <n v="2"/>
  </r>
  <r>
    <n v="1546"/>
    <s v="DD"/>
    <s v="Order"/>
    <n v="49"/>
    <x v="4"/>
    <x v="630"/>
    <n v="3"/>
    <n v="26"/>
    <d v="1899-12-30T01:10:00"/>
    <n v="1.1666666666666667"/>
    <n v="1.25"/>
    <x v="0"/>
    <s v="Brunswick/Bath/Freeport"/>
    <n v="2"/>
  </r>
  <r>
    <n v="1547"/>
    <s v="UE"/>
    <s v="Order"/>
    <n v="49"/>
    <x v="5"/>
    <x v="631"/>
    <n v="5"/>
    <n v="40.99"/>
    <d v="1899-12-30T01:43:00"/>
    <n v="1.7166666666666666"/>
    <n v="1.75"/>
    <x v="0"/>
    <s v="Brunswick/Bath/Freeport"/>
    <n v="2"/>
  </r>
  <r>
    <n v="1548"/>
    <s v="DD"/>
    <s v="Order"/>
    <n v="49"/>
    <x v="5"/>
    <x v="631"/>
    <n v="3"/>
    <n v="21.25"/>
    <d v="1899-12-30T00:43:00"/>
    <n v="0.71666666666666667"/>
    <n v="0.75"/>
    <x v="0"/>
    <s v="Brunswick/Bath/Freeport"/>
    <n v="2"/>
  </r>
  <r>
    <n v="1549"/>
    <s v="DD"/>
    <s v="Hourly"/>
    <n v="49"/>
    <x v="5"/>
    <x v="631"/>
    <n v="4"/>
    <n v="30.52"/>
    <d v="1899-12-30T01:06:00"/>
    <n v="1.0999999999999999"/>
    <n v="1"/>
    <x v="2"/>
    <s v="Brunswick/Bath/Freeport"/>
    <n v="2"/>
  </r>
  <r>
    <n v="1550"/>
    <s v="DD"/>
    <s v="Order"/>
    <n v="49"/>
    <x v="0"/>
    <x v="632"/>
    <n v="4"/>
    <n v="44.5"/>
    <d v="1899-12-30T02:12:00"/>
    <n v="2.1999999999999997"/>
    <n v="2.25"/>
    <x v="0"/>
    <s v="Brunswick/Bath/Freeport"/>
    <n v="2"/>
  </r>
  <r>
    <n v="1551"/>
    <s v="UE"/>
    <s v="Order"/>
    <n v="50"/>
    <x v="3"/>
    <x v="633"/>
    <n v="2"/>
    <n v="16.93"/>
    <d v="1899-12-30T00:32:00"/>
    <n v="0.53333333333333333"/>
    <n v="0.5"/>
    <x v="0"/>
    <s v="Brunswick/Bath/Freeport"/>
    <n v="2"/>
  </r>
  <r>
    <n v="1552"/>
    <s v="DD"/>
    <s v="Hourly"/>
    <n v="50"/>
    <x v="3"/>
    <x v="633"/>
    <n v="4"/>
    <n v="41.95"/>
    <d v="1899-12-30T01:30:00"/>
    <n v="1.5"/>
    <n v="1.5"/>
    <x v="0"/>
    <s v="Brunswick/Bath/Freeport"/>
    <n v="2"/>
  </r>
  <r>
    <n v="1553"/>
    <s v="UE"/>
    <s v="Order"/>
    <n v="50"/>
    <x v="6"/>
    <x v="634"/>
    <n v="1"/>
    <n v="3.58"/>
    <d v="1899-12-30T00:53:00"/>
    <n v="0.8833333333333333"/>
    <n v="1"/>
    <x v="0"/>
    <s v="Brunswick/Bath/Freeport"/>
    <n v="2"/>
  </r>
  <r>
    <n v="1554"/>
    <s v="DD"/>
    <s v="Order"/>
    <n v="50"/>
    <x v="6"/>
    <x v="634"/>
    <n v="2"/>
    <n v="32.61"/>
    <d v="1899-12-30T01:34:00"/>
    <n v="1.5666666666666669"/>
    <n v="1.5"/>
    <x v="0"/>
    <s v="Brunswick/Bath/Freeport"/>
    <n v="2"/>
  </r>
  <r>
    <n v="1555"/>
    <s v="UE"/>
    <s v="Order"/>
    <n v="1"/>
    <x v="6"/>
    <x v="635"/>
    <n v="1"/>
    <n v="12.02"/>
    <d v="1899-12-30T01:00:00"/>
    <n v="1"/>
    <n v="1"/>
    <x v="0"/>
    <s v="Lewiston"/>
    <n v="3"/>
  </r>
  <r>
    <n v="1556"/>
    <s v="DD"/>
    <s v="Order"/>
    <n v="1"/>
    <x v="6"/>
    <x v="635"/>
    <n v="2"/>
    <n v="23.5"/>
    <d v="1899-12-30T01:39:00"/>
    <n v="1.6500000000000001"/>
    <n v="1.75"/>
    <x v="0"/>
    <s v="Lewiston"/>
    <n v="3"/>
  </r>
  <r>
    <n v="1557"/>
    <s v="DD"/>
    <s v="Order"/>
    <n v="1"/>
    <x v="6"/>
    <x v="635"/>
    <n v="2"/>
    <n v="25.95"/>
    <d v="1899-12-30T00:59:00"/>
    <n v="0.98333333333333339"/>
    <n v="1"/>
    <x v="0"/>
    <s v="Lewiston"/>
    <n v="3"/>
  </r>
  <r>
    <n v="1558"/>
    <s v="UE"/>
    <s v="Order"/>
    <n v="1"/>
    <x v="0"/>
    <x v="636"/>
    <n v="3"/>
    <n v="23.02"/>
    <d v="1899-12-30T01:27:00"/>
    <n v="1.45"/>
    <n v="1.5"/>
    <x v="0"/>
    <s v="Lewiston"/>
    <n v="3"/>
  </r>
  <r>
    <n v="1559"/>
    <s v="DD"/>
    <s v="Order"/>
    <n v="1"/>
    <x v="0"/>
    <x v="636"/>
    <n v="1"/>
    <n v="7.5"/>
    <d v="1899-12-30T01:36:00"/>
    <n v="1.6"/>
    <n v="1.5"/>
    <x v="0"/>
    <s v="Lewiston"/>
    <n v="3"/>
  </r>
  <r>
    <n v="1560"/>
    <s v="DD"/>
    <s v="Order"/>
    <n v="1"/>
    <x v="2"/>
    <x v="637"/>
    <n v="4"/>
    <n v="74.41"/>
    <d v="1899-12-30T02:50:00"/>
    <n v="2.833333333333333"/>
    <n v="2.75"/>
    <x v="0"/>
    <s v="Brunswick/Bath/Freeport"/>
    <n v="2"/>
  </r>
  <r>
    <n v="1561"/>
    <s v="UE"/>
    <s v="Order"/>
    <n v="2"/>
    <x v="5"/>
    <x v="638"/>
    <n v="1"/>
    <n v="22.01"/>
    <d v="1899-12-30T01:30:00"/>
    <n v="1.5"/>
    <n v="1.5"/>
    <x v="0"/>
    <s v="Brunswick/Bath/Freeport"/>
    <n v="2"/>
  </r>
  <r>
    <n v="1562"/>
    <s v="UE"/>
    <s v="Order"/>
    <n v="2"/>
    <x v="6"/>
    <x v="639"/>
    <n v="1"/>
    <n v="7.02"/>
    <d v="1899-12-30T01:03:00"/>
    <n v="1.0499999999999998"/>
    <n v="1"/>
    <x v="0"/>
    <s v="Lewiston"/>
    <n v="3"/>
  </r>
  <r>
    <n v="1563"/>
    <s v="DD"/>
    <s v="Order"/>
    <n v="2"/>
    <x v="6"/>
    <x v="639"/>
    <n v="1"/>
    <n v="6.5"/>
    <d v="1899-12-30T02:02:00"/>
    <n v="2.0333333333333332"/>
    <n v="2"/>
    <x v="0"/>
    <s v="Lewiston"/>
    <n v="3"/>
  </r>
  <r>
    <n v="1564"/>
    <s v="UE"/>
    <s v="Order"/>
    <n v="2"/>
    <x v="1"/>
    <x v="640"/>
    <n v="12"/>
    <n v="121.28"/>
    <d v="1899-12-30T05:42:00"/>
    <n v="5.6999999999999993"/>
    <n v="5.75"/>
    <x v="0"/>
    <s v="Portland"/>
    <n v="4"/>
  </r>
  <r>
    <n v="1565"/>
    <s v="DD"/>
    <s v="Hourly"/>
    <n v="2"/>
    <x v="1"/>
    <x v="640"/>
    <n v="4"/>
    <n v="27.68"/>
    <d v="1899-12-30T01:19:00"/>
    <n v="1.3166666666666667"/>
    <n v="1.25"/>
    <x v="2"/>
    <s v="Portland"/>
    <n v="4"/>
  </r>
  <r>
    <n v="1566"/>
    <s v="DD"/>
    <s v="Order"/>
    <n v="3"/>
    <x v="3"/>
    <x v="641"/>
    <n v="6"/>
    <n v="81.05"/>
    <d v="1899-12-30T03:47:00"/>
    <n v="3.7833333333333332"/>
    <n v="3.75"/>
    <x v="0"/>
    <s v="Portland"/>
    <n v="4"/>
  </r>
  <r>
    <n v="1567"/>
    <s v="DD"/>
    <s v="Order"/>
    <n v="3"/>
    <x v="3"/>
    <x v="641"/>
    <n v="1"/>
    <n v="2"/>
    <d v="1899-12-30T00:14:00"/>
    <n v="0.23333333333333334"/>
    <n v="0.25"/>
    <x v="2"/>
    <s v="Portland"/>
    <n v="4"/>
  </r>
  <r>
    <n v="1568"/>
    <s v="UE"/>
    <s v="Order"/>
    <n v="3"/>
    <x v="6"/>
    <x v="642"/>
    <n v="2"/>
    <n v="41.42"/>
    <d v="1899-12-30T02:06:00"/>
    <n v="2.0999999999999996"/>
    <n v="2"/>
    <x v="0"/>
    <s v="Lewiston"/>
    <n v="3"/>
  </r>
  <r>
    <n v="1569"/>
    <s v="DD"/>
    <s v="Order"/>
    <n v="3"/>
    <x v="6"/>
    <x v="642"/>
    <n v="5"/>
    <n v="32.5"/>
    <d v="1899-12-30T02:22:00"/>
    <n v="2.3666666666666667"/>
    <n v="2.25"/>
    <x v="0"/>
    <s v="Lewiston"/>
    <n v="3"/>
  </r>
  <r>
    <n v="1570"/>
    <s v="DD"/>
    <s v="Order"/>
    <n v="3"/>
    <x v="6"/>
    <x v="642"/>
    <n v="1"/>
    <n v="14"/>
    <d v="1899-12-30T00:38:00"/>
    <n v="0.6333333333333333"/>
    <n v="0.75"/>
    <x v="0"/>
    <s v="Lewiston"/>
    <n v="3"/>
  </r>
  <r>
    <n v="1571"/>
    <s v="UE"/>
    <s v="Order"/>
    <n v="3"/>
    <x v="0"/>
    <x v="643"/>
    <n v="3"/>
    <n v="39.1"/>
    <d v="1899-12-30T02:47:00"/>
    <n v="2.7833333333333332"/>
    <n v="2.75"/>
    <x v="0"/>
    <s v="Lewiston"/>
    <n v="3"/>
  </r>
  <r>
    <n v="1572"/>
    <s v="DD"/>
    <s v="Order"/>
    <n v="3"/>
    <x v="0"/>
    <x v="643"/>
    <n v="3"/>
    <n v="37.75"/>
    <d v="1899-12-30T02:12:00"/>
    <n v="2.1999999999999997"/>
    <n v="2.25"/>
    <x v="0"/>
    <s v="Lewiston"/>
    <n v="3"/>
  </r>
  <r>
    <n v="1573"/>
    <s v="DD"/>
    <s v="Order"/>
    <n v="3"/>
    <x v="0"/>
    <x v="643"/>
    <n v="3"/>
    <n v="23"/>
    <d v="1899-12-30T01:33:00"/>
    <n v="1.5500000000000003"/>
    <n v="1.5"/>
    <x v="0"/>
    <s v="Lewiston"/>
    <n v="3"/>
  </r>
  <r>
    <n v="1574"/>
    <s v="UE"/>
    <s v="Order"/>
    <n v="3"/>
    <x v="1"/>
    <x v="644"/>
    <n v="4"/>
    <n v="63.74"/>
    <d v="1899-12-30T03:18:00"/>
    <n v="3.3000000000000003"/>
    <n v="3.25"/>
    <x v="0"/>
    <s v="Brunswick/Bath/Freeport"/>
    <n v="2"/>
  </r>
  <r>
    <n v="1575"/>
    <s v="DD"/>
    <s v="Order"/>
    <n v="3"/>
    <x v="1"/>
    <x v="644"/>
    <n v="1"/>
    <n v="9.75"/>
    <d v="1899-12-30T00:58:00"/>
    <n v="0.96666666666666679"/>
    <n v="1"/>
    <x v="0"/>
    <s v="Brunswick/Bath/Freeport"/>
    <n v="2"/>
  </r>
  <r>
    <n v="1576"/>
    <s v="DD"/>
    <s v="Order"/>
    <n v="3"/>
    <x v="1"/>
    <x v="644"/>
    <n v="2"/>
    <n v="10.17"/>
    <d v="1899-12-30T02:27:00"/>
    <n v="2.4500000000000002"/>
    <n v="2.5"/>
    <x v="0"/>
    <s v="Brunswick/Bath/Freeport"/>
    <n v="2"/>
  </r>
  <r>
    <n v="1577"/>
    <s v="DD"/>
    <s v="Order"/>
    <n v="3"/>
    <x v="1"/>
    <x v="644"/>
    <n v="1"/>
    <n v="7.5"/>
    <d v="1899-12-30T00:22:00"/>
    <n v="0.36666666666666664"/>
    <n v="0.25"/>
    <x v="2"/>
    <s v="Brunswick/Bath/Freeport"/>
    <n v="2"/>
  </r>
  <r>
    <n v="1578"/>
    <s v="UE"/>
    <s v="Order"/>
    <n v="3"/>
    <x v="2"/>
    <x v="645"/>
    <n v="6"/>
    <n v="77.959999999999994"/>
    <d v="1899-12-30T02:49:00"/>
    <n v="2.8166666666666664"/>
    <n v="2.75"/>
    <x v="0"/>
    <s v="Portland"/>
    <n v="4"/>
  </r>
  <r>
    <n v="1579"/>
    <s v="DD"/>
    <s v="Hourly"/>
    <n v="3"/>
    <x v="2"/>
    <x v="645"/>
    <n v="1"/>
    <n v="12.94"/>
    <d v="1899-12-30T00:52:00"/>
    <n v="0.86666666666666659"/>
    <n v="0.75"/>
    <x v="2"/>
    <s v="Portland"/>
    <n v="4"/>
  </r>
  <r>
    <n v="1580"/>
    <s v="UE"/>
    <s v="Order"/>
    <n v="4"/>
    <x v="4"/>
    <x v="646"/>
    <n v="2"/>
    <n v="26.9"/>
    <d v="1899-12-30T02:21:00"/>
    <n v="2.35"/>
    <n v="2.25"/>
    <x v="0"/>
    <s v="Portland"/>
    <n v="4"/>
  </r>
  <r>
    <n v="1581"/>
    <s v="UE"/>
    <s v="Order"/>
    <n v="4"/>
    <x v="5"/>
    <x v="647"/>
    <n v="1"/>
    <n v="12.31"/>
    <d v="1899-12-30T00:52:00"/>
    <n v="0.86666666666666659"/>
    <n v="0.75"/>
    <x v="0"/>
    <s v="Brunswick/Bath/Freeport"/>
    <n v="2"/>
  </r>
  <r>
    <n v="1582"/>
    <s v="DD"/>
    <s v="Order"/>
    <n v="4"/>
    <x v="5"/>
    <x v="647"/>
    <n v="4"/>
    <n v="34"/>
    <d v="1899-12-30T01:35:00"/>
    <n v="1.5833333333333335"/>
    <n v="1.5"/>
    <x v="0"/>
    <s v="Brunswick/Bath/Freeport"/>
    <n v="2"/>
  </r>
  <r>
    <n v="1583"/>
    <s v="UE"/>
    <s v="Order"/>
    <n v="4"/>
    <x v="0"/>
    <x v="648"/>
    <n v="3"/>
    <n v="24.59"/>
    <d v="1899-12-30T02:42:00"/>
    <n v="2.7"/>
    <n v="2.75"/>
    <x v="0"/>
    <s v="Lewiston"/>
    <n v="3"/>
  </r>
  <r>
    <n v="1584"/>
    <s v="DD"/>
    <s v="Order"/>
    <n v="4"/>
    <x v="0"/>
    <x v="648"/>
    <n v="4"/>
    <n v="39.92"/>
    <d v="1899-12-30T01:50:00"/>
    <n v="1.8333333333333335"/>
    <n v="1.75"/>
    <x v="0"/>
    <s v="Lewiston"/>
    <n v="3"/>
  </r>
  <r>
    <n v="1585"/>
    <s v="DD"/>
    <s v="Order"/>
    <n v="4"/>
    <x v="0"/>
    <x v="648"/>
    <n v="2"/>
    <n v="14.5"/>
    <d v="1899-12-30T00:41:00"/>
    <n v="0.68333333333333335"/>
    <n v="0.75"/>
    <x v="2"/>
    <s v="Lewiston"/>
    <n v="3"/>
  </r>
  <r>
    <n v="1586"/>
    <s v="UE"/>
    <s v="Order"/>
    <n v="4"/>
    <x v="2"/>
    <x v="649"/>
    <n v="1"/>
    <n v="12.21"/>
    <d v="1899-12-30T00:58:00"/>
    <n v="0.96666666666666679"/>
    <n v="1"/>
    <x v="0"/>
    <s v="Brunswick/Bath/Freeport"/>
    <n v="2"/>
  </r>
  <r>
    <n v="1587"/>
    <s v="DD"/>
    <s v="Order"/>
    <n v="4"/>
    <x v="2"/>
    <x v="649"/>
    <n v="4"/>
    <n v="33.25"/>
    <d v="1899-12-30T02:27:00"/>
    <n v="2.4500000000000002"/>
    <n v="2.5"/>
    <x v="0"/>
    <s v="Brunswick/Bath/Freeport"/>
    <n v="2"/>
  </r>
  <r>
    <n v="1588"/>
    <s v="UE"/>
    <s v="Order"/>
    <n v="5"/>
    <x v="4"/>
    <x v="650"/>
    <n v="2"/>
    <n v="40.18"/>
    <d v="1899-12-30T02:52:00"/>
    <n v="2.8666666666666667"/>
    <n v="2.75"/>
    <x v="0"/>
    <s v="Augusta"/>
    <n v="1"/>
  </r>
  <r>
    <n v="1589"/>
    <s v="DD"/>
    <s v="Hourly"/>
    <n v="5"/>
    <x v="4"/>
    <x v="650"/>
    <n v="1"/>
    <n v="10.3"/>
    <d v="1899-12-30T00:54:00"/>
    <n v="0.89999999999999991"/>
    <n v="1"/>
    <x v="0"/>
    <s v="Augusta"/>
    <n v="1"/>
  </r>
  <r>
    <n v="1590"/>
    <s v="DD"/>
    <s v="Order"/>
    <n v="5"/>
    <x v="4"/>
    <x v="650"/>
    <n v="1"/>
    <n v="8.75"/>
    <d v="1899-12-30T00:51:00"/>
    <n v="0.85"/>
    <n v="0.75"/>
    <x v="0"/>
    <s v="Augusta"/>
    <n v="1"/>
  </r>
  <r>
    <n v="1591"/>
    <s v="DD"/>
    <s v="Hourly"/>
    <n v="5"/>
    <x v="4"/>
    <x v="650"/>
    <n v="2"/>
    <n v="15.88"/>
    <d v="1899-12-30T01:44:00"/>
    <n v="1.7333333333333332"/>
    <n v="1.75"/>
    <x v="0"/>
    <s v="Augusta"/>
    <n v="1"/>
  </r>
  <r>
    <n v="1592"/>
    <s v="DD"/>
    <s v="Order"/>
    <n v="5"/>
    <x v="1"/>
    <x v="651"/>
    <n v="3"/>
    <n v="49.75"/>
    <d v="1899-12-30T01:59:00"/>
    <n v="1.9833333333333334"/>
    <n v="2"/>
    <x v="0"/>
    <s v="Brunswick/Bath/Freeport"/>
    <n v="2"/>
  </r>
  <r>
    <n v="1593"/>
    <s v="DD"/>
    <s v="Order"/>
    <n v="6"/>
    <x v="3"/>
    <x v="652"/>
    <n v="5"/>
    <n v="57.5"/>
    <d v="1899-12-30T02:26:00"/>
    <n v="2.4333333333333336"/>
    <n v="2.5"/>
    <x v="0"/>
    <s v="Augusta"/>
    <n v="1"/>
  </r>
  <r>
    <n v="1594"/>
    <s v="UE"/>
    <s v="Order"/>
    <n v="6"/>
    <x v="5"/>
    <x v="653"/>
    <n v="4"/>
    <n v="38.96"/>
    <d v="1899-12-30T02:06:00"/>
    <n v="2.0999999999999996"/>
    <n v="2"/>
    <x v="0"/>
    <s v="Portland"/>
    <n v="4"/>
  </r>
  <r>
    <n v="1595"/>
    <s v="DD"/>
    <s v="Hourly"/>
    <n v="6"/>
    <x v="5"/>
    <x v="653"/>
    <n v="1"/>
    <n v="12.34"/>
    <d v="1899-12-30T00:51:00"/>
    <n v="0.85"/>
    <n v="0.75"/>
    <x v="0"/>
    <s v="Portland"/>
    <n v="4"/>
  </r>
  <r>
    <n v="1596"/>
    <s v="UE"/>
    <s v="Order"/>
    <n v="6"/>
    <x v="6"/>
    <x v="654"/>
    <n v="2"/>
    <n v="11.04"/>
    <d v="1899-12-30T00:43:00"/>
    <n v="0.71666666666666667"/>
    <n v="0.75"/>
    <x v="0"/>
    <s v="Lewiston"/>
    <n v="3"/>
  </r>
  <r>
    <n v="1597"/>
    <s v="DD"/>
    <s v="Order"/>
    <n v="6"/>
    <x v="6"/>
    <x v="654"/>
    <n v="2"/>
    <n v="8"/>
    <d v="1899-12-30T00:39:00"/>
    <n v="0.65"/>
    <n v="0.75"/>
    <x v="0"/>
    <s v="Lewiston"/>
    <n v="3"/>
  </r>
  <r>
    <n v="1598"/>
    <s v="UE"/>
    <s v="Order"/>
    <n v="6"/>
    <x v="0"/>
    <x v="655"/>
    <n v="5"/>
    <n v="35.549999999999997"/>
    <d v="1899-12-30T03:21:00"/>
    <n v="3.35"/>
    <n v="3.25"/>
    <x v="0"/>
    <s v="Lewiston"/>
    <n v="3"/>
  </r>
  <r>
    <n v="1599"/>
    <s v="DD"/>
    <s v="Order"/>
    <n v="6"/>
    <x v="0"/>
    <x v="655"/>
    <n v="1"/>
    <n v="5.75"/>
    <d v="1899-12-30T00:19:00"/>
    <n v="0.31666666666666665"/>
    <n v="0.25"/>
    <x v="0"/>
    <s v="Lewiston"/>
    <n v="3"/>
  </r>
  <r>
    <n v="1600"/>
    <s v="UE"/>
    <s v="Order"/>
    <n v="6"/>
    <x v="2"/>
    <x v="656"/>
    <n v="3"/>
    <n v="62.12"/>
    <d v="1899-12-30T02:15:00"/>
    <n v="2.25"/>
    <n v="2.25"/>
    <x v="0"/>
    <s v="Brunswick/Bath/Freeport"/>
    <n v="2"/>
  </r>
  <r>
    <n v="1601"/>
    <s v="DD"/>
    <s v="Order"/>
    <n v="6"/>
    <x v="2"/>
    <x v="656"/>
    <n v="3"/>
    <n v="33"/>
    <d v="1899-12-30T02:00:00"/>
    <n v="2"/>
    <n v="2"/>
    <x v="0"/>
    <s v="Brunswick/Bath/Freeport"/>
    <n v="2"/>
  </r>
  <r>
    <n v="1602"/>
    <s v="UE"/>
    <s v="Order"/>
    <n v="7"/>
    <x v="3"/>
    <x v="657"/>
    <n v="3"/>
    <n v="55.68"/>
    <d v="1899-12-30T02:34:00"/>
    <n v="2.5666666666666664"/>
    <n v="2.5"/>
    <x v="0"/>
    <s v="Brunswick/Bath/Freeport"/>
    <n v="2"/>
  </r>
  <r>
    <n v="1603"/>
    <s v="DD"/>
    <s v="Order"/>
    <n v="7"/>
    <x v="3"/>
    <x v="657"/>
    <n v="1"/>
    <n v="9"/>
    <d v="1899-12-30T00:58:00"/>
    <n v="0.96666666666666679"/>
    <n v="1"/>
    <x v="0"/>
    <s v="Brunswick/Bath/Freeport"/>
    <n v="2"/>
  </r>
  <r>
    <n v="1604"/>
    <s v="DD"/>
    <s v="Order"/>
    <n v="7"/>
    <x v="3"/>
    <x v="657"/>
    <n v="3"/>
    <n v="21.75"/>
    <d v="1899-12-30T00:45:00"/>
    <n v="0.75"/>
    <n v="0.75"/>
    <x v="0"/>
    <s v="Brunswick/Bath/Freeport"/>
    <n v="2"/>
  </r>
  <r>
    <n v="1605"/>
    <s v="DD"/>
    <s v="Order"/>
    <n v="7"/>
    <x v="3"/>
    <x v="657"/>
    <n v="1"/>
    <n v="20"/>
    <d v="1899-12-30T00:25:00"/>
    <n v="0.41666666666666669"/>
    <n v="0.5"/>
    <x v="0"/>
    <s v="Brunswick/Bath/Freeport"/>
    <n v="2"/>
  </r>
  <r>
    <n v="1606"/>
    <s v="DD"/>
    <s v="Order"/>
    <n v="7"/>
    <x v="6"/>
    <x v="658"/>
    <n v="5"/>
    <n v="91.15"/>
    <d v="1899-12-30T04:05:00"/>
    <n v="4.0833333333333339"/>
    <n v="4"/>
    <x v="0"/>
    <s v="Lewiston"/>
    <n v="3"/>
  </r>
  <r>
    <n v="1607"/>
    <s v="DD"/>
    <s v="Hourly"/>
    <n v="7"/>
    <x v="1"/>
    <x v="659"/>
    <n v="6"/>
    <n v="64.260000000000005"/>
    <d v="1899-12-30T02:53:00"/>
    <n v="2.8833333333333333"/>
    <n v="3"/>
    <x v="0"/>
    <s v="Augusta"/>
    <n v="1"/>
  </r>
  <r>
    <n v="1608"/>
    <s v="UE"/>
    <s v="Order"/>
    <n v="8"/>
    <x v="4"/>
    <x v="660"/>
    <n v="1"/>
    <n v="24.02"/>
    <d v="1899-12-30T01:19:00"/>
    <n v="1.3166666666666667"/>
    <n v="1.25"/>
    <x v="0"/>
    <s v="Brunswick/Bath/Freeport"/>
    <n v="2"/>
  </r>
  <r>
    <n v="1609"/>
    <s v="DD"/>
    <s v="Order"/>
    <n v="8"/>
    <x v="4"/>
    <x v="660"/>
    <n v="6"/>
    <n v="60.25"/>
    <d v="1899-12-30T03:30:00"/>
    <n v="3.5"/>
    <n v="3.5"/>
    <x v="0"/>
    <s v="Brunswick/Bath/Freeport"/>
    <n v="2"/>
  </r>
  <r>
    <n v="1610"/>
    <s v="DD"/>
    <s v="Order"/>
    <n v="8"/>
    <x v="4"/>
    <x v="660"/>
    <n v="3"/>
    <n v="22.75"/>
    <d v="1899-12-30T01:35:00"/>
    <n v="1.5833333333333335"/>
    <n v="1.5"/>
    <x v="2"/>
    <s v="Brunswick/Bath/Freeport"/>
    <n v="2"/>
  </r>
  <r>
    <n v="1611"/>
    <s v="UE"/>
    <s v="Order"/>
    <n v="8"/>
    <x v="6"/>
    <x v="661"/>
    <n v="2"/>
    <n v="16.579999999999998"/>
    <d v="1899-12-30T01:33:00"/>
    <n v="1.5500000000000003"/>
    <n v="1.5"/>
    <x v="0"/>
    <s v="Augusta"/>
    <n v="1"/>
  </r>
  <r>
    <n v="1612"/>
    <s v="DD"/>
    <s v="Order"/>
    <n v="8"/>
    <x v="6"/>
    <x v="661"/>
    <n v="6"/>
    <n v="62.5"/>
    <d v="1899-12-30T03:40:00"/>
    <n v="3.666666666666667"/>
    <n v="3.75"/>
    <x v="0"/>
    <s v="Augusta"/>
    <n v="1"/>
  </r>
  <r>
    <n v="1613"/>
    <s v="DD"/>
    <s v="Hourly"/>
    <n v="8"/>
    <x v="6"/>
    <x v="661"/>
    <n v="1"/>
    <n v="20.059999999999999"/>
    <d v="1899-12-30T00:45:00"/>
    <n v="0.75"/>
    <n v="0.75"/>
    <x v="2"/>
    <s v="Augusta"/>
    <n v="1"/>
  </r>
  <r>
    <n v="1614"/>
    <s v="UE"/>
    <s v="Order"/>
    <n v="8"/>
    <x v="0"/>
    <x v="662"/>
    <n v="10"/>
    <n v="115.11"/>
    <d v="1899-12-30T05:16:00"/>
    <n v="5.2666666666666666"/>
    <n v="5.25"/>
    <x v="0"/>
    <s v="Portland"/>
    <n v="4"/>
  </r>
  <r>
    <n v="1615"/>
    <s v="DD"/>
    <s v="Order"/>
    <n v="8"/>
    <x v="0"/>
    <x v="662"/>
    <n v="9"/>
    <n v="81"/>
    <d v="1899-12-30T03:36:00"/>
    <n v="3.5999999999999996"/>
    <n v="3.5"/>
    <x v="0"/>
    <s v="Portland"/>
    <n v="4"/>
  </r>
  <r>
    <n v="1616"/>
    <s v="DD"/>
    <s v="Hourly"/>
    <n v="8"/>
    <x v="0"/>
    <x v="662"/>
    <n v="1"/>
    <n v="12.75"/>
    <d v="1899-12-30T00:41:00"/>
    <n v="0.68333333333333335"/>
    <n v="0.75"/>
    <x v="2"/>
    <s v="Portland"/>
    <n v="4"/>
  </r>
  <r>
    <n v="1617"/>
    <s v="UE"/>
    <s v="Order"/>
    <n v="8"/>
    <x v="1"/>
    <x v="663"/>
    <n v="2"/>
    <n v="28.59"/>
    <d v="1899-12-30T01:19:00"/>
    <n v="1.3166666666666667"/>
    <n v="1.25"/>
    <x v="1"/>
    <s v="Brunswick/Bath/Freeport"/>
    <n v="2"/>
  </r>
  <r>
    <n v="1618"/>
    <s v="DD"/>
    <s v="Order"/>
    <n v="8"/>
    <x v="1"/>
    <x v="663"/>
    <n v="6"/>
    <n v="95.75"/>
    <d v="1899-12-30T05:35:00"/>
    <n v="5.5833333333333339"/>
    <n v="5.5"/>
    <x v="1"/>
    <s v="Brunswick/Bath/Freeport"/>
    <n v="2"/>
  </r>
  <r>
    <n v="1619"/>
    <s v="DD"/>
    <s v="Order"/>
    <n v="8"/>
    <x v="1"/>
    <x v="663"/>
    <n v="3"/>
    <n v="32.25"/>
    <d v="1899-12-30T00:53:00"/>
    <n v="0.8833333333333333"/>
    <n v="1"/>
    <x v="0"/>
    <s v="Brunswick/Bath/Freeport"/>
    <n v="2"/>
  </r>
  <r>
    <n v="1620"/>
    <s v="UE"/>
    <s v="Order"/>
    <n v="9"/>
    <x v="3"/>
    <x v="664"/>
    <n v="5"/>
    <n v="55.3"/>
    <d v="1899-12-30T02:45:00"/>
    <n v="2.75"/>
    <n v="2.75"/>
    <x v="0"/>
    <s v="Brunswick/Bath/Freeport"/>
    <n v="2"/>
  </r>
  <r>
    <n v="1621"/>
    <s v="DD"/>
    <s v="Order"/>
    <n v="9"/>
    <x v="3"/>
    <x v="664"/>
    <n v="1"/>
    <n v="10.75"/>
    <d v="1899-12-30T00:18:00"/>
    <n v="0.30000000000000004"/>
    <n v="0.25"/>
    <x v="0"/>
    <s v="Brunswick/Bath/Freeport"/>
    <n v="2"/>
  </r>
  <r>
    <n v="1622"/>
    <s v="DD"/>
    <s v="Order"/>
    <n v="9"/>
    <x v="3"/>
    <x v="664"/>
    <n v="2"/>
    <n v="19.25"/>
    <d v="1899-12-30T00:51:00"/>
    <n v="0.85"/>
    <n v="0.75"/>
    <x v="0"/>
    <s v="Brunswick/Bath/Freeport"/>
    <n v="2"/>
  </r>
  <r>
    <n v="1623"/>
    <s v="UE"/>
    <s v="Order"/>
    <n v="9"/>
    <x v="5"/>
    <x v="665"/>
    <n v="1"/>
    <n v="26.57"/>
    <d v="1899-12-30T01:35:00"/>
    <n v="1.5833333333333335"/>
    <n v="1.5"/>
    <x v="0"/>
    <s v="Augusta"/>
    <n v="1"/>
  </r>
  <r>
    <n v="1624"/>
    <s v="DD"/>
    <s v="Order"/>
    <n v="9"/>
    <x v="5"/>
    <x v="665"/>
    <n v="6"/>
    <n v="91.5"/>
    <d v="1899-12-30T03:53:00"/>
    <n v="3.8833333333333337"/>
    <n v="4"/>
    <x v="0"/>
    <s v="Augusta"/>
    <n v="1"/>
  </r>
  <r>
    <n v="1625"/>
    <s v="DD"/>
    <s v="Order"/>
    <n v="9"/>
    <x v="5"/>
    <x v="665"/>
    <n v="1"/>
    <n v="11.25"/>
    <d v="1899-12-30T00:55:00"/>
    <n v="0.91666666666666674"/>
    <n v="1"/>
    <x v="2"/>
    <s v="Augusta"/>
    <n v="1"/>
  </r>
  <r>
    <n v="1626"/>
    <s v="UE"/>
    <s v="Order"/>
    <n v="9"/>
    <x v="1"/>
    <x v="666"/>
    <n v="3"/>
    <n v="48.25"/>
    <d v="1899-12-30T01:39:00"/>
    <n v="1.6500000000000001"/>
    <n v="1.75"/>
    <x v="0"/>
    <s v="Brunswick/Bath/Freeport"/>
    <n v="2"/>
  </r>
  <r>
    <n v="1627"/>
    <s v="DD"/>
    <s v="Order"/>
    <n v="9"/>
    <x v="1"/>
    <x v="666"/>
    <n v="1"/>
    <n v="12"/>
    <d v="1899-12-30T01:44:00"/>
    <n v="1.7333333333333332"/>
    <n v="1.75"/>
    <x v="0"/>
    <s v="Brunswick/Bath/Freeport"/>
    <n v="2"/>
  </r>
  <r>
    <n v="1628"/>
    <s v="DD"/>
    <s v="Order"/>
    <n v="9"/>
    <x v="1"/>
    <x v="666"/>
    <n v="8"/>
    <n v="83.25"/>
    <d v="1899-12-30T03:37:00"/>
    <n v="3.6166666666666663"/>
    <n v="3.5"/>
    <x v="0"/>
    <s v="Brunswick/Bath/Freeport"/>
    <n v="2"/>
  </r>
  <r>
    <n v="1629"/>
    <s v="UE"/>
    <s v="Order"/>
    <n v="10"/>
    <x v="3"/>
    <x v="667"/>
    <n v="3"/>
    <n v="62.62"/>
    <d v="1899-12-30T01:47:00"/>
    <n v="1.7833333333333332"/>
    <n v="1.75"/>
    <x v="0"/>
    <s v="Brunswick/Bath/Freeport"/>
    <n v="2"/>
  </r>
  <r>
    <n v="1630"/>
    <s v="DD"/>
    <s v="Order"/>
    <n v="10"/>
    <x v="3"/>
    <x v="667"/>
    <n v="2"/>
    <n v="18.25"/>
    <d v="1899-12-30T01:50:00"/>
    <n v="1.8333333333333335"/>
    <n v="1.75"/>
    <x v="0"/>
    <s v="Brunswick/Bath/Freeport"/>
    <n v="2"/>
  </r>
  <r>
    <n v="1631"/>
    <s v="DD"/>
    <s v="Order"/>
    <n v="10"/>
    <x v="3"/>
    <x v="667"/>
    <n v="3"/>
    <n v="19.5"/>
    <d v="1899-12-30T00:54:00"/>
    <n v="0.89999999999999991"/>
    <n v="1"/>
    <x v="0"/>
    <s v="Brunswick/Bath/Freeport"/>
    <n v="2"/>
  </r>
  <r>
    <n v="1632"/>
    <s v="DD"/>
    <s v="Order"/>
    <n v="10"/>
    <x v="3"/>
    <x v="667"/>
    <n v="5"/>
    <n v="43.5"/>
    <d v="1899-12-30T02:13:00"/>
    <n v="2.2166666666666668"/>
    <n v="2.25"/>
    <x v="2"/>
    <s v="Brunswick/Bath/Freeport"/>
    <n v="2"/>
  </r>
  <r>
    <n v="1633"/>
    <s v="DD"/>
    <s v="Order"/>
    <n v="10"/>
    <x v="4"/>
    <x v="668"/>
    <n v="8"/>
    <n v="89.25"/>
    <d v="1899-12-30T04:39:00"/>
    <n v="4.6500000000000004"/>
    <n v="4.75"/>
    <x v="0"/>
    <s v="Brunswick/Bath/Freeport"/>
    <n v="2"/>
  </r>
  <r>
    <n v="1634"/>
    <s v="UE"/>
    <s v="Order"/>
    <n v="10"/>
    <x v="1"/>
    <x v="669"/>
    <n v="8"/>
    <n v="85.53"/>
    <d v="1899-12-30T04:12:00"/>
    <n v="4.1999999999999993"/>
    <n v="4.25"/>
    <x v="0"/>
    <s v="Brunswick/Bath/Freeport"/>
    <n v="2"/>
  </r>
  <r>
    <n v="1635"/>
    <s v="DD"/>
    <s v="Order"/>
    <n v="10"/>
    <x v="1"/>
    <x v="669"/>
    <n v="5"/>
    <n v="62.25"/>
    <d v="1899-12-30T03:28:00"/>
    <n v="3.4666666666666663"/>
    <n v="3.5"/>
    <x v="0"/>
    <s v="Brunswick/Bath/Freeport"/>
    <n v="2"/>
  </r>
  <r>
    <n v="1636"/>
    <s v="UE"/>
    <s v="Order"/>
    <n v="10"/>
    <x v="2"/>
    <x v="670"/>
    <n v="1"/>
    <n v="4.41"/>
    <d v="1899-12-30T00:41:00"/>
    <n v="0.68333333333333335"/>
    <n v="0.75"/>
    <x v="1"/>
    <s v="Brunswick/Bath/Freeport"/>
    <n v="2"/>
  </r>
  <r>
    <n v="1637"/>
    <s v="DD"/>
    <s v="Order"/>
    <n v="10"/>
    <x v="2"/>
    <x v="670"/>
    <n v="1"/>
    <n v="9.25"/>
    <d v="1899-12-30T00:28:00"/>
    <n v="0.46666666666666667"/>
    <n v="0.5"/>
    <x v="1"/>
    <s v="Brunswick/Bath/Freeport"/>
    <n v="2"/>
  </r>
  <r>
    <n v="1638"/>
    <s v="UE"/>
    <s v="Order"/>
    <n v="11"/>
    <x v="3"/>
    <x v="671"/>
    <n v="2"/>
    <n v="28.76"/>
    <d v="1899-12-30T01:15:00"/>
    <n v="1.25"/>
    <n v="1.25"/>
    <x v="0"/>
    <s v="Brunswick/Bath/Freeport"/>
    <n v="2"/>
  </r>
  <r>
    <n v="1639"/>
    <s v="DD"/>
    <s v="Order"/>
    <n v="11"/>
    <x v="3"/>
    <x v="671"/>
    <n v="6"/>
    <n v="76.75"/>
    <d v="1899-12-30T04:20:00"/>
    <n v="4.333333333333333"/>
    <n v="4.25"/>
    <x v="0"/>
    <s v="Brunswick/Bath/Freeport"/>
    <n v="2"/>
  </r>
  <r>
    <n v="1640"/>
    <s v="UE"/>
    <s v="Order"/>
    <n v="11"/>
    <x v="5"/>
    <x v="672"/>
    <n v="2"/>
    <n v="17.72"/>
    <d v="1899-12-30T00:48:00"/>
    <n v="0.8"/>
    <n v="0.75"/>
    <x v="0"/>
    <s v="Brunswick/Bath/Freeport"/>
    <n v="2"/>
  </r>
  <r>
    <n v="1641"/>
    <s v="DD"/>
    <s v="Order"/>
    <n v="11"/>
    <x v="5"/>
    <x v="672"/>
    <n v="4"/>
    <n v="37"/>
    <d v="1899-12-30T02:00:00"/>
    <n v="2"/>
    <n v="2"/>
    <x v="0"/>
    <s v="Brunswick/Bath/Freeport"/>
    <n v="2"/>
  </r>
  <r>
    <n v="1642"/>
    <s v="UE"/>
    <s v="Order"/>
    <n v="11"/>
    <x v="6"/>
    <x v="673"/>
    <n v="4"/>
    <n v="58.12"/>
    <d v="1899-12-30T02:55:00"/>
    <n v="2.9166666666666665"/>
    <n v="3"/>
    <x v="0"/>
    <s v="Brunswick/Bath/Freeport"/>
    <n v="2"/>
  </r>
  <r>
    <n v="1643"/>
    <s v="DD"/>
    <s v="Order"/>
    <n v="11"/>
    <x v="6"/>
    <x v="673"/>
    <n v="1"/>
    <n v="9.25"/>
    <d v="1899-12-30T01:24:00"/>
    <n v="1.4"/>
    <n v="1.5"/>
    <x v="0"/>
    <s v="Brunswick/Bath/Freeport"/>
    <n v="2"/>
  </r>
  <r>
    <n v="1644"/>
    <s v="DD"/>
    <s v="Order"/>
    <n v="11"/>
    <x v="6"/>
    <x v="673"/>
    <n v="4"/>
    <n v="40.75"/>
    <d v="1899-12-30T02:32:00"/>
    <n v="2.5333333333333332"/>
    <n v="2.5"/>
    <x v="0"/>
    <s v="Brunswick/Bath/Freeport"/>
    <n v="2"/>
  </r>
  <r>
    <n v="1645"/>
    <s v="UE"/>
    <s v="Order"/>
    <n v="11"/>
    <x v="2"/>
    <x v="674"/>
    <n v="12"/>
    <n v="248.66"/>
    <d v="1899-12-30T06:40:00"/>
    <n v="6.666666666666667"/>
    <n v="6.75"/>
    <x v="0"/>
    <s v="Augusta"/>
    <n v="1"/>
  </r>
  <r>
    <n v="1646"/>
    <s v="DD"/>
    <s v="Order"/>
    <n v="11"/>
    <x v="2"/>
    <x v="674"/>
    <n v="3"/>
    <n v="23.75"/>
    <d v="1899-12-30T01:38:00"/>
    <n v="1.6333333333333333"/>
    <n v="1.75"/>
    <x v="0"/>
    <s v="Augusta"/>
    <n v="1"/>
  </r>
  <r>
    <n v="1647"/>
    <s v="DD"/>
    <s v="Hourly"/>
    <n v="11"/>
    <x v="2"/>
    <x v="674"/>
    <n v="1"/>
    <n v="12.08"/>
    <d v="1899-12-30T00:34:00"/>
    <n v="0.56666666666666665"/>
    <n v="0.5"/>
    <x v="0"/>
    <s v="Augusta"/>
    <n v="1"/>
  </r>
  <r>
    <n v="1648"/>
    <s v="DD"/>
    <s v="Order"/>
    <n v="11"/>
    <x v="2"/>
    <x v="674"/>
    <n v="1"/>
    <n v="5"/>
    <d v="1899-12-30T00:42:00"/>
    <n v="0.7"/>
    <n v="0.75"/>
    <x v="2"/>
    <s v="Augusta"/>
    <n v="1"/>
  </r>
  <r>
    <n v="1649"/>
    <s v="DD"/>
    <s v="Order"/>
    <n v="12"/>
    <x v="3"/>
    <x v="675"/>
    <n v="7"/>
    <n v="43.5"/>
    <d v="1899-12-30T02:45:00"/>
    <n v="2.75"/>
    <n v="2.75"/>
    <x v="0"/>
    <s v="Brunswick/Bath/Freeport"/>
    <n v="2"/>
  </r>
  <r>
    <n v="1650"/>
    <s v="UE"/>
    <s v="Order"/>
    <n v="12"/>
    <x v="4"/>
    <x v="676"/>
    <n v="4"/>
    <n v="52.47"/>
    <d v="1899-12-30T03:01:00"/>
    <n v="3.0166666666666666"/>
    <n v="3"/>
    <x v="0"/>
    <s v="Brunswick/Bath/Freeport"/>
    <n v="2"/>
  </r>
  <r>
    <n v="1651"/>
    <s v="DD"/>
    <s v="Order"/>
    <n v="12"/>
    <x v="4"/>
    <x v="676"/>
    <n v="2"/>
    <n v="18.2"/>
    <d v="1899-12-30T01:38:00"/>
    <n v="1.6333333333333333"/>
    <n v="1.75"/>
    <x v="0"/>
    <s v="Brunswick/Bath/Freeport"/>
    <n v="2"/>
  </r>
  <r>
    <n v="1652"/>
    <s v="DD"/>
    <s v="Order"/>
    <n v="12"/>
    <x v="4"/>
    <x v="676"/>
    <n v="5"/>
    <n v="35.25"/>
    <d v="1899-12-30T02:08:00"/>
    <n v="2.1333333333333333"/>
    <n v="2.25"/>
    <x v="0"/>
    <s v="Brunswick/Bath/Freeport"/>
    <n v="2"/>
  </r>
  <r>
    <n v="1653"/>
    <s v="DD"/>
    <s v="Order"/>
    <n v="12"/>
    <x v="5"/>
    <x v="677"/>
    <n v="6"/>
    <n v="60.75"/>
    <d v="1899-12-30T03:27:00"/>
    <n v="3.4499999999999997"/>
    <n v="3.5"/>
    <x v="0"/>
    <s v="Brunswick/Bath/Freeport"/>
    <n v="2"/>
  </r>
  <r>
    <n v="1654"/>
    <s v="UE"/>
    <s v="Order"/>
    <n v="12"/>
    <x v="0"/>
    <x v="678"/>
    <n v="3"/>
    <n v="74.239999999999995"/>
    <d v="1899-12-30T03:29:00"/>
    <n v="3.4833333333333334"/>
    <n v="3.5"/>
    <x v="0"/>
    <s v="Augusta"/>
    <n v="1"/>
  </r>
  <r>
    <n v="1655"/>
    <s v="DD"/>
    <s v="Hourly"/>
    <n v="12"/>
    <x v="0"/>
    <x v="678"/>
    <n v="10"/>
    <n v="110.27"/>
    <d v="1899-12-30T05:36:00"/>
    <n v="5.6"/>
    <n v="5.5"/>
    <x v="0"/>
    <s v="Augusta"/>
    <n v="1"/>
  </r>
  <r>
    <n v="1656"/>
    <s v="UE"/>
    <s v="Order"/>
    <n v="12"/>
    <x v="1"/>
    <x v="679"/>
    <n v="1"/>
    <n v="16.05"/>
    <d v="1899-12-30T00:53:00"/>
    <n v="0.8833333333333333"/>
    <n v="1"/>
    <x v="1"/>
    <s v="Lewiston"/>
    <n v="3"/>
  </r>
  <r>
    <n v="1657"/>
    <s v="DD"/>
    <s v="Order"/>
    <n v="12"/>
    <x v="1"/>
    <x v="679"/>
    <n v="9"/>
    <n v="49.5"/>
    <d v="1899-12-30T02:54:00"/>
    <n v="2.9"/>
    <n v="3"/>
    <x v="1"/>
    <s v="Lewiston"/>
    <n v="3"/>
  </r>
  <r>
    <n v="1658"/>
    <s v="UE"/>
    <s v="Order"/>
    <n v="12"/>
    <x v="2"/>
    <x v="680"/>
    <n v="3"/>
    <n v="38.04"/>
    <d v="1899-12-30T02:53:00"/>
    <n v="2.8833333333333333"/>
    <n v="3"/>
    <x v="0"/>
    <s v="Brunswick/Bath/Freeport"/>
    <n v="2"/>
  </r>
  <r>
    <n v="1659"/>
    <s v="DD"/>
    <s v="Order"/>
    <n v="12"/>
    <x v="2"/>
    <x v="680"/>
    <n v="5"/>
    <n v="43.5"/>
    <d v="1899-12-30T02:54:00"/>
    <n v="2.9"/>
    <n v="3"/>
    <x v="0"/>
    <s v="Brunswick/Bath/Freeport"/>
    <n v="2"/>
  </r>
  <r>
    <n v="1660"/>
    <s v="UE"/>
    <s v="Order"/>
    <n v="13"/>
    <x v="3"/>
    <x v="681"/>
    <n v="1"/>
    <n v="19.5"/>
    <d v="1899-12-30T00:54:00"/>
    <n v="0.89999999999999991"/>
    <n v="1"/>
    <x v="0"/>
    <s v="Lewiston"/>
    <n v="3"/>
  </r>
  <r>
    <n v="1661"/>
    <s v="DD"/>
    <s v="Hourly"/>
    <n v="13"/>
    <x v="3"/>
    <x v="681"/>
    <n v="7"/>
    <n v="64.790000000000006"/>
    <d v="1899-12-30T03:16:00"/>
    <n v="3.2666666666666666"/>
    <n v="3.25"/>
    <x v="0"/>
    <s v="Lewiston"/>
    <n v="3"/>
  </r>
  <r>
    <n v="1662"/>
    <s v="DD"/>
    <s v="Order"/>
    <n v="13"/>
    <x v="3"/>
    <x v="681"/>
    <n v="3"/>
    <n v="24.25"/>
    <d v="1899-12-30T01:27:00"/>
    <n v="1.45"/>
    <n v="1.5"/>
    <x v="2"/>
    <s v="Lewiston"/>
    <n v="3"/>
  </r>
  <r>
    <n v="1663"/>
    <s v="UE"/>
    <s v="Order"/>
    <n v="13"/>
    <x v="4"/>
    <x v="682"/>
    <n v="2"/>
    <n v="25.72"/>
    <d v="1899-12-30T01:39:00"/>
    <n v="1.6500000000000001"/>
    <n v="1.75"/>
    <x v="0"/>
    <s v="Lewiston"/>
    <n v="3"/>
  </r>
  <r>
    <n v="1664"/>
    <s v="DD"/>
    <s v="Order"/>
    <n v="13"/>
    <x v="4"/>
    <x v="682"/>
    <n v="1"/>
    <n v="3.1"/>
    <d v="1899-12-30T00:45:00"/>
    <n v="0.75"/>
    <n v="0.75"/>
    <x v="0"/>
    <s v="Lewiston"/>
    <n v="3"/>
  </r>
  <r>
    <n v="1665"/>
    <s v="DD"/>
    <s v="Order"/>
    <n v="13"/>
    <x v="4"/>
    <x v="682"/>
    <n v="1"/>
    <n v="22.5"/>
    <d v="1899-12-30T01:03:00"/>
    <n v="1.0499999999999998"/>
    <n v="1"/>
    <x v="0"/>
    <s v="Lewiston"/>
    <n v="3"/>
  </r>
  <r>
    <n v="1666"/>
    <s v="UE"/>
    <s v="Order"/>
    <n v="13"/>
    <x v="0"/>
    <x v="683"/>
    <n v="3"/>
    <n v="22.8"/>
    <d v="1899-12-30T01:54:00"/>
    <n v="1.9"/>
    <n v="2"/>
    <x v="0"/>
    <s v="Lewiston"/>
    <n v="3"/>
  </r>
  <r>
    <n v="1667"/>
    <s v="DD"/>
    <s v="Order"/>
    <n v="13"/>
    <x v="0"/>
    <x v="683"/>
    <n v="6"/>
    <n v="45.69"/>
    <d v="1899-12-30T02:57:00"/>
    <n v="2.9499999999999997"/>
    <n v="3"/>
    <x v="0"/>
    <s v="Lewiston"/>
    <n v="3"/>
  </r>
  <r>
    <n v="1668"/>
    <s v="UE"/>
    <s v="Order"/>
    <n v="13"/>
    <x v="2"/>
    <x v="684"/>
    <n v="2"/>
    <n v="41.56"/>
    <d v="1899-12-30T02:02:00"/>
    <n v="2.0333333333333332"/>
    <n v="2"/>
    <x v="0"/>
    <s v="Brunswick/Bath/Freeport"/>
    <n v="2"/>
  </r>
  <r>
    <n v="1669"/>
    <s v="DD"/>
    <s v="Order"/>
    <n v="13"/>
    <x v="2"/>
    <x v="684"/>
    <n v="3"/>
    <n v="21.12"/>
    <d v="1899-12-30T00:48:00"/>
    <n v="0.8"/>
    <n v="0.75"/>
    <x v="0"/>
    <s v="Brunswick/Bath/Freeport"/>
    <n v="2"/>
  </r>
  <r>
    <n v="1670"/>
    <s v="DD"/>
    <s v="Order"/>
    <n v="13"/>
    <x v="2"/>
    <x v="684"/>
    <n v="6"/>
    <n v="91"/>
    <d v="1899-12-30T04:40:00"/>
    <n v="4.666666666666667"/>
    <n v="4.75"/>
    <x v="0"/>
    <s v="Brunswick/Bath/Freeport"/>
    <n v="2"/>
  </r>
  <r>
    <n v="1671"/>
    <s v="UE"/>
    <s v="Order"/>
    <n v="15"/>
    <x v="3"/>
    <x v="685"/>
    <n v="1"/>
    <n v="39"/>
    <d v="1899-12-30T01:39:00"/>
    <n v="1.6500000000000001"/>
    <n v="1.75"/>
    <x v="0"/>
    <s v="Brunswick/Bath/Freeport"/>
    <n v="2"/>
  </r>
  <r>
    <n v="1672"/>
    <s v="DD"/>
    <s v="Order"/>
    <n v="15"/>
    <x v="3"/>
    <x v="685"/>
    <n v="8"/>
    <n v="77.989999999999995"/>
    <d v="1899-12-30T04:48:00"/>
    <n v="4.8000000000000007"/>
    <n v="4.75"/>
    <x v="0"/>
    <s v="Brunswick/Bath/Freeport"/>
    <n v="2"/>
  </r>
  <r>
    <n v="1673"/>
    <s v="UE"/>
    <s v="Order"/>
    <n v="15"/>
    <x v="4"/>
    <x v="686"/>
    <n v="11"/>
    <n v="130.44"/>
    <d v="1899-12-30T05:34:00"/>
    <n v="5.5666666666666664"/>
    <n v="5.5"/>
    <x v="0"/>
    <s v="Augusta"/>
    <n v="1"/>
  </r>
  <r>
    <n v="1674"/>
    <s v="DD"/>
    <s v="Hourly"/>
    <n v="15"/>
    <x v="0"/>
    <x v="687"/>
    <n v="6"/>
    <n v="57.27"/>
    <d v="1899-12-30T03:54:00"/>
    <n v="3.9000000000000004"/>
    <n v="4"/>
    <x v="0"/>
    <s v="Augusta"/>
    <n v="1"/>
  </r>
  <r>
    <n v="1675"/>
    <s v="UE"/>
    <s v="Order"/>
    <n v="15"/>
    <x v="1"/>
    <x v="688"/>
    <n v="2"/>
    <n v="23.74"/>
    <d v="1899-12-30T02:05:00"/>
    <n v="2.083333333333333"/>
    <n v="2"/>
    <x v="0"/>
    <s v="Augusta"/>
    <n v="1"/>
  </r>
  <r>
    <n v="1676"/>
    <s v="DD"/>
    <s v="Hourly"/>
    <n v="15"/>
    <x v="1"/>
    <x v="688"/>
    <n v="9"/>
    <n v="89.67"/>
    <d v="1899-12-30T03:31:00"/>
    <n v="3.5166666666666666"/>
    <n v="3.5"/>
    <x v="0"/>
    <s v="Augusta"/>
    <n v="1"/>
  </r>
  <r>
    <n v="1677"/>
    <s v="UE"/>
    <s v="Order"/>
    <n v="16"/>
    <x v="3"/>
    <x v="689"/>
    <n v="5"/>
    <n v="103.2"/>
    <d v="1899-12-30T03:20:00"/>
    <n v="3.3333333333333335"/>
    <n v="3.25"/>
    <x v="0"/>
    <s v="Brunswick/Bath/Freeport"/>
    <n v="2"/>
  </r>
  <r>
    <n v="1678"/>
    <s v="DD"/>
    <s v="Order"/>
    <n v="16"/>
    <x v="3"/>
    <x v="689"/>
    <n v="1"/>
    <n v="6.75"/>
    <d v="1899-12-30T00:26:00"/>
    <n v="0.43333333333333329"/>
    <n v="0.5"/>
    <x v="0"/>
    <s v="Brunswick/Bath/Freeport"/>
    <n v="2"/>
  </r>
  <r>
    <n v="1679"/>
    <s v="DD"/>
    <s v="Hourly"/>
    <n v="16"/>
    <x v="3"/>
    <x v="689"/>
    <n v="4"/>
    <n v="38.78"/>
    <d v="1899-12-30T03:30:00"/>
    <n v="3.5"/>
    <n v="3.5"/>
    <x v="0"/>
    <s v="Brunswick/Bath/Freeport"/>
    <n v="2"/>
  </r>
  <r>
    <n v="1680"/>
    <s v="UE"/>
    <s v="Order"/>
    <n v="16"/>
    <x v="5"/>
    <x v="690"/>
    <n v="3"/>
    <n v="27.33"/>
    <d v="1899-12-30T02:31:00"/>
    <n v="2.5166666666666666"/>
    <n v="2.5"/>
    <x v="0"/>
    <s v="Lewiston"/>
    <n v="3"/>
  </r>
  <r>
    <n v="1681"/>
    <s v="DD"/>
    <s v="Hourly"/>
    <n v="16"/>
    <x v="5"/>
    <x v="690"/>
    <n v="7"/>
    <n v="84"/>
    <d v="1899-12-30T04:28:00"/>
    <n v="4.4666666666666668"/>
    <n v="4.5"/>
    <x v="0"/>
    <s v="Lewiston"/>
    <n v="3"/>
  </r>
  <r>
    <n v="1682"/>
    <s v="DD"/>
    <s v="Hourly"/>
    <n v="16"/>
    <x v="5"/>
    <x v="690"/>
    <n v="2"/>
    <n v="7.88"/>
    <d v="1899-12-30T00:32:00"/>
    <n v="0.53333333333333333"/>
    <n v="0.5"/>
    <x v="2"/>
    <s v="Lewiston"/>
    <n v="3"/>
  </r>
  <r>
    <n v="1683"/>
    <s v="UE"/>
    <s v="Order"/>
    <n v="16"/>
    <x v="6"/>
    <x v="691"/>
    <n v="1"/>
    <n v="11.69"/>
    <d v="1899-12-30T01:19:00"/>
    <n v="1.3166666666666667"/>
    <n v="1.25"/>
    <x v="0"/>
    <s v="Lewiston"/>
    <n v="3"/>
  </r>
  <r>
    <n v="1684"/>
    <s v="DD"/>
    <s v="Order"/>
    <n v="16"/>
    <x v="6"/>
    <x v="691"/>
    <n v="9"/>
    <n v="56.69"/>
    <d v="1899-12-30T03:55:00"/>
    <n v="3.916666666666667"/>
    <n v="4"/>
    <x v="0"/>
    <s v="Lewiston"/>
    <n v="3"/>
  </r>
  <r>
    <n v="1685"/>
    <s v="UE"/>
    <s v="Order"/>
    <n v="17"/>
    <x v="3"/>
    <x v="692"/>
    <n v="3"/>
    <n v="29.25"/>
    <d v="1899-12-30T02:37:00"/>
    <n v="2.6166666666666667"/>
    <n v="2.5"/>
    <x v="0"/>
    <s v="Brunswick/Bath/Freeport"/>
    <n v="2"/>
  </r>
  <r>
    <n v="1686"/>
    <s v="DD"/>
    <s v="Hourly"/>
    <n v="17"/>
    <x v="3"/>
    <x v="692"/>
    <n v="7"/>
    <n v="67.81"/>
    <d v="1899-12-30T03:52:00"/>
    <n v="3.8666666666666671"/>
    <n v="3.75"/>
    <x v="0"/>
    <s v="Brunswick/Bath/Freeport"/>
    <n v="2"/>
  </r>
  <r>
    <n v="1687"/>
    <s v="DD"/>
    <s v="Hourly"/>
    <n v="17"/>
    <x v="3"/>
    <x v="692"/>
    <n v="1"/>
    <n v="5.97"/>
    <d v="1899-12-30T00:25:00"/>
    <n v="0.41666666666666669"/>
    <n v="0.5"/>
    <x v="2"/>
    <s v="Brunswick/Bath/Freeport"/>
    <n v="2"/>
  </r>
  <r>
    <n v="1688"/>
    <s v="DD"/>
    <s v="Order"/>
    <n v="17"/>
    <x v="4"/>
    <x v="693"/>
    <n v="7"/>
    <n v="62.21"/>
    <d v="1899-12-30T04:05:00"/>
    <n v="4.0833333333333339"/>
    <n v="4"/>
    <x v="0"/>
    <s v="Lewiston"/>
    <n v="3"/>
  </r>
  <r>
    <n v="1689"/>
    <s v="UE"/>
    <s v="Order"/>
    <n v="17"/>
    <x v="5"/>
    <x v="694"/>
    <n v="4"/>
    <n v="73.83"/>
    <d v="1899-12-30T01:30:00"/>
    <n v="1.5"/>
    <n v="1.5"/>
    <x v="0"/>
    <s v="Brunswick/Bath/Freeport"/>
    <n v="2"/>
  </r>
  <r>
    <n v="1690"/>
    <s v="DD"/>
    <s v="Order"/>
    <n v="17"/>
    <x v="5"/>
    <x v="694"/>
    <n v="6"/>
    <n v="66.75"/>
    <d v="1899-12-30T04:26:00"/>
    <n v="4.4333333333333336"/>
    <n v="4.5"/>
    <x v="0"/>
    <s v="Brunswick/Bath/Freeport"/>
    <n v="2"/>
  </r>
  <r>
    <n v="1691"/>
    <s v="DD"/>
    <s v="Order"/>
    <n v="17"/>
    <x v="5"/>
    <x v="694"/>
    <n v="1"/>
    <n v="6.75"/>
    <d v="1899-12-30T00:42:00"/>
    <n v="0.7"/>
    <n v="0.75"/>
    <x v="2"/>
    <s v="Brunswick/Bath/Freeport"/>
    <n v="2"/>
  </r>
  <r>
    <n v="1692"/>
    <s v="UE"/>
    <s v="Order"/>
    <n v="17"/>
    <x v="0"/>
    <x v="695"/>
    <n v="1"/>
    <n v="9.1300000000000008"/>
    <d v="1899-12-30T01:13:00"/>
    <n v="1.2166666666666668"/>
    <n v="1.25"/>
    <x v="0"/>
    <s v="Lewiston"/>
    <n v="3"/>
  </r>
  <r>
    <n v="1693"/>
    <s v="DD"/>
    <s v="Order"/>
    <n v="17"/>
    <x v="0"/>
    <x v="695"/>
    <n v="8"/>
    <n v="61"/>
    <d v="1899-12-30T04:31:00"/>
    <n v="4.5166666666666666"/>
    <n v="4.5"/>
    <x v="0"/>
    <s v="Lewiston"/>
    <n v="3"/>
  </r>
  <r>
    <n v="1694"/>
    <s v="UE"/>
    <s v="Order"/>
    <n v="17"/>
    <x v="1"/>
    <x v="696"/>
    <n v="1"/>
    <n v="10.07"/>
    <d v="1899-12-30T01:22:00"/>
    <n v="1.3666666666666667"/>
    <n v="1.25"/>
    <x v="0"/>
    <s v="Augusta"/>
    <n v="1"/>
  </r>
  <r>
    <n v="1695"/>
    <s v="DD"/>
    <s v="Hourly"/>
    <n v="17"/>
    <x v="1"/>
    <x v="696"/>
    <n v="1"/>
    <n v="15.08"/>
    <d v="1899-12-30T00:41:00"/>
    <n v="0.68333333333333335"/>
    <n v="0.75"/>
    <x v="0"/>
    <s v="Augusta"/>
    <n v="1"/>
  </r>
  <r>
    <n v="1696"/>
    <s v="DD"/>
    <s v="Hourly"/>
    <n v="17"/>
    <x v="1"/>
    <x v="696"/>
    <n v="5"/>
    <n v="66.14"/>
    <d v="1899-12-30T03:32:00"/>
    <n v="3.5333333333333332"/>
    <n v="3.5"/>
    <x v="0"/>
    <s v="Augusta"/>
    <n v="1"/>
  </r>
  <r>
    <n v="1697"/>
    <s v="UE"/>
    <s v="Order"/>
    <n v="17"/>
    <x v="2"/>
    <x v="697"/>
    <n v="3"/>
    <n v="32.44"/>
    <d v="1899-12-30T02:18:00"/>
    <n v="2.3000000000000003"/>
    <n v="2.25"/>
    <x v="0"/>
    <s v="Augusta"/>
    <n v="1"/>
  </r>
  <r>
    <n v="1698"/>
    <s v="DD"/>
    <s v="Order"/>
    <n v="17"/>
    <x v="2"/>
    <x v="697"/>
    <n v="6"/>
    <n v="48.25"/>
    <d v="1899-12-30T04:16:00"/>
    <n v="4.2666666666666666"/>
    <n v="4.25"/>
    <x v="0"/>
    <s v="Augusta"/>
    <n v="1"/>
  </r>
  <r>
    <n v="1699"/>
    <s v="UE"/>
    <s v="Order"/>
    <n v="18"/>
    <x v="3"/>
    <x v="698"/>
    <n v="6"/>
    <n v="41.01"/>
    <d v="1899-12-30T03:37:00"/>
    <n v="3.6166666666666663"/>
    <n v="3.5"/>
    <x v="0"/>
    <s v="Portland"/>
    <n v="4"/>
  </r>
  <r>
    <n v="1700"/>
    <s v="DD"/>
    <s v="Order"/>
    <n v="18"/>
    <x v="3"/>
    <x v="698"/>
    <n v="1"/>
    <n v="7.25"/>
    <d v="1899-12-30T02:25:00"/>
    <n v="2.416666666666667"/>
    <n v="2.5"/>
    <x v="0"/>
    <s v="Portland"/>
    <n v="4"/>
  </r>
  <r>
    <n v="1701"/>
    <s v="DD"/>
    <s v="Hourly"/>
    <n v="18"/>
    <x v="3"/>
    <x v="698"/>
    <n v="3"/>
    <n v="38.479999999999997"/>
    <d v="1899-12-30T01:21:00"/>
    <n v="1.35"/>
    <n v="1.25"/>
    <x v="2"/>
    <s v="Portland"/>
    <n v="4"/>
  </r>
  <r>
    <n v="1702"/>
    <s v="DD"/>
    <s v="Order"/>
    <n v="18"/>
    <x v="3"/>
    <x v="698"/>
    <n v="3"/>
    <n v="61.92"/>
    <d v="1899-12-30T02:01:00"/>
    <n v="2.0166666666666666"/>
    <n v="2"/>
    <x v="2"/>
    <s v="Portland"/>
    <n v="4"/>
  </r>
  <r>
    <n v="1703"/>
    <s v="UE"/>
    <s v="Order"/>
    <n v="18"/>
    <x v="4"/>
    <x v="699"/>
    <n v="1"/>
    <n v="12.68"/>
    <d v="1899-12-30T01:27:00"/>
    <n v="1.45"/>
    <n v="1.5"/>
    <x v="0"/>
    <s v="Brunswick/Bath/Freeport"/>
    <n v="2"/>
  </r>
  <r>
    <n v="1704"/>
    <s v="DD"/>
    <s v="Order"/>
    <n v="18"/>
    <x v="4"/>
    <x v="699"/>
    <n v="10"/>
    <n v="104.29"/>
    <d v="1899-12-30T05:28:00"/>
    <n v="5.4666666666666668"/>
    <n v="5.5"/>
    <x v="0"/>
    <s v="Brunswick/Bath/Freeport"/>
    <n v="2"/>
  </r>
  <r>
    <n v="1705"/>
    <s v="UE"/>
    <s v="Order"/>
    <n v="18"/>
    <x v="5"/>
    <x v="700"/>
    <n v="1"/>
    <n v="22.97"/>
    <d v="1899-12-30T01:27:00"/>
    <n v="1.45"/>
    <n v="1.5"/>
    <x v="0"/>
    <s v="Brunswick/Bath/Freeport"/>
    <n v="2"/>
  </r>
  <r>
    <n v="1706"/>
    <s v="DD"/>
    <s v="Hourly"/>
    <n v="18"/>
    <x v="5"/>
    <x v="700"/>
    <n v="7"/>
    <n v="62.19"/>
    <d v="1899-12-30T04:36:00"/>
    <n v="4.6000000000000005"/>
    <n v="4.5"/>
    <x v="0"/>
    <s v="Brunswick/Bath/Freeport"/>
    <n v="2"/>
  </r>
  <r>
    <n v="1707"/>
    <s v="UE"/>
    <s v="Order"/>
    <n v="18"/>
    <x v="6"/>
    <x v="701"/>
    <n v="2"/>
    <n v="43.14"/>
    <d v="1899-12-30T01:56:00"/>
    <n v="1.9333333333333336"/>
    <n v="2"/>
    <x v="0"/>
    <s v="Brunswick/Bath/Freeport"/>
    <n v="2"/>
  </r>
  <r>
    <n v="1708"/>
    <s v="DD"/>
    <s v="Order"/>
    <n v="18"/>
    <x v="6"/>
    <x v="701"/>
    <n v="2"/>
    <n v="26.65"/>
    <d v="1899-12-30T01:30:00"/>
    <n v="1.5"/>
    <n v="1.5"/>
    <x v="0"/>
    <s v="Brunswick/Bath/Freeport"/>
    <n v="2"/>
  </r>
  <r>
    <n v="1709"/>
    <s v="DD"/>
    <s v="Hourly"/>
    <n v="18"/>
    <x v="6"/>
    <x v="701"/>
    <n v="5"/>
    <n v="38.68"/>
    <d v="1899-12-30T01:58:00"/>
    <n v="1.9666666666666668"/>
    <n v="2"/>
    <x v="2"/>
    <s v="Brunswick/Bath/Freeport"/>
    <n v="2"/>
  </r>
  <r>
    <n v="1710"/>
    <s v="UE"/>
    <s v="Order"/>
    <n v="18"/>
    <x v="1"/>
    <x v="702"/>
    <n v="1"/>
    <n v="13.08"/>
    <d v="1899-12-30T00:58:00"/>
    <n v="0.96666666666666679"/>
    <n v="1"/>
    <x v="1"/>
    <s v="Brunswick/Bath/Freeport"/>
    <n v="2"/>
  </r>
  <r>
    <n v="1711"/>
    <s v="DD"/>
    <s v="Order"/>
    <n v="18"/>
    <x v="1"/>
    <x v="702"/>
    <n v="4"/>
    <n v="62.28"/>
    <d v="1899-12-30T03:13:00"/>
    <n v="3.2166666666666668"/>
    <n v="3.25"/>
    <x v="1"/>
    <s v="Brunswick/Bath/Freeport"/>
    <n v="2"/>
  </r>
  <r>
    <n v="1712"/>
    <s v="UE"/>
    <s v="Order"/>
    <n v="18"/>
    <x v="2"/>
    <x v="703"/>
    <n v="1"/>
    <n v="17.73"/>
    <d v="1899-12-30T01:24:00"/>
    <n v="1.4"/>
    <n v="1.5"/>
    <x v="1"/>
    <s v="Brunswick/Bath/Freeport"/>
    <n v="2"/>
  </r>
  <r>
    <n v="1713"/>
    <s v="DD"/>
    <s v="Order"/>
    <n v="18"/>
    <x v="2"/>
    <x v="703"/>
    <n v="8"/>
    <n v="71.25"/>
    <d v="1899-12-30T04:12:00"/>
    <n v="4.1999999999999993"/>
    <n v="4.25"/>
    <x v="1"/>
    <s v="Brunswick/Bath/Freeport"/>
    <n v="2"/>
  </r>
  <r>
    <n v="1714"/>
    <s v="UE"/>
    <s v="Order"/>
    <n v="19"/>
    <x v="3"/>
    <x v="704"/>
    <n v="12"/>
    <n v="119.77"/>
    <d v="1899-12-30T07:36:00"/>
    <n v="7.6"/>
    <n v="7.5"/>
    <x v="0"/>
    <s v="Portland"/>
    <n v="4"/>
  </r>
  <r>
    <n v="1715"/>
    <s v="UE"/>
    <s v="Order"/>
    <n v="19"/>
    <x v="4"/>
    <x v="705"/>
    <n v="3"/>
    <n v="35.56"/>
    <d v="1899-12-30T02:22:00"/>
    <n v="2.3666666666666667"/>
    <n v="2.25"/>
    <x v="0"/>
    <s v="Brunswick/Bath/Freeport"/>
    <n v="2"/>
  </r>
  <r>
    <n v="1716"/>
    <s v="DD"/>
    <s v="Hourly"/>
    <n v="19"/>
    <x v="4"/>
    <x v="705"/>
    <n v="7"/>
    <n v="64.56"/>
    <d v="1899-12-30T04:11:00"/>
    <n v="4.1833333333333336"/>
    <n v="4.25"/>
    <x v="0"/>
    <s v="Brunswick/Bath/Freeport"/>
    <n v="2"/>
  </r>
  <r>
    <n v="1717"/>
    <s v="UE"/>
    <s v="Order"/>
    <n v="19"/>
    <x v="5"/>
    <x v="706"/>
    <n v="5"/>
    <n v="35.270000000000003"/>
    <d v="1899-12-30T03:09:00"/>
    <n v="3.1500000000000004"/>
    <n v="3.25"/>
    <x v="0"/>
    <s v="Brunswick/Bath/Freeport"/>
    <n v="2"/>
  </r>
  <r>
    <n v="1718"/>
    <s v="DD"/>
    <s v="Order"/>
    <n v="19"/>
    <x v="5"/>
    <x v="706"/>
    <n v="2"/>
    <n v="29"/>
    <d v="1899-12-30T02:30:00"/>
    <n v="2.5"/>
    <n v="2.5"/>
    <x v="0"/>
    <s v="Brunswick/Bath/Freeport"/>
    <n v="2"/>
  </r>
  <r>
    <n v="1719"/>
    <s v="DD"/>
    <s v="Order"/>
    <n v="19"/>
    <x v="5"/>
    <x v="706"/>
    <n v="2"/>
    <n v="15"/>
    <d v="1899-12-30T01:08:00"/>
    <n v="1.1333333333333333"/>
    <n v="1.25"/>
    <x v="2"/>
    <s v="Brunswick/Bath/Freeport"/>
    <n v="2"/>
  </r>
  <r>
    <n v="1720"/>
    <s v="DD"/>
    <s v="Order"/>
    <n v="19"/>
    <x v="5"/>
    <x v="706"/>
    <n v="2"/>
    <n v="26.75"/>
    <d v="1899-12-30T01:49:00"/>
    <n v="1.8166666666666664"/>
    <n v="1.75"/>
    <x v="2"/>
    <s v="Brunswick/Bath/Freeport"/>
    <n v="2"/>
  </r>
  <r>
    <n v="1721"/>
    <s v="UE"/>
    <s v="Order"/>
    <n v="19"/>
    <x v="6"/>
    <x v="707"/>
    <n v="5"/>
    <n v="50.45"/>
    <d v="1899-12-30T03:09:00"/>
    <n v="3.1500000000000004"/>
    <n v="3.25"/>
    <x v="0"/>
    <s v="Brunswick/Bath/Freeport"/>
    <n v="2"/>
  </r>
  <r>
    <n v="1722"/>
    <s v="DD"/>
    <s v="Order"/>
    <n v="19"/>
    <x v="6"/>
    <x v="707"/>
    <n v="8"/>
    <n v="98.62"/>
    <d v="1899-12-30T05:45:00"/>
    <n v="5.75"/>
    <n v="5.75"/>
    <x v="0"/>
    <s v="Brunswick/Bath/Freeport"/>
    <n v="2"/>
  </r>
  <r>
    <n v="1723"/>
    <s v="UE"/>
    <s v="Order"/>
    <n v="19"/>
    <x v="1"/>
    <x v="708"/>
    <n v="5"/>
    <n v="83.42"/>
    <d v="1899-12-30T04:18:00"/>
    <n v="4.3"/>
    <n v="4.25"/>
    <x v="0"/>
    <s v="Lewiston"/>
    <n v="3"/>
  </r>
  <r>
    <n v="1724"/>
    <s v="DD"/>
    <s v="Hourly"/>
    <n v="19"/>
    <x v="1"/>
    <x v="708"/>
    <n v="1"/>
    <n v="12.66"/>
    <d v="1899-12-30T01:16:00"/>
    <n v="1.2666666666666666"/>
    <n v="1.25"/>
    <x v="0"/>
    <s v="Lewiston"/>
    <n v="3"/>
  </r>
  <r>
    <n v="1725"/>
    <s v="UE"/>
    <s v="Order"/>
    <n v="19"/>
    <x v="2"/>
    <x v="709"/>
    <n v="2"/>
    <n v="9.69"/>
    <d v="1899-12-30T01:06:00"/>
    <n v="1.0999999999999999"/>
    <n v="1"/>
    <x v="1"/>
    <s v="Brunswick/Bath/Freeport"/>
    <n v="2"/>
  </r>
  <r>
    <n v="1726"/>
    <s v="DD"/>
    <s v="Order"/>
    <n v="19"/>
    <x v="2"/>
    <x v="709"/>
    <n v="8"/>
    <n v="116.86"/>
    <d v="1899-12-30T04:14:00"/>
    <n v="4.2333333333333334"/>
    <n v="4.25"/>
    <x v="0"/>
    <s v="Brunswick/Bath/Freeport"/>
    <n v="2"/>
  </r>
  <r>
    <n v="1727"/>
    <s v="DD"/>
    <s v="Order"/>
    <n v="20"/>
    <x v="3"/>
    <x v="710"/>
    <n v="6"/>
    <n v="71.73"/>
    <d v="1899-12-30T03:36:00"/>
    <n v="3.5999999999999996"/>
    <n v="3.5"/>
    <x v="0"/>
    <s v="Brunswick/Bath/Freeport"/>
    <n v="2"/>
  </r>
  <r>
    <n v="1728"/>
    <s v="UE"/>
    <s v="Order"/>
    <n v="20"/>
    <x v="4"/>
    <x v="711"/>
    <n v="6"/>
    <n v="73.34"/>
    <d v="1899-12-30T02:59:00"/>
    <n v="2.9833333333333334"/>
    <n v="3"/>
    <x v="0"/>
    <s v="Brunswick/Bath/Freeport"/>
    <n v="2"/>
  </r>
  <r>
    <n v="1729"/>
    <s v="DD"/>
    <s v="Order"/>
    <n v="20"/>
    <x v="4"/>
    <x v="711"/>
    <n v="4"/>
    <n v="32.25"/>
    <d v="1899-12-30T02:06:00"/>
    <n v="2.0999999999999996"/>
    <n v="2"/>
    <x v="0"/>
    <s v="Brunswick/Bath/Freeport"/>
    <n v="2"/>
  </r>
  <r>
    <n v="1730"/>
    <s v="DD"/>
    <s v="Order"/>
    <n v="20"/>
    <x v="4"/>
    <x v="711"/>
    <n v="2"/>
    <n v="14.75"/>
    <d v="1899-12-30T01:38:00"/>
    <n v="1.6333333333333333"/>
    <n v="1.75"/>
    <x v="2"/>
    <s v="Brunswick/Bath/Freeport"/>
    <n v="2"/>
  </r>
  <r>
    <n v="1731"/>
    <s v="UE"/>
    <s v="Order"/>
    <n v="20"/>
    <x v="5"/>
    <x v="712"/>
    <n v="1"/>
    <n v="11.02"/>
    <d v="1899-12-30T02:59:00"/>
    <n v="2.9833333333333334"/>
    <n v="3"/>
    <x v="0"/>
    <s v="Brunswick/Bath/Freeport"/>
    <n v="2"/>
  </r>
  <r>
    <n v="1732"/>
    <s v="DD"/>
    <s v="Order"/>
    <n v="20"/>
    <x v="5"/>
    <x v="712"/>
    <n v="11"/>
    <n v="106"/>
    <d v="1899-12-30T04:47:00"/>
    <n v="4.7833333333333332"/>
    <n v="4.75"/>
    <x v="0"/>
    <s v="Brunswick/Bath/Freeport"/>
    <n v="2"/>
  </r>
  <r>
    <n v="1733"/>
    <s v="DD"/>
    <s v="Order"/>
    <n v="20"/>
    <x v="0"/>
    <x v="713"/>
    <n v="17"/>
    <n v="151.47"/>
    <d v="1899-12-30T07:23:00"/>
    <n v="7.3833333333333337"/>
    <n v="7.5"/>
    <x v="0"/>
    <s v="Brunswick/Bath/Freeport"/>
    <n v="2"/>
  </r>
  <r>
    <n v="1734"/>
    <s v="UE"/>
    <s v="Order"/>
    <n v="20"/>
    <x v="1"/>
    <x v="714"/>
    <n v="1"/>
    <n v="10.69"/>
    <d v="1899-12-30T01:52:00"/>
    <n v="1.8666666666666667"/>
    <n v="1.75"/>
    <x v="0"/>
    <s v="Lewiston"/>
    <n v="3"/>
  </r>
  <r>
    <n v="1735"/>
    <s v="DD"/>
    <s v="Order"/>
    <n v="20"/>
    <x v="1"/>
    <x v="714"/>
    <n v="14"/>
    <n v="124.12"/>
    <d v="1899-12-30T05:32:00"/>
    <n v="5.5333333333333332"/>
    <n v="5.5"/>
    <x v="0"/>
    <s v="Lewiston"/>
    <n v="3"/>
  </r>
  <r>
    <n v="1736"/>
    <s v="UE"/>
    <s v="Order"/>
    <n v="21"/>
    <x v="4"/>
    <x v="715"/>
    <n v="3"/>
    <n v="53.04"/>
    <d v="1899-12-30T02:27:00"/>
    <n v="2.4500000000000002"/>
    <n v="2.5"/>
    <x v="0"/>
    <s v="Brunswick/Bath/Freeport"/>
    <n v="2"/>
  </r>
  <r>
    <n v="1737"/>
    <s v="DD"/>
    <s v="Order"/>
    <n v="21"/>
    <x v="4"/>
    <x v="715"/>
    <n v="6"/>
    <n v="56.12"/>
    <d v="1899-12-30T04:19:00"/>
    <n v="4.3166666666666664"/>
    <n v="4.25"/>
    <x v="0"/>
    <s v="Brunswick/Bath/Freeport"/>
    <n v="2"/>
  </r>
  <r>
    <n v="1738"/>
    <s v="UE"/>
    <s v="Order"/>
    <n v="21"/>
    <x v="5"/>
    <x v="716"/>
    <n v="1"/>
    <n v="16.09"/>
    <d v="1899-12-30T02:46:00"/>
    <n v="2.7666666666666666"/>
    <n v="2.75"/>
    <x v="0"/>
    <s v="Augusta"/>
    <n v="1"/>
  </r>
  <r>
    <n v="1739"/>
    <s v="DD"/>
    <s v="Hourly"/>
    <n v="21"/>
    <x v="5"/>
    <x v="716"/>
    <n v="7"/>
    <n v="69.69"/>
    <d v="1899-12-30T05:01:00"/>
    <n v="5.0166666666666666"/>
    <n v="5"/>
    <x v="0"/>
    <s v="Augusta"/>
    <n v="1"/>
  </r>
  <r>
    <n v="1740"/>
    <s v="UD"/>
    <s v="Order"/>
    <n v="21"/>
    <x v="6"/>
    <x v="717"/>
    <n v="5"/>
    <n v="87.62"/>
    <d v="1899-12-30T04:39:00"/>
    <n v="4.6500000000000004"/>
    <n v="4.75"/>
    <x v="0"/>
    <s v="Brunswick/Bath/Freeport"/>
    <n v="2"/>
  </r>
  <r>
    <n v="1741"/>
    <s v="DD"/>
    <s v="Order"/>
    <n v="21"/>
    <x v="6"/>
    <x v="717"/>
    <n v="2"/>
    <n v="32.25"/>
    <d v="1899-12-30T01:52:00"/>
    <n v="1.8666666666666667"/>
    <n v="1.75"/>
    <x v="2"/>
    <s v="Brunswick/Bath/Freeport"/>
    <n v="2"/>
  </r>
  <r>
    <n v="1742"/>
    <s v="UE"/>
    <s v="Order"/>
    <n v="22"/>
    <x v="3"/>
    <x v="718"/>
    <n v="4"/>
    <n v="50.05"/>
    <d v="1899-12-30T03:12:00"/>
    <n v="3.2"/>
    <n v="3.25"/>
    <x v="0"/>
    <s v="Brunswick/Bath/Freeport"/>
    <n v="2"/>
  </r>
  <r>
    <n v="1743"/>
    <s v="DD"/>
    <s v="Order"/>
    <n v="22"/>
    <x v="3"/>
    <x v="718"/>
    <n v="3"/>
    <n v="33.75"/>
    <d v="1899-12-30T02:40:00"/>
    <n v="2.6666666666666665"/>
    <n v="2.75"/>
    <x v="1"/>
    <s v="Brunswick/Bath/Freeport"/>
    <n v="2"/>
  </r>
  <r>
    <n v="1744"/>
    <s v="DD"/>
    <s v="Order"/>
    <n v="22"/>
    <x v="3"/>
    <x v="718"/>
    <n v="3"/>
    <n v="34.25"/>
    <d v="1899-12-30T03:33:00"/>
    <n v="3.55"/>
    <n v="3.5"/>
    <x v="2"/>
    <s v="Brunswick/Bath/Freeport"/>
    <n v="2"/>
  </r>
  <r>
    <n v="1745"/>
    <s v="UE"/>
    <s v="Order"/>
    <n v="22"/>
    <x v="4"/>
    <x v="719"/>
    <n v="5"/>
    <n v="91.43"/>
    <d v="1899-12-30T04:33:00"/>
    <n v="4.55"/>
    <n v="4.5"/>
    <x v="0"/>
    <s v="Brunswick/Bath/Freeport"/>
    <n v="2"/>
  </r>
  <r>
    <n v="1746"/>
    <s v="DD"/>
    <s v="Order"/>
    <n v="22"/>
    <x v="4"/>
    <x v="719"/>
    <n v="2"/>
    <n v="11.5"/>
    <d v="1899-12-30T02:24:00"/>
    <n v="2.4000000000000004"/>
    <n v="2.5"/>
    <x v="2"/>
    <s v="Brunswick/Bath/Freeport"/>
    <n v="2"/>
  </r>
  <r>
    <n v="1747"/>
    <s v="UE"/>
    <s v="Order"/>
    <n v="22"/>
    <x v="5"/>
    <x v="720"/>
    <n v="3"/>
    <n v="67.23"/>
    <d v="1899-12-30T03:15:00"/>
    <n v="3.25"/>
    <n v="3.25"/>
    <x v="0"/>
    <s v="Portland"/>
    <n v="4"/>
  </r>
  <r>
    <n v="1748"/>
    <s v="DD"/>
    <s v="Order"/>
    <n v="22"/>
    <x v="5"/>
    <x v="720"/>
    <n v="8"/>
    <n v="67"/>
    <d v="1899-12-30T02:52:00"/>
    <n v="2.8666666666666667"/>
    <n v="2.75"/>
    <x v="0"/>
    <s v="Portland"/>
    <n v="4"/>
  </r>
  <r>
    <n v="1749"/>
    <s v="DD"/>
    <s v="Order"/>
    <n v="22"/>
    <x v="6"/>
    <x v="721"/>
    <n v="7"/>
    <n v="94.79"/>
    <d v="1899-12-30T05:00:00"/>
    <n v="5"/>
    <n v="5"/>
    <x v="0"/>
    <s v="Brunswick/Bath/Freeport"/>
    <n v="2"/>
  </r>
  <r>
    <n v="1750"/>
    <s v="UE"/>
    <s v="Order"/>
    <n v="22"/>
    <x v="0"/>
    <x v="722"/>
    <n v="4"/>
    <n v="57.58"/>
    <d v="1899-12-30T01:46:00"/>
    <n v="1.7666666666666666"/>
    <n v="1.75"/>
    <x v="0"/>
    <s v="Brunswick/Bath/Freeport"/>
    <n v="2"/>
  </r>
  <r>
    <n v="1751"/>
    <s v="DD"/>
    <s v="Order"/>
    <n v="22"/>
    <x v="0"/>
    <x v="722"/>
    <n v="10"/>
    <n v="86.76"/>
    <d v="1899-12-30T06:58:00"/>
    <n v="6.9666666666666668"/>
    <n v="7"/>
    <x v="0"/>
    <s v="Brunswick/Bath/Freeport"/>
    <n v="2"/>
  </r>
  <r>
    <n v="1752"/>
    <s v="UE"/>
    <s v="Order"/>
    <n v="22"/>
    <x v="2"/>
    <x v="723"/>
    <n v="1"/>
    <n v="12.01"/>
    <d v="1899-12-30T01:26:00"/>
    <n v="1.4333333333333333"/>
    <n v="1.5"/>
    <x v="0"/>
    <s v="Brunswick/Bath/Freeport"/>
    <n v="2"/>
  </r>
  <r>
    <n v="1753"/>
    <s v="DD"/>
    <s v="Order"/>
    <n v="22"/>
    <x v="2"/>
    <x v="723"/>
    <n v="2"/>
    <n v="20.75"/>
    <d v="1899-12-30T01:40:00"/>
    <n v="1.6666666666666667"/>
    <n v="1.75"/>
    <x v="0"/>
    <s v="Brunswick/Bath/Freeport"/>
    <n v="2"/>
  </r>
  <r>
    <n v="1754"/>
    <s v="DD"/>
    <s v="Hourly"/>
    <n v="22"/>
    <x v="2"/>
    <x v="723"/>
    <n v="6"/>
    <n v="34.409999999999997"/>
    <d v="1899-12-30T01:46:00"/>
    <n v="1.7666666666666666"/>
    <n v="1.75"/>
    <x v="0"/>
    <s v="Brunswick/Bath/Freeport"/>
    <n v="2"/>
  </r>
  <r>
    <n v="1755"/>
    <s v="DD"/>
    <s v="Hourly"/>
    <n v="23"/>
    <x v="3"/>
    <x v="724"/>
    <n v="7"/>
    <n v="101.22"/>
    <d v="1899-12-30T04:10:00"/>
    <n v="4.1666666666666661"/>
    <n v="4.25"/>
    <x v="0"/>
    <s v="Brunswick/Bath/Freeport"/>
    <n v="2"/>
  </r>
  <r>
    <n v="1756"/>
    <s v="UE"/>
    <s v="Order"/>
    <n v="23"/>
    <x v="4"/>
    <x v="725"/>
    <n v="2"/>
    <n v="35.04"/>
    <d v="1899-12-30T02:35:00"/>
    <n v="2.5833333333333335"/>
    <n v="2.5"/>
    <x v="0"/>
    <s v="Brunswick/Bath/Freeport"/>
    <n v="2"/>
  </r>
  <r>
    <n v="1757"/>
    <s v="DD"/>
    <s v="Hourly"/>
    <n v="23"/>
    <x v="4"/>
    <x v="725"/>
    <n v="5"/>
    <n v="79.17"/>
    <d v="1899-12-30T04:45:00"/>
    <n v="4.75"/>
    <n v="4.75"/>
    <x v="0"/>
    <s v="Brunswick/Bath/Freeport"/>
    <n v="2"/>
  </r>
  <r>
    <n v="1758"/>
    <s v="UE"/>
    <s v="Order"/>
    <n v="23"/>
    <x v="5"/>
    <x v="726"/>
    <n v="1"/>
    <n v="18.59"/>
    <d v="1899-12-30T01:22:00"/>
    <n v="1.3666666666666667"/>
    <n v="1.25"/>
    <x v="2"/>
    <s v="Lewiston"/>
    <n v="3"/>
  </r>
  <r>
    <n v="1759"/>
    <s v="DD"/>
    <s v="Order"/>
    <n v="23"/>
    <x v="5"/>
    <x v="726"/>
    <n v="11"/>
    <n v="91"/>
    <d v="1899-12-30T04:50:00"/>
    <n v="4.8333333333333339"/>
    <n v="4.75"/>
    <x v="0"/>
    <s v="Lewiston"/>
    <n v="3"/>
  </r>
  <r>
    <n v="1760"/>
    <s v="UE"/>
    <s v="Order"/>
    <n v="23"/>
    <x v="0"/>
    <x v="727"/>
    <n v="2"/>
    <n v="23.07"/>
    <d v="1899-12-30T01:07:00"/>
    <n v="1.1166666666666667"/>
    <n v="1"/>
    <x v="0"/>
    <s v="Lewiston"/>
    <n v="3"/>
  </r>
  <r>
    <n v="1761"/>
    <s v="DD"/>
    <s v="Order"/>
    <n v="23"/>
    <x v="0"/>
    <x v="727"/>
    <n v="12"/>
    <n v="67.25"/>
    <d v="1899-12-30T04:57:00"/>
    <n v="4.9499999999999993"/>
    <n v="5"/>
    <x v="0"/>
    <s v="Lewiston"/>
    <n v="3"/>
  </r>
  <r>
    <n v="1762"/>
    <s v="UE"/>
    <s v="Order"/>
    <n v="23"/>
    <x v="1"/>
    <x v="728"/>
    <n v="5"/>
    <n v="59.29"/>
    <d v="1899-12-30T03:31:00"/>
    <n v="3.5166666666666666"/>
    <n v="3.5"/>
    <x v="1"/>
    <s v="Brunswick/Bath/Freeport"/>
    <n v="2"/>
  </r>
  <r>
    <n v="1763"/>
    <s v="DD"/>
    <s v="Order"/>
    <n v="23"/>
    <x v="1"/>
    <x v="728"/>
    <n v="8"/>
    <n v="78.64"/>
    <d v="1899-12-30T05:56:00"/>
    <n v="5.9333333333333336"/>
    <n v="6"/>
    <x v="1"/>
    <s v="Brunswick/Bath/Freeport"/>
    <n v="2"/>
  </r>
  <r>
    <n v="1764"/>
    <s v="DD"/>
    <s v="Order"/>
    <n v="24"/>
    <x v="3"/>
    <x v="729"/>
    <n v="15"/>
    <n v="122.51"/>
    <d v="1899-12-30T06:03:00"/>
    <n v="6.05"/>
    <n v="6"/>
    <x v="0"/>
    <s v="Lewiston"/>
    <n v="3"/>
  </r>
  <r>
    <n v="1765"/>
    <s v="UE"/>
    <s v="Order"/>
    <n v="24"/>
    <x v="4"/>
    <x v="730"/>
    <n v="6"/>
    <n v="76.64"/>
    <d v="1899-12-30T03:19:00"/>
    <n v="3.3166666666666669"/>
    <n v="3.25"/>
    <x v="0"/>
    <s v="Brunswick/Bath/Freeport"/>
    <n v="2"/>
  </r>
  <r>
    <n v="1766"/>
    <s v="DD"/>
    <s v="Order"/>
    <n v="24"/>
    <x v="4"/>
    <x v="730"/>
    <n v="2"/>
    <n v="16.420000000000002"/>
    <d v="1899-12-30T01:40:00"/>
    <n v="1.6666666666666667"/>
    <n v="1.75"/>
    <x v="0"/>
    <s v="Brunswick/Bath/Freeport"/>
    <n v="2"/>
  </r>
  <r>
    <n v="1767"/>
    <s v="UE"/>
    <s v="Order"/>
    <n v="24"/>
    <x v="6"/>
    <x v="731"/>
    <n v="2"/>
    <n v="59.55"/>
    <d v="1899-12-30T03:05:00"/>
    <n v="3.083333333333333"/>
    <n v="3"/>
    <x v="0"/>
    <s v="Brunswick/Bath/Freeport"/>
    <n v="2"/>
  </r>
  <r>
    <n v="1768"/>
    <s v="DD"/>
    <s v="Hourly"/>
    <n v="24"/>
    <x v="6"/>
    <x v="731"/>
    <n v="10"/>
    <n v="100.93"/>
    <d v="1899-12-30T04:49:00"/>
    <n v="4.8166666666666664"/>
    <n v="4.75"/>
    <x v="0"/>
    <s v="Brunswick/Bath/Freeport"/>
    <n v="2"/>
  </r>
  <r>
    <n v="1769"/>
    <s v="UE"/>
    <s v="Order"/>
    <n v="24"/>
    <x v="0"/>
    <x v="732"/>
    <n v="1"/>
    <n v="13.26"/>
    <d v="1899-12-30T01:56:00"/>
    <n v="1.9333333333333336"/>
    <n v="2"/>
    <x v="0"/>
    <s v="Lewiston"/>
    <n v="3"/>
  </r>
  <r>
    <n v="1770"/>
    <s v="DD"/>
    <s v="Hourly"/>
    <n v="24"/>
    <x v="0"/>
    <x v="732"/>
    <n v="5"/>
    <n v="94.87"/>
    <d v="1899-12-30T04:35:00"/>
    <n v="4.583333333333333"/>
    <n v="4.5"/>
    <x v="0"/>
    <s v="Lewiston"/>
    <n v="3"/>
  </r>
  <r>
    <n v="1771"/>
    <s v="UE"/>
    <s v="Order"/>
    <n v="25"/>
    <x v="3"/>
    <x v="733"/>
    <n v="3"/>
    <n v="55.1"/>
    <d v="1899-12-30T02:28:00"/>
    <n v="2.4666666666666668"/>
    <n v="2.5"/>
    <x v="0"/>
    <s v="Brunswick/Bath/Freeport"/>
    <n v="2"/>
  </r>
  <r>
    <n v="1772"/>
    <s v="DD"/>
    <s v="Order"/>
    <n v="25"/>
    <x v="3"/>
    <x v="733"/>
    <n v="5"/>
    <n v="56.5"/>
    <d v="1899-12-30T04:43:00"/>
    <n v="4.7166666666666668"/>
    <n v="4.75"/>
    <x v="0"/>
    <s v="Brunswick/Bath/Freeport"/>
    <n v="2"/>
  </r>
  <r>
    <n v="1773"/>
    <s v="DD"/>
    <s v="Order"/>
    <n v="25"/>
    <x v="3"/>
    <x v="733"/>
    <n v="1"/>
    <n v="7"/>
    <d v="1899-12-30T00:14:00"/>
    <n v="0.23333333333333334"/>
    <n v="0.25"/>
    <x v="2"/>
    <s v="Brunswick/Bath/Freeport"/>
    <n v="2"/>
  </r>
  <r>
    <n v="1774"/>
    <s v="UE"/>
    <s v="Order"/>
    <n v="25"/>
    <x v="6"/>
    <x v="734"/>
    <n v="2"/>
    <n v="18.89"/>
    <d v="1899-12-30T02:04:00"/>
    <n v="2.0666666666666664"/>
    <n v="2"/>
    <x v="0"/>
    <s v="Augusta"/>
    <n v="1"/>
  </r>
  <r>
    <n v="1775"/>
    <s v="DD"/>
    <s v="Order"/>
    <n v="25"/>
    <x v="6"/>
    <x v="734"/>
    <n v="3"/>
    <n v="23.45"/>
    <d v="1899-12-30T01:30:00"/>
    <n v="1.5"/>
    <n v="1.5"/>
    <x v="0"/>
    <s v="Augusta"/>
    <n v="1"/>
  </r>
  <r>
    <n v="1776"/>
    <s v="UE"/>
    <s v="Order"/>
    <n v="25"/>
    <x v="1"/>
    <x v="735"/>
    <n v="5"/>
    <n v="89.59"/>
    <d v="1899-12-30T03:29:00"/>
    <n v="3.4833333333333334"/>
    <n v="3.5"/>
    <x v="0"/>
    <s v="Brunswick/Bath/Freeport"/>
    <n v="2"/>
  </r>
  <r>
    <n v="1777"/>
    <s v="DD"/>
    <s v="Order"/>
    <n v="25"/>
    <x v="1"/>
    <x v="735"/>
    <n v="8"/>
    <n v="96.03"/>
    <d v="1899-12-30T07:36:00"/>
    <n v="7.6"/>
    <n v="7.5"/>
    <x v="0"/>
    <s v="Brunswick/Bath/Freeport"/>
    <n v="2"/>
  </r>
  <r>
    <n v="1778"/>
    <s v="UE"/>
    <s v="Order"/>
    <n v="25"/>
    <x v="2"/>
    <x v="736"/>
    <n v="7"/>
    <n v="67.63"/>
    <d v="1899-12-30T03:53:00"/>
    <n v="3.8833333333333337"/>
    <n v="4"/>
    <x v="1"/>
    <s v="Brunswick/Bath/Freeport"/>
    <n v="2"/>
  </r>
  <r>
    <n v="1779"/>
    <s v="DD"/>
    <s v="Order"/>
    <n v="25"/>
    <x v="2"/>
    <x v="736"/>
    <n v="2"/>
    <n v="18.25"/>
    <d v="1899-12-30T03:18:00"/>
    <n v="3.3000000000000003"/>
    <n v="3.25"/>
    <x v="1"/>
    <s v="Brunswick/Bath/Freeport"/>
    <n v="2"/>
  </r>
  <r>
    <n v="1780"/>
    <s v="UE"/>
    <s v="Hourly"/>
    <n v="26"/>
    <x v="3"/>
    <x v="737"/>
    <n v="1"/>
    <n v="21.79"/>
    <d v="1899-12-30T02:28:00"/>
    <n v="2.4666666666666668"/>
    <n v="2.5"/>
    <x v="0"/>
    <s v="Brunswick/Bath/Freeport"/>
    <n v="2"/>
  </r>
  <r>
    <n v="1781"/>
    <s v="DD"/>
    <s v="Order"/>
    <n v="26"/>
    <x v="3"/>
    <x v="737"/>
    <n v="6"/>
    <n v="55.75"/>
    <d v="1899-12-30T04:01:00"/>
    <n v="4.0166666666666666"/>
    <n v="4"/>
    <x v="0"/>
    <s v="Brunswick/Bath/Freeport"/>
    <n v="2"/>
  </r>
  <r>
    <n v="1782"/>
    <s v="UE"/>
    <s v="Hourly"/>
    <n v="26"/>
    <x v="4"/>
    <x v="738"/>
    <n v="9"/>
    <n v="132"/>
    <d v="1899-12-30T05:40:00"/>
    <n v="5.6666666666666661"/>
    <n v="5.75"/>
    <x v="0"/>
    <s v="Portland"/>
    <n v="4"/>
  </r>
  <r>
    <n v="1783"/>
    <s v="UE"/>
    <s v="Hourly"/>
    <n v="26"/>
    <x v="5"/>
    <x v="739"/>
    <n v="4"/>
    <n v="37.770000000000003"/>
    <d v="1899-12-30T02:12:00"/>
    <n v="2.1999999999999997"/>
    <n v="2.25"/>
    <x v="0"/>
    <s v="Lewiston"/>
    <n v="3"/>
  </r>
  <r>
    <n v="1784"/>
    <s v="DD"/>
    <s v="Hourly"/>
    <n v="26"/>
    <x v="5"/>
    <x v="739"/>
    <n v="5"/>
    <n v="38.729999999999997"/>
    <d v="1899-12-30T02:56:00"/>
    <n v="2.9333333333333331"/>
    <n v="3"/>
    <x v="0"/>
    <s v="Lewiston"/>
    <n v="3"/>
  </r>
  <r>
    <n v="1785"/>
    <s v="UE"/>
    <s v="Order"/>
    <n v="26"/>
    <x v="0"/>
    <x v="740"/>
    <n v="1"/>
    <n v="32.86"/>
    <d v="1899-12-30T02:31:00"/>
    <n v="2.5166666666666666"/>
    <n v="2.5"/>
    <x v="0"/>
    <s v="Portland"/>
    <n v="4"/>
  </r>
  <r>
    <n v="1786"/>
    <s v="DD"/>
    <s v="Hourly"/>
    <n v="26"/>
    <x v="0"/>
    <x v="740"/>
    <n v="16"/>
    <n v="183.95"/>
    <d v="1899-12-30T09:05:00"/>
    <n v="9.0833333333333321"/>
    <n v="9"/>
    <x v="0"/>
    <s v="Portland"/>
    <n v="4"/>
  </r>
  <r>
    <n v="1787"/>
    <s v="DD"/>
    <s v="Hourly"/>
    <n v="26"/>
    <x v="1"/>
    <x v="741"/>
    <n v="2"/>
    <n v="25.87"/>
    <d v="1899-12-30T01:24:00"/>
    <n v="1.4"/>
    <n v="1.5"/>
    <x v="0"/>
    <s v="Portland"/>
    <n v="4"/>
  </r>
  <r>
    <n v="1788"/>
    <s v="UE"/>
    <s v="Hourly"/>
    <n v="26"/>
    <x v="2"/>
    <x v="742"/>
    <n v="1"/>
    <n v="8.81"/>
    <d v="1899-12-30T00:24:00"/>
    <n v="0.4"/>
    <n v="0.5"/>
    <x v="1"/>
    <s v="Brunswick/Bath/Freeport"/>
    <n v="2"/>
  </r>
  <r>
    <n v="1789"/>
    <s v="UE"/>
    <s v="Order"/>
    <n v="26"/>
    <x v="2"/>
    <x v="742"/>
    <n v="1"/>
    <n v="15.36"/>
    <d v="1899-12-30T00:36:00"/>
    <n v="0.60000000000000009"/>
    <n v="0.5"/>
    <x v="1"/>
    <s v="Brunswick/Bath/Freeport"/>
    <n v="2"/>
  </r>
  <r>
    <n v="1790"/>
    <s v="DD"/>
    <s v="Order"/>
    <n v="26"/>
    <x v="2"/>
    <x v="742"/>
    <n v="5"/>
    <n v="55"/>
    <d v="1899-12-30T04:36:00"/>
    <n v="4.6000000000000005"/>
    <n v="4.5"/>
    <x v="1"/>
    <s v="Brunswick/Bath/Freeport"/>
    <n v="2"/>
  </r>
  <r>
    <n v="1791"/>
    <s v="UE"/>
    <s v="Hourly"/>
    <n v="27"/>
    <x v="3"/>
    <x v="743"/>
    <n v="6"/>
    <n v="64.709999999999994"/>
    <d v="1899-12-30T02:18:00"/>
    <n v="2.2999999999999998"/>
    <n v="2.25"/>
    <x v="0"/>
    <s v="Portland"/>
    <n v="4"/>
  </r>
  <r>
    <n v="1792"/>
    <s v="UE"/>
    <s v="Order"/>
    <n v="27"/>
    <x v="3"/>
    <x v="743"/>
    <n v="1"/>
    <n v="58.92"/>
    <d v="1899-12-30T00:42:00"/>
    <n v="0.7"/>
    <n v="0.75"/>
    <x v="2"/>
    <s v="Portland"/>
    <n v="4"/>
  </r>
  <r>
    <n v="1793"/>
    <s v="DD"/>
    <s v="Hourly"/>
    <n v="27"/>
    <x v="3"/>
    <x v="743"/>
    <n v="4"/>
    <n v="48.84"/>
    <d v="1899-12-30T02:54:00"/>
    <n v="2.9"/>
    <n v="3"/>
    <x v="0"/>
    <s v="Portland"/>
    <n v="4"/>
  </r>
  <r>
    <n v="1794"/>
    <s v="UE"/>
    <s v="Hourly"/>
    <n v="27"/>
    <x v="4"/>
    <x v="744"/>
    <n v="6"/>
    <n v="71.45"/>
    <d v="1899-12-30T04:18:00"/>
    <n v="4.3"/>
    <n v="4.25"/>
    <x v="0"/>
    <s v="Brunswick/Bath/Freeport"/>
    <n v="2"/>
  </r>
  <r>
    <n v="1795"/>
    <s v="UE"/>
    <s v="Order"/>
    <n v="27"/>
    <x v="4"/>
    <x v="744"/>
    <n v="1"/>
    <n v="20.63"/>
    <d v="1899-12-30T00:37:00"/>
    <n v="0.6166666666666667"/>
    <n v="0.5"/>
    <x v="2"/>
    <s v="Brunswick/Bath/Freeport"/>
    <n v="2"/>
  </r>
  <r>
    <n v="1796"/>
    <s v="DD"/>
    <s v="Order"/>
    <n v="27"/>
    <x v="4"/>
    <x v="744"/>
    <n v="1"/>
    <n v="6.25"/>
    <d v="1899-12-30T02:58:00"/>
    <n v="2.9666666666666668"/>
    <n v="3"/>
    <x v="2"/>
    <s v="Brunswick/Bath/Freeport"/>
    <n v="2"/>
  </r>
  <r>
    <n v="1797"/>
    <s v="UE"/>
    <s v="Hourly"/>
    <n v="27"/>
    <x v="5"/>
    <x v="745"/>
    <n v="2"/>
    <n v="36.36"/>
    <d v="1899-12-30T01:17:00"/>
    <n v="1.2833333333333332"/>
    <n v="1.25"/>
    <x v="0"/>
    <s v="Brunswick/Bath/Freeport"/>
    <n v="2"/>
  </r>
  <r>
    <n v="1798"/>
    <s v="DD"/>
    <s v="Order"/>
    <n v="27"/>
    <x v="5"/>
    <x v="745"/>
    <n v="1"/>
    <n v="6.25"/>
    <d v="1899-12-30T02:58:00"/>
    <n v="2.9666666666666668"/>
    <n v="3"/>
    <x v="0"/>
    <s v="Brunswick/Bath/Freeport"/>
    <n v="2"/>
  </r>
  <r>
    <n v="1799"/>
    <s v="DD"/>
    <s v="Order"/>
    <n v="27"/>
    <x v="5"/>
    <x v="745"/>
    <n v="6"/>
    <n v="56.5"/>
    <d v="1899-12-30T02:32:00"/>
    <n v="2.5333333333333332"/>
    <n v="2.5"/>
    <x v="0"/>
    <s v="Brunswick/Bath/Freeport"/>
    <n v="2"/>
  </r>
  <r>
    <n v="1800"/>
    <s v="UE"/>
    <s v="Order"/>
    <n v="27"/>
    <x v="6"/>
    <x v="746"/>
    <n v="1"/>
    <n v="23.01"/>
    <d v="1899-12-30T01:24:00"/>
    <n v="1.4"/>
    <n v="1.5"/>
    <x v="0"/>
    <s v="Lewiston"/>
    <n v="3"/>
  </r>
  <r>
    <n v="1801"/>
    <s v="DD"/>
    <s v="Hourly"/>
    <n v="27"/>
    <x v="6"/>
    <x v="746"/>
    <n v="2"/>
    <n v="27.32"/>
    <d v="1899-12-30T02:44:00"/>
    <n v="2.7333333333333334"/>
    <n v="2.75"/>
    <x v="0"/>
    <s v="Lewiston"/>
    <n v="3"/>
  </r>
  <r>
    <n v="1802"/>
    <s v="UE"/>
    <s v="Hourly"/>
    <n v="28"/>
    <x v="3"/>
    <x v="747"/>
    <n v="4"/>
    <n v="51.47"/>
    <d v="1899-12-30T02:36:00"/>
    <n v="2.6"/>
    <n v="2.5"/>
    <x v="1"/>
    <s v="Portland"/>
    <n v="4"/>
  </r>
  <r>
    <n v="1803"/>
    <s v="DD"/>
    <s v="Order"/>
    <n v="28"/>
    <x v="3"/>
    <x v="747"/>
    <n v="6"/>
    <n v="74.75"/>
    <d v="1899-12-30T03:08:00"/>
    <n v="3.1333333333333337"/>
    <n v="3.25"/>
    <x v="1"/>
    <s v="Portland"/>
    <n v="4"/>
  </r>
  <r>
    <n v="1804"/>
    <s v="UE"/>
    <s v="Order"/>
    <n v="29"/>
    <x v="0"/>
    <x v="748"/>
    <n v="1"/>
    <n v="15.03"/>
    <d v="1899-12-30T01:46:00"/>
    <n v="1.7666666666666666"/>
    <n v="1.75"/>
    <x v="0"/>
    <s v="Portland"/>
    <n v="4"/>
  </r>
  <r>
    <n v="1805"/>
    <s v="DD"/>
    <s v="Order"/>
    <n v="29"/>
    <x v="0"/>
    <x v="748"/>
    <n v="9"/>
    <n v="99.05"/>
    <d v="1899-12-30T05:36:00"/>
    <n v="5.6"/>
    <n v="5.5"/>
    <x v="0"/>
    <s v="Portland"/>
    <n v="4"/>
  </r>
  <r>
    <n v="1806"/>
    <s v="UE"/>
    <s v="Order"/>
    <n v="29"/>
    <x v="1"/>
    <x v="749"/>
    <n v="6"/>
    <n v="116.21"/>
    <d v="1899-12-30T06:02:00"/>
    <n v="6.0333333333333332"/>
    <n v="6"/>
    <x v="0"/>
    <s v="Lewiston"/>
    <n v="3"/>
  </r>
  <r>
    <n v="1807"/>
    <s v="DD"/>
    <s v="Order"/>
    <n v="29"/>
    <x v="1"/>
    <x v="749"/>
    <n v="2"/>
    <n v="29.83"/>
    <d v="1899-12-30T02:06:00"/>
    <n v="2.0999999999999996"/>
    <n v="2"/>
    <x v="0"/>
    <s v="Lewiston"/>
    <n v="3"/>
  </r>
  <r>
    <n v="1808"/>
    <s v="DD"/>
    <s v="Order"/>
    <n v="29"/>
    <x v="1"/>
    <x v="749"/>
    <n v="1"/>
    <n v="8"/>
    <d v="1899-12-30T01:31:00"/>
    <n v="1.5166666666666666"/>
    <n v="1.5"/>
    <x v="2"/>
    <s v="Lewiston"/>
    <n v="3"/>
  </r>
  <r>
    <n v="1809"/>
    <s v="UE"/>
    <s v="Order"/>
    <n v="30"/>
    <x v="4"/>
    <x v="750"/>
    <n v="1"/>
    <n v="15.64"/>
    <d v="1899-12-30T01:37:00"/>
    <n v="1.6166666666666667"/>
    <n v="1.5"/>
    <x v="0"/>
    <s v="Brunswick/Bath/Freeport"/>
    <n v="2"/>
  </r>
  <r>
    <n v="1810"/>
    <s v="DD"/>
    <s v="Order"/>
    <n v="30"/>
    <x v="4"/>
    <x v="750"/>
    <n v="8"/>
    <n v="80"/>
    <d v="1899-12-30T04:52:00"/>
    <n v="4.8666666666666671"/>
    <n v="4.75"/>
    <x v="0"/>
    <s v="Brunswick/Bath/Freeport"/>
    <n v="2"/>
  </r>
  <r>
    <n v="1811"/>
    <s v="UE"/>
    <s v="Order"/>
    <n v="30"/>
    <x v="6"/>
    <x v="751"/>
    <n v="10"/>
    <n v="105.79"/>
    <d v="1899-12-30T06:40:00"/>
    <n v="6.666666666666667"/>
    <n v="6.75"/>
    <x v="0"/>
    <s v="Portland"/>
    <n v="4"/>
  </r>
  <r>
    <n v="1812"/>
    <s v="DD"/>
    <s v="Hourly"/>
    <n v="30"/>
    <x v="6"/>
    <x v="751"/>
    <n v="11"/>
    <n v="109.89"/>
    <d v="1899-12-30T04:43:00"/>
    <n v="4.7166666666666668"/>
    <n v="4.75"/>
    <x v="2"/>
    <s v="Portland"/>
    <n v="4"/>
  </r>
  <r>
    <n v="1813"/>
    <s v="UE"/>
    <s v="Order"/>
    <n v="31"/>
    <x v="3"/>
    <x v="752"/>
    <n v="12"/>
    <n v="108.22"/>
    <d v="1899-12-30T06:14:00"/>
    <n v="6.2333333333333343"/>
    <n v="6.25"/>
    <x v="1"/>
    <s v="Portland"/>
    <n v="4"/>
  </r>
  <r>
    <n v="1814"/>
    <s v="DD"/>
    <s v="Hourly"/>
    <n v="31"/>
    <x v="3"/>
    <x v="752"/>
    <n v="1"/>
    <n v="7.22"/>
    <d v="1899-12-30T00:51:00"/>
    <n v="0.85"/>
    <n v="0.75"/>
    <x v="0"/>
    <s v="Portland"/>
    <n v="4"/>
  </r>
  <r>
    <n v="1815"/>
    <s v="UE"/>
    <s v="Order"/>
    <n v="31"/>
    <x v="5"/>
    <x v="753"/>
    <n v="2"/>
    <n v="27.4"/>
    <d v="1899-12-30T01:54:00"/>
    <n v="1.9"/>
    <n v="2"/>
    <x v="0"/>
    <s v="Brunswick/Bath/Freeport"/>
    <n v="2"/>
  </r>
  <r>
    <n v="1816"/>
    <s v="DD"/>
    <s v="Order"/>
    <n v="31"/>
    <x v="5"/>
    <x v="753"/>
    <n v="6"/>
    <n v="64.97"/>
    <d v="1899-12-30T03:44:00"/>
    <n v="3.7333333333333334"/>
    <n v="3.75"/>
    <x v="0"/>
    <s v="Brunswick/Bath/Freeport"/>
    <n v="2"/>
  </r>
  <r>
    <n v="1817"/>
    <s v="DD"/>
    <s v="Order"/>
    <n v="31"/>
    <x v="5"/>
    <x v="753"/>
    <n v="2"/>
    <n v="19"/>
    <d v="1899-12-30T01:17:00"/>
    <n v="1.2833333333333332"/>
    <n v="1.25"/>
    <x v="2"/>
    <s v="Brunswick/Bath/Freeport"/>
    <n v="2"/>
  </r>
  <r>
    <n v="1818"/>
    <s v="UE"/>
    <s v="Order"/>
    <n v="31"/>
    <x v="6"/>
    <x v="754"/>
    <n v="4"/>
    <n v="63.26"/>
    <d v="1899-12-30T02:58:00"/>
    <n v="2.9666666666666668"/>
    <n v="3"/>
    <x v="0"/>
    <s v="Lewiston"/>
    <n v="3"/>
  </r>
  <r>
    <n v="1819"/>
    <s v="DD"/>
    <s v="Order"/>
    <n v="31"/>
    <x v="6"/>
    <x v="754"/>
    <n v="3"/>
    <n v="22.75"/>
    <d v="1899-12-30T02:18:00"/>
    <n v="2.3000000000000003"/>
    <n v="2.25"/>
    <x v="0"/>
    <s v="Lewiston"/>
    <n v="3"/>
  </r>
  <r>
    <n v="1820"/>
    <s v="DD"/>
    <s v="Order"/>
    <n v="31"/>
    <x v="6"/>
    <x v="754"/>
    <n v="5"/>
    <n v="28.43"/>
    <d v="1899-12-30T03:25:00"/>
    <n v="3.4166666666666665"/>
    <n v="3.5"/>
    <x v="0"/>
    <s v="Lewiston"/>
    <n v="3"/>
  </r>
  <r>
    <n v="1821"/>
    <s v="UE"/>
    <s v="Order"/>
    <n v="31"/>
    <x v="0"/>
    <x v="755"/>
    <n v="1"/>
    <n v="17.04"/>
    <d v="1899-12-30T01:28:00"/>
    <n v="1.4666666666666666"/>
    <n v="1.5"/>
    <x v="0"/>
    <s v="Brunswick/Bath/Freeport"/>
    <n v="2"/>
  </r>
  <r>
    <n v="1822"/>
    <s v="DD"/>
    <s v="Order"/>
    <n v="31"/>
    <x v="0"/>
    <x v="755"/>
    <n v="3"/>
    <n v="21.67"/>
    <d v="1899-12-30T01:14:00"/>
    <n v="1.2333333333333334"/>
    <n v="1.25"/>
    <x v="0"/>
    <s v="Brunswick/Bath/Freeport"/>
    <n v="2"/>
  </r>
  <r>
    <n v="1823"/>
    <s v="DD"/>
    <s v="Order"/>
    <n v="31"/>
    <x v="0"/>
    <x v="755"/>
    <n v="4"/>
    <n v="71.95"/>
    <d v="1899-12-30T02:38:00"/>
    <n v="2.6333333333333333"/>
    <n v="2.75"/>
    <x v="0"/>
    <s v="Brunswick/Bath/Freeport"/>
    <n v="2"/>
  </r>
  <r>
    <n v="1824"/>
    <s v="DD"/>
    <s v="Order"/>
    <n v="31"/>
    <x v="0"/>
    <x v="755"/>
    <n v="5"/>
    <n v="42"/>
    <d v="1899-12-30T03:09:00"/>
    <n v="3.1500000000000004"/>
    <n v="3.25"/>
    <x v="2"/>
    <s v="Brunswick/Bath/Freeport"/>
    <n v="2"/>
  </r>
  <r>
    <n v="1825"/>
    <s v="UE"/>
    <s v="Order"/>
    <n v="32"/>
    <x v="3"/>
    <x v="756"/>
    <n v="10"/>
    <n v="131.81"/>
    <d v="1899-12-30T05:37:00"/>
    <n v="5.6166666666666671"/>
    <n v="5.5"/>
    <x v="0"/>
    <s v="Brunswick/Bath/Freeport"/>
    <n v="2"/>
  </r>
  <r>
    <n v="1826"/>
    <s v="DD"/>
    <s v="Hourly"/>
    <n v="32"/>
    <x v="3"/>
    <x v="756"/>
    <n v="1"/>
    <n v="10.130000000000001"/>
    <d v="1899-12-30T00:55:00"/>
    <n v="0.91666666666666674"/>
    <n v="1"/>
    <x v="2"/>
    <s v="Brunswick/Bath/Freeport"/>
    <n v="2"/>
  </r>
  <r>
    <n v="1827"/>
    <s v="UE"/>
    <s v="Order"/>
    <n v="32"/>
    <x v="5"/>
    <x v="757"/>
    <n v="2"/>
    <n v="26.62"/>
    <d v="1899-12-30T02:07:00"/>
    <n v="2.1166666666666667"/>
    <n v="2"/>
    <x v="0"/>
    <s v="Lewiston"/>
    <n v="3"/>
  </r>
  <r>
    <n v="1828"/>
    <s v="DD"/>
    <s v="Order"/>
    <n v="32"/>
    <x v="5"/>
    <x v="757"/>
    <n v="3"/>
    <n v="29"/>
    <d v="1899-12-30T02:21:00"/>
    <n v="2.35"/>
    <n v="2.25"/>
    <x v="0"/>
    <s v="Lewiston"/>
    <n v="3"/>
  </r>
  <r>
    <n v="1829"/>
    <s v="DD"/>
    <s v="Order"/>
    <n v="32"/>
    <x v="5"/>
    <x v="757"/>
    <n v="1"/>
    <n v="15.5"/>
    <d v="1899-12-30T01:03:00"/>
    <n v="1.0499999999999998"/>
    <n v="1"/>
    <x v="2"/>
    <s v="Lewiston"/>
    <n v="3"/>
  </r>
  <r>
    <n v="1830"/>
    <s v="UE"/>
    <s v="Order"/>
    <n v="32"/>
    <x v="0"/>
    <x v="758"/>
    <n v="1"/>
    <n v="4"/>
    <d v="1899-12-30T00:58:00"/>
    <n v="0.96666666666666679"/>
    <n v="1"/>
    <x v="0"/>
    <s v="Brunswick/Bath/Freeport"/>
    <n v="2"/>
  </r>
  <r>
    <n v="1831"/>
    <s v="DD"/>
    <s v="Order"/>
    <n v="32"/>
    <x v="0"/>
    <x v="758"/>
    <n v="5"/>
    <n v="48.25"/>
    <d v="1899-12-30T02:47:00"/>
    <n v="2.7833333333333332"/>
    <n v="2.75"/>
    <x v="0"/>
    <s v="Brunswick/Bath/Freeport"/>
    <n v="2"/>
  </r>
  <r>
    <n v="1832"/>
    <s v="UE"/>
    <s v="Order"/>
    <n v="32"/>
    <x v="1"/>
    <x v="759"/>
    <n v="3"/>
    <n v="35.840000000000003"/>
    <d v="1899-12-30T02:26:00"/>
    <n v="2.4333333333333336"/>
    <n v="2.5"/>
    <x v="0"/>
    <s v="Brunswick/Bath/Freeport"/>
    <n v="2"/>
  </r>
  <r>
    <n v="1833"/>
    <s v="DD"/>
    <s v="Order"/>
    <n v="32"/>
    <x v="1"/>
    <x v="759"/>
    <n v="3"/>
    <n v="30.05"/>
    <d v="1899-12-30T01:27:00"/>
    <n v="1.45"/>
    <n v="1.5"/>
    <x v="0"/>
    <s v="Brunswick/Bath/Freeport"/>
    <n v="2"/>
  </r>
  <r>
    <n v="1834"/>
    <s v="DD"/>
    <s v="Hourly"/>
    <n v="32"/>
    <x v="1"/>
    <x v="759"/>
    <n v="7"/>
    <n v="70.09"/>
    <d v="1899-12-30T03:38:00"/>
    <n v="3.6333333333333329"/>
    <n v="3.75"/>
    <x v="0"/>
    <s v="Brunswick/Bath/Freeport"/>
    <n v="2"/>
  </r>
  <r>
    <n v="1835"/>
    <s v="UE"/>
    <s v="Order"/>
    <n v="32"/>
    <x v="2"/>
    <x v="760"/>
    <n v="4"/>
    <n v="61.78"/>
    <d v="1899-12-30T03:18:00"/>
    <n v="3.3000000000000003"/>
    <n v="3.25"/>
    <x v="0"/>
    <s v="Lewiston"/>
    <n v="3"/>
  </r>
  <r>
    <n v="1836"/>
    <s v="DD"/>
    <s v="Hourly"/>
    <n v="32"/>
    <x v="2"/>
    <x v="760"/>
    <n v="2"/>
    <n v="23.59"/>
    <d v="1899-12-30T00:59:00"/>
    <n v="0.98333333333333339"/>
    <n v="1"/>
    <x v="0"/>
    <s v="Lewiston"/>
    <n v="3"/>
  </r>
  <r>
    <n v="1837"/>
    <s v="DD"/>
    <s v="Order"/>
    <n v="32"/>
    <x v="2"/>
    <x v="760"/>
    <n v="5"/>
    <n v="56.03"/>
    <d v="1899-12-30T02:40:00"/>
    <n v="2.6666666666666665"/>
    <n v="2.75"/>
    <x v="0"/>
    <s v="Lewiston"/>
    <n v="3"/>
  </r>
  <r>
    <n v="1838"/>
    <s v="UE"/>
    <s v="Order"/>
    <n v="33"/>
    <x v="3"/>
    <x v="761"/>
    <n v="5"/>
    <n v="40.61"/>
    <d v="1899-12-30T02:51:00"/>
    <n v="2.8499999999999996"/>
    <n v="2.75"/>
    <x v="0"/>
    <s v="Lewiston"/>
    <n v="3"/>
  </r>
  <r>
    <n v="1839"/>
    <s v="DD"/>
    <s v="Order"/>
    <n v="33"/>
    <x v="3"/>
    <x v="761"/>
    <n v="1"/>
    <n v="9"/>
    <d v="1899-12-30T01:21:00"/>
    <n v="1.35"/>
    <n v="1.25"/>
    <x v="0"/>
    <s v="Lewiston"/>
    <n v="3"/>
  </r>
  <r>
    <n v="1840"/>
    <s v="DD"/>
    <s v="Order"/>
    <n v="33"/>
    <x v="3"/>
    <x v="761"/>
    <n v="4"/>
    <n v="34.14"/>
    <d v="1899-12-30T03:47:00"/>
    <n v="3.7833333333333332"/>
    <n v="3.75"/>
    <x v="0"/>
    <s v="Lewiston"/>
    <n v="3"/>
  </r>
  <r>
    <n v="1841"/>
    <s v="UE"/>
    <s v="Order"/>
    <n v="33"/>
    <x v="4"/>
    <x v="762"/>
    <n v="7"/>
    <n v="79.510000000000005"/>
    <d v="1899-12-30T05:32:00"/>
    <n v="5.5333333333333332"/>
    <n v="5.5"/>
    <x v="0"/>
    <s v="Lewiston"/>
    <n v="3"/>
  </r>
  <r>
    <n v="1842"/>
    <s v="DD"/>
    <s v="Order"/>
    <n v="33"/>
    <x v="4"/>
    <x v="762"/>
    <n v="1"/>
    <n v="16.75"/>
    <d v="1899-12-30T02:14:00"/>
    <n v="2.2333333333333334"/>
    <n v="2.25"/>
    <x v="0"/>
    <s v="Lewiston"/>
    <n v="3"/>
  </r>
  <r>
    <n v="1843"/>
    <s v="UE"/>
    <s v="Order"/>
    <n v="33"/>
    <x v="5"/>
    <x v="763"/>
    <n v="1"/>
    <n v="5.42"/>
    <d v="1899-12-30T00:16:00"/>
    <n v="0.26666666666666666"/>
    <n v="0.25"/>
    <x v="0"/>
    <s v="Brunswick/Bath/Freeport"/>
    <n v="2"/>
  </r>
  <r>
    <n v="1844"/>
    <s v="DD"/>
    <s v="Order"/>
    <n v="33"/>
    <x v="5"/>
    <x v="763"/>
    <n v="5"/>
    <n v="60.57"/>
    <d v="1899-12-30T02:59:00"/>
    <n v="2.9833333333333334"/>
    <n v="3"/>
    <x v="0"/>
    <s v="Brunswick/Bath/Freeport"/>
    <n v="2"/>
  </r>
  <r>
    <n v="1845"/>
    <s v="UE"/>
    <s v="Order"/>
    <n v="33"/>
    <x v="6"/>
    <x v="764"/>
    <n v="5"/>
    <n v="40.22"/>
    <d v="1899-12-30T03:07:00"/>
    <n v="3.1166666666666671"/>
    <n v="3"/>
    <x v="0"/>
    <s v="Lewiston"/>
    <n v="3"/>
  </r>
  <r>
    <n v="1846"/>
    <s v="DD"/>
    <s v="Order"/>
    <n v="33"/>
    <x v="6"/>
    <x v="764"/>
    <n v="1"/>
    <n v="6.25"/>
    <d v="1899-12-30T00:50:00"/>
    <n v="0.83333333333333337"/>
    <n v="0.75"/>
    <x v="0"/>
    <s v="Lewiston"/>
    <n v="3"/>
  </r>
  <r>
    <n v="1847"/>
    <s v="DD"/>
    <s v="Order"/>
    <n v="33"/>
    <x v="6"/>
    <x v="764"/>
    <n v="1"/>
    <n v="4.5"/>
    <d v="1899-12-30T00:19:00"/>
    <n v="0.31666666666666665"/>
    <n v="0.25"/>
    <x v="2"/>
    <s v="Lewiston"/>
    <n v="3"/>
  </r>
  <r>
    <n v="1848"/>
    <s v="DD"/>
    <s v="Order"/>
    <n v="33"/>
    <x v="6"/>
    <x v="764"/>
    <n v="2"/>
    <n v="11"/>
    <d v="1899-12-30T01:15:00"/>
    <n v="1.25"/>
    <n v="1.25"/>
    <x v="2"/>
    <s v="Lewiston"/>
    <n v="3"/>
  </r>
  <r>
    <n v="1849"/>
    <s v="DD"/>
    <s v="Order"/>
    <n v="33"/>
    <x v="0"/>
    <x v="765"/>
    <n v="13"/>
    <n v="131.12"/>
    <d v="1899-12-30T06:46:00"/>
    <n v="6.7666666666666666"/>
    <n v="6.75"/>
    <x v="0"/>
    <s v="Brunswick/Bath/Freeport"/>
    <n v="2"/>
  </r>
  <r>
    <n v="1850"/>
    <s v="UE"/>
    <s v="Order"/>
    <n v="33"/>
    <x v="1"/>
    <x v="766"/>
    <n v="15"/>
    <n v="121.64"/>
    <d v="1899-12-30T07:27:00"/>
    <n v="7.45"/>
    <n v="7.5"/>
    <x v="1"/>
    <s v="Portland"/>
    <n v="4"/>
  </r>
  <r>
    <n v="1851"/>
    <s v="UE"/>
    <s v="Order"/>
    <n v="33"/>
    <x v="2"/>
    <x v="767"/>
    <n v="4"/>
    <n v="44.95"/>
    <d v="1899-12-30T02:16:00"/>
    <n v="2.2666666666666666"/>
    <n v="2.25"/>
    <x v="1"/>
    <s v="Portland"/>
    <n v="4"/>
  </r>
  <r>
    <n v="1852"/>
    <s v="DD"/>
    <s v="Hourly"/>
    <n v="33"/>
    <x v="2"/>
    <x v="767"/>
    <n v="1"/>
    <n v="10.07"/>
    <d v="1899-12-30T01:01:00"/>
    <n v="1.0166666666666666"/>
    <n v="1"/>
    <x v="1"/>
    <s v="Portland"/>
    <n v="4"/>
  </r>
  <r>
    <n v="1853"/>
    <s v="DD"/>
    <s v="Order"/>
    <n v="33"/>
    <x v="2"/>
    <x v="767"/>
    <n v="1"/>
    <n v="15.98"/>
    <d v="1899-12-30T00:30:00"/>
    <n v="0.5"/>
    <n v="0.5"/>
    <x v="1"/>
    <s v="Portland"/>
    <n v="4"/>
  </r>
  <r>
    <n v="1854"/>
    <s v="UE"/>
    <s v="Order"/>
    <n v="34"/>
    <x v="3"/>
    <x v="768"/>
    <n v="1"/>
    <n v="5.04"/>
    <d v="1899-12-30T01:17:00"/>
    <n v="1.2833333333333332"/>
    <n v="1.25"/>
    <x v="0"/>
    <s v="Portland"/>
    <n v="4"/>
  </r>
  <r>
    <n v="1855"/>
    <s v="DD"/>
    <s v="Hourly"/>
    <n v="34"/>
    <x v="3"/>
    <x v="768"/>
    <n v="5"/>
    <n v="62.57"/>
    <d v="1899-12-30T02:00:00"/>
    <n v="2"/>
    <n v="2"/>
    <x v="0"/>
    <s v="Portland"/>
    <n v="4"/>
  </r>
  <r>
    <n v="1856"/>
    <s v="DD"/>
    <s v="Hourly"/>
    <n v="34"/>
    <x v="3"/>
    <x v="768"/>
    <n v="4"/>
    <n v="65.86"/>
    <d v="1899-12-30T02:42:00"/>
    <n v="2.7"/>
    <n v="2.75"/>
    <x v="0"/>
    <s v="Portland"/>
    <n v="4"/>
  </r>
  <r>
    <n v="1857"/>
    <s v="UE"/>
    <s v="Order"/>
    <n v="34"/>
    <x v="5"/>
    <x v="769"/>
    <n v="14"/>
    <n v="116.37"/>
    <d v="1899-12-30T06:40:00"/>
    <n v="6.666666666666667"/>
    <n v="6.75"/>
    <x v="0"/>
    <s v="Portland"/>
    <n v="4"/>
  </r>
  <r>
    <n v="1858"/>
    <s v="DD"/>
    <s v="Hourly"/>
    <n v="34"/>
    <x v="5"/>
    <x v="769"/>
    <n v="1"/>
    <n v="6.61"/>
    <d v="1899-12-30T01:18:00"/>
    <n v="1.3"/>
    <n v="1.25"/>
    <x v="0"/>
    <s v="Portland"/>
    <n v="4"/>
  </r>
  <r>
    <n v="1859"/>
    <s v="UE"/>
    <s v="Order"/>
    <n v="34"/>
    <x v="6"/>
    <x v="770"/>
    <n v="9"/>
    <n v="96.59"/>
    <d v="1899-12-30T05:59:00"/>
    <n v="5.9833333333333334"/>
    <n v="6"/>
    <x v="0"/>
    <s v="Lewiston"/>
    <n v="3"/>
  </r>
  <r>
    <n v="1860"/>
    <s v="DD"/>
    <s v="Order"/>
    <n v="34"/>
    <x v="6"/>
    <x v="770"/>
    <n v="2"/>
    <n v="27.75"/>
    <d v="1899-12-30T03:21:00"/>
    <n v="3.35"/>
    <n v="3.25"/>
    <x v="2"/>
    <s v="Lewiston"/>
    <n v="3"/>
  </r>
  <r>
    <n v="1861"/>
    <s v="UE"/>
    <s v="Order"/>
    <n v="34"/>
    <x v="0"/>
    <x v="771"/>
    <n v="4"/>
    <n v="99.23"/>
    <d v="1899-12-30T03:09:00"/>
    <n v="3.1500000000000004"/>
    <n v="3.25"/>
    <x v="0"/>
    <s v="Brunswick/Bath/Freeport"/>
    <n v="2"/>
  </r>
  <r>
    <n v="1862"/>
    <s v="DD"/>
    <s v="Order"/>
    <n v="34"/>
    <x v="0"/>
    <x v="771"/>
    <n v="2"/>
    <n v="16.2"/>
    <d v="1899-12-30T01:52:00"/>
    <n v="1.8666666666666667"/>
    <n v="1.75"/>
    <x v="0"/>
    <s v="Brunswick/Bath/Freeport"/>
    <n v="2"/>
  </r>
  <r>
    <n v="1863"/>
    <s v="DD"/>
    <s v="Order"/>
    <n v="34"/>
    <x v="0"/>
    <x v="771"/>
    <n v="7"/>
    <n v="62.25"/>
    <d v="1899-12-30T03:16:00"/>
    <n v="3.2666666666666666"/>
    <n v="3.25"/>
    <x v="2"/>
    <s v="Brunswick/Bath/Freeport"/>
    <n v="2"/>
  </r>
  <r>
    <n v="1864"/>
    <s v="UE"/>
    <s v="Order"/>
    <n v="35"/>
    <x v="3"/>
    <x v="772"/>
    <n v="8"/>
    <n v="81.08"/>
    <d v="1899-12-30T04:14:00"/>
    <n v="4.2333333333333334"/>
    <n v="4.25"/>
    <x v="0"/>
    <s v="Portland"/>
    <n v="4"/>
  </r>
  <r>
    <n v="1865"/>
    <s v="DD"/>
    <s v="Hourly"/>
    <n v="35"/>
    <x v="3"/>
    <x v="772"/>
    <n v="2"/>
    <n v="24.4"/>
    <d v="1899-12-30T01:33:00"/>
    <n v="1.5500000000000003"/>
    <n v="1.5"/>
    <x v="0"/>
    <s v="Portland"/>
    <n v="4"/>
  </r>
  <r>
    <n v="1866"/>
    <s v="DD"/>
    <s v="Hourly"/>
    <n v="35"/>
    <x v="3"/>
    <x v="772"/>
    <n v="4"/>
    <n v="36.130000000000003"/>
    <d v="1899-12-30T02:32:00"/>
    <n v="2.5333333333333332"/>
    <n v="2.5"/>
    <x v="2"/>
    <s v="Portland"/>
    <n v="4"/>
  </r>
  <r>
    <n v="1867"/>
    <s v="UE"/>
    <s v="Order"/>
    <n v="35"/>
    <x v="5"/>
    <x v="773"/>
    <n v="3"/>
    <n v="80.67"/>
    <d v="1899-12-30T02:24:00"/>
    <n v="2.4000000000000004"/>
    <n v="2.5"/>
    <x v="0"/>
    <s v="Brunswick/Bath/Freeport"/>
    <n v="2"/>
  </r>
  <r>
    <n v="1868"/>
    <s v="DD"/>
    <s v="Order"/>
    <n v="35"/>
    <x v="5"/>
    <x v="773"/>
    <n v="11"/>
    <n v="120.66"/>
    <d v="1899-12-30T06:01:00"/>
    <n v="6.0166666666666666"/>
    <n v="6"/>
    <x v="0"/>
    <s v="Brunswick/Bath/Freeport"/>
    <n v="2"/>
  </r>
  <r>
    <n v="1869"/>
    <s v="UE"/>
    <s v="Order"/>
    <n v="35"/>
    <x v="6"/>
    <x v="774"/>
    <n v="4"/>
    <n v="50.21"/>
    <d v="1899-12-30T02:39:00"/>
    <n v="2.65"/>
    <n v="2.75"/>
    <x v="0"/>
    <s v="Brunswick/Bath/Freeport"/>
    <n v="2"/>
  </r>
  <r>
    <n v="1870"/>
    <s v="DD"/>
    <s v="Order"/>
    <n v="35"/>
    <x v="6"/>
    <x v="774"/>
    <n v="8"/>
    <n v="74"/>
    <d v="1899-12-30T04:11:00"/>
    <n v="4.1833333333333336"/>
    <n v="4.25"/>
    <x v="0"/>
    <s v="Brunswick/Bath/Freeport"/>
    <n v="2"/>
  </r>
  <r>
    <n v="1871"/>
    <s v="UE"/>
    <s v="Order"/>
    <n v="35"/>
    <x v="0"/>
    <x v="775"/>
    <n v="4"/>
    <n v="52.69"/>
    <d v="1899-12-30T03:23:00"/>
    <n v="3.3833333333333333"/>
    <n v="3.5"/>
    <x v="0"/>
    <s v="Brunswick/Bath/Freeport"/>
    <n v="2"/>
  </r>
  <r>
    <n v="1872"/>
    <s v="DD"/>
    <s v="Order"/>
    <n v="35"/>
    <x v="0"/>
    <x v="775"/>
    <n v="8"/>
    <n v="98"/>
    <d v="1899-12-30T06:21:00"/>
    <n v="6.35"/>
    <n v="6.25"/>
    <x v="0"/>
    <s v="Brunswick/Bath/Freeport"/>
    <n v="2"/>
  </r>
  <r>
    <n v="1873"/>
    <s v="UE"/>
    <s v="Order"/>
    <n v="35"/>
    <x v="2"/>
    <x v="776"/>
    <n v="1"/>
    <n v="21.04"/>
    <d v="1899-12-30T00:58:00"/>
    <n v="0.96666666666666679"/>
    <n v="1"/>
    <x v="0"/>
    <s v="Brunswick/Bath/Freeport"/>
    <n v="2"/>
  </r>
  <r>
    <n v="1874"/>
    <s v="UE"/>
    <s v="Hourly"/>
    <n v="36"/>
    <x v="3"/>
    <x v="777"/>
    <n v="7"/>
    <n v="166.97"/>
    <d v="1899-12-30T05:26:00"/>
    <n v="5.4333333333333336"/>
    <n v="5.5"/>
    <x v="0"/>
    <s v="Brunswick/Bath/Freeport"/>
    <n v="2"/>
  </r>
  <r>
    <n v="1875"/>
    <s v="DD"/>
    <s v="Order"/>
    <n v="36"/>
    <x v="3"/>
    <x v="777"/>
    <n v="3"/>
    <n v="33.5"/>
    <d v="1899-12-30T02:06:00"/>
    <n v="2.0999999999999996"/>
    <n v="2"/>
    <x v="2"/>
    <s v="Brunswick/Bath/Freeport"/>
    <n v="2"/>
  </r>
  <r>
    <n v="1876"/>
    <s v="UE"/>
    <s v="Order"/>
    <n v="36"/>
    <x v="4"/>
    <x v="778"/>
    <n v="6"/>
    <n v="60.42"/>
    <d v="1899-12-30T03:04:00"/>
    <n v="3.0666666666666664"/>
    <n v="3"/>
    <x v="0"/>
    <s v="Portland"/>
    <n v="4"/>
  </r>
  <r>
    <n v="1877"/>
    <s v="DD"/>
    <s v="Order"/>
    <n v="36"/>
    <x v="4"/>
    <x v="778"/>
    <n v="3"/>
    <n v="44.97"/>
    <d v="1899-12-30T01:32:00"/>
    <n v="1.5333333333333332"/>
    <n v="1.5"/>
    <x v="0"/>
    <s v="Portland"/>
    <n v="4"/>
  </r>
  <r>
    <n v="1878"/>
    <s v="UE"/>
    <s v="Order"/>
    <n v="36"/>
    <x v="6"/>
    <x v="779"/>
    <n v="1"/>
    <n v="16.28"/>
    <d v="1899-12-30T01:02:00"/>
    <n v="1.0333333333333332"/>
    <n v="1"/>
    <x v="0"/>
    <s v="Lewiston"/>
    <n v="3"/>
  </r>
  <r>
    <n v="1879"/>
    <s v="DD"/>
    <s v="Order"/>
    <n v="36"/>
    <x v="6"/>
    <x v="779"/>
    <n v="1"/>
    <n v="9.5"/>
    <d v="1899-12-30T01:55:00"/>
    <n v="1.9166666666666665"/>
    <n v="2"/>
    <x v="0"/>
    <s v="Lewiston"/>
    <n v="3"/>
  </r>
  <r>
    <n v="1880"/>
    <s v="UE"/>
    <s v="Order"/>
    <n v="36"/>
    <x v="1"/>
    <x v="780"/>
    <n v="1"/>
    <n v="15.52"/>
    <d v="1899-12-30T01:51:00"/>
    <n v="1.85"/>
    <n v="1.75"/>
    <x v="0"/>
    <s v="Lewiston"/>
    <n v="3"/>
  </r>
  <r>
    <n v="1881"/>
    <s v="DD"/>
    <s v="Hourly"/>
    <n v="36"/>
    <x v="1"/>
    <x v="780"/>
    <n v="17"/>
    <n v="141.93"/>
    <d v="1899-12-30T07:08:00"/>
    <n v="7.1333333333333329"/>
    <n v="7.25"/>
    <x v="0"/>
    <s v="Lewiston"/>
    <n v="3"/>
  </r>
  <r>
    <n v="1882"/>
    <s v="DD"/>
    <s v="Order"/>
    <n v="36"/>
    <x v="2"/>
    <x v="781"/>
    <n v="7"/>
    <n v="48.61"/>
    <d v="1899-12-30T02:15:00"/>
    <n v="2.25"/>
    <n v="2.25"/>
    <x v="1"/>
    <s v="Brunswick/Bath/Freeport"/>
    <n v="2"/>
  </r>
  <r>
    <n v="1883"/>
    <s v="UE"/>
    <s v="Order"/>
    <n v="37"/>
    <x v="3"/>
    <x v="782"/>
    <n v="6"/>
    <n v="76.88"/>
    <d v="1899-12-30T03:58:00"/>
    <n v="3.9666666666666668"/>
    <n v="4"/>
    <x v="0"/>
    <s v="Portland"/>
    <n v="4"/>
  </r>
  <r>
    <n v="1884"/>
    <s v="DD"/>
    <s v="Hourly"/>
    <n v="37"/>
    <x v="3"/>
    <x v="782"/>
    <n v="1"/>
    <n v="13.35"/>
    <d v="1899-12-30T02:14:00"/>
    <n v="2.2333333333333334"/>
    <n v="2.25"/>
    <x v="0"/>
    <s v="Portland"/>
    <n v="4"/>
  </r>
  <r>
    <n v="1885"/>
    <s v="DD"/>
    <s v="Order"/>
    <n v="37"/>
    <x v="3"/>
    <x v="782"/>
    <n v="2"/>
    <n v="19"/>
    <d v="1899-12-30T01:23:00"/>
    <n v="1.3833333333333333"/>
    <n v="1.5"/>
    <x v="2"/>
    <s v="Portland"/>
    <n v="4"/>
  </r>
  <r>
    <n v="1886"/>
    <s v="DD"/>
    <s v="Order"/>
    <n v="37"/>
    <x v="3"/>
    <x v="782"/>
    <n v="1"/>
    <n v="6.5"/>
    <d v="1899-12-30T00:29:00"/>
    <n v="0.48333333333333339"/>
    <n v="0.5"/>
    <x v="2"/>
    <s v="Portland"/>
    <n v="4"/>
  </r>
  <r>
    <n v="1887"/>
    <s v="DD"/>
    <s v="Order"/>
    <n v="37"/>
    <x v="4"/>
    <x v="783"/>
    <n v="7"/>
    <n v="97.44"/>
    <d v="1899-12-30T05:13:00"/>
    <n v="5.2166666666666668"/>
    <n v="5.25"/>
    <x v="0"/>
    <s v="Brunswick/Bath/Freeport"/>
    <n v="2"/>
  </r>
  <r>
    <n v="1888"/>
    <s v="UE"/>
    <s v="Order"/>
    <n v="37"/>
    <x v="6"/>
    <x v="784"/>
    <n v="5"/>
    <n v="98.64"/>
    <d v="1899-12-30T03:34:00"/>
    <n v="3.5666666666666664"/>
    <n v="3.5"/>
    <x v="0"/>
    <s v="Portland"/>
    <n v="4"/>
  </r>
  <r>
    <n v="1889"/>
    <s v="DD"/>
    <s v="Hourly"/>
    <n v="37"/>
    <x v="6"/>
    <x v="784"/>
    <n v="4"/>
    <n v="34.03"/>
    <d v="1899-12-30T02:39:00"/>
    <n v="2.65"/>
    <n v="2.75"/>
    <x v="0"/>
    <s v="Portland"/>
    <n v="4"/>
  </r>
  <r>
    <n v="1890"/>
    <s v="DD"/>
    <s v="Hourly"/>
    <n v="37"/>
    <x v="6"/>
    <x v="784"/>
    <n v="2"/>
    <n v="20.69"/>
    <d v="1899-12-30T01:01:00"/>
    <n v="1.0166666666666666"/>
    <n v="1"/>
    <x v="2"/>
    <s v="Portland"/>
    <n v="4"/>
  </r>
  <r>
    <n v="1891"/>
    <s v="UE"/>
    <s v="Order"/>
    <n v="37"/>
    <x v="0"/>
    <x v="785"/>
    <n v="3"/>
    <n v="72.66"/>
    <d v="1899-12-30T03:44:00"/>
    <n v="3.7333333333333334"/>
    <n v="3.75"/>
    <x v="0"/>
    <s v="Lewiston"/>
    <n v="3"/>
  </r>
  <r>
    <n v="1892"/>
    <s v="DD"/>
    <s v="Order"/>
    <n v="37"/>
    <x v="0"/>
    <x v="785"/>
    <n v="5"/>
    <n v="52.8"/>
    <d v="1899-12-30T03:02:00"/>
    <n v="3.0333333333333332"/>
    <n v="3"/>
    <x v="0"/>
    <s v="Lewiston"/>
    <n v="3"/>
  </r>
  <r>
    <n v="1893"/>
    <s v="DD"/>
    <s v="Hourly"/>
    <n v="37"/>
    <x v="0"/>
    <x v="785"/>
    <n v="8"/>
    <n v="58.97"/>
    <d v="1899-12-30T04:57:00"/>
    <n v="4.9499999999999993"/>
    <n v="5"/>
    <x v="2"/>
    <s v="Lewiston"/>
    <n v="3"/>
  </r>
  <r>
    <n v="1894"/>
    <s v="UE"/>
    <s v="Order"/>
    <n v="37"/>
    <x v="2"/>
    <x v="786"/>
    <n v="3"/>
    <n v="61.13"/>
    <d v="1899-12-30T03:18:00"/>
    <n v="3.3000000000000003"/>
    <n v="3.25"/>
    <x v="0"/>
    <s v="Portland"/>
    <n v="4"/>
  </r>
  <r>
    <n v="1895"/>
    <s v="DD"/>
    <s v="Order"/>
    <n v="37"/>
    <x v="2"/>
    <x v="786"/>
    <n v="1"/>
    <n v="23.5"/>
    <d v="1899-12-30T01:56:00"/>
    <n v="1.9333333333333336"/>
    <n v="2"/>
    <x v="0"/>
    <s v="Portland"/>
    <n v="4"/>
  </r>
  <r>
    <n v="1896"/>
    <s v="DD"/>
    <s v="Hourly"/>
    <n v="37"/>
    <x v="2"/>
    <x v="786"/>
    <n v="2"/>
    <n v="10.85"/>
    <d v="1899-12-30T00:44:00"/>
    <n v="0.73333333333333328"/>
    <n v="0.75"/>
    <x v="2"/>
    <s v="Portland"/>
    <n v="4"/>
  </r>
  <r>
    <n v="1897"/>
    <s v="UE"/>
    <s v="Order"/>
    <n v="38"/>
    <x v="3"/>
    <x v="787"/>
    <n v="2"/>
    <n v="20.09"/>
    <d v="1899-12-30T01:33:00"/>
    <n v="1.5500000000000003"/>
    <n v="1.5"/>
    <x v="0"/>
    <s v="Portland"/>
    <n v="4"/>
  </r>
  <r>
    <n v="1898"/>
    <s v="DD"/>
    <s v="Hourly"/>
    <n v="38"/>
    <x v="3"/>
    <x v="787"/>
    <n v="5"/>
    <n v="60.12"/>
    <d v="1899-12-30T02:44:00"/>
    <n v="2.7333333333333334"/>
    <n v="2.75"/>
    <x v="0"/>
    <s v="Portland"/>
    <n v="4"/>
  </r>
  <r>
    <n v="1899"/>
    <s v="DD"/>
    <s v="Hourly"/>
    <n v="38"/>
    <x v="3"/>
    <x v="787"/>
    <n v="7"/>
    <n v="63.86"/>
    <d v="1899-12-30T02:20:00"/>
    <n v="2.3333333333333335"/>
    <n v="2.25"/>
    <x v="2"/>
    <s v="Portland"/>
    <n v="4"/>
  </r>
  <r>
    <n v="1900"/>
    <s v="UE"/>
    <s v="Order"/>
    <n v="38"/>
    <x v="5"/>
    <x v="788"/>
    <n v="9"/>
    <n v="111.57"/>
    <d v="1899-12-30T05:11:00"/>
    <n v="5.1833333333333336"/>
    <n v="5.25"/>
    <x v="0"/>
    <s v="Lewiston"/>
    <n v="3"/>
  </r>
  <r>
    <n v="1901"/>
    <s v="DD"/>
    <s v="Hourly"/>
    <n v="38"/>
    <x v="5"/>
    <x v="788"/>
    <n v="5"/>
    <n v="46.77"/>
    <d v="1899-12-30T05:56:00"/>
    <n v="5.9333333333333336"/>
    <n v="6"/>
    <x v="0"/>
    <s v="Lewiston"/>
    <n v="3"/>
  </r>
  <r>
    <n v="1902"/>
    <s v="UE"/>
    <s v="Order"/>
    <n v="38"/>
    <x v="6"/>
    <x v="789"/>
    <n v="6"/>
    <n v="73.97"/>
    <d v="1899-12-30T03:42:00"/>
    <n v="3.7"/>
    <n v="3.75"/>
    <x v="0"/>
    <s v="Portland"/>
    <n v="4"/>
  </r>
  <r>
    <n v="1903"/>
    <s v="DD"/>
    <s v="Hourly"/>
    <n v="38"/>
    <x v="6"/>
    <x v="789"/>
    <n v="3"/>
    <n v="32.380000000000003"/>
    <d v="1899-12-30T03:15:00"/>
    <n v="3.25"/>
    <n v="3.25"/>
    <x v="0"/>
    <s v="Portland"/>
    <n v="4"/>
  </r>
  <r>
    <n v="1904"/>
    <s v="DD"/>
    <s v="Hourly"/>
    <n v="38"/>
    <x v="6"/>
    <x v="789"/>
    <n v="3"/>
    <n v="20.94"/>
    <d v="1899-12-30T01:48:00"/>
    <n v="1.7999999999999998"/>
    <n v="1.75"/>
    <x v="2"/>
    <s v="Portland"/>
    <n v="4"/>
  </r>
  <r>
    <n v="1905"/>
    <s v="UE"/>
    <s v="Order"/>
    <n v="38"/>
    <x v="0"/>
    <x v="790"/>
    <n v="9"/>
    <n v="99.94"/>
    <d v="1899-12-30T05:09:00"/>
    <n v="5.1499999999999995"/>
    <n v="5.25"/>
    <x v="0"/>
    <s v="Portland"/>
    <n v="4"/>
  </r>
  <r>
    <n v="1906"/>
    <s v="UE"/>
    <s v="Order"/>
    <n v="38"/>
    <x v="2"/>
    <x v="791"/>
    <n v="2"/>
    <n v="31.85"/>
    <d v="1899-12-30T02:10:00"/>
    <n v="2.1666666666666665"/>
    <n v="2.25"/>
    <x v="0"/>
    <s v="Brunswick/Bath/Freeport"/>
    <n v="2"/>
  </r>
  <r>
    <n v="1907"/>
    <s v="DD"/>
    <s v="Order"/>
    <n v="38"/>
    <x v="2"/>
    <x v="791"/>
    <n v="5"/>
    <n v="51.25"/>
    <d v="1899-12-30T03:17:00"/>
    <n v="3.2833333333333337"/>
    <n v="3.25"/>
    <x v="0"/>
    <s v="Brunswick/Bath/Freeport"/>
    <n v="2"/>
  </r>
  <r>
    <n v="1908"/>
    <s v="UE"/>
    <s v="Hourly"/>
    <n v="39"/>
    <x v="3"/>
    <x v="792"/>
    <n v="4"/>
    <n v="83.47"/>
    <d v="1899-12-30T04:18:00"/>
    <n v="4.3"/>
    <n v="4.25"/>
    <x v="0"/>
    <s v="Portland"/>
    <n v="4"/>
  </r>
  <r>
    <n v="1909"/>
    <s v="DD"/>
    <s v="Hourly"/>
    <n v="39"/>
    <x v="3"/>
    <x v="792"/>
    <n v="2"/>
    <n v="41.43"/>
    <d v="1899-12-30T02:03:00"/>
    <n v="2.0499999999999998"/>
    <n v="2"/>
    <x v="0"/>
    <s v="Portland"/>
    <n v="4"/>
  </r>
  <r>
    <n v="1910"/>
    <s v="DD"/>
    <s v="Hourly"/>
    <n v="39"/>
    <x v="3"/>
    <x v="792"/>
    <n v="3"/>
    <n v="36.29"/>
    <d v="1899-12-30T01:55:00"/>
    <n v="1.9166666666666665"/>
    <n v="2"/>
    <x v="0"/>
    <s v="Portland"/>
    <n v="4"/>
  </r>
  <r>
    <n v="1911"/>
    <s v="DD"/>
    <s v="Hourly"/>
    <n v="39"/>
    <x v="4"/>
    <x v="793"/>
    <n v="2"/>
    <n v="29.61"/>
    <d v="1899-12-30T01:02:00"/>
    <n v="1.0333333333333332"/>
    <n v="1"/>
    <x v="0"/>
    <s v="Lewiston"/>
    <n v="3"/>
  </r>
  <r>
    <n v="1912"/>
    <s v="UE"/>
    <s v="Order"/>
    <n v="39"/>
    <x v="5"/>
    <x v="794"/>
    <n v="7"/>
    <n v="100.72"/>
    <d v="1899-12-30T04:00:00"/>
    <n v="4"/>
    <n v="4"/>
    <x v="0"/>
    <s v="Brunswick/Bath/Freeport"/>
    <n v="2"/>
  </r>
  <r>
    <n v="1913"/>
    <s v="DD"/>
    <s v="Order"/>
    <n v="39"/>
    <x v="5"/>
    <x v="794"/>
    <n v="2"/>
    <n v="18.5"/>
    <d v="1899-12-30T02:49:00"/>
    <n v="2.8166666666666664"/>
    <n v="2.75"/>
    <x v="0"/>
    <s v="Brunswick/Bath/Freeport"/>
    <n v="2"/>
  </r>
  <r>
    <n v="1914"/>
    <s v="DD"/>
    <s v="Hourly"/>
    <n v="39"/>
    <x v="5"/>
    <x v="794"/>
    <n v="3"/>
    <n v="38.229999999999997"/>
    <d v="1899-12-30T01:29:00"/>
    <n v="1.4833333333333334"/>
    <n v="1.5"/>
    <x v="2"/>
    <s v="Brunswick/Bath/Freeport"/>
    <n v="2"/>
  </r>
  <r>
    <n v="1915"/>
    <s v="UE"/>
    <s v="Order"/>
    <n v="39"/>
    <x v="0"/>
    <x v="795"/>
    <n v="1"/>
    <n v="10.52"/>
    <d v="1899-12-30T02:13:00"/>
    <n v="2.2166666666666668"/>
    <n v="2.25"/>
    <x v="0"/>
    <s v="Brunswick/Bath/Freeport"/>
    <n v="2"/>
  </r>
  <r>
    <n v="1916"/>
    <s v="DD"/>
    <s v="Order"/>
    <n v="39"/>
    <x v="0"/>
    <x v="795"/>
    <n v="8"/>
    <n v="110.75"/>
    <d v="1899-12-30T05:22:00"/>
    <n v="5.3666666666666671"/>
    <n v="5.25"/>
    <x v="0"/>
    <s v="Brunswick/Bath/Freeport"/>
    <n v="2"/>
  </r>
  <r>
    <n v="1917"/>
    <s v="UE"/>
    <s v="Hourly"/>
    <n v="39"/>
    <x v="1"/>
    <x v="796"/>
    <n v="3"/>
    <n v="77.460000000000008"/>
    <d v="1899-12-30T01:15:00"/>
    <n v="1.25"/>
    <n v="1.25"/>
    <x v="0"/>
    <s v="Brunswick/Bath/Freeport"/>
    <n v="2"/>
  </r>
  <r>
    <n v="1918"/>
    <s v="UE"/>
    <s v="Order"/>
    <n v="39"/>
    <x v="1"/>
    <x v="796"/>
    <n v="3"/>
    <n v="41.46"/>
    <d v="1899-12-30T02:54:00"/>
    <n v="2.8999999999999995"/>
    <n v="3"/>
    <x v="0"/>
    <s v="Brunswick/Bath/Freeport"/>
    <n v="2"/>
  </r>
  <r>
    <n v="1919"/>
    <s v="DD"/>
    <s v="Hourly"/>
    <n v="39"/>
    <x v="1"/>
    <x v="796"/>
    <n v="10"/>
    <n v="115.54"/>
    <d v="1899-12-30T07:58:00"/>
    <n v="7.9666666666666668"/>
    <n v="8"/>
    <x v="0"/>
    <s v="Brunswick/Bath/Freeport"/>
    <n v="2"/>
  </r>
  <r>
    <n v="1920"/>
    <s v="UE"/>
    <s v="Order"/>
    <n v="40"/>
    <x v="3"/>
    <x v="797"/>
    <n v="5"/>
    <n v="78.33"/>
    <d v="1899-12-30T03:07:00"/>
    <n v="3.1166666666666671"/>
    <n v="3"/>
    <x v="0"/>
    <s v="Brunswick/Bath/Freeport"/>
    <n v="2"/>
  </r>
  <r>
    <n v="1921"/>
    <s v="DD"/>
    <s v="Order"/>
    <n v="40"/>
    <x v="3"/>
    <x v="797"/>
    <n v="3"/>
    <n v="24.75"/>
    <d v="1899-12-30T01:40:00"/>
    <n v="1.6666666666666667"/>
    <n v="1.75"/>
    <x v="0"/>
    <s v="Brunswick/Bath/Freeport"/>
    <n v="2"/>
  </r>
  <r>
    <n v="1922"/>
    <s v="DD"/>
    <s v="Hourly"/>
    <n v="40"/>
    <x v="3"/>
    <x v="797"/>
    <n v="1"/>
    <n v="10.91"/>
    <d v="1899-12-30T01:04:00"/>
    <n v="1.0666666666666667"/>
    <n v="1"/>
    <x v="0"/>
    <s v="Brunswick/Bath/Freeport"/>
    <n v="2"/>
  </r>
  <r>
    <n v="1923"/>
    <s v="UE"/>
    <s v="Order"/>
    <n v="40"/>
    <x v="4"/>
    <x v="798"/>
    <n v="1"/>
    <n v="37"/>
    <d v="1899-12-30T00:59:00"/>
    <n v="0.98333333333333339"/>
    <n v="1"/>
    <x v="0"/>
    <s v="Brunswick/Bath/Freeport"/>
    <n v="2"/>
  </r>
  <r>
    <n v="1924"/>
    <s v="UE"/>
    <s v="Order"/>
    <n v="40"/>
    <x v="5"/>
    <x v="799"/>
    <n v="3"/>
    <n v="70.930000000000007"/>
    <d v="1899-12-30T02:05:00"/>
    <n v="2.083333333333333"/>
    <n v="2"/>
    <x v="0"/>
    <s v="Brunswick/Bath/Freeport"/>
    <n v="2"/>
  </r>
  <r>
    <n v="1925"/>
    <s v="UE"/>
    <s v="Hourly"/>
    <n v="40"/>
    <x v="5"/>
    <x v="799"/>
    <n v="3"/>
    <n v="87.32"/>
    <d v="1899-12-30T02:00:32"/>
    <n v="2.0088888888888885"/>
    <n v="2"/>
    <x v="0"/>
    <s v="Brunswick/Bath/Freeport"/>
    <n v="2"/>
  </r>
  <r>
    <n v="1926"/>
    <s v="DD"/>
    <s v="Order"/>
    <n v="40"/>
    <x v="5"/>
    <x v="799"/>
    <n v="1"/>
    <n v="7"/>
    <d v="1899-12-30T01:22:00"/>
    <n v="1.3666666666666667"/>
    <n v="1.25"/>
    <x v="2"/>
    <s v="Brunswick/Bath/Freeport"/>
    <n v="2"/>
  </r>
  <r>
    <n v="1927"/>
    <s v="UE"/>
    <s v="Order"/>
    <n v="40"/>
    <x v="6"/>
    <x v="800"/>
    <n v="1"/>
    <n v="21.69"/>
    <d v="1899-12-30T02:14:00"/>
    <n v="2.2333333333333334"/>
    <n v="2.25"/>
    <x v="0"/>
    <s v="Augusta"/>
    <n v="1"/>
  </r>
  <r>
    <n v="1928"/>
    <s v="DD"/>
    <s v="Order"/>
    <n v="40"/>
    <x v="6"/>
    <x v="800"/>
    <n v="1"/>
    <n v="9.75"/>
    <d v="1899-12-30T01:09:00"/>
    <n v="1.1500000000000001"/>
    <n v="1.25"/>
    <x v="0"/>
    <s v="Augusta"/>
    <n v="1"/>
  </r>
  <r>
    <n v="1929"/>
    <s v="UE"/>
    <s v="Order"/>
    <n v="40"/>
    <x v="0"/>
    <x v="801"/>
    <n v="5"/>
    <n v="121.79999999999998"/>
    <d v="1899-12-30T04:25:00"/>
    <n v="4.416666666666667"/>
    <n v="4.5"/>
    <x v="0"/>
    <s v="Brunswick/Bath/Freeport"/>
    <n v="2"/>
  </r>
  <r>
    <n v="1930"/>
    <s v="UE"/>
    <s v="Hourly"/>
    <n v="40"/>
    <x v="0"/>
    <x v="801"/>
    <n v="3"/>
    <n v="100.08999999999999"/>
    <d v="1899-12-30T01:48:35"/>
    <n v="1.8097222222222222"/>
    <n v="1.75"/>
    <x v="0"/>
    <s v="Brunswick/Bath/Freeport"/>
    <n v="2"/>
  </r>
  <r>
    <n v="1931"/>
    <s v="DD"/>
    <s v="Order"/>
    <n v="40"/>
    <x v="0"/>
    <x v="801"/>
    <n v="3"/>
    <n v="22.75"/>
    <d v="1899-12-30T02:58:00"/>
    <n v="2.9666666666666668"/>
    <n v="3"/>
    <x v="2"/>
    <s v="Brunswick/Bath/Freeport"/>
    <n v="2"/>
  </r>
  <r>
    <n v="1932"/>
    <s v="UE"/>
    <s v="Order"/>
    <n v="40"/>
    <x v="2"/>
    <x v="802"/>
    <n v="9"/>
    <n v="142.41"/>
    <d v="1899-12-30T06:08:00"/>
    <n v="6.1333333333333329"/>
    <n v="6.25"/>
    <x v="0"/>
    <s v="Portland"/>
    <n v="4"/>
  </r>
  <r>
    <n v="1933"/>
    <s v="DD"/>
    <s v="Order"/>
    <n v="40"/>
    <x v="2"/>
    <x v="802"/>
    <n v="1"/>
    <n v="11.03"/>
    <d v="1899-12-30T00:44:00"/>
    <n v="0.73333333333333328"/>
    <n v="0.75"/>
    <x v="0"/>
    <s v="Portland"/>
    <n v="4"/>
  </r>
  <r>
    <n v="1934"/>
    <s v="UE"/>
    <s v="Order"/>
    <n v="41"/>
    <x v="4"/>
    <x v="803"/>
    <n v="3"/>
    <n v="52.52"/>
    <d v="1899-12-30T02:50:00"/>
    <n v="2.833333333333333"/>
    <n v="2.75"/>
    <x v="0"/>
    <s v="Brunswick/Bath/Freeport"/>
    <n v="2"/>
  </r>
  <r>
    <n v="1935"/>
    <s v="DD"/>
    <s v="Order"/>
    <n v="41"/>
    <x v="4"/>
    <x v="803"/>
    <n v="6"/>
    <n v="47.25"/>
    <d v="1899-12-30T02:56:00"/>
    <n v="2.9333333333333331"/>
    <n v="3"/>
    <x v="0"/>
    <s v="Brunswick/Bath/Freeport"/>
    <n v="2"/>
  </r>
  <r>
    <n v="1936"/>
    <s v="DD"/>
    <s v="Order"/>
    <n v="41"/>
    <x v="4"/>
    <x v="803"/>
    <n v="6"/>
    <n v="37"/>
    <d v="1899-12-30T02:27:00"/>
    <n v="2.4500000000000002"/>
    <n v="2.5"/>
    <x v="2"/>
    <s v="Brunswick/Bath/Freeport"/>
    <n v="2"/>
  </r>
  <r>
    <n v="1937"/>
    <s v="UE"/>
    <s v="Order"/>
    <n v="41"/>
    <x v="0"/>
    <x v="804"/>
    <n v="7"/>
    <n v="132.74"/>
    <d v="1899-12-30T03:57:00"/>
    <n v="3.95"/>
    <n v="4"/>
    <x v="0"/>
    <s v="Brunswick/Bath/Freeport"/>
    <n v="2"/>
  </r>
  <r>
    <n v="1938"/>
    <s v="DD"/>
    <s v="Hourly"/>
    <n v="41"/>
    <x v="0"/>
    <x v="804"/>
    <n v="2"/>
    <n v="15.23"/>
    <d v="1899-12-30T01:23:00"/>
    <n v="1.3833333333333333"/>
    <n v="1.5"/>
    <x v="0"/>
    <s v="Brunswick/Bath/Freeport"/>
    <n v="2"/>
  </r>
  <r>
    <n v="1939"/>
    <s v="DD"/>
    <s v="Order"/>
    <n v="41"/>
    <x v="0"/>
    <x v="804"/>
    <n v="2"/>
    <n v="14.75"/>
    <d v="1899-12-30T01:03:00"/>
    <n v="1.0499999999999998"/>
    <n v="1"/>
    <x v="2"/>
    <s v="Brunswick/Bath/Freeport"/>
    <n v="2"/>
  </r>
  <r>
    <n v="1940"/>
    <s v="DD"/>
    <s v="Hourly"/>
    <n v="42"/>
    <x v="3"/>
    <x v="805"/>
    <n v="9"/>
    <n v="71.75"/>
    <d v="1899-12-30T03:43:00"/>
    <n v="3.7166666666666668"/>
    <n v="3.75"/>
    <x v="0"/>
    <s v="Brunswick/Bath/Freeport"/>
    <n v="2"/>
  </r>
  <r>
    <n v="1941"/>
    <s v="DD"/>
    <s v="Order"/>
    <n v="42"/>
    <x v="4"/>
    <x v="806"/>
    <n v="18"/>
    <n v="134.25"/>
    <d v="1899-12-30T06:01:00"/>
    <n v="6.0166666666666666"/>
    <n v="6"/>
    <x v="0"/>
    <s v="Brunswick/Bath/Freeport"/>
    <n v="2"/>
  </r>
  <r>
    <n v="1942"/>
    <s v="UE"/>
    <s v="Order"/>
    <n v="42"/>
    <x v="0"/>
    <x v="807"/>
    <n v="1"/>
    <n v="15.05"/>
    <d v="1899-12-30T01:20:00"/>
    <n v="1.3333333333333333"/>
    <n v="1.25"/>
    <x v="0"/>
    <s v="Brunswick/Bath/Freeport"/>
    <n v="2"/>
  </r>
  <r>
    <n v="1943"/>
    <s v="DD"/>
    <s v="Order"/>
    <n v="42"/>
    <x v="0"/>
    <x v="807"/>
    <n v="10"/>
    <n v="134.75"/>
    <d v="1899-12-30T06:28:00"/>
    <n v="6.4666666666666668"/>
    <n v="6.5"/>
    <x v="0"/>
    <s v="Brunswick/Bath/Freeport"/>
    <n v="2"/>
  </r>
  <r>
    <n v="1944"/>
    <s v="UE"/>
    <s v="Order"/>
    <n v="43"/>
    <x v="3"/>
    <x v="808"/>
    <n v="2"/>
    <n v="23.65"/>
    <d v="1899-12-30T02:22:00"/>
    <n v="2.3666666666666667"/>
    <n v="2.25"/>
    <x v="0"/>
    <s v="Brunswick/Bath/Freeport"/>
    <n v="2"/>
  </r>
  <r>
    <n v="1945"/>
    <s v="DD"/>
    <s v="Order"/>
    <n v="43"/>
    <x v="3"/>
    <x v="808"/>
    <n v="10"/>
    <n v="100.95"/>
    <d v="1899-12-30T06:14:00"/>
    <n v="6.2333333333333343"/>
    <n v="6.25"/>
    <x v="0"/>
    <s v="Brunswick/Bath/Freeport"/>
    <n v="2"/>
  </r>
  <r>
    <n v="1946"/>
    <s v="UE"/>
    <s v="Order"/>
    <n v="43"/>
    <x v="4"/>
    <x v="809"/>
    <n v="3"/>
    <n v="52.66"/>
    <d v="1899-12-30T02:45:00"/>
    <n v="2.75"/>
    <n v="2.75"/>
    <x v="0"/>
    <s v="Brunswick/Bath/Freeport"/>
    <n v="2"/>
  </r>
  <r>
    <n v="1947"/>
    <s v="DD"/>
    <s v="Order"/>
    <n v="43"/>
    <x v="4"/>
    <x v="809"/>
    <n v="3"/>
    <n v="30.5"/>
    <d v="1899-12-30T02:01:00"/>
    <n v="2.0166666666666666"/>
    <n v="2"/>
    <x v="0"/>
    <s v="Brunswick/Bath/Freeport"/>
    <n v="2"/>
  </r>
  <r>
    <n v="1948"/>
    <s v="DD"/>
    <s v="Order"/>
    <n v="43"/>
    <x v="4"/>
    <x v="809"/>
    <n v="9"/>
    <n v="68.25"/>
    <d v="1899-12-30T04:49:00"/>
    <n v="4.8166666666666664"/>
    <n v="4.75"/>
    <x v="0"/>
    <s v="Brunswick/Bath/Freeport"/>
    <n v="2"/>
  </r>
  <r>
    <n v="1949"/>
    <s v="UE"/>
    <s v="Order"/>
    <n v="43"/>
    <x v="1"/>
    <x v="810"/>
    <n v="3"/>
    <n v="22.55"/>
    <d v="1899-12-30T01:05:00"/>
    <n v="1.0833333333333333"/>
    <n v="1"/>
    <x v="2"/>
    <s v="Lewiston"/>
    <n v="3"/>
  </r>
  <r>
    <n v="1950"/>
    <s v="DD"/>
    <s v="Order"/>
    <n v="43"/>
    <x v="1"/>
    <x v="810"/>
    <n v="3"/>
    <n v="12.37"/>
    <d v="1899-12-30T01:41:00"/>
    <n v="1.6833333333333333"/>
    <n v="1.75"/>
    <x v="2"/>
    <s v="Lewiston"/>
    <n v="3"/>
  </r>
  <r>
    <n v="1951"/>
    <s v="DD"/>
    <s v="Order"/>
    <n v="43"/>
    <x v="1"/>
    <x v="810"/>
    <n v="5"/>
    <n v="27.87"/>
    <d v="1899-12-30T02:11:00"/>
    <n v="2.1833333333333331"/>
    <n v="2.25"/>
    <x v="2"/>
    <s v="Lewiston"/>
    <n v="3"/>
  </r>
  <r>
    <n v="1952"/>
    <s v="DD"/>
    <s v="Order"/>
    <n v="44"/>
    <x v="3"/>
    <x v="811"/>
    <n v="14"/>
    <n v="138.85"/>
    <d v="1899-12-30T06:14:00"/>
    <n v="6.2333333333333343"/>
    <n v="6.25"/>
    <x v="0"/>
    <s v="Brunswick/Bath/Freeport"/>
    <n v="2"/>
  </r>
  <r>
    <n v="1953"/>
    <s v="UE"/>
    <s v="Order"/>
    <n v="44"/>
    <x v="4"/>
    <x v="812"/>
    <n v="1"/>
    <n v="21.08"/>
    <d v="1899-12-30T00:32:00"/>
    <n v="0.53333333333333333"/>
    <n v="0.5"/>
    <x v="0"/>
    <s v="Brunswick/Bath/Freeport"/>
    <n v="2"/>
  </r>
  <r>
    <n v="1954"/>
    <s v="UE"/>
    <s v="Hourly"/>
    <n v="44"/>
    <x v="4"/>
    <x v="812"/>
    <n v="2"/>
    <n v="38.799999999999997"/>
    <d v="1899-12-30T01:36:00"/>
    <n v="1.6"/>
    <n v="1.5"/>
    <x v="0"/>
    <s v="Brunswick/Bath/Freeport"/>
    <n v="2"/>
  </r>
  <r>
    <n v="1955"/>
    <s v="DD"/>
    <s v="Order"/>
    <n v="44"/>
    <x v="4"/>
    <x v="812"/>
    <n v="5"/>
    <n v="79.09"/>
    <d v="1899-12-30T02:37:00"/>
    <n v="2.6166666666666667"/>
    <n v="2.5"/>
    <x v="0"/>
    <s v="Brunswick/Bath/Freeport"/>
    <n v="2"/>
  </r>
  <r>
    <n v="1956"/>
    <s v="UE"/>
    <s v="Order"/>
    <n v="44"/>
    <x v="5"/>
    <x v="813"/>
    <n v="7"/>
    <n v="152.13999999999999"/>
    <d v="1899-12-30T03:49:00"/>
    <n v="3.8166666666666664"/>
    <n v="3.75"/>
    <x v="0"/>
    <s v="Brunswick/Bath/Freeport"/>
    <n v="2"/>
  </r>
  <r>
    <n v="1957"/>
    <s v="DD"/>
    <s v="Hourly"/>
    <n v="44"/>
    <x v="5"/>
    <x v="813"/>
    <n v="4"/>
    <n v="42.91"/>
    <d v="1899-12-30T02:42:00"/>
    <n v="2.7"/>
    <n v="2.75"/>
    <x v="0"/>
    <s v="Brunswick/Bath/Freeport"/>
    <n v="2"/>
  </r>
  <r>
    <n v="1958"/>
    <s v="DD"/>
    <s v="Order"/>
    <n v="44"/>
    <x v="5"/>
    <x v="813"/>
    <n v="2"/>
    <n v="15.75"/>
    <d v="1899-12-30T00:56:00"/>
    <n v="0.93333333333333335"/>
    <n v="1"/>
    <x v="2"/>
    <s v="Brunswick/Bath/Freeport"/>
    <n v="2"/>
  </r>
  <r>
    <n v="1959"/>
    <s v="UE"/>
    <s v="Hourly"/>
    <n v="44"/>
    <x v="1"/>
    <x v="814"/>
    <n v="7"/>
    <n v="104.64"/>
    <d v="1899-12-30T05:24:00"/>
    <n v="5.4"/>
    <n v="5.5"/>
    <x v="0"/>
    <s v="Portland"/>
    <n v="4"/>
  </r>
  <r>
    <n v="1960"/>
    <s v="DD"/>
    <s v="Hourly"/>
    <n v="44"/>
    <x v="1"/>
    <x v="814"/>
    <n v="2"/>
    <n v="17.75"/>
    <d v="1899-12-30T01:24:00"/>
    <n v="1.4"/>
    <n v="1.5"/>
    <x v="0"/>
    <s v="Portland"/>
    <n v="4"/>
  </r>
  <r>
    <n v="1961"/>
    <s v="DD"/>
    <s v="Order"/>
    <n v="44"/>
    <x v="2"/>
    <x v="815"/>
    <n v="3"/>
    <n v="18.75"/>
    <d v="1899-12-30T01:05:00"/>
    <n v="1.0833333333333333"/>
    <n v="1"/>
    <x v="1"/>
    <s v="Lewiston"/>
    <n v="3"/>
  </r>
  <r>
    <n v="1962"/>
    <s v="DD"/>
    <s v="Hourly"/>
    <n v="45"/>
    <x v="3"/>
    <x v="816"/>
    <n v="5"/>
    <n v="43.65"/>
    <d v="1899-12-30T02:20:00"/>
    <n v="2.3333333333333335"/>
    <n v="2.25"/>
    <x v="0"/>
    <s v="Brunswick/Bath/Freeport"/>
    <n v="2"/>
  </r>
  <r>
    <n v="1963"/>
    <s v="UE"/>
    <s v="Hourly"/>
    <n v="45"/>
    <x v="4"/>
    <x v="817"/>
    <n v="5"/>
    <n v="39.14"/>
    <d v="1899-12-30T02:39:00"/>
    <n v="2.65"/>
    <n v="2.75"/>
    <x v="0"/>
    <s v="Brunswick/Bath/Freeport"/>
    <n v="2"/>
  </r>
  <r>
    <n v="1964"/>
    <s v="DD"/>
    <s v="Order"/>
    <n v="45"/>
    <x v="4"/>
    <x v="817"/>
    <n v="2"/>
    <n v="15.93"/>
    <d v="1899-12-30T01:48:00"/>
    <n v="1.7999999999999998"/>
    <n v="1.75"/>
    <x v="0"/>
    <s v="Brunswick/Bath/Freeport"/>
    <n v="2"/>
  </r>
  <r>
    <n v="1965"/>
    <s v="DD"/>
    <s v="Order"/>
    <n v="45"/>
    <x v="4"/>
    <x v="817"/>
    <n v="5"/>
    <n v="39.5"/>
    <d v="1899-12-30T02:55:00"/>
    <n v="2.9166666666666665"/>
    <n v="3"/>
    <x v="0"/>
    <s v="Brunswick/Bath/Freeport"/>
    <n v="2"/>
  </r>
  <r>
    <n v="1966"/>
    <s v="UE"/>
    <s v="Hourly"/>
    <n v="45"/>
    <x v="0"/>
    <x v="818"/>
    <n v="1"/>
    <n v="8.31"/>
    <d v="1899-12-30T01:01:00"/>
    <n v="1.0166666666666666"/>
    <n v="1"/>
    <x v="0"/>
    <s v="Brunswick/Bath/Freeport"/>
    <n v="2"/>
  </r>
  <r>
    <n v="1967"/>
    <s v="DD"/>
    <s v="Hourly"/>
    <n v="45"/>
    <x v="0"/>
    <x v="818"/>
    <n v="3"/>
    <n v="24.22"/>
    <d v="1899-12-30T02:08:00"/>
    <n v="2.1333333333333333"/>
    <n v="2.25"/>
    <x v="1"/>
    <s v="Brunswick/Bath/Freeport"/>
    <n v="2"/>
  </r>
  <r>
    <n v="1968"/>
    <s v="UE"/>
    <s v="Order"/>
    <n v="45"/>
    <x v="1"/>
    <x v="819"/>
    <n v="5"/>
    <n v="43.72"/>
    <d v="1899-12-30T02:55:00"/>
    <n v="2.9166666666666665"/>
    <n v="3"/>
    <x v="0"/>
    <s v="Lewiston"/>
    <n v="3"/>
  </r>
  <r>
    <n v="1969"/>
    <s v="DD"/>
    <s v="Order"/>
    <n v="45"/>
    <x v="1"/>
    <x v="819"/>
    <n v="2"/>
    <n v="13.25"/>
    <d v="1899-12-30T01:33:00"/>
    <n v="1.5500000000000003"/>
    <n v="1.5"/>
    <x v="0"/>
    <s v="Lewiston"/>
    <n v="3"/>
  </r>
  <r>
    <n v="1970"/>
    <s v="DD"/>
    <s v="Order"/>
    <n v="45"/>
    <x v="1"/>
    <x v="819"/>
    <n v="5"/>
    <n v="39.25"/>
    <d v="1899-12-30T03:11:00"/>
    <n v="3.1833333333333336"/>
    <n v="3.25"/>
    <x v="0"/>
    <s v="Lewiston"/>
    <n v="3"/>
  </r>
  <r>
    <n v="1971"/>
    <s v="DD"/>
    <s v="Order"/>
    <n v="45"/>
    <x v="1"/>
    <x v="819"/>
    <n v="5"/>
    <n v="26.75"/>
    <d v="1899-12-30T01:29:00"/>
    <n v="1.4833333333333334"/>
    <n v="1.5"/>
    <x v="2"/>
    <s v="Lewiston"/>
    <n v="3"/>
  </r>
  <r>
    <n v="1972"/>
    <s v="UE"/>
    <s v="Hourly"/>
    <n v="46"/>
    <x v="3"/>
    <x v="820"/>
    <n v="5"/>
    <n v="56.12"/>
    <d v="1899-12-30T02:31:00"/>
    <n v="2.5166666666666666"/>
    <n v="2.5"/>
    <x v="0"/>
    <s v="Brunswick/Bath/Freeport"/>
    <n v="2"/>
  </r>
  <r>
    <n v="1973"/>
    <s v="UE"/>
    <s v="Order"/>
    <n v="46"/>
    <x v="6"/>
    <x v="821"/>
    <n v="1"/>
    <n v="13.58"/>
    <d v="1899-12-30T01:32:00"/>
    <n v="1.5333333333333332"/>
    <n v="1.5"/>
    <x v="0"/>
    <s v="Brunswick/Bath/Freeport"/>
    <n v="2"/>
  </r>
  <r>
    <n v="1974"/>
    <s v="DD"/>
    <s v="Order"/>
    <n v="46"/>
    <x v="6"/>
    <x v="821"/>
    <n v="6"/>
    <n v="55.75"/>
    <d v="1899-12-30T03:42:00"/>
    <n v="3.7"/>
    <n v="3.75"/>
    <x v="0"/>
    <s v="Brunswick/Bath/Freeport"/>
    <n v="2"/>
  </r>
  <r>
    <n v="1975"/>
    <s v="DD"/>
    <s v="Hourly"/>
    <n v="46"/>
    <x v="1"/>
    <x v="822"/>
    <n v="5"/>
    <n v="37.630000000000003"/>
    <d v="1899-12-30T01:49:00"/>
    <n v="1.8166666666666664"/>
    <n v="1.75"/>
    <x v="0"/>
    <s v="Lewiston"/>
    <n v="3"/>
  </r>
  <r>
    <n v="1976"/>
    <s v="UE"/>
    <s v="Hourly"/>
    <n v="46"/>
    <x v="2"/>
    <x v="823"/>
    <n v="8"/>
    <n v="98.83"/>
    <d v="1899-12-30T04:25:00"/>
    <n v="4.416666666666667"/>
    <n v="4.5"/>
    <x v="0"/>
    <s v="Portland"/>
    <n v="4"/>
  </r>
  <r>
    <n v="1977"/>
    <s v="DD"/>
    <s v="Hourly"/>
    <n v="46"/>
    <x v="2"/>
    <x v="823"/>
    <n v="1"/>
    <n v="4.92"/>
    <d v="1899-12-30T00:57:00"/>
    <n v="0.95"/>
    <n v="1"/>
    <x v="0"/>
    <s v="Portland"/>
    <n v="4"/>
  </r>
  <r>
    <n v="1978"/>
    <s v="DD"/>
    <s v="Hourly"/>
    <n v="46"/>
    <x v="2"/>
    <x v="823"/>
    <n v="1"/>
    <n v="7.33"/>
    <d v="1899-12-30T01:13:00"/>
    <n v="1.2166666666666668"/>
    <n v="1.25"/>
    <x v="0"/>
    <s v="Portland"/>
    <n v="4"/>
  </r>
  <r>
    <n v="1979"/>
    <s v="DD"/>
    <s v="Hourly"/>
    <n v="46"/>
    <x v="2"/>
    <x v="823"/>
    <n v="3"/>
    <n v="26.71"/>
    <d v="1899-12-30T01:04:00"/>
    <n v="1.0666666666666667"/>
    <n v="1"/>
    <x v="2"/>
    <s v="Portland"/>
    <n v="4"/>
  </r>
  <r>
    <n v="1980"/>
    <s v="UE"/>
    <s v="Order"/>
    <n v="47"/>
    <x v="3"/>
    <x v="824"/>
    <n v="3"/>
    <n v="84.37"/>
    <d v="1899-12-30T02:37:00"/>
    <n v="2.6166666666666667"/>
    <n v="2.5"/>
    <x v="0"/>
    <s v="Brunswick/Bath/Freeport"/>
    <n v="2"/>
  </r>
  <r>
    <n v="1981"/>
    <s v="DD"/>
    <s v="Hourly"/>
    <n v="47"/>
    <x v="3"/>
    <x v="824"/>
    <n v="3"/>
    <n v="28.46"/>
    <d v="1899-12-30T02:53:00"/>
    <n v="2.8833333333333333"/>
    <n v="3"/>
    <x v="0"/>
    <s v="Brunswick/Bath/Freeport"/>
    <n v="2"/>
  </r>
  <r>
    <n v="1982"/>
    <s v="UE"/>
    <s v="Order"/>
    <n v="47"/>
    <x v="4"/>
    <x v="825"/>
    <n v="4"/>
    <n v="33.619999999999997"/>
    <d v="1899-12-30T01:25:00"/>
    <n v="1.4166666666666665"/>
    <n v="1.5"/>
    <x v="0"/>
    <s v="Brunswick/Bath/Freeport"/>
    <n v="2"/>
  </r>
  <r>
    <n v="1983"/>
    <s v="DD"/>
    <s v="Order"/>
    <n v="47"/>
    <x v="4"/>
    <x v="825"/>
    <n v="3"/>
    <n v="42.26"/>
    <d v="1899-12-30T01:19:00"/>
    <n v="1.3166666666666667"/>
    <n v="1.25"/>
    <x v="0"/>
    <s v="Brunswick/Bath/Freeport"/>
    <n v="2"/>
  </r>
  <r>
    <n v="1984"/>
    <s v="DD"/>
    <s v="Hourly"/>
    <n v="47"/>
    <x v="0"/>
    <x v="826"/>
    <n v="1"/>
    <n v="6.97"/>
    <d v="1899-12-30T00:58:00"/>
    <n v="0.96666666666666679"/>
    <n v="1"/>
    <x v="0"/>
    <s v="Lewiston"/>
    <n v="3"/>
  </r>
  <r>
    <n v="1985"/>
    <s v="UE"/>
    <s v="Hourly"/>
    <n v="47"/>
    <x v="2"/>
    <x v="827"/>
    <n v="6"/>
    <n v="56.65"/>
    <d v="1899-12-30T04:22:00"/>
    <n v="4.3666666666666663"/>
    <n v="4.25"/>
    <x v="1"/>
    <s v="Brunswick/Bath/Freeport"/>
    <n v="2"/>
  </r>
  <r>
    <n v="1986"/>
    <s v="UE"/>
    <s v="Order"/>
    <n v="48"/>
    <x v="4"/>
    <x v="828"/>
    <n v="5"/>
    <n v="65.209999999999994"/>
    <d v="1899-12-30T02:37:00"/>
    <n v="2.6166666666666667"/>
    <n v="2.5"/>
    <x v="0"/>
    <s v="Brunswick/Bath/Freeport"/>
    <n v="2"/>
  </r>
  <r>
    <n v="1987"/>
    <s v="DD"/>
    <s v="Order"/>
    <n v="48"/>
    <x v="4"/>
    <x v="828"/>
    <n v="3"/>
    <n v="37.47"/>
    <d v="1899-12-30T01:45:00"/>
    <n v="1.75"/>
    <n v="1.75"/>
    <x v="0"/>
    <s v="Brunswick/Bath/Freeport"/>
    <n v="2"/>
  </r>
  <r>
    <n v="1988"/>
    <s v="DD"/>
    <s v="Order"/>
    <n v="48"/>
    <x v="4"/>
    <x v="828"/>
    <n v="1"/>
    <n v="7.75"/>
    <d v="1899-12-30T00:30:00"/>
    <n v="0.5"/>
    <n v="0.5"/>
    <x v="2"/>
    <s v="Brunswick/Bath/Freeport"/>
    <n v="2"/>
  </r>
  <r>
    <n v="1989"/>
    <s v="UE"/>
    <s v="Order"/>
    <n v="48"/>
    <x v="0"/>
    <x v="829"/>
    <n v="6"/>
    <n v="80.5"/>
    <d v="1899-12-30T04:15:00"/>
    <n v="4.25"/>
    <n v="4.25"/>
    <x v="0"/>
    <s v="Augusta"/>
    <n v="1"/>
  </r>
  <r>
    <n v="1990"/>
    <s v="DD"/>
    <s v="Order"/>
    <n v="48"/>
    <x v="0"/>
    <x v="829"/>
    <n v="7"/>
    <n v="74.25"/>
    <d v="1899-12-30T03:54:00"/>
    <n v="3.9000000000000004"/>
    <n v="4"/>
    <x v="1"/>
    <s v="Augusta"/>
    <n v="1"/>
  </r>
  <r>
    <n v="1991"/>
    <s v="DD"/>
    <s v="Hourly"/>
    <n v="48"/>
    <x v="0"/>
    <x v="829"/>
    <n v="4"/>
    <n v="31.01"/>
    <d v="1899-12-30T01:48:00"/>
    <n v="1.7999999999999998"/>
    <n v="1.75"/>
    <x v="0"/>
    <s v="Augusta"/>
    <n v="1"/>
  </r>
  <r>
    <n v="1992"/>
    <s v="UE"/>
    <s v="Order"/>
    <n v="48"/>
    <x v="1"/>
    <x v="830"/>
    <n v="5"/>
    <n v="69.22"/>
    <d v="1899-12-30T05:02:00"/>
    <n v="5.0333333333333332"/>
    <n v="5"/>
    <x v="0"/>
    <s v="Brunswick/Bath/Freeport"/>
    <n v="2"/>
  </r>
  <r>
    <n v="1993"/>
    <s v="DD"/>
    <s v="Order"/>
    <n v="48"/>
    <x v="1"/>
    <x v="830"/>
    <n v="1"/>
    <n v="14.16"/>
    <d v="1899-12-30T01:00:00"/>
    <n v="1"/>
    <n v="1"/>
    <x v="0"/>
    <s v="Brunswick/Bath/Freeport"/>
    <n v="2"/>
  </r>
  <r>
    <n v="1994"/>
    <s v="UE"/>
    <s v="Order"/>
    <n v="48"/>
    <x v="2"/>
    <x v="831"/>
    <n v="13"/>
    <n v="151.01"/>
    <d v="1899-12-30T04:55:00"/>
    <n v="4.9166666666666661"/>
    <n v="5"/>
    <x v="0"/>
    <s v="Brunswick/Bath/Freeport"/>
    <n v="2"/>
  </r>
  <r>
    <n v="1995"/>
    <s v="DD"/>
    <s v="Order"/>
    <n v="48"/>
    <x v="2"/>
    <x v="831"/>
    <n v="3"/>
    <n v="17.75"/>
    <d v="1899-12-30T01:13:00"/>
    <n v="1.2166666666666668"/>
    <n v="1.25"/>
    <x v="0"/>
    <s v="Brunswick/Bath/Freeport"/>
    <n v="2"/>
  </r>
  <r>
    <n v="1996"/>
    <s v="DD"/>
    <s v="Order"/>
    <n v="48"/>
    <x v="2"/>
    <x v="831"/>
    <n v="2"/>
    <n v="17.13"/>
    <d v="1899-12-30T01:20:00"/>
    <n v="1.3333333333333333"/>
    <n v="1.25"/>
    <x v="2"/>
    <s v="Brunswick/Bath/Freeport"/>
    <n v="2"/>
  </r>
  <r>
    <n v="1997"/>
    <s v="UE"/>
    <s v="Order"/>
    <n v="49"/>
    <x v="4"/>
    <x v="832"/>
    <n v="6"/>
    <n v="85.09"/>
    <d v="1899-12-30T04:01:00"/>
    <n v="4.0166666666666666"/>
    <n v="4"/>
    <x v="0"/>
    <s v="Portland"/>
    <n v="4"/>
  </r>
  <r>
    <n v="1998"/>
    <s v="DD"/>
    <s v="Order"/>
    <n v="49"/>
    <x v="4"/>
    <x v="832"/>
    <n v="1"/>
    <n v="26.28"/>
    <d v="1899-12-30T01:30:00"/>
    <n v="1.5"/>
    <n v="1.5"/>
    <x v="0"/>
    <s v="Portland"/>
    <n v="4"/>
  </r>
  <r>
    <n v="1999"/>
    <s v="UE"/>
    <s v="Order"/>
    <n v="49"/>
    <x v="5"/>
    <x v="833"/>
    <n v="2"/>
    <n v="32.51"/>
    <d v="1899-12-30T02:24:00"/>
    <n v="2.4000000000000004"/>
    <n v="2.5"/>
    <x v="0"/>
    <s v="Augusta"/>
    <n v="1"/>
  </r>
  <r>
    <n v="2000"/>
    <s v="DD"/>
    <s v="Hourly"/>
    <n v="49"/>
    <x v="5"/>
    <x v="833"/>
    <n v="3"/>
    <n v="27.05"/>
    <d v="1899-12-30T02:36:00"/>
    <n v="2.6"/>
    <n v="2.5"/>
    <x v="0"/>
    <s v="Augusta"/>
    <n v="1"/>
  </r>
  <r>
    <n v="2001"/>
    <s v="UE"/>
    <s v="Order"/>
    <n v="49"/>
    <x v="1"/>
    <x v="834"/>
    <n v="12"/>
    <n v="128.79"/>
    <d v="1899-12-30T05:52:00"/>
    <n v="5.8666666666666663"/>
    <n v="5.75"/>
    <x v="1"/>
    <s v="Portland"/>
    <n v="4"/>
  </r>
  <r>
    <n v="2002"/>
    <s v="DD"/>
    <s v="Order"/>
    <n v="49"/>
    <x v="1"/>
    <x v="834"/>
    <n v="1"/>
    <n v="18"/>
    <d v="1899-12-30T00:49:00"/>
    <n v="0.81666666666666665"/>
    <n v="0.75"/>
    <x v="0"/>
    <s v="Brunswick/Bath/Freeport"/>
    <n v="2"/>
  </r>
  <r>
    <n v="2003"/>
    <s v="UE"/>
    <s v="Order"/>
    <n v="49"/>
    <x v="2"/>
    <x v="835"/>
    <n v="14"/>
    <n v="201.02"/>
    <d v="1899-12-30T08:59:00"/>
    <n v="8.9833333333333343"/>
    <n v="9"/>
    <x v="0"/>
    <s v="Brunswick/Bath/Freeport"/>
    <n v="2"/>
  </r>
  <r>
    <n v="2004"/>
    <s v="UE"/>
    <s v="Hourly"/>
    <n v="50"/>
    <x v="3"/>
    <x v="836"/>
    <n v="11"/>
    <n v="126.53"/>
    <d v="1899-12-30T04:37:00"/>
    <n v="4.6166666666666671"/>
    <n v="4.5"/>
    <x v="1"/>
    <s v="Lewiston"/>
    <n v="3"/>
  </r>
  <r>
    <n v="2005"/>
    <s v="DD"/>
    <s v="Hourly"/>
    <n v="50"/>
    <x v="3"/>
    <x v="836"/>
    <n v="2"/>
    <n v="20.81"/>
    <d v="1899-12-30T01:37:00"/>
    <n v="1.6166666666666667"/>
    <n v="1.5"/>
    <x v="1"/>
    <s v="Lewiston"/>
    <n v="3"/>
  </r>
  <r>
    <n v="2006"/>
    <s v="DD"/>
    <s v="Hourly"/>
    <n v="50"/>
    <x v="3"/>
    <x v="836"/>
    <n v="1"/>
    <n v="9.5399999999999991"/>
    <d v="1899-12-30T00:21:00"/>
    <n v="0.35"/>
    <n v="0.25"/>
    <x v="0"/>
    <s v="Lewiston"/>
    <n v="3"/>
  </r>
  <r>
    <n v="2007"/>
    <s v="UE"/>
    <s v="Hourly"/>
    <n v="50"/>
    <x v="4"/>
    <x v="837"/>
    <n v="8"/>
    <n v="54.64"/>
    <d v="1899-12-30T05:03:00"/>
    <n v="5.05"/>
    <n v="5"/>
    <x v="1"/>
    <s v="Brunswick/Bath/Freeport"/>
    <n v="2"/>
  </r>
  <r>
    <n v="2008"/>
    <s v="DD"/>
    <s v="Order"/>
    <n v="50"/>
    <x v="4"/>
    <x v="837"/>
    <n v="2"/>
    <n v="77.069999999999993"/>
    <d v="1899-12-30T03:04:00"/>
    <n v="3.0666666666666664"/>
    <n v="3"/>
    <x v="0"/>
    <s v="Brunswick/Bath/Freeport"/>
    <n v="2"/>
  </r>
  <r>
    <n v="2009"/>
    <s v="UE"/>
    <s v="Order"/>
    <n v="50"/>
    <x v="6"/>
    <x v="838"/>
    <n v="19"/>
    <n v="158.91"/>
    <d v="1899-12-30T06:43:00"/>
    <n v="6.7166666666666668"/>
    <n v="6.75"/>
    <x v="1"/>
    <s v="Lewiston"/>
    <n v="3"/>
  </r>
  <r>
    <n v="2010"/>
    <s v="UE"/>
    <s v="Order"/>
    <n v="50"/>
    <x v="0"/>
    <x v="839"/>
    <n v="5"/>
    <n v="87.58"/>
    <d v="1899-12-30T04:20:00"/>
    <n v="4.333333333333333"/>
    <n v="4.25"/>
    <x v="1"/>
    <s v="Brunswick/Bath/Freeport"/>
    <n v="2"/>
  </r>
  <r>
    <n v="2011"/>
    <s v="DD"/>
    <s v="Order"/>
    <n v="50"/>
    <x v="0"/>
    <x v="839"/>
    <n v="5"/>
    <n v="22.5"/>
    <d v="1899-12-30T01:16:00"/>
    <n v="1.2666666666666666"/>
    <n v="1.25"/>
    <x v="1"/>
    <s v="Brunswick/Bath/Freeport"/>
    <n v="2"/>
  </r>
  <r>
    <n v="2012"/>
    <s v="UE"/>
    <s v="Order"/>
    <n v="50"/>
    <x v="1"/>
    <x v="840"/>
    <n v="6"/>
    <n v="75.3"/>
    <d v="1899-12-30T03:56:00"/>
    <n v="3.9333333333333336"/>
    <n v="4"/>
    <x v="1"/>
    <s v="Lewiston"/>
    <n v="3"/>
  </r>
  <r>
    <n v="2013"/>
    <s v="DD"/>
    <s v="Order"/>
    <n v="50"/>
    <x v="1"/>
    <x v="840"/>
    <n v="8"/>
    <n v="79.27"/>
    <d v="1900-03-19T06:28:48"/>
    <n v="1902.48"/>
    <n v="1902.5"/>
    <x v="1"/>
    <s v="Lewiston"/>
    <n v="3"/>
  </r>
  <r>
    <n v="2014"/>
    <s v="UE"/>
    <s v="Order"/>
    <n v="50"/>
    <x v="2"/>
    <x v="841"/>
    <n v="3"/>
    <n v="23.64"/>
    <d v="1899-12-30T02:16:00"/>
    <n v="2.2666666666666666"/>
    <n v="2.25"/>
    <x v="1"/>
    <s v="Augusta"/>
    <n v="1"/>
  </r>
  <r>
    <n v="2015"/>
    <s v="DD"/>
    <s v="Hourly"/>
    <n v="50"/>
    <x v="2"/>
    <x v="841"/>
    <n v="3"/>
    <n v="42.93"/>
    <d v="1899-12-30T01:37:00"/>
    <n v="1.6166666666666667"/>
    <n v="1.5"/>
    <x v="1"/>
    <s v="Augusta"/>
    <n v="1"/>
  </r>
  <r>
    <n v="2016"/>
    <s v="UE"/>
    <s v="Order"/>
    <n v="51"/>
    <x v="3"/>
    <x v="842"/>
    <n v="4"/>
    <n v="72.69"/>
    <d v="1899-12-30T02:40:00"/>
    <n v="2.6666666666666665"/>
    <n v="2.75"/>
    <x v="0"/>
    <s v="Brunswick/Bath/Freeport"/>
    <n v="2"/>
  </r>
  <r>
    <n v="2017"/>
    <s v="DD"/>
    <s v="Order"/>
    <n v="51"/>
    <x v="3"/>
    <x v="842"/>
    <n v="3"/>
    <n v="44.75"/>
    <d v="1899-12-30T02:46:00"/>
    <n v="2.7666666666666666"/>
    <n v="2.75"/>
    <x v="0"/>
    <s v="Brunswick/Bath/Freeport"/>
    <n v="2"/>
  </r>
  <r>
    <n v="2018"/>
    <s v="UE"/>
    <s v="Hourly"/>
    <n v="51"/>
    <x v="4"/>
    <x v="843"/>
    <n v="1"/>
    <n v="11.3"/>
    <d v="1899-12-30T01:31:00"/>
    <n v="1.5166666666666666"/>
    <n v="1.5"/>
    <x v="0"/>
    <s v="Lewiston"/>
    <n v="3"/>
  </r>
  <r>
    <n v="2019"/>
    <s v="DD"/>
    <s v="Hourly"/>
    <n v="51"/>
    <x v="4"/>
    <x v="843"/>
    <n v="3"/>
    <n v="24.98"/>
    <d v="1899-12-30T01:26:00"/>
    <n v="1.4333333333333333"/>
    <n v="1.5"/>
    <x v="0"/>
    <s v="Lewiston"/>
    <n v="3"/>
  </r>
  <r>
    <n v="2020"/>
    <s v="DD"/>
    <s v="Order"/>
    <n v="51"/>
    <x v="4"/>
    <x v="843"/>
    <n v="2"/>
    <n v="10.75"/>
    <d v="1899-12-30T00:38:00"/>
    <n v="0.6333333333333333"/>
    <n v="0.75"/>
    <x v="0"/>
    <s v="Lewiston"/>
    <n v="3"/>
  </r>
  <r>
    <n v="2021"/>
    <s v="DD"/>
    <s v="Hourly"/>
    <n v="51"/>
    <x v="4"/>
    <x v="843"/>
    <n v="3"/>
    <n v="13.49"/>
    <d v="1899-12-30T00:52:00"/>
    <n v="0.86666666666666659"/>
    <n v="0.75"/>
    <x v="2"/>
    <s v="Lewiston"/>
    <n v="3"/>
  </r>
  <r>
    <n v="2022"/>
    <s v="DD"/>
    <s v="Order"/>
    <n v="51"/>
    <x v="0"/>
    <x v="844"/>
    <n v="6"/>
    <n v="64"/>
    <d v="1899-12-30T03:11:00"/>
    <n v="3.1833333333333336"/>
    <n v="3.25"/>
    <x v="0"/>
    <s v="Augusta"/>
    <n v="1"/>
  </r>
  <r>
    <n v="2023"/>
    <s v="UE"/>
    <s v="Order"/>
    <n v="51"/>
    <x v="2"/>
    <x v="845"/>
    <n v="7"/>
    <n v="131.69999999999999"/>
    <d v="1899-12-30T04:58:00"/>
    <n v="4.9666666666666668"/>
    <n v="5"/>
    <x v="0"/>
    <s v="Portland"/>
    <n v="4"/>
  </r>
  <r>
    <n v="2024"/>
    <s v="DD"/>
    <s v="Order"/>
    <n v="51"/>
    <x v="2"/>
    <x v="845"/>
    <n v="1"/>
    <n v="9"/>
    <d v="1899-12-30T01:13:00"/>
    <n v="1.2166666666666668"/>
    <n v="1.25"/>
    <x v="0"/>
    <s v="Portland"/>
    <n v="4"/>
  </r>
  <r>
    <n v="2025"/>
    <s v="DD"/>
    <s v="Order"/>
    <n v="51"/>
    <x v="2"/>
    <x v="845"/>
    <n v="1"/>
    <n v="16"/>
    <d v="1899-12-30T01:51:00"/>
    <n v="1.85"/>
    <n v="1.75"/>
    <x v="0"/>
    <s v="Portland"/>
    <n v="4"/>
  </r>
  <r>
    <n v="2026"/>
    <s v="UE"/>
    <s v="Order"/>
    <n v="1"/>
    <x v="4"/>
    <x v="846"/>
    <n v="3"/>
    <n v="42.77"/>
    <d v="1899-12-30T02:21:00"/>
    <n v="2.35"/>
    <n v="2.25"/>
    <x v="0"/>
    <s v="Brunswick/Bath/Freeport"/>
    <n v="2"/>
  </r>
  <r>
    <n v="2027"/>
    <s v="DD"/>
    <s v="Order"/>
    <n v="1"/>
    <x v="4"/>
    <x v="846"/>
    <n v="1"/>
    <n v="12.15"/>
    <d v="1899-12-30T01:07:00"/>
    <n v="1.1166666666666667"/>
    <n v="1"/>
    <x v="0"/>
    <s v="Brunswick/Bath/Freeport"/>
    <n v="2"/>
  </r>
  <r>
    <n v="2028"/>
    <s v="DD"/>
    <s v="Order"/>
    <n v="1"/>
    <x v="4"/>
    <x v="846"/>
    <n v="3"/>
    <n v="55.15"/>
    <d v="1899-12-30T02:09:00"/>
    <n v="2.15"/>
    <n v="2.25"/>
    <x v="2"/>
    <s v="Brunswick/Bath/Freeport"/>
    <n v="2"/>
  </r>
  <r>
    <n v="2029"/>
    <s v="DD"/>
    <s v="Order"/>
    <n v="1"/>
    <x v="6"/>
    <x v="847"/>
    <n v="1"/>
    <n v="9"/>
    <d v="1899-12-30T00:25:00"/>
    <n v="0.41666666666666669"/>
    <n v="0.5"/>
    <x v="1"/>
    <s v="Lewiston"/>
    <n v="3"/>
  </r>
  <r>
    <n v="2030"/>
    <s v="UE"/>
    <s v="Order"/>
    <n v="1"/>
    <x v="1"/>
    <x v="848"/>
    <n v="5"/>
    <n v="88.58"/>
    <d v="1899-12-30T03:21:00"/>
    <n v="3.35"/>
    <n v="3.25"/>
    <x v="0"/>
    <s v="Brunswick/Bath/Freeport"/>
    <n v="2"/>
  </r>
  <r>
    <n v="2031"/>
    <s v="DD"/>
    <s v="Order"/>
    <n v="1"/>
    <x v="1"/>
    <x v="848"/>
    <n v="4"/>
    <n v="66.45"/>
    <d v="1899-12-30T01:57:00"/>
    <n v="1.9500000000000002"/>
    <n v="2"/>
    <x v="2"/>
    <s v="Brunswick/Bath/Freeport"/>
    <n v="2"/>
  </r>
  <r>
    <n v="2032"/>
    <s v="DD"/>
    <s v="Order"/>
    <n v="1"/>
    <x v="2"/>
    <x v="849"/>
    <n v="1"/>
    <n v="5"/>
    <d v="1899-12-30T00:34:00"/>
    <n v="0.56666666666666665"/>
    <n v="0.5"/>
    <x v="0"/>
    <s v="Brunswick/Bath/Freeport"/>
    <n v="2"/>
  </r>
  <r>
    <n v="2033"/>
    <s v="DD"/>
    <s v="Order"/>
    <n v="1"/>
    <x v="2"/>
    <x v="849"/>
    <n v="1"/>
    <n v="33.4"/>
    <d v="1899-12-30T00:36:00"/>
    <n v="0.60000000000000009"/>
    <n v="0.5"/>
    <x v="2"/>
    <s v="Brunswick/Bath/Freeport"/>
    <n v="2"/>
  </r>
  <r>
    <n v="2034"/>
    <s v="UE"/>
    <s v="Order"/>
    <n v="2"/>
    <x v="6"/>
    <x v="850"/>
    <n v="2"/>
    <n v="42.2"/>
    <d v="1899-12-30T01:29:00"/>
    <n v="1.4833333333333334"/>
    <n v="1.5"/>
    <x v="0"/>
    <s v="Lewiston"/>
    <n v="3"/>
  </r>
  <r>
    <n v="2035"/>
    <s v="UE"/>
    <s v="Hourly"/>
    <n v="3"/>
    <x v="5"/>
    <x v="851"/>
    <n v="5"/>
    <n v="30.33"/>
    <d v="1899-12-30T01:48:00"/>
    <n v="1.7999999999999998"/>
    <n v="1.75"/>
    <x v="0"/>
    <s v="Lewiston"/>
    <n v="3"/>
  </r>
  <r>
    <n v="2036"/>
    <s v="DD"/>
    <s v="Hourly"/>
    <n v="3"/>
    <x v="5"/>
    <x v="851"/>
    <n v="1"/>
    <n v="13.22"/>
    <d v="1899-12-30T01:15:00"/>
    <n v="1.25"/>
    <n v="1.25"/>
    <x v="0"/>
    <s v="Lewiston"/>
    <n v="3"/>
  </r>
  <r>
    <n v="2037"/>
    <s v="UE"/>
    <s v="Order"/>
    <n v="3"/>
    <x v="0"/>
    <x v="852"/>
    <n v="4"/>
    <n v="126.64"/>
    <d v="1899-12-30T03:06:00"/>
    <n v="3.1000000000000005"/>
    <n v="3"/>
    <x v="0"/>
    <s v="Brunswick/Bath/Freeport"/>
    <n v="2"/>
  </r>
  <r>
    <n v="2038"/>
    <s v="DD"/>
    <s v="Hourly"/>
    <n v="3"/>
    <x v="0"/>
    <x v="852"/>
    <n v="3"/>
    <n v="24.15"/>
    <d v="1899-12-30T01:49:00"/>
    <n v="1.8166666666666664"/>
    <n v="1.75"/>
    <x v="0"/>
    <s v="Brunswick/Bath/Freeport"/>
    <n v="2"/>
  </r>
  <r>
    <n v="2039"/>
    <s v="DD"/>
    <s v="Order"/>
    <n v="3"/>
    <x v="0"/>
    <x v="852"/>
    <n v="1"/>
    <n v="4.7"/>
    <d v="1899-12-30T00:23:00"/>
    <n v="0.3833333333333333"/>
    <n v="0.5"/>
    <x v="2"/>
    <s v="Brunswick/Bath/Freeport"/>
    <n v="2"/>
  </r>
  <r>
    <n v="2040"/>
    <s v="UE"/>
    <s v="Hourly"/>
    <n v="3"/>
    <x v="1"/>
    <x v="853"/>
    <n v="2"/>
    <n v="18.7"/>
    <d v="1899-12-30T01:01:00"/>
    <n v="1.0166666666666666"/>
    <n v="1"/>
    <x v="0"/>
    <s v="Lewiston"/>
    <n v="3"/>
  </r>
  <r>
    <n v="2041"/>
    <s v="DD"/>
    <s v="Hourly"/>
    <n v="3"/>
    <x v="1"/>
    <x v="853"/>
    <n v="9"/>
    <n v="112.75"/>
    <d v="1899-12-30T03:40:00"/>
    <n v="3.666666666666667"/>
    <n v="3.75"/>
    <x v="0"/>
    <s v="Lewiston"/>
    <n v="3"/>
  </r>
  <r>
    <n v="2042"/>
    <s v="UE"/>
    <s v="Hourly"/>
    <n v="3"/>
    <x v="2"/>
    <x v="854"/>
    <n v="3"/>
    <n v="22.93"/>
    <d v="1899-12-30T01:39:00"/>
    <n v="1.6500000000000001"/>
    <n v="1.75"/>
    <x v="0"/>
    <s v="Brunswick/Bath/Freeport"/>
    <n v="2"/>
  </r>
  <r>
    <n v="2043"/>
    <s v="UE"/>
    <s v="Hourly"/>
    <n v="4"/>
    <x v="3"/>
    <x v="855"/>
    <n v="3"/>
    <n v="46.56"/>
    <d v="1899-12-30T02:06:00"/>
    <n v="2.0999999999999996"/>
    <n v="2"/>
    <x v="1"/>
    <s v="Portland"/>
    <n v="4"/>
  </r>
  <r>
    <n v="2044"/>
    <s v="UE"/>
    <s v="Order"/>
    <n v="4"/>
    <x v="3"/>
    <x v="855"/>
    <n v="3"/>
    <n v="31.119999999999997"/>
    <d v="1899-12-30T01:37:51"/>
    <n v="1.6308333333333331"/>
    <n v="1.75"/>
    <x v="1"/>
    <s v="Portland"/>
    <n v="4"/>
  </r>
  <r>
    <n v="2045"/>
    <s v="UE"/>
    <s v="Order"/>
    <n v="4"/>
    <x v="1"/>
    <x v="856"/>
    <n v="1"/>
    <n v="28.06"/>
    <d v="1899-12-30T01:42:00"/>
    <n v="1.7"/>
    <n v="1.75"/>
    <x v="0"/>
    <s v="Brunswick/Bath/Freeport"/>
    <n v="2"/>
  </r>
  <r>
    <n v="2046"/>
    <s v="DD"/>
    <s v="Order"/>
    <n v="4"/>
    <x v="1"/>
    <x v="856"/>
    <n v="1"/>
    <n v="26.25"/>
    <d v="1899-12-30T01:01:00"/>
    <n v="1.0166666666666666"/>
    <n v="1"/>
    <x v="0"/>
    <s v="Brunswick/Bath/Freeport"/>
    <n v="2"/>
  </r>
  <r>
    <n v="2047"/>
    <s v="DD"/>
    <s v="Order"/>
    <n v="4"/>
    <x v="1"/>
    <x v="856"/>
    <n v="6"/>
    <n v="56.1"/>
    <d v="1899-12-30T03:47:00"/>
    <n v="3.7833333333333332"/>
    <n v="3.75"/>
    <x v="0"/>
    <s v="Brunswick/Bath/Freeport"/>
    <n v="2"/>
  </r>
  <r>
    <n v="2048"/>
    <s v="DD"/>
    <s v="Order"/>
    <n v="5"/>
    <x v="3"/>
    <x v="857"/>
    <n v="2"/>
    <n v="21.84"/>
    <d v="1899-12-30T01:22:00"/>
    <n v="1.3666666666666667"/>
    <n v="1.25"/>
    <x v="2"/>
    <s v="Brunswick/Bath/Freeport"/>
    <n v="2"/>
  </r>
  <r>
    <n v="2049"/>
    <s v="UE"/>
    <s v="Order"/>
    <n v="5"/>
    <x v="2"/>
    <x v="858"/>
    <n v="2"/>
    <n v="77.150000000000006"/>
    <d v="1899-12-30T02:04:00"/>
    <n v="2.0666666666666664"/>
    <n v="2"/>
    <x v="0"/>
    <s v="Brunswick/Bath/Freeport"/>
    <n v="2"/>
  </r>
  <r>
    <n v="2050"/>
    <s v="DD"/>
    <s v="Order"/>
    <n v="5"/>
    <x v="2"/>
    <x v="858"/>
    <n v="5"/>
    <n v="64.599999999999994"/>
    <d v="1899-12-30T02:50:00"/>
    <n v="2.833333333333333"/>
    <n v="2.75"/>
    <x v="0"/>
    <s v="Brunswick/Bath/Freeport"/>
    <n v="2"/>
  </r>
  <r>
    <n v="2051"/>
    <s v="UE"/>
    <s v="Hourly"/>
    <n v="7"/>
    <x v="0"/>
    <x v="859"/>
    <n v="3"/>
    <n v="40.25"/>
    <d v="1899-12-30T02:55:00"/>
    <n v="2.9166666666666665"/>
    <n v="3"/>
    <x v="0"/>
    <s v="Portland"/>
    <n v="4"/>
  </r>
  <r>
    <n v="2052"/>
    <s v="DD"/>
    <s v="Hourly"/>
    <n v="7"/>
    <x v="0"/>
    <x v="859"/>
    <n v="2"/>
    <n v="26.58"/>
    <d v="1899-12-30T01:48:00"/>
    <n v="1.7999999999999998"/>
    <n v="1.75"/>
    <x v="2"/>
    <s v="Portland"/>
    <n v="4"/>
  </r>
  <r>
    <n v="2053"/>
    <s v="DD"/>
    <s v="Hourly"/>
    <n v="7"/>
    <x v="0"/>
    <x v="859"/>
    <n v="2"/>
    <n v="17.95"/>
    <d v="1899-12-30T00:53:00"/>
    <n v="0.8833333333333333"/>
    <n v="1"/>
    <x v="2"/>
    <s v="Portland"/>
    <n v="4"/>
  </r>
  <r>
    <n v="2054"/>
    <s v="UE"/>
    <s v="Order"/>
    <n v="7"/>
    <x v="1"/>
    <x v="860"/>
    <n v="3"/>
    <n v="60.17"/>
    <d v="1899-12-30T03:42:00"/>
    <n v="3.7"/>
    <n v="3.75"/>
    <x v="2"/>
    <s v="Brunswick/Bath/Freeport"/>
    <n v="2"/>
  </r>
  <r>
    <n v="2055"/>
    <s v="UE"/>
    <s v="Order"/>
    <n v="8"/>
    <x v="0"/>
    <x v="861"/>
    <n v="5"/>
    <n v="135.77000000000001"/>
    <d v="1899-12-30T02:51:00"/>
    <n v="2.8499999999999996"/>
    <n v="2.75"/>
    <x v="0"/>
    <s v="Brunswick/Bath/Freeport"/>
    <n v="2"/>
  </r>
  <r>
    <n v="2056"/>
    <s v="DD"/>
    <s v="Order"/>
    <n v="8"/>
    <x v="0"/>
    <x v="861"/>
    <n v="4"/>
    <n v="33.25"/>
    <d v="1899-12-30T02:00:00"/>
    <n v="2"/>
    <n v="2"/>
    <x v="2"/>
    <s v="Brunswick/Bath/Freeport"/>
    <n v="2"/>
  </r>
  <r>
    <n v="2057"/>
    <s v="UE"/>
    <s v="Order"/>
    <n v="8"/>
    <x v="1"/>
    <x v="862"/>
    <n v="10"/>
    <n v="197.22"/>
    <d v="1899-12-30T04:59:00"/>
    <n v="4.9833333333333334"/>
    <n v="5"/>
    <x v="0"/>
    <s v="Brunswick/Bath/Freeport"/>
    <n v="2"/>
  </r>
  <r>
    <n v="2058"/>
    <s v="DD"/>
    <s v="Order"/>
    <n v="10"/>
    <x v="3"/>
    <x v="863"/>
    <n v="10"/>
    <n v="127.19"/>
    <d v="1899-12-30T04:51:00"/>
    <n v="4.8499999999999996"/>
    <n v="4.75"/>
    <x v="0"/>
    <s v="Brunswick/Bath/Freeport"/>
    <n v="2"/>
  </r>
  <r>
    <n v="2059"/>
    <s v="DD"/>
    <s v="Order"/>
    <n v="10"/>
    <x v="4"/>
    <x v="864"/>
    <n v="8"/>
    <n v="49.5"/>
    <d v="1899-12-30T02:20:00"/>
    <n v="2.3333333333333335"/>
    <n v="2.25"/>
    <x v="2"/>
    <s v="Lewiston"/>
    <n v="3"/>
  </r>
  <r>
    <n v="2060"/>
    <s v="UE"/>
    <s v="Hourly"/>
    <n v="10"/>
    <x v="0"/>
    <x v="865"/>
    <n v="3"/>
    <n v="50.97"/>
    <d v="1899-12-30T01:40:00"/>
    <n v="1.6666666666666667"/>
    <n v="1.75"/>
    <x v="0"/>
    <s v="Brunswick/Bath/Freeport"/>
    <n v="2"/>
  </r>
  <r>
    <n v="2061"/>
    <s v="DD"/>
    <s v="Order"/>
    <n v="10"/>
    <x v="0"/>
    <x v="865"/>
    <n v="4"/>
    <n v="29.25"/>
    <d v="1899-12-30T01:11:00"/>
    <n v="1.1833333333333333"/>
    <n v="1.25"/>
    <x v="0"/>
    <s v="Brunswick/Bath/Freeport"/>
    <n v="2"/>
  </r>
  <r>
    <n v="2062"/>
    <s v="UE"/>
    <s v="Order"/>
    <n v="11"/>
    <x v="4"/>
    <x v="866"/>
    <n v="4"/>
    <n v="116.3"/>
    <d v="1899-12-30T03:08:00"/>
    <n v="3.1333333333333337"/>
    <n v="3.25"/>
    <x v="0"/>
    <s v="Portland"/>
    <n v="4"/>
  </r>
  <r>
    <n v="2063"/>
    <s v="DD"/>
    <s v="Order"/>
    <n v="11"/>
    <x v="4"/>
    <x v="866"/>
    <n v="2"/>
    <n v="18.04"/>
    <d v="1899-12-30T02:04:00"/>
    <n v="2.0666666666666664"/>
    <n v="2"/>
    <x v="0"/>
    <s v="Portland"/>
    <n v="4"/>
  </r>
  <r>
    <n v="2064"/>
    <s v="UE"/>
    <s v="Hourly"/>
    <n v="11"/>
    <x v="0"/>
    <x v="867"/>
    <n v="2"/>
    <n v="46.22"/>
    <d v="1899-12-30T02:59:00"/>
    <n v="2.9833333333333334"/>
    <n v="3"/>
    <x v="0"/>
    <s v="Brunswick/Bath/Freeport"/>
    <n v="2"/>
  </r>
  <r>
    <n v="2065"/>
    <s v="DD"/>
    <s v="Hourly"/>
    <n v="11"/>
    <x v="0"/>
    <x v="867"/>
    <n v="1"/>
    <n v="24.29"/>
    <d v="1899-12-30T01:01:00"/>
    <n v="1.0166666666666666"/>
    <n v="1"/>
    <x v="0"/>
    <s v="Brunswick/Bath/Freeport"/>
    <n v="2"/>
  </r>
  <r>
    <n v="2066"/>
    <s v="DD"/>
    <s v="Order"/>
    <n v="11"/>
    <x v="0"/>
    <x v="867"/>
    <n v="3"/>
    <n v="25.95"/>
    <d v="1899-12-30T02:08:00"/>
    <n v="2.1333333333333333"/>
    <n v="2.25"/>
    <x v="2"/>
    <s v="Brunswick/Bath/Freeport"/>
    <n v="2"/>
  </r>
  <r>
    <n v="2067"/>
    <s v="UE"/>
    <s v="Order"/>
    <n v="12"/>
    <x v="4"/>
    <x v="868"/>
    <n v="2"/>
    <n v="42.97"/>
    <d v="1899-12-30T02:49:00"/>
    <n v="2.8166666666666664"/>
    <n v="2.75"/>
    <x v="2"/>
    <s v="Brunswick/Bath/Freeport"/>
    <n v="2"/>
  </r>
  <r>
    <n v="2068"/>
    <s v="DD"/>
    <s v="Order"/>
    <n v="12"/>
    <x v="4"/>
    <x v="868"/>
    <n v="2"/>
    <n v="29.1"/>
    <d v="1899-12-30T03:41:00"/>
    <n v="3.6833333333333336"/>
    <n v="3.75"/>
    <x v="2"/>
    <s v="Brunswick/Bath/Freeport"/>
    <n v="2"/>
  </r>
  <r>
    <n v="2069"/>
    <s v="UE"/>
    <s v="Hourly"/>
    <n v="13"/>
    <x v="5"/>
    <x v="869"/>
    <n v="3"/>
    <n v="41.61"/>
    <d v="1899-12-30T02:43:00"/>
    <n v="2.7166666666666668"/>
    <n v="2.75"/>
    <x v="0"/>
    <s v="Brunswick/Bath/Freeport"/>
    <n v="2"/>
  </r>
  <r>
    <n v="2070"/>
    <s v="DD"/>
    <s v="Hourly"/>
    <n v="13"/>
    <x v="5"/>
    <x v="869"/>
    <n v="1"/>
    <n v="11.99"/>
    <d v="1899-12-30T01:23:00"/>
    <n v="1.3833333333333333"/>
    <n v="1.5"/>
    <x v="0"/>
    <s v="Brunswick/Bath/Freeport"/>
    <n v="2"/>
  </r>
  <r>
    <n v="2071"/>
    <s v="DD"/>
    <s v="Order"/>
    <n v="13"/>
    <x v="5"/>
    <x v="869"/>
    <n v="3"/>
    <n v="61.13"/>
    <d v="1899-12-30T02:29:00"/>
    <n v="2.4833333333333334"/>
    <n v="2.5"/>
    <x v="0"/>
    <s v="Brunswick/Bath/Freeport"/>
    <n v="2"/>
  </r>
  <r>
    <n v="2072"/>
    <s v="UE"/>
    <s v="Hourly"/>
    <n v="13"/>
    <x v="6"/>
    <x v="870"/>
    <n v="7"/>
    <n v="81.8"/>
    <d v="1899-12-30T03:42:00"/>
    <n v="3.7"/>
    <n v="3.75"/>
    <x v="0"/>
    <s v="Brunswick/Bath/Freeport"/>
    <n v="2"/>
  </r>
  <r>
    <n v="2073"/>
    <s v="DD"/>
    <s v="Order"/>
    <n v="13"/>
    <x v="6"/>
    <x v="870"/>
    <n v="1"/>
    <n v="17.5"/>
    <d v="1899-12-30T00:39:00"/>
    <n v="0.65"/>
    <n v="0.75"/>
    <x v="2"/>
    <s v="Brunswick/Bath/Freeport"/>
    <n v="2"/>
  </r>
  <r>
    <n v="2074"/>
    <s v="DD"/>
    <s v="Hourly"/>
    <n v="16"/>
    <x v="4"/>
    <x v="871"/>
    <n v="8"/>
    <n v="56.55"/>
    <d v="1899-12-30T03:02:00"/>
    <n v="3.0333333333333332"/>
    <n v="3"/>
    <x v="2"/>
    <s v="Brunswick/Bath/Freeport"/>
    <n v="2"/>
  </r>
  <r>
    <n v="2075"/>
    <s v="UE"/>
    <s v="Order"/>
    <n v="17"/>
    <x v="5"/>
    <x v="872"/>
    <n v="5"/>
    <n v="180.98"/>
    <d v="1899-12-30T03:26:00"/>
    <n v="3.4333333333333331"/>
    <n v="3.5"/>
    <x v="0"/>
    <s v="Lewiston"/>
    <n v="3"/>
  </r>
  <r>
    <n v="2076"/>
    <s v="DD"/>
    <s v="Hourly"/>
    <n v="17"/>
    <x v="5"/>
    <x v="872"/>
    <n v="4"/>
    <n v="24.59"/>
    <d v="1899-12-30T03:10:00"/>
    <n v="3.166666666666667"/>
    <n v="3.25"/>
    <x v="0"/>
    <s v="Lewiston"/>
    <n v="3"/>
  </r>
  <r>
    <n v="2077"/>
    <s v="UE"/>
    <s v="Order"/>
    <n v="17"/>
    <x v="0"/>
    <x v="873"/>
    <n v="10"/>
    <n v="237.25"/>
    <d v="1899-12-30T04:11:00"/>
    <n v="4.1833333333333336"/>
    <n v="4.25"/>
    <x v="0"/>
    <s v="Lewiston"/>
    <n v="3"/>
  </r>
  <r>
    <n v="2078"/>
    <s v="DD"/>
    <s v="Hourly"/>
    <n v="17"/>
    <x v="0"/>
    <x v="873"/>
    <n v="4"/>
    <n v="23.27"/>
    <d v="1899-12-30T01:51:00"/>
    <n v="1.85"/>
    <n v="1.75"/>
    <x v="2"/>
    <s v="Lewiston"/>
    <n v="3"/>
  </r>
  <r>
    <n v="2079"/>
    <s v="DD"/>
    <s v="Hourly"/>
    <n v="17"/>
    <x v="0"/>
    <x v="873"/>
    <n v="4"/>
    <n v="65.16"/>
    <d v="1899-12-30T02:29:00"/>
    <n v="2.4833333333333334"/>
    <n v="2.5"/>
    <x v="2"/>
    <s v="Lewiston"/>
    <n v="3"/>
  </r>
  <r>
    <n v="2080"/>
    <s v="UE"/>
    <s v="Order"/>
    <n v="18"/>
    <x v="5"/>
    <x v="874"/>
    <n v="2"/>
    <n v="29.13"/>
    <d v="1899-12-30T01:14:00"/>
    <n v="1.2333333333333334"/>
    <n v="1.25"/>
    <x v="0"/>
    <s v="Lewiston"/>
    <n v="3"/>
  </r>
  <r>
    <n v="2081"/>
    <s v="DD"/>
    <s v="Order"/>
    <n v="18"/>
    <x v="5"/>
    <x v="874"/>
    <n v="11"/>
    <n v="93.75"/>
    <d v="1899-12-30T05:28:00"/>
    <n v="5.4666666666666668"/>
    <n v="5.5"/>
    <x v="0"/>
    <s v="Lewiston"/>
    <n v="3"/>
  </r>
  <r>
    <n v="2082"/>
    <s v="UE"/>
    <s v="Order"/>
    <n v="19"/>
    <x v="3"/>
    <x v="875"/>
    <n v="3"/>
    <n v="22.78"/>
    <d v="1899-12-30T02:15:00"/>
    <n v="2.25"/>
    <n v="2.25"/>
    <x v="0"/>
    <s v="Brunswick/Bath/Freeport"/>
    <n v="2"/>
  </r>
  <r>
    <n v="2083"/>
    <s v="DD"/>
    <s v="Order"/>
    <n v="19"/>
    <x v="3"/>
    <x v="875"/>
    <n v="1"/>
    <n v="7.3"/>
    <d v="1899-12-30T02:15:00"/>
    <n v="2.25"/>
    <n v="2.25"/>
    <x v="0"/>
    <s v="Brunswick/Bath/Freeport"/>
    <n v="2"/>
  </r>
  <r>
    <n v="2084"/>
    <s v="DD"/>
    <s v="Order"/>
    <n v="19"/>
    <x v="3"/>
    <x v="875"/>
    <n v="3"/>
    <n v="27.65"/>
    <d v="1899-12-30T01:18:00"/>
    <n v="1.3"/>
    <n v="1.25"/>
    <x v="2"/>
    <s v="Brunswick/Bath/Freeport"/>
    <n v="2"/>
  </r>
  <r>
    <n v="2085"/>
    <s v="UE"/>
    <s v="Order"/>
    <n v="19"/>
    <x v="0"/>
    <x v="876"/>
    <n v="1"/>
    <n v="10.54"/>
    <d v="1899-12-30T01:27:00"/>
    <n v="1.45"/>
    <n v="1.5"/>
    <x v="0"/>
    <s v="Brunswick/Bath/Freeport"/>
    <n v="2"/>
  </r>
  <r>
    <n v="2086"/>
    <s v="DD"/>
    <s v="Order"/>
    <n v="19"/>
    <x v="0"/>
    <x v="876"/>
    <n v="1"/>
    <n v="8.4"/>
    <d v="1899-12-30T01:02:00"/>
    <n v="1.0333333333333332"/>
    <n v="1"/>
    <x v="0"/>
    <s v="Brunswick/Bath/Freeport"/>
    <n v="2"/>
  </r>
  <r>
    <n v="2087"/>
    <s v="UE"/>
    <s v="Order"/>
    <n v="20"/>
    <x v="3"/>
    <x v="877"/>
    <n v="4"/>
    <n v="62.63"/>
    <d v="1899-12-30T02:27:00"/>
    <n v="2.4500000000000002"/>
    <n v="2.5"/>
    <x v="0"/>
    <s v="Brunswick/Bath/Freeport"/>
    <n v="2"/>
  </r>
  <r>
    <n v="2088"/>
    <s v="DD"/>
    <s v="Hourly"/>
    <n v="20"/>
    <x v="3"/>
    <x v="877"/>
    <n v="1"/>
    <n v="7.49"/>
    <d v="1899-12-30T01:05:00"/>
    <n v="1.0833333333333333"/>
    <n v="1"/>
    <x v="0"/>
    <s v="Brunswick/Bath/Freeport"/>
    <n v="2"/>
  </r>
  <r>
    <n v="2089"/>
    <s v="DD"/>
    <s v="Order"/>
    <n v="20"/>
    <x v="3"/>
    <x v="877"/>
    <n v="1"/>
    <n v="10.65"/>
    <d v="1899-12-30T01:21:00"/>
    <n v="1.35"/>
    <n v="1.25"/>
    <x v="2"/>
    <s v="Brunswick/Bath/Freeport"/>
    <n v="2"/>
  </r>
  <r>
    <n v="2090"/>
    <s v="UE"/>
    <s v="Order"/>
    <n v="20"/>
    <x v="4"/>
    <x v="878"/>
    <n v="2"/>
    <n v="34.08"/>
    <d v="1899-12-30T02:01:00"/>
    <n v="2.0166666666666666"/>
    <n v="2"/>
    <x v="0"/>
    <s v="Brunswick/Bath/Freeport"/>
    <n v="2"/>
  </r>
  <r>
    <n v="2091"/>
    <s v="DD"/>
    <s v="Order"/>
    <n v="20"/>
    <x v="4"/>
    <x v="878"/>
    <n v="4"/>
    <n v="69.25"/>
    <d v="1899-12-30T03:08:00"/>
    <n v="3.1333333333333337"/>
    <n v="3.25"/>
    <x v="0"/>
    <s v="Brunswick/Bath/Freeport"/>
    <n v="2"/>
  </r>
  <r>
    <n v="2092"/>
    <s v="UE"/>
    <s v="Order"/>
    <n v="20"/>
    <x v="2"/>
    <x v="879"/>
    <n v="7"/>
    <n v="90.11"/>
    <d v="1899-12-30T04:11:00"/>
    <n v="4.1833333333333336"/>
    <n v="4.25"/>
    <x v="0"/>
    <s v="Portland"/>
    <n v="4"/>
  </r>
  <r>
    <n v="2093"/>
    <s v="DD"/>
    <s v="Order"/>
    <n v="20"/>
    <x v="2"/>
    <x v="879"/>
    <n v="2"/>
    <n v="33.35"/>
    <d v="1899-12-30T01:03:00"/>
    <n v="1.0499999999999998"/>
    <n v="1"/>
    <x v="0"/>
    <s v="Portland"/>
    <n v="4"/>
  </r>
  <r>
    <n v="2094"/>
    <s v="DD"/>
    <s v="Hourly"/>
    <n v="20"/>
    <x v="2"/>
    <x v="879"/>
    <n v="3"/>
    <n v="30.19"/>
    <d v="1899-12-30T01:27:00"/>
    <n v="1.45"/>
    <n v="1.5"/>
    <x v="2"/>
    <s v="Portland"/>
    <n v="4"/>
  </r>
  <r>
    <n v="2095"/>
    <s v="UE"/>
    <s v="Order"/>
    <n v="21"/>
    <x v="5"/>
    <x v="880"/>
    <n v="6"/>
    <n v="84.21"/>
    <d v="1899-12-30T03:27:00"/>
    <n v="3.4499999999999997"/>
    <n v="3.5"/>
    <x v="0"/>
    <s v="Brunswick/Bath/Freeport"/>
    <n v="2"/>
  </r>
  <r>
    <n v="2096"/>
    <s v="DD"/>
    <s v="Order"/>
    <n v="21"/>
    <x v="5"/>
    <x v="880"/>
    <n v="3"/>
    <n v="18.3"/>
    <d v="1899-12-30T01:46:00"/>
    <n v="1.7666666666666666"/>
    <n v="1.75"/>
    <x v="0"/>
    <s v="Lewiston"/>
    <n v="3"/>
  </r>
  <r>
    <n v="2097"/>
    <s v="DD"/>
    <s v="Order"/>
    <n v="21"/>
    <x v="5"/>
    <x v="880"/>
    <n v="1"/>
    <n v="5"/>
    <d v="1899-12-30T01:00:00"/>
    <n v="1"/>
    <n v="1"/>
    <x v="2"/>
    <s v="Lewiston"/>
    <n v="3"/>
  </r>
  <r>
    <n v="2098"/>
    <s v="UE"/>
    <s v="Order"/>
    <n v="21"/>
    <x v="0"/>
    <x v="881"/>
    <n v="9"/>
    <n v="125.25"/>
    <d v="1899-12-30T06:28:00"/>
    <n v="6.4666666666666668"/>
    <n v="6.5"/>
    <x v="2"/>
    <s v="Lewiston"/>
    <n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2">
  <r>
    <d v="2026-05-22T00:00:00"/>
    <x v="0"/>
    <x v="0"/>
    <n v="8"/>
    <n v="21"/>
    <x v="0"/>
    <x v="0"/>
    <x v="0"/>
    <s v="Clear"/>
    <n v="46"/>
    <x v="0"/>
    <n v="144"/>
    <n v="9"/>
    <n v="125.25"/>
    <n v="93.138000000000005"/>
    <n v="20.104299999999999"/>
    <n v="14.949919743178199"/>
    <n v="13.9166666666667"/>
    <n v="0.86979166666666596"/>
    <s v="Order"/>
    <n v="23.685199999999998"/>
  </r>
  <r>
    <d v="2026-05-20T00:00:00"/>
    <x v="0"/>
    <x v="0"/>
    <n v="8"/>
    <n v="21"/>
    <x v="1"/>
    <x v="1"/>
    <x v="0"/>
    <s v="Clear"/>
    <n v="84"/>
    <x v="1"/>
    <n v="102"/>
    <n v="10"/>
    <n v="107.51"/>
    <n v="84.763999999999996"/>
    <n v="21.4163"/>
    <n v="16.8852589641434"/>
    <n v="10.750999999999999"/>
    <n v="1.0540196078431401"/>
    <s v="Order"/>
    <n v="26.3629"/>
  </r>
  <r>
    <d v="2026-05-17T00:00:00"/>
    <x v="0"/>
    <x v="0"/>
    <n v="7"/>
    <n v="20"/>
    <x v="2"/>
    <x v="2"/>
    <x v="1"/>
    <s v="Clear"/>
    <n v="79"/>
    <x v="2"/>
    <n v="113"/>
    <n v="12"/>
    <n v="153.65"/>
    <n v="128.45099999999999"/>
    <n v="24.120899999999999"/>
    <n v="20.1649921507064"/>
    <n v="12.804166666666699"/>
    <n v="1.3597345132743399"/>
    <s v="Order"/>
    <n v="25.168299999999999"/>
  </r>
  <r>
    <d v="2026-05-12T00:00:00"/>
    <x v="0"/>
    <x v="0"/>
    <n v="7"/>
    <n v="20"/>
    <x v="3"/>
    <x v="3"/>
    <x v="2"/>
    <s v="Overcast"/>
    <n v="54"/>
    <x v="3"/>
    <n v="100"/>
    <n v="6"/>
    <n v="103.33"/>
    <n v="81.03"/>
    <n v="28.943999999999999"/>
    <n v="22.697478991596601"/>
    <n v="17.2216666666667"/>
    <n v="1.0333000000000001"/>
    <s v="Order"/>
    <n v="25.0717"/>
  </r>
  <r>
    <d v="2026-05-11T00:00:00"/>
    <x v="0"/>
    <x v="0"/>
    <n v="7"/>
    <n v="20"/>
    <x v="4"/>
    <x v="4"/>
    <x v="2"/>
    <s v="Clear"/>
    <n v="54"/>
    <x v="4"/>
    <n v="81"/>
    <n v="6"/>
    <n v="80.77"/>
    <n v="62.707000000000001"/>
    <n v="25.641300000000001"/>
    <n v="19.906984126984099"/>
    <n v="13.4616666666667"/>
    <n v="0.99716049382715999"/>
    <s v="Order"/>
    <n v="23.9236"/>
  </r>
  <r>
    <d v="2026-05-08T00:00:00"/>
    <x v="0"/>
    <x v="0"/>
    <n v="6"/>
    <n v="19"/>
    <x v="0"/>
    <x v="5"/>
    <x v="2"/>
    <s v="Mostly Cloudy"/>
    <n v="54"/>
    <x v="5"/>
    <n v="59"/>
    <n v="2"/>
    <n v="18.940000000000001"/>
    <n v="5.7830000000000004"/>
    <n v="10.5222"/>
    <n v="3.21277777777778"/>
    <n v="9.4700000000000006"/>
    <n v="0.32101694915254197"/>
    <s v="Order"/>
    <n v="23.0261"/>
  </r>
  <r>
    <d v="2026-05-04T00:00:00"/>
    <x v="0"/>
    <x v="0"/>
    <n v="6"/>
    <n v="19"/>
    <x v="4"/>
    <x v="6"/>
    <x v="2"/>
    <s v="Clear"/>
    <n v="64"/>
    <x v="6"/>
    <n v="73"/>
    <n v="7"/>
    <n v="57.73"/>
    <n v="41.451000000000001"/>
    <n v="15.3947"/>
    <n v="11.053599999999999"/>
    <n v="8.24714285714286"/>
    <n v="0.79082191780821898"/>
    <s v="Order"/>
    <n v="22.8157"/>
  </r>
  <r>
    <d v="2026-04-29T00:00:00"/>
    <x v="0"/>
    <x v="0"/>
    <n v="5"/>
    <n v="18"/>
    <x v="1"/>
    <x v="7"/>
    <x v="0"/>
    <s v="Light Rain"/>
    <n v="48"/>
    <x v="7"/>
    <n v="87"/>
    <n v="13"/>
    <n v="122.88"/>
    <n v="103.479"/>
    <n v="22.464400000000001"/>
    <n v="18.917550274223"/>
    <n v="9.4523076923076896"/>
    <n v="1.4124137931034499"/>
    <s v="Order"/>
    <n v="23.749199999999998"/>
  </r>
  <r>
    <d v="2026-04-24T00:00:00"/>
    <x v="0"/>
    <x v="0"/>
    <n v="4"/>
    <n v="17"/>
    <x v="0"/>
    <x v="6"/>
    <x v="0"/>
    <s v="Overcast"/>
    <n v="46"/>
    <x v="8"/>
    <n v="107"/>
    <n v="18"/>
    <n v="325.68"/>
    <n v="301.81900000000002"/>
    <n v="45.422600000000003"/>
    <n v="42.09470013947"/>
    <n v="18.093333333333302"/>
    <n v="3.0437383177570099"/>
    <s v="Order"/>
    <n v="22.6266"/>
  </r>
  <r>
    <d v="2026-04-22T00:00:00"/>
    <x v="0"/>
    <x v="0"/>
    <n v="4"/>
    <n v="17"/>
    <x v="1"/>
    <x v="8"/>
    <x v="0"/>
    <s v="Overcast"/>
    <n v="43"/>
    <x v="9"/>
    <n v="72"/>
    <n v="9"/>
    <n v="205.57"/>
    <n v="189.51400000000001"/>
    <n v="43.460900000000002"/>
    <n v="40.066384778012697"/>
    <n v="22.8411111111111"/>
    <n v="2.8551388888888898"/>
    <s v="Order"/>
    <n v="20.2347"/>
  </r>
  <r>
    <d v="2026-04-14T00:00:00"/>
    <x v="0"/>
    <x v="0"/>
    <n v="3"/>
    <n v="16"/>
    <x v="3"/>
    <x v="0"/>
    <x v="2"/>
    <s v="Fog"/>
    <n v="54"/>
    <x v="10"/>
    <n v="47"/>
    <n v="8"/>
    <n v="56.55"/>
    <n v="46.069000000000003"/>
    <n v="18.125"/>
    <n v="14.7657051282051"/>
    <n v="7.0687499999999996"/>
    <n v="1.2031914893617"/>
    <s v="Hourly"/>
    <n v="22.256699999999999"/>
  </r>
  <r>
    <d v="2026-03-26T00:00:00"/>
    <x v="0"/>
    <x v="1"/>
    <n v="13"/>
    <n v="13"/>
    <x v="5"/>
    <x v="9"/>
    <x v="2"/>
    <s v="Mostly Cloudy"/>
    <n v="45"/>
    <x v="11"/>
    <n v="105"/>
    <n v="8"/>
    <n v="99.3"/>
    <n v="75.885000000000005"/>
    <n v="22.671199999999999"/>
    <n v="17.325342465753401"/>
    <n v="12.4125"/>
    <n v="0.94571428571428595"/>
    <s v="Hourly"/>
    <n v="26.0533"/>
  </r>
  <r>
    <d v="2026-03-25T00:00:00"/>
    <x v="0"/>
    <x v="1"/>
    <n v="13"/>
    <n v="13"/>
    <x v="1"/>
    <x v="10"/>
    <x v="2"/>
    <s v="Clear"/>
    <n v="41"/>
    <x v="12"/>
    <n v="102"/>
    <n v="7"/>
    <n v="114.73"/>
    <n v="91.983999999999995"/>
    <n v="24.153700000000001"/>
    <n v="19.365052631578902"/>
    <n v="16.39"/>
    <n v="1.1248039215686301"/>
    <s v="Order"/>
    <n v="24.95"/>
  </r>
  <r>
    <d v="2026-03-17T00:00:00"/>
    <x v="0"/>
    <x v="1"/>
    <n v="12"/>
    <n v="12"/>
    <x v="3"/>
    <x v="11"/>
    <x v="2"/>
    <s v="Clear"/>
    <n v="34"/>
    <x v="6"/>
    <n v="105"/>
    <n v="4"/>
    <n v="72.069999999999993"/>
    <n v="48.655000000000001"/>
    <n v="19.218699999999998"/>
    <n v="12.9746666666667"/>
    <n v="18.017499999999998"/>
    <n v="0.68638095238095198"/>
    <s v="Order"/>
    <n v="26.127400000000002"/>
  </r>
  <r>
    <d v="2026-03-13T00:00:00"/>
    <x v="0"/>
    <x v="1"/>
    <n v="11"/>
    <n v="11"/>
    <x v="0"/>
    <x v="6"/>
    <x v="2"/>
    <s v="Overcast"/>
    <n v="34"/>
    <x v="13"/>
    <n v="124"/>
    <n v="6"/>
    <n v="96.46"/>
    <n v="68.808000000000007"/>
    <n v="24.2972"/>
    <n v="17.331989924433199"/>
    <n v="16.0766666666667"/>
    <n v="0.77790322580645199"/>
    <s v="Hourly"/>
    <n v="28.043700000000001"/>
  </r>
  <r>
    <d v="2026-03-10T00:00:00"/>
    <x v="0"/>
    <x v="1"/>
    <n v="11"/>
    <n v="11"/>
    <x v="3"/>
    <x v="12"/>
    <x v="1"/>
    <s v="Partially Cloudy"/>
    <n v="50"/>
    <x v="14"/>
    <n v="74"/>
    <n v="6"/>
    <n v="134.34"/>
    <n v="117.83799999999999"/>
    <n v="33.170400000000001"/>
    <n v="29.095802469135801"/>
    <n v="22.39"/>
    <n v="1.8154054054054101"/>
    <s v="Order"/>
    <n v="31.678100000000001"/>
  </r>
  <r>
    <d v="2026-03-06T00:00:00"/>
    <x v="0"/>
    <x v="1"/>
    <n v="10"/>
    <n v="10"/>
    <x v="0"/>
    <x v="13"/>
    <x v="2"/>
    <s v="Mostly Cloudy"/>
    <n v="32"/>
    <x v="15"/>
    <n v="70"/>
    <n v="7"/>
    <n v="80.22"/>
    <n v="64.61"/>
    <n v="25.877400000000002"/>
    <n v="20.841935483871001"/>
    <n v="11.46"/>
    <n v="1.1459999999999999"/>
    <s v="Hourly"/>
    <n v="35.625599999999999"/>
  </r>
  <r>
    <d v="2026-03-03T00:00:00"/>
    <x v="0"/>
    <x v="1"/>
    <n v="10"/>
    <n v="10"/>
    <x v="3"/>
    <x v="14"/>
    <x v="0"/>
    <s v="Snow Storm"/>
    <n v="28"/>
    <x v="16"/>
    <n v="23"/>
    <n v="8"/>
    <n v="49.5"/>
    <n v="44.371000000000002"/>
    <n v="21.244599999999998"/>
    <n v="19.043347639484999"/>
    <n v="6.1875"/>
    <n v="2.1521739130434798"/>
    <s v="Order"/>
    <n v="36.365200000000002"/>
  </r>
  <r>
    <d v="2026-03-02T00:00:00"/>
    <x v="0"/>
    <x v="1"/>
    <n v="10"/>
    <n v="10"/>
    <x v="4"/>
    <x v="13"/>
    <x v="2"/>
    <s v="Clear"/>
    <n v="18"/>
    <x v="17"/>
    <n v="111"/>
    <n v="10"/>
    <n v="127.19"/>
    <n v="102.437"/>
    <n v="26.117000000000001"/>
    <n v="21.0342915811088"/>
    <n v="12.718999999999999"/>
    <n v="1.14585585585586"/>
    <s v="Order"/>
    <n v="36.476999999999997"/>
  </r>
  <r>
    <d v="2026-02-21T00:00:00"/>
    <x v="0"/>
    <x v="1"/>
    <n v="8"/>
    <n v="8"/>
    <x v="6"/>
    <x v="15"/>
    <x v="2"/>
    <s v="Clear"/>
    <n v="27"/>
    <x v="18"/>
    <n v="122"/>
    <n v="10"/>
    <n v="197.22"/>
    <n v="170.01400000000001"/>
    <n v="39.602400000000003"/>
    <n v="34.139357429718899"/>
    <n v="19.722000000000001"/>
    <n v="1.6165573770491799"/>
    <s v="Order"/>
    <n v="42.584099999999999"/>
  </r>
  <r>
    <d v="2026-02-20T00:00:00"/>
    <x v="0"/>
    <x v="1"/>
    <n v="8"/>
    <n v="8"/>
    <x v="0"/>
    <x v="13"/>
    <x v="2"/>
    <s v="Snow Storm"/>
    <n v="32"/>
    <x v="19"/>
    <n v="77"/>
    <n v="9"/>
    <n v="169.02"/>
    <n v="151.84899999999999"/>
    <n v="40.052100000000003"/>
    <n v="35.9831753554502"/>
    <n v="18.78"/>
    <n v="2.19506493506494"/>
    <s v="Order"/>
    <n v="41.022199999999998"/>
  </r>
  <r>
    <d v="2026-02-14T00:00:00"/>
    <x v="0"/>
    <x v="1"/>
    <n v="7"/>
    <n v="7"/>
    <x v="6"/>
    <x v="16"/>
    <x v="2"/>
    <s v="Clear"/>
    <n v="28"/>
    <x v="20"/>
    <n v="109"/>
    <n v="3"/>
    <n v="60.17"/>
    <n v="35.863"/>
    <n v="17.191400000000002"/>
    <n v="10.2465714285714"/>
    <n v="20.0566666666667"/>
    <n v="0.55201834862385302"/>
    <s v="Order"/>
    <n v="41.318399999999997"/>
  </r>
  <r>
    <d v="2026-02-13T00:00:00"/>
    <x v="0"/>
    <x v="1"/>
    <n v="7"/>
    <n v="7"/>
    <x v="0"/>
    <x v="6"/>
    <x v="1"/>
    <s v="Clear"/>
    <n v="25"/>
    <x v="21"/>
    <n v="131"/>
    <n v="7"/>
    <n v="84.78"/>
    <n v="55.567"/>
    <n v="19.579699999999999"/>
    <n v="12.833025404157"/>
    <n v="12.111428571428601"/>
    <n v="0.64717557251908397"/>
    <s v="Hourly"/>
    <n v="42.180900000000001"/>
  </r>
  <r>
    <d v="2026-02-01T00:00:00"/>
    <x v="0"/>
    <x v="1"/>
    <n v="5"/>
    <n v="5"/>
    <x v="2"/>
    <x v="17"/>
    <x v="2"/>
    <s v="Clear"/>
    <n v="21"/>
    <x v="22"/>
    <n v="119"/>
    <n v="7"/>
    <n v="141.75"/>
    <n v="115.21299999999999"/>
    <n v="31.640599999999999"/>
    <n v="25.717187500000001"/>
    <n v="20.25"/>
    <n v="1.1911764705882399"/>
    <s v="Order"/>
    <n v="45.8294"/>
  </r>
  <r>
    <d v="2026-01-26T00:00:00"/>
    <x v="0"/>
    <x v="1"/>
    <n v="5"/>
    <n v="5"/>
    <x v="4"/>
    <x v="18"/>
    <x v="2"/>
    <s v="Light Snow"/>
    <n v="12"/>
    <x v="23"/>
    <n v="24"/>
    <n v="2"/>
    <n v="21.84"/>
    <n v="16.488"/>
    <n v="25.694099999999999"/>
    <n v="19.397647058823502"/>
    <n v="10.92"/>
    <n v="0.91"/>
    <s v="Order"/>
    <n v="48.649900000000002"/>
  </r>
  <r>
    <d v="2026-01-24T00:00:00"/>
    <x v="0"/>
    <x v="1"/>
    <n v="4"/>
    <n v="4"/>
    <x v="6"/>
    <x v="19"/>
    <x v="2"/>
    <s v="Clear"/>
    <n v="16"/>
    <x v="24"/>
    <n v="94"/>
    <n v="8"/>
    <n v="110.41"/>
    <n v="89.447999999999993"/>
    <n v="23.898299999999999"/>
    <n v="19.361038961039"/>
    <n v="13.80125"/>
    <n v="1.17457446808511"/>
    <s v="Order"/>
    <n v="51.494100000000003"/>
  </r>
  <r>
    <d v="2026-01-19T00:00:00"/>
    <x v="0"/>
    <x v="1"/>
    <n v="4"/>
    <n v="4"/>
    <x v="4"/>
    <x v="20"/>
    <x v="1"/>
    <s v="Overcast"/>
    <n v="30"/>
    <x v="25"/>
    <n v="90"/>
    <n v="6"/>
    <n v="77.680000000000007"/>
    <n v="57.61"/>
    <n v="17.3781"/>
    <n v="12.8881431767338"/>
    <n v="12.946666666666699"/>
    <n v="0.86311111111111105"/>
    <s v="Hourly"/>
    <n v="50.965000000000003"/>
  </r>
  <r>
    <d v="2026-01-18T00:00:00"/>
    <x v="0"/>
    <x v="1"/>
    <n v="3"/>
    <n v="3"/>
    <x v="2"/>
    <x v="21"/>
    <x v="2"/>
    <s v="Overcast"/>
    <n v="30"/>
    <x v="26"/>
    <n v="45"/>
    <n v="3"/>
    <n v="22.93"/>
    <n v="12.895"/>
    <n v="14.067500000000001"/>
    <n v="7.9110429447852804"/>
    <n v="7.64333333333333"/>
    <n v="0.50955555555555598"/>
    <s v="Hourly"/>
    <n v="51.784199999999998"/>
  </r>
  <r>
    <d v="2026-01-17T00:00:00"/>
    <x v="0"/>
    <x v="1"/>
    <n v="3"/>
    <n v="3"/>
    <x v="6"/>
    <x v="22"/>
    <x v="0"/>
    <s v="Light Snow"/>
    <n v="25"/>
    <x v="27"/>
    <n v="72"/>
    <n v="11"/>
    <n v="131.44999999999999"/>
    <n v="115.39400000000001"/>
    <n v="30.784500000000001"/>
    <n v="27.024355971896998"/>
    <n v="11.95"/>
    <n v="1.8256944444444401"/>
    <s v="Hourly"/>
    <n v="52.913899999999998"/>
  </r>
  <r>
    <d v="2026-01-16T00:00:00"/>
    <x v="0"/>
    <x v="1"/>
    <n v="3"/>
    <n v="3"/>
    <x v="0"/>
    <x v="9"/>
    <x v="2"/>
    <s v="Clear"/>
    <n v="18"/>
    <x v="28"/>
    <n v="100"/>
    <n v="8"/>
    <n v="155.49"/>
    <n v="133.19"/>
    <n v="37.740299999999998"/>
    <n v="32.327669902912596"/>
    <n v="19.436250000000001"/>
    <n v="1.5548999999999999"/>
    <s v="Order"/>
    <n v="51.453299999999999"/>
  </r>
  <r>
    <d v="2026-01-14T00:00:00"/>
    <x v="0"/>
    <x v="1"/>
    <n v="3"/>
    <n v="3"/>
    <x v="1"/>
    <x v="23"/>
    <x v="0"/>
    <s v="Light Rain"/>
    <n v="41"/>
    <x v="29"/>
    <n v="38"/>
    <n v="6"/>
    <n v="43.55"/>
    <n v="35.076000000000001"/>
    <n v="19.5291"/>
    <n v="15.7291479820628"/>
    <n v="7.2583333333333302"/>
    <n v="1.1460526315789501"/>
    <s v="Hourly"/>
    <n v="51.390099999999997"/>
  </r>
  <r>
    <d v="2026-01-08T00:00:00"/>
    <x v="0"/>
    <x v="1"/>
    <n v="2"/>
    <n v="2"/>
    <x v="5"/>
    <x v="24"/>
    <x v="0"/>
    <s v="Clear"/>
    <n v="36"/>
    <x v="30"/>
    <n v="33"/>
    <n v="2"/>
    <n v="42.2"/>
    <n v="34.841000000000001"/>
    <n v="24.5349"/>
    <n v="20.256395348837199"/>
    <n v="21.1"/>
    <n v="1.2787878787878799"/>
    <s v="Order"/>
    <n v="53.195099999999996"/>
  </r>
  <r>
    <d v="2026-01-04T00:00:00"/>
    <x v="0"/>
    <x v="1"/>
    <n v="1"/>
    <n v="1"/>
    <x v="2"/>
    <x v="25"/>
    <x v="2"/>
    <s v="Overcast"/>
    <n v="18"/>
    <x v="31"/>
    <n v="37"/>
    <n v="2"/>
    <n v="38.4"/>
    <n v="30.149000000000001"/>
    <n v="31.4754"/>
    <n v="24.712295081967198"/>
    <n v="19.2"/>
    <n v="1.0378378378378399"/>
    <s v="Order"/>
    <n v="56.053899999999999"/>
  </r>
  <r>
    <d v="2026-01-03T00:00:00"/>
    <x v="0"/>
    <x v="1"/>
    <n v="1"/>
    <n v="1"/>
    <x v="6"/>
    <x v="4"/>
    <x v="2"/>
    <s v="Partially Cloudy"/>
    <n v="19"/>
    <x v="32"/>
    <n v="137"/>
    <n v="9"/>
    <n v="155.03"/>
    <n v="124.479"/>
    <n v="32.097299999999997"/>
    <n v="25.772049689441001"/>
    <n v="17.225555555555601"/>
    <n v="1.13160583941606"/>
    <s v="Order"/>
    <n v="55.627200000000002"/>
  </r>
  <r>
    <d v="2026-01-01T00:00:00"/>
    <x v="0"/>
    <x v="1"/>
    <n v="1"/>
    <n v="1"/>
    <x v="5"/>
    <x v="26"/>
    <x v="0"/>
    <s v="Light Snow"/>
    <n v="28"/>
    <x v="33"/>
    <n v="11"/>
    <n v="1"/>
    <n v="9"/>
    <n v="6.5469999999999997"/>
    <n v="20.930199999999999"/>
    <n v="15.225581395348801"/>
    <n v="9"/>
    <n v="0.81818181818181801"/>
    <s v="Order"/>
    <n v="55.6096"/>
  </r>
  <r>
    <d v="2025-12-30T00:00:00"/>
    <x v="1"/>
    <x v="1"/>
    <n v="1"/>
    <n v="1"/>
    <x v="3"/>
    <x v="13"/>
    <x v="2"/>
    <s v="Partially Cloudy"/>
    <n v="14"/>
    <x v="34"/>
    <n v="100"/>
    <n v="7"/>
    <n v="110.07"/>
    <n v="87.77"/>
    <n v="23.670999999999999"/>
    <n v="18.875268817204301"/>
    <n v="15.724285714285701"/>
    <n v="1.1007"/>
    <s v="Order"/>
    <n v="58.577100000000002"/>
  </r>
  <r>
    <d v="2025-12-21T00:00:00"/>
    <x v="1"/>
    <x v="2"/>
    <n v="12"/>
    <n v="51"/>
    <x v="2"/>
    <x v="27"/>
    <x v="1"/>
    <s v="Clear"/>
    <n v="30"/>
    <x v="35"/>
    <n v="151"/>
    <n v="9"/>
    <n v="156.69999999999999"/>
    <n v="123.027"/>
    <n v="27.347300000000001"/>
    <n v="21.470680628272198"/>
    <n v="17.411111111111101"/>
    <n v="1.0377483443708599"/>
    <s v="Order"/>
    <n v="66.898899999999998"/>
  </r>
  <r>
    <d v="2025-12-19T00:00:00"/>
    <x v="1"/>
    <x v="2"/>
    <n v="12"/>
    <n v="51"/>
    <x v="0"/>
    <x v="23"/>
    <x v="3"/>
    <s v="Overcast"/>
    <n v="43"/>
    <x v="36"/>
    <n v="111"/>
    <n v="6"/>
    <n v="64"/>
    <n v="39.247"/>
    <n v="16.537500000000001"/>
    <n v="10.141343669250601"/>
    <n v="10.6666666666667"/>
    <n v="0.57657657657657602"/>
    <s v="Order"/>
    <n v="67.872100000000003"/>
  </r>
  <r>
    <d v="2025-12-16T00:00:00"/>
    <x v="1"/>
    <x v="2"/>
    <n v="12"/>
    <n v="51"/>
    <x v="3"/>
    <x v="10"/>
    <x v="0"/>
    <s v="Clear"/>
    <n v="28"/>
    <x v="37"/>
    <n v="58"/>
    <n v="9"/>
    <n v="60.52"/>
    <n v="47.585999999999999"/>
    <n v="15.801600000000001"/>
    <n v="12.4245430809399"/>
    <n v="6.7244444444444396"/>
    <n v="1.04344827586207"/>
    <s v="Hourly"/>
    <n v="69.6858"/>
  </r>
  <r>
    <d v="2025-12-15T00:00:00"/>
    <x v="1"/>
    <x v="2"/>
    <n v="12"/>
    <n v="51"/>
    <x v="4"/>
    <x v="10"/>
    <x v="2"/>
    <s v="Clear"/>
    <n v="19"/>
    <x v="38"/>
    <n v="103"/>
    <n v="7"/>
    <n v="117.44"/>
    <n v="94.471000000000004"/>
    <n v="28.1631"/>
    <n v="22.654916067146299"/>
    <n v="16.777142857142898"/>
    <n v="1.1401941747572799"/>
    <s v="Order"/>
    <n v="70.7727"/>
  </r>
  <r>
    <d v="2025-12-14T00:00:00"/>
    <x v="1"/>
    <x v="2"/>
    <n v="11"/>
    <n v="50"/>
    <x v="2"/>
    <x v="28"/>
    <x v="3"/>
    <s v="Overcast"/>
    <n v="27"/>
    <x v="39"/>
    <n v="96"/>
    <n v="6"/>
    <n v="66.569999999999993"/>
    <n v="45.161999999999999"/>
    <n v="19.1844"/>
    <n v="13.0149855907781"/>
    <n v="11.095000000000001"/>
    <n v="0.69343750000000004"/>
    <s v="Hourly"/>
    <n v="69.467799999999997"/>
  </r>
  <r>
    <d v="2025-12-13T00:00:00"/>
    <x v="1"/>
    <x v="2"/>
    <n v="11"/>
    <n v="50"/>
    <x v="6"/>
    <x v="29"/>
    <x v="0"/>
    <s v="Mostly Cloudy"/>
    <n v="32"/>
    <x v="40"/>
    <n v="147"/>
    <n v="14"/>
    <n v="154.57"/>
    <n v="121.789"/>
    <n v="22.631"/>
    <n v="17.831478770131799"/>
    <n v="11.0407142857143"/>
    <n v="1.05149659863946"/>
    <s v="Order"/>
    <n v="70.328900000000004"/>
  </r>
  <r>
    <d v="2025-12-12T00:00:00"/>
    <x v="1"/>
    <x v="2"/>
    <n v="11"/>
    <n v="50"/>
    <x v="0"/>
    <x v="30"/>
    <x v="2"/>
    <s v="Partially Cloudy"/>
    <n v="27"/>
    <x v="41"/>
    <n v="105"/>
    <n v="10"/>
    <n v="110.08"/>
    <n v="86.665000000000006"/>
    <n v="19.727599999999999"/>
    <n v="15.5313620071685"/>
    <n v="11.007999999999999"/>
    <n v="1.04838095238095"/>
    <s v="Order"/>
    <n v="69.672300000000007"/>
  </r>
  <r>
    <d v="2025-12-11T00:00:00"/>
    <x v="1"/>
    <x v="2"/>
    <n v="11"/>
    <n v="50"/>
    <x v="5"/>
    <x v="31"/>
    <x v="0"/>
    <s v="Partially Sunny"/>
    <n v="30"/>
    <x v="42"/>
    <n v="159"/>
    <n v="19"/>
    <n v="158.91"/>
    <n v="123.453"/>
    <n v="23.438099999999999"/>
    <n v="18.208407079646001"/>
    <n v="8.3636842105263192"/>
    <n v="0.99943396226415104"/>
    <s v="Order"/>
    <n v="68.449200000000005"/>
  </r>
  <r>
    <d v="2025-12-09T00:00:00"/>
    <x v="1"/>
    <x v="2"/>
    <n v="11"/>
    <n v="50"/>
    <x v="3"/>
    <x v="32"/>
    <x v="2"/>
    <s v="Sunny"/>
    <n v="21"/>
    <x v="43"/>
    <n v="181"/>
    <n v="10"/>
    <n v="131.71"/>
    <n v="91.346999999999994"/>
    <n v="17.561299999999999"/>
    <n v="12.179600000000001"/>
    <n v="13.170999999999999"/>
    <n v="0.72767955801105"/>
    <s v="Order"/>
    <n v="70.436800000000005"/>
  </r>
  <r>
    <d v="2025-12-08T00:00:00"/>
    <x v="1"/>
    <x v="2"/>
    <n v="11"/>
    <n v="50"/>
    <x v="4"/>
    <x v="33"/>
    <x v="0"/>
    <s v="Sunny"/>
    <n v="18"/>
    <x v="44"/>
    <n v="112"/>
    <n v="14"/>
    <n v="156.88"/>
    <n v="131.904"/>
    <n v="27.048300000000001"/>
    <n v="22.742068965517198"/>
    <n v="11.205714285714301"/>
    <n v="1.40071428571429"/>
    <s v="Hourly"/>
    <n v="68.973299999999995"/>
  </r>
  <r>
    <d v="2025-12-07T00:00:00"/>
    <x v="1"/>
    <x v="2"/>
    <n v="10"/>
    <n v="49"/>
    <x v="2"/>
    <x v="34"/>
    <x v="2"/>
    <s v="Overcast"/>
    <n v="32"/>
    <x v="45"/>
    <n v="201"/>
    <n v="14"/>
    <n v="201.02"/>
    <n v="156.197"/>
    <n v="23.052800000000001"/>
    <n v="17.912500000000001"/>
    <n v="14.3585714285714"/>
    <n v="1.0000995024875601"/>
    <s v="Order"/>
    <n v="68.312899999999999"/>
  </r>
  <r>
    <d v="2025-12-06T00:00:00"/>
    <x v="1"/>
    <x v="2"/>
    <n v="10"/>
    <n v="49"/>
    <x v="6"/>
    <x v="35"/>
    <x v="1"/>
    <s v="Partially Sunny"/>
    <n v="27"/>
    <x v="46"/>
    <n v="148"/>
    <n v="13"/>
    <n v="146.79"/>
    <n v="113.786"/>
    <n v="22.308499999999999"/>
    <n v="17.292705167173299"/>
    <n v="11.291538461538501"/>
    <n v="0.99182432432432399"/>
    <s v="Order"/>
    <n v="67.365200000000002"/>
  </r>
  <r>
    <d v="2025-12-03T00:00:00"/>
    <x v="1"/>
    <x v="2"/>
    <n v="10"/>
    <n v="49"/>
    <x v="1"/>
    <x v="10"/>
    <x v="3"/>
    <s v="Overcast"/>
    <n v="30"/>
    <x v="47"/>
    <n v="111"/>
    <n v="5"/>
    <n v="59.56"/>
    <n v="34.807000000000002"/>
    <n v="16.317799999999998"/>
    <n v="9.5361643835616405"/>
    <n v="11.912000000000001"/>
    <n v="0.53657657657657698"/>
    <s v="Order"/>
    <n v="68.023799999999994"/>
  </r>
  <r>
    <d v="2025-12-02T00:00:00"/>
    <x v="1"/>
    <x v="2"/>
    <n v="10"/>
    <n v="49"/>
    <x v="3"/>
    <x v="36"/>
    <x v="1"/>
    <s v="Light Snow"/>
    <n v="27"/>
    <x v="48"/>
    <n v="124"/>
    <n v="7"/>
    <n v="111.37"/>
    <n v="83.718000000000004"/>
    <n v="24.210899999999999"/>
    <n v="18.199565217391299"/>
    <n v="15.91"/>
    <n v="0.89814516129032296"/>
    <s v="Order"/>
    <n v="67.648399999999995"/>
  </r>
  <r>
    <d v="2025-11-30T00:00:00"/>
    <x v="1"/>
    <x v="2"/>
    <n v="9"/>
    <n v="48"/>
    <x v="2"/>
    <x v="37"/>
    <x v="2"/>
    <s v="Rain"/>
    <n v="43"/>
    <x v="49"/>
    <n v="123"/>
    <n v="18"/>
    <n v="185.89"/>
    <n v="158.46100000000001"/>
    <n v="30.827500000000001"/>
    <n v="26.2787728026534"/>
    <n v="10.327222222222201"/>
    <n v="1.51130081300813"/>
    <s v="Order"/>
    <n v="67.581999999999994"/>
  </r>
  <r>
    <d v="2025-11-29T00:00:00"/>
    <x v="1"/>
    <x v="2"/>
    <n v="9"/>
    <n v="48"/>
    <x v="6"/>
    <x v="38"/>
    <x v="2"/>
    <s v="Clear"/>
    <n v="30"/>
    <x v="7"/>
    <n v="140"/>
    <n v="6"/>
    <n v="83.38"/>
    <n v="52.16"/>
    <n v="15.2431"/>
    <n v="9.5356489945155403"/>
    <n v="13.8966666666667"/>
    <n v="0.59557142857142797"/>
    <s v="Order"/>
    <n v="67.744"/>
  </r>
  <r>
    <d v="2025-11-28T00:00:00"/>
    <x v="1"/>
    <x v="2"/>
    <n v="9"/>
    <n v="48"/>
    <x v="0"/>
    <x v="39"/>
    <x v="3"/>
    <s v="Clear"/>
    <n v="32"/>
    <x v="50"/>
    <n v="185"/>
    <n v="17"/>
    <n v="185.76"/>
    <n v="144.505"/>
    <n v="22.489100000000001"/>
    <n v="17.494552058111399"/>
    <n v="10.9270588235294"/>
    <n v="1.00410810810811"/>
    <s v="Order"/>
    <n v="67.051299999999998"/>
  </r>
  <r>
    <d v="2025-11-25T00:00:00"/>
    <x v="1"/>
    <x v="2"/>
    <n v="9"/>
    <n v="48"/>
    <x v="3"/>
    <x v="40"/>
    <x v="2"/>
    <s v="Mostly Cloudy"/>
    <n v="48"/>
    <x v="51"/>
    <n v="63"/>
    <n v="9"/>
    <n v="110.43"/>
    <n v="96.381"/>
    <n v="25.0977"/>
    <n v="21.9047727272727"/>
    <n v="12.27"/>
    <n v="1.75285714285714"/>
    <s v="Order"/>
    <n v="68.041799999999995"/>
  </r>
  <r>
    <d v="2025-11-23T00:00:00"/>
    <x v="1"/>
    <x v="2"/>
    <n v="8"/>
    <n v="47"/>
    <x v="2"/>
    <x v="41"/>
    <x v="2"/>
    <s v="Partially Cloudy"/>
    <n v="39"/>
    <x v="52"/>
    <n v="132"/>
    <n v="6"/>
    <n v="56.65"/>
    <n v="27.213999999999999"/>
    <n v="13.650600000000001"/>
    <n v="6.5575903614457802"/>
    <n v="9.44166666666667"/>
    <n v="0.42916666666666697"/>
    <s v="Hourly"/>
    <n v="69.0518"/>
  </r>
  <r>
    <d v="2025-11-21T00:00:00"/>
    <x v="1"/>
    <x v="2"/>
    <n v="8"/>
    <n v="47"/>
    <x v="0"/>
    <x v="42"/>
    <x v="0"/>
    <s v="Clear"/>
    <n v="30"/>
    <x v="53"/>
    <n v="10"/>
    <n v="1"/>
    <n v="6.97"/>
    <n v="4.74"/>
    <n v="17.425000000000001"/>
    <n v="11.85"/>
    <n v="6.97"/>
    <n v="0.69699999999999995"/>
    <s v="Hourly"/>
    <n v="69.995800000000003"/>
  </r>
  <r>
    <d v="2025-11-18T00:00:00"/>
    <x v="1"/>
    <x v="2"/>
    <n v="8"/>
    <n v="47"/>
    <x v="3"/>
    <x v="8"/>
    <x v="2"/>
    <s v="Clear"/>
    <n v="36"/>
    <x v="54"/>
    <n v="50"/>
    <n v="7"/>
    <n v="75.88"/>
    <n v="64.73"/>
    <n v="29.525300000000001"/>
    <n v="25.186770428015599"/>
    <n v="10.84"/>
    <n v="1.5176000000000001"/>
    <s v="Order"/>
    <n v="73.274100000000004"/>
  </r>
  <r>
    <d v="2025-11-17T00:00:00"/>
    <x v="1"/>
    <x v="2"/>
    <n v="8"/>
    <n v="47"/>
    <x v="4"/>
    <x v="43"/>
    <x v="2"/>
    <s v="Overcast"/>
    <n v="34"/>
    <x v="47"/>
    <n v="94"/>
    <n v="6"/>
    <n v="112.83"/>
    <n v="91.867999999999995"/>
    <n v="30.912299999999998"/>
    <n v="25.169315068493201"/>
    <n v="18.805"/>
    <n v="1.20031914893617"/>
    <s v="Order"/>
    <n v="73.797399999999996"/>
  </r>
  <r>
    <d v="2025-11-16T00:00:00"/>
    <x v="1"/>
    <x v="2"/>
    <n v="7"/>
    <n v="46"/>
    <x v="2"/>
    <x v="44"/>
    <x v="1"/>
    <s v="Overcast"/>
    <n v="36"/>
    <x v="55"/>
    <n v="124"/>
    <n v="13"/>
    <n v="137.79"/>
    <n v="110.13800000000001"/>
    <n v="22.965"/>
    <n v="18.3563333333333"/>
    <n v="10.5992307692308"/>
    <n v="1.1112096774193501"/>
    <s v="Hourly"/>
    <n v="72.543800000000005"/>
  </r>
  <r>
    <d v="2025-11-15T00:00:00"/>
    <x v="1"/>
    <x v="2"/>
    <n v="7"/>
    <n v="46"/>
    <x v="6"/>
    <x v="14"/>
    <x v="0"/>
    <s v="Clear"/>
    <n v="32"/>
    <x v="16"/>
    <n v="49"/>
    <n v="5"/>
    <n v="37.630000000000003"/>
    <n v="26.702999999999999"/>
    <n v="16.150200000000002"/>
    <n v="11.4605150214592"/>
    <n v="7.5259999999999998"/>
    <n v="0.76795918367347005"/>
    <s v="Hourly"/>
    <n v="72.495800000000003"/>
  </r>
  <r>
    <d v="2025-11-13T00:00:00"/>
    <x v="1"/>
    <x v="2"/>
    <n v="7"/>
    <n v="46"/>
    <x v="5"/>
    <x v="42"/>
    <x v="2"/>
    <s v="Mostly Cloudy"/>
    <n v="36"/>
    <x v="56"/>
    <n v="94"/>
    <n v="7"/>
    <n v="69.33"/>
    <n v="48.368000000000002"/>
    <n v="16.0486"/>
    <n v="11.1962962962963"/>
    <n v="9.9042857142857095"/>
    <n v="0.73755319148936205"/>
    <s v="Order"/>
    <n v="74.218100000000007"/>
  </r>
  <r>
    <d v="2025-11-10T00:00:00"/>
    <x v="1"/>
    <x v="2"/>
    <n v="7"/>
    <n v="46"/>
    <x v="4"/>
    <x v="22"/>
    <x v="2"/>
    <s v="Fog"/>
    <n v="46"/>
    <x v="54"/>
    <n v="62"/>
    <n v="5"/>
    <n v="56.12"/>
    <n v="42.293999999999997"/>
    <n v="21.836600000000001"/>
    <n v="16.456809338521399"/>
    <n v="11.224"/>
    <n v="0.90516129032258097"/>
    <s v="Hourly"/>
    <n v="76.326400000000007"/>
  </r>
  <r>
    <d v="2025-11-08T00:00:00"/>
    <x v="1"/>
    <x v="2"/>
    <n v="6"/>
    <n v="45"/>
    <x v="6"/>
    <x v="45"/>
    <x v="0"/>
    <s v="Clear"/>
    <n v="46"/>
    <x v="57"/>
    <n v="101"/>
    <n v="17"/>
    <n v="122.97"/>
    <n v="100.447"/>
    <n v="19.417300000000001"/>
    <n v="15.860887415127101"/>
    <n v="7.2335294117647102"/>
    <n v="1.2175247524752499"/>
    <s v="Order"/>
    <n v="77.703000000000003"/>
  </r>
  <r>
    <d v="2025-11-07T00:00:00"/>
    <x v="1"/>
    <x v="2"/>
    <n v="6"/>
    <n v="45"/>
    <x v="0"/>
    <x v="46"/>
    <x v="2"/>
    <s v="Sunny"/>
    <n v="43"/>
    <x v="58"/>
    <n v="66"/>
    <n v="4"/>
    <n v="32.53"/>
    <n v="17.812000000000001"/>
    <n v="14.922000000000001"/>
    <n v="8.1706422018348608"/>
    <n v="8.1325000000000003"/>
    <n v="0.49287878787878803"/>
    <s v="Hourly"/>
    <n v="77.907799999999995"/>
  </r>
  <r>
    <d v="2025-11-04T00:00:00"/>
    <x v="1"/>
    <x v="2"/>
    <n v="6"/>
    <n v="45"/>
    <x v="3"/>
    <x v="47"/>
    <x v="2"/>
    <s v="Clear"/>
    <n v="45"/>
    <x v="59"/>
    <n v="111"/>
    <n v="12"/>
    <n v="94.57"/>
    <n v="69.816999999999993"/>
    <n v="18.013300000000001"/>
    <n v="13.298476190476199"/>
    <n v="7.8808333333333298"/>
    <n v="0.85198198198198205"/>
    <s v="Order"/>
    <n v="79.637799999999999"/>
  </r>
  <r>
    <d v="2025-11-03T00:00:00"/>
    <x v="1"/>
    <x v="2"/>
    <n v="6"/>
    <n v="45"/>
    <x v="4"/>
    <x v="48"/>
    <x v="2"/>
    <s v="Light Rain"/>
    <n v="52"/>
    <x v="60"/>
    <n v="46"/>
    <n v="5"/>
    <n v="43.65"/>
    <n v="33.392000000000003"/>
    <n v="18.5745"/>
    <n v="14.209361702127699"/>
    <n v="8.73"/>
    <n v="0.948913043478261"/>
    <s v="Hourly"/>
    <n v="79.377200000000002"/>
  </r>
  <r>
    <d v="2025-11-02T00:00:00"/>
    <x v="1"/>
    <x v="2"/>
    <n v="5"/>
    <n v="44"/>
    <x v="2"/>
    <x v="49"/>
    <x v="0"/>
    <s v="Clear"/>
    <n v="37"/>
    <x v="61"/>
    <n v="16"/>
    <n v="3"/>
    <n v="18.75"/>
    <n v="15.182"/>
    <n v="17.045500000000001"/>
    <n v="13.8018181818182"/>
    <n v="6.25"/>
    <n v="1.171875"/>
    <s v="Order"/>
    <n v="78.892200000000003"/>
  </r>
  <r>
    <d v="2025-11-01T00:00:00"/>
    <x v="1"/>
    <x v="2"/>
    <n v="5"/>
    <n v="44"/>
    <x v="6"/>
    <x v="48"/>
    <x v="1"/>
    <s v="Clear"/>
    <n v="43"/>
    <x v="62"/>
    <n v="182"/>
    <n v="9"/>
    <n v="122.39"/>
    <n v="81.804000000000002"/>
    <n v="22.052299999999999"/>
    <n v="14.7394594594595"/>
    <n v="13.598888888888901"/>
    <n v="0.67247252747252795"/>
    <s v="Hourly"/>
    <n v="80.260999999999996"/>
  </r>
  <r>
    <d v="2025-10-29T00:00:00"/>
    <x v="1"/>
    <x v="2"/>
    <n v="5"/>
    <n v="44"/>
    <x v="1"/>
    <x v="50"/>
    <x v="2"/>
    <s v="Overcast"/>
    <n v="43"/>
    <x v="63"/>
    <n v="165"/>
    <n v="13"/>
    <n v="210.8"/>
    <n v="174.005"/>
    <n v="35.6081"/>
    <n v="29.392736486486498"/>
    <n v="16.2153846153846"/>
    <n v="1.27757575757576"/>
    <s v="Order"/>
    <n v="80.597300000000004"/>
  </r>
  <r>
    <d v="2025-10-28T00:00:00"/>
    <x v="1"/>
    <x v="2"/>
    <n v="5"/>
    <n v="44"/>
    <x v="3"/>
    <x v="42"/>
    <x v="2"/>
    <s v="Clear"/>
    <n v="48"/>
    <x v="64"/>
    <n v="141"/>
    <n v="8"/>
    <n v="138.97"/>
    <n v="107.527"/>
    <n v="25.8309"/>
    <n v="19.986431226765799"/>
    <n v="17.37125"/>
    <n v="0.98560283687943295"/>
    <s v="Order"/>
    <n v="79.526700000000005"/>
  </r>
  <r>
    <d v="2025-10-27T00:00:00"/>
    <x v="1"/>
    <x v="2"/>
    <n v="5"/>
    <n v="44"/>
    <x v="4"/>
    <x v="50"/>
    <x v="2"/>
    <s v="Partially Cloudy"/>
    <n v="45"/>
    <x v="65"/>
    <n v="139"/>
    <n v="14"/>
    <n v="138.85"/>
    <n v="107.85299999999999"/>
    <n v="22.8748"/>
    <n v="17.768204283360799"/>
    <n v="9.9178571428571392"/>
    <n v="0.99892086330935204"/>
    <s v="Order"/>
    <n v="79.22"/>
  </r>
  <r>
    <d v="2025-10-25T00:00:00"/>
    <x v="1"/>
    <x v="2"/>
    <n v="4"/>
    <n v="43"/>
    <x v="6"/>
    <x v="51"/>
    <x v="0"/>
    <s v="Overcast"/>
    <n v="48"/>
    <x v="66"/>
    <n v="86"/>
    <n v="11"/>
    <n v="62.79"/>
    <n v="43.612000000000002"/>
    <n v="13.445399999999999"/>
    <n v="9.3387580299785906"/>
    <n v="5.7081818181818198"/>
    <n v="0.73011627906976695"/>
    <s v="Order"/>
    <n v="78.959900000000005"/>
  </r>
  <r>
    <d v="2025-10-21T00:00:00"/>
    <x v="1"/>
    <x v="2"/>
    <n v="4"/>
    <n v="43"/>
    <x v="3"/>
    <x v="52"/>
    <x v="2"/>
    <s v="Clear"/>
    <n v="55"/>
    <x v="67"/>
    <n v="147"/>
    <n v="15"/>
    <n v="151.41"/>
    <n v="118.629"/>
    <n v="21.325399999999998"/>
    <n v="16.708309859154902"/>
    <n v="10.093999999999999"/>
    <n v="1.03"/>
    <s v="Order"/>
    <n v="80.658699999999996"/>
  </r>
  <r>
    <d v="2025-10-20T00:00:00"/>
    <x v="1"/>
    <x v="2"/>
    <n v="4"/>
    <n v="43"/>
    <x v="4"/>
    <x v="50"/>
    <x v="2"/>
    <s v="Rain"/>
    <n v="57"/>
    <x v="65"/>
    <n v="118"/>
    <n v="12"/>
    <n v="124.6"/>
    <n v="98.286000000000001"/>
    <n v="20.527200000000001"/>
    <n v="16.192092257001601"/>
    <n v="10.383333333333301"/>
    <n v="1.05593220338983"/>
    <s v="Order"/>
    <n v="78.976299999999995"/>
  </r>
  <r>
    <d v="2025-10-17T00:00:00"/>
    <x v="1"/>
    <x v="2"/>
    <n v="3"/>
    <n v="42"/>
    <x v="0"/>
    <x v="42"/>
    <x v="2"/>
    <s v="Clear"/>
    <n v="54"/>
    <x v="68"/>
    <n v="136"/>
    <n v="11"/>
    <n v="149.80000000000001"/>
    <n v="119.47199999999999"/>
    <n v="23.1173"/>
    <n v="18.437037037037001"/>
    <n v="13.6181818181818"/>
    <n v="1.10147058823529"/>
    <s v="Order"/>
    <n v="78.654600000000002"/>
  </r>
  <r>
    <d v="2025-10-14T00:00:00"/>
    <x v="1"/>
    <x v="2"/>
    <n v="3"/>
    <n v="42"/>
    <x v="3"/>
    <x v="53"/>
    <x v="2"/>
    <s v="Mostly Cloudy"/>
    <n v="55"/>
    <x v="69"/>
    <n v="106"/>
    <n v="18"/>
    <n v="134.25"/>
    <n v="110.61199999999999"/>
    <n v="22.300699999999999"/>
    <n v="18.374086378737498"/>
    <n v="7.4583333333333304"/>
    <n v="1.26650943396226"/>
    <s v="Order"/>
    <n v="79.969200000000001"/>
  </r>
  <r>
    <d v="2025-10-13T00:00:00"/>
    <x v="1"/>
    <x v="2"/>
    <n v="3"/>
    <n v="42"/>
    <x v="4"/>
    <x v="17"/>
    <x v="2"/>
    <s v="Overcast"/>
    <n v="50"/>
    <x v="39"/>
    <n v="50"/>
    <n v="9"/>
    <n v="71.75"/>
    <n v="60.6"/>
    <n v="20.677199999999999"/>
    <n v="17.463976945245001"/>
    <n v="7.9722222222222197"/>
    <n v="1.4350000000000001"/>
    <s v="Hourly"/>
    <n v="78.477599999999995"/>
  </r>
  <r>
    <d v="2025-10-10T00:00:00"/>
    <x v="1"/>
    <x v="2"/>
    <n v="2"/>
    <n v="41"/>
    <x v="0"/>
    <x v="12"/>
    <x v="2"/>
    <s v="Clear"/>
    <n v="50"/>
    <x v="70"/>
    <n v="137"/>
    <n v="11"/>
    <n v="162.72"/>
    <n v="132.16900000000001"/>
    <n v="31.1724"/>
    <n v="25.319731800766299"/>
    <n v="14.7927272727273"/>
    <n v="1.18773722627737"/>
    <s v="Order"/>
    <n v="77.680300000000003"/>
  </r>
  <r>
    <d v="2025-10-07T00:00:00"/>
    <x v="1"/>
    <x v="2"/>
    <n v="2"/>
    <n v="41"/>
    <x v="3"/>
    <x v="10"/>
    <x v="2"/>
    <s v="Clear"/>
    <n v="70"/>
    <x v="63"/>
    <n v="130"/>
    <n v="15"/>
    <n v="136.77000000000001"/>
    <n v="107.78"/>
    <n v="23.103000000000002"/>
    <n v="18.206081081081098"/>
    <n v="9.1180000000000003"/>
    <n v="1.05207692307692"/>
    <s v="Order"/>
    <n v="75.872299999999996"/>
  </r>
  <r>
    <d v="2025-10-05T00:00:00"/>
    <x v="1"/>
    <x v="2"/>
    <n v="1"/>
    <n v="40"/>
    <x v="2"/>
    <x v="48"/>
    <x v="1"/>
    <s v="Clear"/>
    <n v="64"/>
    <x v="71"/>
    <n v="70"/>
    <n v="10"/>
    <n v="153.44"/>
    <n v="137.83000000000001"/>
    <n v="34.7149"/>
    <n v="31.183257918551998"/>
    <n v="15.343999999999999"/>
    <n v="2.1920000000000002"/>
    <s v="Order"/>
    <n v="74.352699999999999"/>
  </r>
  <r>
    <d v="2025-10-03T00:00:00"/>
    <x v="1"/>
    <x v="2"/>
    <n v="1"/>
    <n v="40"/>
    <x v="0"/>
    <x v="50"/>
    <x v="2"/>
    <s v="Clear"/>
    <n v="64"/>
    <x v="72"/>
    <n v="175"/>
    <n v="11"/>
    <n v="244.64"/>
    <n v="205.61500000000001"/>
    <n v="33.604399999999998"/>
    <n v="28.2438186813187"/>
    <n v="22.24"/>
    <n v="1.39794285714286"/>
    <s v="Order"/>
    <n v="74.050200000000004"/>
  </r>
  <r>
    <d v="2025-10-02T00:00:00"/>
    <x v="1"/>
    <x v="2"/>
    <n v="1"/>
    <n v="40"/>
    <x v="5"/>
    <x v="45"/>
    <x v="3"/>
    <s v="Clear"/>
    <n v="57"/>
    <x v="73"/>
    <n v="68"/>
    <n v="2"/>
    <n v="31.44"/>
    <n v="16.276"/>
    <n v="12.186"/>
    <n v="6.3085271317829497"/>
    <n v="15.72"/>
    <n v="0.46235294117647102"/>
    <s v="Order"/>
    <n v="71.331999999999994"/>
  </r>
  <r>
    <d v="2025-10-01T00:00:00"/>
    <x v="1"/>
    <x v="2"/>
    <n v="1"/>
    <n v="40"/>
    <x v="1"/>
    <x v="45"/>
    <x v="2"/>
    <s v="Clear"/>
    <n v="64"/>
    <x v="68"/>
    <n v="191"/>
    <n v="7"/>
    <n v="165.25"/>
    <n v="122.657"/>
    <n v="25.5015"/>
    <n v="18.928549382716"/>
    <n v="23.6071428571429"/>
    <n v="0.865183246073298"/>
    <s v="Hourly"/>
    <n v="70.982699999999994"/>
  </r>
  <r>
    <d v="2025-09-30T00:00:00"/>
    <x v="1"/>
    <x v="2"/>
    <n v="1"/>
    <n v="40"/>
    <x v="3"/>
    <x v="54"/>
    <x v="2"/>
    <s v="Clear"/>
    <n v="64"/>
    <x v="74"/>
    <n v="27"/>
    <n v="1"/>
    <n v="37"/>
    <n v="30.978999999999999"/>
    <n v="37.755099999999999"/>
    <n v="31.611224489795902"/>
    <n v="37"/>
    <n v="1.37037037037037"/>
    <s v="Order"/>
    <n v="69.705799999999996"/>
  </r>
  <r>
    <d v="2025-09-29T00:00:00"/>
    <x v="1"/>
    <x v="2"/>
    <n v="1"/>
    <n v="40"/>
    <x v="4"/>
    <x v="1"/>
    <x v="2"/>
    <s v="Clear"/>
    <n v="72"/>
    <x v="75"/>
    <n v="105"/>
    <n v="9"/>
    <n v="113.99"/>
    <n v="90.575000000000003"/>
    <n v="28.8582"/>
    <n v="22.930379746835399"/>
    <n v="12.665555555555599"/>
    <n v="1.0856190476190499"/>
    <s v="Order"/>
    <n v="70.395899999999997"/>
  </r>
  <r>
    <d v="2025-09-27T00:00:00"/>
    <x v="1"/>
    <x v="3"/>
    <n v="13"/>
    <n v="39"/>
    <x v="6"/>
    <x v="55"/>
    <x v="2"/>
    <s v="Clear"/>
    <n v="66"/>
    <x v="76"/>
    <n v="197"/>
    <n v="16"/>
    <n v="234.46"/>
    <n v="190.529"/>
    <n v="31.386900000000001"/>
    <n v="25.505890227577002"/>
    <n v="14.65375"/>
    <n v="1.19015228426396"/>
    <s v="Hourly"/>
    <n v="72.138199999999998"/>
  </r>
  <r>
    <d v="2025-09-26T00:00:00"/>
    <x v="1"/>
    <x v="3"/>
    <n v="13"/>
    <n v="39"/>
    <x v="0"/>
    <x v="7"/>
    <x v="2"/>
    <s v="Partially Cloudy"/>
    <n v="73"/>
    <x v="77"/>
    <n v="155"/>
    <n v="9"/>
    <n v="121.27"/>
    <n v="86.704999999999998"/>
    <n v="21.54"/>
    <n v="15.4005328596803"/>
    <n v="13.4744444444444"/>
    <n v="0.78238709677419405"/>
    <s v="Order"/>
    <n v="70.412800000000004"/>
  </r>
  <r>
    <d v="2025-09-24T00:00:00"/>
    <x v="1"/>
    <x v="3"/>
    <n v="13"/>
    <n v="39"/>
    <x v="1"/>
    <x v="54"/>
    <x v="2"/>
    <s v="Overcast"/>
    <n v="61"/>
    <x v="78"/>
    <n v="143"/>
    <n v="12"/>
    <n v="157.44999999999999"/>
    <n v="125.56100000000001"/>
    <n v="22.021000000000001"/>
    <n v="17.560979020979001"/>
    <n v="13.1208333333333"/>
    <n v="1.1010489510489501"/>
    <s v="Order"/>
    <n v="71.761799999999994"/>
  </r>
  <r>
    <d v="2025-09-23T00:00:00"/>
    <x v="1"/>
    <x v="3"/>
    <n v="13"/>
    <n v="39"/>
    <x v="3"/>
    <x v="54"/>
    <x v="0"/>
    <s v="Fog"/>
    <n v="64"/>
    <x v="79"/>
    <n v="21.6"/>
    <n v="2"/>
    <n v="29.61"/>
    <n v="24.793199999999999"/>
    <n v="35.325899999999997"/>
    <n v="29.579294117647098"/>
    <n v="14.805"/>
    <n v="1.37083333333333"/>
    <s v="Hourly"/>
    <n v="70.012299999999996"/>
  </r>
  <r>
    <d v="2025-09-22T00:00:00"/>
    <x v="1"/>
    <x v="3"/>
    <n v="13"/>
    <n v="39"/>
    <x v="4"/>
    <x v="56"/>
    <x v="1"/>
    <s v="Clear"/>
    <n v="63"/>
    <x v="80"/>
    <n v="125"/>
    <n v="9"/>
    <n v="161.19"/>
    <n v="133.315"/>
    <n v="26.954799999999999"/>
    <n v="22.293478260869598"/>
    <n v="17.91"/>
    <n v="1.28952"/>
    <s v="Hourly"/>
    <n v="70.533299999999997"/>
  </r>
  <r>
    <d v="2025-09-21T00:00:00"/>
    <x v="1"/>
    <x v="3"/>
    <n v="12"/>
    <n v="38"/>
    <x v="2"/>
    <x v="47"/>
    <x v="2"/>
    <s v="Clear"/>
    <n v="63"/>
    <x v="81"/>
    <n v="92"/>
    <n v="7"/>
    <n v="83.1"/>
    <n v="62.584000000000003"/>
    <n v="20.774999999999999"/>
    <n v="15.646000000000001"/>
    <n v="11.8714285714286"/>
    <n v="0.90326086956521701"/>
    <s v="Order"/>
    <n v="70.209000000000003"/>
  </r>
  <r>
    <d v="2025-09-19T00:00:00"/>
    <x v="1"/>
    <x v="3"/>
    <n v="12"/>
    <n v="38"/>
    <x v="0"/>
    <x v="12"/>
    <x v="1"/>
    <s v="Clear"/>
    <n v="68"/>
    <x v="82"/>
    <n v="116"/>
    <n v="9"/>
    <n v="99.94"/>
    <n v="74.072000000000003"/>
    <n v="19.712"/>
    <n v="14.6098619329389"/>
    <n v="11.1044444444444"/>
    <n v="0.86155172413793102"/>
    <s v="Order"/>
    <n v="71.101399999999998"/>
  </r>
  <r>
    <d v="2025-09-18T00:00:00"/>
    <x v="1"/>
    <x v="3"/>
    <n v="12"/>
    <n v="38"/>
    <x v="5"/>
    <x v="45"/>
    <x v="1"/>
    <s v="Clear"/>
    <n v="64"/>
    <x v="83"/>
    <n v="129"/>
    <n v="12"/>
    <n v="127.29"/>
    <n v="98.522999999999996"/>
    <n v="22.1374"/>
    <n v="17.1344347826087"/>
    <n v="10.6075"/>
    <n v="0.98674418604651204"/>
    <s v="Order"/>
    <n v="72.053399999999996"/>
  </r>
  <r>
    <d v="2025-09-17T00:00:00"/>
    <x v="1"/>
    <x v="3"/>
    <n v="12"/>
    <n v="38"/>
    <x v="1"/>
    <x v="17"/>
    <x v="0"/>
    <s v="Clear"/>
    <n v="66"/>
    <x v="84"/>
    <n v="129"/>
    <n v="14"/>
    <n v="158.34"/>
    <n v="129.57300000000001"/>
    <n v="22.684799999999999"/>
    <n v="18.563467048710599"/>
    <n v="11.31"/>
    <n v="1.22744186046512"/>
    <s v="Order"/>
    <n v="70.639099999999999"/>
  </r>
  <r>
    <d v="2025-09-15T00:00:00"/>
    <x v="1"/>
    <x v="3"/>
    <n v="12"/>
    <n v="38"/>
    <x v="4"/>
    <x v="43"/>
    <x v="1"/>
    <s v="Clear"/>
    <n v="63"/>
    <x v="35"/>
    <n v="97"/>
    <n v="14"/>
    <n v="144.07"/>
    <n v="122.43899999999999"/>
    <n v="25.1431"/>
    <n v="21.368062827225099"/>
    <n v="10.2907142857143"/>
    <n v="1.4852577319587601"/>
    <s v="Hourly"/>
    <n v="69.350200000000001"/>
  </r>
  <r>
    <d v="2025-09-14T00:00:00"/>
    <x v="1"/>
    <x v="3"/>
    <n v="11"/>
    <n v="37"/>
    <x v="2"/>
    <x v="57"/>
    <x v="1"/>
    <s v="Clear"/>
    <n v="66"/>
    <x v="85"/>
    <n v="149"/>
    <n v="6"/>
    <n v="95.48"/>
    <n v="62.253"/>
    <n v="18.648399999999999"/>
    <n v="12.1587890625"/>
    <n v="15.9133333333333"/>
    <n v="0.64080536912751695"/>
    <s v="Order"/>
    <n v="67.749399999999994"/>
  </r>
  <r>
    <d v="2025-09-12T00:00:00"/>
    <x v="1"/>
    <x v="3"/>
    <n v="11"/>
    <n v="37"/>
    <x v="0"/>
    <x v="19"/>
    <x v="0"/>
    <s v="Clear"/>
    <n v="70"/>
    <x v="86"/>
    <n v="168"/>
    <n v="16"/>
    <n v="184.43"/>
    <n v="146.96600000000001"/>
    <n v="22.140499999999999"/>
    <n v="17.642977190876401"/>
    <n v="11.526875"/>
    <n v="1.09779761904762"/>
    <s v="Order"/>
    <n v="68.006299999999996"/>
  </r>
  <r>
    <d v="2025-09-11T00:00:00"/>
    <x v="1"/>
    <x v="3"/>
    <n v="11"/>
    <n v="37"/>
    <x v="5"/>
    <x v="17"/>
    <x v="1"/>
    <s v="Partially Cloudy"/>
    <n v="72"/>
    <x v="87"/>
    <n v="138"/>
    <n v="11"/>
    <n v="153.36000000000001"/>
    <n v="122.586"/>
    <n v="28.243099999999998"/>
    <n v="22.575690607734799"/>
    <n v="13.941818181818199"/>
    <n v="1.11130434782609"/>
    <s v="Order"/>
    <n v="65.957099999999997"/>
  </r>
  <r>
    <d v="2025-09-09T00:00:00"/>
    <x v="1"/>
    <x v="3"/>
    <n v="11"/>
    <n v="37"/>
    <x v="3"/>
    <x v="2"/>
    <x v="2"/>
    <s v="Clear"/>
    <n v="64"/>
    <x v="88"/>
    <n v="135"/>
    <n v="7"/>
    <n v="97.44"/>
    <n v="67.334999999999994"/>
    <n v="19.181100000000001"/>
    <n v="13.254921259842501"/>
    <n v="13.92"/>
    <n v="0.72177777777777796"/>
    <s v="Order"/>
    <n v="67.237700000000004"/>
  </r>
  <r>
    <d v="2025-09-08T00:00:00"/>
    <x v="1"/>
    <x v="3"/>
    <n v="11"/>
    <n v="37"/>
    <x v="4"/>
    <x v="50"/>
    <x v="1"/>
    <s v="Clear"/>
    <n v="63"/>
    <x v="89"/>
    <n v="119"/>
    <n v="10"/>
    <n v="115.73"/>
    <n v="89.192999999999998"/>
    <n v="20.927700000000002"/>
    <n v="16.128933092224202"/>
    <n v="11.573"/>
    <n v="0.97252100840336098"/>
    <s v="Order"/>
    <n v="66.155000000000001"/>
  </r>
  <r>
    <d v="2025-09-07T00:00:00"/>
    <x v="1"/>
    <x v="3"/>
    <n v="10"/>
    <n v="36"/>
    <x v="2"/>
    <x v="58"/>
    <x v="2"/>
    <s v="Partially Cloudy"/>
    <n v="63"/>
    <x v="90"/>
    <n v="37"/>
    <n v="7"/>
    <n v="48.61"/>
    <n v="40.359000000000002"/>
    <n v="21.414100000000001"/>
    <n v="17.779295154185"/>
    <n v="6.9442857142857104"/>
    <n v="1.31378378378378"/>
    <s v="Order"/>
    <n v="65.903099999999995"/>
  </r>
  <r>
    <d v="2025-09-06T00:00:00"/>
    <x v="1"/>
    <x v="3"/>
    <n v="10"/>
    <n v="36"/>
    <x v="6"/>
    <x v="19"/>
    <x v="0"/>
    <s v="Overcast"/>
    <n v="63"/>
    <x v="91"/>
    <n v="130"/>
    <n v="18"/>
    <n v="157.44999999999999"/>
    <n v="128.46"/>
    <n v="22.7529"/>
    <n v="18.563583815028899"/>
    <n v="8.74722222222222"/>
    <n v="1.21115384615385"/>
    <s v="Hourly"/>
    <n v="66.724199999999996"/>
  </r>
  <r>
    <d v="2025-09-04T00:00:00"/>
    <x v="1"/>
    <x v="3"/>
    <n v="10"/>
    <n v="36"/>
    <x v="5"/>
    <x v="42"/>
    <x v="0"/>
    <s v="Overcast"/>
    <n v="70"/>
    <x v="92"/>
    <n v="49"/>
    <n v="2"/>
    <n v="25.78"/>
    <n v="14.853"/>
    <n v="18.817499999999999"/>
    <n v="10.841605839416101"/>
    <n v="12.89"/>
    <n v="0.52612244897959204"/>
    <s v="Order"/>
    <n v="66.507300000000001"/>
  </r>
  <r>
    <d v="2025-09-02T00:00:00"/>
    <x v="1"/>
    <x v="3"/>
    <n v="10"/>
    <n v="36"/>
    <x v="3"/>
    <x v="5"/>
    <x v="1"/>
    <s v="Clear"/>
    <n v="66"/>
    <x v="93"/>
    <n v="101"/>
    <n v="9"/>
    <n v="105.39"/>
    <n v="82.867000000000004"/>
    <n v="23.316400000000002"/>
    <n v="18.333407079646001"/>
    <n v="11.71"/>
    <n v="1.04346534653465"/>
    <s v="Order"/>
    <n v="67.224400000000003"/>
  </r>
  <r>
    <d v="2025-09-01T00:00:00"/>
    <x v="1"/>
    <x v="3"/>
    <n v="10"/>
    <n v="36"/>
    <x v="4"/>
    <x v="42"/>
    <x v="2"/>
    <s v="Clear"/>
    <n v="73"/>
    <x v="94"/>
    <n v="175"/>
    <n v="10"/>
    <n v="200.47"/>
    <n v="161.44499999999999"/>
    <n v="31.922000000000001"/>
    <n v="25.707802547770701"/>
    <n v="20.047000000000001"/>
    <n v="1.1455428571428601"/>
    <s v="Hourly"/>
    <n v="67.271100000000004"/>
  </r>
  <r>
    <d v="2025-08-31T00:00:00"/>
    <x v="1"/>
    <x v="3"/>
    <n v="9"/>
    <n v="35"/>
    <x v="2"/>
    <x v="8"/>
    <x v="2"/>
    <s v="Clear"/>
    <n v="73"/>
    <x v="95"/>
    <n v="28"/>
    <n v="1"/>
    <n v="21.04"/>
    <n v="14.795999999999999"/>
    <n v="21.6907"/>
    <n v="15.253608247422701"/>
    <n v="21.04"/>
    <n v="0.751428571428571"/>
    <s v="Order"/>
    <n v="66.312700000000007"/>
  </r>
  <r>
    <d v="2025-08-29T00:00:00"/>
    <x v="1"/>
    <x v="3"/>
    <n v="9"/>
    <n v="35"/>
    <x v="0"/>
    <x v="19"/>
    <x v="2"/>
    <s v="Overcast"/>
    <n v="63"/>
    <x v="84"/>
    <n v="208"/>
    <n v="12"/>
    <n v="150.69"/>
    <n v="104.306"/>
    <n v="21.588799999999999"/>
    <n v="14.943553008596"/>
    <n v="12.557499999999999"/>
    <n v="0.72447115384615401"/>
    <s v="Order"/>
    <n v="67.9499"/>
  </r>
  <r>
    <d v="2025-08-28T00:00:00"/>
    <x v="1"/>
    <x v="3"/>
    <n v="9"/>
    <n v="35"/>
    <x v="5"/>
    <x v="12"/>
    <x v="2"/>
    <s v="Clear"/>
    <n v="66"/>
    <x v="96"/>
    <n v="154"/>
    <n v="12"/>
    <n v="124.21"/>
    <n v="89.867999999999995"/>
    <n v="20.262599999999999"/>
    <n v="14.660358890701501"/>
    <n v="10.3508333333333"/>
    <n v="0.80655844155844103"/>
    <s v="Order"/>
    <n v="66.275599999999997"/>
  </r>
  <r>
    <d v="2025-08-27T00:00:00"/>
    <x v="1"/>
    <x v="3"/>
    <n v="9"/>
    <n v="35"/>
    <x v="1"/>
    <x v="59"/>
    <x v="2"/>
    <s v="Mostly Cloudy"/>
    <n v="63"/>
    <x v="97"/>
    <n v="150"/>
    <n v="14"/>
    <n v="201.33"/>
    <n v="167.88"/>
    <n v="31.213999999999999"/>
    <n v="26.027906976744202"/>
    <n v="14.3807142857143"/>
    <n v="1.3422000000000001"/>
    <s v="Order"/>
    <n v="66.499200000000002"/>
  </r>
  <r>
    <d v="2025-08-25T00:00:00"/>
    <x v="1"/>
    <x v="3"/>
    <n v="9"/>
    <n v="35"/>
    <x v="4"/>
    <x v="37"/>
    <x v="1"/>
    <s v="Partially Cloudy"/>
    <n v="66"/>
    <x v="98"/>
    <n v="129"/>
    <n v="14"/>
    <n v="141.61000000000001"/>
    <n v="112.843"/>
    <n v="22.057600000000001"/>
    <n v="17.5767912772586"/>
    <n v="10.115"/>
    <n v="1.0977519379845"/>
    <s v="Order"/>
    <n v="66.806899999999999"/>
  </r>
  <r>
    <d v="2025-08-22T00:00:00"/>
    <x v="1"/>
    <x v="3"/>
    <n v="8"/>
    <n v="34"/>
    <x v="0"/>
    <x v="12"/>
    <x v="2"/>
    <s v="Clear"/>
    <n v="81"/>
    <x v="99"/>
    <n v="177"/>
    <n v="13"/>
    <n v="177.68"/>
    <n v="138.209"/>
    <n v="27.1267"/>
    <n v="21.1006106870229"/>
    <n v="13.667692307692301"/>
    <n v="1.0038418079096001"/>
    <s v="Order"/>
    <n v="67.688800000000001"/>
  </r>
  <r>
    <d v="2025-08-21T00:00:00"/>
    <x v="1"/>
    <x v="3"/>
    <n v="8"/>
    <n v="34"/>
    <x v="5"/>
    <x v="52"/>
    <x v="0"/>
    <s v="Clear"/>
    <n v="72"/>
    <x v="100"/>
    <n v="168"/>
    <n v="11"/>
    <n v="124.34"/>
    <n v="86.876000000000005"/>
    <n v="18.072700000000001"/>
    <n v="12.6273255813954"/>
    <n v="11.3036363636364"/>
    <n v="0.74011904761904801"/>
    <s v="Order"/>
    <n v="65.714600000000004"/>
  </r>
  <r>
    <d v="2025-08-20T00:00:00"/>
    <x v="1"/>
    <x v="3"/>
    <n v="8"/>
    <n v="34"/>
    <x v="1"/>
    <x v="10"/>
    <x v="1"/>
    <s v="Clear"/>
    <n v="64"/>
    <x v="101"/>
    <n v="155"/>
    <n v="15"/>
    <n v="122.98"/>
    <n v="88.415000000000006"/>
    <n v="17.443999999999999"/>
    <n v="12.541134751773001"/>
    <n v="8.1986666666666608"/>
    <n v="0.79341935483870996"/>
    <s v="Order"/>
    <n v="64.332999999999998"/>
  </r>
  <r>
    <d v="2025-08-18T00:00:00"/>
    <x v="1"/>
    <x v="3"/>
    <n v="8"/>
    <n v="34"/>
    <x v="4"/>
    <x v="56"/>
    <x v="1"/>
    <s v="Clear"/>
    <n v="68"/>
    <x v="102"/>
    <n v="114"/>
    <n v="10"/>
    <n v="133.47"/>
    <n v="108.048"/>
    <n v="26.017499999999998"/>
    <n v="21.0619883040936"/>
    <n v="13.347"/>
    <n v="1.1707894736842099"/>
    <s v="Hourly"/>
    <n v="65.251599999999996"/>
  </r>
  <r>
    <d v="2025-08-17T00:00:00"/>
    <x v="1"/>
    <x v="3"/>
    <n v="7"/>
    <n v="33"/>
    <x v="2"/>
    <x v="60"/>
    <x v="1"/>
    <s v="Partially Cloudy"/>
    <n v="84"/>
    <x v="103"/>
    <n v="56"/>
    <n v="6"/>
    <n v="71"/>
    <n v="58.512"/>
    <n v="23.509899999999998"/>
    <n v="19.374834437086101"/>
    <n v="11.8333333333333"/>
    <n v="1.2678571428571399"/>
    <s v="Order"/>
    <n v="64.981399999999994"/>
  </r>
  <r>
    <d v="2025-08-16T00:00:00"/>
    <x v="1"/>
    <x v="3"/>
    <n v="7"/>
    <n v="33"/>
    <x v="6"/>
    <x v="61"/>
    <x v="1"/>
    <s v="Partially Cloudy"/>
    <n v="81"/>
    <x v="104"/>
    <n v="172"/>
    <n v="15"/>
    <n v="121.64"/>
    <n v="83.284000000000006"/>
    <n v="16.594799999999999"/>
    <n v="11.362073669849901"/>
    <n v="8.1093333333333408"/>
    <n v="0.70720930232558099"/>
    <s v="Order"/>
    <n v="64.192599999999999"/>
  </r>
  <r>
    <d v="2025-08-15T00:00:00"/>
    <x v="1"/>
    <x v="3"/>
    <n v="7"/>
    <n v="33"/>
    <x v="0"/>
    <x v="42"/>
    <x v="2"/>
    <s v="Clear"/>
    <n v="81"/>
    <x v="105"/>
    <n v="145"/>
    <n v="13"/>
    <n v="131.12"/>
    <n v="98.784999999999997"/>
    <n v="20.5517"/>
    <n v="15.483542319749199"/>
    <n v="10.086153846153801"/>
    <n v="0.90427586206896604"/>
    <s v="Order"/>
    <n v="62.841000000000001"/>
  </r>
  <r>
    <d v="2025-08-14T00:00:00"/>
    <x v="1"/>
    <x v="3"/>
    <n v="7"/>
    <n v="33"/>
    <x v="5"/>
    <x v="62"/>
    <x v="0"/>
    <s v="Partially Cloudy"/>
    <n v="84"/>
    <x v="106"/>
    <n v="82"/>
    <n v="9"/>
    <n v="61.97"/>
    <n v="43.683999999999997"/>
    <n v="15.226000000000001"/>
    <n v="10.7331695331695"/>
    <n v="6.8855555555555599"/>
    <n v="0.75573170731707295"/>
    <s v="Order"/>
    <n v="62.881999999999998"/>
  </r>
  <r>
    <d v="2025-08-13T00:00:00"/>
    <x v="1"/>
    <x v="3"/>
    <n v="7"/>
    <n v="33"/>
    <x v="1"/>
    <x v="9"/>
    <x v="2"/>
    <s v="Partially Cloudy"/>
    <n v="79"/>
    <x v="107"/>
    <n v="54"/>
    <n v="6"/>
    <n v="65.989999999999995"/>
    <n v="53.948"/>
    <n v="21.083100000000002"/>
    <n v="17.2357827476038"/>
    <n v="10.998333333333299"/>
    <n v="1.2220370370370399"/>
    <s v="Order"/>
    <n v="63.876399999999997"/>
  </r>
  <r>
    <d v="2025-08-12T00:00:00"/>
    <x v="1"/>
    <x v="3"/>
    <n v="7"/>
    <n v="33"/>
    <x v="3"/>
    <x v="52"/>
    <x v="0"/>
    <s v="Clear"/>
    <n v="90"/>
    <x v="108"/>
    <n v="140"/>
    <n v="8"/>
    <n v="96.26"/>
    <n v="65.040000000000006"/>
    <n v="16.454699999999999"/>
    <n v="11.1179487179487"/>
    <n v="12.032500000000001"/>
    <n v="0.68757142857142906"/>
    <s v="Order"/>
    <n v="63.1432"/>
  </r>
  <r>
    <d v="2025-08-11T00:00:00"/>
    <x v="1"/>
    <x v="3"/>
    <n v="7"/>
    <n v="33"/>
    <x v="4"/>
    <x v="2"/>
    <x v="0"/>
    <s v="Clear"/>
    <n v="88"/>
    <x v="88"/>
    <n v="96"/>
    <n v="10"/>
    <n v="83.75"/>
    <n v="62.341999999999999"/>
    <n v="16.4862"/>
    <n v="12.2720472440945"/>
    <n v="8.375"/>
    <n v="0.87239583333333404"/>
    <s v="Order"/>
    <n v="63.373899999999999"/>
  </r>
  <r>
    <d v="2025-08-10T00:00:00"/>
    <x v="1"/>
    <x v="3"/>
    <n v="6"/>
    <n v="32"/>
    <x v="2"/>
    <x v="63"/>
    <x v="0"/>
    <s v="Clear"/>
    <n v="82"/>
    <x v="109"/>
    <n v="112"/>
    <n v="11"/>
    <n v="141.4"/>
    <n v="116.42400000000001"/>
    <n v="22.7331"/>
    <n v="18.7176848874598"/>
    <n v="12.8545454545455"/>
    <n v="1.2625"/>
    <s v="Order"/>
    <n v="63.7804"/>
  </r>
  <r>
    <d v="2025-08-09T00:00:00"/>
    <x v="1"/>
    <x v="3"/>
    <n v="6"/>
    <n v="32"/>
    <x v="6"/>
    <x v="64"/>
    <x v="2"/>
    <s v="Clear"/>
    <n v="75"/>
    <x v="110"/>
    <n v="128"/>
    <n v="13"/>
    <n v="135.97999999999999"/>
    <n v="107.43600000000001"/>
    <n v="20.697099999999999"/>
    <n v="16.3525114155251"/>
    <n v="10.46"/>
    <n v="1.0623437499999999"/>
    <s v="Hourly"/>
    <n v="63.006300000000003"/>
  </r>
  <r>
    <d v="2025-08-08T00:00:00"/>
    <x v="1"/>
    <x v="3"/>
    <n v="6"/>
    <n v="32"/>
    <x v="0"/>
    <x v="36"/>
    <x v="2"/>
    <s v="Sunny"/>
    <n v="73"/>
    <x v="111"/>
    <n v="45.8"/>
    <n v="6"/>
    <n v="52.25"/>
    <n v="42.0366"/>
    <n v="16.430800000000001"/>
    <n v="13.2190566037736"/>
    <n v="8.7083333333333393"/>
    <n v="1.14082969432314"/>
    <s v="Order"/>
    <n v="62.901600000000002"/>
  </r>
  <r>
    <d v="2025-08-06T00:00:00"/>
    <x v="1"/>
    <x v="3"/>
    <n v="6"/>
    <n v="32"/>
    <x v="1"/>
    <x v="47"/>
    <x v="0"/>
    <s v="Clear"/>
    <n v="73"/>
    <x v="112"/>
    <n v="88"/>
    <n v="6"/>
    <n v="71.12"/>
    <n v="51.496000000000002"/>
    <n v="16.5395"/>
    <n v="11.9758139534884"/>
    <n v="11.8533333333333"/>
    <n v="0.808181818181818"/>
    <s v="Order"/>
    <n v="63.388599999999997"/>
  </r>
  <r>
    <d v="2025-08-04T00:00:00"/>
    <x v="1"/>
    <x v="3"/>
    <n v="6"/>
    <n v="32"/>
    <x v="4"/>
    <x v="53"/>
    <x v="2"/>
    <s v="Partially Cloudy"/>
    <n v="81"/>
    <x v="108"/>
    <n v="138"/>
    <n v="11"/>
    <n v="141.94"/>
    <n v="111.166"/>
    <n v="24.263200000000001"/>
    <n v="19.002735042735001"/>
    <n v="12.9036363636364"/>
    <n v="1.0285507246376799"/>
    <s v="Order"/>
    <n v="65.432699999999997"/>
  </r>
  <r>
    <d v="2025-08-01T00:00:00"/>
    <x v="1"/>
    <x v="3"/>
    <n v="5"/>
    <n v="31"/>
    <x v="0"/>
    <x v="50"/>
    <x v="2"/>
    <s v="Partially Cloudy"/>
    <n v="73"/>
    <x v="97"/>
    <n v="153"/>
    <n v="13"/>
    <n v="152.66"/>
    <n v="118.541"/>
    <n v="23.668199999999999"/>
    <n v="18.378449612403099"/>
    <n v="11.743076923076901"/>
    <n v="0.99777777777777799"/>
    <s v="Order"/>
    <n v="67.287400000000005"/>
  </r>
  <r>
    <d v="2025-07-31T00:00:00"/>
    <x v="1"/>
    <x v="3"/>
    <n v="5"/>
    <n v="31"/>
    <x v="5"/>
    <x v="2"/>
    <x v="0"/>
    <s v="Light Rain"/>
    <n v="64"/>
    <x v="113"/>
    <n v="142"/>
    <n v="12"/>
    <n v="114.44"/>
    <n v="82.774000000000001"/>
    <n v="19.1692"/>
    <n v="13.8649916247906"/>
    <n v="9.5366666666666706"/>
    <n v="0.805915492957746"/>
    <s v="Order"/>
    <n v="66.428600000000003"/>
  </r>
  <r>
    <d v="2025-07-30T00:00:00"/>
    <x v="1"/>
    <x v="3"/>
    <n v="5"/>
    <n v="31"/>
    <x v="1"/>
    <x v="65"/>
    <x v="2"/>
    <s v="Partially Cloudy"/>
    <n v="82"/>
    <x v="114"/>
    <n v="134"/>
    <n v="10"/>
    <n v="111.37"/>
    <n v="81.488"/>
    <n v="20.547999999999998"/>
    <n v="15.0346863468635"/>
    <n v="11.137"/>
    <n v="0.83111940298507503"/>
    <s v="Order"/>
    <n v="65.156999999999996"/>
  </r>
  <r>
    <d v="2025-07-28T00:00:00"/>
    <x v="1"/>
    <x v="3"/>
    <n v="5"/>
    <n v="31"/>
    <x v="4"/>
    <x v="66"/>
    <x v="1"/>
    <s v="Partially Cloudy"/>
    <n v="82"/>
    <x v="115"/>
    <n v="119"/>
    <n v="13"/>
    <n v="115.44"/>
    <n v="88.903000000000006"/>
    <n v="18.679600000000001"/>
    <n v="14.3855987055016"/>
    <n v="8.8800000000000008"/>
    <n v="0.97008403361344497"/>
    <s v="Order"/>
    <n v="66.070999999999998"/>
  </r>
  <r>
    <d v="2025-07-24T00:00:00"/>
    <x v="1"/>
    <x v="3"/>
    <n v="4"/>
    <n v="30"/>
    <x v="5"/>
    <x v="67"/>
    <x v="1"/>
    <s v="Clear"/>
    <n v="74"/>
    <x v="116"/>
    <n v="256"/>
    <n v="21"/>
    <n v="215.68"/>
    <n v="158.59200000000001"/>
    <n v="21.741900000000001"/>
    <n v="15.987096774193599"/>
    <n v="10.270476190476201"/>
    <n v="0.84250000000000003"/>
    <s v="Hourly"/>
    <n v="69.650700000000001"/>
  </r>
  <r>
    <d v="2025-07-22T00:00:00"/>
    <x v="1"/>
    <x v="3"/>
    <n v="4"/>
    <n v="30"/>
    <x v="3"/>
    <x v="12"/>
    <x v="2"/>
    <s v="Partially Cloudy"/>
    <n v="73"/>
    <x v="117"/>
    <n v="96"/>
    <n v="9"/>
    <n v="95.64"/>
    <n v="74.231999999999999"/>
    <n v="19.128"/>
    <n v="14.846399999999999"/>
    <n v="10.626666666666701"/>
    <n v="0.99624999999999997"/>
    <s v="Order"/>
    <n v="68.0334"/>
  </r>
  <r>
    <d v="2025-07-19T00:00:00"/>
    <x v="1"/>
    <x v="3"/>
    <n v="3"/>
    <n v="29"/>
    <x v="6"/>
    <x v="68"/>
    <x v="0"/>
    <s v="Clear"/>
    <n v="75"/>
    <x v="118"/>
    <n v="198"/>
    <n v="9"/>
    <n v="154.04"/>
    <n v="109.886"/>
    <n v="18.739699999999999"/>
    <n v="13.368126520681299"/>
    <n v="17.115555555555598"/>
    <n v="0.77797979797979799"/>
    <s v="Order"/>
    <n v="70.443799999999996"/>
  </r>
  <r>
    <d v="2025-07-18T00:00:00"/>
    <x v="1"/>
    <x v="3"/>
    <n v="3"/>
    <n v="29"/>
    <x v="0"/>
    <x v="43"/>
    <x v="1"/>
    <s v="Clear"/>
    <n v="77"/>
    <x v="119"/>
    <n v="131"/>
    <n v="10"/>
    <n v="114.08"/>
    <n v="84.867000000000004"/>
    <n v="21.2439"/>
    <n v="15.803910614525099"/>
    <n v="11.407999999999999"/>
    <n v="0.87083969465648903"/>
    <s v="Order"/>
    <n v="68.732200000000006"/>
  </r>
  <r>
    <d v="2025-07-07T00:00:00"/>
    <x v="1"/>
    <x v="3"/>
    <n v="2"/>
    <n v="28"/>
    <x v="4"/>
    <x v="69"/>
    <x v="1"/>
    <s v="Partially Cloudy"/>
    <n v="84"/>
    <x v="120"/>
    <n v="84"/>
    <n v="10"/>
    <n v="126.22"/>
    <n v="107.488"/>
    <n v="25.602399999999999"/>
    <n v="21.802839756592299"/>
    <n v="12.622"/>
    <n v="1.50261904761905"/>
    <s v="Order"/>
    <n v="73.097999999999999"/>
  </r>
  <r>
    <d v="2025-07-03T00:00:00"/>
    <x v="1"/>
    <x v="3"/>
    <n v="1"/>
    <n v="27"/>
    <x v="5"/>
    <x v="13"/>
    <x v="0"/>
    <s v="Clear"/>
    <n v="70"/>
    <x v="121"/>
    <n v="57"/>
    <n v="3"/>
    <n v="50.33"/>
    <n v="37.619"/>
    <n v="23.1935"/>
    <n v="17.3359447004608"/>
    <n v="16.776666666666699"/>
    <n v="0.88298245614035098"/>
    <s v="Hourly"/>
    <n v="74.444800000000001"/>
  </r>
  <r>
    <d v="2025-07-02T00:00:00"/>
    <x v="1"/>
    <x v="3"/>
    <n v="1"/>
    <n v="27"/>
    <x v="1"/>
    <x v="12"/>
    <x v="2"/>
    <s v="Clear"/>
    <n v="82"/>
    <x v="122"/>
    <n v="61"/>
    <n v="9"/>
    <n v="99.11"/>
    <n v="85.507000000000005"/>
    <n v="33.258400000000002"/>
    <n v="28.693624161073799"/>
    <n v="11.012222222222199"/>
    <n v="1.6247540983606601"/>
    <s v="Order"/>
    <n v="73.885599999999997"/>
  </r>
  <r>
    <d v="2025-07-01T00:00:00"/>
    <x v="1"/>
    <x v="3"/>
    <n v="1"/>
    <n v="27"/>
    <x v="3"/>
    <x v="56"/>
    <x v="2"/>
    <s v="Partially Cloudy"/>
    <n v="81"/>
    <x v="102"/>
    <n v="150"/>
    <n v="8"/>
    <n v="98.33"/>
    <n v="64.88"/>
    <n v="19.1676"/>
    <n v="12.647173489278799"/>
    <n v="12.29125"/>
    <n v="0.65553333333333297"/>
    <s v="Hourly"/>
    <n v="72.784300000000002"/>
  </r>
  <r>
    <d v="2025-06-30T00:00:00"/>
    <x v="1"/>
    <x v="3"/>
    <n v="1"/>
    <n v="27"/>
    <x v="4"/>
    <x v="43"/>
    <x v="1"/>
    <s v="Clear"/>
    <n v="73"/>
    <x v="123"/>
    <n v="108"/>
    <n v="11"/>
    <n v="172.47"/>
    <n v="148.386"/>
    <n v="36.540300000000002"/>
    <n v="31.437711864406801"/>
    <n v="15.679090909090901"/>
    <n v="1.5969444444444401"/>
    <s v="Hourly"/>
    <n v="71.691800000000001"/>
  </r>
  <r>
    <d v="2025-06-29T00:00:00"/>
    <x v="1"/>
    <x v="0"/>
    <n v="13"/>
    <n v="26"/>
    <x v="2"/>
    <x v="70"/>
    <x v="2"/>
    <s v="Overcast"/>
    <n v="75"/>
    <x v="124"/>
    <n v="89"/>
    <n v="7"/>
    <n v="79.17"/>
    <n v="59.323"/>
    <n v="21.5136"/>
    <n v="16.1203804347826"/>
    <n v="11.31"/>
    <n v="0.88955056179775305"/>
    <s v="Order"/>
    <n v="69.775400000000005"/>
  </r>
  <r>
    <d v="2025-06-28T00:00:00"/>
    <x v="1"/>
    <x v="0"/>
    <n v="13"/>
    <n v="26"/>
    <x v="6"/>
    <x v="56"/>
    <x v="1"/>
    <s v="Fog"/>
    <n v="61"/>
    <x v="125"/>
    <n v="36"/>
    <n v="2"/>
    <n v="25.87"/>
    <n v="17.841999999999999"/>
    <n v="20.210899999999999"/>
    <n v="13.9390625"/>
    <n v="12.935"/>
    <n v="0.71861111111111098"/>
    <s v="Hourly"/>
    <n v="68.895799999999994"/>
  </r>
  <r>
    <d v="2025-06-27T00:00:00"/>
    <x v="1"/>
    <x v="0"/>
    <n v="13"/>
    <n v="26"/>
    <x v="0"/>
    <x v="19"/>
    <x v="1"/>
    <s v="Partially Cloudy"/>
    <n v="66"/>
    <x v="126"/>
    <n v="196"/>
    <n v="17"/>
    <n v="216.81"/>
    <n v="173.102"/>
    <n v="23.9041"/>
    <n v="19.085115766262401"/>
    <n v="12.753529411764699"/>
    <n v="1.1061734693877601"/>
    <s v="Hourly"/>
    <n v="70.315899999999999"/>
  </r>
  <r>
    <d v="2025-06-25T00:00:00"/>
    <x v="1"/>
    <x v="0"/>
    <n v="13"/>
    <n v="26"/>
    <x v="1"/>
    <x v="3"/>
    <x v="0"/>
    <s v="Clear"/>
    <n v="86"/>
    <x v="127"/>
    <n v="75"/>
    <n v="9"/>
    <n v="76.5"/>
    <n v="59.774999999999999"/>
    <n v="21.733000000000001"/>
    <n v="16.981534090909101"/>
    <n v="8.5"/>
    <n v="1.02"/>
    <s v="Hourly"/>
    <n v="68.667900000000003"/>
  </r>
  <r>
    <d v="2025-06-24T00:00:00"/>
    <x v="1"/>
    <x v="0"/>
    <n v="13"/>
    <n v="26"/>
    <x v="3"/>
    <x v="64"/>
    <x v="1"/>
    <s v="Clear"/>
    <n v="79"/>
    <x v="89"/>
    <n v="147"/>
    <n v="9"/>
    <n v="132"/>
    <n v="99.218999999999994"/>
    <n v="23.869800000000001"/>
    <n v="17.941952983725098"/>
    <n v="14.6666666666667"/>
    <n v="0.89795918367346905"/>
    <s v="Hourly"/>
    <n v="67.817899999999995"/>
  </r>
  <r>
    <d v="2025-06-23T00:00:00"/>
    <x v="1"/>
    <x v="0"/>
    <n v="13"/>
    <n v="26"/>
    <x v="4"/>
    <x v="4"/>
    <x v="2"/>
    <s v="Clear"/>
    <n v="81"/>
    <x v="128"/>
    <n v="129"/>
    <n v="7"/>
    <n v="77.540000000000006"/>
    <n v="48.773000000000003"/>
    <n v="16.747299999999999"/>
    <n v="10.5341252699784"/>
    <n v="11.077142857142899"/>
    <n v="0.60108527131782996"/>
    <s v="Order"/>
    <n v="66.351200000000006"/>
  </r>
  <r>
    <d v="2025-06-22T00:00:00"/>
    <x v="1"/>
    <x v="0"/>
    <n v="12"/>
    <n v="25"/>
    <x v="2"/>
    <x v="71"/>
    <x v="2"/>
    <s v="Overcast"/>
    <n v="84"/>
    <x v="1"/>
    <n v="148"/>
    <n v="9"/>
    <n v="85.88"/>
    <n v="52.875999999999998"/>
    <n v="17.107600000000001"/>
    <n v="10.533067729083699"/>
    <n v="9.5422222222222199"/>
    <n v="0.58027027027027001"/>
    <s v="Order"/>
    <n v="66.059899999999999"/>
  </r>
  <r>
    <d v="2025-06-21T00:00:00"/>
    <x v="1"/>
    <x v="0"/>
    <n v="12"/>
    <n v="25"/>
    <x v="6"/>
    <x v="22"/>
    <x v="2"/>
    <s v="Clear"/>
    <n v="81"/>
    <x v="129"/>
    <n v="174"/>
    <n v="13"/>
    <n v="185.62"/>
    <n v="146.81800000000001"/>
    <n v="24.3277"/>
    <n v="19.242201834862399"/>
    <n v="14.278461538461499"/>
    <n v="1.0667816091954001"/>
    <s v="Order"/>
    <n v="66.311700000000002"/>
  </r>
  <r>
    <d v="2025-06-19T00:00:00"/>
    <x v="1"/>
    <x v="0"/>
    <n v="12"/>
    <n v="25"/>
    <x v="5"/>
    <x v="42"/>
    <x v="3"/>
    <s v="Sunny"/>
    <n v="73"/>
    <x v="10"/>
    <n v="86"/>
    <n v="5"/>
    <n v="42.34"/>
    <n v="23.161999999999999"/>
    <n v="13.570499999999999"/>
    <n v="7.4237179487179503"/>
    <n v="8.468"/>
    <n v="0.49232558139534899"/>
    <s v="Order"/>
    <n v="65.883600000000001"/>
  </r>
  <r>
    <d v="2025-06-16T00:00:00"/>
    <x v="1"/>
    <x v="0"/>
    <n v="12"/>
    <n v="25"/>
    <x v="4"/>
    <x v="72"/>
    <x v="2"/>
    <s v="Sunny"/>
    <n v="66"/>
    <x v="130"/>
    <n v="131"/>
    <n v="9"/>
    <n v="118.6"/>
    <n v="89.387"/>
    <n v="22.6769"/>
    <n v="17.091204588910099"/>
    <n v="13.1777777777778"/>
    <n v="0.90534351145038205"/>
    <s v="Order"/>
    <n v="68.138199999999998"/>
  </r>
  <r>
    <d v="2025-06-13T00:00:00"/>
    <x v="1"/>
    <x v="0"/>
    <n v="11"/>
    <n v="24"/>
    <x v="0"/>
    <x v="1"/>
    <x v="0"/>
    <s v="Clear"/>
    <n v="68"/>
    <x v="131"/>
    <n v="64"/>
    <n v="6"/>
    <n v="108.13"/>
    <n v="93.858000000000004"/>
    <n v="27.513999999999999"/>
    <n v="23.882442748091599"/>
    <n v="18.0216666666667"/>
    <n v="1.6895312499999999"/>
    <s v="Hourly"/>
    <n v="71.697199999999995"/>
  </r>
  <r>
    <d v="2025-06-12T00:00:00"/>
    <x v="1"/>
    <x v="0"/>
    <n v="11"/>
    <n v="24"/>
    <x v="5"/>
    <x v="42"/>
    <x v="2"/>
    <s v="Clear"/>
    <n v="73"/>
    <x v="132"/>
    <n v="167"/>
    <n v="12"/>
    <n v="160.47999999999999"/>
    <n v="123.239"/>
    <n v="23.530799999999999"/>
    <n v="18.0702346041056"/>
    <n v="13.373333333333299"/>
    <n v="0.96095808383233505"/>
    <s v="Hourly"/>
    <n v="70.495800000000003"/>
  </r>
  <r>
    <d v="2025-06-10T00:00:00"/>
    <x v="1"/>
    <x v="0"/>
    <n v="11"/>
    <n v="24"/>
    <x v="3"/>
    <x v="42"/>
    <x v="2"/>
    <s v="Fog"/>
    <n v="61"/>
    <x v="133"/>
    <n v="80"/>
    <n v="8"/>
    <n v="93.06"/>
    <n v="75.22"/>
    <n v="25.3569"/>
    <n v="20.495912806539501"/>
    <n v="11.6325"/>
    <n v="1.1632499999999999"/>
    <s v="Order"/>
    <n v="69.914000000000001"/>
  </r>
  <r>
    <d v="2025-06-09T00:00:00"/>
    <x v="1"/>
    <x v="0"/>
    <n v="11"/>
    <n v="24"/>
    <x v="4"/>
    <x v="56"/>
    <x v="0"/>
    <s v="Overcast"/>
    <n v="63"/>
    <x v="44"/>
    <n v="92"/>
    <n v="15"/>
    <n v="122.51"/>
    <n v="101.994"/>
    <n v="21.122399999999999"/>
    <n v="17.585172413793099"/>
    <n v="8.16733333333333"/>
    <n v="1.33163043478261"/>
    <s v="Order"/>
    <n v="69.488"/>
  </r>
  <r>
    <d v="2025-06-07T00:00:00"/>
    <x v="1"/>
    <x v="0"/>
    <n v="10"/>
    <n v="23"/>
    <x v="6"/>
    <x v="73"/>
    <x v="2"/>
    <s v="Clear"/>
    <n v="68"/>
    <x v="113"/>
    <n v="146"/>
    <n v="13"/>
    <n v="137.93"/>
    <n v="105.372"/>
    <n v="23.103899999999999"/>
    <n v="17.6502512562814"/>
    <n v="10.61"/>
    <n v="0.94472602739725997"/>
    <s v="Order"/>
    <n v="69.299099999999996"/>
  </r>
  <r>
    <d v="2025-06-06T00:00:00"/>
    <x v="1"/>
    <x v="0"/>
    <n v="10"/>
    <n v="23"/>
    <x v="0"/>
    <x v="65"/>
    <x v="0"/>
    <s v="Light Rain"/>
    <n v="68"/>
    <x v="134"/>
    <n v="74"/>
    <n v="14"/>
    <n v="90.32"/>
    <n v="73.817999999999998"/>
    <n v="18.172999999999998"/>
    <n v="14.852716297786699"/>
    <n v="6.4514285714285702"/>
    <n v="1.2205405405405401"/>
    <s v="Order"/>
    <n v="67.918300000000002"/>
  </r>
  <r>
    <d v="2025-06-04T00:00:00"/>
    <x v="1"/>
    <x v="0"/>
    <n v="10"/>
    <n v="23"/>
    <x v="1"/>
    <x v="42"/>
    <x v="0"/>
    <s v="Sunny"/>
    <n v="75"/>
    <x v="32"/>
    <n v="76"/>
    <n v="12"/>
    <n v="109.59"/>
    <n v="92.641999999999996"/>
    <n v="22.689399999999999"/>
    <n v="19.180538302277402"/>
    <n v="9.1325000000000003"/>
    <n v="1.44197368421053"/>
    <s v="Order"/>
    <n v="68.556799999999996"/>
  </r>
  <r>
    <d v="2025-06-03T00:00:00"/>
    <x v="1"/>
    <x v="0"/>
    <n v="10"/>
    <n v="23"/>
    <x v="3"/>
    <x v="19"/>
    <x v="2"/>
    <s v="Sunny"/>
    <n v="70"/>
    <x v="25"/>
    <n v="110"/>
    <n v="7"/>
    <n v="114.21"/>
    <n v="89.68"/>
    <n v="25.5503"/>
    <n v="20.062639821029101"/>
    <n v="16.3157142857143"/>
    <n v="1.0382727272727299"/>
    <s v="Hourly"/>
    <n v="67.339100000000002"/>
  </r>
  <r>
    <d v="2025-06-02T00:00:00"/>
    <x v="1"/>
    <x v="0"/>
    <n v="10"/>
    <n v="23"/>
    <x v="4"/>
    <x v="1"/>
    <x v="2"/>
    <s v="Partially Cloudy"/>
    <n v="63"/>
    <x v="135"/>
    <n v="101"/>
    <n v="7"/>
    <n v="101.22"/>
    <n v="78.697000000000003"/>
    <n v="25.116599999999998"/>
    <n v="19.5277915632754"/>
    <n v="14.46"/>
    <n v="1.00217821782178"/>
    <s v="Hourly"/>
    <n v="66.070099999999996"/>
  </r>
  <r>
    <d v="2025-06-01T00:00:00"/>
    <x v="1"/>
    <x v="0"/>
    <n v="9"/>
    <n v="22"/>
    <x v="2"/>
    <x v="42"/>
    <x v="2"/>
    <s v="Partially Cloudy"/>
    <n v="61"/>
    <x v="136"/>
    <n v="64"/>
    <n v="9"/>
    <n v="67.17"/>
    <n v="52.898000000000003"/>
    <n v="18.658300000000001"/>
    <n v="14.6938888888889"/>
    <n v="7.4633333333333303"/>
    <n v="1.04953125"/>
    <s v="Hourly"/>
    <n v="65.937100000000001"/>
  </r>
  <r>
    <d v="2025-05-30T00:00:00"/>
    <x v="1"/>
    <x v="0"/>
    <n v="9"/>
    <n v="22"/>
    <x v="0"/>
    <x v="42"/>
    <x v="2"/>
    <s v="Partially Cloudy"/>
    <n v="70"/>
    <x v="137"/>
    <n v="127"/>
    <n v="14"/>
    <n v="144.34"/>
    <n v="116.01900000000001"/>
    <n v="21.447299999999998"/>
    <n v="17.239078751857399"/>
    <n v="10.31"/>
    <n v="1.1365354330708699"/>
    <s v="Order"/>
    <n v="66.789299999999997"/>
  </r>
  <r>
    <d v="2025-05-29T00:00:00"/>
    <x v="1"/>
    <x v="0"/>
    <n v="9"/>
    <n v="22"/>
    <x v="5"/>
    <x v="56"/>
    <x v="2"/>
    <s v="Partially Cloudy"/>
    <n v="73"/>
    <x v="138"/>
    <n v="108"/>
    <n v="7"/>
    <n v="94.79"/>
    <n v="70.706000000000003"/>
    <n v="19.666"/>
    <n v="14.6692946058091"/>
    <n v="13.5414285714286"/>
    <n v="0.87768518518518501"/>
    <s v="Order"/>
    <n v="66.78"/>
  </r>
  <r>
    <d v="2025-05-28T00:00:00"/>
    <x v="1"/>
    <x v="0"/>
    <n v="9"/>
    <n v="22"/>
    <x v="1"/>
    <x v="12"/>
    <x v="1"/>
    <s v="Clear"/>
    <n v="72"/>
    <x v="139"/>
    <n v="147"/>
    <n v="11"/>
    <n v="134.22999999999999"/>
    <n v="101.449"/>
    <n v="23.263400000000001"/>
    <n v="17.582149046793798"/>
    <n v="12.2027272727273"/>
    <n v="0.91312925170068004"/>
    <s v="Order"/>
    <n v="65.726799999999997"/>
  </r>
  <r>
    <d v="2025-05-27T00:00:00"/>
    <x v="1"/>
    <x v="0"/>
    <n v="9"/>
    <n v="22"/>
    <x v="3"/>
    <x v="47"/>
    <x v="2"/>
    <s v="Partially Cloudy"/>
    <n v="73"/>
    <x v="1"/>
    <n v="120"/>
    <n v="7"/>
    <n v="102.93"/>
    <n v="76.17"/>
    <n v="20.504000000000001"/>
    <n v="15.173306772908401"/>
    <n v="14.7042857142857"/>
    <n v="0.85775000000000001"/>
    <s v="Order"/>
    <n v="64.235299999999995"/>
  </r>
  <r>
    <d v="2025-05-26T00:00:00"/>
    <x v="1"/>
    <x v="0"/>
    <n v="9"/>
    <n v="22"/>
    <x v="4"/>
    <x v="28"/>
    <x v="2"/>
    <s v="Partially Cloudy"/>
    <n v="72"/>
    <x v="83"/>
    <n v="143"/>
    <n v="10"/>
    <n v="118.05"/>
    <n v="86.161000000000001"/>
    <n v="20.5304"/>
    <n v="14.9845217391304"/>
    <n v="11.805"/>
    <n v="0.82552447552447605"/>
    <s v="Order"/>
    <n v="64.528599999999997"/>
  </r>
  <r>
    <d v="2025-05-22T00:00:00"/>
    <x v="1"/>
    <x v="0"/>
    <n v="8"/>
    <n v="21"/>
    <x v="5"/>
    <x v="53"/>
    <x v="2"/>
    <s v="Overcast"/>
    <n v="50"/>
    <x v="89"/>
    <n v="162"/>
    <n v="7"/>
    <n v="119.87"/>
    <n v="83.744"/>
    <n v="21.676300000000001"/>
    <n v="15.1435804701627"/>
    <n v="17.124285714285701"/>
    <n v="0.73993827160493797"/>
    <s v="Order"/>
    <n v="65.904600000000002"/>
  </r>
  <r>
    <d v="2025-05-21T00:00:00"/>
    <x v="1"/>
    <x v="0"/>
    <n v="8"/>
    <n v="21"/>
    <x v="1"/>
    <x v="19"/>
    <x v="3"/>
    <s v="Overcast"/>
    <n v="52"/>
    <x v="1"/>
    <n v="142"/>
    <n v="8"/>
    <n v="85.78"/>
    <n v="54.113999999999997"/>
    <n v="17.087599999999998"/>
    <n v="10.779681274900399"/>
    <n v="10.7225"/>
    <n v="0.60408450704225403"/>
    <s v="Hourly"/>
    <n v="66.893299999999996"/>
  </r>
  <r>
    <d v="2025-05-20T00:00:00"/>
    <x v="1"/>
    <x v="0"/>
    <n v="8"/>
    <n v="21"/>
    <x v="3"/>
    <x v="52"/>
    <x v="2"/>
    <s v="Overcast"/>
    <n v="54"/>
    <x v="140"/>
    <n v="104"/>
    <n v="9"/>
    <n v="109.16"/>
    <n v="85.968000000000004"/>
    <n v="21.4039"/>
    <n v="16.8564705882353"/>
    <n v="12.1288888888889"/>
    <n v="1.04961538461538"/>
    <s v="Order"/>
    <n v="67.041799999999995"/>
  </r>
  <r>
    <d v="2025-05-17T00:00:00"/>
    <x v="1"/>
    <x v="0"/>
    <n v="7"/>
    <n v="20"/>
    <x v="6"/>
    <x v="59"/>
    <x v="0"/>
    <s v="Light Rain"/>
    <n v="55"/>
    <x v="89"/>
    <n v="91"/>
    <n v="15"/>
    <n v="134.81"/>
    <n v="114.517"/>
    <n v="24.3779"/>
    <n v="20.708318264014501"/>
    <n v="8.9873333333333392"/>
    <n v="1.48142857142857"/>
    <s v="Order"/>
    <n v="67.018000000000001"/>
  </r>
  <r>
    <d v="2025-05-16T00:00:00"/>
    <x v="1"/>
    <x v="0"/>
    <n v="7"/>
    <n v="20"/>
    <x v="0"/>
    <x v="53"/>
    <x v="2"/>
    <s v="Partially Cloudy"/>
    <n v="68"/>
    <x v="141"/>
    <n v="159"/>
    <n v="17"/>
    <n v="151.47"/>
    <n v="116.01300000000001"/>
    <n v="21.394100000000002"/>
    <n v="16.386016949152499"/>
    <n v="8.91"/>
    <n v="0.95264150943396197"/>
    <s v="Order"/>
    <n v="65.520099999999999"/>
  </r>
  <r>
    <d v="2025-05-14T00:00:00"/>
    <x v="1"/>
    <x v="0"/>
    <n v="7"/>
    <n v="20"/>
    <x v="1"/>
    <x v="47"/>
    <x v="2"/>
    <s v="Clear"/>
    <n v="66"/>
    <x v="142"/>
    <n v="101"/>
    <n v="12"/>
    <n v="117.02"/>
    <n v="94.497"/>
    <n v="24.481200000000001"/>
    <n v="19.769246861924699"/>
    <n v="9.7516666666666705"/>
    <n v="1.1586138613861401"/>
    <s v="Order"/>
    <n v="64.551100000000005"/>
  </r>
  <r>
    <d v="2025-05-13T00:00:00"/>
    <x v="1"/>
    <x v="0"/>
    <n v="7"/>
    <n v="20"/>
    <x v="3"/>
    <x v="56"/>
    <x v="2"/>
    <s v="Clear"/>
    <n v="61"/>
    <x v="143"/>
    <n v="96"/>
    <n v="12"/>
    <n v="120.34"/>
    <n v="98.932000000000002"/>
    <n v="26.565100000000001"/>
    <n v="21.839293598234001"/>
    <n v="10.0283333333333"/>
    <n v="1.2535416666666701"/>
    <s v="Order"/>
    <n v="64.2637"/>
  </r>
  <r>
    <d v="2025-05-12T00:00:00"/>
    <x v="1"/>
    <x v="0"/>
    <n v="7"/>
    <n v="20"/>
    <x v="4"/>
    <x v="72"/>
    <x v="2"/>
    <s v="Clear"/>
    <n v="61"/>
    <x v="144"/>
    <n v="54"/>
    <n v="6"/>
    <n v="71.73"/>
    <n v="59.688000000000002"/>
    <n v="22.415600000000001"/>
    <n v="18.6525"/>
    <n v="11.955"/>
    <n v="1.32833333333333"/>
    <s v="Order"/>
    <n v="62.926600000000001"/>
  </r>
  <r>
    <d v="2025-05-11T00:00:00"/>
    <x v="1"/>
    <x v="0"/>
    <n v="6"/>
    <n v="19"/>
    <x v="2"/>
    <x v="33"/>
    <x v="2"/>
    <s v="Clear"/>
    <n v="59"/>
    <x v="145"/>
    <n v="76"/>
    <n v="10"/>
    <n v="126.55"/>
    <n v="109.602"/>
    <n v="25.932400000000001"/>
    <n v="22.4594262295082"/>
    <n v="12.654999999999999"/>
    <n v="1.66513157894737"/>
    <s v="Order"/>
    <n v="62.129600000000003"/>
  </r>
  <r>
    <d v="2025-05-10T00:00:00"/>
    <x v="1"/>
    <x v="0"/>
    <n v="6"/>
    <n v="19"/>
    <x v="6"/>
    <x v="65"/>
    <x v="0"/>
    <s v="Clear"/>
    <n v="59"/>
    <x v="146"/>
    <n v="106"/>
    <n v="6"/>
    <n v="96.08"/>
    <n v="72.441999999999993"/>
    <n v="20.529900000000001"/>
    <n v="15.4790598290598"/>
    <n v="16.0133333333333"/>
    <n v="0.90641509433962297"/>
    <s v="Order"/>
    <n v="61.905999999999999"/>
  </r>
  <r>
    <d v="2025-05-08T00:00:00"/>
    <x v="1"/>
    <x v="0"/>
    <n v="6"/>
    <n v="19"/>
    <x v="5"/>
    <x v="47"/>
    <x v="2"/>
    <s v="Mostly Cloudy"/>
    <n v="61"/>
    <x v="44"/>
    <n v="155"/>
    <n v="13"/>
    <n v="149.07"/>
    <n v="114.505"/>
    <n v="25.701699999999999"/>
    <n v="19.7422413793103"/>
    <n v="11.4669230769231"/>
    <n v="0.96174193548387099"/>
    <s v="Order"/>
    <n v="61.895299999999999"/>
  </r>
  <r>
    <d v="2025-05-07T00:00:00"/>
    <x v="1"/>
    <x v="0"/>
    <n v="6"/>
    <n v="19"/>
    <x v="1"/>
    <x v="19"/>
    <x v="2"/>
    <s v="Light Rain"/>
    <n v="57"/>
    <x v="62"/>
    <n v="134"/>
    <n v="11"/>
    <n v="106.02"/>
    <n v="76.138000000000005"/>
    <n v="19.102699999999999"/>
    <n v="13.7185585585586"/>
    <n v="9.6381818181818204"/>
    <n v="0.79119402985074605"/>
    <s v="Order"/>
    <n v="60.697899999999997"/>
  </r>
  <r>
    <d v="2025-05-06T00:00:00"/>
    <x v="1"/>
    <x v="0"/>
    <n v="6"/>
    <n v="19"/>
    <x v="3"/>
    <x v="37"/>
    <x v="2"/>
    <s v="Rain"/>
    <n v="55"/>
    <x v="147"/>
    <n v="103"/>
    <n v="10"/>
    <n v="100.12"/>
    <n v="77.150999999999996"/>
    <n v="20.9895"/>
    <n v="16.174213836478"/>
    <n v="10.012"/>
    <n v="0.97203883495145604"/>
    <s v="Hourly"/>
    <n v="59.731400000000001"/>
  </r>
  <r>
    <d v="2025-05-05T00:00:00"/>
    <x v="1"/>
    <x v="0"/>
    <n v="6"/>
    <n v="19"/>
    <x v="4"/>
    <x v="59"/>
    <x v="1"/>
    <s v="Fog"/>
    <n v="50"/>
    <x v="148"/>
    <n v="211"/>
    <n v="12"/>
    <n v="119.77"/>
    <n v="72.716999999999999"/>
    <n v="17.4847"/>
    <n v="10.615620437956199"/>
    <n v="9.9808333333333294"/>
    <n v="0.56763033175355404"/>
    <s v="Order"/>
    <n v="59.189"/>
  </r>
  <r>
    <d v="2025-05-04T00:00:00"/>
    <x v="1"/>
    <x v="0"/>
    <n v="5"/>
    <n v="18"/>
    <x v="2"/>
    <x v="74"/>
    <x v="2"/>
    <s v="Light Rain"/>
    <n v="57"/>
    <x v="19"/>
    <n v="94"/>
    <n v="9"/>
    <n v="88.98"/>
    <n v="68.018000000000001"/>
    <n v="21.0853"/>
    <n v="16.118009478672999"/>
    <n v="9.8866666666666703"/>
    <n v="0.94659574468085095"/>
    <s v="Order"/>
    <n v="57.858199999999997"/>
  </r>
  <r>
    <d v="2025-05-03T00:00:00"/>
    <x v="1"/>
    <x v="0"/>
    <n v="5"/>
    <n v="18"/>
    <x v="6"/>
    <x v="73"/>
    <x v="2"/>
    <s v="Mostly Cloudy"/>
    <n v="72"/>
    <x v="149"/>
    <n v="67"/>
    <n v="5"/>
    <n v="75.36"/>
    <n v="60.418999999999997"/>
    <n v="22.0351"/>
    <n v="17.6663742690058"/>
    <n v="15.071999999999999"/>
    <n v="1.1247761194029799"/>
    <s v="Order"/>
    <n v="57.508400000000002"/>
  </r>
  <r>
    <d v="2025-05-01T00:00:00"/>
    <x v="1"/>
    <x v="0"/>
    <n v="5"/>
    <n v="18"/>
    <x v="5"/>
    <x v="54"/>
    <x v="2"/>
    <s v="Clear"/>
    <n v="54"/>
    <x v="66"/>
    <n v="97"/>
    <n v="9"/>
    <n v="108.47"/>
    <n v="86.838999999999999"/>
    <n v="23.227"/>
    <n v="18.595074946466799"/>
    <n v="12.0522222222222"/>
    <n v="1.11824742268041"/>
    <s v="Order"/>
    <n v="57.2239"/>
  </r>
  <r>
    <d v="2025-04-30T00:00:00"/>
    <x v="1"/>
    <x v="0"/>
    <n v="5"/>
    <n v="18"/>
    <x v="1"/>
    <x v="75"/>
    <x v="2"/>
    <s v="Clear"/>
    <n v="54"/>
    <x v="150"/>
    <n v="94"/>
    <n v="8"/>
    <n v="85.16"/>
    <n v="64.197999999999993"/>
    <n v="20.872499999999999"/>
    <n v="15.7348039215686"/>
    <n v="10.645"/>
    <n v="0.90595744680851098"/>
    <s v="Hourly"/>
    <n v="56.018700000000003"/>
  </r>
  <r>
    <d v="2025-04-29T00:00:00"/>
    <x v="1"/>
    <x v="0"/>
    <n v="5"/>
    <n v="18"/>
    <x v="3"/>
    <x v="27"/>
    <x v="2"/>
    <s v="Clear"/>
    <n v="66"/>
    <x v="151"/>
    <n v="134"/>
    <n v="11"/>
    <n v="116.97"/>
    <n v="87.087999999999994"/>
    <n v="21.190200000000001"/>
    <n v="15.776811594202901"/>
    <n v="10.6336363636364"/>
    <n v="0.87291044776119397"/>
    <s v="Order"/>
    <n v="55.072400000000002"/>
  </r>
  <r>
    <d v="2025-04-28T00:00:00"/>
    <x v="1"/>
    <x v="0"/>
    <n v="5"/>
    <n v="18"/>
    <x v="4"/>
    <x v="17"/>
    <x v="1"/>
    <s v="Clear"/>
    <n v="64"/>
    <x v="152"/>
    <n v="172"/>
    <n v="13"/>
    <n v="148.66"/>
    <n v="110.304"/>
    <n v="21.176600000000001"/>
    <n v="15.7128205128205"/>
    <n v="11.435384615384599"/>
    <n v="0.86430232558139497"/>
    <s v="Order"/>
    <n v="53.772799999999997"/>
  </r>
  <r>
    <d v="2025-04-27T00:00:00"/>
    <x v="1"/>
    <x v="0"/>
    <n v="4"/>
    <n v="17"/>
    <x v="2"/>
    <x v="76"/>
    <x v="3"/>
    <s v="Light Rain"/>
    <n v="43"/>
    <x v="48"/>
    <n v="108"/>
    <n v="9"/>
    <n v="80.69"/>
    <n v="56.606000000000002"/>
    <n v="17.5413"/>
    <n v="12.305652173913"/>
    <n v="8.9655555555555608"/>
    <n v="0.74712962962963003"/>
    <s v="Order"/>
    <n v="52.955599999999997"/>
  </r>
  <r>
    <d v="2025-04-26T00:00:00"/>
    <x v="1"/>
    <x v="0"/>
    <n v="4"/>
    <n v="17"/>
    <x v="6"/>
    <x v="15"/>
    <x v="3"/>
    <s v="Light Rain"/>
    <n v="55"/>
    <x v="48"/>
    <n v="115"/>
    <n v="7"/>
    <n v="91.29"/>
    <n v="65.644999999999996"/>
    <n v="19.845700000000001"/>
    <n v="14.270652173913"/>
    <n v="13.0414285714286"/>
    <n v="0.79382608695652201"/>
    <s v="Hourly"/>
    <n v="52.058999999999997"/>
  </r>
  <r>
    <d v="2025-04-25T00:00:00"/>
    <x v="1"/>
    <x v="0"/>
    <n v="4"/>
    <n v="17"/>
    <x v="0"/>
    <x v="2"/>
    <x v="0"/>
    <s v="Light Rain"/>
    <n v="57"/>
    <x v="93"/>
    <n v="59"/>
    <n v="9"/>
    <n v="70.13"/>
    <n v="56.972999999999999"/>
    <n v="15.515499999999999"/>
    <n v="12.6046460176991"/>
    <n v="7.7922222222222199"/>
    <n v="1.1886440677966099"/>
    <s v="Order"/>
    <n v="51.549799999999998"/>
  </r>
  <r>
    <d v="2025-04-23T00:00:00"/>
    <x v="1"/>
    <x v="0"/>
    <n v="4"/>
    <n v="17"/>
    <x v="1"/>
    <x v="50"/>
    <x v="2"/>
    <s v="Clear"/>
    <n v="61"/>
    <x v="153"/>
    <n v="144"/>
    <n v="11"/>
    <n v="147.33000000000001"/>
    <n v="115.218"/>
    <n v="27.6417"/>
    <n v="21.616885553470901"/>
    <n v="13.3936363636364"/>
    <n v="1.0231250000000001"/>
    <s v="Order"/>
    <n v="51.648400000000002"/>
  </r>
  <r>
    <d v="2025-04-22T00:00:00"/>
    <x v="1"/>
    <x v="0"/>
    <n v="4"/>
    <n v="17"/>
    <x v="3"/>
    <x v="3"/>
    <x v="0"/>
    <s v="Overcast"/>
    <n v="61"/>
    <x v="154"/>
    <n v="94"/>
    <n v="7"/>
    <n v="62.21"/>
    <n v="41.247999999999998"/>
    <n v="15.1732"/>
    <n v="10.060487804878001"/>
    <n v="8.8871428571428606"/>
    <n v="0.66180851063829804"/>
    <s v="Order"/>
    <n v="50.011400000000002"/>
  </r>
  <r>
    <d v="2025-04-21T00:00:00"/>
    <x v="1"/>
    <x v="0"/>
    <n v="4"/>
    <n v="17"/>
    <x v="4"/>
    <x v="50"/>
    <x v="2"/>
    <s v="Light Rain"/>
    <n v="48"/>
    <x v="155"/>
    <n v="137"/>
    <n v="11"/>
    <n v="103.03"/>
    <n v="72.478999999999999"/>
    <n v="21.921299999999999"/>
    <n v="15.421063829787199"/>
    <n v="9.3663636363636407"/>
    <n v="0.75204379562043799"/>
    <s v="Hourly"/>
    <n v="49.834800000000001"/>
  </r>
  <r>
    <d v="2025-04-17T00:00:00"/>
    <x v="1"/>
    <x v="0"/>
    <n v="3"/>
    <n v="16"/>
    <x v="5"/>
    <x v="12"/>
    <x v="0"/>
    <s v="Clear"/>
    <n v="52"/>
    <x v="131"/>
    <n v="81"/>
    <n v="10"/>
    <n v="68.38"/>
    <n v="50.317"/>
    <n v="17.3995"/>
    <n v="12.803307888040701"/>
    <n v="6.8380000000000001"/>
    <n v="0.84419753086419802"/>
    <s v="Order"/>
    <n v="51.011800000000001"/>
  </r>
  <r>
    <d v="2025-04-16T00:00:00"/>
    <x v="1"/>
    <x v="0"/>
    <n v="3"/>
    <n v="16"/>
    <x v="1"/>
    <x v="53"/>
    <x v="0"/>
    <s v="Partially Cloudy"/>
    <n v="43"/>
    <x v="156"/>
    <n v="108"/>
    <n v="12"/>
    <n v="119.21"/>
    <n v="95.126000000000005"/>
    <n v="22.5777"/>
    <n v="18.0162878787879"/>
    <n v="9.9341666666666608"/>
    <n v="1.1037962962962999"/>
    <s v="Hourly"/>
    <n v="51.361400000000003"/>
  </r>
  <r>
    <d v="2025-04-14T00:00:00"/>
    <x v="1"/>
    <x v="0"/>
    <n v="3"/>
    <n v="16"/>
    <x v="4"/>
    <x v="67"/>
    <x v="2"/>
    <s v="Clear"/>
    <n v="57"/>
    <x v="18"/>
    <n v="135"/>
    <n v="10"/>
    <n v="148.72999999999999"/>
    <n v="118.625"/>
    <n v="29.865500000000001"/>
    <n v="23.820281124497999"/>
    <n v="14.872999999999999"/>
    <n v="1.1017037037037001"/>
    <s v="Order"/>
    <n v="51.013800000000003"/>
  </r>
  <r>
    <d v="2025-04-12T00:00:00"/>
    <x v="1"/>
    <x v="0"/>
    <n v="2"/>
    <n v="15"/>
    <x v="6"/>
    <x v="45"/>
    <x v="3"/>
    <s v="Partially Cloudy"/>
    <n v="37"/>
    <x v="1"/>
    <n v="101"/>
    <n v="11"/>
    <n v="113.41"/>
    <n v="90.887"/>
    <n v="22.5916"/>
    <n v="18.104980079681301"/>
    <n v="10.31"/>
    <n v="1.1228712871287101"/>
    <s v="Hourly"/>
    <n v="50.283999999999999"/>
  </r>
  <r>
    <d v="2025-04-11T00:00:00"/>
    <x v="1"/>
    <x v="0"/>
    <n v="2"/>
    <n v="15"/>
    <x v="0"/>
    <x v="27"/>
    <x v="3"/>
    <s v="Overcast"/>
    <n v="43"/>
    <x v="20"/>
    <n v="104"/>
    <n v="6"/>
    <n v="57.27"/>
    <n v="34.078000000000003"/>
    <n v="16.3629"/>
    <n v="9.7365714285714304"/>
    <n v="9.5449999999999999"/>
    <n v="0.55067307692307699"/>
    <s v="Hourly"/>
    <n v="49.023899999999998"/>
  </r>
  <r>
    <d v="2025-04-08T00:00:00"/>
    <x v="1"/>
    <x v="0"/>
    <n v="2"/>
    <n v="15"/>
    <x v="3"/>
    <x v="42"/>
    <x v="3"/>
    <s v="Snow Storm"/>
    <n v="34"/>
    <x v="157"/>
    <n v="119"/>
    <n v="11"/>
    <n v="130.44"/>
    <n v="103.90300000000001"/>
    <n v="23.418299999999999"/>
    <n v="18.654039497307"/>
    <n v="11.8581818181818"/>
    <n v="1.0961344537815101"/>
    <s v="Order"/>
    <n v="50.192900000000002"/>
  </r>
  <r>
    <d v="2025-04-07T00:00:00"/>
    <x v="1"/>
    <x v="0"/>
    <n v="2"/>
    <n v="15"/>
    <x v="4"/>
    <x v="63"/>
    <x v="2"/>
    <s v="Mostly Cloudy"/>
    <n v="39"/>
    <x v="158"/>
    <n v="105"/>
    <n v="9"/>
    <n v="116.99"/>
    <n v="93.575000000000003"/>
    <n v="23.778500000000001"/>
    <n v="19.019308943089399"/>
    <n v="12.998888888888899"/>
    <n v="1.11419047619048"/>
    <s v="Order"/>
    <n v="48.988100000000003"/>
  </r>
  <r>
    <d v="2025-03-30T00:00:00"/>
    <x v="1"/>
    <x v="1"/>
    <n v="13"/>
    <n v="13"/>
    <x v="2"/>
    <x v="27"/>
    <x v="2"/>
    <s v="Freezing Rain / Ice"/>
    <n v="34"/>
    <x v="94"/>
    <n v="115"/>
    <n v="11"/>
    <n v="153.68"/>
    <n v="128.035"/>
    <n v="24.471299999999999"/>
    <n v="20.387738853503201"/>
    <n v="13.9709090909091"/>
    <n v="1.3363478260869599"/>
    <s v="Order"/>
    <n v="49.537100000000002"/>
  </r>
  <r>
    <d v="2025-03-28T00:00:00"/>
    <x v="1"/>
    <x v="1"/>
    <n v="13"/>
    <n v="13"/>
    <x v="0"/>
    <x v="37"/>
    <x v="0"/>
    <s v="Partially Cloudy"/>
    <n v="46"/>
    <x v="159"/>
    <n v="68"/>
    <n v="9"/>
    <n v="68.489999999999995"/>
    <n v="53.326000000000001"/>
    <n v="17.208500000000001"/>
    <n v="13.3984924623116"/>
    <n v="7.61"/>
    <n v="1.00720588235294"/>
    <s v="Order"/>
    <n v="47.829599999999999"/>
  </r>
  <r>
    <d v="2025-03-25T00:00:00"/>
    <x v="1"/>
    <x v="1"/>
    <n v="13"/>
    <n v="13"/>
    <x v="3"/>
    <x v="27"/>
    <x v="0"/>
    <s v="Overcast"/>
    <n v="43"/>
    <x v="160"/>
    <n v="59"/>
    <n v="4"/>
    <n v="51.32"/>
    <n v="38.162999999999997"/>
    <n v="20.946899999999999"/>
    <n v="15.576734693877601"/>
    <n v="12.83"/>
    <n v="0.86983050847457599"/>
    <s v="Order"/>
    <n v="47.068600000000004"/>
  </r>
  <r>
    <d v="2025-03-24T00:00:00"/>
    <x v="1"/>
    <x v="1"/>
    <n v="13"/>
    <n v="13"/>
    <x v="4"/>
    <x v="40"/>
    <x v="0"/>
    <s v="Light Snow"/>
    <n v="30"/>
    <x v="88"/>
    <n v="73"/>
    <n v="11"/>
    <n v="108.54"/>
    <n v="92.260999999999996"/>
    <n v="21.366099999999999"/>
    <n v="18.161614173228301"/>
    <n v="9.8672727272727307"/>
    <n v="1.4868493150684901"/>
    <s v="Hourly"/>
    <n v="46.4983"/>
  </r>
  <r>
    <d v="2025-03-23T00:00:00"/>
    <x v="1"/>
    <x v="1"/>
    <n v="12"/>
    <n v="12"/>
    <x v="2"/>
    <x v="50"/>
    <x v="2"/>
    <s v="Clear"/>
    <n v="30"/>
    <x v="161"/>
    <n v="130"/>
    <n v="8"/>
    <n v="81.540000000000006"/>
    <n v="52.55"/>
    <n v="18.406300000000002"/>
    <n v="11.86230248307"/>
    <n v="10.192500000000001"/>
    <n v="0.62723076923076904"/>
    <s v="Order"/>
    <n v="45.292299999999997"/>
  </r>
  <r>
    <d v="2025-03-22T00:00:00"/>
    <x v="1"/>
    <x v="1"/>
    <n v="12"/>
    <n v="12"/>
    <x v="6"/>
    <x v="77"/>
    <x v="0"/>
    <s v="Sunny"/>
    <n v="57"/>
    <x v="162"/>
    <n v="32"/>
    <n v="10"/>
    <n v="65.55"/>
    <n v="58.414000000000001"/>
    <n v="22.603400000000001"/>
    <n v="20.142758620689701"/>
    <n v="6.5549999999999997"/>
    <n v="2.0484374999999999"/>
    <s v="Order"/>
    <n v="44.386299999999999"/>
  </r>
  <r>
    <d v="2025-03-21T00:00:00"/>
    <x v="1"/>
    <x v="1"/>
    <n v="12"/>
    <n v="12"/>
    <x v="0"/>
    <x v="2"/>
    <x v="3"/>
    <s v="Mostly Cloudy"/>
    <n v="37"/>
    <x v="132"/>
    <n v="152"/>
    <n v="13"/>
    <n v="184.51"/>
    <n v="150.614"/>
    <n v="27.054300000000001"/>
    <n v="22.084164222873898"/>
    <n v="14.1930769230769"/>
    <n v="1.21388157894737"/>
    <s v="Hourly"/>
    <n v="43.658000000000001"/>
  </r>
  <r>
    <d v="2025-03-19T00:00:00"/>
    <x v="1"/>
    <x v="1"/>
    <n v="12"/>
    <n v="12"/>
    <x v="1"/>
    <x v="52"/>
    <x v="2"/>
    <s v="Clear"/>
    <n v="46"/>
    <x v="149"/>
    <n v="80"/>
    <n v="6"/>
    <n v="60.75"/>
    <n v="42.91"/>
    <n v="17.763200000000001"/>
    <n v="12.546783625731001"/>
    <n v="10.125"/>
    <n v="0.75937500000000002"/>
    <s v="Order"/>
    <n v="41.607900000000001"/>
  </r>
  <r>
    <d v="2025-03-18T00:00:00"/>
    <x v="1"/>
    <x v="1"/>
    <n v="12"/>
    <n v="12"/>
    <x v="3"/>
    <x v="72"/>
    <x v="2"/>
    <s v="Clear"/>
    <n v="45"/>
    <x v="17"/>
    <n v="92"/>
    <n v="11"/>
    <n v="105.92"/>
    <n v="85.403999999999996"/>
    <n v="21.749500000000001"/>
    <n v="17.536755646817198"/>
    <n v="9.6290909090909107"/>
    <n v="1.15130434782609"/>
    <s v="Order"/>
    <n v="40.932899999999997"/>
  </r>
  <r>
    <d v="2025-03-17T00:00:00"/>
    <x v="1"/>
    <x v="1"/>
    <n v="12"/>
    <n v="12"/>
    <x v="4"/>
    <x v="1"/>
    <x v="2"/>
    <s v="Light Rain"/>
    <n v="45"/>
    <x v="163"/>
    <n v="39"/>
    <n v="7"/>
    <n v="43.5"/>
    <n v="34.802999999999997"/>
    <n v="15.647500000000001"/>
    <n v="12.5190647482014"/>
    <n v="6.2142857142857197"/>
    <n v="1.1153846153846201"/>
    <s v="Order"/>
    <n v="39.756"/>
  </r>
  <r>
    <d v="2025-03-16T00:00:00"/>
    <x v="1"/>
    <x v="1"/>
    <n v="11"/>
    <n v="11"/>
    <x v="2"/>
    <x v="21"/>
    <x v="3"/>
    <s v="Partially Cloudy"/>
    <n v="55"/>
    <x v="164"/>
    <n v="205"/>
    <n v="17"/>
    <n v="289.49"/>
    <n v="243.77500000000001"/>
    <n v="35.607599999999998"/>
    <n v="29.984624846248501"/>
    <n v="17.028823529411799"/>
    <n v="1.4121463414634099"/>
    <s v="Order"/>
    <n v="39.2727"/>
  </r>
  <r>
    <d v="2025-03-13T00:00:00"/>
    <x v="1"/>
    <x v="1"/>
    <n v="11"/>
    <n v="11"/>
    <x v="5"/>
    <x v="67"/>
    <x v="2"/>
    <s v="Clear"/>
    <n v="34"/>
    <x v="165"/>
    <n v="127"/>
    <n v="9"/>
    <n v="108.12"/>
    <n v="79.799000000000007"/>
    <n v="21.495000000000001"/>
    <n v="15.8646123260437"/>
    <n v="12.0133333333333"/>
    <n v="0.851338582677166"/>
    <s v="Order"/>
    <n v="36.056100000000001"/>
  </r>
  <r>
    <d v="2025-03-12T00:00:00"/>
    <x v="1"/>
    <x v="1"/>
    <n v="11"/>
    <n v="11"/>
    <x v="1"/>
    <x v="63"/>
    <x v="2"/>
    <s v="Clear"/>
    <n v="36"/>
    <x v="166"/>
    <n v="33"/>
    <n v="6"/>
    <n v="54.72"/>
    <n v="47.360999999999997"/>
    <n v="21.714300000000001"/>
    <n v="18.7940476190476"/>
    <n v="9.1199999999999992"/>
    <n v="1.65818181818182"/>
    <s v="Order"/>
    <n v="34.854799999999997"/>
  </r>
  <r>
    <d v="2025-03-10T00:00:00"/>
    <x v="1"/>
    <x v="1"/>
    <n v="11"/>
    <n v="11"/>
    <x v="4"/>
    <x v="67"/>
    <x v="2"/>
    <s v="Partially Cloudy"/>
    <n v="39"/>
    <x v="22"/>
    <n v="71"/>
    <n v="8"/>
    <n v="105.51"/>
    <n v="89.677000000000007"/>
    <n v="23.551300000000001"/>
    <n v="20.017187499999999"/>
    <n v="13.188750000000001"/>
    <n v="1.4860563380281699"/>
    <s v="Order"/>
    <n v="34.648899999999998"/>
  </r>
  <r>
    <d v="2025-03-09T00:00:00"/>
    <x v="1"/>
    <x v="1"/>
    <n v="10"/>
    <n v="10"/>
    <x v="2"/>
    <x v="78"/>
    <x v="2"/>
    <s v="Overcast"/>
    <n v="37"/>
    <x v="167"/>
    <n v="29"/>
    <n v="2"/>
    <n v="13.66"/>
    <n v="7.1929999999999996"/>
    <n v="13.2621"/>
    <n v="6.9834951456310703"/>
    <n v="6.83"/>
    <n v="0.47103448275862098"/>
    <s v="Order"/>
    <n v="33.476599999999998"/>
  </r>
  <r>
    <d v="2025-03-08T00:00:00"/>
    <x v="1"/>
    <x v="1"/>
    <n v="10"/>
    <n v="10"/>
    <x v="6"/>
    <x v="79"/>
    <x v="2"/>
    <s v="Overcast"/>
    <n v="28"/>
    <x v="148"/>
    <n v="134"/>
    <n v="13"/>
    <n v="147.78"/>
    <n v="117.898"/>
    <n v="21.573699999999999"/>
    <n v="17.211386861313901"/>
    <n v="11.3676923076923"/>
    <n v="1.10283582089552"/>
    <s v="Order"/>
    <n v="33.978999999999999"/>
  </r>
  <r>
    <d v="2025-03-04T00:00:00"/>
    <x v="1"/>
    <x v="1"/>
    <n v="10"/>
    <n v="10"/>
    <x v="3"/>
    <x v="37"/>
    <x v="2"/>
    <s v="Overcast"/>
    <n v="37"/>
    <x v="93"/>
    <n v="95"/>
    <n v="8"/>
    <n v="89.25"/>
    <n v="68.064999999999998"/>
    <n v="19.7456"/>
    <n v="15.0586283185841"/>
    <n v="11.15625"/>
    <n v="0.93947368421052602"/>
    <s v="Order"/>
    <n v="32.831400000000002"/>
  </r>
  <r>
    <d v="2025-03-03T00:00:00"/>
    <x v="1"/>
    <x v="1"/>
    <n v="10"/>
    <n v="10"/>
    <x v="4"/>
    <x v="2"/>
    <x v="2"/>
    <s v="Clear"/>
    <n v="21"/>
    <x v="130"/>
    <n v="125"/>
    <n v="13"/>
    <n v="143.87"/>
    <n v="115.995"/>
    <n v="27.508600000000001"/>
    <n v="22.178776290630999"/>
    <n v="11.0669230769231"/>
    <n v="1.15096"/>
    <s v="Order"/>
    <n v="32.870399999999997"/>
  </r>
  <r>
    <d v="2025-03-01T00:00:00"/>
    <x v="1"/>
    <x v="1"/>
    <n v="9"/>
    <n v="9"/>
    <x v="6"/>
    <x v="21"/>
    <x v="2"/>
    <s v="Light Snow"/>
    <n v="18"/>
    <x v="168"/>
    <n v="108"/>
    <n v="12"/>
    <n v="143.5"/>
    <n v="119.416"/>
    <n v="27.075500000000002"/>
    <n v="22.531320754717001"/>
    <n v="11.9583333333333"/>
    <n v="1.3287037037036999"/>
    <s v="Order"/>
    <n v="32.300600000000003"/>
  </r>
  <r>
    <d v="2025-02-26T00:00:00"/>
    <x v="1"/>
    <x v="1"/>
    <n v="9"/>
    <n v="9"/>
    <x v="1"/>
    <x v="72"/>
    <x v="3"/>
    <s v="Clear"/>
    <n v="36"/>
    <x v="59"/>
    <n v="137"/>
    <n v="8"/>
    <n v="129.32"/>
    <n v="98.769000000000005"/>
    <n v="24.632400000000001"/>
    <n v="18.8131428571429"/>
    <n v="16.164999999999999"/>
    <n v="0.943941605839416"/>
    <s v="Order"/>
    <n v="32.375999999999998"/>
  </r>
  <r>
    <d v="2025-02-24T00:00:00"/>
    <x v="1"/>
    <x v="1"/>
    <n v="9"/>
    <n v="9"/>
    <x v="4"/>
    <x v="40"/>
    <x v="2"/>
    <s v="Overcast"/>
    <n v="37"/>
    <x v="169"/>
    <n v="66"/>
    <n v="8"/>
    <n v="85.3"/>
    <n v="70.581999999999994"/>
    <n v="22.868600000000001"/>
    <n v="18.922788203753399"/>
    <n v="10.6625"/>
    <n v="1.29242424242424"/>
    <s v="Order"/>
    <n v="31.682099999999998"/>
  </r>
  <r>
    <d v="2025-02-22T00:00:00"/>
    <x v="1"/>
    <x v="1"/>
    <n v="8"/>
    <n v="8"/>
    <x v="6"/>
    <x v="29"/>
    <x v="2"/>
    <s v="Sunny"/>
    <n v="32"/>
    <x v="170"/>
    <n v="66"/>
    <n v="11"/>
    <n v="156.59"/>
    <n v="141.87200000000001"/>
    <n v="27.962499999999999"/>
    <n v="25.334285714285699"/>
    <n v="14.2354545454545"/>
    <n v="2.3725757575757598"/>
    <s v="Order"/>
    <n v="31.4498"/>
  </r>
  <r>
    <d v="2025-02-21T00:00:00"/>
    <x v="1"/>
    <x v="1"/>
    <n v="8"/>
    <n v="8"/>
    <x v="0"/>
    <x v="72"/>
    <x v="1"/>
    <s v="Clear"/>
    <n v="25"/>
    <x v="171"/>
    <n v="159"/>
    <n v="20"/>
    <n v="208.86"/>
    <n v="173.40299999999999"/>
    <n v="24.229700000000001"/>
    <n v="20.1163573085847"/>
    <n v="10.443"/>
    <n v="1.3135849056603801"/>
    <s v="Order"/>
    <n v="29.709900000000001"/>
  </r>
  <r>
    <d v="2025-02-20T00:00:00"/>
    <x v="1"/>
    <x v="1"/>
    <n v="8"/>
    <n v="8"/>
    <x v="5"/>
    <x v="1"/>
    <x v="3"/>
    <s v="Partially Cloudy"/>
    <n v="28"/>
    <x v="158"/>
    <n v="118"/>
    <n v="9"/>
    <n v="99.14"/>
    <n v="72.825999999999993"/>
    <n v="20.150400000000001"/>
    <n v="14.8020325203252"/>
    <n v="11.015555555555601"/>
    <n v="0.84016949152542397"/>
    <s v="Order"/>
    <n v="27.389199999999999"/>
  </r>
  <r>
    <d v="2025-02-18T00:00:00"/>
    <x v="1"/>
    <x v="1"/>
    <n v="8"/>
    <n v="8"/>
    <x v="3"/>
    <x v="53"/>
    <x v="2"/>
    <s v="Clear"/>
    <n v="10"/>
    <x v="172"/>
    <n v="103"/>
    <n v="10"/>
    <n v="107.02"/>
    <n v="84.051000000000002"/>
    <n v="20.5808"/>
    <n v="16.1636538461538"/>
    <n v="10.702"/>
    <n v="1.03902912621359"/>
    <s v="Order"/>
    <n v="27.5518"/>
  </r>
  <r>
    <d v="2025-02-15T00:00:00"/>
    <x v="1"/>
    <x v="1"/>
    <n v="7"/>
    <n v="7"/>
    <x v="6"/>
    <x v="80"/>
    <x v="3"/>
    <s v="Light Snow"/>
    <n v="27"/>
    <x v="144"/>
    <n v="106"/>
    <n v="6"/>
    <n v="64.260000000000005"/>
    <n v="40.622"/>
    <n v="20.081199999999999"/>
    <n v="12.694375000000001"/>
    <n v="10.71"/>
    <n v="0.60622641509434005"/>
    <s v="Hourly"/>
    <n v="27.1266"/>
  </r>
  <r>
    <d v="2025-02-13T00:00:00"/>
    <x v="1"/>
    <x v="1"/>
    <n v="7"/>
    <n v="7"/>
    <x v="5"/>
    <x v="63"/>
    <x v="0"/>
    <s v="Overcast"/>
    <n v="27"/>
    <x v="106"/>
    <n v="26"/>
    <n v="5"/>
    <n v="91.15"/>
    <n v="85.352000000000004"/>
    <n v="22.395600000000002"/>
    <n v="20.971007371007399"/>
    <n v="18.23"/>
    <n v="3.5057692307692299"/>
    <s v="Order"/>
    <n v="28.349"/>
  </r>
  <r>
    <d v="2025-02-10T00:00:00"/>
    <x v="1"/>
    <x v="1"/>
    <n v="7"/>
    <n v="7"/>
    <x v="4"/>
    <x v="63"/>
    <x v="2"/>
    <s v="Clear"/>
    <n v="19"/>
    <x v="6"/>
    <n v="75"/>
    <n v="8"/>
    <n v="106.43"/>
    <n v="89.704999999999998"/>
    <n v="28.3813"/>
    <n v="23.921333333333301"/>
    <n v="13.303750000000001"/>
    <n v="1.41906666666667"/>
    <s v="Order"/>
    <n v="29.005800000000001"/>
  </r>
  <r>
    <d v="2025-02-09T00:00:00"/>
    <x v="1"/>
    <x v="1"/>
    <n v="6"/>
    <n v="6"/>
    <x v="2"/>
    <x v="81"/>
    <x v="2"/>
    <s v="Partially Cloudy"/>
    <n v="21"/>
    <x v="136"/>
    <n v="77"/>
    <n v="6"/>
    <n v="95.12"/>
    <n v="77.948999999999998"/>
    <n v="26.4222"/>
    <n v="21.6525"/>
    <n v="15.8533333333333"/>
    <n v="1.23532467532468"/>
    <s v="Order"/>
    <n v="28.816700000000001"/>
  </r>
  <r>
    <d v="2025-02-07T00:00:00"/>
    <x v="1"/>
    <x v="1"/>
    <n v="6"/>
    <n v="6"/>
    <x v="0"/>
    <x v="75"/>
    <x v="0"/>
    <s v="Overcast"/>
    <n v="27"/>
    <x v="136"/>
    <n v="65"/>
    <n v="6"/>
    <n v="41.3"/>
    <n v="26.805"/>
    <n v="11.472200000000001"/>
    <n v="7.4458333333333302"/>
    <n v="6.8833333333333302"/>
    <n v="0.63538461538461499"/>
    <s v="Order"/>
    <n v="29.3552"/>
  </r>
  <r>
    <d v="2025-02-06T00:00:00"/>
    <x v="1"/>
    <x v="1"/>
    <n v="6"/>
    <n v="6"/>
    <x v="5"/>
    <x v="63"/>
    <x v="0"/>
    <s v="Snow Storm"/>
    <n v="18"/>
    <x v="173"/>
    <n v="21"/>
    <n v="4"/>
    <n v="19.04"/>
    <n v="14.356999999999999"/>
    <n v="16.5565"/>
    <n v="12.484347826086999"/>
    <n v="4.76"/>
    <n v="0.90666666666666595"/>
    <s v="Order"/>
    <n v="28.8963"/>
  </r>
  <r>
    <d v="2025-02-05T00:00:00"/>
    <x v="1"/>
    <x v="1"/>
    <n v="6"/>
    <n v="6"/>
    <x v="1"/>
    <x v="65"/>
    <x v="1"/>
    <s v="Clear"/>
    <n v="16"/>
    <x v="174"/>
    <n v="69"/>
    <n v="5"/>
    <n v="51.3"/>
    <n v="35.912999999999997"/>
    <n v="19"/>
    <n v="13.3011111111111"/>
    <n v="10.26"/>
    <n v="0.74347826086956503"/>
    <s v="Order"/>
    <n v="28.684799999999999"/>
  </r>
  <r>
    <d v="2025-02-03T00:00:00"/>
    <x v="1"/>
    <x v="1"/>
    <n v="6"/>
    <n v="6"/>
    <x v="4"/>
    <x v="82"/>
    <x v="3"/>
    <s v="Light Snow"/>
    <n v="34"/>
    <x v="175"/>
    <n v="68"/>
    <n v="5"/>
    <n v="57.5"/>
    <n v="42.335999999999999"/>
    <n v="20.3901"/>
    <n v="15.012765957446801"/>
    <n v="11.5"/>
    <n v="0.84558823529411797"/>
    <s v="Order"/>
    <n v="28.976600000000001"/>
  </r>
  <r>
    <d v="2025-02-01T00:00:00"/>
    <x v="1"/>
    <x v="1"/>
    <n v="5"/>
    <n v="5"/>
    <x v="6"/>
    <x v="83"/>
    <x v="2"/>
    <s v="Sunny"/>
    <n v="21"/>
    <x v="176"/>
    <n v="54"/>
    <n v="3"/>
    <n v="49.75"/>
    <n v="37.707999999999998"/>
    <n v="24.875"/>
    <n v="18.853999999999999"/>
    <n v="16.5833333333333"/>
    <n v="0.92129629629629595"/>
    <s v="Order"/>
    <n v="31.537099999999999"/>
  </r>
  <r>
    <d v="2025-01-28T00:00:00"/>
    <x v="1"/>
    <x v="1"/>
    <n v="5"/>
    <n v="5"/>
    <x v="3"/>
    <x v="67"/>
    <x v="3"/>
    <s v="Clear"/>
    <n v="12"/>
    <x v="38"/>
    <n v="130"/>
    <n v="6"/>
    <n v="75.11"/>
    <n v="46.12"/>
    <n v="18.012"/>
    <n v="11.0599520383693"/>
    <n v="12.518333333333301"/>
    <n v="0.57776923076923103"/>
    <s v="Order"/>
    <n v="36.535400000000003"/>
  </r>
  <r>
    <d v="2025-01-26T00:00:00"/>
    <x v="1"/>
    <x v="1"/>
    <n v="4"/>
    <n v="4"/>
    <x v="2"/>
    <x v="9"/>
    <x v="2"/>
    <s v="Clear"/>
    <n v="30"/>
    <x v="177"/>
    <n v="71"/>
    <n v="5"/>
    <n v="45.46"/>
    <n v="29.626999999999999"/>
    <n v="18.184000000000001"/>
    <n v="11.8508"/>
    <n v="9.0920000000000005"/>
    <n v="0.64028169014084502"/>
    <s v="Order"/>
    <n v="37.690100000000001"/>
  </r>
  <r>
    <d v="2025-01-24T00:00:00"/>
    <x v="1"/>
    <x v="1"/>
    <n v="4"/>
    <n v="4"/>
    <x v="0"/>
    <x v="48"/>
    <x v="0"/>
    <s v="Clear"/>
    <n v="19"/>
    <x v="165"/>
    <n v="67"/>
    <n v="9"/>
    <n v="79.010000000000005"/>
    <n v="64.069000000000003"/>
    <n v="15.707800000000001"/>
    <n v="12.7373757455268"/>
    <n v="8.7788888888888899"/>
    <n v="1.17925373134328"/>
    <s v="Order"/>
    <n v="38.747199999999999"/>
  </r>
  <r>
    <d v="2025-01-22T00:00:00"/>
    <x v="1"/>
    <x v="1"/>
    <n v="4"/>
    <n v="4"/>
    <x v="1"/>
    <x v="27"/>
    <x v="2"/>
    <s v="Clear"/>
    <n v="12"/>
    <x v="60"/>
    <n v="57"/>
    <n v="5"/>
    <n v="46.31"/>
    <n v="33.598999999999997"/>
    <n v="19.706399999999999"/>
    <n v="14.2974468085106"/>
    <n v="9.2620000000000005"/>
    <n v="0.81245614035087699"/>
    <s v="Order"/>
    <n v="39.046399999999998"/>
  </r>
  <r>
    <d v="2025-01-21T00:00:00"/>
    <x v="1"/>
    <x v="1"/>
    <n v="4"/>
    <n v="4"/>
    <x v="3"/>
    <x v="84"/>
    <x v="1"/>
    <s v="Clear"/>
    <n v="12"/>
    <x v="178"/>
    <n v="47"/>
    <n v="2"/>
    <n v="26.9"/>
    <n v="16.419"/>
    <n v="15.823499999999999"/>
    <n v="9.6582352941176399"/>
    <n v="13.45"/>
    <n v="0.572340425531915"/>
    <s v="Order"/>
    <n v="38.5319"/>
  </r>
  <r>
    <d v="2025-01-19T00:00:00"/>
    <x v="1"/>
    <x v="1"/>
    <n v="3"/>
    <n v="3"/>
    <x v="2"/>
    <x v="6"/>
    <x v="1"/>
    <s v="Snow Storm"/>
    <n v="32"/>
    <x v="179"/>
    <n v="73"/>
    <n v="7"/>
    <n v="90.9"/>
    <n v="74.620999999999995"/>
    <n v="25.750699999999998"/>
    <n v="21.139093484419298"/>
    <n v="12.9857142857143"/>
    <n v="1.24520547945205"/>
    <s v="Order"/>
    <n v="39.353000000000002"/>
  </r>
  <r>
    <d v="2025-01-18T00:00:00"/>
    <x v="1"/>
    <x v="1"/>
    <n v="3"/>
    <n v="3"/>
    <x v="6"/>
    <x v="48"/>
    <x v="2"/>
    <s v="Light Rain"/>
    <n v="39"/>
    <x v="51"/>
    <n v="106"/>
    <n v="8"/>
    <n v="91.16"/>
    <n v="67.522000000000006"/>
    <n v="20.7182"/>
    <n v="15.3459090909091"/>
    <n v="11.395"/>
    <n v="0.86"/>
    <s v="Order"/>
    <n v="39.314399999999999"/>
  </r>
  <r>
    <d v="2025-01-17T00:00:00"/>
    <x v="1"/>
    <x v="1"/>
    <n v="3"/>
    <n v="3"/>
    <x v="0"/>
    <x v="43"/>
    <x v="0"/>
    <s v="Clear"/>
    <n v="25"/>
    <x v="7"/>
    <n v="110"/>
    <n v="9"/>
    <n v="99.85"/>
    <n v="75.319999999999993"/>
    <n v="18.254100000000001"/>
    <n v="13.7696526508227"/>
    <n v="11.094444444444401"/>
    <n v="0.90772727272727305"/>
    <s v="Order"/>
    <n v="39.262799999999999"/>
  </r>
  <r>
    <d v="2025-01-16T00:00:00"/>
    <x v="1"/>
    <x v="1"/>
    <n v="3"/>
    <n v="3"/>
    <x v="5"/>
    <x v="63"/>
    <x v="0"/>
    <s v="Clear"/>
    <n v="16"/>
    <x v="52"/>
    <n v="40"/>
    <n v="8"/>
    <n v="87.92"/>
    <n v="79"/>
    <n v="21.185500000000001"/>
    <n v="19.036144578313301"/>
    <n v="10.99"/>
    <n v="2.198"/>
    <s v="Order"/>
    <n v="38.583399999999997"/>
  </r>
  <r>
    <d v="2025-01-13T00:00:00"/>
    <x v="1"/>
    <x v="1"/>
    <n v="3"/>
    <n v="3"/>
    <x v="4"/>
    <x v="53"/>
    <x v="1"/>
    <s v="Light Snow"/>
    <n v="34"/>
    <x v="11"/>
    <n v="68"/>
    <n v="7"/>
    <n v="83.05"/>
    <n v="67.885999999999996"/>
    <n v="18.961200000000002"/>
    <n v="15.4990867579909"/>
    <n v="11.8642857142857"/>
    <n v="1.2213235294117599"/>
    <s v="Order"/>
    <n v="40.534700000000001"/>
  </r>
  <r>
    <d v="2025-01-11T00:00:00"/>
    <x v="1"/>
    <x v="1"/>
    <n v="2"/>
    <n v="2"/>
    <x v="6"/>
    <x v="44"/>
    <x v="1"/>
    <s v="Light Snow"/>
    <n v="27"/>
    <x v="42"/>
    <n v="116"/>
    <n v="16"/>
    <n v="148.96"/>
    <n v="123.092"/>
    <n v="21.970500000000001"/>
    <n v="18.155162241887901"/>
    <n v="9.31"/>
    <n v="1.28413793103448"/>
    <s v="Order"/>
    <n v="40.9086"/>
  </r>
  <r>
    <d v="2025-01-09T00:00:00"/>
    <x v="1"/>
    <x v="1"/>
    <n v="2"/>
    <n v="2"/>
    <x v="5"/>
    <x v="52"/>
    <x v="0"/>
    <s v="Clear"/>
    <n v="23"/>
    <x v="180"/>
    <n v="23"/>
    <n v="2"/>
    <n v="13.52"/>
    <n v="8.391"/>
    <n v="6.5313999999999997"/>
    <n v="4.0536231884058003"/>
    <n v="6.76"/>
    <n v="0.58782608695652205"/>
    <s v="Order"/>
    <n v="40.544600000000003"/>
  </r>
  <r>
    <d v="2025-01-08T00:00:00"/>
    <x v="1"/>
    <x v="1"/>
    <n v="2"/>
    <n v="2"/>
    <x v="1"/>
    <x v="65"/>
    <x v="2"/>
    <s v="Overcast"/>
    <n v="16"/>
    <x v="181"/>
    <n v="50"/>
    <n v="1"/>
    <n v="22.01"/>
    <n v="10.86"/>
    <n v="15.949299999999999"/>
    <n v="7.8695652173913002"/>
    <n v="22.01"/>
    <n v="0.44019999999999998"/>
    <s v="Order"/>
    <n v="40.394300000000001"/>
  </r>
  <r>
    <d v="2025-01-05T00:00:00"/>
    <x v="1"/>
    <x v="1"/>
    <n v="1"/>
    <n v="1"/>
    <x v="2"/>
    <x v="1"/>
    <x v="2"/>
    <s v="Clear"/>
    <n v="9"/>
    <x v="182"/>
    <n v="62"/>
    <n v="4"/>
    <n v="74.41"/>
    <n v="60.584000000000003"/>
    <n v="26.108799999999999"/>
    <n v="21.2575438596491"/>
    <n v="18.602499999999999"/>
    <n v="1.20016129032258"/>
    <s v="Order"/>
    <n v="40.149799999999999"/>
  </r>
  <r>
    <d v="2025-01-03T00:00:00"/>
    <x v="1"/>
    <x v="1"/>
    <n v="1"/>
    <n v="1"/>
    <x v="0"/>
    <x v="19"/>
    <x v="0"/>
    <s v="Clear"/>
    <n v="30"/>
    <x v="183"/>
    <n v="27"/>
    <n v="4"/>
    <n v="30.52"/>
    <n v="24.498999999999999"/>
    <n v="17.6416"/>
    <n v="14.161271676300601"/>
    <n v="7.63"/>
    <n v="1.13037037037037"/>
    <s v="Order"/>
    <n v="42.755000000000003"/>
  </r>
  <r>
    <d v="2025-01-02T00:00:00"/>
    <x v="1"/>
    <x v="1"/>
    <n v="1"/>
    <n v="1"/>
    <x v="5"/>
    <x v="37"/>
    <x v="0"/>
    <s v="Mostly Cloudy"/>
    <n v="34"/>
    <x v="184"/>
    <n v="38"/>
    <n v="5"/>
    <n v="61.47"/>
    <n v="52.996000000000002"/>
    <n v="22.352699999999999"/>
    <n v="19.271272727272699"/>
    <n v="12.294"/>
    <n v="1.6176315789473701"/>
    <s v="Order"/>
    <n v="44.021900000000002"/>
  </r>
  <r>
    <d v="2024-12-12T00:00:00"/>
    <x v="2"/>
    <x v="2"/>
    <n v="11"/>
    <n v="50"/>
    <x v="5"/>
    <x v="85"/>
    <x v="2"/>
    <s v="Clear"/>
    <n v="34"/>
    <x v="185"/>
    <n v="19"/>
    <n v="3"/>
    <n v="36.19"/>
    <n v="31.952999999999999"/>
    <n v="17.070799999999998"/>
    <n v="15.0721698113208"/>
    <n v="12.063333333333301"/>
    <n v="1.90473684210526"/>
    <s v="Order"/>
    <n v="57.261800000000001"/>
  </r>
  <r>
    <d v="2024-12-09T00:00:00"/>
    <x v="2"/>
    <x v="2"/>
    <n v="11"/>
    <n v="50"/>
    <x v="4"/>
    <x v="68"/>
    <x v="2"/>
    <s v="Light Snow"/>
    <n v="28"/>
    <x v="186"/>
    <n v="32"/>
    <n v="6"/>
    <n v="58.88"/>
    <n v="51.744"/>
    <n v="31.827000000000002"/>
    <n v="27.9697297297297"/>
    <n v="9.8133333333333397"/>
    <n v="1.84"/>
    <s v="Hourly"/>
    <n v="61.726999999999997"/>
  </r>
  <r>
    <d v="2024-12-06T00:00:00"/>
    <x v="2"/>
    <x v="2"/>
    <n v="10"/>
    <n v="49"/>
    <x v="0"/>
    <x v="36"/>
    <x v="2"/>
    <s v="Clear"/>
    <n v="19"/>
    <x v="187"/>
    <n v="55"/>
    <n v="4"/>
    <n v="44.5"/>
    <n v="32.234999999999999"/>
    <n v="22.029699999999998"/>
    <n v="15.9579207920792"/>
    <n v="11.125"/>
    <n v="0.80909090909090897"/>
    <s v="Order"/>
    <n v="64.408799999999999"/>
  </r>
  <r>
    <d v="2024-12-04T00:00:00"/>
    <x v="2"/>
    <x v="2"/>
    <n v="10"/>
    <n v="49"/>
    <x v="1"/>
    <x v="75"/>
    <x v="2"/>
    <s v="Snow Storm"/>
    <n v="34"/>
    <x v="188"/>
    <n v="68"/>
    <n v="12"/>
    <n v="92.76"/>
    <n v="77.596000000000004"/>
    <n v="28.367000000000001"/>
    <n v="23.729663608562699"/>
    <n v="7.73"/>
    <n v="1.3641176470588201"/>
    <s v="Order"/>
    <n v="66.264200000000002"/>
  </r>
  <r>
    <d v="2024-12-03T00:00:00"/>
    <x v="2"/>
    <x v="2"/>
    <n v="10"/>
    <n v="49"/>
    <x v="3"/>
    <x v="11"/>
    <x v="2"/>
    <s v="Mostly Cloudy"/>
    <n v="30"/>
    <x v="189"/>
    <n v="14"/>
    <n v="3"/>
    <n v="26"/>
    <n v="22.878"/>
    <n v="21.138200000000001"/>
    <n v="18.600000000000001"/>
    <n v="8.6666666666666607"/>
    <n v="1.8571428571428601"/>
    <s v="Order"/>
    <n v="66.125799999999998"/>
  </r>
  <r>
    <d v="2024-12-02T00:00:00"/>
    <x v="2"/>
    <x v="2"/>
    <n v="10"/>
    <n v="49"/>
    <x v="4"/>
    <x v="65"/>
    <x v="2"/>
    <s v="Partially Cloudy"/>
    <n v="28"/>
    <x v="29"/>
    <n v="57"/>
    <n v="10"/>
    <n v="66.58"/>
    <n v="53.869"/>
    <n v="29.8565"/>
    <n v="24.156502242152499"/>
    <n v="6.6580000000000004"/>
    <n v="1.1680701754386"/>
    <s v="Order"/>
    <n v="65.8369"/>
  </r>
  <r>
    <d v="2024-11-29T00:00:00"/>
    <x v="2"/>
    <x v="2"/>
    <n v="9"/>
    <n v="48"/>
    <x v="0"/>
    <x v="64"/>
    <x v="3"/>
    <s v="Clear"/>
    <n v="36"/>
    <x v="113"/>
    <n v="116"/>
    <n v="11"/>
    <n v="150.29"/>
    <n v="124.422"/>
    <n v="25.174199999999999"/>
    <n v="20.841206030150801"/>
    <n v="13.662727272727301"/>
    <n v="1.29560344827586"/>
    <s v="Hourly"/>
    <n v="67.284999999999997"/>
  </r>
  <r>
    <d v="2024-11-27T00:00:00"/>
    <x v="2"/>
    <x v="2"/>
    <n v="9"/>
    <n v="48"/>
    <x v="1"/>
    <x v="1"/>
    <x v="2"/>
    <s v="Clear"/>
    <n v="34"/>
    <x v="190"/>
    <n v="56"/>
    <n v="6"/>
    <n v="66.87"/>
    <n v="54.381999999999998"/>
    <n v="24.140799999999999"/>
    <n v="19.632490974729201"/>
    <n v="11.145"/>
    <n v="1.1941071428571399"/>
    <s v="Hourly"/>
    <n v="65.615099999999998"/>
  </r>
  <r>
    <d v="2024-11-25T00:00:00"/>
    <x v="2"/>
    <x v="2"/>
    <n v="9"/>
    <n v="48"/>
    <x v="4"/>
    <x v="37"/>
    <x v="2"/>
    <s v="Clear"/>
    <n v="36"/>
    <x v="191"/>
    <n v="52"/>
    <n v="6"/>
    <n v="64.39"/>
    <n v="52.793999999999997"/>
    <n v="21.4633"/>
    <n v="17.597999999999999"/>
    <n v="10.731666666666699"/>
    <n v="1.23826923076923"/>
    <s v="Order"/>
    <n v="65.562899999999999"/>
  </r>
  <r>
    <d v="2024-11-22T00:00:00"/>
    <x v="2"/>
    <x v="2"/>
    <n v="8"/>
    <n v="47"/>
    <x v="0"/>
    <x v="50"/>
    <x v="2"/>
    <s v="Light Rain"/>
    <n v="46"/>
    <x v="37"/>
    <n v="85"/>
    <n v="8"/>
    <n v="105.7"/>
    <n v="86.745000000000005"/>
    <n v="27.597899999999999"/>
    <n v="22.648825065274199"/>
    <n v="13.2125"/>
    <n v="1.24352941176471"/>
    <s v="Order"/>
    <n v="69.436999999999998"/>
  </r>
  <r>
    <d v="2024-11-21T00:00:00"/>
    <x v="2"/>
    <x v="2"/>
    <n v="8"/>
    <n v="47"/>
    <x v="5"/>
    <x v="43"/>
    <x v="2"/>
    <s v="Fog"/>
    <n v="45"/>
    <x v="192"/>
    <n v="19"/>
    <n v="1"/>
    <n v="8.07"/>
    <n v="3.8330000000000002"/>
    <n v="13.45"/>
    <n v="6.3883333333333301"/>
    <n v="8.07"/>
    <n v="0.42473684210526302"/>
    <s v="Order"/>
    <n v="69.868600000000001"/>
  </r>
  <r>
    <d v="2024-11-18T00:00:00"/>
    <x v="2"/>
    <x v="2"/>
    <n v="8"/>
    <n v="47"/>
    <x v="4"/>
    <x v="43"/>
    <x v="2"/>
    <s v="Overcast"/>
    <n v="50"/>
    <x v="103"/>
    <n v="59"/>
    <n v="5"/>
    <n v="68.75"/>
    <n v="55.593000000000004"/>
    <n v="22.764900000000001"/>
    <n v="18.408278145695402"/>
    <n v="13.75"/>
    <n v="1.16525423728814"/>
    <s v="Order"/>
    <n v="75.594200000000001"/>
  </r>
  <r>
    <d v="2024-11-16T00:00:00"/>
    <x v="2"/>
    <x v="2"/>
    <n v="7"/>
    <n v="46"/>
    <x v="6"/>
    <x v="27"/>
    <x v="0"/>
    <s v="Clear"/>
    <n v="46"/>
    <x v="193"/>
    <n v="116"/>
    <n v="20"/>
    <n v="174.28"/>
    <n v="148.41200000000001"/>
    <n v="21.785"/>
    <n v="18.551500000000001"/>
    <n v="8.7140000000000004"/>
    <n v="1.50241379310345"/>
    <s v="Order"/>
    <n v="74.830299999999994"/>
  </r>
  <r>
    <d v="2024-11-15T00:00:00"/>
    <x v="2"/>
    <x v="2"/>
    <n v="7"/>
    <n v="46"/>
    <x v="0"/>
    <x v="27"/>
    <x v="2"/>
    <s v="Partially Cloudy"/>
    <n v="50"/>
    <x v="194"/>
    <n v="114"/>
    <n v="17"/>
    <n v="150.26"/>
    <n v="124.83799999999999"/>
    <n v="23.9649"/>
    <n v="19.910366826156299"/>
    <n v="8.8388235294117603"/>
    <n v="1.3180701754385999"/>
    <s v="Order"/>
    <n v="73.739400000000003"/>
  </r>
  <r>
    <d v="2024-11-12T00:00:00"/>
    <x v="2"/>
    <x v="2"/>
    <n v="7"/>
    <n v="46"/>
    <x v="3"/>
    <x v="17"/>
    <x v="2"/>
    <s v="Clear"/>
    <n v="34"/>
    <x v="66"/>
    <n v="71"/>
    <n v="12"/>
    <n v="89.41"/>
    <n v="73.576999999999998"/>
    <n v="19.145600000000002"/>
    <n v="15.755246252676701"/>
    <n v="7.4508333333333301"/>
    <n v="1.2592957746478901"/>
    <s v="Order"/>
    <n v="76.7102"/>
  </r>
  <r>
    <d v="2024-11-11T00:00:00"/>
    <x v="2"/>
    <x v="2"/>
    <n v="7"/>
    <n v="46"/>
    <x v="4"/>
    <x v="56"/>
    <x v="2"/>
    <s v="Overcast"/>
    <n v="55"/>
    <x v="165"/>
    <n v="88"/>
    <n v="15"/>
    <n v="143.59"/>
    <n v="123.96599999999999"/>
    <n v="28.546700000000001"/>
    <n v="24.6453280318091"/>
    <n v="9.5726666666666702"/>
    <n v="1.63170454545455"/>
    <s v="Order"/>
    <n v="77.483599999999996"/>
  </r>
  <r>
    <d v="2024-11-07T00:00:00"/>
    <x v="2"/>
    <x v="2"/>
    <n v="6"/>
    <n v="45"/>
    <x v="5"/>
    <x v="53"/>
    <x v="2"/>
    <s v="Clear"/>
    <n v="46"/>
    <x v="73"/>
    <n v="28"/>
    <n v="3"/>
    <n v="77.56"/>
    <n v="71.316000000000003"/>
    <n v="30.062000000000001"/>
    <n v="27.641860465116299"/>
    <n v="25.8533333333333"/>
    <n v="2.77"/>
    <s v="Order"/>
    <n v="81.165800000000004"/>
  </r>
  <r>
    <d v="2024-11-05T00:00:00"/>
    <x v="2"/>
    <x v="2"/>
    <n v="6"/>
    <n v="45"/>
    <x v="3"/>
    <x v="42"/>
    <x v="2"/>
    <s v="Clear"/>
    <n v="52"/>
    <x v="82"/>
    <n v="87"/>
    <n v="11"/>
    <n v="160.63999999999999"/>
    <n v="141.239"/>
    <n v="31.6844"/>
    <n v="27.8577909270217"/>
    <n v="14.603636363636401"/>
    <n v="1.8464367816092"/>
    <s v="Order"/>
    <n v="82.0548"/>
  </r>
  <r>
    <d v="2024-11-04T00:00:00"/>
    <x v="2"/>
    <x v="2"/>
    <n v="6"/>
    <n v="45"/>
    <x v="4"/>
    <x v="37"/>
    <x v="2"/>
    <s v="Mostly Cloudy"/>
    <n v="43"/>
    <x v="195"/>
    <n v="87"/>
    <n v="11"/>
    <n v="127.31"/>
    <n v="107.90900000000001"/>
    <n v="23.796299999999999"/>
    <n v="20.169906542056101"/>
    <n v="11.5736363636364"/>
    <n v="1.46333333333333"/>
    <s v="Order"/>
    <n v="80.269900000000007"/>
  </r>
  <r>
    <d v="2024-11-03T00:00:00"/>
    <x v="2"/>
    <x v="2"/>
    <n v="5"/>
    <n v="44"/>
    <x v="2"/>
    <x v="86"/>
    <x v="2"/>
    <s v="Clear"/>
    <n v="41"/>
    <x v="96"/>
    <n v="121"/>
    <n v="16"/>
    <n v="175.5"/>
    <n v="148.517"/>
    <n v="28.6297"/>
    <n v="24.227895595432301"/>
    <n v="10.96875"/>
    <n v="1.4504132231405"/>
    <s v="Hourly"/>
    <n v="80.468000000000004"/>
  </r>
  <r>
    <d v="2024-11-02T00:00:00"/>
    <x v="2"/>
    <x v="2"/>
    <n v="5"/>
    <n v="44"/>
    <x v="6"/>
    <x v="87"/>
    <x v="1"/>
    <s v="Clear"/>
    <n v="37"/>
    <x v="196"/>
    <n v="128"/>
    <n v="13"/>
    <n v="100.36"/>
    <n v="71.816000000000003"/>
    <n v="15.930199999999999"/>
    <n v="11.399365079365101"/>
    <n v="7.72"/>
    <n v="0.7840625"/>
    <s v="Order"/>
    <n v="78.518000000000001"/>
  </r>
  <r>
    <d v="2024-11-01T00:00:00"/>
    <x v="2"/>
    <x v="2"/>
    <n v="5"/>
    <n v="44"/>
    <x v="0"/>
    <x v="1"/>
    <x v="2"/>
    <s v="Clear"/>
    <n v="59"/>
    <x v="100"/>
    <n v="172"/>
    <n v="17"/>
    <n v="223.74"/>
    <n v="185.38399999999999"/>
    <n v="32.520299999999999"/>
    <n v="26.945348837209298"/>
    <n v="13.161176470588201"/>
    <n v="1.30081395348837"/>
    <s v="Order"/>
    <n v="78.732799999999997"/>
  </r>
  <r>
    <d v="2024-10-30T00:00:00"/>
    <x v="2"/>
    <x v="2"/>
    <n v="5"/>
    <n v="44"/>
    <x v="1"/>
    <x v="63"/>
    <x v="2"/>
    <s v="Fog"/>
    <n v="54"/>
    <x v="197"/>
    <n v="74"/>
    <n v="10"/>
    <n v="117.5"/>
    <n v="100.998"/>
    <n v="29.228899999999999"/>
    <n v="25.1238805970149"/>
    <n v="11.75"/>
    <n v="1.5878378378378399"/>
    <s v="Hourly"/>
    <n v="78.113200000000006"/>
  </r>
  <r>
    <d v="2024-10-29T00:00:00"/>
    <x v="2"/>
    <x v="2"/>
    <n v="5"/>
    <n v="44"/>
    <x v="3"/>
    <x v="40"/>
    <x v="1"/>
    <s v="Overcast"/>
    <n v="52"/>
    <x v="18"/>
    <n v="126"/>
    <n v="8"/>
    <n v="61.53"/>
    <n v="33.432000000000002"/>
    <n v="12.355399999999999"/>
    <n v="6.7132530120481899"/>
    <n v="7.6912500000000001"/>
    <n v="0.48833333333333301"/>
    <s v="Order"/>
    <n v="77.761399999999995"/>
  </r>
  <r>
    <d v="2024-10-28T00:00:00"/>
    <x v="2"/>
    <x v="2"/>
    <n v="5"/>
    <n v="44"/>
    <x v="4"/>
    <x v="40"/>
    <x v="2"/>
    <s v="Clear"/>
    <n v="41"/>
    <x v="198"/>
    <n v="28"/>
    <n v="2"/>
    <n v="30.26"/>
    <n v="24.015999999999998"/>
    <n v="21.309899999999999"/>
    <n v="16.912676056338"/>
    <n v="15.13"/>
    <n v="1.08071428571429"/>
    <s v="Order"/>
    <n v="77.552700000000002"/>
  </r>
  <r>
    <d v="2024-10-27T00:00:00"/>
    <x v="2"/>
    <x v="2"/>
    <n v="4"/>
    <n v="43"/>
    <x v="2"/>
    <x v="42"/>
    <x v="2"/>
    <s v="Mostly Cloudy"/>
    <n v="45"/>
    <x v="128"/>
    <n v="93"/>
    <n v="14"/>
    <n v="110.34"/>
    <n v="89.600999999999999"/>
    <n v="23.831499999999998"/>
    <n v="19.3522678185745"/>
    <n v="7.8814285714285699"/>
    <n v="1.1864516129032301"/>
    <s v="Order"/>
    <n v="78.702600000000004"/>
  </r>
  <r>
    <d v="2024-10-25T00:00:00"/>
    <x v="2"/>
    <x v="2"/>
    <n v="4"/>
    <n v="43"/>
    <x v="0"/>
    <x v="47"/>
    <x v="2"/>
    <s v="Clear"/>
    <n v="50"/>
    <x v="130"/>
    <n v="104"/>
    <n v="11"/>
    <n v="105.94"/>
    <n v="82.748000000000005"/>
    <n v="20.2562"/>
    <n v="15.821797323135799"/>
    <n v="9.6309090909090909"/>
    <n v="1.0186538461538499"/>
    <s v="Hourly"/>
    <n v="79.415599999999998"/>
  </r>
  <r>
    <d v="2024-10-22T00:00:00"/>
    <x v="2"/>
    <x v="2"/>
    <n v="4"/>
    <n v="43"/>
    <x v="3"/>
    <x v="88"/>
    <x v="2"/>
    <s v="Fog"/>
    <n v="52"/>
    <x v="199"/>
    <n v="55"/>
    <n v="11"/>
    <n v="100.8"/>
    <n v="88.534999999999997"/>
    <n v="22.1538"/>
    <n v="19.458241758241801"/>
    <n v="9.1636363636363605"/>
    <n v="1.8327272727272701"/>
    <s v="Order"/>
    <n v="81.674599999999998"/>
  </r>
  <r>
    <d v="2024-10-21T00:00:00"/>
    <x v="2"/>
    <x v="2"/>
    <n v="4"/>
    <n v="43"/>
    <x v="4"/>
    <x v="65"/>
    <x v="3"/>
    <s v="Clear"/>
    <n v="30"/>
    <x v="120"/>
    <n v="146"/>
    <n v="7"/>
    <n v="87.43"/>
    <n v="54.872"/>
    <n v="17.734300000000001"/>
    <n v="11.1302231237323"/>
    <n v="12.49"/>
    <n v="0.59883561643835603"/>
    <s v="Order"/>
    <n v="82.157300000000006"/>
  </r>
  <r>
    <d v="2024-10-20T00:00:00"/>
    <x v="2"/>
    <x v="2"/>
    <n v="3"/>
    <n v="42"/>
    <x v="2"/>
    <x v="13"/>
    <x v="0"/>
    <s v="Clear"/>
    <n v="61"/>
    <x v="159"/>
    <n v="71"/>
    <n v="11"/>
    <n v="86.51"/>
    <n v="70.677000000000007"/>
    <n v="21.7362"/>
    <n v="17.758040201004999"/>
    <n v="7.8645454545454596"/>
    <n v="1.2184507042253501"/>
    <s v="Hourly"/>
    <n v="82.1982"/>
  </r>
  <r>
    <d v="2024-10-19T00:00:00"/>
    <x v="2"/>
    <x v="2"/>
    <n v="3"/>
    <n v="42"/>
    <x v="6"/>
    <x v="11"/>
    <x v="2"/>
    <s v="Clear"/>
    <n v="57"/>
    <x v="200"/>
    <n v="33"/>
    <n v="4"/>
    <n v="38.71"/>
    <n v="31.350999999999999"/>
    <n v="25.467099999999999"/>
    <n v="20.625657894736801"/>
    <n v="9.6775000000000002"/>
    <n v="1.1730303030303"/>
    <s v="Hourly"/>
    <n v="82.6036"/>
  </r>
  <r>
    <d v="2024-10-18T00:00:00"/>
    <x v="2"/>
    <x v="2"/>
    <n v="3"/>
    <n v="42"/>
    <x v="0"/>
    <x v="56"/>
    <x v="2"/>
    <s v="Clear"/>
    <n v="55"/>
    <x v="201"/>
    <n v="102"/>
    <n v="16"/>
    <n v="150.52000000000001"/>
    <n v="127.774"/>
    <n v="23.1569"/>
    <n v="19.6575384615385"/>
    <n v="9.4075000000000006"/>
    <n v="1.4756862745098001"/>
    <s v="Hourly"/>
    <n v="82.173400000000001"/>
  </r>
  <r>
    <d v="2024-10-17T00:00:00"/>
    <x v="2"/>
    <x v="2"/>
    <n v="3"/>
    <n v="42"/>
    <x v="5"/>
    <x v="43"/>
    <x v="0"/>
    <s v="Clear"/>
    <n v="54"/>
    <x v="202"/>
    <n v="81"/>
    <n v="8"/>
    <n v="53.82"/>
    <n v="35.756999999999998"/>
    <n v="12.8756"/>
    <n v="8.5543062200957003"/>
    <n v="6.7275"/>
    <n v="0.66444444444444395"/>
    <s v="Order"/>
    <n v="82.241799999999998"/>
  </r>
  <r>
    <d v="2024-10-16T00:00:00"/>
    <x v="2"/>
    <x v="2"/>
    <n v="3"/>
    <n v="42"/>
    <x v="1"/>
    <x v="56"/>
    <x v="0"/>
    <s v="Clear"/>
    <n v="45"/>
    <x v="203"/>
    <n v="68"/>
    <n v="7"/>
    <n v="59.19"/>
    <n v="44.026000000000003"/>
    <n v="17.668700000000001"/>
    <n v="13.142089552238801"/>
    <n v="8.4557142857142793"/>
    <n v="0.87044117647058805"/>
    <s v="Order"/>
    <n v="83.283799999999999"/>
  </r>
  <r>
    <d v="2024-10-14T00:00:00"/>
    <x v="2"/>
    <x v="2"/>
    <n v="3"/>
    <n v="42"/>
    <x v="4"/>
    <x v="40"/>
    <x v="2"/>
    <s v="Mostly Cloudy"/>
    <n v="46"/>
    <x v="81"/>
    <n v="85"/>
    <n v="10"/>
    <n v="116.7"/>
    <n v="97.745000000000005"/>
    <n v="29.175000000000001"/>
    <n v="24.436250000000001"/>
    <n v="11.67"/>
    <n v="1.3729411764705901"/>
    <s v="Order"/>
    <n v="84.832400000000007"/>
  </r>
  <r>
    <d v="2024-10-12T00:00:00"/>
    <x v="2"/>
    <x v="2"/>
    <n v="2"/>
    <n v="41"/>
    <x v="6"/>
    <x v="89"/>
    <x v="1"/>
    <s v="Partially Cloudy"/>
    <n v="63"/>
    <x v="204"/>
    <n v="66"/>
    <n v="6"/>
    <n v="116.2"/>
    <n v="101.482"/>
    <n v="30.418800000000001"/>
    <n v="26.565968586387399"/>
    <n v="19.366666666666699"/>
    <n v="1.7606060606060601"/>
    <s v="Order"/>
    <n v="86.156800000000004"/>
  </r>
  <r>
    <d v="2024-10-07T00:00:00"/>
    <x v="2"/>
    <x v="2"/>
    <n v="2"/>
    <n v="41"/>
    <x v="4"/>
    <x v="27"/>
    <x v="2"/>
    <s v="Fog"/>
    <n v="54"/>
    <x v="96"/>
    <n v="138"/>
    <n v="14"/>
    <n v="159.58000000000001"/>
    <n v="128.80600000000001"/>
    <n v="26.032599999999999"/>
    <n v="21.0123980424144"/>
    <n v="11.398571428571399"/>
    <n v="1.1563768115941999"/>
    <s v="Order"/>
    <n v="86.432900000000004"/>
  </r>
  <r>
    <d v="2024-10-06T00:00:00"/>
    <x v="2"/>
    <x v="2"/>
    <n v="1"/>
    <n v="40"/>
    <x v="2"/>
    <x v="34"/>
    <x v="2"/>
    <s v="Overcast"/>
    <n v="61"/>
    <x v="205"/>
    <n v="138"/>
    <n v="10"/>
    <n v="149.30000000000001"/>
    <n v="118.526"/>
    <n v="25.305099999999999"/>
    <n v="20.089152542372901"/>
    <n v="14.93"/>
    <n v="1.0818840579710101"/>
    <s v="Order"/>
    <n v="84.9709"/>
  </r>
  <r>
    <d v="2024-10-05T00:00:00"/>
    <x v="2"/>
    <x v="2"/>
    <n v="1"/>
    <n v="40"/>
    <x v="6"/>
    <x v="65"/>
    <x v="1"/>
    <s v="Mostly Cloudy"/>
    <n v="53"/>
    <x v="206"/>
    <n v="173"/>
    <n v="15"/>
    <n v="144.54"/>
    <n v="105.961"/>
    <n v="21.4133"/>
    <n v="15.697925925925899"/>
    <n v="9.6359999999999992"/>
    <n v="0.83549132947976901"/>
    <s v="Order"/>
    <n v="83.311999999999998"/>
  </r>
  <r>
    <d v="2024-10-01T00:00:00"/>
    <x v="2"/>
    <x v="2"/>
    <n v="1"/>
    <n v="40"/>
    <x v="3"/>
    <x v="63"/>
    <x v="3"/>
    <s v="Clear"/>
    <n v="54"/>
    <x v="199"/>
    <n v="101"/>
    <n v="6"/>
    <n v="58.59"/>
    <n v="36.067"/>
    <n v="12.876899999999999"/>
    <n v="7.9268131868131899"/>
    <n v="9.7650000000000006"/>
    <n v="0.58009900990098995"/>
    <s v="Order"/>
    <n v="83.549700000000001"/>
  </r>
  <r>
    <d v="2024-09-30T00:00:00"/>
    <x v="2"/>
    <x v="2"/>
    <n v="1"/>
    <n v="40"/>
    <x v="4"/>
    <x v="63"/>
    <x v="1"/>
    <s v="Partially Cloudy"/>
    <n v="61"/>
    <x v="207"/>
    <n v="101"/>
    <n v="12"/>
    <n v="98.1"/>
    <n v="75.576999999999998"/>
    <n v="18.439800000000002"/>
    <n v="14.2062030075188"/>
    <n v="8.1750000000000007"/>
    <n v="0.97128712871287104"/>
    <s v="Order"/>
    <n v="84.351900000000001"/>
  </r>
  <r>
    <d v="2024-09-27T00:00:00"/>
    <x v="2"/>
    <x v="3"/>
    <n v="13"/>
    <n v="39"/>
    <x v="0"/>
    <x v="50"/>
    <x v="1"/>
    <s v="Clear"/>
    <n v="64"/>
    <x v="208"/>
    <n v="166"/>
    <n v="23"/>
    <n v="237.02"/>
    <n v="200.00200000000001"/>
    <n v="28.9756"/>
    <n v="24.450122249388802"/>
    <n v="10.3052173913043"/>
    <n v="1.4278313253012"/>
    <s v="Order"/>
    <n v="86.264600000000002"/>
  </r>
  <r>
    <d v="2024-09-25T00:00:00"/>
    <x v="2"/>
    <x v="3"/>
    <n v="13"/>
    <n v="39"/>
    <x v="1"/>
    <x v="27"/>
    <x v="2"/>
    <s v="Overcast"/>
    <n v="57"/>
    <x v="168"/>
    <n v="104"/>
    <n v="13"/>
    <n v="130.22"/>
    <n v="107.02800000000001"/>
    <n v="24.569800000000001"/>
    <n v="20.193962264150901"/>
    <n v="10.016923076923099"/>
    <n v="1.2521153846153801"/>
    <s v="Order"/>
    <n v="83.631"/>
  </r>
  <r>
    <d v="2024-09-24T00:00:00"/>
    <x v="2"/>
    <x v="3"/>
    <n v="13"/>
    <n v="39"/>
    <x v="3"/>
    <x v="72"/>
    <x v="2"/>
    <s v="Clear"/>
    <n v="57"/>
    <x v="159"/>
    <n v="120"/>
    <n v="9"/>
    <n v="120.04"/>
    <n v="93.28"/>
    <n v="30.160799999999998"/>
    <n v="23.437185929648201"/>
    <n v="13.3377777777778"/>
    <n v="1.00033333333333"/>
    <s v="Order"/>
    <n v="82.184100000000001"/>
  </r>
  <r>
    <d v="2024-09-23T00:00:00"/>
    <x v="2"/>
    <x v="3"/>
    <n v="13"/>
    <n v="39"/>
    <x v="4"/>
    <x v="27"/>
    <x v="1"/>
    <s v="Clear"/>
    <n v="61"/>
    <x v="134"/>
    <n v="118"/>
    <n v="11"/>
    <n v="138.38999999999999"/>
    <n v="112.07599999999999"/>
    <n v="27.845099999999999"/>
    <n v="22.550503018108699"/>
    <n v="12.580909090909101"/>
    <n v="1.17279661016949"/>
    <s v="Order"/>
    <n v="80.850300000000004"/>
  </r>
  <r>
    <d v="2024-09-22T00:00:00"/>
    <x v="2"/>
    <x v="3"/>
    <n v="12"/>
    <n v="38"/>
    <x v="2"/>
    <x v="90"/>
    <x v="2"/>
    <s v="Partially Cloudy"/>
    <n v="70"/>
    <x v="209"/>
    <n v="34"/>
    <n v="5"/>
    <n v="68.430000000000007"/>
    <n v="60.847999999999999"/>
    <n v="26.8353"/>
    <n v="23.861960784313698"/>
    <n v="13.686"/>
    <n v="2.0126470588235299"/>
    <s v="Order"/>
    <n v="79.312700000000007"/>
  </r>
  <r>
    <d v="2024-09-20T00:00:00"/>
    <x v="2"/>
    <x v="3"/>
    <n v="12"/>
    <n v="38"/>
    <x v="0"/>
    <x v="52"/>
    <x v="1"/>
    <s v="Light Rain"/>
    <n v="63"/>
    <x v="210"/>
    <n v="141"/>
    <n v="18"/>
    <n v="188.85"/>
    <n v="157.40700000000001"/>
    <n v="26.486699999999999"/>
    <n v="22.076718092566601"/>
    <n v="10.491666666666699"/>
    <n v="1.33936170212766"/>
    <s v="Order"/>
    <n v="79.539900000000003"/>
  </r>
  <r>
    <d v="2024-09-15T00:00:00"/>
    <x v="2"/>
    <x v="3"/>
    <n v="11"/>
    <n v="37"/>
    <x v="2"/>
    <x v="91"/>
    <x v="2"/>
    <s v="Sunny"/>
    <n v="81"/>
    <x v="211"/>
    <n v="101"/>
    <n v="11"/>
    <n v="93.35"/>
    <n v="70.826999999999998"/>
    <n v="20.382100000000001"/>
    <n v="15.464410480349301"/>
    <n v="8.4863636363636399"/>
    <n v="0.92425742574257397"/>
    <s v="Hourly"/>
    <n v="83.133399999999995"/>
  </r>
  <r>
    <d v="2024-09-14T00:00:00"/>
    <x v="2"/>
    <x v="3"/>
    <n v="11"/>
    <n v="37"/>
    <x v="6"/>
    <x v="92"/>
    <x v="0"/>
    <s v="Clear"/>
    <n v="68"/>
    <x v="212"/>
    <n v="122"/>
    <n v="14"/>
    <n v="120.07"/>
    <n v="92.864000000000004"/>
    <n v="20.420100000000001"/>
    <n v="15.793197278911601"/>
    <n v="8.5764285714285702"/>
    <n v="0.98418032786885201"/>
    <s v="Hourly"/>
    <n v="83.4054"/>
  </r>
  <r>
    <d v="2024-09-13T00:00:00"/>
    <x v="2"/>
    <x v="3"/>
    <n v="11"/>
    <n v="37"/>
    <x v="0"/>
    <x v="67"/>
    <x v="0"/>
    <s v="Clear"/>
    <n v="79"/>
    <x v="67"/>
    <n v="147"/>
    <n v="14"/>
    <n v="172.95"/>
    <n v="140.16900000000001"/>
    <n v="24.359200000000001"/>
    <n v="19.742112676056301"/>
    <n v="12.353571428571399"/>
    <n v="1.1765306122449"/>
    <s v="Order"/>
    <n v="82.071299999999994"/>
  </r>
  <r>
    <d v="2024-09-12T00:00:00"/>
    <x v="2"/>
    <x v="3"/>
    <n v="11"/>
    <n v="37"/>
    <x v="5"/>
    <x v="72"/>
    <x v="0"/>
    <s v="Clear"/>
    <n v="70"/>
    <x v="213"/>
    <n v="101"/>
    <n v="19"/>
    <n v="154.49"/>
    <n v="131.96700000000001"/>
    <n v="24.9177"/>
    <n v="21.285"/>
    <n v="8.1310526315789495"/>
    <n v="1.5296039603960401"/>
    <s v="Hourly"/>
    <n v="81.737200000000001"/>
  </r>
  <r>
    <d v="2024-09-11T00:00:00"/>
    <x v="2"/>
    <x v="3"/>
    <n v="11"/>
    <n v="37"/>
    <x v="1"/>
    <x v="63"/>
    <x v="2"/>
    <s v="Clear"/>
    <n v="66"/>
    <x v="80"/>
    <n v="119"/>
    <n v="13"/>
    <n v="110.62"/>
    <n v="84.082999999999998"/>
    <n v="18.4983"/>
    <n v="14.0607023411371"/>
    <n v="8.5092307692307703"/>
    <n v="0.92957983193277305"/>
    <s v="Order"/>
    <n v="82.318299999999994"/>
  </r>
  <r>
    <d v="2024-09-10T00:00:00"/>
    <x v="2"/>
    <x v="3"/>
    <n v="11"/>
    <n v="37"/>
    <x v="3"/>
    <x v="52"/>
    <x v="2"/>
    <s v="Clear"/>
    <n v="63"/>
    <x v="168"/>
    <n v="119"/>
    <n v="10"/>
    <n v="96.5"/>
    <n v="69.962999999999994"/>
    <n v="18.2075"/>
    <n v="13.200566037735801"/>
    <n v="9.65"/>
    <n v="0.81092436974789905"/>
    <s v="Order"/>
    <n v="82.578100000000006"/>
  </r>
  <r>
    <d v="2024-09-09T00:00:00"/>
    <x v="2"/>
    <x v="3"/>
    <n v="11"/>
    <n v="37"/>
    <x v="4"/>
    <x v="65"/>
    <x v="2"/>
    <s v="Partially Cloudy"/>
    <n v="64"/>
    <x v="44"/>
    <n v="133"/>
    <n v="16"/>
    <n v="203.74"/>
    <n v="174.08099999999999"/>
    <n v="35.127600000000001"/>
    <n v="30.013965517241399"/>
    <n v="12.733750000000001"/>
    <n v="1.5318796992481201"/>
    <s v="Order"/>
    <n v="82.672300000000007"/>
  </r>
  <r>
    <d v="2024-09-07T00:00:00"/>
    <x v="2"/>
    <x v="3"/>
    <n v="10"/>
    <n v="36"/>
    <x v="6"/>
    <x v="36"/>
    <x v="1"/>
    <s v="Mostly Cloudy"/>
    <n v="64"/>
    <x v="75"/>
    <n v="104"/>
    <n v="7"/>
    <n v="81.209999999999994"/>
    <n v="58.018000000000001"/>
    <n v="20.5595"/>
    <n v="14.6881012658228"/>
    <n v="11.601428571428601"/>
    <n v="0.78086538461538402"/>
    <s v="Order"/>
    <n v="82.977099999999993"/>
  </r>
  <r>
    <d v="2024-09-06T00:00:00"/>
    <x v="2"/>
    <x v="3"/>
    <n v="10"/>
    <n v="36"/>
    <x v="0"/>
    <x v="72"/>
    <x v="1"/>
    <s v="Partially Cloudy"/>
    <n v="63"/>
    <x v="214"/>
    <n v="109"/>
    <n v="13"/>
    <n v="130.28"/>
    <n v="105.973"/>
    <n v="21.533899999999999"/>
    <n v="17.516198347107402"/>
    <n v="10.021538461538499"/>
    <n v="1.1952293577981701"/>
    <s v="Hourly"/>
    <n v="84.008899999999997"/>
  </r>
  <r>
    <d v="2024-09-05T00:00:00"/>
    <x v="2"/>
    <x v="3"/>
    <n v="10"/>
    <n v="36"/>
    <x v="5"/>
    <x v="12"/>
    <x v="0"/>
    <s v="Clear"/>
    <n v="70"/>
    <x v="215"/>
    <n v="46"/>
    <n v="8"/>
    <n v="80.3"/>
    <n v="70.042000000000002"/>
    <n v="22.430199999999999"/>
    <n v="19.5648044692737"/>
    <n v="10.0375"/>
    <n v="1.74565217391304"/>
    <s v="Order"/>
    <n v="84.073400000000007"/>
  </r>
  <r>
    <d v="2024-09-02T00:00:00"/>
    <x v="2"/>
    <x v="3"/>
    <n v="10"/>
    <n v="36"/>
    <x v="4"/>
    <x v="15"/>
    <x v="1"/>
    <s v="Clear"/>
    <n v="64"/>
    <x v="42"/>
    <n v="103"/>
    <n v="17"/>
    <n v="196.91"/>
    <n v="173.941"/>
    <n v="29.0428"/>
    <n v="25.655014749262499"/>
    <n v="11.5829411764706"/>
    <n v="1.91174757281553"/>
    <s v="Order"/>
    <n v="87.577600000000004"/>
  </r>
  <r>
    <d v="2024-08-28T00:00:00"/>
    <x v="2"/>
    <x v="3"/>
    <n v="9"/>
    <n v="35"/>
    <x v="1"/>
    <x v="82"/>
    <x v="2"/>
    <s v="Clear"/>
    <n v="66"/>
    <x v="216"/>
    <n v="50"/>
    <n v="8"/>
    <n v="62.17"/>
    <n v="51.02"/>
    <n v="22.7729"/>
    <n v="18.6886446886447"/>
    <n v="7.7712500000000002"/>
    <n v="1.2434000000000001"/>
    <s v="Order"/>
    <n v="91.822400000000002"/>
  </r>
  <r>
    <d v="2024-08-27T00:00:00"/>
    <x v="2"/>
    <x v="3"/>
    <n v="9"/>
    <n v="35"/>
    <x v="3"/>
    <x v="27"/>
    <x v="1"/>
    <s v="Clear"/>
    <n v="68"/>
    <x v="7"/>
    <n v="90"/>
    <n v="11"/>
    <n v="106.47"/>
    <n v="86.4"/>
    <n v="19.464400000000001"/>
    <n v="15.7952468007313"/>
    <n v="9.6790909090909096"/>
    <n v="1.1830000000000001"/>
    <s v="Order"/>
    <n v="92.864199999999997"/>
  </r>
  <r>
    <d v="2024-08-26T00:00:00"/>
    <x v="2"/>
    <x v="3"/>
    <n v="9"/>
    <n v="35"/>
    <x v="4"/>
    <x v="37"/>
    <x v="1"/>
    <s v="Fog"/>
    <n v="66"/>
    <x v="217"/>
    <n v="145"/>
    <n v="13"/>
    <n v="147.57"/>
    <n v="115.235"/>
    <n v="25.889500000000002"/>
    <n v="20.216666666666701"/>
    <n v="11.3515384615385"/>
    <n v="1.01772413793103"/>
    <s v="Order"/>
    <n v="92.217100000000002"/>
  </r>
  <r>
    <d v="2024-08-25T00:00:00"/>
    <x v="2"/>
    <x v="3"/>
    <n v="8"/>
    <n v="34"/>
    <x v="2"/>
    <x v="37"/>
    <x v="1"/>
    <s v="Mostly Cloudy"/>
    <n v="72"/>
    <x v="63"/>
    <n v="144"/>
    <n v="15"/>
    <n v="159.02000000000001"/>
    <n v="126.908"/>
    <n v="26.861499999999999"/>
    <n v="21.437162162162199"/>
    <n v="10.601333333333301"/>
    <n v="1.1043055555555601"/>
    <s v="Order"/>
    <n v="91.924300000000002"/>
  </r>
  <r>
    <d v="2024-08-24T00:00:00"/>
    <x v="2"/>
    <x v="3"/>
    <n v="8"/>
    <n v="34"/>
    <x v="6"/>
    <x v="92"/>
    <x v="1"/>
    <s v="Partially Cloudy"/>
    <n v="70"/>
    <x v="218"/>
    <n v="131"/>
    <n v="16"/>
    <n v="144.54"/>
    <n v="115.327"/>
    <n v="20.857099999999999"/>
    <n v="16.641702741702701"/>
    <n v="9.0337499999999995"/>
    <n v="1.10335877862595"/>
    <s v="Order"/>
    <n v="91.196200000000005"/>
  </r>
  <r>
    <d v="2024-08-23T00:00:00"/>
    <x v="2"/>
    <x v="3"/>
    <n v="8"/>
    <n v="34"/>
    <x v="0"/>
    <x v="64"/>
    <x v="1"/>
    <s v="Partially Cloudy"/>
    <n v="68"/>
    <x v="219"/>
    <n v="163"/>
    <n v="16"/>
    <n v="234.59"/>
    <n v="198.24100000000001"/>
    <n v="31.195499999999999"/>
    <n v="26.361835106383001"/>
    <n v="14.661875"/>
    <n v="1.4392024539877299"/>
    <s v="Order"/>
    <n v="89.590199999999996"/>
  </r>
  <r>
    <d v="2024-08-22T00:00:00"/>
    <x v="2"/>
    <x v="3"/>
    <n v="8"/>
    <n v="34"/>
    <x v="5"/>
    <x v="67"/>
    <x v="1"/>
    <s v="Partially Cloudy"/>
    <n v="68"/>
    <x v="109"/>
    <n v="112"/>
    <n v="15"/>
    <n v="145.18"/>
    <n v="120.20399999999999"/>
    <n v="23.340800000000002"/>
    <n v="19.325401929260401"/>
    <n v="9.6786666666666701"/>
    <n v="1.2962499999999999"/>
    <s v="Order"/>
    <n v="86.983699999999999"/>
  </r>
  <r>
    <d v="2024-08-21T00:00:00"/>
    <x v="2"/>
    <x v="3"/>
    <n v="8"/>
    <n v="34"/>
    <x v="1"/>
    <x v="27"/>
    <x v="1"/>
    <s v="Clear"/>
    <n v="64"/>
    <x v="69"/>
    <n v="136"/>
    <n v="12"/>
    <n v="143.61000000000001"/>
    <n v="113.282"/>
    <n v="23.855499999999999"/>
    <n v="18.8176079734219"/>
    <n v="11.967499999999999"/>
    <n v="1.05595588235294"/>
    <s v="Order"/>
    <n v="86.172700000000006"/>
  </r>
  <r>
    <d v="2024-08-18T00:00:00"/>
    <x v="2"/>
    <x v="3"/>
    <n v="7"/>
    <n v="33"/>
    <x v="2"/>
    <x v="62"/>
    <x v="1"/>
    <s v="Partially Cloudy"/>
    <n v="68"/>
    <x v="52"/>
    <n v="64"/>
    <n v="11"/>
    <n v="76.099999999999994"/>
    <n v="61.828000000000003"/>
    <n v="18.337299999999999"/>
    <n v="14.898313253012001"/>
    <n v="6.9181818181818198"/>
    <n v="1.1890624999999999"/>
    <s v="Hourly"/>
    <n v="86.558599999999998"/>
  </r>
  <r>
    <d v="2024-08-17T00:00:00"/>
    <x v="2"/>
    <x v="3"/>
    <n v="7"/>
    <n v="33"/>
    <x v="6"/>
    <x v="72"/>
    <x v="1"/>
    <s v="Partially Cloudy"/>
    <n v="66"/>
    <x v="220"/>
    <n v="131"/>
    <n v="17"/>
    <n v="165.45"/>
    <n v="136.23699999999999"/>
    <n v="26.055099999999999"/>
    <n v="21.454645669291299"/>
    <n v="9.7323529411764707"/>
    <n v="1.26297709923664"/>
    <s v="Order"/>
    <n v="85.957400000000007"/>
  </r>
  <r>
    <d v="2024-08-16T00:00:00"/>
    <x v="2"/>
    <x v="3"/>
    <n v="7"/>
    <n v="33"/>
    <x v="0"/>
    <x v="72"/>
    <x v="1"/>
    <s v="Fog"/>
    <n v="66"/>
    <x v="110"/>
    <n v="140"/>
    <n v="15"/>
    <n v="141.51"/>
    <n v="110.29"/>
    <n v="21.538799999999998"/>
    <n v="16.786910197869101"/>
    <n v="9.4339999999999993"/>
    <n v="1.01078571428571"/>
    <s v="Hourly"/>
    <n v="84.119100000000003"/>
  </r>
  <r>
    <d v="2024-08-15T00:00:00"/>
    <x v="2"/>
    <x v="3"/>
    <n v="7"/>
    <n v="33"/>
    <x v="5"/>
    <x v="63"/>
    <x v="0"/>
    <s v="Fog"/>
    <n v="68"/>
    <x v="196"/>
    <n v="92"/>
    <n v="18"/>
    <n v="110.67"/>
    <n v="90.153999999999996"/>
    <n v="17.566700000000001"/>
    <n v="14.310158730158699"/>
    <n v="6.1483333333333299"/>
    <n v="1.2029347826087"/>
    <s v="Order"/>
    <n v="82.546800000000005"/>
  </r>
  <r>
    <d v="2024-08-14T00:00:00"/>
    <x v="2"/>
    <x v="3"/>
    <n v="7"/>
    <n v="33"/>
    <x v="1"/>
    <x v="82"/>
    <x v="1"/>
    <s v="Partially Cloudy"/>
    <n v="70"/>
    <x v="67"/>
    <n v="137"/>
    <n v="14"/>
    <n v="159.01"/>
    <n v="128.459"/>
    <n v="22.395800000000001"/>
    <n v="18.092816901408401"/>
    <n v="11.3578571428571"/>
    <n v="1.16065693430657"/>
    <s v="Order"/>
    <n v="83.000299999999996"/>
  </r>
  <r>
    <d v="2024-08-13T00:00:00"/>
    <x v="2"/>
    <x v="3"/>
    <n v="7"/>
    <n v="33"/>
    <x v="3"/>
    <x v="27"/>
    <x v="0"/>
    <s v="Clear"/>
    <n v="79"/>
    <x v="221"/>
    <n v="99"/>
    <n v="6"/>
    <n v="39.75"/>
    <n v="17.672999999999998"/>
    <n v="10.543799999999999"/>
    <n v="4.6877984084880602"/>
    <n v="6.625"/>
    <n v="0.40151515151515199"/>
    <s v="Order"/>
    <n v="82.674300000000002"/>
  </r>
  <r>
    <d v="2024-08-12T00:00:00"/>
    <x v="2"/>
    <x v="3"/>
    <n v="7"/>
    <n v="33"/>
    <x v="4"/>
    <x v="64"/>
    <x v="1"/>
    <s v="Clear"/>
    <n v="72"/>
    <x v="97"/>
    <n v="104"/>
    <n v="14"/>
    <n v="133.61000000000001"/>
    <n v="110.41800000000001"/>
    <n v="20.714700000000001"/>
    <n v="17.1190697674419"/>
    <n v="9.5435714285714308"/>
    <n v="1.28471153846154"/>
    <s v="Order"/>
    <n v="83.623199999999997"/>
  </r>
  <r>
    <d v="2024-08-11T00:00:00"/>
    <x v="2"/>
    <x v="3"/>
    <n v="6"/>
    <n v="32"/>
    <x v="2"/>
    <x v="64"/>
    <x v="1"/>
    <s v="Partially Cloudy"/>
    <n v="72"/>
    <x v="97"/>
    <n v="163"/>
    <n v="13"/>
    <n v="171.04"/>
    <n v="134.691"/>
    <n v="26.517800000000001"/>
    <n v="20.8823255813953"/>
    <n v="13.1569230769231"/>
    <n v="1.04932515337423"/>
    <s v="Order"/>
    <n v="83.721800000000002"/>
  </r>
  <r>
    <d v="2024-08-10T00:00:00"/>
    <x v="2"/>
    <x v="3"/>
    <n v="6"/>
    <n v="32"/>
    <x v="6"/>
    <x v="40"/>
    <x v="0"/>
    <s v="Clear"/>
    <n v="81"/>
    <x v="129"/>
    <n v="119"/>
    <n v="17"/>
    <n v="130.59"/>
    <n v="104.053"/>
    <n v="17.115300000000001"/>
    <n v="13.637352555701201"/>
    <n v="7.6817647058823502"/>
    <n v="1.0973949579831901"/>
    <s v="Order"/>
    <n v="83.419399999999996"/>
  </r>
  <r>
    <d v="2024-08-09T00:00:00"/>
    <x v="2"/>
    <x v="3"/>
    <n v="6"/>
    <n v="32"/>
    <x v="0"/>
    <x v="64"/>
    <x v="1"/>
    <s v="Fog"/>
    <n v="73"/>
    <x v="222"/>
    <n v="129"/>
    <n v="19"/>
    <n v="157.57"/>
    <n v="128.803"/>
    <n v="20.2532"/>
    <n v="16.5556555269923"/>
    <n v="8.2931578947368401"/>
    <n v="1.2214728682170499"/>
    <s v="Order"/>
    <n v="81.968400000000003"/>
  </r>
  <r>
    <d v="2024-08-06T00:00:00"/>
    <x v="2"/>
    <x v="3"/>
    <n v="6"/>
    <n v="32"/>
    <x v="3"/>
    <x v="57"/>
    <x v="1"/>
    <s v="Partially Cloudy"/>
    <n v="64"/>
    <x v="223"/>
    <n v="119"/>
    <n v="14"/>
    <n v="145.13999999999999"/>
    <n v="118.60299999999999"/>
    <n v="22.2607"/>
    <n v="18.190644171779098"/>
    <n v="10.3671428571429"/>
    <n v="1.21966386554622"/>
    <s v="Order"/>
    <n v="81.234899999999996"/>
  </r>
  <r>
    <d v="2024-08-04T00:00:00"/>
    <x v="2"/>
    <x v="3"/>
    <n v="5"/>
    <n v="31"/>
    <x v="2"/>
    <x v="93"/>
    <x v="3"/>
    <s v="Sunny"/>
    <n v="77"/>
    <x v="115"/>
    <n v="164"/>
    <n v="12"/>
    <n v="119.69"/>
    <n v="83.117999999999995"/>
    <n v="19.3673"/>
    <n v="13.449514563106799"/>
    <n v="9.9741666666666706"/>
    <n v="0.72981707317073197"/>
    <s v="Order"/>
    <n v="80.455799999999996"/>
  </r>
  <r>
    <d v="2024-08-03T00:00:00"/>
    <x v="2"/>
    <x v="3"/>
    <n v="5"/>
    <n v="31"/>
    <x v="6"/>
    <x v="94"/>
    <x v="0"/>
    <s v="Sunny"/>
    <n v="82"/>
    <x v="224"/>
    <n v="123"/>
    <n v="18"/>
    <n v="167.98"/>
    <n v="140.55099999999999"/>
    <n v="22.044599999999999"/>
    <n v="18.445013123359601"/>
    <n v="9.3322222222222209"/>
    <n v="1.36569105691057"/>
    <s v="Order"/>
    <n v="80.604200000000006"/>
  </r>
  <r>
    <d v="2024-08-01T00:00:00"/>
    <x v="2"/>
    <x v="3"/>
    <n v="5"/>
    <n v="31"/>
    <x v="5"/>
    <x v="1"/>
    <x v="0"/>
    <s v="Clear"/>
    <n v="88"/>
    <x v="147"/>
    <n v="73"/>
    <n v="14"/>
    <n v="85.84"/>
    <n v="69.561000000000007"/>
    <n v="17.995799999999999"/>
    <n v="14.583018867924499"/>
    <n v="6.1314285714285699"/>
    <n v="1.1758904109588999"/>
    <s v="Order"/>
    <n v="81.123099999999994"/>
  </r>
  <r>
    <d v="2024-07-31T00:00:00"/>
    <x v="2"/>
    <x v="3"/>
    <n v="5"/>
    <n v="31"/>
    <x v="1"/>
    <x v="45"/>
    <x v="2"/>
    <s v="Partially Cloudy"/>
    <n v="75"/>
    <x v="225"/>
    <n v="82"/>
    <n v="5"/>
    <n v="42.74"/>
    <n v="24.454000000000001"/>
    <n v="14.587"/>
    <n v="8.3460750853242303"/>
    <n v="8.548"/>
    <n v="0.52121951219512197"/>
    <s v="Order"/>
    <n v="81.542000000000002"/>
  </r>
  <r>
    <d v="2024-07-30T00:00:00"/>
    <x v="2"/>
    <x v="3"/>
    <n v="5"/>
    <n v="31"/>
    <x v="3"/>
    <x v="2"/>
    <x v="2"/>
    <s v="Partially Cloudy"/>
    <n v="79"/>
    <x v="226"/>
    <n v="93"/>
    <n v="14"/>
    <n v="133.75"/>
    <n v="113.011"/>
    <n v="27.2959"/>
    <n v="23.063469387755099"/>
    <n v="9.5535714285714306"/>
    <n v="1.4381720430107501"/>
    <s v="Order"/>
    <n v="82.263000000000005"/>
  </r>
  <r>
    <d v="2024-07-29T00:00:00"/>
    <x v="2"/>
    <x v="3"/>
    <n v="5"/>
    <n v="31"/>
    <x v="4"/>
    <x v="53"/>
    <x v="1"/>
    <s v="Mostly Cloudy"/>
    <n v="64"/>
    <x v="227"/>
    <n v="121"/>
    <n v="11"/>
    <n v="174.51"/>
    <n v="147.52699999999999"/>
    <n v="29.9331"/>
    <n v="25.304802744425398"/>
    <n v="15.8645454545455"/>
    <n v="1.44223140495868"/>
    <s v="Order"/>
    <n v="82.059200000000004"/>
  </r>
  <r>
    <d v="2024-07-27T00:00:00"/>
    <x v="2"/>
    <x v="3"/>
    <n v="4"/>
    <n v="30"/>
    <x v="6"/>
    <x v="44"/>
    <x v="0"/>
    <s v="Clear"/>
    <n v="81"/>
    <x v="228"/>
    <n v="87"/>
    <n v="17"/>
    <n v="128.94999999999999"/>
    <n v="109.54900000000001"/>
    <n v="23.660599999999999"/>
    <n v="20.100733944954101"/>
    <n v="7.5852941176470603"/>
    <n v="1.48218390804598"/>
    <s v="Order"/>
    <n v="81.060199999999995"/>
  </r>
  <r>
    <d v="2024-07-26T00:00:00"/>
    <x v="2"/>
    <x v="3"/>
    <n v="4"/>
    <n v="30"/>
    <x v="0"/>
    <x v="72"/>
    <x v="1"/>
    <s v="Clear"/>
    <n v="81"/>
    <x v="229"/>
    <n v="230"/>
    <n v="14"/>
    <n v="180.3"/>
    <n v="129.01"/>
    <n v="20.7241"/>
    <n v="14.8287356321839"/>
    <n v="12.8785714285714"/>
    <n v="0.78391304347826096"/>
    <s v="Order"/>
    <n v="80.197100000000006"/>
  </r>
  <r>
    <d v="2024-07-24T00:00:00"/>
    <x v="2"/>
    <x v="3"/>
    <n v="4"/>
    <n v="30"/>
    <x v="1"/>
    <x v="27"/>
    <x v="2"/>
    <s v="Overcast"/>
    <n v="74"/>
    <x v="97"/>
    <n v="142"/>
    <n v="16"/>
    <n v="144.25"/>
    <n v="112.584"/>
    <n v="22.3643"/>
    <n v="17.454883720930201"/>
    <n v="9.015625"/>
    <n v="1.0158450704225399"/>
    <s v="Order"/>
    <n v="80.881100000000004"/>
  </r>
  <r>
    <d v="2024-07-23T00:00:00"/>
    <x v="2"/>
    <x v="3"/>
    <n v="4"/>
    <n v="30"/>
    <x v="3"/>
    <x v="72"/>
    <x v="2"/>
    <s v="Mostly Cloudy"/>
    <n v="73"/>
    <x v="17"/>
    <n v="96"/>
    <n v="9"/>
    <n v="91.11"/>
    <n v="69.701999999999998"/>
    <n v="18.708400000000001"/>
    <n v="14.3125256673511"/>
    <n v="10.123333333333299"/>
    <n v="0.94906250000000003"/>
    <s v="Order"/>
    <n v="80.040700000000001"/>
  </r>
  <r>
    <d v="2024-07-22T00:00:00"/>
    <x v="2"/>
    <x v="3"/>
    <n v="4"/>
    <n v="30"/>
    <x v="4"/>
    <x v="37"/>
    <x v="1"/>
    <s v="Clear"/>
    <n v="73"/>
    <x v="230"/>
    <n v="137"/>
    <n v="12"/>
    <n v="122.99"/>
    <n v="92.438999999999993"/>
    <n v="20.2286"/>
    <n v="15.203782894736801"/>
    <n v="10.249166666666699"/>
    <n v="0.89773722627737196"/>
    <s v="Order"/>
    <n v="79.028300000000002"/>
  </r>
  <r>
    <d v="2024-07-20T00:00:00"/>
    <x v="2"/>
    <x v="3"/>
    <n v="3"/>
    <n v="29"/>
    <x v="6"/>
    <x v="95"/>
    <x v="3"/>
    <s v="Clear"/>
    <n v="81"/>
    <x v="91"/>
    <n v="170"/>
    <n v="12"/>
    <n v="156.66999999999999"/>
    <n v="118.76"/>
    <n v="22.6402"/>
    <n v="17.1618497109827"/>
    <n v="13.0558333333333"/>
    <n v="0.92158823529411804"/>
    <s v="Order"/>
    <n v="79.103999999999999"/>
  </r>
  <r>
    <d v="2024-07-19T00:00:00"/>
    <x v="2"/>
    <x v="3"/>
    <n v="3"/>
    <n v="29"/>
    <x v="0"/>
    <x v="27"/>
    <x v="2"/>
    <s v="Partially Cloudy"/>
    <n v="81"/>
    <x v="231"/>
    <n v="158"/>
    <n v="16"/>
    <n v="147.6"/>
    <n v="112.366"/>
    <n v="20.414899999999999"/>
    <n v="15.5416320885201"/>
    <n v="9.2249999999999996"/>
    <n v="0.93417721518987396"/>
    <s v="Order"/>
    <n v="78.7928"/>
  </r>
  <r>
    <d v="2024-07-18T00:00:00"/>
    <x v="2"/>
    <x v="3"/>
    <n v="3"/>
    <n v="29"/>
    <x v="5"/>
    <x v="59"/>
    <x v="1"/>
    <s v="Partially Cloudy"/>
    <n v="81"/>
    <x v="196"/>
    <n v="146"/>
    <n v="10"/>
    <n v="139.69"/>
    <n v="107.13200000000001"/>
    <n v="22.172999999999998"/>
    <n v="17.0050793650794"/>
    <n v="13.968999999999999"/>
    <n v="0.956780821917808"/>
    <s v="Order"/>
    <n v="78.316299999999998"/>
  </r>
  <r>
    <d v="2024-07-17T00:00:00"/>
    <x v="2"/>
    <x v="3"/>
    <n v="3"/>
    <n v="29"/>
    <x v="1"/>
    <x v="27"/>
    <x v="0"/>
    <s v="Partially Cloudy"/>
    <n v="81"/>
    <x v="232"/>
    <n v="76"/>
    <n v="8"/>
    <n v="58.88"/>
    <n v="41.932000000000002"/>
    <n v="17.471800000000002"/>
    <n v="12.4427299703264"/>
    <n v="7.36"/>
    <n v="0.77473684210526295"/>
    <s v="Order"/>
    <n v="77.594800000000006"/>
  </r>
  <r>
    <d v="2024-07-16T00:00:00"/>
    <x v="2"/>
    <x v="3"/>
    <n v="3"/>
    <n v="29"/>
    <x v="3"/>
    <x v="82"/>
    <x v="2"/>
    <s v="Sunny"/>
    <n v="82"/>
    <x v="117"/>
    <n v="110"/>
    <n v="10"/>
    <n v="116.21"/>
    <n v="91.68"/>
    <n v="23.242000000000001"/>
    <n v="18.335999999999999"/>
    <n v="11.621"/>
    <n v="1.05645454545455"/>
    <s v="Order"/>
    <n v="76.940600000000003"/>
  </r>
  <r>
    <d v="2024-07-15T00:00:00"/>
    <x v="2"/>
    <x v="3"/>
    <n v="3"/>
    <n v="29"/>
    <x v="4"/>
    <x v="57"/>
    <x v="1"/>
    <s v="Clear"/>
    <n v="79"/>
    <x v="233"/>
    <n v="136"/>
    <n v="12"/>
    <n v="119.68"/>
    <n v="89.352000000000004"/>
    <n v="19.397099999999998"/>
    <n v="14.4816855753647"/>
    <n v="9.9733333333333398"/>
    <n v="0.88"/>
    <s v="Order"/>
    <n v="76.209800000000001"/>
  </r>
  <r>
    <d v="2024-07-12T00:00:00"/>
    <x v="2"/>
    <x v="3"/>
    <n v="2"/>
    <n v="28"/>
    <x v="0"/>
    <x v="72"/>
    <x v="1"/>
    <s v="Partially Cloudy"/>
    <n v="81"/>
    <x v="94"/>
    <n v="134"/>
    <n v="12"/>
    <n v="127.66"/>
    <n v="97.778000000000006"/>
    <n v="20.327999999999999"/>
    <n v="15.5697452229299"/>
    <n v="10.6383333333333"/>
    <n v="0.95268656716417899"/>
    <s v="Order"/>
    <n v="75.894199999999998"/>
  </r>
  <r>
    <d v="2024-07-11T00:00:00"/>
    <x v="2"/>
    <x v="3"/>
    <n v="2"/>
    <n v="28"/>
    <x v="5"/>
    <x v="42"/>
    <x v="2"/>
    <s v="Partially Cloudy"/>
    <n v="81"/>
    <x v="192"/>
    <n v="19"/>
    <n v="1"/>
    <n v="13.39"/>
    <n v="9.1530000000000005"/>
    <n v="22.316700000000001"/>
    <n v="15.255000000000001"/>
    <n v="13.39"/>
    <n v="0.70473684210526299"/>
    <s v="Order"/>
    <n v="75.306299999999993"/>
  </r>
  <r>
    <d v="2024-07-09T00:00:00"/>
    <x v="2"/>
    <x v="3"/>
    <n v="2"/>
    <n v="28"/>
    <x v="3"/>
    <x v="37"/>
    <x v="1"/>
    <s v="Clear"/>
    <n v="79"/>
    <x v="234"/>
    <n v="62"/>
    <n v="3"/>
    <n v="28"/>
    <n v="14.173999999999999"/>
    <n v="12.2807"/>
    <n v="6.2166666666666703"/>
    <n v="9.3333333333333393"/>
    <n v="0.45161290322580599"/>
    <s v="Order"/>
    <n v="77.135300000000001"/>
  </r>
  <r>
    <d v="2024-07-04T00:00:00"/>
    <x v="2"/>
    <x v="3"/>
    <n v="1"/>
    <n v="27"/>
    <x v="5"/>
    <x v="96"/>
    <x v="1"/>
    <s v="Clear"/>
    <n v="68"/>
    <x v="80"/>
    <n v="131"/>
    <n v="10"/>
    <n v="165.93"/>
    <n v="136.71700000000001"/>
    <n v="27.747499999999999"/>
    <n v="22.8623745819398"/>
    <n v="16.593"/>
    <n v="1.2666412213740501"/>
    <s v="Order"/>
    <n v="79.721599999999995"/>
  </r>
  <r>
    <d v="2024-07-03T00:00:00"/>
    <x v="2"/>
    <x v="3"/>
    <n v="1"/>
    <n v="27"/>
    <x v="1"/>
    <x v="52"/>
    <x v="2"/>
    <s v="Clear"/>
    <n v="75"/>
    <x v="168"/>
    <n v="109"/>
    <n v="14"/>
    <n v="130.79"/>
    <n v="106.483"/>
    <n v="24.677399999999999"/>
    <n v="20.091132075471702"/>
    <n v="9.3421428571428606"/>
    <n v="1.19990825688073"/>
    <s v="Order"/>
    <n v="80.380700000000004"/>
  </r>
  <r>
    <d v="2024-07-02T00:00:00"/>
    <x v="2"/>
    <x v="3"/>
    <n v="1"/>
    <n v="27"/>
    <x v="3"/>
    <x v="52"/>
    <x v="1"/>
    <s v="Clear"/>
    <n v="77"/>
    <x v="235"/>
    <n v="104"/>
    <n v="12"/>
    <n v="153.74"/>
    <n v="130.548"/>
    <n v="28.0547"/>
    <n v="23.822627737226298"/>
    <n v="12.811666666666699"/>
    <n v="1.47826923076923"/>
    <s v="Order"/>
    <n v="78.927400000000006"/>
  </r>
  <r>
    <d v="2024-07-01T00:00:00"/>
    <x v="2"/>
    <x v="3"/>
    <n v="1"/>
    <n v="27"/>
    <x v="4"/>
    <x v="1"/>
    <x v="0"/>
    <s v="Sunny"/>
    <n v="79"/>
    <x v="1"/>
    <n v="92"/>
    <n v="14"/>
    <n v="116.5"/>
    <n v="95.983999999999995"/>
    <n v="23.2072"/>
    <n v="19.120318725099601"/>
    <n v="8.3214285714285694"/>
    <n v="1.26630434782609"/>
    <s v="Order"/>
    <n v="77.644199999999998"/>
  </r>
  <r>
    <d v="2024-06-23T00:00:00"/>
    <x v="2"/>
    <x v="0"/>
    <n v="12"/>
    <n v="25"/>
    <x v="2"/>
    <x v="46"/>
    <x v="1"/>
    <s v="Partially Cloudy"/>
    <n v="79"/>
    <x v="236"/>
    <n v="95"/>
    <n v="8"/>
    <n v="88.88"/>
    <n v="67.694999999999993"/>
    <n v="17.158300000000001"/>
    <n v="13.0685328185328"/>
    <n v="11.11"/>
    <n v="0.93557894736842095"/>
    <s v="Order"/>
    <n v="81.927599999999998"/>
  </r>
  <r>
    <d v="2024-06-21T00:00:00"/>
    <x v="2"/>
    <x v="0"/>
    <n v="12"/>
    <n v="25"/>
    <x v="0"/>
    <x v="64"/>
    <x v="2"/>
    <s v="Overcast"/>
    <n v="75"/>
    <x v="147"/>
    <n v="117"/>
    <n v="11"/>
    <n v="113.5"/>
    <n v="87.409000000000006"/>
    <n v="23.794499999999999"/>
    <n v="18.3247379454927"/>
    <n v="10.318181818181801"/>
    <n v="0.97008547008546997"/>
    <s v="Order"/>
    <n v="82.073099999999997"/>
  </r>
  <r>
    <d v="2024-06-20T00:00:00"/>
    <x v="2"/>
    <x v="0"/>
    <n v="12"/>
    <n v="25"/>
    <x v="5"/>
    <x v="59"/>
    <x v="2"/>
    <s v="Stormy"/>
    <n v="82"/>
    <x v="62"/>
    <n v="102"/>
    <n v="12"/>
    <n v="142.94"/>
    <n v="120.194"/>
    <n v="25.754999999999999"/>
    <n v="21.656576576576601"/>
    <n v="11.911666666666701"/>
    <n v="1.4013725490196101"/>
    <s v="Order"/>
    <n v="80.811999999999998"/>
  </r>
  <r>
    <d v="2024-06-19T00:00:00"/>
    <x v="2"/>
    <x v="0"/>
    <n v="12"/>
    <n v="25"/>
    <x v="1"/>
    <x v="52"/>
    <x v="2"/>
    <s v="Clear"/>
    <n v="82"/>
    <x v="108"/>
    <n v="122"/>
    <n v="12"/>
    <n v="138.86000000000001"/>
    <n v="111.654"/>
    <n v="23.736799999999999"/>
    <n v="19.086153846153799"/>
    <n v="11.571666666666699"/>
    <n v="1.1381967213114801"/>
    <s v="Order"/>
    <n v="79.223799999999997"/>
  </r>
  <r>
    <d v="2024-06-18T00:00:00"/>
    <x v="2"/>
    <x v="0"/>
    <n v="12"/>
    <n v="25"/>
    <x v="3"/>
    <x v="40"/>
    <x v="2"/>
    <s v="Clear"/>
    <n v="84"/>
    <x v="156"/>
    <n v="122"/>
    <n v="14"/>
    <n v="116.97"/>
    <n v="89.763999999999996"/>
    <n v="22.153400000000001"/>
    <n v="17.0007575757576"/>
    <n v="8.3550000000000004"/>
    <n v="0.958770491803279"/>
    <s v="Order"/>
    <n v="77.680899999999994"/>
  </r>
  <r>
    <d v="2024-06-17T00:00:00"/>
    <x v="2"/>
    <x v="0"/>
    <n v="12"/>
    <n v="25"/>
    <x v="4"/>
    <x v="67"/>
    <x v="1"/>
    <s v="Partially Cloudy"/>
    <n v="66"/>
    <x v="64"/>
    <n v="104"/>
    <n v="11"/>
    <n v="117.83"/>
    <n v="94.638000000000005"/>
    <n v="21.901499999999999"/>
    <n v="17.590706319702601"/>
    <n v="10.711818181818201"/>
    <n v="1.1329807692307701"/>
    <s v="Order"/>
    <n v="76.381200000000007"/>
  </r>
  <r>
    <d v="2024-06-15T00:00:00"/>
    <x v="2"/>
    <x v="0"/>
    <n v="11"/>
    <n v="24"/>
    <x v="6"/>
    <x v="55"/>
    <x v="2"/>
    <s v="Clear"/>
    <n v="66"/>
    <x v="237"/>
    <n v="174"/>
    <n v="11"/>
    <n v="142.88"/>
    <n v="104.078"/>
    <n v="24.0944"/>
    <n v="17.551096121416499"/>
    <n v="12.989090909090899"/>
    <n v="0.82114942528735602"/>
    <s v="Hourly"/>
    <n v="76.343599999999995"/>
  </r>
  <r>
    <d v="2024-06-14T00:00:00"/>
    <x v="2"/>
    <x v="0"/>
    <n v="11"/>
    <n v="24"/>
    <x v="0"/>
    <x v="53"/>
    <x v="2"/>
    <s v="Stormy"/>
    <n v="79"/>
    <x v="224"/>
    <n v="185"/>
    <n v="17"/>
    <n v="206.79"/>
    <n v="165.535"/>
    <n v="27.137799999999999"/>
    <n v="21.723753280839901"/>
    <n v="12.1641176470588"/>
    <n v="1.1177837837837801"/>
    <s v="Order"/>
    <n v="74.756"/>
  </r>
  <r>
    <d v="2024-06-13T00:00:00"/>
    <x v="2"/>
    <x v="0"/>
    <n v="11"/>
    <n v="24"/>
    <x v="5"/>
    <x v="59"/>
    <x v="2"/>
    <s v="Clear"/>
    <n v="73"/>
    <x v="44"/>
    <n v="123"/>
    <n v="14"/>
    <n v="134"/>
    <n v="106.571"/>
    <n v="23.103400000000001"/>
    <n v="18.374310344827599"/>
    <n v="9.5714285714285694"/>
    <n v="1.0894308943089399"/>
    <s v="Order"/>
    <n v="73.393299999999996"/>
  </r>
  <r>
    <d v="2024-06-12T00:00:00"/>
    <x v="2"/>
    <x v="0"/>
    <n v="11"/>
    <n v="24"/>
    <x v="1"/>
    <x v="72"/>
    <x v="2"/>
    <s v="Overcast"/>
    <n v="64"/>
    <x v="238"/>
    <n v="104"/>
    <n v="12"/>
    <n v="104.98"/>
    <n v="81.787999999999997"/>
    <n v="18.353100000000001"/>
    <n v="14.2986013986014"/>
    <n v="8.7483333333333295"/>
    <n v="1.0094230769230801"/>
    <s v="Order"/>
    <n v="72.9161"/>
  </r>
  <r>
    <d v="2024-06-11T00:00:00"/>
    <x v="2"/>
    <x v="0"/>
    <n v="11"/>
    <n v="24"/>
    <x v="3"/>
    <x v="45"/>
    <x v="2"/>
    <s v="Overcast"/>
    <n v="70"/>
    <x v="85"/>
    <n v="124"/>
    <n v="9"/>
    <n v="100.4"/>
    <n v="72.748000000000005"/>
    <n v="19.609400000000001"/>
    <n v="14.20859375"/>
    <n v="11.155555555555599"/>
    <n v="0.80967741935483895"/>
    <s v="Order"/>
    <n v="72.594099999999997"/>
  </r>
  <r>
    <d v="2024-06-10T00:00:00"/>
    <x v="2"/>
    <x v="0"/>
    <n v="11"/>
    <n v="24"/>
    <x v="4"/>
    <x v="40"/>
    <x v="1"/>
    <s v="Clear"/>
    <n v="68"/>
    <x v="239"/>
    <n v="111"/>
    <n v="8"/>
    <n v="130.77000000000001"/>
    <n v="106.017"/>
    <n v="25.343"/>
    <n v="20.545930232558099"/>
    <n v="16.346250000000001"/>
    <n v="1.17810810810811"/>
    <s v="Order"/>
    <n v="72.751000000000005"/>
  </r>
  <r>
    <d v="2024-06-09T00:00:00"/>
    <x v="2"/>
    <x v="0"/>
    <n v="10"/>
    <n v="23"/>
    <x v="2"/>
    <x v="97"/>
    <x v="1"/>
    <s v="Partially Cloudy"/>
    <n v="61"/>
    <x v="240"/>
    <n v="155"/>
    <n v="13"/>
    <n v="174.07"/>
    <n v="139.505"/>
    <n v="26.294599999999999"/>
    <n v="21.073262839879199"/>
    <n v="13.39"/>
    <n v="1.12303225806452"/>
    <s v="Order"/>
    <n v="71.298000000000002"/>
  </r>
  <r>
    <d v="2024-06-08T00:00:00"/>
    <x v="2"/>
    <x v="0"/>
    <n v="10"/>
    <n v="23"/>
    <x v="6"/>
    <x v="98"/>
    <x v="2"/>
    <s v="Clear"/>
    <n v="66"/>
    <x v="241"/>
    <n v="153"/>
    <n v="17"/>
    <n v="136.09"/>
    <n v="101.971"/>
    <n v="18.515599999999999"/>
    <n v="13.873605442176901"/>
    <n v="8.0052941176470593"/>
    <n v="0.88947712418300595"/>
    <s v="Hourly"/>
    <n v="70.438199999999995"/>
  </r>
  <r>
    <d v="2024-06-07T00:00:00"/>
    <x v="2"/>
    <x v="0"/>
    <n v="10"/>
    <n v="23"/>
    <x v="0"/>
    <x v="2"/>
    <x v="2"/>
    <s v="Partially Cloudy"/>
    <n v="64"/>
    <x v="230"/>
    <n v="165"/>
    <n v="13"/>
    <n v="143.56"/>
    <n v="106.765"/>
    <n v="23.611799999999999"/>
    <n v="17.5600328947368"/>
    <n v="11.043076923076899"/>
    <n v="0.87006060606060598"/>
    <s v="Order"/>
    <n v="68.926100000000005"/>
  </r>
  <r>
    <d v="2024-06-06T00:00:00"/>
    <x v="2"/>
    <x v="0"/>
    <n v="10"/>
    <n v="23"/>
    <x v="5"/>
    <x v="59"/>
    <x v="1"/>
    <s v="Fog"/>
    <n v="59"/>
    <x v="96"/>
    <n v="119"/>
    <n v="10"/>
    <n v="139.02000000000001"/>
    <n v="112.483"/>
    <n v="22.678599999999999"/>
    <n v="18.349592169657399"/>
    <n v="13.901999999999999"/>
    <n v="1.1682352941176499"/>
    <s v="Order"/>
    <n v="69.795699999999997"/>
  </r>
  <r>
    <d v="2024-06-05T00:00:00"/>
    <x v="2"/>
    <x v="0"/>
    <n v="10"/>
    <n v="23"/>
    <x v="1"/>
    <x v="27"/>
    <x v="1"/>
    <s v="Partially Cloudy"/>
    <n v="70"/>
    <x v="170"/>
    <n v="121"/>
    <n v="13"/>
    <n v="113.09"/>
    <n v="86.106999999999999"/>
    <n v="20.194600000000001"/>
    <n v="15.376250000000001"/>
    <n v="8.6992307692307698"/>
    <n v="0.93462809917355405"/>
    <s v="Order"/>
    <n v="68.251000000000005"/>
  </r>
  <r>
    <d v="2024-06-04T00:00:00"/>
    <x v="2"/>
    <x v="0"/>
    <n v="10"/>
    <n v="23"/>
    <x v="3"/>
    <x v="53"/>
    <x v="2"/>
    <s v="Clear"/>
    <n v="70"/>
    <x v="242"/>
    <n v="120"/>
    <n v="10"/>
    <n v="104.54"/>
    <n v="77.78"/>
    <n v="24.713899999999999"/>
    <n v="18.387706855792"/>
    <n v="10.454000000000001"/>
    <n v="0.87116666666666698"/>
    <s v="Order"/>
    <n v="66.994399999999999"/>
  </r>
  <r>
    <d v="2024-06-03T00:00:00"/>
    <x v="2"/>
    <x v="0"/>
    <n v="10"/>
    <n v="23"/>
    <x v="4"/>
    <x v="37"/>
    <x v="2"/>
    <s v="Clear"/>
    <n v="70"/>
    <x v="153"/>
    <n v="139"/>
    <n v="10"/>
    <n v="96"/>
    <n v="65.003"/>
    <n v="18.011299999999999"/>
    <n v="12.1956848030019"/>
    <n v="9.6"/>
    <n v="0.69064748201438797"/>
    <s v="Order"/>
    <n v="65.832899999999995"/>
  </r>
  <r>
    <d v="2024-06-02T00:00:00"/>
    <x v="2"/>
    <x v="0"/>
    <n v="9"/>
    <n v="22"/>
    <x v="2"/>
    <x v="65"/>
    <x v="0"/>
    <s v="Clear"/>
    <n v="77"/>
    <x v="59"/>
    <n v="93"/>
    <n v="12"/>
    <n v="94.56"/>
    <n v="73.820999999999998"/>
    <n v="18.011399999999998"/>
    <n v="14.061142857142899"/>
    <n v="7.88"/>
    <n v="1.01677419354839"/>
    <s v="Order"/>
    <n v="65.492000000000004"/>
  </r>
  <r>
    <d v="2024-06-01T00:00:00"/>
    <x v="2"/>
    <x v="0"/>
    <n v="9"/>
    <n v="22"/>
    <x v="6"/>
    <x v="99"/>
    <x v="1"/>
    <s v="Partially Cloudy"/>
    <n v="63"/>
    <x v="243"/>
    <n v="142"/>
    <n v="8"/>
    <n v="152.72"/>
    <n v="121.054"/>
    <n v="30.241599999999998"/>
    <n v="23.971089108910899"/>
    <n v="19.09"/>
    <n v="1.07549295774648"/>
    <s v="Order"/>
    <n v="64.441299999999998"/>
  </r>
  <r>
    <d v="2024-05-31T00:00:00"/>
    <x v="2"/>
    <x v="0"/>
    <n v="9"/>
    <n v="22"/>
    <x v="0"/>
    <x v="50"/>
    <x v="2"/>
    <s v="Clear"/>
    <n v="70"/>
    <x v="205"/>
    <n v="126"/>
    <n v="13"/>
    <n v="131.13"/>
    <n v="103.032"/>
    <n v="22.2254"/>
    <n v="17.463050847457598"/>
    <n v="10.0869230769231"/>
    <n v="1.0407142857142899"/>
    <s v="Order"/>
    <n v="63.626199999999997"/>
  </r>
  <r>
    <d v="2024-05-30T00:00:00"/>
    <x v="2"/>
    <x v="0"/>
    <n v="9"/>
    <n v="22"/>
    <x v="5"/>
    <x v="67"/>
    <x v="2"/>
    <s v="Sunny"/>
    <n v="64"/>
    <x v="89"/>
    <n v="127"/>
    <n v="11"/>
    <n v="155.93"/>
    <n v="127.60899999999999"/>
    <n v="28.197099999999999"/>
    <n v="23.075768535262199"/>
    <n v="14.1754545454545"/>
    <n v="1.2277952755905499"/>
    <s v="Order"/>
    <n v="63.604100000000003"/>
  </r>
  <r>
    <d v="2024-05-29T00:00:00"/>
    <x v="2"/>
    <x v="0"/>
    <n v="9"/>
    <n v="22"/>
    <x v="1"/>
    <x v="42"/>
    <x v="2"/>
    <s v="Clear"/>
    <n v="72"/>
    <x v="244"/>
    <n v="58"/>
    <n v="7"/>
    <n v="48.23"/>
    <n v="35.295999999999999"/>
    <n v="16.239100000000001"/>
    <n v="11.8841750841751"/>
    <n v="6.89"/>
    <n v="0.83155172413793099"/>
    <s v="Order"/>
    <n v="62.817599999999999"/>
  </r>
  <r>
    <d v="2024-05-28T00:00:00"/>
    <x v="2"/>
    <x v="0"/>
    <n v="9"/>
    <n v="22"/>
    <x v="3"/>
    <x v="64"/>
    <x v="2"/>
    <s v="Partially Cloudy"/>
    <n v="75"/>
    <x v="245"/>
    <n v="164"/>
    <n v="11"/>
    <n v="121.22"/>
    <n v="84.647999999999996"/>
    <n v="19.8721"/>
    <n v="13.8767213114754"/>
    <n v="11.02"/>
    <n v="0.73914634146341496"/>
    <s v="Order"/>
    <n v="62.281700000000001"/>
  </r>
  <r>
    <d v="2024-05-27T00:00:00"/>
    <x v="2"/>
    <x v="0"/>
    <n v="9"/>
    <n v="22"/>
    <x v="4"/>
    <x v="86"/>
    <x v="3"/>
    <s v="Partially Cloudy"/>
    <n v="75"/>
    <x v="2"/>
    <n v="172"/>
    <n v="10"/>
    <n v="93.49"/>
    <n v="55.134"/>
    <n v="14.676600000000001"/>
    <n v="8.6552590266876006"/>
    <n v="9.3490000000000002"/>
    <n v="0.54354651162790701"/>
    <s v="Hourly"/>
    <n v="61.738999999999997"/>
  </r>
  <r>
    <d v="2024-05-24T00:00:00"/>
    <x v="2"/>
    <x v="0"/>
    <n v="8"/>
    <n v="21"/>
    <x v="0"/>
    <x v="52"/>
    <x v="2"/>
    <s v="Clear"/>
    <n v="73"/>
    <x v="246"/>
    <n v="111"/>
    <n v="8"/>
    <n v="72.19"/>
    <n v="47.436999999999998"/>
    <n v="16.2225"/>
    <n v="10.66"/>
    <n v="9.0237499999999997"/>
    <n v="0.65036036036036005"/>
    <s v="Order"/>
    <n v="62.084099999999999"/>
  </r>
  <r>
    <d v="2024-05-23T00:00:00"/>
    <x v="2"/>
    <x v="0"/>
    <n v="8"/>
    <n v="21"/>
    <x v="5"/>
    <x v="52"/>
    <x v="2"/>
    <s v="Clear"/>
    <n v="72"/>
    <x v="133"/>
    <n v="77"/>
    <n v="10"/>
    <n v="72.94"/>
    <n v="55.768999999999998"/>
    <n v="19.874700000000001"/>
    <n v="15.1959128065395"/>
    <n v="7.2939999999999996"/>
    <n v="0.94727272727272704"/>
    <s v="Order"/>
    <n v="62.463999999999999"/>
  </r>
  <r>
    <d v="2024-05-22T00:00:00"/>
    <x v="2"/>
    <x v="0"/>
    <n v="8"/>
    <n v="21"/>
    <x v="1"/>
    <x v="56"/>
    <x v="2"/>
    <s v="Partially Cloudy"/>
    <n v="79"/>
    <x v="70"/>
    <n v="158"/>
    <n v="9"/>
    <n v="105.4"/>
    <n v="70.165999999999997"/>
    <n v="20.191600000000001"/>
    <n v="13.4417624521073"/>
    <n v="11.7111111111111"/>
    <n v="0.66708860759493704"/>
    <s v="Order"/>
    <n v="61.653599999999997"/>
  </r>
  <r>
    <d v="2024-05-20T00:00:00"/>
    <x v="2"/>
    <x v="0"/>
    <n v="8"/>
    <n v="21"/>
    <x v="4"/>
    <x v="100"/>
    <x v="2"/>
    <s v="Sunny"/>
    <n v="73"/>
    <x v="247"/>
    <n v="31"/>
    <n v="4"/>
    <n v="22"/>
    <n v="15.087"/>
    <n v="13.924099999999999"/>
    <n v="9.5487341772151897"/>
    <n v="5.5"/>
    <n v="0.70967741935483897"/>
    <s v="Order"/>
    <n v="62.071300000000001"/>
  </r>
  <r>
    <d v="2024-05-17T00:00:00"/>
    <x v="2"/>
    <x v="0"/>
    <n v="7"/>
    <n v="20"/>
    <x v="0"/>
    <x v="65"/>
    <x v="1"/>
    <s v="Partially Cloudy"/>
    <n v="57"/>
    <x v="94"/>
    <n v="121"/>
    <n v="17"/>
    <n v="151.49"/>
    <n v="124.50700000000001"/>
    <n v="24.122599999999998"/>
    <n v="19.8259554140127"/>
    <n v="8.9111764705882397"/>
    <n v="1.25198347107438"/>
    <s v="Order"/>
    <n v="64.096400000000003"/>
  </r>
  <r>
    <d v="2024-05-16T00:00:00"/>
    <x v="2"/>
    <x v="0"/>
    <n v="7"/>
    <n v="20"/>
    <x v="5"/>
    <x v="40"/>
    <x v="2"/>
    <s v="Clear"/>
    <n v="70"/>
    <x v="248"/>
    <n v="155"/>
    <n v="11"/>
    <n v="129.66999999999999"/>
    <n v="95.105000000000004"/>
    <n v="23.073"/>
    <n v="16.922597864768701"/>
    <n v="11.788181818181799"/>
    <n v="0.83658064516129005"/>
    <s v="Order"/>
    <n v="63.881999999999998"/>
  </r>
  <r>
    <d v="2024-05-15T00:00:00"/>
    <x v="2"/>
    <x v="0"/>
    <n v="7"/>
    <n v="20"/>
    <x v="1"/>
    <x v="47"/>
    <x v="2"/>
    <s v="Partially Cloudy"/>
    <n v="66"/>
    <x v="195"/>
    <n v="105"/>
    <n v="15"/>
    <n v="125.15"/>
    <n v="101.735"/>
    <n v="23.392499999999998"/>
    <n v="19.015887850467301"/>
    <n v="8.3433333333333408"/>
    <n v="1.19190476190476"/>
    <s v="Order"/>
    <n v="63.347200000000001"/>
  </r>
  <r>
    <d v="2024-05-14T00:00:00"/>
    <x v="2"/>
    <x v="0"/>
    <n v="7"/>
    <n v="20"/>
    <x v="3"/>
    <x v="72"/>
    <x v="2"/>
    <s v="Mostly Cloudy"/>
    <n v="64"/>
    <x v="220"/>
    <n v="130"/>
    <n v="16"/>
    <n v="142.47999999999999"/>
    <n v="113.49"/>
    <n v="22.437799999999999"/>
    <n v="17.872440944881902"/>
    <n v="8.9049999999999994"/>
    <n v="1.0960000000000001"/>
    <s v="Order"/>
    <n v="61.956699999999998"/>
  </r>
  <r>
    <d v="2024-05-13T00:00:00"/>
    <x v="2"/>
    <x v="0"/>
    <n v="7"/>
    <n v="20"/>
    <x v="4"/>
    <x v="53"/>
    <x v="2"/>
    <s v="Clear"/>
    <n v="59"/>
    <x v="207"/>
    <n v="115"/>
    <n v="13"/>
    <n v="143.83000000000001"/>
    <n v="118.185"/>
    <n v="27.035699999999999"/>
    <n v="22.215225563909801"/>
    <n v="11.0638461538462"/>
    <n v="1.2506956521739101"/>
    <s v="Order"/>
    <n v="62.508600000000001"/>
  </r>
  <r>
    <d v="2024-05-09T00:00:00"/>
    <x v="2"/>
    <x v="0"/>
    <n v="6"/>
    <n v="19"/>
    <x v="5"/>
    <x v="45"/>
    <x v="2"/>
    <s v="Clear"/>
    <n v="52"/>
    <x v="249"/>
    <n v="78"/>
    <n v="8"/>
    <n v="91.55"/>
    <n v="74.156000000000006"/>
    <n v="21.797599999999999"/>
    <n v="17.656190476190499"/>
    <n v="11.44375"/>
    <n v="1.1737179487179501"/>
    <s v="Order"/>
    <n v="62.794400000000003"/>
  </r>
  <r>
    <d v="2024-05-07T00:00:00"/>
    <x v="2"/>
    <x v="0"/>
    <n v="6"/>
    <n v="19"/>
    <x v="3"/>
    <x v="27"/>
    <x v="1"/>
    <s v="Clear"/>
    <n v="61"/>
    <x v="169"/>
    <n v="104"/>
    <n v="7"/>
    <n v="75.02"/>
    <n v="51.828000000000003"/>
    <n v="20.1126"/>
    <n v="13.894906166219799"/>
    <n v="10.7171428571429"/>
    <n v="0.72134615384615397"/>
    <s v="Order"/>
    <n v="64.436300000000003"/>
  </r>
  <r>
    <d v="2024-05-06T00:00:00"/>
    <x v="2"/>
    <x v="0"/>
    <n v="6"/>
    <n v="19"/>
    <x v="4"/>
    <x v="67"/>
    <x v="2"/>
    <s v="Clear"/>
    <n v="66"/>
    <x v="70"/>
    <n v="114"/>
    <n v="13"/>
    <n v="133.05000000000001"/>
    <n v="107.628"/>
    <n v="25.488499999999998"/>
    <n v="20.618390804597698"/>
    <n v="10.234615384615401"/>
    <n v="1.16710526315789"/>
    <s v="Order"/>
    <n v="64.208799999999997"/>
  </r>
  <r>
    <d v="2024-05-05T00:00:00"/>
    <x v="2"/>
    <x v="0"/>
    <n v="5"/>
    <n v="18"/>
    <x v="2"/>
    <x v="2"/>
    <x v="2"/>
    <s v="Rain"/>
    <n v="46"/>
    <x v="134"/>
    <n v="88"/>
    <n v="10"/>
    <n v="141.63"/>
    <n v="122.006"/>
    <n v="28.497"/>
    <n v="24.548490945674001"/>
    <n v="14.163"/>
    <n v="1.6094318181818199"/>
    <s v="Order"/>
    <n v="62.730400000000003"/>
  </r>
  <r>
    <d v="2024-05-04T00:00:00"/>
    <x v="2"/>
    <x v="0"/>
    <n v="5"/>
    <n v="18"/>
    <x v="6"/>
    <x v="48"/>
    <x v="2"/>
    <s v="Overcast"/>
    <n v="54"/>
    <x v="250"/>
    <n v="103"/>
    <n v="8"/>
    <n v="73.05"/>
    <n v="50.081000000000003"/>
    <n v="20.123999999999999"/>
    <n v="13.796418732782399"/>
    <n v="9.1312499999999996"/>
    <n v="0.70922330097087405"/>
    <s v="Hourly"/>
    <n v="61.599200000000003"/>
  </r>
  <r>
    <d v="2024-05-03T00:00:00"/>
    <x v="2"/>
    <x v="0"/>
    <n v="5"/>
    <n v="18"/>
    <x v="0"/>
    <x v="1"/>
    <x v="0"/>
    <s v="Clear"/>
    <n v="63"/>
    <x v="228"/>
    <n v="91"/>
    <n v="15"/>
    <n v="123.54"/>
    <n v="103.247"/>
    <n v="22.667899999999999"/>
    <n v="18.944403669724799"/>
    <n v="8.2360000000000007"/>
    <n v="1.35758241758242"/>
    <s v="Order"/>
    <n v="60.787599999999998"/>
  </r>
  <r>
    <d v="2024-05-02T00:00:00"/>
    <x v="2"/>
    <x v="0"/>
    <n v="5"/>
    <n v="18"/>
    <x v="5"/>
    <x v="53"/>
    <x v="3"/>
    <s v="Overcast"/>
    <n v="48"/>
    <x v="117"/>
    <n v="119"/>
    <n v="13"/>
    <n v="107.63"/>
    <n v="81.093000000000004"/>
    <n v="21.526"/>
    <n v="16.218599999999999"/>
    <n v="8.2792307692307698"/>
    <n v="0.90445378151260503"/>
    <s v="Order"/>
    <n v="59.414900000000003"/>
  </r>
  <r>
    <d v="2024-05-01T00:00:00"/>
    <x v="2"/>
    <x v="0"/>
    <n v="5"/>
    <n v="18"/>
    <x v="1"/>
    <x v="40"/>
    <x v="2"/>
    <s v="Clear"/>
    <n v="54"/>
    <x v="168"/>
    <n v="91"/>
    <n v="12"/>
    <n v="115.41"/>
    <n v="95.117000000000004"/>
    <n v="21.775500000000001"/>
    <n v="17.946603773584901"/>
    <n v="9.6174999999999997"/>
    <n v="1.26824175824176"/>
    <s v="Order"/>
    <n v="59.203899999999997"/>
  </r>
  <r>
    <d v="2024-04-30T00:00:00"/>
    <x v="2"/>
    <x v="0"/>
    <n v="5"/>
    <n v="18"/>
    <x v="3"/>
    <x v="50"/>
    <x v="2"/>
    <s v="Rain"/>
    <n v="48"/>
    <x v="135"/>
    <n v="99"/>
    <n v="10"/>
    <n v="84.6"/>
    <n v="62.523000000000003"/>
    <n v="20.992599999999999"/>
    <n v="15.5143920595533"/>
    <n v="8.4600000000000009"/>
    <n v="0.85454545454545405"/>
    <s v="Order"/>
    <n v="58.575200000000002"/>
  </r>
  <r>
    <d v="2024-04-28T00:00:00"/>
    <x v="2"/>
    <x v="0"/>
    <n v="4"/>
    <n v="17"/>
    <x v="2"/>
    <x v="53"/>
    <x v="3"/>
    <s v="Mostly Cloudy"/>
    <n v="52"/>
    <x v="6"/>
    <n v="90"/>
    <n v="7"/>
    <n v="51.27"/>
    <n v="31.2"/>
    <n v="13.672000000000001"/>
    <n v="8.32"/>
    <n v="7.3242857142857201"/>
    <n v="0.56966666666666699"/>
    <s v="Order"/>
    <n v="60.097700000000003"/>
  </r>
  <r>
    <d v="2024-04-27T00:00:00"/>
    <x v="2"/>
    <x v="0"/>
    <n v="4"/>
    <n v="17"/>
    <x v="6"/>
    <x v="52"/>
    <x v="2"/>
    <s v="Clear"/>
    <n v="54"/>
    <x v="226"/>
    <n v="116"/>
    <n v="12"/>
    <n v="121.16"/>
    <n v="95.292000000000002"/>
    <n v="24.726500000000001"/>
    <n v="19.4473469387755"/>
    <n v="10.0966666666667"/>
    <n v="1.04448275862069"/>
    <s v="Order"/>
    <n v="59.527999999999999"/>
  </r>
  <r>
    <d v="2024-04-26T00:00:00"/>
    <x v="2"/>
    <x v="0"/>
    <n v="4"/>
    <n v="17"/>
    <x v="0"/>
    <x v="27"/>
    <x v="2"/>
    <s v="Clear"/>
    <n v="55"/>
    <x v="88"/>
    <n v="109"/>
    <n v="14"/>
    <n v="120.7"/>
    <n v="96.393000000000001"/>
    <n v="23.759799999999998"/>
    <n v="18.975000000000001"/>
    <n v="8.6214285714285701"/>
    <n v="1.1073394495412801"/>
    <s v="Order"/>
    <n v="58.181800000000003"/>
  </r>
  <r>
    <d v="2024-04-25T00:00:00"/>
    <x v="2"/>
    <x v="0"/>
    <n v="4"/>
    <n v="17"/>
    <x v="5"/>
    <x v="2"/>
    <x v="0"/>
    <s v="Clear"/>
    <n v="48"/>
    <x v="37"/>
    <n v="85"/>
    <n v="6"/>
    <n v="68.61"/>
    <n v="49.655000000000001"/>
    <n v="17.913799999999998"/>
    <n v="12.9647519582245"/>
    <n v="11.435"/>
    <n v="0.80717647058823505"/>
    <s v="Order"/>
    <n v="58.070900000000002"/>
  </r>
  <r>
    <d v="2024-04-23T00:00:00"/>
    <x v="2"/>
    <x v="0"/>
    <n v="4"/>
    <n v="17"/>
    <x v="3"/>
    <x v="47"/>
    <x v="0"/>
    <s v="Clear"/>
    <n v="50"/>
    <x v="249"/>
    <n v="81"/>
    <n v="11"/>
    <n v="72.8"/>
    <n v="54.737000000000002"/>
    <n v="17.333300000000001"/>
    <n v="13.032619047619001"/>
    <n v="6.6181818181818199"/>
    <n v="0.89876543209876503"/>
    <s v="Order"/>
    <n v="59.42"/>
  </r>
  <r>
    <d v="2024-04-22T00:00:00"/>
    <x v="2"/>
    <x v="0"/>
    <n v="4"/>
    <n v="17"/>
    <x v="4"/>
    <x v="43"/>
    <x v="2"/>
    <s v="Clear"/>
    <n v="48"/>
    <x v="251"/>
    <n v="60"/>
    <n v="9"/>
    <n v="57"/>
    <n v="43.62"/>
    <n v="17.701899999999998"/>
    <n v="13.5465838509317"/>
    <n v="6.3333333333333304"/>
    <n v="0.95"/>
    <s v="Order"/>
    <n v="58.6111"/>
  </r>
  <r>
    <d v="2024-04-21T00:00:00"/>
    <x v="2"/>
    <x v="0"/>
    <n v="3"/>
    <n v="16"/>
    <x v="2"/>
    <x v="63"/>
    <x v="2"/>
    <s v="Clear"/>
    <n v="50"/>
    <x v="252"/>
    <n v="111"/>
    <n v="10"/>
    <n v="128.66"/>
    <n v="103.907"/>
    <n v="26.527799999999999"/>
    <n v="21.424123711340201"/>
    <n v="12.866"/>
    <n v="1.1590990990990999"/>
    <s v="Order"/>
    <n v="58.4482"/>
  </r>
  <r>
    <d v="2024-04-20T00:00:00"/>
    <x v="2"/>
    <x v="0"/>
    <n v="3"/>
    <n v="16"/>
    <x v="6"/>
    <x v="64"/>
    <x v="2"/>
    <s v="Overcast"/>
    <n v="50"/>
    <x v="156"/>
    <n v="102"/>
    <n v="10"/>
    <n v="104.72"/>
    <n v="81.974000000000004"/>
    <n v="19.833300000000001"/>
    <n v="15.5253787878788"/>
    <n v="10.472"/>
    <n v="1.0266666666666699"/>
    <s v="Order"/>
    <n v="58.1111"/>
  </r>
  <r>
    <d v="2024-04-19T00:00:00"/>
    <x v="2"/>
    <x v="0"/>
    <n v="3"/>
    <n v="16"/>
    <x v="0"/>
    <x v="72"/>
    <x v="2"/>
    <s v="Overcast"/>
    <n v="48"/>
    <x v="197"/>
    <n v="75"/>
    <n v="6"/>
    <n v="74.75"/>
    <n v="58.024999999999999"/>
    <n v="18.5945"/>
    <n v="14.43407960199"/>
    <n v="12.4583333333333"/>
    <n v="0.99666666666666703"/>
    <s v="Order"/>
    <n v="56.947600000000001"/>
  </r>
  <r>
    <d v="2024-04-17T00:00:00"/>
    <x v="2"/>
    <x v="0"/>
    <n v="3"/>
    <n v="16"/>
    <x v="1"/>
    <x v="40"/>
    <x v="3"/>
    <s v="Clear"/>
    <n v="54"/>
    <x v="149"/>
    <n v="93"/>
    <n v="4"/>
    <n v="50.44"/>
    <n v="29.701000000000001"/>
    <n v="14.7485"/>
    <n v="8.6845029239766092"/>
    <n v="12.61"/>
    <n v="0.54236559139784901"/>
    <s v="Order"/>
    <n v="57.199199999999998"/>
  </r>
  <r>
    <d v="2024-04-16T00:00:00"/>
    <x v="2"/>
    <x v="0"/>
    <n v="3"/>
    <n v="16"/>
    <x v="3"/>
    <x v="65"/>
    <x v="2"/>
    <s v="Overcast"/>
    <n v="54"/>
    <x v="83"/>
    <n v="126"/>
    <n v="8"/>
    <n v="91.28"/>
    <n v="63.182000000000002"/>
    <n v="15.8748"/>
    <n v="10.9881739130435"/>
    <n v="11.41"/>
    <n v="0.724444444444444"/>
    <s v="Order"/>
    <n v="56.638800000000003"/>
  </r>
  <r>
    <d v="2024-04-13T00:00:00"/>
    <x v="2"/>
    <x v="0"/>
    <n v="2"/>
    <n v="15"/>
    <x v="6"/>
    <x v="1"/>
    <x v="3"/>
    <s v="Overcast"/>
    <n v="48"/>
    <x v="149"/>
    <n v="83"/>
    <n v="13"/>
    <n v="74.75"/>
    <n v="56.241"/>
    <n v="21.8567"/>
    <n v="16.4447368421053"/>
    <n v="5.75"/>
    <n v="0.90060240963855398"/>
    <s v="Order"/>
    <n v="58.51"/>
  </r>
  <r>
    <d v="2024-04-12T00:00:00"/>
    <x v="2"/>
    <x v="0"/>
    <n v="2"/>
    <n v="15"/>
    <x v="0"/>
    <x v="40"/>
    <x v="2"/>
    <s v="Fog"/>
    <n v="54"/>
    <x v="253"/>
    <n v="163"/>
    <n v="14"/>
    <n v="178"/>
    <n v="141.65100000000001"/>
    <n v="23.116900000000001"/>
    <n v="18.396233766233799"/>
    <n v="12.714285714285699"/>
    <n v="1.0920245398773001"/>
    <s v="Order"/>
    <n v="58.629600000000003"/>
  </r>
  <r>
    <d v="2024-04-09T00:00:00"/>
    <x v="2"/>
    <x v="0"/>
    <n v="2"/>
    <n v="15"/>
    <x v="3"/>
    <x v="65"/>
    <x v="2"/>
    <s v="Clear"/>
    <n v="52"/>
    <x v="159"/>
    <n v="113"/>
    <n v="9"/>
    <n v="105.11"/>
    <n v="79.911000000000001"/>
    <n v="26.409500000000001"/>
    <n v="20.078140703517601"/>
    <n v="11.678888888888901"/>
    <n v="0.93017699115044195"/>
    <s v="Order"/>
    <n v="58.077100000000002"/>
  </r>
  <r>
    <d v="2024-04-08T00:00:00"/>
    <x v="2"/>
    <x v="0"/>
    <n v="2"/>
    <n v="15"/>
    <x v="4"/>
    <x v="40"/>
    <x v="1"/>
    <s v="Partially Cloudy"/>
    <n v="45"/>
    <x v="71"/>
    <n v="102"/>
    <n v="8"/>
    <n v="89.75"/>
    <n v="67.004000000000005"/>
    <n v="20.305399999999999"/>
    <n v="15.1592760180996"/>
    <n v="11.21875"/>
    <n v="0.87990196078431404"/>
    <s v="Order"/>
    <n v="57.124400000000001"/>
  </r>
  <r>
    <d v="2024-04-06T00:00:00"/>
    <x v="2"/>
    <x v="0"/>
    <n v="1"/>
    <n v="14"/>
    <x v="6"/>
    <x v="40"/>
    <x v="0"/>
    <s v="Overcast"/>
    <n v="37"/>
    <x v="136"/>
    <n v="55"/>
    <n v="8"/>
    <n v="65.900000000000006"/>
    <n v="53.634999999999998"/>
    <n v="18.305599999999998"/>
    <n v="14.8986111111111"/>
    <n v="8.2375000000000007"/>
    <n v="1.19818181818182"/>
    <s v="Order"/>
    <n v="57.717599999999997"/>
  </r>
  <r>
    <d v="2024-04-05T00:00:00"/>
    <x v="2"/>
    <x v="0"/>
    <n v="1"/>
    <n v="14"/>
    <x v="0"/>
    <x v="65"/>
    <x v="2"/>
    <s v="Mostly Cloudy"/>
    <n v="37"/>
    <x v="214"/>
    <n v="141"/>
    <n v="14"/>
    <n v="225.25"/>
    <n v="193.80699999999999"/>
    <n v="37.231400000000001"/>
    <n v="32.034214876033097"/>
    <n v="16.089285714285701"/>
    <n v="1.5975177304964501"/>
    <s v="Order"/>
    <n v="58.015700000000002"/>
  </r>
  <r>
    <d v="2024-04-03T00:00:00"/>
    <x v="2"/>
    <x v="0"/>
    <n v="1"/>
    <n v="14"/>
    <x v="1"/>
    <x v="17"/>
    <x v="0"/>
    <s v="Snow Storm"/>
    <n v="39"/>
    <x v="254"/>
    <n v="28"/>
    <n v="5"/>
    <n v="38.25"/>
    <n v="32.006"/>
    <n v="17"/>
    <n v="14.2248888888889"/>
    <n v="7.65"/>
    <n v="1.3660714285714299"/>
    <s v="Order"/>
    <n v="57.506300000000003"/>
  </r>
  <r>
    <d v="2024-04-02T00:00:00"/>
    <x v="2"/>
    <x v="0"/>
    <n v="1"/>
    <n v="14"/>
    <x v="3"/>
    <x v="67"/>
    <x v="2"/>
    <s v="Clear"/>
    <n v="46"/>
    <x v="255"/>
    <n v="52"/>
    <n v="12"/>
    <n v="81.7"/>
    <n v="70.103999999999999"/>
    <n v="20.948699999999999"/>
    <n v="17.975384615384598"/>
    <n v="6.80833333333333"/>
    <n v="1.5711538461538499"/>
    <s v="Order"/>
    <n v="57.081299999999999"/>
  </r>
  <r>
    <d v="2024-04-01T00:00:00"/>
    <x v="2"/>
    <x v="0"/>
    <n v="1"/>
    <n v="14"/>
    <x v="4"/>
    <x v="37"/>
    <x v="0"/>
    <s v="Partially Cloudy"/>
    <n v="48"/>
    <x v="143"/>
    <n v="87"/>
    <n v="7"/>
    <n v="68.83"/>
    <n v="49.429000000000002"/>
    <n v="15.1943"/>
    <n v="10.911479028697601"/>
    <n v="9.8328571428571401"/>
    <n v="0.79114942528735599"/>
    <s v="Order"/>
    <n v="57.195900000000002"/>
  </r>
  <r>
    <d v="2024-03-29T00:00:00"/>
    <x v="2"/>
    <x v="1"/>
    <n v="13"/>
    <n v="13"/>
    <x v="0"/>
    <x v="67"/>
    <x v="1"/>
    <s v="Overcast"/>
    <n v="45"/>
    <x v="130"/>
    <n v="136"/>
    <n v="9"/>
    <n v="155.94"/>
    <n v="125.61199999999999"/>
    <n v="29.816400000000002"/>
    <n v="24.017590822179699"/>
    <n v="17.3266666666667"/>
    <n v="1.1466176470588201"/>
    <s v="Order"/>
    <n v="58.0426"/>
  </r>
  <r>
    <d v="2024-03-27T00:00:00"/>
    <x v="2"/>
    <x v="1"/>
    <n v="13"/>
    <n v="13"/>
    <x v="1"/>
    <x v="65"/>
    <x v="2"/>
    <s v="Rain"/>
    <n v="46"/>
    <x v="256"/>
    <n v="77"/>
    <n v="7"/>
    <n v="126.36"/>
    <n v="109.18899999999999"/>
    <n v="38.060200000000002"/>
    <n v="32.888253012048203"/>
    <n v="18.051428571428598"/>
    <n v="1.64103896103896"/>
    <s v="Order"/>
    <n v="58.290900000000001"/>
  </r>
  <r>
    <d v="2024-03-26T00:00:00"/>
    <x v="2"/>
    <x v="1"/>
    <n v="13"/>
    <n v="13"/>
    <x v="3"/>
    <x v="40"/>
    <x v="2"/>
    <s v="Fog"/>
    <n v="37"/>
    <x v="184"/>
    <n v="51"/>
    <n v="7"/>
    <n v="69.17"/>
    <n v="57.796999999999997"/>
    <n v="25.152699999999999"/>
    <n v="21.0170909090909"/>
    <n v="9.8814285714285699"/>
    <n v="1.3562745098039199"/>
    <s v="Order"/>
    <n v="56.886899999999997"/>
  </r>
  <r>
    <d v="2024-03-25T00:00:00"/>
    <x v="2"/>
    <x v="1"/>
    <n v="13"/>
    <n v="13"/>
    <x v="4"/>
    <x v="47"/>
    <x v="2"/>
    <s v="Clear"/>
    <n v="37"/>
    <x v="257"/>
    <n v="71"/>
    <n v="6"/>
    <n v="101.98"/>
    <n v="86.147000000000006"/>
    <n v="31.378499999999999"/>
    <n v="26.506769230769201"/>
    <n v="16.996666666666702"/>
    <n v="1.4363380281690099"/>
    <s v="Hourly"/>
    <n v="57.224600000000002"/>
  </r>
  <r>
    <d v="2024-03-19T00:00:00"/>
    <x v="2"/>
    <x v="1"/>
    <n v="12"/>
    <n v="12"/>
    <x v="3"/>
    <x v="56"/>
    <x v="2"/>
    <s v="Clear"/>
    <n v="36"/>
    <x v="258"/>
    <n v="79"/>
    <n v="8"/>
    <n v="114.44"/>
    <n v="96.822999999999993"/>
    <n v="33.857999999999997"/>
    <n v="28.645857988165702"/>
    <n v="14.305"/>
    <n v="1.4486075949367101"/>
    <s v="Order"/>
    <n v="58.671700000000001"/>
  </r>
  <r>
    <d v="2024-03-16T00:00:00"/>
    <x v="2"/>
    <x v="1"/>
    <n v="11"/>
    <n v="11"/>
    <x v="6"/>
    <x v="98"/>
    <x v="2"/>
    <s v="Mostly Cloudy"/>
    <n v="52"/>
    <x v="135"/>
    <n v="94"/>
    <n v="6"/>
    <n v="84.15"/>
    <n v="63.188000000000002"/>
    <n v="20.8809"/>
    <n v="15.6794044665012"/>
    <n v="14.025"/>
    <n v="0.89521276595744703"/>
    <s v="Order"/>
    <n v="58.3752"/>
  </r>
  <r>
    <d v="2024-03-15T00:00:00"/>
    <x v="2"/>
    <x v="1"/>
    <n v="11"/>
    <n v="11"/>
    <x v="0"/>
    <x v="53"/>
    <x v="0"/>
    <s v="Overcast"/>
    <n v="37"/>
    <x v="221"/>
    <n v="59"/>
    <n v="12"/>
    <n v="91.05"/>
    <n v="77.893000000000001"/>
    <n v="24.151199999999999"/>
    <n v="20.661273209549101"/>
    <n v="7.5875000000000004"/>
    <n v="1.5432203389830501"/>
    <s v="Order"/>
    <n v="57.440199999999997"/>
  </r>
  <r>
    <d v="2024-03-14T00:00:00"/>
    <x v="2"/>
    <x v="1"/>
    <n v="11"/>
    <n v="11"/>
    <x v="5"/>
    <x v="72"/>
    <x v="1"/>
    <s v="Partially Cloudy"/>
    <n v="41"/>
    <x v="52"/>
    <n v="109.8"/>
    <n v="6"/>
    <n v="76"/>
    <n v="51.514600000000002"/>
    <n v="18.313300000000002"/>
    <n v="12.413156626506"/>
    <n v="12.6666666666667"/>
    <n v="0.69216757741347901"/>
    <s v="Order"/>
    <n v="57.1477"/>
  </r>
  <r>
    <d v="2024-03-13T00:00:00"/>
    <x v="2"/>
    <x v="1"/>
    <n v="11"/>
    <n v="11"/>
    <x v="1"/>
    <x v="27"/>
    <x v="2"/>
    <s v="Overcast"/>
    <n v="52"/>
    <x v="242"/>
    <n v="69"/>
    <n v="9"/>
    <n v="114.52"/>
    <n v="99.132999999999996"/>
    <n v="27.0733"/>
    <n v="23.4356973995272"/>
    <n v="12.7244444444444"/>
    <n v="1.65971014492754"/>
    <s v="Order"/>
    <n v="56.303199999999997"/>
  </r>
  <r>
    <d v="2024-03-11T00:00:00"/>
    <x v="2"/>
    <x v="1"/>
    <n v="11"/>
    <n v="11"/>
    <x v="4"/>
    <x v="53"/>
    <x v="2"/>
    <s v="Partially Cloudy"/>
    <n v="36"/>
    <x v="135"/>
    <n v="81"/>
    <n v="10"/>
    <n v="96.69"/>
    <n v="78.626999999999995"/>
    <n v="23.992599999999999"/>
    <n v="19.5104218362283"/>
    <n v="9.6690000000000005"/>
    <n v="1.1937037037036999"/>
    <s v="Order"/>
    <n v="56.882599999999996"/>
  </r>
  <r>
    <d v="2024-03-09T00:00:00"/>
    <x v="2"/>
    <x v="1"/>
    <n v="10"/>
    <n v="10"/>
    <x v="6"/>
    <x v="35"/>
    <x v="2"/>
    <s v="Overcast"/>
    <n v="37"/>
    <x v="259"/>
    <n v="192"/>
    <n v="17"/>
    <n v="221.82"/>
    <n v="179.00399999999999"/>
    <n v="29.380099999999999"/>
    <n v="23.709139072847702"/>
    <n v="13.0482352941176"/>
    <n v="1.1553125"/>
    <s v="Order"/>
    <n v="55.808199999999999"/>
  </r>
  <r>
    <d v="2024-03-05T00:00:00"/>
    <x v="2"/>
    <x v="1"/>
    <n v="10"/>
    <n v="10"/>
    <x v="3"/>
    <x v="53"/>
    <x v="2"/>
    <s v="Rain"/>
    <n v="39"/>
    <x v="260"/>
    <n v="80"/>
    <n v="8"/>
    <n v="65.319999999999993"/>
    <n v="47.48"/>
    <n v="18.933299999999999"/>
    <n v="13.762318840579701"/>
    <n v="8.1649999999999991"/>
    <n v="0.8165"/>
    <s v="Order"/>
    <n v="55.628700000000002"/>
  </r>
  <r>
    <d v="2024-03-03T00:00:00"/>
    <x v="2"/>
    <x v="1"/>
    <n v="9"/>
    <n v="9"/>
    <x v="2"/>
    <x v="82"/>
    <x v="0"/>
    <s v="Rain"/>
    <n v="37"/>
    <x v="221"/>
    <n v="66"/>
    <n v="9"/>
    <n v="79.36"/>
    <n v="64.641999999999996"/>
    <n v="21.0504"/>
    <n v="17.146419098143198"/>
    <n v="8.8177777777777795"/>
    <n v="1.20242424242424"/>
    <s v="Order"/>
    <n v="55.749000000000002"/>
  </r>
  <r>
    <d v="2024-03-02T00:00:00"/>
    <x v="2"/>
    <x v="1"/>
    <n v="9"/>
    <n v="9"/>
    <x v="6"/>
    <x v="2"/>
    <x v="2"/>
    <s v="Rain"/>
    <n v="41"/>
    <x v="22"/>
    <n v="100"/>
    <n v="9"/>
    <n v="129.13999999999999"/>
    <n v="106.84"/>
    <n v="28.825900000000001"/>
    <n v="23.848214285714299"/>
    <n v="14.348888888888901"/>
    <n v="1.2914000000000001"/>
    <s v="Order"/>
    <n v="54.867199999999997"/>
  </r>
  <r>
    <d v="2024-03-01T00:00:00"/>
    <x v="2"/>
    <x v="1"/>
    <n v="9"/>
    <n v="9"/>
    <x v="0"/>
    <x v="27"/>
    <x v="2"/>
    <s v="Clear"/>
    <n v="32"/>
    <x v="256"/>
    <n v="75"/>
    <n v="6"/>
    <n v="85.14"/>
    <n v="68.415000000000006"/>
    <n v="25.644600000000001"/>
    <n v="20.606927710843401"/>
    <n v="14.19"/>
    <n v="1.1352"/>
    <s v="Order"/>
    <n v="53.432299999999998"/>
  </r>
  <r>
    <d v="2024-02-28T00:00:00"/>
    <x v="2"/>
    <x v="1"/>
    <n v="9"/>
    <n v="9"/>
    <x v="1"/>
    <x v="50"/>
    <x v="2"/>
    <s v="Rain"/>
    <n v="50"/>
    <x v="261"/>
    <n v="62"/>
    <n v="8"/>
    <n v="72.38"/>
    <n v="58.554000000000002"/>
    <n v="23.5"/>
    <n v="19.011038961038999"/>
    <n v="9.0474999999999994"/>
    <n v="1.16741935483871"/>
    <s v="Order"/>
    <n v="52.4863"/>
  </r>
  <r>
    <d v="2024-02-27T00:00:00"/>
    <x v="2"/>
    <x v="1"/>
    <n v="9"/>
    <n v="9"/>
    <x v="3"/>
    <x v="42"/>
    <x v="2"/>
    <s v="Fog"/>
    <n v="43"/>
    <x v="28"/>
    <n v="89"/>
    <n v="10"/>
    <n v="124.55"/>
    <n v="104.703"/>
    <n v="30.230599999999999"/>
    <n v="25.413349514563102"/>
    <n v="12.455"/>
    <n v="1.3994382022471901"/>
    <s v="Order"/>
    <n v="52.439100000000003"/>
  </r>
  <r>
    <d v="2024-02-24T00:00:00"/>
    <x v="2"/>
    <x v="1"/>
    <n v="8"/>
    <n v="8"/>
    <x v="6"/>
    <x v="57"/>
    <x v="2"/>
    <s v="Clear"/>
    <n v="18"/>
    <x v="257"/>
    <n v="74"/>
    <n v="10"/>
    <n v="106.38"/>
    <n v="89.878"/>
    <n v="32.732300000000002"/>
    <n v="27.654769230769201"/>
    <n v="10.638"/>
    <n v="1.4375675675675701"/>
    <s v="Order"/>
    <n v="54.006599999999999"/>
  </r>
  <r>
    <d v="2024-02-22T00:00:00"/>
    <x v="2"/>
    <x v="1"/>
    <n v="8"/>
    <n v="8"/>
    <x v="5"/>
    <x v="40"/>
    <x v="0"/>
    <s v="Overcast"/>
    <n v="32"/>
    <x v="211"/>
    <n v="68"/>
    <n v="10"/>
    <n v="105.34"/>
    <n v="90.176000000000002"/>
    <n v="23"/>
    <n v="19.689082969432299"/>
    <n v="10.534000000000001"/>
    <n v="1.5491176470588199"/>
    <s v="Order"/>
    <n v="52.824599999999997"/>
  </r>
  <r>
    <d v="2024-02-21T00:00:00"/>
    <x v="2"/>
    <x v="1"/>
    <n v="8"/>
    <n v="8"/>
    <x v="1"/>
    <x v="52"/>
    <x v="0"/>
    <s v="Clear"/>
    <n v="30"/>
    <x v="122"/>
    <n v="66"/>
    <n v="5"/>
    <n v="37.659999999999997"/>
    <n v="22.942"/>
    <n v="12.637600000000001"/>
    <n v="7.6986577181208"/>
    <n v="7.532"/>
    <n v="0.57060606060606001"/>
    <s v="Hourly"/>
    <n v="53.6402"/>
  </r>
  <r>
    <d v="2024-02-20T00:00:00"/>
    <x v="2"/>
    <x v="1"/>
    <n v="8"/>
    <n v="8"/>
    <x v="3"/>
    <x v="40"/>
    <x v="0"/>
    <s v="Clear"/>
    <n v="27"/>
    <x v="160"/>
    <n v="45"/>
    <n v="6"/>
    <n v="39.32"/>
    <n v="29.285"/>
    <n v="16.048999999999999"/>
    <n v="11.953061224489799"/>
    <n v="6.5533333333333301"/>
    <n v="0.87377777777777799"/>
    <s v="Hourly"/>
    <n v="53.221800000000002"/>
  </r>
  <r>
    <d v="2024-02-19T00:00:00"/>
    <x v="2"/>
    <x v="1"/>
    <n v="8"/>
    <n v="8"/>
    <x v="4"/>
    <x v="37"/>
    <x v="2"/>
    <s v="Clear"/>
    <n v="19"/>
    <x v="202"/>
    <n v="98"/>
    <n v="10"/>
    <n v="112.49"/>
    <n v="90.635999999999996"/>
    <n v="26.9115"/>
    <n v="21.683253588516699"/>
    <n v="11.249000000000001"/>
    <n v="1.14785714285714"/>
    <s v="Order"/>
    <n v="53.142400000000002"/>
  </r>
  <r>
    <d v="2024-02-18T00:00:00"/>
    <x v="2"/>
    <x v="1"/>
    <n v="7"/>
    <n v="7"/>
    <x v="2"/>
    <x v="89"/>
    <x v="3"/>
    <s v="Sunny"/>
    <n v="30"/>
    <x v="103"/>
    <n v="83"/>
    <n v="6"/>
    <n v="52.45"/>
    <n v="33.941000000000003"/>
    <n v="17.3675"/>
    <n v="11.2387417218543"/>
    <n v="8.7416666666666707"/>
    <n v="0.63192771084337396"/>
    <s v="Hourly"/>
    <n v="52.709200000000003"/>
  </r>
  <r>
    <d v="2024-02-17T00:00:00"/>
    <x v="2"/>
    <x v="1"/>
    <n v="7"/>
    <n v="7"/>
    <x v="6"/>
    <x v="17"/>
    <x v="2"/>
    <s v="Freezing Rain / Ice"/>
    <n v="21"/>
    <x v="145"/>
    <n v="120"/>
    <n v="11"/>
    <n v="132.19"/>
    <n v="105.43"/>
    <n v="27.088100000000001"/>
    <n v="21.604508196721302"/>
    <n v="12.017272727272699"/>
    <n v="1.10158333333333"/>
    <s v="Order"/>
    <n v="53.386600000000001"/>
  </r>
  <r>
    <d v="2024-02-16T00:00:00"/>
    <x v="2"/>
    <x v="1"/>
    <n v="7"/>
    <n v="7"/>
    <x v="0"/>
    <x v="72"/>
    <x v="0"/>
    <s v="Clear"/>
    <n v="25"/>
    <x v="22"/>
    <n v="51"/>
    <n v="15"/>
    <n v="81.540000000000006"/>
    <n v="70.167000000000002"/>
    <n v="18.200900000000001"/>
    <n v="15.662276785714299"/>
    <n v="5.4359999999999999"/>
    <n v="1.5988235294117601"/>
    <s v="Order"/>
    <n v="51.9178"/>
  </r>
  <r>
    <d v="2024-02-14T00:00:00"/>
    <x v="2"/>
    <x v="1"/>
    <n v="7"/>
    <n v="7"/>
    <x v="1"/>
    <x v="40"/>
    <x v="2"/>
    <s v="Clear"/>
    <n v="21"/>
    <x v="236"/>
    <n v="90"/>
    <n v="14"/>
    <n v="192.15"/>
    <n v="172.08"/>
    <n v="37.0946"/>
    <n v="33.220077220077201"/>
    <n v="13.725"/>
    <n v="2.1349999999999998"/>
    <s v="Order"/>
    <n v="51.198099999999997"/>
  </r>
  <r>
    <d v="2024-02-13T00:00:00"/>
    <x v="2"/>
    <x v="1"/>
    <n v="7"/>
    <n v="7"/>
    <x v="3"/>
    <x v="53"/>
    <x v="2"/>
    <s v="Clear"/>
    <n v="30"/>
    <x v="52"/>
    <n v="92"/>
    <n v="10"/>
    <n v="100.54"/>
    <n v="80.024000000000001"/>
    <n v="24.226500000000001"/>
    <n v="19.2828915662651"/>
    <n v="10.054"/>
    <n v="1.0928260869565201"/>
    <s v="Order"/>
    <n v="49.367600000000003"/>
  </r>
  <r>
    <d v="2024-02-10T00:00:00"/>
    <x v="2"/>
    <x v="1"/>
    <n v="6"/>
    <n v="6"/>
    <x v="6"/>
    <x v="67"/>
    <x v="2"/>
    <s v="Clear"/>
    <n v="43"/>
    <x v="107"/>
    <n v="62"/>
    <n v="8"/>
    <n v="69.02"/>
    <n v="55.194000000000003"/>
    <n v="22.051100000000002"/>
    <n v="17.633865814696499"/>
    <n v="8.6274999999999995"/>
    <n v="1.1132258064516101"/>
    <s v="Order"/>
    <n v="50.758099999999999"/>
  </r>
  <r>
    <d v="2024-02-09T00:00:00"/>
    <x v="2"/>
    <x v="1"/>
    <n v="6"/>
    <n v="6"/>
    <x v="0"/>
    <x v="65"/>
    <x v="0"/>
    <s v="Partially Cloudy"/>
    <n v="36"/>
    <x v="227"/>
    <n v="117"/>
    <n v="13"/>
    <n v="120.59"/>
    <n v="94.498999999999995"/>
    <n v="20.6844"/>
    <n v="16.2090909090909"/>
    <n v="9.27615384615385"/>
    <n v="1.03068376068376"/>
    <s v="Order"/>
    <n v="51.76"/>
  </r>
  <r>
    <d v="2024-02-08T00:00:00"/>
    <x v="2"/>
    <x v="1"/>
    <n v="6"/>
    <n v="6"/>
    <x v="5"/>
    <x v="63"/>
    <x v="0"/>
    <s v="Clear"/>
    <n v="36"/>
    <x v="228"/>
    <n v="104"/>
    <n v="13"/>
    <n v="118.73"/>
    <n v="95.537999999999997"/>
    <n v="21.785299999999999"/>
    <n v="17.529908256880699"/>
    <n v="9.1330769230769207"/>
    <n v="1.14163461538462"/>
    <s v="Order"/>
    <n v="51.681199999999997"/>
  </r>
  <r>
    <d v="2024-02-07T00:00:00"/>
    <x v="2"/>
    <x v="1"/>
    <n v="6"/>
    <n v="6"/>
    <x v="1"/>
    <x v="27"/>
    <x v="2"/>
    <s v="Clear"/>
    <n v="32"/>
    <x v="262"/>
    <n v="52"/>
    <n v="5"/>
    <n v="54.54"/>
    <n v="42.944000000000003"/>
    <n v="23.012699999999999"/>
    <n v="18.119831223628701"/>
    <n v="10.907999999999999"/>
    <n v="1.04884615384615"/>
    <s v="Hourly"/>
    <n v="51.899299999999997"/>
  </r>
  <r>
    <d v="2024-02-05T00:00:00"/>
    <x v="2"/>
    <x v="1"/>
    <n v="6"/>
    <n v="6"/>
    <x v="4"/>
    <x v="40"/>
    <x v="0"/>
    <s v="Overcast"/>
    <n v="30"/>
    <x v="263"/>
    <n v="36"/>
    <n v="5"/>
    <n v="39.82"/>
    <n v="31.792000000000002"/>
    <n v="17.163799999999998"/>
    <n v="13.703448275862099"/>
    <n v="7.9640000000000004"/>
    <n v="1.1061111111111099"/>
    <s v="Hourly"/>
    <n v="52.491799999999998"/>
  </r>
  <r>
    <d v="2024-02-02T00:00:00"/>
    <x v="2"/>
    <x v="1"/>
    <n v="5"/>
    <n v="5"/>
    <x v="0"/>
    <x v="65"/>
    <x v="0"/>
    <s v="Overcast"/>
    <n v="36"/>
    <x v="168"/>
    <n v="89"/>
    <n v="12"/>
    <n v="88.64"/>
    <n v="68.793000000000006"/>
    <n v="16.724499999999999"/>
    <n v="12.979811320754701"/>
    <n v="7.3866666666666703"/>
    <n v="0.99595505617977498"/>
    <s v="Hourly"/>
    <n v="53.144100000000002"/>
  </r>
  <r>
    <d v="2024-02-01T00:00:00"/>
    <x v="2"/>
    <x v="1"/>
    <n v="5"/>
    <n v="5"/>
    <x v="5"/>
    <x v="53"/>
    <x v="0"/>
    <s v="Light Snow"/>
    <n v="34"/>
    <x v="264"/>
    <n v="71"/>
    <n v="9"/>
    <n v="58.83"/>
    <n v="42.997"/>
    <n v="18.2136"/>
    <n v="13.3117647058824"/>
    <n v="6.5366666666666697"/>
    <n v="0.82859154929577505"/>
    <s v="Hourly"/>
    <n v="52.159199999999998"/>
  </r>
  <r>
    <d v="2024-01-31T00:00:00"/>
    <x v="2"/>
    <x v="1"/>
    <n v="5"/>
    <n v="5"/>
    <x v="1"/>
    <x v="53"/>
    <x v="3"/>
    <s v="Overcast"/>
    <n v="27"/>
    <x v="3"/>
    <n v="96"/>
    <n v="6"/>
    <n v="50.35"/>
    <n v="28.942"/>
    <n v="14.1036"/>
    <n v="8.1070028011204496"/>
    <n v="8.3916666666666693"/>
    <n v="0.52447916666666705"/>
    <s v="Hourly"/>
    <n v="52.796300000000002"/>
  </r>
  <r>
    <d v="2024-01-30T00:00:00"/>
    <x v="2"/>
    <x v="1"/>
    <n v="5"/>
    <n v="5"/>
    <x v="3"/>
    <x v="45"/>
    <x v="2"/>
    <s v="Clear"/>
    <n v="13"/>
    <x v="12"/>
    <n v="128"/>
    <n v="10"/>
    <n v="171.27"/>
    <n v="142.726"/>
    <n v="36.056800000000003"/>
    <n v="30.0475789473684"/>
    <n v="17.126999999999999"/>
    <n v="1.3380468750000001"/>
    <s v="Order"/>
    <n v="52.236899999999999"/>
  </r>
  <r>
    <d v="2024-01-27T00:00:00"/>
    <x v="2"/>
    <x v="1"/>
    <n v="4"/>
    <n v="4"/>
    <x v="6"/>
    <x v="101"/>
    <x v="2"/>
    <s v="Overcast"/>
    <n v="34"/>
    <x v="25"/>
    <n v="126"/>
    <n v="8"/>
    <n v="110.72"/>
    <n v="82.622"/>
    <n v="24.769600000000001"/>
    <n v="18.4836689038031"/>
    <n v="13.84"/>
    <n v="0.87873015873015903"/>
    <s v="Order"/>
    <n v="53.912100000000002"/>
  </r>
  <r>
    <d v="2024-01-26T00:00:00"/>
    <x v="2"/>
    <x v="1"/>
    <n v="4"/>
    <n v="4"/>
    <x v="0"/>
    <x v="37"/>
    <x v="0"/>
    <s v="Overcast"/>
    <n v="34"/>
    <x v="87"/>
    <n v="116"/>
    <n v="12"/>
    <n v="96.81"/>
    <n v="70.941999999999993"/>
    <n v="17.828700000000001"/>
    <n v="13.0648250460405"/>
    <n v="8.0675000000000008"/>
    <n v="0.83456896551724102"/>
    <s v="Hourly"/>
    <n v="54.503700000000002"/>
  </r>
  <r>
    <d v="2024-01-25T00:00:00"/>
    <x v="2"/>
    <x v="1"/>
    <n v="4"/>
    <n v="4"/>
    <x v="5"/>
    <x v="40"/>
    <x v="2"/>
    <s v="Overcast"/>
    <n v="37"/>
    <x v="36"/>
    <n v="77"/>
    <n v="6"/>
    <n v="93.22"/>
    <n v="76.049000000000007"/>
    <n v="24.087900000000001"/>
    <n v="19.6509043927649"/>
    <n v="15.536666666666701"/>
    <n v="1.2106493506493501"/>
    <s v="Order"/>
    <n v="55.063600000000001"/>
  </r>
  <r>
    <d v="2024-01-23T00:00:00"/>
    <x v="2"/>
    <x v="1"/>
    <n v="4"/>
    <n v="4"/>
    <x v="3"/>
    <x v="53"/>
    <x v="2"/>
    <s v="Clear"/>
    <n v="28"/>
    <x v="90"/>
    <n v="69"/>
    <n v="5"/>
    <n v="42.34"/>
    <n v="26.952999999999999"/>
    <n v="18.652000000000001"/>
    <n v="11.873568281938301"/>
    <n v="8.468"/>
    <n v="0.61362318840579699"/>
    <s v="Hourly"/>
    <n v="54.027799999999999"/>
  </r>
  <r>
    <d v="2024-01-22T00:00:00"/>
    <x v="2"/>
    <x v="1"/>
    <n v="4"/>
    <n v="4"/>
    <x v="4"/>
    <x v="27"/>
    <x v="2"/>
    <s v="Partially Cloudy"/>
    <n v="34"/>
    <x v="145"/>
    <n v="116"/>
    <n v="9"/>
    <n v="98.32"/>
    <n v="72.451999999999998"/>
    <n v="20.147500000000001"/>
    <n v="14.846721311475401"/>
    <n v="10.924444444444401"/>
    <n v="0.84758620689655195"/>
    <s v="Hourly"/>
    <n v="54.121200000000002"/>
  </r>
  <r>
    <d v="2024-01-20T00:00:00"/>
    <x v="2"/>
    <x v="1"/>
    <n v="3"/>
    <n v="3"/>
    <x v="6"/>
    <x v="59"/>
    <x v="2"/>
    <s v="Light Snow"/>
    <n v="16"/>
    <x v="88"/>
    <n v="134"/>
    <n v="12"/>
    <n v="97.4"/>
    <n v="67.518000000000001"/>
    <n v="19.173200000000001"/>
    <n v="13.2909448818898"/>
    <n v="8.1166666666666707"/>
    <n v="0.72686567164179094"/>
    <s v="Hourly"/>
    <n v="55.063600000000001"/>
  </r>
  <r>
    <d v="2024-01-16T00:00:00"/>
    <x v="2"/>
    <x v="1"/>
    <n v="3"/>
    <n v="3"/>
    <x v="3"/>
    <x v="59"/>
    <x v="2"/>
    <s v="Snow Storm"/>
    <n v="27"/>
    <x v="134"/>
    <n v="117"/>
    <n v="9"/>
    <n v="177.49"/>
    <n v="151.399"/>
    <n v="35.712299999999999"/>
    <n v="30.462575452716301"/>
    <n v="19.721111111111099"/>
    <n v="1.5170085470085499"/>
    <s v="Order"/>
    <n v="53.981299999999997"/>
  </r>
  <r>
    <d v="2024-01-15T00:00:00"/>
    <x v="2"/>
    <x v="1"/>
    <n v="3"/>
    <n v="3"/>
    <x v="4"/>
    <x v="27"/>
    <x v="2"/>
    <s v="Clear"/>
    <n v="25"/>
    <x v="3"/>
    <n v="86"/>
    <n v="8"/>
    <n v="82.2"/>
    <n v="63.021999999999998"/>
    <n v="23.025200000000002"/>
    <n v="17.6532212885154"/>
    <n v="10.275"/>
    <n v="0.95581395348837195"/>
    <s v="Hourly"/>
    <n v="53.2928"/>
  </r>
  <r>
    <d v="2024-01-14T00:00:00"/>
    <x v="2"/>
    <x v="1"/>
    <n v="2"/>
    <n v="2"/>
    <x v="2"/>
    <x v="72"/>
    <x v="2"/>
    <s v="Clear"/>
    <n v="30"/>
    <x v="15"/>
    <n v="81"/>
    <n v="7"/>
    <n v="85.51"/>
    <n v="67.447000000000003"/>
    <n v="27.5839"/>
    <n v="21.757096774193599"/>
    <n v="12.2157142857143"/>
    <n v="1.0556790123456801"/>
    <s v="Hourly"/>
    <n v="53.782200000000003"/>
  </r>
  <r>
    <d v="2024-01-13T00:00:00"/>
    <x v="2"/>
    <x v="1"/>
    <n v="2"/>
    <n v="2"/>
    <x v="6"/>
    <x v="86"/>
    <x v="0"/>
    <s v="Clear"/>
    <n v="28"/>
    <x v="265"/>
    <n v="46"/>
    <n v="6"/>
    <n v="56.12"/>
    <n v="45.862000000000002"/>
    <n v="26.723800000000001"/>
    <n v="21.839047619047602"/>
    <n v="9.3533333333333299"/>
    <n v="1.22"/>
    <s v="Hourly"/>
    <n v="52.832099999999997"/>
  </r>
  <r>
    <d v="2024-01-11T00:00:00"/>
    <x v="2"/>
    <x v="1"/>
    <n v="2"/>
    <n v="2"/>
    <x v="5"/>
    <x v="27"/>
    <x v="3"/>
    <s v="Overcast"/>
    <n v="36"/>
    <x v="188"/>
    <n v="77"/>
    <n v="5"/>
    <n v="72.16"/>
    <n v="54.988999999999997"/>
    <n v="22.067299999999999"/>
    <n v="16.8162079510703"/>
    <n v="14.432"/>
    <n v="0.93714285714285706"/>
    <s v="Order"/>
    <n v="52.772399999999998"/>
  </r>
  <r>
    <d v="2024-01-10T00:00:00"/>
    <x v="2"/>
    <x v="1"/>
    <n v="2"/>
    <n v="2"/>
    <x v="1"/>
    <x v="42"/>
    <x v="2"/>
    <s v="Partially Cloudy"/>
    <n v="39"/>
    <x v="266"/>
    <n v="9"/>
    <n v="2"/>
    <n v="19.37"/>
    <n v="17.363"/>
    <n v="25.826699999999999"/>
    <n v="23.150666666666702"/>
    <n v="9.6850000000000005"/>
    <n v="2.1522222222222198"/>
    <s v="Hourly"/>
    <n v="53.474299999999999"/>
  </r>
  <r>
    <d v="2024-01-09T00:00:00"/>
    <x v="2"/>
    <x v="1"/>
    <n v="2"/>
    <n v="2"/>
    <x v="3"/>
    <x v="27"/>
    <x v="2"/>
    <s v="Light Snow"/>
    <n v="34"/>
    <x v="267"/>
    <n v="78"/>
    <n v="5"/>
    <n v="66.290000000000006"/>
    <n v="48.896000000000001"/>
    <n v="22.4712"/>
    <n v="16.5749152542373"/>
    <n v="13.257999999999999"/>
    <n v="0.84987179487179498"/>
    <s v="Hourly"/>
    <n v="53.259099999999997"/>
  </r>
  <r>
    <d v="2024-01-08T00:00:00"/>
    <x v="2"/>
    <x v="1"/>
    <n v="2"/>
    <n v="2"/>
    <x v="4"/>
    <x v="37"/>
    <x v="2"/>
    <s v="Clear"/>
    <n v="27"/>
    <x v="162"/>
    <n v="64"/>
    <n v="6"/>
    <n v="76.84"/>
    <n v="62.567999999999998"/>
    <n v="26.496600000000001"/>
    <n v="21.575172413793101"/>
    <n v="12.8066666666667"/>
    <n v="1.2006250000000001"/>
    <s v="Hourly"/>
    <n v="52.522599999999997"/>
  </r>
  <r>
    <d v="2024-01-07T00:00:00"/>
    <x v="2"/>
    <x v="1"/>
    <n v="1"/>
    <n v="1"/>
    <x v="2"/>
    <x v="102"/>
    <x v="2"/>
    <s v="Snow Storm"/>
    <n v="19"/>
    <x v="255"/>
    <n v="72"/>
    <n v="7"/>
    <n v="92.73"/>
    <n v="76.674000000000007"/>
    <n v="23.776900000000001"/>
    <n v="19.66"/>
    <n v="13.247142857142901"/>
    <n v="1.2879166666666699"/>
    <s v="Order"/>
    <n v="52.3626"/>
  </r>
  <r>
    <d v="2024-01-06T00:00:00"/>
    <x v="2"/>
    <x v="1"/>
    <n v="1"/>
    <n v="1"/>
    <x v="6"/>
    <x v="83"/>
    <x v="1"/>
    <s v="Overcast"/>
    <n v="25"/>
    <x v="207"/>
    <n v="122"/>
    <n v="10"/>
    <n v="135.41"/>
    <n v="108.20399999999999"/>
    <n v="25.452999999999999"/>
    <n v="20.339097744360899"/>
    <n v="13.541"/>
    <n v="1.1099180327868901"/>
    <s v="Hourly"/>
    <n v="52.686999999999998"/>
  </r>
  <r>
    <d v="2024-01-05T00:00:00"/>
    <x v="2"/>
    <x v="1"/>
    <n v="1"/>
    <n v="1"/>
    <x v="0"/>
    <x v="68"/>
    <x v="2"/>
    <s v="Clear"/>
    <n v="25"/>
    <x v="268"/>
    <n v="57"/>
    <n v="4"/>
    <n v="44"/>
    <n v="31.289000000000001"/>
    <n v="16.73"/>
    <n v="11.896958174904899"/>
    <n v="11"/>
    <n v="0.77192982456140402"/>
    <s v="Order"/>
    <n v="51.182400000000001"/>
  </r>
  <r>
    <d v="2024-01-03T00:00:00"/>
    <x v="2"/>
    <x v="1"/>
    <n v="1"/>
    <n v="1"/>
    <x v="1"/>
    <x v="63"/>
    <x v="2"/>
    <s v="Overcast"/>
    <n v="34"/>
    <x v="269"/>
    <n v="58"/>
    <n v="9"/>
    <n v="92.01"/>
    <n v="79.075999999999993"/>
    <n v="24.733899999999998"/>
    <n v="21.2569892473118"/>
    <n v="10.223333333333301"/>
    <n v="1.58637931034483"/>
    <s v="Order"/>
    <n v="51.220100000000002"/>
  </r>
  <r>
    <d v="2024-01-02T00:00:00"/>
    <x v="2"/>
    <x v="1"/>
    <n v="1"/>
    <n v="1"/>
    <x v="3"/>
    <x v="57"/>
    <x v="1"/>
    <s v="Clear"/>
    <n v="28"/>
    <x v="270"/>
    <n v="91"/>
    <n v="7"/>
    <n v="83.03"/>
    <n v="62.737000000000002"/>
    <n v="23.3887"/>
    <n v="17.672394366197199"/>
    <n v="11.861428571428601"/>
    <n v="0.91241758241758197"/>
    <s v="Order"/>
    <n v="51.245600000000003"/>
  </r>
  <r>
    <d v="2024-01-01T00:00:00"/>
    <x v="2"/>
    <x v="1"/>
    <n v="1"/>
    <n v="1"/>
    <x v="4"/>
    <x v="19"/>
    <x v="1"/>
    <s v="Overcast"/>
    <n v="27"/>
    <x v="203"/>
    <n v="83"/>
    <n v="7"/>
    <n v="62"/>
    <n v="43.491"/>
    <n v="18.5075"/>
    <n v="12.982388059701499"/>
    <n v="8.8571428571428594"/>
    <n v="0.74698795180722899"/>
    <s v="Order"/>
    <n v="50.323"/>
  </r>
  <r>
    <d v="2023-12-29T00:00:00"/>
    <x v="3"/>
    <x v="2"/>
    <n v="14"/>
    <n v="53"/>
    <x v="0"/>
    <x v="37"/>
    <x v="2"/>
    <s v="Fog"/>
    <n v="36"/>
    <x v="271"/>
    <n v="150"/>
    <n v="14"/>
    <n v="178.29"/>
    <n v="144.84"/>
    <n v="26.219100000000001"/>
    <n v="21.3"/>
    <n v="12.734999999999999"/>
    <n v="1.1886000000000001"/>
    <s v="Order"/>
    <n v="50.498600000000003"/>
  </r>
  <r>
    <d v="2023-12-27T00:00:00"/>
    <x v="3"/>
    <x v="2"/>
    <n v="14"/>
    <n v="53"/>
    <x v="1"/>
    <x v="40"/>
    <x v="2"/>
    <s v="Fog"/>
    <n v="39"/>
    <x v="272"/>
    <n v="80"/>
    <n v="8"/>
    <n v="99.56"/>
    <n v="81.72"/>
    <n v="23.425899999999999"/>
    <n v="19.228235294117599"/>
    <n v="12.445"/>
    <n v="1.2444999999999999"/>
    <s v="Order"/>
    <n v="50.261800000000001"/>
  </r>
  <r>
    <d v="2023-12-24T00:00:00"/>
    <x v="3"/>
    <x v="2"/>
    <n v="13"/>
    <n v="52"/>
    <x v="2"/>
    <x v="81"/>
    <x v="2"/>
    <s v="Overcast"/>
    <n v="43"/>
    <x v="273"/>
    <n v="30"/>
    <n v="2"/>
    <n v="26.08"/>
    <n v="19.39"/>
    <n v="18.2378"/>
    <n v="13.559440559440599"/>
    <n v="13.04"/>
    <n v="0.86933333333333296"/>
    <s v="Order"/>
    <n v="50.786900000000003"/>
  </r>
  <r>
    <d v="2023-12-23T00:00:00"/>
    <x v="3"/>
    <x v="2"/>
    <n v="13"/>
    <n v="52"/>
    <x v="6"/>
    <x v="50"/>
    <x v="2"/>
    <s v="Partially Cloudy"/>
    <n v="32"/>
    <x v="204"/>
    <n v="75"/>
    <n v="7"/>
    <n v="83.1"/>
    <n v="66.375"/>
    <n v="21.753900000000002"/>
    <n v="17.375654450261798"/>
    <n v="11.8714285714286"/>
    <n v="1.1080000000000001"/>
    <s v="Hourly"/>
    <n v="51.285699999999999"/>
  </r>
  <r>
    <d v="2023-12-22T00:00:00"/>
    <x v="3"/>
    <x v="2"/>
    <n v="13"/>
    <n v="52"/>
    <x v="0"/>
    <x v="65"/>
    <x v="2"/>
    <s v="Clear"/>
    <n v="25"/>
    <x v="226"/>
    <n v="92"/>
    <n v="10"/>
    <n v="123.04"/>
    <n v="102.524"/>
    <n v="25.110199999999999"/>
    <n v="20.923265306122399"/>
    <n v="12.304"/>
    <n v="1.33739130434783"/>
    <s v="Order"/>
    <n v="50.362299999999998"/>
  </r>
  <r>
    <d v="2023-12-18T00:00:00"/>
    <x v="3"/>
    <x v="2"/>
    <n v="13"/>
    <n v="52"/>
    <x v="4"/>
    <x v="42"/>
    <x v="2"/>
    <s v="Stormy"/>
    <n v="52"/>
    <x v="274"/>
    <n v="65"/>
    <n v="8"/>
    <n v="87.76"/>
    <n v="73.265000000000001"/>
    <n v="20.174700000000001"/>
    <n v="16.8425287356322"/>
    <n v="10.97"/>
    <n v="1.35015384615385"/>
    <s v="Hourly"/>
    <n v="52.011299999999999"/>
  </r>
  <r>
    <d v="2023-12-16T00:00:00"/>
    <x v="3"/>
    <x v="2"/>
    <n v="12"/>
    <n v="51"/>
    <x v="6"/>
    <x v="72"/>
    <x v="3"/>
    <s v="Clear"/>
    <n v="34"/>
    <x v="107"/>
    <n v="65"/>
    <n v="6"/>
    <n v="64.72"/>
    <n v="50.225000000000001"/>
    <n v="20.677299999999999"/>
    <n v="16.0463258785942"/>
    <n v="10.786666666666701"/>
    <n v="0.99569230769230799"/>
    <s v="Hourly"/>
    <n v="51.646799999999999"/>
  </r>
  <r>
    <d v="2023-12-14T00:00:00"/>
    <x v="3"/>
    <x v="2"/>
    <n v="12"/>
    <n v="51"/>
    <x v="5"/>
    <x v="64"/>
    <x v="2"/>
    <s v="Partially Cloudy"/>
    <n v="28"/>
    <x v="275"/>
    <n v="144"/>
    <n v="12"/>
    <n v="166.66"/>
    <n v="134.548"/>
    <n v="26.665600000000001"/>
    <n v="21.52768"/>
    <n v="13.8883333333333"/>
    <n v="1.15736111111111"/>
    <s v="Order"/>
    <n v="52.094000000000001"/>
  </r>
  <r>
    <d v="2023-12-09T00:00:00"/>
    <x v="3"/>
    <x v="2"/>
    <n v="11"/>
    <n v="50"/>
    <x v="6"/>
    <x v="52"/>
    <x v="0"/>
    <s v="Partially Cloudy"/>
    <n v="34"/>
    <x v="254"/>
    <n v="36"/>
    <n v="7"/>
    <n v="38.44"/>
    <n v="30.411999999999999"/>
    <n v="17.084399999999999"/>
    <n v="13.516444444444399"/>
    <n v="5.4914285714285702"/>
    <n v="1.0677777777777799"/>
    <s v="Hourly"/>
    <n v="52.781599999999997"/>
  </r>
  <r>
    <d v="2023-12-08T00:00:00"/>
    <x v="3"/>
    <x v="2"/>
    <n v="11"/>
    <n v="50"/>
    <x v="0"/>
    <x v="40"/>
    <x v="1"/>
    <s v="Partially Cloudy"/>
    <n v="27"/>
    <x v="261"/>
    <n v="74"/>
    <n v="6"/>
    <n v="54.34"/>
    <n v="37.838000000000001"/>
    <n v="17.642900000000001"/>
    <n v="12.2850649350649"/>
    <n v="9.0566666666666702"/>
    <n v="0.73432432432432404"/>
    <s v="Order"/>
    <n v="53.6342"/>
  </r>
  <r>
    <d v="2023-12-07T00:00:00"/>
    <x v="3"/>
    <x v="2"/>
    <n v="11"/>
    <n v="50"/>
    <x v="5"/>
    <x v="37"/>
    <x v="2"/>
    <s v="Clear"/>
    <n v="16"/>
    <x v="272"/>
    <n v="102"/>
    <n v="9"/>
    <n v="112.88"/>
    <n v="90.134"/>
    <n v="26.56"/>
    <n v="21.207999999999998"/>
    <n v="12.5422222222222"/>
    <n v="1.10666666666667"/>
    <s v="Order"/>
    <n v="53.0304"/>
  </r>
  <r>
    <d v="2023-12-06T00:00:00"/>
    <x v="3"/>
    <x v="2"/>
    <n v="11"/>
    <n v="50"/>
    <x v="1"/>
    <x v="64"/>
    <x v="1"/>
    <s v="Clear"/>
    <n v="21"/>
    <x v="276"/>
    <n v="80"/>
    <n v="7"/>
    <n v="76.150000000000006"/>
    <n v="58.31"/>
    <n v="19.779199999999999"/>
    <n v="15.1454545454545"/>
    <n v="10.8785714285714"/>
    <n v="0.95187500000000003"/>
    <s v="Hourly"/>
    <n v="53.332000000000001"/>
  </r>
  <r>
    <d v="2023-11-30T00:00:00"/>
    <x v="3"/>
    <x v="2"/>
    <n v="10"/>
    <n v="49"/>
    <x v="5"/>
    <x v="64"/>
    <x v="1"/>
    <s v="Partially Cloudy"/>
    <n v="37"/>
    <x v="197"/>
    <n v="99"/>
    <n v="8"/>
    <n v="68.13"/>
    <n v="46.052999999999997"/>
    <n v="16.947800000000001"/>
    <n v="11.4559701492537"/>
    <n v="8.5162499999999994"/>
    <n v="0.68818181818181801"/>
    <s v="Hourly"/>
    <n v="57.529200000000003"/>
  </r>
  <r>
    <d v="2023-11-28T00:00:00"/>
    <x v="3"/>
    <x v="2"/>
    <n v="10"/>
    <n v="49"/>
    <x v="3"/>
    <x v="63"/>
    <x v="2"/>
    <s v="Clear"/>
    <n v="30"/>
    <x v="134"/>
    <n v="142"/>
    <n v="8"/>
    <n v="153.41"/>
    <n v="121.744"/>
    <n v="30.8672"/>
    <n v="24.495774647887298"/>
    <n v="19.17625"/>
    <n v="1.08035211267606"/>
    <s v="Order"/>
    <n v="59.161900000000003"/>
  </r>
  <r>
    <d v="2023-11-27T00:00:00"/>
    <x v="3"/>
    <x v="2"/>
    <n v="10"/>
    <n v="49"/>
    <x v="4"/>
    <x v="72"/>
    <x v="2"/>
    <s v="Overcast"/>
    <n v="43"/>
    <x v="277"/>
    <n v="108"/>
    <n v="9"/>
    <n v="112.21"/>
    <n v="88.126000000000005"/>
    <n v="27.169499999999999"/>
    <n v="21.338014527845001"/>
    <n v="12.467777777777799"/>
    <n v="1.03898148148148"/>
    <s v="Order"/>
    <n v="58.636200000000002"/>
  </r>
  <r>
    <d v="2023-11-24T00:00:00"/>
    <x v="3"/>
    <x v="2"/>
    <n v="9"/>
    <n v="48"/>
    <x v="0"/>
    <x v="52"/>
    <x v="2"/>
    <s v="Clear"/>
    <n v="25"/>
    <x v="99"/>
    <n v="158"/>
    <n v="15"/>
    <n v="178.75"/>
    <n v="143.51599999999999"/>
    <n v="27.290099999999999"/>
    <n v="21.910839694656499"/>
    <n v="11.9166666666667"/>
    <n v="1.13132911392405"/>
    <s v="Order"/>
    <n v="58.288800000000002"/>
  </r>
  <r>
    <d v="2023-11-22T00:00:00"/>
    <x v="3"/>
    <x v="2"/>
    <n v="9"/>
    <n v="48"/>
    <x v="1"/>
    <x v="64"/>
    <x v="2"/>
    <s v="Rain"/>
    <n v="37"/>
    <x v="278"/>
    <n v="38"/>
    <n v="3"/>
    <n v="32.18"/>
    <n v="23.706"/>
    <n v="17.584700000000002"/>
    <n v="12.954098360655699"/>
    <n v="10.7266666666667"/>
    <n v="0.84684210526315795"/>
    <s v="Order"/>
    <n v="59.895099999999999"/>
  </r>
  <r>
    <d v="2023-11-21T00:00:00"/>
    <x v="3"/>
    <x v="2"/>
    <n v="9"/>
    <n v="48"/>
    <x v="3"/>
    <x v="67"/>
    <x v="0"/>
    <s v="Overcast"/>
    <n v="30"/>
    <x v="197"/>
    <n v="71"/>
    <n v="9"/>
    <n v="73.5"/>
    <n v="57.667000000000002"/>
    <n v="18.2836"/>
    <n v="14.345024875621901"/>
    <n v="8.1666666666666607"/>
    <n v="1.03521126760563"/>
    <s v="Hourly"/>
    <n v="60.156199999999998"/>
  </r>
  <r>
    <d v="2023-11-20T00:00:00"/>
    <x v="3"/>
    <x v="2"/>
    <n v="9"/>
    <n v="48"/>
    <x v="4"/>
    <x v="37"/>
    <x v="3"/>
    <s v="Clear"/>
    <n v="28"/>
    <x v="243"/>
    <n v="137"/>
    <n v="10"/>
    <n v="113.41"/>
    <n v="82.858999999999995"/>
    <n v="22.4574"/>
    <n v="16.4077227722772"/>
    <n v="11.340999999999999"/>
    <n v="0.82781021897810203"/>
    <s v="Hourly"/>
    <n v="60.257399999999997"/>
  </r>
  <r>
    <d v="2023-11-17T00:00:00"/>
    <x v="3"/>
    <x v="2"/>
    <n v="8"/>
    <n v="47"/>
    <x v="0"/>
    <x v="40"/>
    <x v="2"/>
    <s v="Overcast"/>
    <n v="55"/>
    <x v="279"/>
    <n v="17"/>
    <n v="2"/>
    <n v="16.77"/>
    <n v="12.978999999999999"/>
    <n v="19.2759"/>
    <n v="14.918390804597699"/>
    <n v="8.3849999999999998"/>
    <n v="0.98647058823529399"/>
    <s v="Order"/>
    <n v="59.2239"/>
  </r>
  <r>
    <d v="2023-11-16T00:00:00"/>
    <x v="3"/>
    <x v="2"/>
    <n v="8"/>
    <n v="47"/>
    <x v="5"/>
    <x v="63"/>
    <x v="0"/>
    <s v="Clear"/>
    <n v="39"/>
    <x v="280"/>
    <n v="22"/>
    <n v="5"/>
    <n v="27.4"/>
    <n v="22.494"/>
    <n v="12.744199999999999"/>
    <n v="10.462325581395399"/>
    <n v="5.48"/>
    <n v="1.24545454545455"/>
    <s v="Hourly"/>
    <n v="60.195900000000002"/>
  </r>
  <r>
    <d v="2023-11-14T00:00:00"/>
    <x v="3"/>
    <x v="2"/>
    <n v="8"/>
    <n v="47"/>
    <x v="3"/>
    <x v="27"/>
    <x v="2"/>
    <s v="Clear"/>
    <n v="36"/>
    <x v="3"/>
    <n v="65.3"/>
    <n v="8"/>
    <n v="81.62"/>
    <n v="67.058099999999996"/>
    <n v="22.8627"/>
    <n v="18.783781512605"/>
    <n v="10.202500000000001"/>
    <n v="1.24992343032159"/>
    <s v="Hourly"/>
    <n v="62.200899999999997"/>
  </r>
  <r>
    <d v="2023-11-13T00:00:00"/>
    <x v="3"/>
    <x v="2"/>
    <n v="8"/>
    <n v="47"/>
    <x v="4"/>
    <x v="59"/>
    <x v="3"/>
    <s v="Partially Cloudy"/>
    <n v="30"/>
    <x v="82"/>
    <n v="115"/>
    <n v="10"/>
    <n v="144.07"/>
    <n v="118.425"/>
    <n v="28.4162"/>
    <n v="23.357988165680499"/>
    <n v="14.407"/>
    <n v="1.2527826086956499"/>
    <s v="Order"/>
    <n v="62.754399999999997"/>
  </r>
  <r>
    <d v="2023-11-12T00:00:00"/>
    <x v="3"/>
    <x v="2"/>
    <n v="7"/>
    <n v="46"/>
    <x v="2"/>
    <x v="5"/>
    <x v="2"/>
    <s v="Clear"/>
    <n v="28"/>
    <x v="213"/>
    <n v="119"/>
    <n v="16"/>
    <n v="159.19"/>
    <n v="132.65299999999999"/>
    <n v="25.675799999999999"/>
    <n v="21.3956451612903"/>
    <n v="9.9493749999999999"/>
    <n v="1.3377310924369701"/>
    <s v="Hourly"/>
    <n v="61.153700000000001"/>
  </r>
  <r>
    <d v="2023-11-11T00:00:00"/>
    <x v="3"/>
    <x v="2"/>
    <n v="7"/>
    <n v="46"/>
    <x v="6"/>
    <x v="52"/>
    <x v="1"/>
    <s v="Partially Cloudy"/>
    <n v="32"/>
    <x v="114"/>
    <n v="110"/>
    <n v="13"/>
    <n v="113.5"/>
    <n v="88.97"/>
    <n v="20.940999999999999"/>
    <n v="16.415129151291499"/>
    <n v="8.7307692307692299"/>
    <n v="1.03181818181818"/>
    <s v="Order"/>
    <n v="59.384900000000002"/>
  </r>
  <r>
    <d v="2023-11-10T00:00:00"/>
    <x v="3"/>
    <x v="2"/>
    <n v="7"/>
    <n v="46"/>
    <x v="0"/>
    <x v="27"/>
    <x v="0"/>
    <s v="Overcast"/>
    <n v="43"/>
    <x v="196"/>
    <n v="117"/>
    <n v="15"/>
    <n v="138.36000000000001"/>
    <n v="112.26900000000001"/>
    <n v="21.9619"/>
    <n v="17.820476190476199"/>
    <n v="9.2240000000000002"/>
    <n v="1.1825641025641001"/>
    <s v="Hourly"/>
    <n v="58.123800000000003"/>
  </r>
  <r>
    <d v="2023-11-08T00:00:00"/>
    <x v="3"/>
    <x v="2"/>
    <n v="7"/>
    <n v="46"/>
    <x v="1"/>
    <x v="67"/>
    <x v="2"/>
    <s v="Clear"/>
    <n v="34"/>
    <x v="236"/>
    <n v="128"/>
    <n v="9"/>
    <n v="107.86"/>
    <n v="79.316000000000003"/>
    <n v="20.822399999999998"/>
    <n v="15.3119691119691"/>
    <n v="11.984444444444399"/>
    <n v="0.84265625"/>
    <s v="Hourly"/>
    <n v="57.1616"/>
  </r>
  <r>
    <d v="2023-11-06T00:00:00"/>
    <x v="3"/>
    <x v="2"/>
    <n v="7"/>
    <n v="46"/>
    <x v="4"/>
    <x v="72"/>
    <x v="2"/>
    <s v="Overcast"/>
    <n v="39"/>
    <x v="135"/>
    <n v="103"/>
    <n v="8"/>
    <n v="98.53"/>
    <n v="75.561000000000007"/>
    <n v="24.449100000000001"/>
    <n v="18.749627791563299"/>
    <n v="12.31625"/>
    <n v="0.95660194174757296"/>
    <s v="Order"/>
    <n v="56.6"/>
  </r>
  <r>
    <d v="2023-11-03T00:00:00"/>
    <x v="3"/>
    <x v="2"/>
    <n v="6"/>
    <n v="45"/>
    <x v="0"/>
    <x v="43"/>
    <x v="2"/>
    <s v="Clear"/>
    <n v="48"/>
    <x v="66"/>
    <n v="119"/>
    <n v="9"/>
    <n v="116.17"/>
    <n v="89.632999999999996"/>
    <n v="24.875800000000002"/>
    <n v="19.193361884368301"/>
    <n v="12.907777777777801"/>
    <n v="0.97621848739495798"/>
    <s v="Order"/>
    <n v="58.519599999999997"/>
  </r>
  <r>
    <d v="2023-11-01T00:00:00"/>
    <x v="3"/>
    <x v="2"/>
    <n v="6"/>
    <n v="45"/>
    <x v="1"/>
    <x v="72"/>
    <x v="2"/>
    <s v="Clear"/>
    <n v="36"/>
    <x v="28"/>
    <n v="99"/>
    <n v="10"/>
    <n v="99.39"/>
    <n v="77.313000000000002"/>
    <n v="24.123799999999999"/>
    <n v="18.7652912621359"/>
    <n v="9.9390000000000001"/>
    <n v="1.0039393939393899"/>
    <s v="Hourly"/>
    <n v="60.178400000000003"/>
  </r>
  <r>
    <d v="2023-10-31T00:00:00"/>
    <x v="3"/>
    <x v="2"/>
    <n v="6"/>
    <n v="45"/>
    <x v="3"/>
    <x v="42"/>
    <x v="2"/>
    <s v="Overcast"/>
    <n v="36"/>
    <x v="13"/>
    <n v="88"/>
    <n v="10"/>
    <n v="93.91"/>
    <n v="74.286000000000001"/>
    <n v="23.654900000000001"/>
    <n v="18.711838790931999"/>
    <n v="9.391"/>
    <n v="1.06715909090909"/>
    <s v="Hourly"/>
    <n v="59.074100000000001"/>
  </r>
  <r>
    <d v="2023-10-30T00:00:00"/>
    <x v="3"/>
    <x v="2"/>
    <n v="6"/>
    <n v="45"/>
    <x v="4"/>
    <x v="47"/>
    <x v="2"/>
    <s v="Overcast"/>
    <n v="36"/>
    <x v="22"/>
    <n v="98"/>
    <n v="10"/>
    <n v="128.74"/>
    <n v="106.886"/>
    <n v="28.736599999999999"/>
    <n v="23.858482142857099"/>
    <n v="12.874000000000001"/>
    <n v="1.3136734693877601"/>
    <s v="Order"/>
    <n v="58.771700000000003"/>
  </r>
  <r>
    <d v="2023-10-29T00:00:00"/>
    <x v="3"/>
    <x v="2"/>
    <n v="5"/>
    <n v="44"/>
    <x v="2"/>
    <x v="81"/>
    <x v="2"/>
    <s v="Overcast"/>
    <n v="45"/>
    <x v="153"/>
    <n v="126"/>
    <n v="12"/>
    <n v="163.96"/>
    <n v="135.86199999999999"/>
    <n v="30.761700000000001"/>
    <n v="25.490056285178198"/>
    <n v="13.6633333333333"/>
    <n v="1.30126984126984"/>
    <s v="Order"/>
    <n v="57.341200000000001"/>
  </r>
  <r>
    <d v="2023-10-28T00:00:00"/>
    <x v="3"/>
    <x v="2"/>
    <n v="5"/>
    <n v="44"/>
    <x v="6"/>
    <x v="76"/>
    <x v="2"/>
    <s v="Clear"/>
    <n v="66"/>
    <x v="281"/>
    <n v="126"/>
    <n v="10"/>
    <n v="147.19999999999999"/>
    <n v="119.102"/>
    <n v="22.202100000000002"/>
    <n v="17.9641025641026"/>
    <n v="14.72"/>
    <n v="1.1682539682539701"/>
    <s v="Order"/>
    <n v="56.685000000000002"/>
  </r>
  <r>
    <d v="2023-10-25T00:00:00"/>
    <x v="3"/>
    <x v="2"/>
    <n v="5"/>
    <n v="44"/>
    <x v="1"/>
    <x v="59"/>
    <x v="3"/>
    <s v="Clear"/>
    <n v="61"/>
    <x v="127"/>
    <n v="94"/>
    <n v="6"/>
    <n v="50.75"/>
    <n v="29.788"/>
    <n v="14.4176"/>
    <n v="8.4625000000000004"/>
    <n v="8.4583333333333393"/>
    <n v="0.53989361702127703"/>
    <s v="Order"/>
    <n v="57.250300000000003"/>
  </r>
  <r>
    <d v="2023-10-24T00:00:00"/>
    <x v="3"/>
    <x v="2"/>
    <n v="5"/>
    <n v="44"/>
    <x v="3"/>
    <x v="50"/>
    <x v="2"/>
    <s v="Overcast"/>
    <n v="50"/>
    <x v="282"/>
    <n v="64"/>
    <n v="10"/>
    <n v="89.18"/>
    <n v="74.908000000000001"/>
    <n v="26.780799999999999"/>
    <n v="22.494894894894902"/>
    <n v="8.9179999999999993"/>
    <n v="1.3934375000000001"/>
    <s v="Order"/>
    <n v="56.686399999999999"/>
  </r>
  <r>
    <d v="2023-10-23T00:00:00"/>
    <x v="3"/>
    <x v="2"/>
    <n v="5"/>
    <n v="44"/>
    <x v="4"/>
    <x v="42"/>
    <x v="2"/>
    <s v="Partially Cloudy"/>
    <n v="48"/>
    <x v="283"/>
    <n v="54"/>
    <n v="9"/>
    <n v="93.95"/>
    <n v="81.908000000000001"/>
    <n v="28.6433"/>
    <n v="24.971951219512199"/>
    <n v="10.438888888888901"/>
    <n v="1.73981481481482"/>
    <s v="Order"/>
    <n v="55.695599999999999"/>
  </r>
  <r>
    <d v="2023-10-18T00:00:00"/>
    <x v="3"/>
    <x v="2"/>
    <n v="4"/>
    <n v="43"/>
    <x v="1"/>
    <x v="2"/>
    <x v="2"/>
    <s v="Overcast"/>
    <n v="54"/>
    <x v="284"/>
    <n v="111"/>
    <n v="9"/>
    <n v="115.52"/>
    <n v="90.766999999999996"/>
    <n v="25.671099999999999"/>
    <n v="20.170444444444399"/>
    <n v="12.835555555555599"/>
    <n v="1.0407207207207201"/>
    <s v="Order"/>
    <n v="57.367699999999999"/>
  </r>
  <r>
    <d v="2023-10-17T00:00:00"/>
    <x v="3"/>
    <x v="2"/>
    <n v="4"/>
    <n v="43"/>
    <x v="3"/>
    <x v="52"/>
    <x v="1"/>
    <s v="Overcast"/>
    <n v="52"/>
    <x v="114"/>
    <n v="92"/>
    <n v="15"/>
    <n v="126.25"/>
    <n v="105.73399999999999"/>
    <n v="23.293399999999998"/>
    <n v="19.5081180811808"/>
    <n v="8.4166666666666607"/>
    <n v="1.3722826086956501"/>
    <s v="Order"/>
    <n v="56.084099999999999"/>
  </r>
  <r>
    <d v="2023-10-15T00:00:00"/>
    <x v="3"/>
    <x v="2"/>
    <n v="3"/>
    <n v="42"/>
    <x v="2"/>
    <x v="67"/>
    <x v="2"/>
    <s v="Overcast"/>
    <n v="54"/>
    <x v="285"/>
    <n v="33"/>
    <n v="4"/>
    <n v="50.75"/>
    <n v="43.390999999999998"/>
    <n v="30.208300000000001"/>
    <n v="25.8279761904762"/>
    <n v="12.6875"/>
    <n v="1.5378787878787901"/>
    <s v="Order"/>
    <n v="55.9679"/>
  </r>
  <r>
    <d v="2023-10-13T00:00:00"/>
    <x v="3"/>
    <x v="2"/>
    <n v="3"/>
    <n v="42"/>
    <x v="0"/>
    <x v="40"/>
    <x v="3"/>
    <s v="Clear"/>
    <n v="54"/>
    <x v="286"/>
    <n v="127"/>
    <n v="11"/>
    <n v="135.33000000000001"/>
    <n v="107.009"/>
    <n v="23.867699999999999"/>
    <n v="18.872839506172799"/>
    <n v="12.302727272727299"/>
    <n v="1.0655905511810999"/>
    <s v="Hourly"/>
    <n v="57.871000000000002"/>
  </r>
  <r>
    <d v="2023-10-10T00:00:00"/>
    <x v="3"/>
    <x v="2"/>
    <n v="3"/>
    <n v="42"/>
    <x v="3"/>
    <x v="53"/>
    <x v="2"/>
    <s v="Overcast"/>
    <n v="55"/>
    <x v="36"/>
    <n v="48"/>
    <n v="7"/>
    <n v="62.44"/>
    <n v="51.735999999999997"/>
    <n v="16.134399999999999"/>
    <n v="13.3684754521964"/>
    <n v="8.92"/>
    <n v="1.30083333333333"/>
    <s v="Order"/>
    <n v="59.726999999999997"/>
  </r>
  <r>
    <d v="2023-10-09T00:00:00"/>
    <x v="3"/>
    <x v="2"/>
    <n v="3"/>
    <n v="42"/>
    <x v="4"/>
    <x v="40"/>
    <x v="2"/>
    <s v="Clear"/>
    <n v="52"/>
    <x v="287"/>
    <n v="69"/>
    <n v="10"/>
    <n v="121.93"/>
    <n v="106.54300000000001"/>
    <n v="27.901599999999998"/>
    <n v="24.380549199084701"/>
    <n v="12.193"/>
    <n v="1.7671014492753601"/>
    <s v="Order"/>
    <n v="60.188600000000001"/>
  </r>
  <r>
    <d v="2023-10-06T00:00:00"/>
    <x v="3"/>
    <x v="2"/>
    <n v="2"/>
    <n v="41"/>
    <x v="0"/>
    <x v="37"/>
    <x v="2"/>
    <s v="Partially Cloudy"/>
    <n v="63"/>
    <x v="5"/>
    <n v="35"/>
    <n v="5"/>
    <n v="47.39"/>
    <n v="39.585000000000001"/>
    <n v="26.3278"/>
    <n v="21.991666666666699"/>
    <n v="9.4779999999999998"/>
    <n v="1.3540000000000001"/>
    <s v="Hourly"/>
    <n v="61.053800000000003"/>
  </r>
  <r>
    <d v="2023-10-05T00:00:00"/>
    <x v="3"/>
    <x v="2"/>
    <n v="2"/>
    <n v="41"/>
    <x v="5"/>
    <x v="50"/>
    <x v="2"/>
    <s v="Overcast"/>
    <n v="63"/>
    <x v="150"/>
    <n v="88"/>
    <n v="9"/>
    <n v="94.3"/>
    <n v="74.676000000000002"/>
    <n v="23.1127"/>
    <n v="18.3029411764706"/>
    <n v="10.477777777777799"/>
    <n v="1.0715909090909099"/>
    <s v="Order"/>
    <n v="61.607599999999998"/>
  </r>
  <r>
    <d v="2023-10-02T00:00:00"/>
    <x v="3"/>
    <x v="2"/>
    <n v="2"/>
    <n v="41"/>
    <x v="4"/>
    <x v="37"/>
    <x v="0"/>
    <s v="Clear"/>
    <n v="64"/>
    <x v="70"/>
    <n v="106"/>
    <n v="10"/>
    <n v="77.8"/>
    <n v="54.161999999999999"/>
    <n v="14.904199999999999"/>
    <n v="10.3758620689655"/>
    <n v="7.78"/>
    <n v="0.73396226415094301"/>
    <s v="Hourly"/>
    <n v="63.844999999999999"/>
  </r>
  <r>
    <d v="2023-09-29T00:00:00"/>
    <x v="3"/>
    <x v="2"/>
    <n v="1"/>
    <n v="40"/>
    <x v="0"/>
    <x v="65"/>
    <x v="2"/>
    <s v="Partially Cloudy"/>
    <n v="61"/>
    <x v="288"/>
    <n v="145"/>
    <n v="14"/>
    <n v="156.97999999999999"/>
    <n v="124.645"/>
    <n v="23.360099999999999"/>
    <n v="18.548363095238098"/>
    <n v="11.2128571428571"/>
    <n v="1.08262068965517"/>
    <s v="Hourly"/>
    <n v="62.980600000000003"/>
  </r>
  <r>
    <d v="2023-09-28T00:00:00"/>
    <x v="3"/>
    <x v="2"/>
    <n v="1"/>
    <n v="40"/>
    <x v="5"/>
    <x v="37"/>
    <x v="1"/>
    <s v="Partially Cloudy"/>
    <n v="55"/>
    <x v="289"/>
    <n v="48"/>
    <n v="2"/>
    <n v="24.99"/>
    <n v="14.286"/>
    <n v="19.992000000000001"/>
    <n v="11.428800000000001"/>
    <n v="12.494999999999999"/>
    <n v="0.520625"/>
    <s v="Order"/>
    <n v="61.2363"/>
  </r>
  <r>
    <d v="2023-09-27T00:00:00"/>
    <x v="3"/>
    <x v="2"/>
    <n v="1"/>
    <n v="40"/>
    <x v="1"/>
    <x v="64"/>
    <x v="2"/>
    <s v="Clear"/>
    <n v="63"/>
    <x v="111"/>
    <n v="81"/>
    <n v="7"/>
    <n v="61.66"/>
    <n v="43.597000000000001"/>
    <n v="19.389900000000001"/>
    <n v="13.709748427673"/>
    <n v="8.8085714285714296"/>
    <n v="0.761234567901234"/>
    <s v="Hourly"/>
    <n v="60.9587"/>
  </r>
  <r>
    <d v="2023-09-26T00:00:00"/>
    <x v="3"/>
    <x v="2"/>
    <n v="1"/>
    <n v="40"/>
    <x v="3"/>
    <x v="47"/>
    <x v="0"/>
    <s v="Clear"/>
    <n v="61"/>
    <x v="20"/>
    <n v="63"/>
    <n v="8"/>
    <n v="60.17"/>
    <n v="46.121000000000002"/>
    <n v="17.191400000000002"/>
    <n v="13.177428571428599"/>
    <n v="7.5212500000000002"/>
    <n v="0.95507936507936497"/>
    <s v="Hourly"/>
    <n v="60.273600000000002"/>
  </r>
  <r>
    <d v="2023-09-25T00:00:00"/>
    <x v="3"/>
    <x v="2"/>
    <n v="1"/>
    <n v="40"/>
    <x v="4"/>
    <x v="50"/>
    <x v="2"/>
    <s v="Clear"/>
    <n v="59"/>
    <x v="290"/>
    <n v="75"/>
    <n v="5"/>
    <n v="70.97"/>
    <n v="54.244999999999997"/>
    <n v="24.3048"/>
    <n v="18.5770547945205"/>
    <n v="14.194000000000001"/>
    <n v="0.94626666666666703"/>
    <s v="Order"/>
    <n v="59.604999999999997"/>
  </r>
  <r>
    <d v="2023-09-23T00:00:00"/>
    <x v="3"/>
    <x v="3"/>
    <n v="13"/>
    <n v="39"/>
    <x v="6"/>
    <x v="97"/>
    <x v="0"/>
    <s v="Clear"/>
    <n v="57"/>
    <x v="291"/>
    <n v="126"/>
    <n v="26"/>
    <n v="213.76"/>
    <n v="185.66200000000001"/>
    <n v="22.6921"/>
    <n v="19.7093418259023"/>
    <n v="8.2215384615384597"/>
    <n v="1.6965079365079401"/>
    <s v="Order"/>
    <n v="58.816400000000002"/>
  </r>
  <r>
    <d v="2023-09-22T00:00:00"/>
    <x v="3"/>
    <x v="3"/>
    <n v="13"/>
    <n v="39"/>
    <x v="0"/>
    <x v="64"/>
    <x v="2"/>
    <s v="Clear"/>
    <n v="59"/>
    <x v="292"/>
    <n v="14"/>
    <n v="1"/>
    <n v="11.5"/>
    <n v="8.3780000000000001"/>
    <n v="18.254000000000001"/>
    <n v="13.298412698412699"/>
    <n v="11.5"/>
    <n v="0.82142857142857095"/>
    <s v="Order"/>
    <n v="56.441299999999998"/>
  </r>
  <r>
    <d v="2023-09-21T00:00:00"/>
    <x v="3"/>
    <x v="3"/>
    <n v="13"/>
    <n v="39"/>
    <x v="5"/>
    <x v="40"/>
    <x v="1"/>
    <s v="Partially Cloudy"/>
    <n v="63"/>
    <x v="209"/>
    <n v="71"/>
    <n v="5"/>
    <n v="46.19"/>
    <n v="30.356999999999999"/>
    <n v="18.113700000000001"/>
    <n v="11.9047058823529"/>
    <n v="9.2379999999999995"/>
    <n v="0.65056338028169003"/>
    <s v="Order"/>
    <n v="56.313600000000001"/>
  </r>
  <r>
    <d v="2023-09-19T00:00:00"/>
    <x v="3"/>
    <x v="3"/>
    <n v="13"/>
    <n v="39"/>
    <x v="3"/>
    <x v="27"/>
    <x v="3"/>
    <s v="Clear"/>
    <n v="63"/>
    <x v="269"/>
    <n v="87"/>
    <n v="6"/>
    <n v="54.95"/>
    <n v="35.548999999999999"/>
    <n v="14.7715"/>
    <n v="9.5561827956989198"/>
    <n v="9.1583333333333297"/>
    <n v="0.63160919540229898"/>
    <s v="Order"/>
    <n v="57.016599999999997"/>
  </r>
  <r>
    <d v="2023-09-16T00:00:00"/>
    <x v="3"/>
    <x v="3"/>
    <n v="12"/>
    <n v="38"/>
    <x v="6"/>
    <x v="5"/>
    <x v="2"/>
    <s v="Rain"/>
    <n v="66"/>
    <x v="293"/>
    <n v="109"/>
    <n v="10"/>
    <n v="104.97"/>
    <n v="80.662999999999997"/>
    <n v="20.303699999999999"/>
    <n v="15.602127659574499"/>
    <n v="10.497"/>
    <n v="0.96302752293577998"/>
    <s v="Hourly"/>
    <n v="58.256"/>
  </r>
  <r>
    <d v="2023-09-14T00:00:00"/>
    <x v="3"/>
    <x v="3"/>
    <n v="12"/>
    <n v="38"/>
    <x v="5"/>
    <x v="65"/>
    <x v="2"/>
    <s v="Clear"/>
    <n v="66"/>
    <x v="294"/>
    <n v="22"/>
    <n v="1"/>
    <n v="21.98"/>
    <n v="17.074000000000002"/>
    <n v="24.4222"/>
    <n v="18.971111111111099"/>
    <n v="21.98"/>
    <n v="0.99909090909090903"/>
    <s v="Order"/>
    <n v="57.089700000000001"/>
  </r>
  <r>
    <d v="2023-09-13T00:00:00"/>
    <x v="3"/>
    <x v="3"/>
    <n v="12"/>
    <n v="38"/>
    <x v="1"/>
    <x v="37"/>
    <x v="2"/>
    <s v="Overcast"/>
    <n v="70"/>
    <x v="270"/>
    <n v="79"/>
    <n v="8"/>
    <n v="90"/>
    <n v="72.382999999999996"/>
    <n v="25.3521"/>
    <n v="20.389577464788701"/>
    <n v="11.25"/>
    <n v="1.13924050632911"/>
    <s v="Order"/>
    <n v="56.845399999999998"/>
  </r>
  <r>
    <d v="2023-09-11T00:00:00"/>
    <x v="3"/>
    <x v="3"/>
    <n v="12"/>
    <n v="38"/>
    <x v="4"/>
    <x v="53"/>
    <x v="2"/>
    <s v="Rain"/>
    <n v="72"/>
    <x v="211"/>
    <n v="124"/>
    <n v="10"/>
    <n v="116.56"/>
    <n v="88.908000000000001"/>
    <n v="25.4498"/>
    <n v="19.412227074235801"/>
    <n v="11.656000000000001"/>
    <n v="0.94"/>
    <s v="Order"/>
    <n v="55.845399999999998"/>
  </r>
  <r>
    <d v="2023-09-10T00:00:00"/>
    <x v="3"/>
    <x v="3"/>
    <n v="11"/>
    <n v="37"/>
    <x v="2"/>
    <x v="65"/>
    <x v="1"/>
    <s v="Clear &amp; Humid"/>
    <n v="64"/>
    <x v="34"/>
    <n v="111"/>
    <n v="8"/>
    <n v="115.18"/>
    <n v="90.427000000000007"/>
    <n v="24.7699"/>
    <n v="19.446666666666701"/>
    <n v="14.397500000000001"/>
    <n v="1.0376576576576599"/>
    <s v="Order"/>
    <n v="54.5503"/>
  </r>
  <r>
    <d v="2023-09-08T00:00:00"/>
    <x v="3"/>
    <x v="3"/>
    <n v="11"/>
    <n v="37"/>
    <x v="0"/>
    <x v="1"/>
    <x v="2"/>
    <s v="Stormy"/>
    <n v="79"/>
    <x v="172"/>
    <n v="84"/>
    <n v="11"/>
    <n v="140.02000000000001"/>
    <n v="121.288"/>
    <n v="26.9269"/>
    <n v="23.324615384615399"/>
    <n v="12.7290909090909"/>
    <n v="1.6669047619047599"/>
    <s v="Order"/>
    <n v="53.270600000000002"/>
  </r>
  <r>
    <d v="2023-09-07T00:00:00"/>
    <x v="3"/>
    <x v="3"/>
    <n v="11"/>
    <n v="37"/>
    <x v="5"/>
    <x v="63"/>
    <x v="1"/>
    <s v="Clear &amp; Humid"/>
    <n v="75"/>
    <x v="64"/>
    <n v="107"/>
    <n v="13"/>
    <n v="134.9"/>
    <n v="111.039"/>
    <n v="25.074300000000001"/>
    <n v="20.639219330854999"/>
    <n v="10.3769230769231"/>
    <n v="1.2607476635514001"/>
    <s v="Order"/>
    <n v="53.034799999999997"/>
  </r>
  <r>
    <d v="2023-09-06T00:00:00"/>
    <x v="3"/>
    <x v="3"/>
    <n v="11"/>
    <n v="37"/>
    <x v="1"/>
    <x v="63"/>
    <x v="2"/>
    <s v="Clear &amp; Humid"/>
    <n v="81"/>
    <x v="12"/>
    <n v="119"/>
    <n v="10"/>
    <n v="145.09"/>
    <n v="118.553"/>
    <n v="30.545300000000001"/>
    <n v="24.958526315789499"/>
    <n v="14.509"/>
    <n v="1.21924369747899"/>
    <s v="Order"/>
    <n v="52.790100000000002"/>
  </r>
  <r>
    <d v="2023-09-02T00:00:00"/>
    <x v="3"/>
    <x v="3"/>
    <n v="10"/>
    <n v="36"/>
    <x v="6"/>
    <x v="99"/>
    <x v="2"/>
    <s v="Clear"/>
    <n v="70"/>
    <x v="295"/>
    <n v="177"/>
    <n v="18"/>
    <n v="173.91"/>
    <n v="134.43899999999999"/>
    <n v="23.565000000000001"/>
    <n v="18.216666666666701"/>
    <n v="9.6616666666666706"/>
    <n v="0.98254237288135604"/>
    <s v="Hourly"/>
    <n v="51.177999999999997"/>
  </r>
  <r>
    <d v="2023-09-01T00:00:00"/>
    <x v="3"/>
    <x v="3"/>
    <n v="10"/>
    <n v="36"/>
    <x v="0"/>
    <x v="99"/>
    <x v="0"/>
    <s v="Clear"/>
    <n v="73"/>
    <x v="36"/>
    <n v="75"/>
    <n v="8"/>
    <n v="63.02"/>
    <n v="46.295000000000002"/>
    <n v="16.284199999999998"/>
    <n v="11.9625322997416"/>
    <n v="7.8775000000000004"/>
    <n v="0.84026666666666705"/>
    <s v="Hourly"/>
    <n v="49.245699999999999"/>
  </r>
  <r>
    <d v="2023-08-31T00:00:00"/>
    <x v="3"/>
    <x v="3"/>
    <n v="10"/>
    <n v="36"/>
    <x v="5"/>
    <x v="63"/>
    <x v="1"/>
    <s v="Clear"/>
    <n v="64"/>
    <x v="296"/>
    <n v="111"/>
    <n v="15"/>
    <n v="152.05000000000001"/>
    <n v="127.297"/>
    <n v="20.409400000000002"/>
    <n v="17.086845637583899"/>
    <n v="10.1366666666667"/>
    <n v="1.3698198198198199"/>
    <s v="Order"/>
    <n v="48.545400000000001"/>
  </r>
  <r>
    <d v="2023-08-30T00:00:00"/>
    <x v="3"/>
    <x v="3"/>
    <n v="10"/>
    <n v="36"/>
    <x v="1"/>
    <x v="72"/>
    <x v="1"/>
    <s v="Clear &amp; Humid"/>
    <n v="72"/>
    <x v="293"/>
    <n v="98"/>
    <n v="10"/>
    <n v="106.1"/>
    <n v="84.245999999999995"/>
    <n v="20.522200000000002"/>
    <n v="16.295164410058"/>
    <n v="10.61"/>
    <n v="1.08265306122449"/>
    <s v="Order"/>
    <n v="48.118000000000002"/>
  </r>
  <r>
    <d v="2023-08-29T00:00:00"/>
    <x v="3"/>
    <x v="3"/>
    <n v="10"/>
    <n v="36"/>
    <x v="3"/>
    <x v="63"/>
    <x v="2"/>
    <s v="Partially Cloudy"/>
    <n v="72"/>
    <x v="204"/>
    <n v="71"/>
    <n v="12"/>
    <n v="80.94"/>
    <n v="65.106999999999999"/>
    <n v="21.188500000000001"/>
    <n v="17.043717277486898"/>
    <n v="6.7450000000000001"/>
    <n v="1.1399999999999999"/>
    <s v="Order"/>
    <n v="48.139099999999999"/>
  </r>
  <r>
    <d v="2023-08-26T00:00:00"/>
    <x v="3"/>
    <x v="3"/>
    <n v="9"/>
    <n v="35"/>
    <x v="6"/>
    <x v="103"/>
    <x v="1"/>
    <s v="Partially cloudy &amp; Humid"/>
    <n v="72"/>
    <x v="297"/>
    <n v="181"/>
    <n v="16"/>
    <n v="149.58000000000001"/>
    <n v="109.217"/>
    <n v="18.627600000000001"/>
    <n v="13.6011207970112"/>
    <n v="9.3487500000000008"/>
    <n v="0.82640883977900603"/>
    <s v="Order"/>
    <n v="47.821800000000003"/>
  </r>
  <r>
    <d v="2023-08-25T00:00:00"/>
    <x v="3"/>
    <x v="3"/>
    <n v="9"/>
    <n v="35"/>
    <x v="0"/>
    <x v="64"/>
    <x v="2"/>
    <s v="Rain"/>
    <n v="66"/>
    <x v="298"/>
    <n v="117"/>
    <n v="13"/>
    <n v="173.74"/>
    <n v="147.649"/>
    <n v="24.714099999999998"/>
    <n v="21.002702702702699"/>
    <n v="13.3646153846154"/>
    <n v="1.48495726495726"/>
    <s v="Order"/>
    <n v="46.159799999999997"/>
  </r>
  <r>
    <d v="2023-08-24T00:00:00"/>
    <x v="3"/>
    <x v="3"/>
    <n v="9"/>
    <n v="35"/>
    <x v="5"/>
    <x v="53"/>
    <x v="1"/>
    <s v="Overcast"/>
    <n v="68"/>
    <x v="257"/>
    <n v="67"/>
    <n v="6"/>
    <n v="55.68"/>
    <n v="40.738999999999997"/>
    <n v="17.132300000000001"/>
    <n v="12.5350769230769"/>
    <n v="9.2799999999999994"/>
    <n v="0.83104477611940297"/>
    <s v="Order"/>
    <n v="44.229300000000002"/>
  </r>
  <r>
    <d v="2023-08-23T00:00:00"/>
    <x v="3"/>
    <x v="3"/>
    <n v="9"/>
    <n v="35"/>
    <x v="1"/>
    <x v="65"/>
    <x v="2"/>
    <s v="Clear"/>
    <n v="73"/>
    <x v="197"/>
    <n v="104"/>
    <n v="8"/>
    <n v="82.61"/>
    <n v="59.417999999999999"/>
    <n v="20.549800000000001"/>
    <n v="14.7805970149254"/>
    <n v="10.32625"/>
    <n v="0.79432692307692299"/>
    <s v="Hourly"/>
    <n v="45.640099999999997"/>
  </r>
  <r>
    <d v="2023-08-20T00:00:00"/>
    <x v="3"/>
    <x v="3"/>
    <n v="8"/>
    <n v="34"/>
    <x v="2"/>
    <x v="86"/>
    <x v="0"/>
    <s v="Clear"/>
    <n v="79"/>
    <x v="181"/>
    <n v="29"/>
    <n v="2"/>
    <n v="20.39"/>
    <n v="13.923"/>
    <n v="14.775399999999999"/>
    <n v="10.0891304347826"/>
    <n v="10.195"/>
    <n v="0.70310344827586202"/>
    <s v="Hourly"/>
    <n v="45.836199999999998"/>
  </r>
  <r>
    <d v="2023-08-19T00:00:00"/>
    <x v="3"/>
    <x v="3"/>
    <n v="8"/>
    <n v="34"/>
    <x v="6"/>
    <x v="86"/>
    <x v="0"/>
    <s v="Overcast"/>
    <n v="68"/>
    <x v="119"/>
    <n v="64"/>
    <n v="15"/>
    <n v="104.25"/>
    <n v="89.977999999999994"/>
    <n v="19.413399999999999"/>
    <n v="16.755679702048401"/>
    <n v="6.95"/>
    <n v="1.62890625"/>
    <s v="Hourly"/>
    <n v="46.613700000000001"/>
  </r>
  <r>
    <d v="2023-08-18T00:00:00"/>
    <x v="3"/>
    <x v="3"/>
    <n v="8"/>
    <n v="34"/>
    <x v="0"/>
    <x v="59"/>
    <x v="3"/>
    <s v="Overcast"/>
    <n v="70"/>
    <x v="170"/>
    <n v="133"/>
    <n v="12"/>
    <n v="110.05"/>
    <n v="80.391000000000005"/>
    <n v="19.651800000000001"/>
    <n v="14.355535714285701"/>
    <n v="9.1708333333333307"/>
    <n v="0.82744360902255598"/>
    <s v="Hourly"/>
    <n v="45.6753"/>
  </r>
  <r>
    <d v="2023-08-17T00:00:00"/>
    <x v="3"/>
    <x v="3"/>
    <n v="8"/>
    <n v="34"/>
    <x v="5"/>
    <x v="10"/>
    <x v="1"/>
    <s v="Overcast"/>
    <n v="66"/>
    <x v="197"/>
    <n v="88"/>
    <n v="11"/>
    <n v="97.8"/>
    <n v="78.176000000000002"/>
    <n v="24.328399999999998"/>
    <n v="19.446766169154198"/>
    <n v="8.8909090909090907"/>
    <n v="1.1113636363636401"/>
    <s v="Hourly"/>
    <n v="44.452599999999997"/>
  </r>
  <r>
    <d v="2023-08-16T00:00:00"/>
    <x v="3"/>
    <x v="3"/>
    <n v="8"/>
    <n v="34"/>
    <x v="1"/>
    <x v="53"/>
    <x v="1"/>
    <s v="Overcast"/>
    <n v="66"/>
    <x v="157"/>
    <n v="95"/>
    <n v="14"/>
    <n v="131.44"/>
    <n v="110.255"/>
    <n v="23.597799999999999"/>
    <n v="19.794434470376999"/>
    <n v="9.3885714285714297"/>
    <n v="1.3835789473684199"/>
    <s v="Order"/>
    <n v="43.365900000000003"/>
  </r>
  <r>
    <d v="2023-08-11T00:00:00"/>
    <x v="3"/>
    <x v="3"/>
    <n v="7"/>
    <n v="33"/>
    <x v="0"/>
    <x v="40"/>
    <x v="2"/>
    <s v="Clear"/>
    <n v="73"/>
    <x v="188"/>
    <n v="67"/>
    <n v="5"/>
    <n v="51.76"/>
    <n v="36.819000000000003"/>
    <n v="15.8287"/>
    <n v="11.2596330275229"/>
    <n v="10.352"/>
    <n v="0.77253731343283605"/>
    <s v="Hourly"/>
    <n v="42.564"/>
  </r>
  <r>
    <d v="2023-08-10T00:00:00"/>
    <x v="3"/>
    <x v="3"/>
    <n v="7"/>
    <n v="33"/>
    <x v="5"/>
    <x v="47"/>
    <x v="1"/>
    <s v="Overcast"/>
    <n v="73"/>
    <x v="290"/>
    <n v="69"/>
    <n v="5"/>
    <n v="57.32"/>
    <n v="41.933"/>
    <n v="19.630099999999999"/>
    <n v="14.3606164383562"/>
    <n v="11.464"/>
    <n v="0.83072463768115901"/>
    <s v="Order"/>
    <n v="41.988900000000001"/>
  </r>
  <r>
    <d v="2023-08-08T00:00:00"/>
    <x v="3"/>
    <x v="3"/>
    <n v="7"/>
    <n v="33"/>
    <x v="3"/>
    <x v="57"/>
    <x v="2"/>
    <s v="Rain"/>
    <n v="68"/>
    <x v="134"/>
    <n v="124"/>
    <n v="9"/>
    <n v="106.42"/>
    <n v="78.768000000000001"/>
    <n v="21.412500000000001"/>
    <n v="15.848692152917501"/>
    <n v="11.824444444444399"/>
    <n v="0.85822580645161295"/>
    <s v="Order"/>
    <n v="42.771999999999998"/>
  </r>
  <r>
    <d v="2023-08-07T00:00:00"/>
    <x v="3"/>
    <x v="3"/>
    <n v="7"/>
    <n v="33"/>
    <x v="4"/>
    <x v="63"/>
    <x v="3"/>
    <s v="Clear"/>
    <n v="70"/>
    <x v="235"/>
    <n v="132"/>
    <n v="9"/>
    <n v="85.91"/>
    <n v="56.473999999999997"/>
    <n v="15.677"/>
    <n v="10.3054744525547"/>
    <n v="9.5455555555555591"/>
    <n v="0.65083333333333304"/>
    <s v="Hourly"/>
    <n v="42.478000000000002"/>
  </r>
  <r>
    <d v="2023-08-06T00:00:00"/>
    <x v="3"/>
    <x v="3"/>
    <n v="6"/>
    <n v="32"/>
    <x v="2"/>
    <x v="104"/>
    <x v="0"/>
    <s v="Clear"/>
    <n v="79"/>
    <x v="14"/>
    <n v="68"/>
    <n v="7"/>
    <n v="78.959999999999994"/>
    <n v="63.795999999999999"/>
    <n v="19.496300000000002"/>
    <n v="15.7520987654321"/>
    <n v="11.28"/>
    <n v="1.1611764705882399"/>
    <s v="Order"/>
    <n v="41.523400000000002"/>
  </r>
  <r>
    <d v="2023-08-05T00:00:00"/>
    <x v="3"/>
    <x v="3"/>
    <n v="6"/>
    <n v="32"/>
    <x v="6"/>
    <x v="105"/>
    <x v="0"/>
    <s v="Clear"/>
    <n v="73"/>
    <x v="299"/>
    <n v="162"/>
    <n v="18"/>
    <n v="191.78"/>
    <n v="155.654"/>
    <n v="20.8004"/>
    <n v="16.882212581344898"/>
    <n v="10.654444444444399"/>
    <n v="1.18382716049383"/>
    <s v="Order"/>
    <n v="40.646099999999997"/>
  </r>
  <r>
    <d v="2023-08-04T00:00:00"/>
    <x v="3"/>
    <x v="3"/>
    <n v="6"/>
    <n v="32"/>
    <x v="0"/>
    <x v="52"/>
    <x v="2"/>
    <s v="Stormy"/>
    <n v="66"/>
    <x v="300"/>
    <n v="85"/>
    <n v="11"/>
    <n v="73.69"/>
    <n v="54.734999999999999"/>
    <n v="17.217300000000002"/>
    <n v="12.788551401869199"/>
    <n v="6.6990909090909101"/>
    <n v="0.86694117647058799"/>
    <s v="Order"/>
    <n v="39.335999999999999"/>
  </r>
  <r>
    <d v="2023-08-02T00:00:00"/>
    <x v="3"/>
    <x v="3"/>
    <n v="6"/>
    <n v="32"/>
    <x v="1"/>
    <x v="65"/>
    <x v="3"/>
    <s v="Clear"/>
    <n v="72"/>
    <x v="246"/>
    <n v="109"/>
    <n v="8"/>
    <n v="66.69"/>
    <n v="42.383000000000003"/>
    <n v="14.986499999999999"/>
    <n v="9.5242696629213501"/>
    <n v="8.3362499999999997"/>
    <n v="0.61183486238532103"/>
    <s v="Order"/>
    <n v="40.238799999999998"/>
  </r>
  <r>
    <d v="2023-07-31T00:00:00"/>
    <x v="3"/>
    <x v="3"/>
    <n v="6"/>
    <n v="32"/>
    <x v="4"/>
    <x v="64"/>
    <x v="1"/>
    <s v="Clear &amp; Humid"/>
    <n v="68"/>
    <x v="89"/>
    <n v="113"/>
    <n v="9"/>
    <n v="104.9"/>
    <n v="79.700999999999993"/>
    <n v="18.9693"/>
    <n v="14.4124773960217"/>
    <n v="11.655555555555599"/>
    <n v="0.92831858407079604"/>
    <s v="Order"/>
    <n v="41.482300000000002"/>
  </r>
  <r>
    <d v="2023-07-29T00:00:00"/>
    <x v="3"/>
    <x v="3"/>
    <n v="5"/>
    <n v="31"/>
    <x v="6"/>
    <x v="58"/>
    <x v="0"/>
    <s v="Rain"/>
    <n v="64"/>
    <x v="301"/>
    <n v="116"/>
    <n v="19"/>
    <n v="198.08"/>
    <n v="172.21199999999999"/>
    <n v="23.113199999999999"/>
    <n v="20.094749124854101"/>
    <n v="10.425263157894699"/>
    <n v="1.7075862068965499"/>
    <s v="Order"/>
    <n v="41.214799999999997"/>
  </r>
  <r>
    <d v="2023-07-24T00:00:00"/>
    <x v="3"/>
    <x v="3"/>
    <n v="5"/>
    <n v="31"/>
    <x v="4"/>
    <x v="64"/>
    <x v="1"/>
    <s v="Clear"/>
    <n v="79"/>
    <x v="302"/>
    <n v="78.8"/>
    <n v="6"/>
    <n v="50.69"/>
    <n v="33.117600000000003"/>
    <n v="14.7784"/>
    <n v="9.6552769679300301"/>
    <n v="8.4483333333333306"/>
    <n v="0.64327411167512705"/>
    <s v="Order"/>
    <n v="43.295900000000003"/>
  </r>
  <r>
    <d v="2023-07-22T00:00:00"/>
    <x v="3"/>
    <x v="3"/>
    <n v="4"/>
    <n v="30"/>
    <x v="6"/>
    <x v="93"/>
    <x v="0"/>
    <s v="Partially cloudy &amp; Humid"/>
    <n v="75"/>
    <x v="303"/>
    <n v="171"/>
    <n v="19"/>
    <n v="193.75"/>
    <n v="155.61699999999999"/>
    <n v="21.7209"/>
    <n v="17.445852017937199"/>
    <n v="10.1973684210526"/>
    <n v="1.13304093567251"/>
    <s v="Order"/>
    <n v="42.732700000000001"/>
  </r>
  <r>
    <d v="2023-07-18T00:00:00"/>
    <x v="3"/>
    <x v="3"/>
    <n v="4"/>
    <n v="30"/>
    <x v="3"/>
    <x v="37"/>
    <x v="1"/>
    <s v="Clear"/>
    <n v="73"/>
    <x v="212"/>
    <n v="123"/>
    <n v="9"/>
    <n v="115.79"/>
    <n v="88.361000000000004"/>
    <n v="19.6922"/>
    <n v="15.027380952381"/>
    <n v="12.8655555555556"/>
    <n v="0.94138211382113801"/>
    <s v="Order"/>
    <n v="45.8123"/>
  </r>
  <r>
    <d v="2023-07-17T00:00:00"/>
    <x v="3"/>
    <x v="3"/>
    <n v="4"/>
    <n v="30"/>
    <x v="4"/>
    <x v="72"/>
    <x v="1"/>
    <s v="Clear &amp; Humid"/>
    <n v="81"/>
    <x v="304"/>
    <n v="156.1"/>
    <n v="14"/>
    <n v="163.4"/>
    <n v="128.58969999999999"/>
    <n v="22.7577"/>
    <n v="17.909428969359301"/>
    <n v="11.671428571428599"/>
    <n v="1.0467648942985299"/>
    <s v="Order"/>
    <n v="45.539000000000001"/>
  </r>
  <r>
    <d v="2023-07-16T00:00:00"/>
    <x v="3"/>
    <x v="3"/>
    <n v="3"/>
    <n v="29"/>
    <x v="2"/>
    <x v="34"/>
    <x v="2"/>
    <s v="Rain"/>
    <n v="75"/>
    <x v="305"/>
    <n v="62"/>
    <n v="5"/>
    <n v="58.63"/>
    <n v="44.804000000000002"/>
    <n v="22.124500000000001"/>
    <n v="16.907169811320799"/>
    <n v="11.726000000000001"/>
    <n v="0.94564516129032306"/>
    <s v="Order"/>
    <n v="43.723399999999998"/>
  </r>
  <r>
    <d v="2023-07-15T00:00:00"/>
    <x v="3"/>
    <x v="3"/>
    <n v="3"/>
    <n v="29"/>
    <x v="6"/>
    <x v="90"/>
    <x v="0"/>
    <s v="Partially cloudy &amp; Humid"/>
    <n v="78"/>
    <x v="306"/>
    <n v="95"/>
    <n v="16"/>
    <n v="123.79"/>
    <n v="102.605"/>
    <n v="17.811499999999999"/>
    <n v="14.763309352518"/>
    <n v="7.7368750000000004"/>
    <n v="1.3030526315789499"/>
    <s v="Order"/>
    <n v="43.072000000000003"/>
  </r>
  <r>
    <d v="2023-07-14T00:00:00"/>
    <x v="3"/>
    <x v="3"/>
    <n v="3"/>
    <n v="29"/>
    <x v="0"/>
    <x v="52"/>
    <x v="1"/>
    <s v="Partially Cloudy"/>
    <n v="73"/>
    <x v="307"/>
    <n v="147.19999999999999"/>
    <n v="13"/>
    <n v="113.83"/>
    <n v="81.004400000000004"/>
    <n v="17.247"/>
    <n v="12.2733939393939"/>
    <n v="8.7561538461538504"/>
    <n v="0.77330163043478295"/>
    <s v="Order"/>
    <n v="41.696599999999997"/>
  </r>
  <r>
    <d v="2023-07-13T00:00:00"/>
    <x v="3"/>
    <x v="3"/>
    <n v="3"/>
    <n v="29"/>
    <x v="5"/>
    <x v="27"/>
    <x v="3"/>
    <s v="Clear &amp; Humid"/>
    <n v="79"/>
    <x v="243"/>
    <n v="117"/>
    <n v="8"/>
    <n v="64.75"/>
    <n v="38.658999999999999"/>
    <n v="12.8218"/>
    <n v="7.6552475247524798"/>
    <n v="8.09375"/>
    <n v="0.55341880341880301"/>
    <s v="Order"/>
    <n v="41.892800000000001"/>
  </r>
  <r>
    <d v="2023-07-12T00:00:00"/>
    <x v="3"/>
    <x v="3"/>
    <n v="3"/>
    <n v="29"/>
    <x v="1"/>
    <x v="37"/>
    <x v="1"/>
    <s v="Clear &amp; Humid"/>
    <n v="75"/>
    <x v="170"/>
    <n v="129"/>
    <n v="12"/>
    <n v="103.98"/>
    <n v="75.212999999999994"/>
    <n v="18.567900000000002"/>
    <n v="13.430892857142901"/>
    <n v="8.6649999999999991"/>
    <n v="0.80604651162790697"/>
    <s v="Order"/>
    <n v="41.173299999999998"/>
  </r>
  <r>
    <d v="2023-07-11T00:00:00"/>
    <x v="3"/>
    <x v="3"/>
    <n v="3"/>
    <n v="29"/>
    <x v="3"/>
    <x v="27"/>
    <x v="1"/>
    <s v="Clear"/>
    <n v="82"/>
    <x v="80"/>
    <n v="115"/>
    <n v="12"/>
    <n v="112.93"/>
    <n v="87.284999999999997"/>
    <n v="18.884599999999999"/>
    <n v="14.596153846153801"/>
    <n v="9.4108333333333398"/>
    <n v="0.98199999999999998"/>
    <s v="Order"/>
    <n v="41.180999999999997"/>
  </r>
  <r>
    <d v="2023-07-09T00:00:00"/>
    <x v="3"/>
    <x v="3"/>
    <n v="2"/>
    <n v="28"/>
    <x v="2"/>
    <x v="27"/>
    <x v="0"/>
    <s v="Partially cloudy &amp; Humid"/>
    <n v="72"/>
    <x v="308"/>
    <n v="81"/>
    <n v="11"/>
    <n v="86.87"/>
    <n v="68.807000000000002"/>
    <n v="17.549499999999998"/>
    <n v="13.900404040404"/>
    <n v="7.8972727272727301"/>
    <n v="1.0724691358024701"/>
    <s v="Order"/>
    <n v="39.926200000000001"/>
  </r>
  <r>
    <d v="2023-07-08T00:00:00"/>
    <x v="3"/>
    <x v="3"/>
    <n v="2"/>
    <n v="28"/>
    <x v="6"/>
    <x v="40"/>
    <x v="3"/>
    <s v="Clear &amp; Humid"/>
    <n v="69"/>
    <x v="64"/>
    <n v="116"/>
    <n v="12"/>
    <n v="97.23"/>
    <n v="71.361999999999995"/>
    <n v="18.072500000000002"/>
    <n v="13.264312267657999"/>
    <n v="8.1024999999999991"/>
    <n v="0.83818965517241395"/>
    <s v="Order"/>
    <n v="38.960999999999999"/>
  </r>
  <r>
    <d v="2023-07-07T00:00:00"/>
    <x v="3"/>
    <x v="3"/>
    <n v="2"/>
    <n v="28"/>
    <x v="0"/>
    <x v="53"/>
    <x v="1"/>
    <s v="Clear &amp; Humid"/>
    <n v="72"/>
    <x v="309"/>
    <n v="140.80000000000001"/>
    <n v="11"/>
    <n v="175.13"/>
    <n v="143.73159999999999"/>
    <n v="22.3096"/>
    <n v="18.309757961783401"/>
    <n v="15.920909090909101"/>
    <n v="1.2438210227272699"/>
    <s v="Order"/>
    <n v="37.880699999999997"/>
  </r>
  <r>
    <d v="2023-07-05T00:00:00"/>
    <x v="3"/>
    <x v="3"/>
    <n v="2"/>
    <n v="28"/>
    <x v="1"/>
    <x v="72"/>
    <x v="1"/>
    <s v="Clear &amp; Humid"/>
    <n v="77"/>
    <x v="237"/>
    <n v="109"/>
    <n v="13"/>
    <n v="120.54"/>
    <n v="96.233000000000004"/>
    <n v="20.327200000000001"/>
    <n v="16.2281618887015"/>
    <n v="9.2723076923076899"/>
    <n v="1.10587155963303"/>
    <s v="Order"/>
    <n v="35.934800000000003"/>
  </r>
  <r>
    <d v="2023-06-23T00:00:00"/>
    <x v="3"/>
    <x v="0"/>
    <n v="13"/>
    <n v="26"/>
    <x v="0"/>
    <x v="106"/>
    <x v="3"/>
    <s v="Rain"/>
    <n v="78"/>
    <x v="82"/>
    <n v="114"/>
    <n v="8"/>
    <n v="109.46"/>
    <n v="84.037999999999997"/>
    <n v="21.589700000000001"/>
    <n v="16.575542406311602"/>
    <n v="13.682499999999999"/>
    <n v="0.96017543859649102"/>
    <s v="Order"/>
    <n v="41.215000000000003"/>
  </r>
  <r>
    <d v="2023-06-21T00:00:00"/>
    <x v="3"/>
    <x v="0"/>
    <n v="13"/>
    <n v="26"/>
    <x v="1"/>
    <x v="107"/>
    <x v="1"/>
    <s v="Overcast"/>
    <n v="78"/>
    <x v="106"/>
    <n v="93"/>
    <n v="7"/>
    <n v="61.18"/>
    <n v="40.441000000000003"/>
    <n v="15.0319"/>
    <n v="9.9363636363636392"/>
    <n v="8.74"/>
    <n v="0.65784946236559105"/>
    <s v="Order"/>
    <n v="42.025700000000001"/>
  </r>
  <r>
    <d v="2023-06-20T00:00:00"/>
    <x v="3"/>
    <x v="0"/>
    <n v="13"/>
    <n v="26"/>
    <x v="3"/>
    <x v="64"/>
    <x v="3"/>
    <s v="Partially Cloudy"/>
    <n v="69"/>
    <x v="228"/>
    <n v="120"/>
    <n v="10"/>
    <n v="105.32"/>
    <n v="78.56"/>
    <n v="19.3248"/>
    <n v="14.414678899082601"/>
    <n v="10.532"/>
    <n v="0.87766666666666604"/>
    <s v="Order"/>
    <n v="42.437399999999997"/>
  </r>
  <r>
    <d v="2023-06-10T00:00:00"/>
    <x v="3"/>
    <x v="0"/>
    <n v="11"/>
    <n v="24"/>
    <x v="6"/>
    <x v="40"/>
    <x v="2"/>
    <s v="Partially Cloudy"/>
    <n v="64"/>
    <x v="249"/>
    <n v="81"/>
    <n v="14"/>
    <n v="118.8"/>
    <n v="100.73699999999999"/>
    <n v="28.285699999999999"/>
    <n v="23.984999999999999"/>
    <n v="8.4857142857142893"/>
    <n v="1.4666666666666699"/>
    <s v="Order"/>
    <n v="45.3003"/>
  </r>
  <r>
    <d v="2023-06-09T00:00:00"/>
    <x v="3"/>
    <x v="0"/>
    <n v="11"/>
    <n v="24"/>
    <x v="0"/>
    <x v="37"/>
    <x v="2"/>
    <s v="Overcast"/>
    <n v="62"/>
    <x v="87"/>
    <n v="112"/>
    <n v="10"/>
    <n v="112.88"/>
    <n v="87.903999999999996"/>
    <n v="20.7882"/>
    <n v="16.1885819521179"/>
    <n v="11.288"/>
    <n v="1.0078571428571399"/>
    <s v="Hourly"/>
    <n v="43.9803"/>
  </r>
  <r>
    <d v="2023-06-02T00:00:00"/>
    <x v="3"/>
    <x v="0"/>
    <n v="10"/>
    <n v="23"/>
    <x v="0"/>
    <x v="40"/>
    <x v="2"/>
    <s v="Rain"/>
    <n v="46"/>
    <x v="88"/>
    <n v="118"/>
    <n v="9"/>
    <n v="113.58"/>
    <n v="87.266000000000005"/>
    <n v="22.3583"/>
    <n v="17.1783464566929"/>
    <n v="12.62"/>
    <n v="0.96254237288135602"/>
    <s v="Order"/>
    <n v="46.207900000000002"/>
  </r>
  <r>
    <d v="2023-06-01T00:00:00"/>
    <x v="3"/>
    <x v="0"/>
    <n v="10"/>
    <n v="23"/>
    <x v="5"/>
    <x v="40"/>
    <x v="2"/>
    <s v="Rain"/>
    <n v="85"/>
    <x v="17"/>
    <n v="64"/>
    <n v="13"/>
    <n v="108"/>
    <n v="93.727999999999994"/>
    <n v="22.176600000000001"/>
    <n v="19.2459958932238"/>
    <n v="8.3076923076923102"/>
    <n v="1.6875"/>
    <s v="Order"/>
    <n v="46.686399999999999"/>
  </r>
  <r>
    <d v="2023-05-31T00:00:00"/>
    <x v="3"/>
    <x v="0"/>
    <n v="10"/>
    <n v="23"/>
    <x v="1"/>
    <x v="37"/>
    <x v="1"/>
    <s v="Rain"/>
    <n v="87.4"/>
    <x v="13"/>
    <n v="81"/>
    <n v="5"/>
    <n v="52.38"/>
    <n v="34.317"/>
    <n v="13.194000000000001"/>
    <n v="8.6440806045340093"/>
    <n v="10.476000000000001"/>
    <n v="0.64666666666666694"/>
    <s v="Order"/>
    <n v="45.941200000000002"/>
  </r>
  <r>
    <d v="2023-05-26T00:00:00"/>
    <x v="3"/>
    <x v="0"/>
    <n v="9"/>
    <n v="22"/>
    <x v="0"/>
    <x v="108"/>
    <x v="2"/>
    <s v="Clear"/>
    <n v="79.900000000000006"/>
    <x v="309"/>
    <n v="167"/>
    <n v="15"/>
    <n v="182.65"/>
    <n v="145.40899999999999"/>
    <n v="23.267499999999998"/>
    <n v="18.523439490445899"/>
    <n v="12.1766666666667"/>
    <n v="1.0937125748503"/>
    <s v="Hourly"/>
    <n v="50.682600000000001"/>
  </r>
  <r>
    <d v="2023-05-24T00:00:00"/>
    <x v="3"/>
    <x v="0"/>
    <n v="9"/>
    <n v="22"/>
    <x v="1"/>
    <x v="53"/>
    <x v="1"/>
    <s v="Rain"/>
    <n v="62.1"/>
    <x v="128"/>
    <n v="92"/>
    <n v="11"/>
    <n v="100.26"/>
    <n v="79.744"/>
    <n v="21.654399999999999"/>
    <n v="17.2233261339093"/>
    <n v="9.1145454545454605"/>
    <n v="1.0897826086956499"/>
    <s v="Order"/>
    <n v="49.261400000000002"/>
  </r>
  <r>
    <d v="2023-05-22T00:00:00"/>
    <x v="3"/>
    <x v="0"/>
    <n v="9"/>
    <n v="22"/>
    <x v="4"/>
    <x v="37"/>
    <x v="3"/>
    <s v="Clear"/>
    <n v="63.1"/>
    <x v="51"/>
    <n v="106"/>
    <n v="8"/>
    <n v="90.36"/>
    <n v="66.721999999999994"/>
    <n v="20.5364"/>
    <n v="15.1640909090909"/>
    <n v="11.295"/>
    <n v="0.85245283018867901"/>
    <s v="Order"/>
    <n v="49.439100000000003"/>
  </r>
  <r>
    <d v="2023-05-21T00:00:00"/>
    <x v="3"/>
    <x v="0"/>
    <n v="8"/>
    <n v="21"/>
    <x v="2"/>
    <x v="63"/>
    <x v="1"/>
    <s v="Clear"/>
    <n v="64.5"/>
    <x v="234"/>
    <n v="46.9"/>
    <n v="3"/>
    <n v="19.8"/>
    <n v="9.3413000000000004"/>
    <n v="8.6842000000000006"/>
    <n v="4.0970614035087696"/>
    <n v="6.6"/>
    <n v="0.42217484008528799"/>
    <s v="Order"/>
    <n v="48.435099999999998"/>
  </r>
  <r>
    <d v="2023-05-18T00:00:00"/>
    <x v="3"/>
    <x v="0"/>
    <n v="8"/>
    <n v="21"/>
    <x v="5"/>
    <x v="65"/>
    <x v="1"/>
    <s v="Clear"/>
    <n v="62.4"/>
    <x v="310"/>
    <n v="87"/>
    <n v="7"/>
    <n v="59.27"/>
    <n v="39.869"/>
    <n v="16.018899999999999"/>
    <n v="10.775405405405399"/>
    <n v="8.4671428571428606"/>
    <n v="0.68126436781609201"/>
    <s v="Order"/>
    <n v="48.2151"/>
  </r>
  <r>
    <d v="2023-05-12T00:00:00"/>
    <x v="3"/>
    <x v="0"/>
    <n v="7"/>
    <n v="20"/>
    <x v="0"/>
    <x v="65"/>
    <x v="2"/>
    <s v="Clear"/>
    <n v="70.099999999999994"/>
    <x v="220"/>
    <n v="147"/>
    <n v="13"/>
    <n v="127.8"/>
    <n v="95.019000000000005"/>
    <n v="20.126000000000001"/>
    <n v="14.963622047244099"/>
    <n v="9.8307692307692296"/>
    <n v="0.86938775510204103"/>
    <s v="Hourly"/>
    <n v="54.407200000000003"/>
  </r>
  <r>
    <d v="2023-05-10T00:00:00"/>
    <x v="3"/>
    <x v="0"/>
    <n v="7"/>
    <n v="20"/>
    <x v="1"/>
    <x v="82"/>
    <x v="2"/>
    <s v="Clear"/>
    <n v="78.7"/>
    <x v="161"/>
    <n v="111"/>
    <n v="6"/>
    <n v="79.959999999999994"/>
    <n v="55.207000000000001"/>
    <n v="18.049700000000001"/>
    <n v="12.462076749435701"/>
    <n v="13.3266666666667"/>
    <n v="0.72036036036036"/>
    <s v="Order"/>
    <n v="55.780900000000003"/>
  </r>
  <r>
    <d v="2023-05-07T00:00:00"/>
    <x v="3"/>
    <x v="0"/>
    <n v="6"/>
    <n v="19"/>
    <x v="2"/>
    <x v="86"/>
    <x v="1"/>
    <s v="Clear"/>
    <n v="66.8"/>
    <x v="131"/>
    <n v="75"/>
    <n v="7"/>
    <n v="73.87"/>
    <n v="57.145000000000003"/>
    <n v="18.796399999999998"/>
    <n v="14.5407124681934"/>
    <n v="10.5528571428571"/>
    <n v="0.98493333333333399"/>
    <s v="Order"/>
    <n v="58.250999999999998"/>
  </r>
  <r>
    <d v="2023-05-05T00:00:00"/>
    <x v="3"/>
    <x v="0"/>
    <n v="6"/>
    <n v="19"/>
    <x v="0"/>
    <x v="67"/>
    <x v="1"/>
    <s v="Clear"/>
    <n v="74.7"/>
    <x v="241"/>
    <n v="155"/>
    <n v="15"/>
    <n v="154.94"/>
    <n v="120.375"/>
    <n v="21.080300000000001"/>
    <n v="16.377551020408202"/>
    <n v="10.329333333333301"/>
    <n v="0.99961290322580598"/>
    <s v="Order"/>
    <n v="57.430199999999999"/>
  </r>
  <r>
    <d v="2023-05-04T00:00:00"/>
    <x v="3"/>
    <x v="0"/>
    <n v="6"/>
    <n v="19"/>
    <x v="5"/>
    <x v="67"/>
    <x v="2"/>
    <s v="Rain"/>
    <n v="63.4"/>
    <x v="256"/>
    <n v="63"/>
    <n v="8"/>
    <n v="69.290000000000006"/>
    <n v="55.241"/>
    <n v="20.8705"/>
    <n v="16.638855421686799"/>
    <n v="8.6612500000000008"/>
    <n v="1.0998412698412701"/>
    <s v="Order"/>
    <n v="55.7087"/>
  </r>
  <r>
    <d v="2023-05-03T00:00:00"/>
    <x v="3"/>
    <x v="0"/>
    <n v="6"/>
    <n v="19"/>
    <x v="1"/>
    <x v="37"/>
    <x v="1"/>
    <s v="Rain"/>
    <n v="50.6"/>
    <x v="77"/>
    <n v="93"/>
    <n v="16"/>
    <n v="109.32"/>
    <n v="88.581000000000003"/>
    <n v="19.417400000000001"/>
    <n v="15.733747779751299"/>
    <n v="6.8324999999999996"/>
    <n v="1.17548387096774"/>
    <s v="Order"/>
    <n v="54.938800000000001"/>
  </r>
  <r>
    <d v="2023-05-02T00:00:00"/>
    <x v="3"/>
    <x v="0"/>
    <n v="6"/>
    <n v="19"/>
    <x v="3"/>
    <x v="27"/>
    <x v="3"/>
    <s v="Rain"/>
    <n v="40.9"/>
    <x v="156"/>
    <n v="130.5"/>
    <n v="9"/>
    <n v="80.819999999999993"/>
    <n v="51.718499999999999"/>
    <n v="15.306800000000001"/>
    <n v="9.7951704545454508"/>
    <n v="8.98"/>
    <n v="0.61931034482758596"/>
    <s v="Order"/>
    <n v="53.7241"/>
  </r>
  <r>
    <d v="2023-04-30T00:00:00"/>
    <x v="3"/>
    <x v="0"/>
    <n v="5"/>
    <n v="18"/>
    <x v="2"/>
    <x v="72"/>
    <x v="3"/>
    <s v="Rain"/>
    <n v="61.9"/>
    <x v="56"/>
    <n v="90"/>
    <n v="8"/>
    <n v="67.78"/>
    <n v="47.71"/>
    <n v="15.6898"/>
    <n v="11.0439814814815"/>
    <n v="8.4725000000000001"/>
    <n v="0.75311111111111095"/>
    <s v="Order"/>
    <n v="56.218299999999999"/>
  </r>
  <r>
    <d v="2023-04-29T00:00:00"/>
    <x v="3"/>
    <x v="0"/>
    <n v="5"/>
    <n v="18"/>
    <x v="6"/>
    <x v="65"/>
    <x v="2"/>
    <s v="Rain"/>
    <n v="45.5"/>
    <x v="311"/>
    <n v="26"/>
    <n v="3"/>
    <n v="37.67"/>
    <n v="31.872"/>
    <n v="33.336300000000001"/>
    <n v="28.2053097345133"/>
    <n v="12.5566666666667"/>
    <n v="1.4488461538461499"/>
    <s v="Order"/>
    <n v="55.465200000000003"/>
  </r>
  <r>
    <d v="2023-04-28T00:00:00"/>
    <x v="3"/>
    <x v="0"/>
    <n v="5"/>
    <n v="18"/>
    <x v="0"/>
    <x v="1"/>
    <x v="2"/>
    <s v="Partially Cloudy"/>
    <n v="57.2"/>
    <x v="302"/>
    <n v="63"/>
    <n v="9"/>
    <n v="116.42"/>
    <n v="102.371"/>
    <n v="33.941699999999997"/>
    <n v="29.845772594752201"/>
    <n v="12.935555555555601"/>
    <n v="1.84793650793651"/>
    <s v="Order"/>
    <n v="55.046700000000001"/>
  </r>
  <r>
    <d v="2023-04-27T00:00:00"/>
    <x v="3"/>
    <x v="0"/>
    <n v="5"/>
    <n v="18"/>
    <x v="5"/>
    <x v="67"/>
    <x v="3"/>
    <s v="Clear"/>
    <n v="62.7"/>
    <x v="10"/>
    <n v="78"/>
    <n v="4"/>
    <n v="42.45"/>
    <n v="25.056000000000001"/>
    <n v="13.6058"/>
    <n v="8.0307692307692307"/>
    <n v="10.612500000000001"/>
    <n v="0.54423076923076896"/>
    <s v="Order"/>
    <n v="54.832099999999997"/>
  </r>
  <r>
    <d v="2023-04-26T00:00:00"/>
    <x v="3"/>
    <x v="0"/>
    <n v="5"/>
    <n v="18"/>
    <x v="1"/>
    <x v="37"/>
    <x v="1"/>
    <s v="Rain"/>
    <n v="55.1"/>
    <x v="134"/>
    <n v="100"/>
    <n v="12"/>
    <n v="121.06"/>
    <n v="98.76"/>
    <n v="24.3581"/>
    <n v="19.871227364185099"/>
    <n v="10.088333333333299"/>
    <n v="1.2105999999999999"/>
    <s v="Order"/>
    <n v="55.2836"/>
  </r>
  <r>
    <d v="2023-04-23T00:00:00"/>
    <x v="3"/>
    <x v="0"/>
    <n v="4"/>
    <n v="17"/>
    <x v="2"/>
    <x v="50"/>
    <x v="3"/>
    <s v="Rain"/>
    <n v="42.4"/>
    <x v="112"/>
    <n v="82"/>
    <n v="9"/>
    <n v="99.08"/>
    <n v="80.793999999999997"/>
    <n v="23.041899999999998"/>
    <n v="18.789302325581399"/>
    <n v="11.008888888888899"/>
    <n v="1.2082926829268299"/>
    <s v="Order"/>
    <n v="55.870199999999997"/>
  </r>
  <r>
    <d v="2023-04-22T00:00:00"/>
    <x v="3"/>
    <x v="0"/>
    <n v="4"/>
    <n v="17"/>
    <x v="6"/>
    <x v="97"/>
    <x v="2"/>
    <s v="Rain"/>
    <n v="52.3"/>
    <x v="213"/>
    <n v="138"/>
    <n v="15"/>
    <n v="161"/>
    <n v="130.226"/>
    <n v="25.967700000000001"/>
    <n v="21.0041935483871"/>
    <n v="10.733333333333301"/>
    <n v="1.1666666666666701"/>
    <s v="Order"/>
    <n v="54.769300000000001"/>
  </r>
  <r>
    <d v="2023-04-21T00:00:00"/>
    <x v="3"/>
    <x v="0"/>
    <n v="4"/>
    <n v="17"/>
    <x v="0"/>
    <x v="43"/>
    <x v="2"/>
    <s v="Partially Cloudy"/>
    <n v="53.2"/>
    <x v="312"/>
    <n v="65"/>
    <n v="7"/>
    <n v="76.42"/>
    <n v="61.924999999999997"/>
    <n v="27.292899999999999"/>
    <n v="22.116071428571399"/>
    <n v="10.917142857142901"/>
    <n v="1.17569230769231"/>
    <s v="Order"/>
    <n v="52.980400000000003"/>
  </r>
  <r>
    <d v="2023-04-20T00:00:00"/>
    <x v="3"/>
    <x v="0"/>
    <n v="4"/>
    <n v="17"/>
    <x v="5"/>
    <x v="72"/>
    <x v="2"/>
    <s v="Partially Cloudy"/>
    <n v="53.7"/>
    <x v="170"/>
    <n v="128"/>
    <n v="14"/>
    <n v="134.41999999999999"/>
    <n v="105.876"/>
    <n v="24.003599999999999"/>
    <n v="18.906428571428599"/>
    <n v="9.6014285714285705"/>
    <n v="1.0501562499999999"/>
    <s v="Order"/>
    <n v="53.781100000000002"/>
  </r>
  <r>
    <d v="2023-04-19T00:00:00"/>
    <x v="3"/>
    <x v="0"/>
    <n v="4"/>
    <n v="17"/>
    <x v="1"/>
    <x v="53"/>
    <x v="2"/>
    <s v="Partially Cloudy"/>
    <n v="54.3"/>
    <x v="252"/>
    <n v="110.8"/>
    <n v="10"/>
    <n v="91.19"/>
    <n v="66.4816"/>
    <n v="18.802099999999999"/>
    <n v="13.707546391752601"/>
    <n v="9.1189999999999998"/>
    <n v="0.82301444043321303"/>
    <s v="Order"/>
    <n v="52.287599999999998"/>
  </r>
  <r>
    <d v="2023-04-15T00:00:00"/>
    <x v="3"/>
    <x v="0"/>
    <n v="3"/>
    <n v="16"/>
    <x v="6"/>
    <x v="109"/>
    <x v="2"/>
    <s v="Rain"/>
    <n v="66"/>
    <x v="248"/>
    <n v="101"/>
    <n v="13"/>
    <n v="131.49"/>
    <n v="108.967"/>
    <n v="23.396799999999999"/>
    <n v="19.389145907473299"/>
    <n v="10.1146153846154"/>
    <n v="1.3018811881188099"/>
    <s v="Order"/>
    <n v="53.747"/>
  </r>
  <r>
    <d v="2023-04-13T00:00:00"/>
    <x v="3"/>
    <x v="0"/>
    <n v="3"/>
    <n v="16"/>
    <x v="5"/>
    <x v="110"/>
    <x v="2"/>
    <s v="Clear"/>
    <n v="78.400000000000006"/>
    <x v="112"/>
    <n v="105.8"/>
    <n v="8"/>
    <n v="104.67"/>
    <n v="81.076599999999999"/>
    <n v="24.341899999999999"/>
    <n v="18.855023255814"/>
    <n v="13.08375"/>
    <n v="0.98931947069943305"/>
    <s v="Order"/>
    <n v="52.286000000000001"/>
  </r>
  <r>
    <d v="2023-04-04T00:00:00"/>
    <x v="3"/>
    <x v="0"/>
    <n v="2"/>
    <n v="15"/>
    <x v="3"/>
    <x v="53"/>
    <x v="2"/>
    <s v="Freezing Rain / Ice"/>
    <n v="43.8"/>
    <x v="313"/>
    <n v="36.4"/>
    <n v="3"/>
    <n v="25.5"/>
    <n v="17.3828"/>
    <n v="13.421099999999999"/>
    <n v="9.1488421052631601"/>
    <n v="8.5"/>
    <n v="0.70054945054945095"/>
    <s v="Order"/>
    <n v="58.3812"/>
  </r>
  <r>
    <d v="2023-04-01T00:00:00"/>
    <x v="3"/>
    <x v="0"/>
    <n v="1"/>
    <n v="14"/>
    <x v="6"/>
    <x v="47"/>
    <x v="1"/>
    <s v="Partially Cloudy"/>
    <n v="37.799999999999997"/>
    <x v="211"/>
    <n v="81"/>
    <n v="10"/>
    <n v="78.900000000000006"/>
    <n v="60.837000000000003"/>
    <n v="17.2271"/>
    <n v="13.2831877729258"/>
    <n v="7.89"/>
    <n v="0.97407407407407398"/>
    <s v="Order"/>
    <n v="60.490200000000002"/>
  </r>
  <r>
    <d v="2023-03-31T00:00:00"/>
    <x v="3"/>
    <x v="0"/>
    <n v="1"/>
    <n v="14"/>
    <x v="0"/>
    <x v="53"/>
    <x v="1"/>
    <s v="Rain / Snow Mix"/>
    <n v="42.3"/>
    <x v="314"/>
    <n v="166"/>
    <n v="18"/>
    <n v="206.46"/>
    <n v="169.44200000000001"/>
    <n v="23.068200000000001"/>
    <n v="18.932067039106101"/>
    <n v="11.47"/>
    <n v="1.24373493975904"/>
    <s v="Order"/>
    <n v="61.341000000000001"/>
  </r>
  <r>
    <d v="2023-03-30T00:00:00"/>
    <x v="3"/>
    <x v="0"/>
    <n v="1"/>
    <n v="14"/>
    <x v="5"/>
    <x v="2"/>
    <x v="0"/>
    <s v="Light Snow"/>
    <n v="38.6"/>
    <x v="158"/>
    <n v="80"/>
    <n v="11"/>
    <n v="103.39"/>
    <n v="85.55"/>
    <n v="21.014199999999999"/>
    <n v="17.388211382113798"/>
    <n v="9.3990909090909103"/>
    <n v="1.2923750000000001"/>
    <s v="Order"/>
    <n v="59.046999999999997"/>
  </r>
  <r>
    <d v="2023-03-29T00:00:00"/>
    <x v="3"/>
    <x v="0"/>
    <n v="1"/>
    <n v="14"/>
    <x v="1"/>
    <x v="37"/>
    <x v="1"/>
    <s v="Rain / Snow Mix"/>
    <n v="33"/>
    <x v="9"/>
    <n v="71.8"/>
    <n v="10"/>
    <n v="66.98"/>
    <n v="50.968600000000002"/>
    <n v="14.1607"/>
    <n v="10.7756025369979"/>
    <n v="6.6980000000000004"/>
    <n v="0.93286908077994402"/>
    <s v="Order"/>
    <n v="59.152200000000001"/>
  </r>
  <r>
    <d v="2023-03-26T00:00:00"/>
    <x v="3"/>
    <x v="1"/>
    <n v="13"/>
    <n v="13"/>
    <x v="2"/>
    <x v="47"/>
    <x v="1"/>
    <s v="Partially Cloudy"/>
    <n v="52.3"/>
    <x v="48"/>
    <n v="77"/>
    <n v="10"/>
    <n v="114.53"/>
    <n v="97.358999999999995"/>
    <n v="24.8978"/>
    <n v="21.164999999999999"/>
    <n v="11.452999999999999"/>
    <n v="1.4874025974025999"/>
    <s v="Order"/>
    <n v="60.259900000000002"/>
  </r>
  <r>
    <d v="2023-03-25T00:00:00"/>
    <x v="3"/>
    <x v="1"/>
    <n v="13"/>
    <n v="13"/>
    <x v="6"/>
    <x v="54"/>
    <x v="2"/>
    <s v="Rain / Snow Mix"/>
    <n v="41.9"/>
    <x v="135"/>
    <n v="81"/>
    <n v="8"/>
    <n v="116.67"/>
    <n v="98.606999999999999"/>
    <n v="28.950399999999998"/>
    <n v="24.468238213399498"/>
    <n v="14.58375"/>
    <n v="1.4403703703703701"/>
    <s v="Order"/>
    <n v="58.987299999999998"/>
  </r>
  <r>
    <d v="2023-03-24T00:00:00"/>
    <x v="3"/>
    <x v="1"/>
    <n v="13"/>
    <n v="13"/>
    <x v="0"/>
    <x v="12"/>
    <x v="2"/>
    <s v="Light Snow"/>
    <n v="33.5"/>
    <x v="111"/>
    <n v="51"/>
    <n v="8"/>
    <n v="65.75"/>
    <n v="54.377000000000002"/>
    <n v="20.676100000000002"/>
    <n v="17.099685534591199"/>
    <n v="8.21875"/>
    <n v="1.2892156862745101"/>
    <s v="Order"/>
    <n v="57.691000000000003"/>
  </r>
  <r>
    <d v="2023-03-23T00:00:00"/>
    <x v="3"/>
    <x v="1"/>
    <n v="13"/>
    <n v="13"/>
    <x v="5"/>
    <x v="48"/>
    <x v="1"/>
    <s v="Rain"/>
    <n v="38.9"/>
    <x v="134"/>
    <n v="61"/>
    <n v="10"/>
    <n v="98.24"/>
    <n v="84.637"/>
    <n v="19.7666"/>
    <n v="17.029577464788701"/>
    <n v="9.8239999999999998"/>
    <n v="1.6104918032786899"/>
    <s v="Order"/>
    <n v="56.9604"/>
  </r>
  <r>
    <d v="2023-03-18T00:00:00"/>
    <x v="3"/>
    <x v="1"/>
    <n v="12"/>
    <n v="12"/>
    <x v="6"/>
    <x v="50"/>
    <x v="2"/>
    <s v="Light Snow"/>
    <n v="31.3"/>
    <x v="0"/>
    <n v="145"/>
    <n v="9"/>
    <n v="94.91"/>
    <n v="62.575000000000003"/>
    <n v="15.234299999999999"/>
    <n v="10.0441412520064"/>
    <n v="10.5455555555556"/>
    <n v="0.65455172413793095"/>
    <s v="Order"/>
    <n v="57.603999999999999"/>
  </r>
  <r>
    <d v="2023-03-17T00:00:00"/>
    <x v="3"/>
    <x v="1"/>
    <n v="12"/>
    <n v="12"/>
    <x v="0"/>
    <x v="52"/>
    <x v="0"/>
    <s v="Rain / Snow Mix"/>
    <n v="49.1"/>
    <x v="276"/>
    <n v="54"/>
    <n v="8"/>
    <n v="51.5"/>
    <n v="39.457999999999998"/>
    <n v="13.3766"/>
    <n v="10.248831168831201"/>
    <n v="6.4375"/>
    <n v="0.95370370370370405"/>
    <s v="Order"/>
    <n v="58.195399999999999"/>
  </r>
  <r>
    <d v="2023-03-16T00:00:00"/>
    <x v="3"/>
    <x v="1"/>
    <n v="12"/>
    <n v="12"/>
    <x v="5"/>
    <x v="53"/>
    <x v="2"/>
    <s v="Rain"/>
    <n v="39.9"/>
    <x v="85"/>
    <n v="116.7"/>
    <n v="4"/>
    <n v="70.19"/>
    <n v="44.165900000000001"/>
    <n v="13.709"/>
    <n v="8.6261523437500003"/>
    <n v="17.547499999999999"/>
    <n v="0.60145672664952898"/>
    <s v="Order"/>
    <n v="57.767800000000001"/>
  </r>
  <r>
    <d v="2023-03-15T00:00:00"/>
    <x v="3"/>
    <x v="1"/>
    <n v="12"/>
    <n v="12"/>
    <x v="1"/>
    <x v="2"/>
    <x v="0"/>
    <s v="Clear"/>
    <n v="42.5"/>
    <x v="52"/>
    <n v="73"/>
    <n v="13"/>
    <n v="85.96"/>
    <n v="69.680999999999997"/>
    <n v="20.7133"/>
    <n v="16.790602409638598"/>
    <n v="6.6123076923076898"/>
    <n v="1.17753424657534"/>
    <s v="Order"/>
    <n v="58.498199999999997"/>
  </r>
  <r>
    <d v="2023-03-14T00:00:00"/>
    <x v="3"/>
    <x v="1"/>
    <n v="12"/>
    <n v="12"/>
    <x v="3"/>
    <x v="53"/>
    <x v="2"/>
    <s v="Snow Storm"/>
    <n v="28.4"/>
    <x v="103"/>
    <n v="75"/>
    <n v="3"/>
    <n v="60.42"/>
    <n v="43.695"/>
    <n v="20.006599999999999"/>
    <n v="14.468543046357601"/>
    <n v="20.14"/>
    <n v="0.80559999999999998"/>
    <s v="Order"/>
    <n v="59.374099999999999"/>
  </r>
  <r>
    <d v="2023-03-11T00:00:00"/>
    <x v="3"/>
    <x v="1"/>
    <n v="11"/>
    <n v="11"/>
    <x v="6"/>
    <x v="59"/>
    <x v="2"/>
    <s v="Rain"/>
    <n v="45"/>
    <x v="213"/>
    <n v="112"/>
    <n v="11"/>
    <n v="122.45"/>
    <n v="97.474000000000004"/>
    <n v="19.75"/>
    <n v="15.7216129032258"/>
    <n v="11.1318181818182"/>
    <n v="1.0933035714285699"/>
    <s v="Order"/>
    <n v="61.747900000000001"/>
  </r>
  <r>
    <d v="2023-03-10T00:00:00"/>
    <x v="3"/>
    <x v="1"/>
    <n v="11"/>
    <n v="11"/>
    <x v="0"/>
    <x v="10"/>
    <x v="0"/>
    <s v="Light Snow"/>
    <n v="38.299999999999997"/>
    <x v="250"/>
    <n v="49"/>
    <n v="9"/>
    <n v="64.08"/>
    <n v="53.152999999999999"/>
    <n v="17.652899999999999"/>
    <n v="14.6426997245179"/>
    <n v="7.12"/>
    <n v="1.30775510204082"/>
    <s v="Order"/>
    <n v="60.955399999999997"/>
  </r>
  <r>
    <d v="2023-03-09T00:00:00"/>
    <x v="3"/>
    <x v="1"/>
    <n v="11"/>
    <n v="11"/>
    <x v="5"/>
    <x v="63"/>
    <x v="1"/>
    <s v="Clear"/>
    <n v="44.3"/>
    <x v="315"/>
    <n v="59.2"/>
    <n v="5"/>
    <n v="58.83"/>
    <n v="45.628399999999999"/>
    <n v="24.209900000000001"/>
    <n v="18.7771193415638"/>
    <n v="11.766"/>
    <n v="0.99375000000000002"/>
    <s v="Order"/>
    <n v="60.243400000000001"/>
  </r>
  <r>
    <d v="2023-03-07T00:00:00"/>
    <x v="3"/>
    <x v="1"/>
    <n v="11"/>
    <n v="11"/>
    <x v="3"/>
    <x v="65"/>
    <x v="2"/>
    <s v="Rain"/>
    <n v="39.9"/>
    <x v="19"/>
    <n v="78"/>
    <n v="8"/>
    <n v="68"/>
    <n v="50.606000000000002"/>
    <n v="16.113700000000001"/>
    <n v="11.9919431279621"/>
    <n v="8.5"/>
    <n v="0.87179487179487203"/>
    <s v="Order"/>
    <n v="62.244900000000001"/>
  </r>
  <r>
    <d v="2023-03-04T00:00:00"/>
    <x v="3"/>
    <x v="1"/>
    <n v="10"/>
    <n v="10"/>
    <x v="6"/>
    <x v="69"/>
    <x v="2"/>
    <s v="Rain / Snow Mix"/>
    <n v="35.9"/>
    <x v="238"/>
    <n v="124"/>
    <n v="7"/>
    <n v="156.65"/>
    <n v="128.99799999999999"/>
    <n v="27.386399999999998"/>
    <n v="22.552097902097898"/>
    <n v="22.378571428571401"/>
    <n v="1.2633064516129"/>
    <s v="Order"/>
    <n v="64.121099999999998"/>
  </r>
  <r>
    <d v="2023-03-03T00:00:00"/>
    <x v="3"/>
    <x v="1"/>
    <n v="10"/>
    <n v="10"/>
    <x v="0"/>
    <x v="63"/>
    <x v="0"/>
    <s v="Snow Storm"/>
    <n v="29.3"/>
    <x v="316"/>
    <n v="22"/>
    <n v="3"/>
    <n v="40.93"/>
    <n v="36.024000000000001"/>
    <n v="34.982900000000001"/>
    <n v="30.789743589743601"/>
    <n v="13.643333333333301"/>
    <n v="1.86045454545455"/>
    <s v="Order"/>
    <n v="62.380600000000001"/>
  </r>
  <r>
    <d v="2023-03-01T00:00:00"/>
    <x v="3"/>
    <x v="1"/>
    <n v="10"/>
    <n v="10"/>
    <x v="1"/>
    <x v="82"/>
    <x v="3"/>
    <s v="Snow Storm"/>
    <n v="34.4"/>
    <x v="274"/>
    <n v="96"/>
    <n v="8"/>
    <n v="75.75"/>
    <n v="54.341999999999999"/>
    <n v="17.413799999999998"/>
    <n v="12.492413793103401"/>
    <n v="9.46875"/>
    <n v="0.7890625"/>
    <s v="Order"/>
    <n v="63.804400000000001"/>
  </r>
  <r>
    <d v="2023-02-28T00:00:00"/>
    <x v="3"/>
    <x v="1"/>
    <n v="10"/>
    <n v="10"/>
    <x v="3"/>
    <x v="50"/>
    <x v="2"/>
    <s v="Snow Storm"/>
    <n v="38.9"/>
    <x v="317"/>
    <n v="92"/>
    <n v="9"/>
    <n v="125.47"/>
    <n v="104.95399999999999"/>
    <n v="24.363099999999999"/>
    <n v="20.3794174757282"/>
    <n v="13.9411111111111"/>
    <n v="1.3638043478260899"/>
    <s v="Order"/>
    <n v="63.7836"/>
  </r>
  <r>
    <d v="2023-02-26T00:00:00"/>
    <x v="3"/>
    <x v="1"/>
    <n v="9"/>
    <n v="9"/>
    <x v="2"/>
    <x v="94"/>
    <x v="2"/>
    <s v="Light Snow"/>
    <n v="26.8"/>
    <x v="318"/>
    <n v="128"/>
    <n v="21"/>
    <n v="277.88"/>
    <n v="249.33600000000001"/>
    <n v="36.182299999999998"/>
    <n v="32.465625000000003"/>
    <n v="13.232380952381"/>
    <n v="2.1709375"/>
    <s v="Order"/>
    <n v="62.389400000000002"/>
  </r>
  <r>
    <d v="2023-02-24T00:00:00"/>
    <x v="3"/>
    <x v="1"/>
    <n v="9"/>
    <n v="9"/>
    <x v="0"/>
    <x v="10"/>
    <x v="0"/>
    <s v="Light Snow"/>
    <n v="18.399999999999999"/>
    <x v="107"/>
    <n v="58"/>
    <n v="8"/>
    <n v="54.75"/>
    <n v="41.816000000000003"/>
    <n v="17.492000000000001"/>
    <n v="13.3597444089457"/>
    <n v="6.84375"/>
    <n v="0.943965517241379"/>
    <s v="Order"/>
    <n v="60.92"/>
  </r>
  <r>
    <d v="2023-02-23T00:00:00"/>
    <x v="3"/>
    <x v="1"/>
    <n v="9"/>
    <n v="9"/>
    <x v="5"/>
    <x v="65"/>
    <x v="0"/>
    <s v="Snow Storm"/>
    <n v="14.3"/>
    <x v="38"/>
    <n v="45.6"/>
    <n v="12"/>
    <n v="116.25"/>
    <n v="106.0812"/>
    <n v="27.877700000000001"/>
    <n v="25.439136690647501"/>
    <n v="9.6875"/>
    <n v="2.5493421052631602"/>
    <s v="Order"/>
    <n v="61.5124"/>
  </r>
  <r>
    <d v="2023-02-17T00:00:00"/>
    <x v="3"/>
    <x v="1"/>
    <n v="8"/>
    <n v="8"/>
    <x v="0"/>
    <x v="10"/>
    <x v="0"/>
    <s v="Clear"/>
    <n v="27.3"/>
    <x v="49"/>
    <n v="116"/>
    <n v="12"/>
    <n v="107.77"/>
    <n v="81.902000000000001"/>
    <n v="17.872299999999999"/>
    <n v="13.582421227197299"/>
    <n v="8.9808333333333294"/>
    <n v="0.92905172413793102"/>
    <s v="Order"/>
    <n v="64.191299999999998"/>
  </r>
  <r>
    <d v="2023-02-16T00:00:00"/>
    <x v="3"/>
    <x v="1"/>
    <n v="8"/>
    <n v="8"/>
    <x v="5"/>
    <x v="65"/>
    <x v="0"/>
    <s v="Freezing Rain / Ice"/>
    <n v="40"/>
    <x v="85"/>
    <n v="102"/>
    <n v="10"/>
    <n v="105.27"/>
    <n v="82.524000000000001"/>
    <n v="20.560500000000001"/>
    <n v="16.117968749999999"/>
    <n v="10.526999999999999"/>
    <n v="1.0320588235294099"/>
    <s v="Order"/>
    <n v="62.993899999999996"/>
  </r>
  <r>
    <d v="2023-02-15T00:00:00"/>
    <x v="3"/>
    <x v="1"/>
    <n v="8"/>
    <n v="8"/>
    <x v="1"/>
    <x v="40"/>
    <x v="2"/>
    <s v="Rain"/>
    <n v="56.3"/>
    <x v="56"/>
    <n v="92"/>
    <n v="11"/>
    <n v="103.23"/>
    <n v="82.713999999999999"/>
    <n v="23.895800000000001"/>
    <n v="19.146759259259301"/>
    <n v="9.3845454545454601"/>
    <n v="1.1220652173912999"/>
    <s v="Order"/>
    <n v="64.212900000000005"/>
  </r>
  <r>
    <d v="2023-02-14T00:00:00"/>
    <x v="3"/>
    <x v="1"/>
    <n v="8"/>
    <n v="8"/>
    <x v="3"/>
    <x v="40"/>
    <x v="2"/>
    <s v="Partially Cloudy"/>
    <n v="42.9"/>
    <x v="165"/>
    <n v="70.8"/>
    <n v="14"/>
    <n v="194.62"/>
    <n v="178.83160000000001"/>
    <n v="38.691800000000001"/>
    <n v="35.5530019880716"/>
    <n v="13.9014285714286"/>
    <n v="2.74887005649718"/>
    <s v="Order"/>
    <n v="64.310699999999997"/>
  </r>
  <r>
    <d v="2023-02-12T00:00:00"/>
    <x v="3"/>
    <x v="1"/>
    <n v="7"/>
    <n v="7"/>
    <x v="2"/>
    <x v="65"/>
    <x v="0"/>
    <s v="Partially Cloudy"/>
    <n v="53"/>
    <x v="147"/>
    <n v="62"/>
    <n v="11"/>
    <n v="105.67"/>
    <n v="91.843999999999994"/>
    <n v="22.152999999999999"/>
    <n v="19.254507337526199"/>
    <n v="9.6063636363636409"/>
    <n v="1.7043548387096801"/>
    <s v="Order"/>
    <n v="62.148200000000003"/>
  </r>
  <r>
    <d v="2023-02-11T00:00:00"/>
    <x v="3"/>
    <x v="1"/>
    <n v="7"/>
    <n v="7"/>
    <x v="6"/>
    <x v="17"/>
    <x v="2"/>
    <s v="Clear"/>
    <n v="42.1"/>
    <x v="277"/>
    <n v="104"/>
    <n v="10"/>
    <n v="118.03"/>
    <n v="94.837999999999994"/>
    <n v="28.578700000000001"/>
    <n v="22.963196125907999"/>
    <n v="11.803000000000001"/>
    <n v="1.1349038461538501"/>
    <s v="Order"/>
    <n v="60.9741"/>
  </r>
  <r>
    <d v="2023-02-10T00:00:00"/>
    <x v="3"/>
    <x v="1"/>
    <n v="7"/>
    <n v="7"/>
    <x v="0"/>
    <x v="37"/>
    <x v="0"/>
    <s v="Rain / Snow Mix"/>
    <n v="37.200000000000003"/>
    <x v="97"/>
    <n v="94"/>
    <n v="19"/>
    <n v="133.4"/>
    <n v="112.438"/>
    <n v="20.682200000000002"/>
    <n v="17.4322480620155"/>
    <n v="7.0210526315789501"/>
    <n v="1.4191489361702101"/>
    <s v="Order"/>
    <n v="59.662700000000001"/>
  </r>
  <r>
    <d v="2023-02-09T00:00:00"/>
    <x v="3"/>
    <x v="1"/>
    <n v="7"/>
    <n v="7"/>
    <x v="5"/>
    <x v="65"/>
    <x v="0"/>
    <s v="Rain"/>
    <n v="51.4"/>
    <x v="251"/>
    <n v="49"/>
    <n v="9"/>
    <n v="75.209999999999994"/>
    <n v="64.283000000000001"/>
    <n v="23.357099999999999"/>
    <n v="19.963664596273301"/>
    <n v="8.3566666666666602"/>
    <n v="1.53489795918367"/>
    <s v="Order"/>
    <n v="58.180399999999999"/>
  </r>
  <r>
    <d v="2023-02-08T00:00:00"/>
    <x v="3"/>
    <x v="1"/>
    <n v="7"/>
    <n v="7"/>
    <x v="1"/>
    <x v="27"/>
    <x v="2"/>
    <s v="Rain / Snow Mix"/>
    <n v="37.1"/>
    <x v="242"/>
    <n v="102"/>
    <n v="8"/>
    <n v="100.95"/>
    <n v="78.203999999999994"/>
    <n v="23.865200000000002"/>
    <n v="18.487943262411399"/>
    <n v="12.61875"/>
    <n v="0.98970588235294099"/>
    <s v="Order"/>
    <n v="58.882399999999997"/>
  </r>
  <r>
    <d v="2023-02-07T00:00:00"/>
    <x v="3"/>
    <x v="1"/>
    <n v="7"/>
    <n v="7"/>
    <x v="3"/>
    <x v="72"/>
    <x v="0"/>
    <s v="Rain / Snow Mix"/>
    <n v="39.5"/>
    <x v="64"/>
    <n v="78"/>
    <n v="12"/>
    <n v="126.11"/>
    <n v="108.71599999999999"/>
    <n v="23.4405"/>
    <n v="20.2074349442379"/>
    <n v="10.509166666666699"/>
    <n v="1.6167948717948699"/>
    <s v="Order"/>
    <n v="58.670299999999997"/>
  </r>
  <r>
    <d v="2023-02-01T00:00:00"/>
    <x v="3"/>
    <x v="1"/>
    <n v="6"/>
    <n v="6"/>
    <x v="1"/>
    <x v="53"/>
    <x v="0"/>
    <s v="Partially Cloudy"/>
    <n v="26.1"/>
    <x v="25"/>
    <n v="53"/>
    <n v="11"/>
    <n v="106.4"/>
    <n v="94.581000000000003"/>
    <n v="23.803100000000001"/>
    <n v="21.159060402684599"/>
    <n v="9.6727272727272702"/>
    <n v="2.0075471698113199"/>
    <s v="Order"/>
    <n v="60.263199999999998"/>
  </r>
  <r>
    <d v="2023-01-31T00:00:00"/>
    <x v="3"/>
    <x v="1"/>
    <n v="6"/>
    <n v="6"/>
    <x v="3"/>
    <x v="59"/>
    <x v="2"/>
    <s v="Light Snow"/>
    <n v="19.7"/>
    <x v="87"/>
    <n v="110"/>
    <n v="11"/>
    <n v="198.9"/>
    <n v="174.37"/>
    <n v="36.629800000000003"/>
    <n v="32.112338858195201"/>
    <n v="18.0818181818182"/>
    <n v="1.8081818181818201"/>
    <s v="Order"/>
    <n v="59.081000000000003"/>
  </r>
  <r>
    <d v="2023-01-28T00:00:00"/>
    <x v="3"/>
    <x v="1"/>
    <n v="5"/>
    <n v="5"/>
    <x v="6"/>
    <x v="53"/>
    <x v="2"/>
    <s v="Rain"/>
    <n v="40.799999999999997"/>
    <x v="153"/>
    <n v="118"/>
    <n v="11"/>
    <n v="97.11"/>
    <n v="70.796000000000006"/>
    <n v="18.2195"/>
    <n v="13.2825515947467"/>
    <n v="8.8281818181818199"/>
    <n v="0.82296610169491502"/>
    <s v="Hourly"/>
    <n v="56.871000000000002"/>
  </r>
  <r>
    <d v="2023-01-27T00:00:00"/>
    <x v="3"/>
    <x v="1"/>
    <n v="5"/>
    <n v="5"/>
    <x v="0"/>
    <x v="19"/>
    <x v="3"/>
    <s v="Partially Cloudy"/>
    <n v="38.9"/>
    <x v="212"/>
    <n v="116"/>
    <n v="11"/>
    <n v="83.08"/>
    <n v="57.212000000000003"/>
    <n v="14.129300000000001"/>
    <n v="9.7299319727891191"/>
    <n v="7.5527272727272701"/>
    <n v="0.71620689655172398"/>
    <s v="Order"/>
    <n v="55.792000000000002"/>
  </r>
  <r>
    <d v="2023-01-26T00:00:00"/>
    <x v="3"/>
    <x v="1"/>
    <n v="5"/>
    <n v="5"/>
    <x v="5"/>
    <x v="82"/>
    <x v="0"/>
    <s v="Partially Cloudy"/>
    <n v="32.4"/>
    <x v="94"/>
    <n v="83"/>
    <n v="13"/>
    <n v="130.32"/>
    <n v="111.81100000000001"/>
    <n v="20.7516"/>
    <n v="17.8042993630573"/>
    <n v="10.0246153846154"/>
    <n v="1.5701204819277099"/>
    <s v="Order"/>
    <n v="54.868899999999996"/>
  </r>
  <r>
    <d v="2023-01-25T00:00:00"/>
    <x v="3"/>
    <x v="1"/>
    <n v="5"/>
    <n v="5"/>
    <x v="1"/>
    <x v="27"/>
    <x v="3"/>
    <s v="Snow Storm"/>
    <n v="42"/>
    <x v="166"/>
    <n v="60"/>
    <n v="6"/>
    <n v="43.54"/>
    <n v="30.16"/>
    <n v="17.277799999999999"/>
    <n v="11.968253968254"/>
    <n v="7.2566666666666704"/>
    <n v="0.72566666666666702"/>
    <s v="Order"/>
    <n v="53.420900000000003"/>
  </r>
  <r>
    <d v="2023-01-21T00:00:00"/>
    <x v="3"/>
    <x v="1"/>
    <n v="4"/>
    <n v="4"/>
    <x v="6"/>
    <x v="37"/>
    <x v="3"/>
    <s v="Light Snow"/>
    <n v="29.3"/>
    <x v="319"/>
    <n v="194"/>
    <n v="13"/>
    <n v="148.47999999999999"/>
    <n v="105.218"/>
    <n v="18.794899999999998"/>
    <n v="13.3187341772152"/>
    <n v="11.4215384615385"/>
    <n v="0.76536082474226796"/>
    <s v="Order"/>
    <n v="52.937100000000001"/>
  </r>
  <r>
    <d v="2023-01-19T00:00:00"/>
    <x v="3"/>
    <x v="1"/>
    <n v="4"/>
    <n v="4"/>
    <x v="5"/>
    <x v="64"/>
    <x v="0"/>
    <s v="Snow Storm"/>
    <n v="26.6"/>
    <x v="223"/>
    <n v="82"/>
    <n v="14"/>
    <n v="129.25"/>
    <n v="110.964"/>
    <n v="19.823599999999999"/>
    <n v="17.019018404908"/>
    <n v="9.2321428571428594"/>
    <n v="1.5762195121951199"/>
    <s v="Order"/>
    <n v="51.287300000000002"/>
  </r>
  <r>
    <d v="2023-01-16T00:00:00"/>
    <x v="3"/>
    <x v="1"/>
    <n v="4"/>
    <n v="4"/>
    <x v="4"/>
    <x v="57"/>
    <x v="3"/>
    <s v="Freezing Rain / Ice"/>
    <n v="37.1"/>
    <x v="320"/>
    <n v="141"/>
    <n v="10"/>
    <n v="93.29"/>
    <n v="61.847000000000001"/>
    <n v="15.1691"/>
    <n v="10.0564227642276"/>
    <n v="9.3290000000000006"/>
    <n v="0.66163120567375899"/>
    <s v="Order"/>
    <n v="49.851199999999999"/>
  </r>
  <r>
    <d v="2023-01-13T00:00:00"/>
    <x v="3"/>
    <x v="1"/>
    <n v="3"/>
    <n v="3"/>
    <x v="0"/>
    <x v="37"/>
    <x v="0"/>
    <s v="Freezing Rain / Ice"/>
    <n v="27.9"/>
    <x v="126"/>
    <n v="109"/>
    <n v="21"/>
    <n v="208.07"/>
    <n v="183.76300000000001"/>
    <n v="22.9405"/>
    <n v="20.260529217199601"/>
    <n v="9.9080952380952407"/>
    <n v="1.9088990825688099"/>
    <s v="Order"/>
    <n v="48.814700000000002"/>
  </r>
  <r>
    <d v="2023-01-12T00:00:00"/>
    <x v="3"/>
    <x v="1"/>
    <n v="3"/>
    <n v="3"/>
    <x v="5"/>
    <x v="40"/>
    <x v="3"/>
    <s v="Rain"/>
    <n v="51.9"/>
    <x v="0"/>
    <n v="122"/>
    <n v="8"/>
    <n v="79.02"/>
    <n v="51.814"/>
    <n v="12.6838"/>
    <n v="8.3168539325842694"/>
    <n v="9.8774999999999995"/>
    <n v="0.64770491803278696"/>
    <s v="Order"/>
    <n v="46.502800000000001"/>
  </r>
  <r>
    <d v="2023-01-11T00:00:00"/>
    <x v="3"/>
    <x v="1"/>
    <n v="3"/>
    <n v="3"/>
    <x v="1"/>
    <x v="50"/>
    <x v="0"/>
    <s v="Freezing Rain / Ice"/>
    <n v="32.1"/>
    <x v="321"/>
    <n v="9"/>
    <n v="1"/>
    <n v="7.5"/>
    <n v="5.4930000000000003"/>
    <n v="16.666699999999999"/>
    <n v="12.206666666666701"/>
    <n v="7.5"/>
    <n v="0.83333333333333404"/>
    <s v="Order"/>
    <n v="47.597299999999997"/>
  </r>
  <r>
    <d v="2023-01-10T00:00:00"/>
    <x v="3"/>
    <x v="1"/>
    <n v="3"/>
    <n v="3"/>
    <x v="3"/>
    <x v="67"/>
    <x v="3"/>
    <s v="Clear"/>
    <n v="27.1"/>
    <x v="322"/>
    <n v="128"/>
    <n v="9"/>
    <n v="92.65"/>
    <n v="64.105999999999995"/>
    <n v="16.845500000000001"/>
    <n v="11.6556363636364"/>
    <n v="10.2944444444444"/>
    <n v="0.72382812500000004"/>
    <s v="Order"/>
    <n v="47.514000000000003"/>
  </r>
  <r>
    <d v="2023-01-09T00:00:00"/>
    <x v="3"/>
    <x v="1"/>
    <n v="3"/>
    <n v="3"/>
    <x v="4"/>
    <x v="111"/>
    <x v="0"/>
    <s v="Partially Cloudy"/>
    <n v="27"/>
    <x v="238"/>
    <n v="111"/>
    <n v="11"/>
    <n v="104.72"/>
    <n v="79.966999999999999"/>
    <n v="18.307700000000001"/>
    <n v="13.980244755244801"/>
    <n v="9.52"/>
    <n v="0.943423423423424"/>
    <s v="Order"/>
    <n v="47.495100000000001"/>
  </r>
  <r>
    <d v="2023-01-08T00:00:00"/>
    <x v="3"/>
    <x v="1"/>
    <n v="2"/>
    <n v="2"/>
    <x v="2"/>
    <x v="2"/>
    <x v="3"/>
    <s v="Partially Cloudy"/>
    <n v="34.1"/>
    <x v="157"/>
    <n v="114.4"/>
    <n v="9"/>
    <n v="77.3"/>
    <n v="51.788800000000002"/>
    <n v="13.8779"/>
    <n v="9.2978096947935391"/>
    <n v="8.5888888888888903"/>
    <n v="0.67569930069930095"/>
    <s v="Order"/>
    <n v="47.142899999999997"/>
  </r>
  <r>
    <d v="2023-01-05T00:00:00"/>
    <x v="3"/>
    <x v="1"/>
    <n v="2"/>
    <n v="2"/>
    <x v="5"/>
    <x v="64"/>
    <x v="1"/>
    <s v="Freezing Rain / Ice"/>
    <n v="30.5"/>
    <x v="18"/>
    <n v="113"/>
    <n v="10"/>
    <n v="83.98"/>
    <n v="58.780999999999999"/>
    <n v="16.863499999999998"/>
    <n v="11.803413654618501"/>
    <n v="8.3979999999999997"/>
    <n v="0.74318584070796501"/>
    <s v="Hourly"/>
    <n v="48.578000000000003"/>
  </r>
  <r>
    <d v="2023-01-04T00:00:00"/>
    <x v="3"/>
    <x v="1"/>
    <n v="2"/>
    <n v="2"/>
    <x v="1"/>
    <x v="103"/>
    <x v="1"/>
    <s v="Freezing Rain / Ice"/>
    <n v="32.200000000000003"/>
    <x v="323"/>
    <n v="113"/>
    <n v="13"/>
    <n v="124.46"/>
    <n v="99.260999999999996"/>
    <n v="19.446899999999999"/>
    <n v="15.50953125"/>
    <n v="9.5738461538461497"/>
    <n v="1.1014159292035399"/>
    <s v="Hourly"/>
    <n v="49.966999999999999"/>
  </r>
  <r>
    <d v="2023-01-03T00:00:00"/>
    <x v="3"/>
    <x v="1"/>
    <n v="2"/>
    <n v="2"/>
    <x v="3"/>
    <x v="63"/>
    <x v="2"/>
    <s v="Rain"/>
    <n v="44.1"/>
    <x v="83"/>
    <n v="94"/>
    <n v="10"/>
    <n v="90.85"/>
    <n v="69.888000000000005"/>
    <n v="15.8"/>
    <n v="12.1544347826087"/>
    <n v="9.0850000000000009"/>
    <n v="0.96648936170212796"/>
    <s v="Order"/>
    <n v="50.554200000000002"/>
  </r>
  <r>
    <d v="2023-01-01T00:00:00"/>
    <x v="3"/>
    <x v="1"/>
    <n v="1"/>
    <n v="1"/>
    <x v="2"/>
    <x v="83"/>
    <x v="2"/>
    <s v="Partially Cloudy"/>
    <n v="46.1"/>
    <x v="324"/>
    <n v="135.5"/>
    <n v="15"/>
    <n v="155.47"/>
    <n v="125.2535"/>
    <n v="18.686299999999999"/>
    <n v="15.0545072115385"/>
    <n v="10.3646666666667"/>
    <n v="1.14738007380074"/>
    <s v="Hourly"/>
    <n v="51.012599999999999"/>
  </r>
  <r>
    <d v="2022-12-30T00:00:00"/>
    <x v="4"/>
    <x v="1"/>
    <n v="1"/>
    <n v="1"/>
    <x v="0"/>
    <x v="2"/>
    <x v="2"/>
    <s v="Rain"/>
    <n v="50.7"/>
    <x v="44"/>
    <n v="141"/>
    <n v="8"/>
    <n v="112.86"/>
    <n v="81.417000000000002"/>
    <n v="19.458600000000001"/>
    <n v="14.037413793103401"/>
    <n v="14.1075"/>
    <n v="0.80042553191489396"/>
    <s v="Order"/>
    <n v="50.715400000000002"/>
  </r>
  <r>
    <d v="2022-12-29T00:00:00"/>
    <x v="4"/>
    <x v="1"/>
    <n v="1"/>
    <n v="1"/>
    <x v="5"/>
    <x v="37"/>
    <x v="2"/>
    <s v="Clear"/>
    <n v="49"/>
    <x v="67"/>
    <n v="137.30000000000001"/>
    <n v="10"/>
    <n v="106.49"/>
    <n v="75.872100000000003"/>
    <n v="14.9986"/>
    <n v="10.6862112676056"/>
    <n v="10.648999999999999"/>
    <n v="0.77560087399854305"/>
    <s v="Order"/>
    <n v="49.461399999999998"/>
  </r>
  <r>
    <d v="2022-12-27T00:00:00"/>
    <x v="4"/>
    <x v="1"/>
    <n v="1"/>
    <n v="1"/>
    <x v="3"/>
    <x v="37"/>
    <x v="3"/>
    <s v="Rain / Snow Mix"/>
    <n v="31"/>
    <x v="131"/>
    <n v="72.400000000000006"/>
    <n v="9"/>
    <n v="60.18"/>
    <n v="44.034799999999997"/>
    <n v="15.313000000000001"/>
    <n v="11.204783715012701"/>
    <n v="6.6866666666666701"/>
    <n v="0.83121546961325998"/>
    <s v="Order"/>
    <n v="50.360300000000002"/>
  </r>
  <r>
    <d v="2022-12-20T00:00:00"/>
    <x v="4"/>
    <x v="2"/>
    <n v="13"/>
    <n v="52"/>
    <x v="3"/>
    <x v="71"/>
    <x v="2"/>
    <s v="Partially Cloudy"/>
    <n v="31.5"/>
    <x v="171"/>
    <n v="177"/>
    <n v="18"/>
    <n v="140.16"/>
    <n v="100.68899999999999"/>
    <n v="16.259899999999998"/>
    <n v="11.680858468677499"/>
    <n v="7.7866666666666697"/>
    <n v="0.79186440677966097"/>
    <s v="Order"/>
    <n v="54.275100000000002"/>
  </r>
  <r>
    <d v="2022-12-19T00:00:00"/>
    <x v="4"/>
    <x v="2"/>
    <n v="13"/>
    <n v="52"/>
    <x v="4"/>
    <x v="105"/>
    <x v="0"/>
    <s v="Partially Cloudy"/>
    <n v="27.5"/>
    <x v="325"/>
    <n v="16"/>
    <n v="1"/>
    <n v="16"/>
    <n v="12.432"/>
    <n v="20"/>
    <n v="15.54"/>
    <n v="16"/>
    <n v="1"/>
    <s v="Order"/>
    <n v="53.227200000000003"/>
  </r>
  <r>
    <d v="2022-12-18T00:00:00"/>
    <x v="4"/>
    <x v="2"/>
    <n v="12"/>
    <n v="51"/>
    <x v="2"/>
    <x v="46"/>
    <x v="1"/>
    <s v="Partially Cloudy"/>
    <n v="27.7"/>
    <x v="326"/>
    <n v="223"/>
    <n v="17"/>
    <n v="148.13999999999999"/>
    <n v="98.411000000000001"/>
    <n v="15.303699999999999"/>
    <n v="10.166425619834699"/>
    <n v="8.7141176470588206"/>
    <n v="0.66430493273542601"/>
    <s v="Hourly"/>
    <n v="53.440399999999997"/>
  </r>
  <r>
    <d v="2022-12-17T00:00:00"/>
    <x v="4"/>
    <x v="2"/>
    <n v="12"/>
    <n v="51"/>
    <x v="6"/>
    <x v="45"/>
    <x v="0"/>
    <s v="Rain / Snow Mix"/>
    <n v="31.5"/>
    <x v="327"/>
    <n v="15.5"/>
    <n v="1"/>
    <n v="13.01"/>
    <n v="9.5534999999999997"/>
    <n v="17.821899999999999"/>
    <n v="13.086986301369899"/>
    <n v="13.01"/>
    <n v="0.83935483870967698"/>
    <s v="Order"/>
    <n v="52.666899999999998"/>
  </r>
  <r>
    <d v="2022-12-16T00:00:00"/>
    <x v="4"/>
    <x v="2"/>
    <n v="12"/>
    <n v="51"/>
    <x v="0"/>
    <x v="52"/>
    <x v="2"/>
    <s v="Snow Storm"/>
    <n v="29.9"/>
    <x v="148"/>
    <n v="113.30000000000001"/>
    <n v="10"/>
    <n v="135.93"/>
    <n v="110.6641"/>
    <n v="19.843800000000002"/>
    <n v="16.155343065693401"/>
    <n v="13.593"/>
    <n v="1.1997352162400701"/>
    <s v="Hourly"/>
    <n v="54.320399999999999"/>
  </r>
  <r>
    <d v="2022-12-15T00:00:00"/>
    <x v="4"/>
    <x v="2"/>
    <n v="12"/>
    <n v="51"/>
    <x v="5"/>
    <x v="105"/>
    <x v="3"/>
    <s v="Snow Storm"/>
    <n v="29.1"/>
    <x v="328"/>
    <n v="196.3"/>
    <n v="16"/>
    <n v="164.79"/>
    <n v="121.0151"/>
    <n v="18.6203"/>
    <n v="13.674022598870099"/>
    <n v="10.299375"/>
    <n v="0.83948038716250595"/>
    <s v="Order"/>
    <n v="52.810099999999998"/>
  </r>
  <r>
    <d v="2022-12-14T00:00:00"/>
    <x v="4"/>
    <x v="2"/>
    <n v="12"/>
    <n v="51"/>
    <x v="1"/>
    <x v="27"/>
    <x v="2"/>
    <s v="Light Snow"/>
    <n v="34.6"/>
    <x v="62"/>
    <n v="114.50000000000001"/>
    <n v="12"/>
    <n v="104.11"/>
    <n v="78.576499999999996"/>
    <n v="18.758600000000001"/>
    <n v="14.157927927927901"/>
    <n v="8.6758333333333297"/>
    <n v="0.90925764192139702"/>
    <s v="Hourly"/>
    <n v="51.71"/>
  </r>
  <r>
    <d v="2022-12-13T00:00:00"/>
    <x v="4"/>
    <x v="2"/>
    <n v="12"/>
    <n v="51"/>
    <x v="3"/>
    <x v="27"/>
    <x v="2"/>
    <s v="Light Snow"/>
    <n v="31.5"/>
    <x v="260"/>
    <n v="76.7"/>
    <n v="7"/>
    <n v="85.05"/>
    <n v="67.945899999999995"/>
    <n v="24.652200000000001"/>
    <n v="19.694463768115899"/>
    <n v="12.15"/>
    <n v="1.1088657105606301"/>
    <s v="Hourly"/>
    <n v="52.4268"/>
  </r>
  <r>
    <d v="2022-12-12T00:00:00"/>
    <x v="4"/>
    <x v="2"/>
    <n v="12"/>
    <n v="51"/>
    <x v="4"/>
    <x v="59"/>
    <x v="0"/>
    <s v="Light Snow"/>
    <n v="27.3"/>
    <x v="252"/>
    <n v="82.7"/>
    <n v="12"/>
    <n v="84.9"/>
    <n v="66.457899999999995"/>
    <n v="17.505199999999999"/>
    <n v="13.7026597938144"/>
    <n v="7.0750000000000002"/>
    <n v="1.0266021765417199"/>
    <s v="Order"/>
    <n v="51.4818"/>
  </r>
  <r>
    <d v="2022-12-11T00:00:00"/>
    <x v="4"/>
    <x v="2"/>
    <n v="11"/>
    <n v="50"/>
    <x v="2"/>
    <x v="10"/>
    <x v="3"/>
    <s v="Light Snow"/>
    <n v="26.7"/>
    <x v="15"/>
    <n v="92.1"/>
    <n v="5"/>
    <n v="51.13"/>
    <n v="30.591699999999999"/>
    <n v="16.493500000000001"/>
    <n v="9.8682903225806502"/>
    <n v="10.226000000000001"/>
    <n v="0.55515743756786096"/>
    <s v="Order"/>
    <n v="50.538400000000003"/>
  </r>
  <r>
    <d v="2022-12-09T00:00:00"/>
    <x v="4"/>
    <x v="2"/>
    <n v="11"/>
    <n v="50"/>
    <x v="0"/>
    <x v="37"/>
    <x v="2"/>
    <s v="Partially Cloudy"/>
    <n v="21.2"/>
    <x v="284"/>
    <n v="96"/>
    <n v="12"/>
    <n v="142.44999999999999"/>
    <n v="121.042"/>
    <n v="31.6556"/>
    <n v="26.898222222222198"/>
    <n v="11.8708333333333"/>
    <n v="1.48385416666667"/>
    <s v="Order"/>
    <n v="52.814599999999999"/>
  </r>
  <r>
    <d v="2022-12-08T00:00:00"/>
    <x v="4"/>
    <x v="2"/>
    <n v="11"/>
    <n v="50"/>
    <x v="5"/>
    <x v="37"/>
    <x v="2"/>
    <s v="Clear"/>
    <n v="34.9"/>
    <x v="329"/>
    <n v="120.1"/>
    <n v="9"/>
    <n v="96.51"/>
    <n v="69.727699999999999"/>
    <n v="13.404199999999999"/>
    <n v="9.6844027777777804"/>
    <n v="10.723333333333301"/>
    <n v="0.80358034970857595"/>
    <s v="Hourly"/>
    <n v="52.479599999999998"/>
  </r>
  <r>
    <d v="2022-12-07T00:00:00"/>
    <x v="4"/>
    <x v="2"/>
    <n v="11"/>
    <n v="50"/>
    <x v="1"/>
    <x v="38"/>
    <x v="2"/>
    <s v="Rain"/>
    <n v="46.1"/>
    <x v="284"/>
    <n v="150.39999999999998"/>
    <n v="14"/>
    <n v="165.23"/>
    <n v="131.6908"/>
    <n v="36.717799999999997"/>
    <n v="29.264622222222201"/>
    <n v="11.802142857142901"/>
    <n v="1.09860372340426"/>
    <s v="Hourly"/>
    <n v="52.636000000000003"/>
  </r>
  <r>
    <d v="2022-12-05T00:00:00"/>
    <x v="4"/>
    <x v="2"/>
    <n v="11"/>
    <n v="50"/>
    <x v="4"/>
    <x v="64"/>
    <x v="1"/>
    <s v="Rain"/>
    <n v="51.3"/>
    <x v="330"/>
    <n v="97.8"/>
    <n v="9"/>
    <n v="71.63"/>
    <n v="49.820599999999999"/>
    <n v="7.8714000000000004"/>
    <n v="5.4747912087912098"/>
    <n v="7.9588888888888896"/>
    <n v="0.73241308793455995"/>
    <s v="Order"/>
    <n v="52.284599999999998"/>
  </r>
  <r>
    <d v="2022-12-03T00:00:00"/>
    <x v="4"/>
    <x v="2"/>
    <n v="10"/>
    <n v="49"/>
    <x v="6"/>
    <x v="112"/>
    <x v="0"/>
    <s v="Partially Cloudy"/>
    <n v="38.1"/>
    <x v="331"/>
    <n v="112"/>
    <n v="21"/>
    <n v="169.08"/>
    <n v="144.10400000000001"/>
    <n v="18.621099999999998"/>
    <n v="15.8704845814978"/>
    <n v="8.0514285714285698"/>
    <n v="1.50964285714286"/>
    <s v="Order"/>
    <n v="54.645400000000002"/>
  </r>
  <r>
    <d v="2022-12-01T00:00:00"/>
    <x v="4"/>
    <x v="2"/>
    <n v="10"/>
    <n v="49"/>
    <x v="5"/>
    <x v="37"/>
    <x v="2"/>
    <s v="Clear"/>
    <n v="35.4"/>
    <x v="332"/>
    <n v="103.7"/>
    <n v="6"/>
    <n v="73.87"/>
    <n v="50.744900000000001"/>
    <n v="13.9377"/>
    <n v="9.5745094339622607"/>
    <n v="12.311666666666699"/>
    <n v="0.71234329797492801"/>
    <s v="Order"/>
    <n v="54.833300000000001"/>
  </r>
  <r>
    <d v="2022-11-28T00:00:00"/>
    <x v="4"/>
    <x v="2"/>
    <n v="10"/>
    <n v="49"/>
    <x v="4"/>
    <x v="37"/>
    <x v="1"/>
    <s v="Clear"/>
    <n v="36.4"/>
    <x v="333"/>
    <n v="64.400000000000006"/>
    <n v="5"/>
    <n v="46.61"/>
    <n v="32.248800000000003"/>
    <n v="5.6840999999999999"/>
    <n v="3.9327804878048802"/>
    <n v="9.3219999999999992"/>
    <n v="0.72375776397515501"/>
    <s v="Order"/>
    <n v="57.790599999999998"/>
  </r>
  <r>
    <d v="2022-11-27T00:00:00"/>
    <x v="4"/>
    <x v="2"/>
    <n v="9"/>
    <n v="48"/>
    <x v="2"/>
    <x v="37"/>
    <x v="2"/>
    <s v="Rain"/>
    <n v="40.9"/>
    <x v="48"/>
    <n v="123.19999999999999"/>
    <n v="11"/>
    <n v="99.02"/>
    <n v="71.546400000000006"/>
    <n v="21.5261"/>
    <n v="15.5535652173913"/>
    <n v="9.0018181818181802"/>
    <n v="0.80373376623376602"/>
    <s v="Hourly"/>
    <n v="58.5869"/>
  </r>
  <r>
    <d v="2022-11-26T00:00:00"/>
    <x v="4"/>
    <x v="2"/>
    <n v="9"/>
    <n v="48"/>
    <x v="6"/>
    <x v="44"/>
    <x v="3"/>
    <s v="Rain"/>
    <n v="53.7"/>
    <x v="334"/>
    <n v="182.7"/>
    <n v="12"/>
    <n v="108.07"/>
    <n v="67.3279"/>
    <n v="20.782699999999998"/>
    <n v="12.947673076923101"/>
    <n v="9.0058333333333298"/>
    <n v="0.59151614668856001"/>
    <s v="Order"/>
    <n v="58.373199999999997"/>
  </r>
  <r>
    <d v="2022-11-25T00:00:00"/>
    <x v="4"/>
    <x v="2"/>
    <n v="9"/>
    <n v="48"/>
    <x v="0"/>
    <x v="56"/>
    <x v="2"/>
    <s v="Partially Cloudy"/>
    <n v="45.2"/>
    <x v="335"/>
    <n v="78.900000000000006"/>
    <n v="9"/>
    <n v="96.42"/>
    <n v="78.825299999999999"/>
    <n v="16.342400000000001"/>
    <n v="13.360220338983099"/>
    <n v="10.713333333333299"/>
    <n v="1.2220532319391599"/>
    <s v="Order"/>
    <n v="57.172400000000003"/>
  </r>
  <r>
    <d v="2022-11-23T00:00:00"/>
    <x v="4"/>
    <x v="2"/>
    <n v="9"/>
    <n v="48"/>
    <x v="1"/>
    <x v="1"/>
    <x v="2"/>
    <s v="Clear"/>
    <n v="34.799999999999997"/>
    <x v="172"/>
    <n v="109.2"/>
    <n v="11"/>
    <n v="120.16"/>
    <n v="95.808400000000006"/>
    <n v="23.107700000000001"/>
    <n v="18.4246923076923"/>
    <n v="10.923636363636399"/>
    <n v="1.1003663003663"/>
    <s v="Order"/>
    <n v="57.457799999999999"/>
  </r>
  <r>
    <d v="2022-11-21T00:00:00"/>
    <x v="4"/>
    <x v="2"/>
    <n v="9"/>
    <n v="48"/>
    <x v="4"/>
    <x v="37"/>
    <x v="1"/>
    <s v="Clear"/>
    <n v="42.5"/>
    <x v="336"/>
    <n v="136.9"/>
    <n v="10"/>
    <n v="140.77000000000001"/>
    <n v="110.2413"/>
    <n v="18.522400000000001"/>
    <n v="14.5054342105263"/>
    <n v="14.077"/>
    <n v="1.02826880934989"/>
    <s v="Order"/>
    <n v="56.122700000000002"/>
  </r>
  <r>
    <d v="2022-11-18T00:00:00"/>
    <x v="4"/>
    <x v="2"/>
    <n v="8"/>
    <n v="47"/>
    <x v="0"/>
    <x v="67"/>
    <x v="2"/>
    <s v="Clear"/>
    <n v="37.6"/>
    <x v="324"/>
    <n v="212"/>
    <n v="15"/>
    <n v="214.98"/>
    <n v="167.70400000000001"/>
    <n v="25.838899999999999"/>
    <n v="20.156730769230801"/>
    <n v="14.332000000000001"/>
    <n v="1.0140566037735801"/>
    <s v="Order"/>
    <n v="55.677700000000002"/>
  </r>
  <r>
    <d v="2022-11-17T00:00:00"/>
    <x v="4"/>
    <x v="2"/>
    <n v="8"/>
    <n v="47"/>
    <x v="5"/>
    <x v="63"/>
    <x v="2"/>
    <s v="Clear"/>
    <n v="33.6"/>
    <x v="172"/>
    <n v="88.600000000000009"/>
    <n v="9"/>
    <n v="112.03"/>
    <n v="92.272199999999998"/>
    <n v="21.5442"/>
    <n v="17.744653846153799"/>
    <n v="12.4477777777778"/>
    <n v="1.2644469525959401"/>
    <s v="Order"/>
    <n v="54.703099999999999"/>
  </r>
  <r>
    <d v="2022-11-11T00:00:00"/>
    <x v="4"/>
    <x v="2"/>
    <n v="7"/>
    <n v="46"/>
    <x v="0"/>
    <x v="67"/>
    <x v="2"/>
    <s v="Rain"/>
    <n v="70"/>
    <x v="337"/>
    <n v="122.30000000000001"/>
    <n v="11"/>
    <n v="138.38999999999999"/>
    <n v="111.11709999999999"/>
    <n v="21.522600000000001"/>
    <n v="17.281041990668701"/>
    <n v="12.580909090909101"/>
    <n v="1.13156173344235"/>
    <s v="Order"/>
    <n v="56.804699999999997"/>
  </r>
  <r>
    <d v="2022-11-10T00:00:00"/>
    <x v="4"/>
    <x v="2"/>
    <n v="7"/>
    <n v="46"/>
    <x v="5"/>
    <x v="2"/>
    <x v="1"/>
    <s v="Rain"/>
    <n v="68.3"/>
    <x v="322"/>
    <n v="112.9"/>
    <n v="9"/>
    <n v="81.86"/>
    <n v="56.683300000000003"/>
    <n v="14.883599999999999"/>
    <n v="10.306054545454501"/>
    <n v="9.0955555555555598"/>
    <n v="0.72506643046944197"/>
    <s v="Order"/>
    <n v="55.267000000000003"/>
  </r>
  <r>
    <d v="2022-11-09T00:00:00"/>
    <x v="4"/>
    <x v="2"/>
    <n v="7"/>
    <n v="46"/>
    <x v="1"/>
    <x v="53"/>
    <x v="0"/>
    <s v="Clear"/>
    <n v="65.099999999999994"/>
    <x v="213"/>
    <n v="26.1"/>
    <n v="5"/>
    <n v="45.09"/>
    <n v="39.2697"/>
    <n v="7.2725999999999997"/>
    <n v="6.33382258064516"/>
    <n v="9.0180000000000007"/>
    <n v="1.72758620689655"/>
    <s v="Order"/>
    <n v="54.357399999999998"/>
  </r>
  <r>
    <d v="2022-11-07T00:00:00"/>
    <x v="4"/>
    <x v="2"/>
    <n v="7"/>
    <n v="46"/>
    <x v="4"/>
    <x v="63"/>
    <x v="1"/>
    <s v="Clear"/>
    <n v="44.9"/>
    <x v="338"/>
    <n v="112.1"/>
    <n v="11"/>
    <n v="129.16999999999999"/>
    <n v="104.1717"/>
    <n v="20.8339"/>
    <n v="16.801887096774198"/>
    <n v="11.742727272727301"/>
    <n v="1.1522747546833201"/>
    <s v="Order"/>
    <n v="54.967599999999997"/>
  </r>
  <r>
    <d v="2022-11-04T00:00:00"/>
    <x v="4"/>
    <x v="2"/>
    <n v="6"/>
    <n v="45"/>
    <x v="0"/>
    <x v="50"/>
    <x v="2"/>
    <s v="Clear"/>
    <n v="73.400000000000006"/>
    <x v="322"/>
    <n v="144"/>
    <n v="9"/>
    <n v="95.21"/>
    <n v="63.097999999999999"/>
    <n v="17.3109"/>
    <n v="11.4723636363636"/>
    <n v="10.578888888888899"/>
    <n v="0.66118055555555599"/>
    <s v="Order"/>
    <n v="55.433999999999997"/>
  </r>
  <r>
    <d v="2022-10-14T00:00:00"/>
    <x v="4"/>
    <x v="2"/>
    <n v="3"/>
    <n v="42"/>
    <x v="0"/>
    <x v="40"/>
    <x v="2"/>
    <s v="Rain"/>
    <n v="65.7"/>
    <x v="115"/>
    <n v="140.39999999999998"/>
    <n v="12"/>
    <n v="177.53"/>
    <n v="146.2208"/>
    <n v="28.726500000000001"/>
    <n v="23.660323624595499"/>
    <n v="14.794166666666699"/>
    <n v="1.26445868945869"/>
    <s v="Order"/>
    <n v="57.163699999999999"/>
  </r>
  <r>
    <d v="2022-10-12T00:00:00"/>
    <x v="4"/>
    <x v="2"/>
    <n v="3"/>
    <n v="42"/>
    <x v="1"/>
    <x v="40"/>
    <x v="2"/>
    <s v="Rain"/>
    <n v="62.6"/>
    <x v="339"/>
    <n v="72.400000000000006"/>
    <n v="9"/>
    <n v="90.95"/>
    <n v="74.8048"/>
    <n v="9.4740000000000002"/>
    <n v="7.7921666666666702"/>
    <n v="10.1055555555556"/>
    <n v="1.2562154696132599"/>
    <s v="Order"/>
    <n v="57.747700000000002"/>
  </r>
  <r>
    <d v="2022-10-11T00:00:00"/>
    <x v="4"/>
    <x v="2"/>
    <n v="3"/>
    <n v="42"/>
    <x v="3"/>
    <x v="87"/>
    <x v="0"/>
    <s v="Rain"/>
    <n v="69.5"/>
    <x v="340"/>
    <n v="70.3"/>
    <n v="10"/>
    <n v="73.02"/>
    <n v="57.3431"/>
    <n v="7.2297000000000002"/>
    <n v="5.6775346534653499"/>
    <n v="7.3019999999999996"/>
    <n v="1.03869132290185"/>
    <s v="Order"/>
    <n v="56.737099999999998"/>
  </r>
  <r>
    <d v="2022-10-08T00:00:00"/>
    <x v="4"/>
    <x v="2"/>
    <n v="2"/>
    <n v="41"/>
    <x v="6"/>
    <x v="113"/>
    <x v="0"/>
    <s v="Rain"/>
    <n v="57.2"/>
    <x v="205"/>
    <n v="167.9"/>
    <n v="21"/>
    <n v="206.46"/>
    <n v="169.01830000000001"/>
    <n v="34.993200000000002"/>
    <n v="28.6471694915254"/>
    <n v="9.8314285714285692"/>
    <n v="1.22966051220965"/>
    <s v="Order"/>
    <n v="58.723199999999999"/>
  </r>
  <r>
    <d v="2022-10-07T00:00:00"/>
    <x v="4"/>
    <x v="2"/>
    <n v="2"/>
    <n v="41"/>
    <x v="0"/>
    <x v="108"/>
    <x v="2"/>
    <s v="Clear"/>
    <n v="57.2"/>
    <x v="336"/>
    <n v="170.7"/>
    <n v="22"/>
    <n v="208.99"/>
    <n v="170.9239"/>
    <n v="27.498699999999999"/>
    <n v="22.489986842105299"/>
    <n v="9.4995454545454603"/>
    <n v="1.2243116578793201"/>
    <s v="Order"/>
    <n v="56.429200000000002"/>
  </r>
  <r>
    <d v="2022-10-06T00:00:00"/>
    <x v="4"/>
    <x v="2"/>
    <n v="2"/>
    <n v="41"/>
    <x v="5"/>
    <x v="50"/>
    <x v="2"/>
    <s v="Rain"/>
    <n v="69.5"/>
    <x v="213"/>
    <n v="125.4"/>
    <n v="14"/>
    <n v="177.31"/>
    <n v="149.3458"/>
    <n v="28.598400000000002"/>
    <n v="24.088032258064501"/>
    <n v="12.664999999999999"/>
    <n v="1.4139553429027101"/>
    <s v="Order"/>
    <n v="54.107100000000003"/>
  </r>
  <r>
    <d v="2022-10-05T00:00:00"/>
    <x v="4"/>
    <x v="2"/>
    <n v="2"/>
    <n v="41"/>
    <x v="1"/>
    <x v="37"/>
    <x v="1"/>
    <s v="Rain"/>
    <n v="73.099999999999994"/>
    <x v="336"/>
    <n v="143.19999999999999"/>
    <n v="13"/>
    <n v="132.1"/>
    <n v="100.1664"/>
    <n v="17.381599999999999"/>
    <n v="13.179789473684201"/>
    <n v="10.1615384615385"/>
    <n v="0.92248603351955305"/>
    <s v="Order"/>
    <n v="53.754399999999997"/>
  </r>
  <r>
    <d v="2022-10-03T00:00:00"/>
    <x v="4"/>
    <x v="2"/>
    <n v="2"/>
    <n v="41"/>
    <x v="4"/>
    <x v="2"/>
    <x v="0"/>
    <s v="Clear"/>
    <n v="62.6"/>
    <x v="341"/>
    <n v="87.3"/>
    <n v="12"/>
    <n v="82.9"/>
    <n v="63.432099999999998"/>
    <n v="36.043500000000002"/>
    <n v="27.579173913043501"/>
    <n v="6.9083333333333297"/>
    <n v="0.94959908361970202"/>
    <s v="Order"/>
    <n v="54.049199999999999"/>
  </r>
  <r>
    <d v="2022-10-02T00:00:00"/>
    <x v="4"/>
    <x v="2"/>
    <n v="1"/>
    <n v="40"/>
    <x v="2"/>
    <x v="114"/>
    <x v="2"/>
    <s v="Clear"/>
    <n v="57.3"/>
    <x v="172"/>
    <n v="59.7"/>
    <n v="4"/>
    <n v="45.83"/>
    <n v="32.5169"/>
    <n v="8.8134999999999994"/>
    <n v="6.2532500000000004"/>
    <n v="11.4575"/>
    <n v="0.767671691792295"/>
    <s v="Order"/>
    <n v="53.799599999999998"/>
  </r>
  <r>
    <d v="2022-09-30T00:00:00"/>
    <x v="4"/>
    <x v="2"/>
    <n v="1"/>
    <n v="40"/>
    <x v="0"/>
    <x v="111"/>
    <x v="2"/>
    <s v="Clear"/>
    <n v="63.1"/>
    <x v="44"/>
    <n v="36.5"/>
    <n v="7"/>
    <n v="85.46"/>
    <n v="77.320499999999996"/>
    <n v="14.734500000000001"/>
    <n v="13.331120689655201"/>
    <n v="12.2085714285714"/>
    <n v="2.3413698630136999"/>
    <s v="Order"/>
    <n v="53.290300000000002"/>
  </r>
  <r>
    <d v="2022-09-29T00:00:00"/>
    <x v="4"/>
    <x v="2"/>
    <n v="1"/>
    <n v="40"/>
    <x v="5"/>
    <x v="88"/>
    <x v="1"/>
    <s v="Clear"/>
    <n v="61.1"/>
    <x v="342"/>
    <n v="108.9"/>
    <n v="10"/>
    <n v="101.93"/>
    <n v="77.645300000000006"/>
    <n v="15.2134"/>
    <n v="11.588850746268699"/>
    <n v="10.193"/>
    <n v="0.93599632690541801"/>
    <s v="Order"/>
    <n v="54.427300000000002"/>
  </r>
  <r>
    <d v="2022-09-27T00:00:00"/>
    <x v="4"/>
    <x v="2"/>
    <n v="1"/>
    <n v="40"/>
    <x v="3"/>
    <x v="50"/>
    <x v="1"/>
    <s v="Rain"/>
    <n v="67.7"/>
    <x v="343"/>
    <n v="138"/>
    <n v="13"/>
    <n v="85.92"/>
    <n v="55.146000000000001"/>
    <n v="19.5273"/>
    <n v="12.5331818181818"/>
    <n v="6.6092307692307699"/>
    <n v="0.62260869565217403"/>
    <s v="Order"/>
    <n v="54.526600000000002"/>
  </r>
  <r>
    <d v="2022-09-26T00:00:00"/>
    <x v="4"/>
    <x v="2"/>
    <n v="1"/>
    <n v="40"/>
    <x v="4"/>
    <x v="115"/>
    <x v="1"/>
    <s v="Rain"/>
    <n v="70.5"/>
    <x v="271"/>
    <n v="104.1"/>
    <n v="16"/>
    <n v="167.59"/>
    <n v="144.37569999999999"/>
    <n v="24.645600000000002"/>
    <n v="21.231720588235302"/>
    <n v="10.474375"/>
    <n v="1.6098943323727199"/>
    <s v="Order"/>
    <n v="53.571899999999999"/>
  </r>
  <r>
    <d v="2022-09-25T00:00:00"/>
    <x v="4"/>
    <x v="3"/>
    <n v="13"/>
    <n v="39"/>
    <x v="2"/>
    <x v="116"/>
    <x v="2"/>
    <s v="Rain"/>
    <n v="71.099999999999994"/>
    <x v="344"/>
    <n v="88.5"/>
    <n v="6"/>
    <n v="64.97"/>
    <n v="45.234499999999997"/>
    <n v="18.0472"/>
    <n v="12.5651388888889"/>
    <n v="10.828333333333299"/>
    <n v="0.73412429378531097"/>
    <s v="Order"/>
    <n v="52.386099999999999"/>
  </r>
  <r>
    <d v="2022-09-23T00:00:00"/>
    <x v="4"/>
    <x v="3"/>
    <n v="13"/>
    <n v="39"/>
    <x v="0"/>
    <x v="117"/>
    <x v="2"/>
    <s v="Clear"/>
    <n v="64.599999999999994"/>
    <x v="177"/>
    <n v="113.8"/>
    <n v="13"/>
    <n v="94.03"/>
    <n v="68.652600000000007"/>
    <n v="37.612000000000002"/>
    <n v="27.461040000000001"/>
    <n v="7.2330769230769203"/>
    <n v="0.82627416520210895"/>
    <s v="Order"/>
    <n v="53.037300000000002"/>
  </r>
  <r>
    <d v="2022-09-21T00:00:00"/>
    <x v="4"/>
    <x v="3"/>
    <n v="13"/>
    <n v="39"/>
    <x v="1"/>
    <x v="52"/>
    <x v="0"/>
    <s v="Rain"/>
    <n v="63.5"/>
    <x v="345"/>
    <n v="48.2"/>
    <n v="10"/>
    <n v="45.85"/>
    <n v="35.101399999999998"/>
    <n v="10.662800000000001"/>
    <n v="8.1631162790697598"/>
    <n v="4.585"/>
    <n v="0.95124481327800803"/>
    <s v="Order"/>
    <n v="54.69"/>
  </r>
  <r>
    <d v="2022-09-20T00:00:00"/>
    <x v="4"/>
    <x v="3"/>
    <n v="13"/>
    <n v="39"/>
    <x v="3"/>
    <x v="118"/>
    <x v="0"/>
    <s v="Rain"/>
    <n v="66.8"/>
    <x v="160"/>
    <n v="28.6"/>
    <n v="3"/>
    <n v="35.19"/>
    <n v="28.812200000000001"/>
    <n v="14.363300000000001"/>
    <n v="11.760081632653099"/>
    <n v="11.73"/>
    <n v="1.2304195804195801"/>
    <s v="Order"/>
    <n v="54.180599999999998"/>
  </r>
  <r>
    <d v="2022-09-19T00:00:00"/>
    <x v="4"/>
    <x v="3"/>
    <n v="13"/>
    <n v="39"/>
    <x v="4"/>
    <x v="40"/>
    <x v="1"/>
    <s v="Rain"/>
    <n v="56.8"/>
    <x v="307"/>
    <n v="80.199999999999989"/>
    <n v="8"/>
    <n v="78.52"/>
    <n v="60.635399999999997"/>
    <n v="11.897"/>
    <n v="9.1871818181818199"/>
    <n v="9.8149999999999995"/>
    <n v="0.97905236907730697"/>
    <s v="Order"/>
    <n v="54.097700000000003"/>
  </r>
  <r>
    <d v="2022-09-18T00:00:00"/>
    <x v="4"/>
    <x v="3"/>
    <n v="12"/>
    <n v="38"/>
    <x v="2"/>
    <x v="52"/>
    <x v="2"/>
    <s v="Rain"/>
    <n v="58.3"/>
    <x v="67"/>
    <n v="124.2"/>
    <n v="11"/>
    <n v="161.83000000000001"/>
    <n v="134.13339999999999"/>
    <n v="22.792999999999999"/>
    <n v="18.8920281690141"/>
    <n v="14.711818181818201"/>
    <n v="1.30297906602254"/>
    <s v="Order"/>
    <n v="53.225200000000001"/>
  </r>
  <r>
    <d v="2022-09-16T00:00:00"/>
    <x v="4"/>
    <x v="3"/>
    <n v="12"/>
    <n v="38"/>
    <x v="0"/>
    <x v="37"/>
    <x v="2"/>
    <s v="Clear"/>
    <n v="66.900000000000006"/>
    <x v="346"/>
    <n v="71.599999999999994"/>
    <n v="6"/>
    <n v="65.78"/>
    <n v="49.813200000000002"/>
    <n v="12.1815"/>
    <n v="9.2246666666666606"/>
    <n v="10.963333333333299"/>
    <n v="0.918715083798883"/>
    <s v="Order"/>
    <n v="51.427100000000003"/>
  </r>
  <r>
    <d v="2022-09-15T00:00:00"/>
    <x v="4"/>
    <x v="3"/>
    <n v="12"/>
    <n v="38"/>
    <x v="5"/>
    <x v="53"/>
    <x v="0"/>
    <s v="Clear"/>
    <n v="65.900000000000006"/>
    <x v="347"/>
    <n v="68"/>
    <n v="16"/>
    <n v="168.62"/>
    <n v="153.45599999999999"/>
    <n v="17.938300000000002"/>
    <n v="16.325106382978699"/>
    <n v="10.53875"/>
    <n v="2.4797058823529401"/>
    <s v="Order"/>
    <n v="52.500799999999998"/>
  </r>
  <r>
    <d v="2022-09-12T00:00:00"/>
    <x v="4"/>
    <x v="3"/>
    <n v="12"/>
    <n v="38"/>
    <x v="4"/>
    <x v="67"/>
    <x v="1"/>
    <s v="Rain"/>
    <n v="72.7"/>
    <x v="348"/>
    <n v="82.5"/>
    <n v="12"/>
    <n v="106.19"/>
    <n v="87.792500000000004"/>
    <n v="15.389900000000001"/>
    <n v="12.7235507246377"/>
    <n v="8.8491666666666706"/>
    <n v="1.28715151515152"/>
    <s v="Order"/>
    <n v="52.001899999999999"/>
  </r>
  <r>
    <d v="2022-09-11T00:00:00"/>
    <x v="4"/>
    <x v="3"/>
    <n v="11"/>
    <n v="37"/>
    <x v="2"/>
    <x v="39"/>
    <x v="0"/>
    <s v="Rain"/>
    <n v="81.7"/>
    <x v="338"/>
    <n v="152.6"/>
    <n v="23"/>
    <n v="149.79"/>
    <n v="115.7602"/>
    <n v="24.159700000000001"/>
    <n v="18.670999999999999"/>
    <n v="6.5126086956521698"/>
    <n v="0.98158584534731297"/>
    <s v="Order"/>
    <n v="50.822000000000003"/>
  </r>
  <r>
    <d v="2022-09-10T00:00:00"/>
    <x v="4"/>
    <x v="3"/>
    <n v="11"/>
    <n v="37"/>
    <x v="6"/>
    <x v="119"/>
    <x v="0"/>
    <s v="Clear"/>
    <n v="79.5"/>
    <x v="284"/>
    <n v="125.80000000000001"/>
    <n v="13"/>
    <n v="112.3"/>
    <n v="84.246600000000001"/>
    <n v="24.9556"/>
    <n v="18.7214666666667"/>
    <n v="8.6384615384615397"/>
    <n v="0.89268680445151005"/>
    <s v="Order"/>
    <n v="49.157699999999998"/>
  </r>
  <r>
    <d v="2022-09-09T00:00:00"/>
    <x v="4"/>
    <x v="3"/>
    <n v="11"/>
    <n v="37"/>
    <x v="0"/>
    <x v="2"/>
    <x v="1"/>
    <s v="Clear"/>
    <n v="82.5"/>
    <x v="162"/>
    <n v="156.19999999999999"/>
    <n v="10"/>
    <n v="110.59"/>
    <n v="75.757400000000004"/>
    <n v="38.134500000000003"/>
    <n v="26.123241379310301"/>
    <n v="11.058999999999999"/>
    <n v="0.708002560819462"/>
    <s v="Order"/>
    <n v="49.517000000000003"/>
  </r>
  <r>
    <d v="2022-09-08T00:00:00"/>
    <x v="4"/>
    <x v="3"/>
    <n v="11"/>
    <n v="37"/>
    <x v="5"/>
    <x v="42"/>
    <x v="1"/>
    <s v="Clear"/>
    <n v="79.3"/>
    <x v="322"/>
    <n v="62.5"/>
    <n v="14"/>
    <n v="114.77"/>
    <n v="100.8325"/>
    <n v="20.8673"/>
    <n v="18.333181818181799"/>
    <n v="8.1978571428571403"/>
    <n v="1.83632"/>
    <s v="Order"/>
    <n v="48.288200000000003"/>
  </r>
  <r>
    <d v="2022-09-07T00:00:00"/>
    <x v="4"/>
    <x v="3"/>
    <n v="11"/>
    <n v="37"/>
    <x v="1"/>
    <x v="65"/>
    <x v="1"/>
    <s v="Rain"/>
    <n v="73.7"/>
    <x v="349"/>
    <n v="65.5"/>
    <n v="3"/>
    <n v="18.829999999999998"/>
    <n v="4.2234999999999996"/>
    <n v="2.69"/>
    <n v="0.60335714285714304"/>
    <n v="6.2766666666666699"/>
    <n v="0.287480916030534"/>
    <s v="Order"/>
    <n v="48.729700000000001"/>
  </r>
  <r>
    <d v="2022-09-06T00:00:00"/>
    <x v="4"/>
    <x v="3"/>
    <n v="11"/>
    <n v="37"/>
    <x v="3"/>
    <x v="120"/>
    <x v="1"/>
    <s v="Rain"/>
    <n v="70.7"/>
    <x v="350"/>
    <n v="93"/>
    <n v="9"/>
    <n v="110.01"/>
    <n v="89.271000000000001"/>
    <n v="45.837499999999999"/>
    <n v="37.196249999999999"/>
    <n v="12.223333333333301"/>
    <n v="1.18290322580645"/>
    <s v="Order"/>
    <n v="49.505200000000002"/>
  </r>
  <r>
    <d v="2022-09-05T00:00:00"/>
    <x v="4"/>
    <x v="3"/>
    <n v="11"/>
    <n v="37"/>
    <x v="4"/>
    <x v="53"/>
    <x v="1"/>
    <s v="Rain"/>
    <n v="62.3"/>
    <x v="351"/>
    <n v="141.4"/>
    <n v="14"/>
    <n v="174.1"/>
    <n v="142.56780000000001"/>
    <n v="27.203099999999999"/>
    <n v="22.276218750000002"/>
    <n v="12.435714285714299"/>
    <n v="1.23125884016973"/>
    <s v="Order"/>
    <n v="48.282899999999998"/>
  </r>
  <r>
    <d v="2022-09-03T00:00:00"/>
    <x v="4"/>
    <x v="3"/>
    <n v="10"/>
    <n v="36"/>
    <x v="6"/>
    <x v="64"/>
    <x v="2"/>
    <s v="Rain"/>
    <n v="83"/>
    <x v="352"/>
    <n v="162"/>
    <n v="17"/>
    <n v="185.99"/>
    <n v="149.864"/>
    <n v="21.3047"/>
    <n v="17.166552119129399"/>
    <n v="10.940588235294101"/>
    <n v="1.14808641975309"/>
    <s v="Order"/>
    <n v="46.348399999999998"/>
  </r>
  <r>
    <d v="2022-09-02T00:00:00"/>
    <x v="4"/>
    <x v="3"/>
    <n v="10"/>
    <n v="36"/>
    <x v="0"/>
    <x v="121"/>
    <x v="2"/>
    <s v="Clear"/>
    <n v="74"/>
    <x v="117"/>
    <n v="95.7"/>
    <n v="11"/>
    <n v="136.03"/>
    <n v="114.6889"/>
    <n v="27.206"/>
    <n v="22.93778"/>
    <n v="12.3663636363636"/>
    <n v="1.4214211076279999"/>
    <s v="Order"/>
    <n v="44.2819"/>
  </r>
  <r>
    <d v="2022-09-01T00:00:00"/>
    <x v="4"/>
    <x v="3"/>
    <n v="10"/>
    <n v="36"/>
    <x v="5"/>
    <x v="52"/>
    <x v="0"/>
    <s v="Clear"/>
    <n v="71.3"/>
    <x v="117"/>
    <n v="78"/>
    <n v="11"/>
    <n v="78.5"/>
    <n v="61.106000000000002"/>
    <n v="15.7"/>
    <n v="12.2212"/>
    <n v="7.1363636363636402"/>
    <n v="1.0064102564102599"/>
    <s v="Order"/>
    <n v="42.770400000000002"/>
  </r>
  <r>
    <d v="2022-08-31T00:00:00"/>
    <x v="4"/>
    <x v="3"/>
    <n v="10"/>
    <n v="36"/>
    <x v="1"/>
    <x v="37"/>
    <x v="1"/>
    <s v="Rain"/>
    <n v="71"/>
    <x v="154"/>
    <n v="115.1"/>
    <n v="10"/>
    <n v="125.49"/>
    <n v="99.822699999999998"/>
    <n v="30.607299999999999"/>
    <n v="24.347000000000001"/>
    <n v="12.548999999999999"/>
    <n v="1.0902693310165099"/>
    <s v="Order"/>
    <n v="42.356200000000001"/>
  </r>
  <r>
    <d v="2022-08-30T00:00:00"/>
    <x v="4"/>
    <x v="3"/>
    <n v="10"/>
    <n v="36"/>
    <x v="3"/>
    <x v="72"/>
    <x v="1"/>
    <s v="Rain"/>
    <n v="79.8"/>
    <x v="245"/>
    <n v="100.8"/>
    <n v="12"/>
    <n v="118.28"/>
    <n v="95.801599999999993"/>
    <n v="19.3902"/>
    <n v="15.7051803278689"/>
    <n v="9.8566666666666691"/>
    <n v="1.1734126984127"/>
    <s v="Order"/>
    <n v="41.977400000000003"/>
  </r>
  <r>
    <d v="2022-08-29T00:00:00"/>
    <x v="4"/>
    <x v="3"/>
    <n v="10"/>
    <n v="36"/>
    <x v="4"/>
    <x v="72"/>
    <x v="2"/>
    <s v="Clear"/>
    <n v="91.7"/>
    <x v="342"/>
    <n v="101.69999999999999"/>
    <n v="7"/>
    <n v="79.790000000000006"/>
    <n v="57.110900000000001"/>
    <n v="11.909000000000001"/>
    <n v="8.5240149253731392"/>
    <n v="11.398571428571399"/>
    <n v="0.78456243854473995"/>
    <s v="Order"/>
    <n v="40.663200000000003"/>
  </r>
  <r>
    <d v="2022-08-27T00:00:00"/>
    <x v="4"/>
    <x v="3"/>
    <n v="9"/>
    <n v="35"/>
    <x v="6"/>
    <x v="2"/>
    <x v="2"/>
    <s v="Rain"/>
    <n v="76.900000000000006"/>
    <x v="353"/>
    <n v="144.77999999999997"/>
    <n v="9"/>
    <n v="122.1"/>
    <n v="89.814059999999998"/>
    <n v="18.2239"/>
    <n v="13.405083582089601"/>
    <n v="13.5666666666667"/>
    <n v="0.84334852880232103"/>
    <s v="Order"/>
    <n v="39.776699999999998"/>
  </r>
  <r>
    <d v="2022-08-22T00:00:00"/>
    <x v="4"/>
    <x v="3"/>
    <n v="9"/>
    <n v="35"/>
    <x v="4"/>
    <x v="67"/>
    <x v="1"/>
    <s v="Rain"/>
    <n v="77.900000000000006"/>
    <x v="140"/>
    <n v="124.19999999999999"/>
    <n v="9"/>
    <n v="100.72"/>
    <n v="73.023399999999995"/>
    <n v="19.748999999999999"/>
    <n v="14.318313725490199"/>
    <n v="11.1911111111111"/>
    <n v="0.81095008051529804"/>
    <s v="Order"/>
    <n v="38.42"/>
  </r>
  <r>
    <d v="2022-08-20T00:00:00"/>
    <x v="4"/>
    <x v="3"/>
    <n v="8"/>
    <n v="34"/>
    <x v="6"/>
    <x v="29"/>
    <x v="2"/>
    <s v="Clear"/>
    <n v="85.9"/>
    <x v="353"/>
    <n v="139"/>
    <n v="13"/>
    <n v="127.27"/>
    <n v="96.272999999999996"/>
    <n v="18.9955"/>
    <n v="14.3691044776119"/>
    <n v="9.7899999999999991"/>
    <n v="0.91561151079136704"/>
    <s v="Order"/>
    <n v="38.516399999999997"/>
  </r>
  <r>
    <d v="2022-08-18T00:00:00"/>
    <x v="4"/>
    <x v="3"/>
    <n v="8"/>
    <n v="34"/>
    <x v="5"/>
    <x v="53"/>
    <x v="1"/>
    <s v="Rain"/>
    <n v="83.3"/>
    <x v="354"/>
    <n v="108.1"/>
    <n v="8"/>
    <n v="83.82"/>
    <n v="59.713700000000003"/>
    <n v="17.462499999999999"/>
    <n v="12.440354166666699"/>
    <n v="10.477499999999999"/>
    <n v="0.77539315448658597"/>
    <s v="Order"/>
    <n v="37.1023"/>
  </r>
  <r>
    <d v="2022-08-17T00:00:00"/>
    <x v="4"/>
    <x v="3"/>
    <n v="8"/>
    <n v="34"/>
    <x v="1"/>
    <x v="50"/>
    <x v="1"/>
    <s v="Rain"/>
    <n v="69"/>
    <x v="48"/>
    <n v="125"/>
    <n v="10"/>
    <n v="130.63"/>
    <n v="102.755"/>
    <n v="28.3978"/>
    <n v="22.3380434782609"/>
    <n v="13.063000000000001"/>
    <n v="1.04504"/>
    <s v="Order"/>
    <n v="36.429299999999998"/>
  </r>
  <r>
    <d v="2022-08-16T00:00:00"/>
    <x v="4"/>
    <x v="3"/>
    <n v="8"/>
    <n v="34"/>
    <x v="3"/>
    <x v="50"/>
    <x v="2"/>
    <s v="Rain"/>
    <n v="68"/>
    <x v="155"/>
    <n v="114.9"/>
    <n v="8"/>
    <n v="86.72"/>
    <n v="61.097299999999997"/>
    <n v="18.4511"/>
    <n v="12.9994255319149"/>
    <n v="10.84"/>
    <n v="0.75474325500435202"/>
    <s v="Order"/>
    <n v="35.649299999999997"/>
  </r>
  <r>
    <d v="2022-08-10T00:00:00"/>
    <x v="4"/>
    <x v="3"/>
    <n v="7"/>
    <n v="33"/>
    <x v="1"/>
    <x v="17"/>
    <x v="0"/>
    <s v="Rain"/>
    <n v="74.400000000000006"/>
    <x v="284"/>
    <n v="73"/>
    <n v="12"/>
    <n v="100"/>
    <n v="83.721000000000004"/>
    <n v="22.222200000000001"/>
    <n v="18.604666666666699"/>
    <n v="8.3333333333333393"/>
    <n v="1.3698630136986301"/>
    <s v="Order"/>
    <n v="36.070300000000003"/>
  </r>
  <r>
    <d v="2022-08-09T00:00:00"/>
    <x v="4"/>
    <x v="3"/>
    <n v="7"/>
    <n v="33"/>
    <x v="3"/>
    <x v="37"/>
    <x v="1"/>
    <s v="Rain"/>
    <n v="70.7"/>
    <x v="355"/>
    <n v="77.7"/>
    <n v="12"/>
    <n v="114.57"/>
    <n v="97.242900000000006"/>
    <n v="20.100000000000001"/>
    <n v="17.0601578947368"/>
    <n v="9.5474999999999994"/>
    <n v="1.4745173745173701"/>
    <s v="Order"/>
    <n v="35.408099999999997"/>
  </r>
  <r>
    <d v="2022-08-08T00:00:00"/>
    <x v="4"/>
    <x v="3"/>
    <n v="7"/>
    <n v="33"/>
    <x v="4"/>
    <x v="67"/>
    <x v="0"/>
    <s v="Rain"/>
    <n v="73.2"/>
    <x v="44"/>
    <n v="81.099999999999994"/>
    <n v="10"/>
    <n v="56.58"/>
    <n v="38.494700000000002"/>
    <n v="9.7552000000000003"/>
    <n v="6.6370172413793096"/>
    <n v="5.6580000000000004"/>
    <n v="0.69765721331689301"/>
    <s v="Order"/>
    <n v="34.85"/>
  </r>
  <r>
    <d v="2022-07-21T00:00:00"/>
    <x v="4"/>
    <x v="3"/>
    <n v="4"/>
    <n v="30"/>
    <x v="5"/>
    <x v="72"/>
    <x v="2"/>
    <s v="Rain"/>
    <n v="89.9"/>
    <x v="286"/>
    <n v="125"/>
    <n v="12"/>
    <n v="114.17"/>
    <n v="86.295000000000002"/>
    <n v="20.1358"/>
    <n v="15.2195767195767"/>
    <n v="9.5141666666666609"/>
    <n v="0.91335999999999995"/>
    <s v="Order"/>
    <n v="37.6736"/>
  </r>
  <r>
    <d v="2022-07-20T00:00:00"/>
    <x v="4"/>
    <x v="3"/>
    <n v="4"/>
    <n v="30"/>
    <x v="1"/>
    <x v="52"/>
    <x v="1"/>
    <s v="Rain"/>
    <n v="90.7"/>
    <x v="48"/>
    <n v="113.69999999999999"/>
    <n v="12"/>
    <n v="136.71"/>
    <n v="111.3549"/>
    <n v="29.7196"/>
    <n v="24.207586956521698"/>
    <n v="11.3925"/>
    <n v="1.2023746701847"/>
    <s v="Order"/>
    <n v="38.579799999999999"/>
  </r>
  <r>
    <d v="2022-07-16T00:00:00"/>
    <x v="4"/>
    <x v="3"/>
    <n v="3"/>
    <n v="29"/>
    <x v="6"/>
    <x v="54"/>
    <x v="1"/>
    <s v="Rain"/>
    <n v="85.2"/>
    <x v="213"/>
    <n v="169.5"/>
    <n v="14"/>
    <n v="129.97"/>
    <n v="92.171499999999995"/>
    <n v="20.962900000000001"/>
    <n v="14.866370967741901"/>
    <n v="9.2835714285714293"/>
    <n v="0.76678466076696195"/>
    <s v="Order"/>
    <n v="37.0608"/>
  </r>
  <r>
    <d v="2022-07-15T00:00:00"/>
    <x v="4"/>
    <x v="3"/>
    <n v="3"/>
    <n v="29"/>
    <x v="0"/>
    <x v="122"/>
    <x v="2"/>
    <s v="Clear"/>
    <n v="81.8"/>
    <x v="322"/>
    <n v="144.69999999999999"/>
    <n v="11"/>
    <n v="100.12"/>
    <n v="67.851900000000001"/>
    <n v="18.203600000000002"/>
    <n v="12.3367090909091"/>
    <n v="9.1018181818181798"/>
    <n v="0.691914305459572"/>
    <s v="Order"/>
    <n v="35.616700000000002"/>
  </r>
  <r>
    <d v="2022-07-13T00:00:00"/>
    <x v="4"/>
    <x v="3"/>
    <n v="3"/>
    <n v="29"/>
    <x v="1"/>
    <x v="1"/>
    <x v="1"/>
    <s v="Rain"/>
    <n v="81.7"/>
    <x v="155"/>
    <n v="107.30000000000001"/>
    <n v="8"/>
    <n v="129.21"/>
    <n v="105.2821"/>
    <n v="27.491499999999998"/>
    <n v="22.400446808510601"/>
    <n v="16.151250000000001"/>
    <n v="1.2041938490214401"/>
    <s v="Order"/>
    <n v="34.504199999999997"/>
  </r>
  <r>
    <d v="2022-07-11T00:00:00"/>
    <x v="4"/>
    <x v="3"/>
    <n v="3"/>
    <n v="29"/>
    <x v="4"/>
    <x v="67"/>
    <x v="1"/>
    <s v="Rain"/>
    <n v="84"/>
    <x v="136"/>
    <n v="71.400000000000006"/>
    <n v="10"/>
    <n v="122.56"/>
    <n v="106.6378"/>
    <n v="34.044400000000003"/>
    <n v="29.6216111111111"/>
    <n v="12.256"/>
    <n v="1.71652661064426"/>
    <s v="Order"/>
    <n v="33.068600000000004"/>
  </r>
  <r>
    <d v="2022-07-08T00:00:00"/>
    <x v="4"/>
    <x v="3"/>
    <n v="2"/>
    <n v="28"/>
    <x v="0"/>
    <x v="48"/>
    <x v="1"/>
    <s v="Clear"/>
    <n v="77.5"/>
    <x v="356"/>
    <n v="169"/>
    <n v="18"/>
    <n v="145.57"/>
    <n v="107.883"/>
    <n v="16.636600000000001"/>
    <n v="12.329485714285701"/>
    <n v="8.0872222222222199"/>
    <n v="0.86136094674556196"/>
    <s v="Order"/>
    <n v="31.706800000000001"/>
  </r>
  <r>
    <d v="2022-07-07T00:00:00"/>
    <x v="4"/>
    <x v="3"/>
    <n v="2"/>
    <n v="28"/>
    <x v="5"/>
    <x v="42"/>
    <x v="1"/>
    <s v="Rain"/>
    <n v="81.599999999999994"/>
    <x v="357"/>
    <n v="76.800000000000011"/>
    <n v="13"/>
    <n v="91.2"/>
    <n v="74.073599999999999"/>
    <n v="27.636399999999998"/>
    <n v="22.4465454545455"/>
    <n v="7.0153846153846198"/>
    <n v="1.1875"/>
    <s v="Order"/>
    <n v="30.870699999999999"/>
  </r>
  <r>
    <d v="2022-07-06T00:00:00"/>
    <x v="4"/>
    <x v="3"/>
    <n v="2"/>
    <n v="28"/>
    <x v="1"/>
    <x v="50"/>
    <x v="2"/>
    <s v="Partially Cloudy"/>
    <n v="76.7"/>
    <x v="357"/>
    <n v="48.2"/>
    <n v="6"/>
    <n v="67.430000000000007"/>
    <n v="56.681399999999996"/>
    <n v="20.433299999999999"/>
    <n v="17.176181818181799"/>
    <n v="11.2383333333333"/>
    <n v="1.3989626556016601"/>
    <s v="Order"/>
    <n v="29.857299999999999"/>
  </r>
  <r>
    <d v="2022-07-05T00:00:00"/>
    <x v="4"/>
    <x v="3"/>
    <n v="2"/>
    <n v="28"/>
    <x v="3"/>
    <x v="52"/>
    <x v="0"/>
    <s v="Rain"/>
    <n v="76"/>
    <x v="283"/>
    <n v="46.1"/>
    <n v="8"/>
    <n v="60.43"/>
    <n v="50.149700000000003"/>
    <n v="18.4238"/>
    <n v="15.2895426829268"/>
    <n v="7.55375"/>
    <n v="1.3108459869848199"/>
    <s v="Order"/>
    <n v="29.1081"/>
  </r>
  <r>
    <d v="2022-07-02T00:00:00"/>
    <x v="4"/>
    <x v="3"/>
    <n v="1"/>
    <n v="27"/>
    <x v="6"/>
    <x v="123"/>
    <x v="0"/>
    <s v="Clear"/>
    <n v="80.3"/>
    <x v="126"/>
    <n v="166"/>
    <n v="20"/>
    <n v="187.79"/>
    <n v="150.77199999999999"/>
    <n v="20.704499999999999"/>
    <n v="16.623153252480702"/>
    <n v="9.3895"/>
    <n v="1.13126506024096"/>
    <s v="Order"/>
    <n v="28.436699999999998"/>
  </r>
  <r>
    <d v="2022-07-01T00:00:00"/>
    <x v="4"/>
    <x v="3"/>
    <n v="1"/>
    <n v="27"/>
    <x v="0"/>
    <x v="50"/>
    <x v="0"/>
    <s v="Rain"/>
    <n v="83.9"/>
    <x v="284"/>
    <n v="143"/>
    <n v="12"/>
    <n v="110.86"/>
    <n v="78.971000000000004"/>
    <n v="24.6356"/>
    <n v="17.549111111111099"/>
    <n v="9.2383333333333297"/>
    <n v="0.775244755244755"/>
    <s v="Order"/>
    <n v="26.350100000000001"/>
  </r>
  <r>
    <d v="2022-06-28T00:00:00"/>
    <x v="4"/>
    <x v="3"/>
    <n v="1"/>
    <n v="27"/>
    <x v="3"/>
    <x v="72"/>
    <x v="1"/>
    <s v="Rain"/>
    <n v="78.3"/>
    <x v="319"/>
    <n v="92.2"/>
    <n v="5"/>
    <n v="60.87"/>
    <n v="40.309399999999997"/>
    <n v="7.7050999999999998"/>
    <n v="5.1024556962025303"/>
    <n v="12.173999999999999"/>
    <n v="0.66019522776572603"/>
    <s v="Order"/>
    <n v="26.7441"/>
  </r>
  <r>
    <d v="2022-06-26T00:00:00"/>
    <x v="4"/>
    <x v="0"/>
    <n v="13"/>
    <n v="26"/>
    <x v="2"/>
    <x v="124"/>
    <x v="0"/>
    <s v="Rain"/>
    <n v="76.5"/>
    <x v="336"/>
    <n v="142.5"/>
    <n v="16"/>
    <n v="123.58"/>
    <n v="91.802499999999995"/>
    <n v="16.2605"/>
    <n v="12.0792763157895"/>
    <n v="7.7237499999999999"/>
    <n v="0.86722807017543901"/>
    <s v="Order"/>
    <n v="26.697099999999999"/>
  </r>
  <r>
    <d v="2022-06-25T00:00:00"/>
    <x v="4"/>
    <x v="0"/>
    <n v="13"/>
    <n v="26"/>
    <x v="6"/>
    <x v="65"/>
    <x v="0"/>
    <s v="Clear"/>
    <n v="88.2"/>
    <x v="338"/>
    <n v="134"/>
    <n v="16"/>
    <n v="118.68"/>
    <n v="88.798000000000002"/>
    <n v="19.1419"/>
    <n v="14.322258064516101"/>
    <n v="7.4175000000000004"/>
    <n v="0.88567164179104496"/>
    <s v="Order"/>
    <n v="25.324000000000002"/>
  </r>
  <r>
    <d v="2022-06-24T00:00:00"/>
    <x v="4"/>
    <x v="0"/>
    <n v="13"/>
    <n v="26"/>
    <x v="0"/>
    <x v="42"/>
    <x v="2"/>
    <s v="Clear"/>
    <n v="87.6"/>
    <x v="20"/>
    <n v="137.6"/>
    <n v="9"/>
    <n v="124.09"/>
    <n v="93.405199999999994"/>
    <n v="35.454300000000003"/>
    <n v="26.687200000000001"/>
    <n v="13.7877777777778"/>
    <n v="0.901816860465116"/>
    <s v="Order"/>
    <n v="24.005299999999998"/>
  </r>
  <r>
    <d v="2022-06-22T00:00:00"/>
    <x v="4"/>
    <x v="0"/>
    <n v="13"/>
    <n v="26"/>
    <x v="1"/>
    <x v="125"/>
    <x v="0"/>
    <s v="Rain"/>
    <n v="71.2"/>
    <x v="179"/>
    <n v="63"/>
    <n v="5"/>
    <n v="27.73"/>
    <n v="13.680999999999999"/>
    <n v="7.8555000000000001"/>
    <n v="3.8756373937677102"/>
    <n v="5.5460000000000003"/>
    <n v="0.44015873015873003"/>
    <s v="Order"/>
    <n v="25.2103"/>
  </r>
  <r>
    <d v="2022-06-18T00:00:00"/>
    <x v="4"/>
    <x v="0"/>
    <n v="12"/>
    <n v="25"/>
    <x v="6"/>
    <x v="63"/>
    <x v="0"/>
    <s v="Rain"/>
    <n v="54.9"/>
    <x v="271"/>
    <n v="128.30000000000001"/>
    <n v="17"/>
    <n v="162.41"/>
    <n v="133.79910000000001"/>
    <n v="23.883800000000001"/>
    <n v="19.6763382352941"/>
    <n v="9.5535294117646998"/>
    <n v="1.26586126266563"/>
    <s v="Order"/>
    <n v="25.193899999999999"/>
  </r>
  <r>
    <d v="2022-06-16T00:00:00"/>
    <x v="4"/>
    <x v="0"/>
    <n v="12"/>
    <n v="25"/>
    <x v="5"/>
    <x v="52"/>
    <x v="1"/>
    <s v="Rain"/>
    <n v="78.2"/>
    <x v="271"/>
    <n v="163.1"/>
    <n v="10"/>
    <n v="123.72"/>
    <n v="87.348699999999994"/>
    <n v="18.194099999999999"/>
    <n v="12.845397058823499"/>
    <n v="12.372"/>
    <n v="0.75855303494788495"/>
    <s v="Order"/>
    <n v="27.090800000000002"/>
  </r>
  <r>
    <d v="2022-06-12T00:00:00"/>
    <x v="4"/>
    <x v="0"/>
    <n v="11"/>
    <n v="24"/>
    <x v="2"/>
    <x v="86"/>
    <x v="1"/>
    <s v="Rain"/>
    <n v="76.3"/>
    <x v="132"/>
    <n v="182"/>
    <n v="13"/>
    <n v="144.63999999999999"/>
    <n v="104.054"/>
    <n v="21.208200000000001"/>
    <n v="15.257184750733099"/>
    <n v="11.1261538461538"/>
    <n v="0.79472527472527499"/>
    <s v="Order"/>
    <n v="25.716100000000001"/>
  </r>
  <r>
    <d v="2022-06-10T00:00:00"/>
    <x v="4"/>
    <x v="0"/>
    <n v="11"/>
    <n v="24"/>
    <x v="0"/>
    <x v="1"/>
    <x v="1"/>
    <s v="Clear"/>
    <n v="74"/>
    <x v="358"/>
    <n v="166.4"/>
    <n v="16"/>
    <n v="154.5"/>
    <n v="117.39279999999999"/>
    <n v="16.978000000000002"/>
    <n v="12.900307692307701"/>
    <n v="9.65625"/>
    <n v="0.92848557692307698"/>
    <s v="Order"/>
    <n v="25.094200000000001"/>
  </r>
  <r>
    <d v="2022-06-09T00:00:00"/>
    <x v="4"/>
    <x v="0"/>
    <n v="11"/>
    <n v="24"/>
    <x v="5"/>
    <x v="126"/>
    <x v="2"/>
    <s v="Clear"/>
    <n v="73.5"/>
    <x v="205"/>
    <n v="101.4"/>
    <n v="11"/>
    <n v="88.63"/>
    <n v="66.017799999999994"/>
    <n v="15.022"/>
    <n v="11.1894576271186"/>
    <n v="8.0572727272727303"/>
    <n v="0.87406311637080902"/>
    <s v="Order"/>
    <n v="24.990200000000002"/>
  </r>
  <r>
    <d v="2022-06-03T00:00:00"/>
    <x v="4"/>
    <x v="0"/>
    <n v="10"/>
    <n v="23"/>
    <x v="0"/>
    <x v="67"/>
    <x v="1"/>
    <s v="Rain"/>
    <n v="62.7"/>
    <x v="255"/>
    <n v="81.48"/>
    <n v="4"/>
    <n v="41.22"/>
    <n v="23.049959999999999"/>
    <n v="10.5692"/>
    <n v="5.9102461538461499"/>
    <n v="10.305"/>
    <n v="0.50589101620029397"/>
    <s v="Order"/>
    <n v="24.806999999999999"/>
  </r>
  <r>
    <d v="2022-06-02T00:00:00"/>
    <x v="4"/>
    <x v="0"/>
    <n v="10"/>
    <n v="23"/>
    <x v="5"/>
    <x v="127"/>
    <x v="2"/>
    <s v="Rain"/>
    <n v="55.3"/>
    <x v="265"/>
    <n v="51"/>
    <n v="6"/>
    <n v="91.4"/>
    <n v="80.027000000000001"/>
    <n v="43.523800000000001"/>
    <n v="38.108095238095203"/>
    <n v="15.233333333333301"/>
    <n v="1.7921568627451001"/>
    <s v="Order"/>
    <n v="24.349"/>
  </r>
  <r>
    <d v="2022-05-23T00:00:00"/>
    <x v="4"/>
    <x v="0"/>
    <n v="9"/>
    <n v="22"/>
    <x v="4"/>
    <x v="111"/>
    <x v="1"/>
    <s v="Clear"/>
    <n v="62.6"/>
    <x v="217"/>
    <n v="113.6"/>
    <n v="13"/>
    <n v="109.4"/>
    <n v="84.0672"/>
    <n v="19.193000000000001"/>
    <n v="14.7486315789474"/>
    <n v="8.4153846153846192"/>
    <n v="0.96302816901408494"/>
    <s v="Order"/>
    <n v="27.115400000000001"/>
  </r>
  <r>
    <d v="2022-05-20T00:00:00"/>
    <x v="4"/>
    <x v="0"/>
    <n v="8"/>
    <n v="21"/>
    <x v="0"/>
    <x v="47"/>
    <x v="0"/>
    <s v="Rain"/>
    <n v="69.900000000000006"/>
    <x v="350"/>
    <n v="33"/>
    <n v="5"/>
    <n v="23.25"/>
    <n v="15.891"/>
    <n v="9.6875"/>
    <n v="6.6212499999999999"/>
    <n v="4.6500000000000004"/>
    <n v="0.70454545454545403"/>
    <s v="Order"/>
    <n v="25.899899999999999"/>
  </r>
  <r>
    <d v="2022-05-19T00:00:00"/>
    <x v="4"/>
    <x v="0"/>
    <n v="8"/>
    <n v="21"/>
    <x v="5"/>
    <x v="53"/>
    <x v="2"/>
    <s v="Rain"/>
    <n v="58.6"/>
    <x v="15"/>
    <n v="62"/>
    <n v="7"/>
    <n v="60.43"/>
    <n v="46.603999999999999"/>
    <n v="19.493500000000001"/>
    <n v="15.033548387096801"/>
    <n v="8.6328571428571408"/>
    <n v="0.97467741935483898"/>
    <s v="Order"/>
    <n v="25.6416"/>
  </r>
  <r>
    <d v="2022-05-13T00:00:00"/>
    <x v="4"/>
    <x v="0"/>
    <n v="7"/>
    <n v="20"/>
    <x v="0"/>
    <x v="40"/>
    <x v="2"/>
    <s v="Rain"/>
    <n v="86.8"/>
    <x v="359"/>
    <n v="162.4"/>
    <n v="11"/>
    <n v="124.61"/>
    <n v="88.394800000000004"/>
    <n v="19.779399999999999"/>
    <n v="14.0309206349206"/>
    <n v="11.3281818181818"/>
    <n v="0.76730295566502404"/>
    <s v="Order"/>
    <n v="25.2118"/>
  </r>
  <r>
    <d v="2022-05-12T00:00:00"/>
    <x v="4"/>
    <x v="0"/>
    <n v="7"/>
    <n v="20"/>
    <x v="5"/>
    <x v="128"/>
    <x v="0"/>
    <s v="Rain"/>
    <n v="77.5"/>
    <x v="360"/>
    <n v="42"/>
    <n v="7"/>
    <n v="40.4"/>
    <n v="31.033999999999999"/>
    <n v="15.538500000000001"/>
    <n v="11.9361538461538"/>
    <n v="5.7714285714285696"/>
    <n v="0.96190476190476204"/>
    <s v="Order"/>
    <n v="24.966699999999999"/>
  </r>
  <r>
    <d v="2022-05-11T00:00:00"/>
    <x v="4"/>
    <x v="0"/>
    <n v="7"/>
    <n v="20"/>
    <x v="1"/>
    <x v="129"/>
    <x v="2"/>
    <s v="Clear"/>
    <n v="78.599999999999994"/>
    <x v="191"/>
    <n v="52"/>
    <n v="8"/>
    <n v="64.34"/>
    <n v="52.744"/>
    <n v="21.4467"/>
    <n v="17.581333333333301"/>
    <n v="8.0425000000000004"/>
    <n v="1.23730769230769"/>
    <s v="Order"/>
    <n v="24.517800000000001"/>
  </r>
  <r>
    <d v="2022-05-07T00:00:00"/>
    <x v="4"/>
    <x v="0"/>
    <n v="6"/>
    <n v="19"/>
    <x v="6"/>
    <x v="130"/>
    <x v="2"/>
    <s v="Clear"/>
    <n v="57.8"/>
    <x v="361"/>
    <n v="136.69999999999999"/>
    <n v="18"/>
    <n v="177.53"/>
    <n v="147.04589999999999"/>
    <n v="22.760300000000001"/>
    <n v="18.852038461538498"/>
    <n v="9.8627777777777794"/>
    <n v="1.2986832479882999"/>
    <s v="Order"/>
    <n v="25.033300000000001"/>
  </r>
  <r>
    <d v="2022-05-04T00:00:00"/>
    <x v="4"/>
    <x v="0"/>
    <n v="6"/>
    <n v="19"/>
    <x v="1"/>
    <x v="131"/>
    <x v="1"/>
    <s v="Rain"/>
    <n v="65.5"/>
    <x v="362"/>
    <n v="62"/>
    <n v="9"/>
    <n v="82.49"/>
    <n v="68.664000000000001"/>
    <n v="21.707899999999999"/>
    <n v="18.0694736842105"/>
    <n v="9.1655555555555601"/>
    <n v="1.33048387096774"/>
    <s v="Order"/>
    <n v="23.0608"/>
  </r>
  <r>
    <d v="2022-05-03T00:00:00"/>
    <x v="4"/>
    <x v="0"/>
    <n v="6"/>
    <n v="19"/>
    <x v="3"/>
    <x v="37"/>
    <x v="0"/>
    <s v="Rain"/>
    <n v="48.9"/>
    <x v="144"/>
    <n v="72.3"/>
    <n v="8"/>
    <n v="50.68"/>
    <n v="34.557099999999998"/>
    <n v="15.8375"/>
    <n v="10.799093750000001"/>
    <n v="6.335"/>
    <n v="0.70096818810511796"/>
    <s v="Order"/>
    <n v="22.7652"/>
  </r>
  <r>
    <d v="2022-04-22T00:00:00"/>
    <x v="4"/>
    <x v="0"/>
    <n v="4"/>
    <n v="17"/>
    <x v="0"/>
    <x v="132"/>
    <x v="1"/>
    <s v="Clear"/>
    <n v="58.3"/>
    <x v="363"/>
    <n v="213.2"/>
    <n v="18"/>
    <n v="195.73"/>
    <n v="148.18639999999999"/>
    <n v="23.301200000000001"/>
    <n v="17.641238095238101"/>
    <n v="10.873888888888899"/>
    <n v="0.91805816135084395"/>
    <s v="Order"/>
    <n v="22.629100000000001"/>
  </r>
  <r>
    <d v="2022-04-09T00:00:00"/>
    <x v="4"/>
    <x v="0"/>
    <n v="2"/>
    <n v="15"/>
    <x v="6"/>
    <x v="52"/>
    <x v="2"/>
    <s v="Rain"/>
    <n v="54.5"/>
    <x v="313"/>
    <n v="49.5"/>
    <n v="8"/>
    <n v="70.319999999999993"/>
    <n v="59.281500000000001"/>
    <n v="37.0105"/>
    <n v="31.2007894736842"/>
    <n v="8.7899999999999991"/>
    <n v="1.42060606060606"/>
    <s v="Order"/>
    <n v="22.451000000000001"/>
  </r>
  <r>
    <d v="2022-04-02T00:00:00"/>
    <x v="4"/>
    <x v="0"/>
    <n v="1"/>
    <n v="14"/>
    <x v="6"/>
    <x v="133"/>
    <x v="2"/>
    <s v="Light Snow"/>
    <n v="45.2"/>
    <x v="20"/>
    <n v="68"/>
    <n v="7"/>
    <n v="75.069999999999993"/>
    <n v="59.905999999999999"/>
    <n v="21.448599999999999"/>
    <n v="17.116"/>
    <n v="10.724285714285701"/>
    <n v="1.1039705882352899"/>
    <s v="Order"/>
    <n v="21.669699999999999"/>
  </r>
  <r>
    <d v="2022-03-31T00:00:00"/>
    <x v="4"/>
    <x v="0"/>
    <n v="1"/>
    <n v="14"/>
    <x v="5"/>
    <x v="88"/>
    <x v="2"/>
    <s v="Rain"/>
    <n v="50.8"/>
    <x v="20"/>
    <n v="68"/>
    <n v="10"/>
    <n v="71.25"/>
    <n v="56.085999999999999"/>
    <n v="20.357099999999999"/>
    <n v="16.024571428571399"/>
    <n v="7.125"/>
    <n v="1.04779411764706"/>
    <s v="Order"/>
    <n v="20.835599999999999"/>
  </r>
  <r>
    <d v="2022-03-29T00:00:00"/>
    <x v="4"/>
    <x v="0"/>
    <n v="1"/>
    <n v="14"/>
    <x v="3"/>
    <x v="134"/>
    <x v="2"/>
    <s v="Clear"/>
    <n v="44.5"/>
    <x v="364"/>
    <n v="37.799999999999997"/>
    <n v="4"/>
    <n v="56.64"/>
    <n v="48.210599999999999"/>
    <n v="33.317599999999999"/>
    <n v="28.359176470588199"/>
    <n v="14.16"/>
    <n v="1.4984126984127"/>
    <s v="Order"/>
    <n v="21.712599999999998"/>
  </r>
  <r>
    <d v="2022-03-26T00:00:00"/>
    <x v="4"/>
    <x v="1"/>
    <n v="13"/>
    <n v="13"/>
    <x v="6"/>
    <x v="66"/>
    <x v="2"/>
    <s v="Rain / Snow Mix"/>
    <n v="46.8"/>
    <x v="71"/>
    <n v="111"/>
    <n v="9"/>
    <n v="129.97"/>
    <n v="105.217"/>
    <n v="29.405000000000001"/>
    <n v="23.8047511312217"/>
    <n v="14.4411111111111"/>
    <n v="1.1709009009008999"/>
    <s v="Order"/>
    <n v="21.528199999999998"/>
  </r>
  <r>
    <d v="2022-03-25T00:00:00"/>
    <x v="4"/>
    <x v="1"/>
    <n v="13"/>
    <n v="13"/>
    <x v="0"/>
    <x v="17"/>
    <x v="1"/>
    <s v="Rain"/>
    <n v="48.4"/>
    <x v="322"/>
    <n v="95.800000000000011"/>
    <n v="15"/>
    <n v="102.57"/>
    <n v="81.206599999999995"/>
    <n v="18.649100000000001"/>
    <n v="14.7648363636364"/>
    <n v="6.8380000000000001"/>
    <n v="1.07066805845511"/>
    <s v="Order"/>
    <n v="20.084099999999999"/>
  </r>
  <r>
    <d v="2022-03-24T00:00:00"/>
    <x v="4"/>
    <x v="1"/>
    <n v="13"/>
    <n v="13"/>
    <x v="5"/>
    <x v="135"/>
    <x v="2"/>
    <s v="Rain"/>
    <n v="53"/>
    <x v="61"/>
    <n v="36.5"/>
    <n v="2"/>
    <n v="26.25"/>
    <n v="18.110499999999998"/>
    <n v="23.863600000000002"/>
    <n v="16.464090909090899"/>
    <n v="13.125"/>
    <n v="0.71917808219178103"/>
    <s v="Order"/>
    <n v="18.944400000000002"/>
  </r>
  <r>
    <d v="2022-03-20T00:00:00"/>
    <x v="4"/>
    <x v="1"/>
    <n v="12"/>
    <n v="12"/>
    <x v="2"/>
    <x v="136"/>
    <x v="2"/>
    <s v="Rain"/>
    <n v="43.1"/>
    <x v="81"/>
    <n v="80"/>
    <n v="13"/>
    <n v="110.7"/>
    <n v="92.86"/>
    <n v="27.675000000000001"/>
    <n v="23.215"/>
    <n v="8.5153846153846207"/>
    <n v="1.38375"/>
    <s v="Order"/>
    <n v="18.652799999999999"/>
  </r>
  <r>
    <d v="2022-03-19T00:00:00"/>
    <x v="4"/>
    <x v="1"/>
    <n v="12"/>
    <n v="12"/>
    <x v="6"/>
    <x v="137"/>
    <x v="2"/>
    <s v="Rain"/>
    <n v="49.1"/>
    <x v="365"/>
    <n v="176"/>
    <n v="23"/>
    <n v="222.43"/>
    <n v="183.18199999999999"/>
    <n v="25.2761"/>
    <n v="20.816136363636399"/>
    <n v="9.6708695652173908"/>
    <n v="1.2638068181818201"/>
    <s v="Order"/>
    <n v="17.422799999999999"/>
  </r>
  <r>
    <d v="2022-03-14T00:00:00"/>
    <x v="4"/>
    <x v="1"/>
    <n v="12"/>
    <n v="12"/>
    <x v="4"/>
    <x v="37"/>
    <x v="2"/>
    <s v="Rain"/>
    <n v="49"/>
    <x v="354"/>
    <n v="86"/>
    <n v="11"/>
    <n v="88.67"/>
    <n v="69.492000000000004"/>
    <n v="18.472899999999999"/>
    <n v="14.477499999999999"/>
    <n v="8.0609090909090906"/>
    <n v="1.0310465116279099"/>
    <s v="Order"/>
    <n v="15.8352"/>
  </r>
  <r>
    <d v="2022-03-12T00:00:00"/>
    <x v="4"/>
    <x v="1"/>
    <n v="11"/>
    <n v="11"/>
    <x v="6"/>
    <x v="138"/>
    <x v="2"/>
    <s v="Partially Cloudy"/>
    <n v="22.8"/>
    <x v="284"/>
    <n v="115.60000000000001"/>
    <n v="11"/>
    <n v="145.13999999999999"/>
    <n v="119.3612"/>
    <n v="32.253300000000003"/>
    <n v="26.524711111111099"/>
    <n v="13.1945454545455"/>
    <n v="1.25553633217993"/>
    <s v="Order"/>
    <n v="14.85"/>
  </r>
  <r>
    <d v="2022-03-07T00:00:00"/>
    <x v="4"/>
    <x v="1"/>
    <n v="11"/>
    <n v="11"/>
    <x v="4"/>
    <x v="139"/>
    <x v="2"/>
    <s v="Rain"/>
    <n v="36.5"/>
    <x v="341"/>
    <n v="54.3"/>
    <n v="6"/>
    <n v="72.14"/>
    <n v="60.031100000000002"/>
    <n v="31.365200000000002"/>
    <n v="26.1004782608696"/>
    <n v="12.0233333333333"/>
    <n v="1.3285451197053399"/>
    <s v="Order"/>
    <n v="14.452299999999999"/>
  </r>
  <r>
    <d v="2022-02-28T00:00:00"/>
    <x v="4"/>
    <x v="1"/>
    <n v="10"/>
    <n v="10"/>
    <x v="4"/>
    <x v="140"/>
    <x v="2"/>
    <s v="Light Snow"/>
    <n v="27.8"/>
    <x v="168"/>
    <n v="119.19999999999999"/>
    <n v="11"/>
    <n v="122.35"/>
    <n v="95.7684"/>
    <n v="23.084900000000001"/>
    <n v="18.069509433962299"/>
    <n v="11.1227272727273"/>
    <n v="1.0264261744966401"/>
    <s v="Order"/>
    <n v="16.933399999999999"/>
  </r>
  <r>
    <d v="2022-02-27T00:00:00"/>
    <x v="4"/>
    <x v="1"/>
    <n v="9"/>
    <n v="9"/>
    <x v="2"/>
    <x v="134"/>
    <x v="1"/>
    <s v="Clear"/>
    <n v="11"/>
    <x v="322"/>
    <n v="90.6"/>
    <n v="16"/>
    <n v="145.1"/>
    <n v="124.89619999999999"/>
    <n v="26.381799999999998"/>
    <n v="22.708400000000001"/>
    <n v="9.0687499999999996"/>
    <n v="1.6015452538631301"/>
    <s v="Order"/>
    <n v="15.574"/>
  </r>
  <r>
    <d v="2022-02-24T00:00:00"/>
    <x v="4"/>
    <x v="1"/>
    <n v="9"/>
    <n v="9"/>
    <x v="5"/>
    <x v="141"/>
    <x v="0"/>
    <s v="Snow Storm"/>
    <n v="17.3"/>
    <x v="81"/>
    <n v="59"/>
    <n v="10"/>
    <n v="72.930000000000007"/>
    <n v="59.773000000000003"/>
    <n v="18.232500000000002"/>
    <n v="14.943250000000001"/>
    <n v="7.2930000000000001"/>
    <n v="1.2361016949152499"/>
    <s v="Order"/>
    <n v="18.333400000000001"/>
  </r>
  <r>
    <d v="2022-02-14T00:00:00"/>
    <x v="4"/>
    <x v="1"/>
    <n v="8"/>
    <n v="8"/>
    <x v="4"/>
    <x v="142"/>
    <x v="2"/>
    <s v="Clear"/>
    <n v="16.7"/>
    <x v="325"/>
    <n v="19.3"/>
    <n v="2"/>
    <n v="21.75"/>
    <n v="17.446100000000001"/>
    <n v="27.1875"/>
    <n v="21.807625000000002"/>
    <n v="10.875"/>
    <n v="1.12694300518135"/>
    <s v="Order"/>
    <n v="20.517900000000001"/>
  </r>
  <r>
    <d v="2022-02-12T00:00:00"/>
    <x v="4"/>
    <x v="1"/>
    <n v="7"/>
    <n v="7"/>
    <x v="6"/>
    <x v="143"/>
    <x v="2"/>
    <s v="Light Snow"/>
    <n v="23.6"/>
    <x v="322"/>
    <n v="87.4"/>
    <n v="14"/>
    <n v="102.55"/>
    <n v="83.059799999999996"/>
    <n v="18.645499999999998"/>
    <n v="15.1017818181818"/>
    <n v="7.3250000000000002"/>
    <n v="1.1733409610984"/>
    <s v="Order"/>
    <n v="22.546800000000001"/>
  </r>
  <r>
    <d v="2022-02-08T00:00:00"/>
    <x v="4"/>
    <x v="1"/>
    <n v="7"/>
    <n v="7"/>
    <x v="3"/>
    <x v="43"/>
    <x v="2"/>
    <s v="Clear"/>
    <n v="38.700000000000003"/>
    <x v="357"/>
    <n v="76"/>
    <n v="6"/>
    <n v="110.74"/>
    <n v="93.792000000000002"/>
    <n v="33.557600000000001"/>
    <n v="28.4218181818182"/>
    <n v="18.456666666666699"/>
    <n v="1.45710526315789"/>
    <s v="Order"/>
    <n v="23.470400000000001"/>
  </r>
  <r>
    <d v="2022-02-03T00:00:00"/>
    <x v="4"/>
    <x v="1"/>
    <n v="6"/>
    <n v="6"/>
    <x v="5"/>
    <x v="144"/>
    <x v="2"/>
    <s v="Snow Storm"/>
    <n v="24.4"/>
    <x v="177"/>
    <n v="49.8"/>
    <n v="8"/>
    <n v="55.89"/>
    <n v="44.784599999999998"/>
    <n v="22.356000000000002"/>
    <n v="17.91384"/>
    <n v="6.9862500000000001"/>
    <n v="1.1222891566265101"/>
    <s v="Order"/>
    <n v="24.019300000000001"/>
  </r>
  <r>
    <d v="2022-01-24T00:00:00"/>
    <x v="4"/>
    <x v="1"/>
    <n v="5"/>
    <n v="5"/>
    <x v="4"/>
    <x v="118"/>
    <x v="2"/>
    <s v="Light Snow"/>
    <n v="29.7"/>
    <x v="5"/>
    <n v="46.4"/>
    <n v="4"/>
    <n v="38.43"/>
    <n v="28.082799999999999"/>
    <n v="21.35"/>
    <n v="15.601555555555599"/>
    <n v="9.6074999999999999"/>
    <n v="0.82823275862069001"/>
    <s v="Order"/>
    <n v="24.560600000000001"/>
  </r>
  <r>
    <d v="2022-01-15T00:00:00"/>
    <x v="4"/>
    <x v="1"/>
    <n v="3"/>
    <n v="3"/>
    <x v="6"/>
    <x v="145"/>
    <x v="0"/>
    <s v="Clear"/>
    <n v="19.7"/>
    <x v="170"/>
    <n v="116.89999999999999"/>
    <n v="14"/>
    <n v="100.25"/>
    <n v="74.181299999999993"/>
    <n v="17.901800000000001"/>
    <n v="13.246660714285699"/>
    <n v="7.1607142857142803"/>
    <n v="0.85757057313943597"/>
    <s v="Order"/>
    <n v="26.552700000000002"/>
  </r>
  <r>
    <d v="2022-01-11T00:00:00"/>
    <x v="4"/>
    <x v="1"/>
    <n v="3"/>
    <n v="3"/>
    <x v="3"/>
    <x v="52"/>
    <x v="2"/>
    <s v="Partially Cloudy"/>
    <n v="24.1"/>
    <x v="366"/>
    <n v="81.3"/>
    <n v="8"/>
    <n v="79.45"/>
    <n v="61.320099999999996"/>
    <n v="20.3718"/>
    <n v="15.7231025641026"/>
    <n v="9.9312500000000004"/>
    <n v="0.97724477244772401"/>
    <s v="Order"/>
    <n v="25.438800000000001"/>
  </r>
  <r>
    <d v="2021-12-31T00:00:00"/>
    <x v="5"/>
    <x v="1"/>
    <n v="1"/>
    <n v="1"/>
    <x v="0"/>
    <x v="146"/>
    <x v="2"/>
    <s v="Rain / Snow Mix"/>
    <n v="37.799999999999997"/>
    <x v="284"/>
    <n v="109.2"/>
    <n v="10"/>
    <n v="150.18"/>
    <n v="125.8284"/>
    <n v="33.3733"/>
    <n v="27.961866666666701"/>
    <n v="15.018000000000001"/>
    <n v="1.3752747252747299"/>
    <s v="Order"/>
    <n v="25.292100000000001"/>
  </r>
  <r>
    <d v="2021-12-27T00:00:00"/>
    <x v="5"/>
    <x v="1"/>
    <n v="1"/>
    <n v="1"/>
    <x v="4"/>
    <x v="147"/>
    <x v="2"/>
    <s v="Rain / Snow Mix"/>
    <n v="32.799999999999997"/>
    <x v="367"/>
    <n v="34.299999999999997"/>
    <n v="2"/>
    <n v="40.049999999999997"/>
    <n v="32.4011"/>
    <n v="26.7"/>
    <n v="21.600733333333299"/>
    <n v="20.024999999999999"/>
    <n v="1.16763848396501"/>
    <s v="Order"/>
    <n v="24.020700000000001"/>
  </r>
  <r>
    <d v="2021-12-15T00:00:00"/>
    <x v="5"/>
    <x v="2"/>
    <n v="12"/>
    <n v="51"/>
    <x v="1"/>
    <x v="40"/>
    <x v="2"/>
    <s v="Rain / Snow Mix"/>
    <n v="41.1"/>
    <x v="20"/>
    <n v="72.5"/>
    <n v="8"/>
    <n v="79.55"/>
    <n v="63.3825"/>
    <n v="22.7286"/>
    <n v="18.109285714285701"/>
    <n v="9.9437499999999996"/>
    <n v="1.0972413793103399"/>
    <s v="Order"/>
    <n v="25.568999999999999"/>
  </r>
  <r>
    <d v="2021-12-10T00:00:00"/>
    <x v="5"/>
    <x v="2"/>
    <n v="11"/>
    <n v="50"/>
    <x v="0"/>
    <x v="50"/>
    <x v="1"/>
    <s v="Rain / Snow Mix"/>
    <n v="44.2"/>
    <x v="245"/>
    <n v="128.9"/>
    <n v="11"/>
    <n v="109.35"/>
    <n v="80.6053"/>
    <n v="17.926200000000001"/>
    <n v="13.213983606557401"/>
    <n v="9.9409090909090896"/>
    <n v="0.84833204034135001"/>
    <s v="Order"/>
    <n v="25.347899999999999"/>
  </r>
  <r>
    <d v="2021-12-07T00:00:00"/>
    <x v="5"/>
    <x v="2"/>
    <n v="11"/>
    <n v="50"/>
    <x v="3"/>
    <x v="148"/>
    <x v="0"/>
    <s v="Light Snow"/>
    <n v="23"/>
    <x v="368"/>
    <n v="38.1"/>
    <n v="6"/>
    <n v="62.57"/>
    <n v="54.073700000000002"/>
    <n v="28.440899999999999"/>
    <n v="24.578954545454501"/>
    <n v="10.428333333333301"/>
    <n v="1.6422572178477699"/>
    <s v="Order"/>
    <n v="25.059100000000001"/>
  </r>
  <r>
    <d v="2021-12-06T00:00:00"/>
    <x v="5"/>
    <x v="2"/>
    <n v="11"/>
    <n v="50"/>
    <x v="4"/>
    <x v="40"/>
    <x v="2"/>
    <s v="Rain"/>
    <n v="38.9"/>
    <x v="354"/>
    <n v="130.1"/>
    <n v="11"/>
    <n v="117.21"/>
    <n v="88.197699999999998"/>
    <n v="24.418800000000001"/>
    <n v="18.3745208333333"/>
    <n v="10.6554545454545"/>
    <n v="0.90092236740968501"/>
    <s v="Order"/>
    <n v="24.363900000000001"/>
  </r>
  <r>
    <d v="2021-12-03T00:00:00"/>
    <x v="5"/>
    <x v="2"/>
    <n v="10"/>
    <n v="49"/>
    <x v="0"/>
    <x v="17"/>
    <x v="1"/>
    <s v="Clear"/>
    <n v="31.5"/>
    <x v="369"/>
    <n v="143"/>
    <n v="11"/>
    <n v="115.66"/>
    <n v="83.771000000000001"/>
    <n v="18.271699999999999"/>
    <n v="13.233965244865701"/>
    <n v="10.5145454545455"/>
    <n v="0.80881118881118896"/>
    <s v="Order"/>
    <n v="23.061599999999999"/>
  </r>
  <r>
    <d v="2021-11-29T00:00:00"/>
    <x v="5"/>
    <x v="2"/>
    <n v="10"/>
    <n v="49"/>
    <x v="4"/>
    <x v="149"/>
    <x v="0"/>
    <s v="Partially Cloudy"/>
    <n v="31.7"/>
    <x v="226"/>
    <n v="86.8"/>
    <n v="14"/>
    <n v="113"/>
    <n v="93.643600000000006"/>
    <n v="23.061199999999999"/>
    <n v="19.110938775510199"/>
    <n v="8.0714285714285694"/>
    <n v="1.3018433179723501"/>
    <s v="Order"/>
    <n v="21.776399999999999"/>
  </r>
  <r>
    <d v="2021-11-27T00:00:00"/>
    <x v="5"/>
    <x v="2"/>
    <n v="9"/>
    <n v="48"/>
    <x v="6"/>
    <x v="150"/>
    <x v="1"/>
    <s v="Partially Cloudy"/>
    <n v="30.6"/>
    <x v="370"/>
    <n v="247"/>
    <n v="26"/>
    <n v="280.45"/>
    <n v="225.369"/>
    <n v="24.387"/>
    <n v="19.5973043478261"/>
    <n v="10.7865384615385"/>
    <n v="1.13542510121457"/>
    <s v="Order"/>
    <n v="21.294899999999998"/>
  </r>
  <r>
    <d v="2021-11-22T00:00:00"/>
    <x v="5"/>
    <x v="2"/>
    <n v="9"/>
    <n v="48"/>
    <x v="4"/>
    <x v="151"/>
    <x v="2"/>
    <s v="Clear"/>
    <n v="30.7"/>
    <x v="249"/>
    <n v="84"/>
    <n v="11"/>
    <n v="120"/>
    <n v="101.268"/>
    <n v="28.571400000000001"/>
    <n v="24.111428571428601"/>
    <n v="10.909090909090899"/>
    <n v="1.4285714285714299"/>
    <s v="Order"/>
    <n v="18.178799999999999"/>
  </r>
  <r>
    <d v="2021-11-21T00:00:00"/>
    <x v="5"/>
    <x v="2"/>
    <n v="8"/>
    <n v="47"/>
    <x v="2"/>
    <x v="45"/>
    <x v="0"/>
    <s v="Rain"/>
    <n v="52"/>
    <x v="371"/>
    <n v="71"/>
    <n v="6"/>
    <n v="63.25"/>
    <n v="47.417000000000002"/>
    <n v="18.602900000000002"/>
    <n v="13.946176470588201"/>
    <n v="10.5416666666667"/>
    <n v="0.89084507042253502"/>
    <s v="Order"/>
    <n v="16.845400000000001"/>
  </r>
  <r>
    <d v="2021-11-19T00:00:00"/>
    <x v="5"/>
    <x v="2"/>
    <n v="8"/>
    <n v="47"/>
    <x v="0"/>
    <x v="152"/>
    <x v="0"/>
    <s v="Clear"/>
    <n v="42.4"/>
    <x v="15"/>
    <n v="74"/>
    <n v="8"/>
    <n v="73.03"/>
    <n v="56.527999999999999"/>
    <n v="23.5581"/>
    <n v="18.234838709677401"/>
    <n v="9.1287500000000001"/>
    <n v="0.98689189189189197"/>
    <s v="Order"/>
    <n v="16.142700000000001"/>
  </r>
  <r>
    <d v="2021-11-17T00:00:00"/>
    <x v="5"/>
    <x v="2"/>
    <n v="8"/>
    <n v="47"/>
    <x v="1"/>
    <x v="153"/>
    <x v="1"/>
    <s v="Rain"/>
    <n v="58.6"/>
    <x v="178"/>
    <n v="52"/>
    <n v="2"/>
    <n v="13.25"/>
    <n v="1.6539999999999999"/>
    <n v="7.7941000000000003"/>
    <n v="0.97294117647058798"/>
    <n v="6.625"/>
    <n v="0.25480769230769201"/>
    <s v="Order"/>
    <n v="15.331200000000001"/>
  </r>
  <r>
    <d v="2021-11-16T00:00:00"/>
    <x v="5"/>
    <x v="2"/>
    <n v="8"/>
    <n v="47"/>
    <x v="3"/>
    <x v="65"/>
    <x v="1"/>
    <s v="Partially Cloudy"/>
    <n v="38.700000000000003"/>
    <x v="117"/>
    <n v="96.699999999999989"/>
    <n v="11"/>
    <n v="87.54"/>
    <n v="65.975899999999996"/>
    <n v="17.507999999999999"/>
    <n v="13.195180000000001"/>
    <n v="7.9581818181818198"/>
    <n v="0.90527404343329898"/>
    <s v="Order"/>
    <n v="15.183999999999999"/>
  </r>
  <r>
    <d v="2021-11-15T00:00:00"/>
    <x v="5"/>
    <x v="2"/>
    <n v="8"/>
    <n v="47"/>
    <x v="4"/>
    <x v="154"/>
    <x v="1"/>
    <s v="Partially Cloudy"/>
    <n v="37.1"/>
    <x v="55"/>
    <n v="132.19999999999999"/>
    <n v="13"/>
    <n v="116.81"/>
    <n v="87.329400000000007"/>
    <n v="19.468299999999999"/>
    <n v="14.5549"/>
    <n v="8.9853846153846195"/>
    <n v="0.88358547655068098"/>
    <s v="Order"/>
    <n v="14.2113"/>
  </r>
  <r>
    <d v="2021-11-14T00:00:00"/>
    <x v="5"/>
    <x v="2"/>
    <n v="7"/>
    <n v="46"/>
    <x v="2"/>
    <x v="155"/>
    <x v="0"/>
    <s v="Rain"/>
    <n v="39.1"/>
    <x v="372"/>
    <n v="71.900000000000006"/>
    <n v="12"/>
    <n v="102.45"/>
    <n v="86.416300000000007"/>
    <n v="21.343800000000002"/>
    <n v="18.0033958333333"/>
    <n v="8.5374999999999996"/>
    <n v="1.4248956884561901"/>
    <s v="Order"/>
    <n v="12.913399999999999"/>
  </r>
  <r>
    <d v="2021-11-11T00:00:00"/>
    <x v="5"/>
    <x v="2"/>
    <n v="7"/>
    <n v="46"/>
    <x v="5"/>
    <x v="156"/>
    <x v="2"/>
    <s v="Rain"/>
    <n v="57.1"/>
    <x v="15"/>
    <n v="90.7"/>
    <n v="9"/>
    <n v="83.23"/>
    <n v="63.003900000000002"/>
    <n v="26.848400000000002"/>
    <n v="20.3238387096774"/>
    <n v="9.2477777777777792"/>
    <n v="0.91764057331863302"/>
    <s v="Order"/>
    <n v="11.7751"/>
  </r>
  <r>
    <d v="2021-11-09T00:00:00"/>
    <x v="5"/>
    <x v="2"/>
    <n v="7"/>
    <n v="46"/>
    <x v="3"/>
    <x v="157"/>
    <x v="2"/>
    <s v="Rain"/>
    <n v="54.9"/>
    <x v="373"/>
    <n v="82"/>
    <n v="9"/>
    <n v="119.74"/>
    <n v="101.45399999999999"/>
    <n v="35.217599999999997"/>
    <n v="29.839411764705901"/>
    <n v="13.3044444444444"/>
    <n v="1.4602439024390199"/>
    <s v="Order"/>
    <n v="10.850300000000001"/>
  </r>
  <r>
    <d v="2021-11-07T00:00:00"/>
    <x v="5"/>
    <x v="2"/>
    <n v="6"/>
    <n v="45"/>
    <x v="2"/>
    <x v="158"/>
    <x v="0"/>
    <s v="Clear"/>
    <n v="60.5"/>
    <x v="374"/>
    <n v="19.299999999999997"/>
    <n v="5"/>
    <n v="40.4"/>
    <n v="36.0961"/>
    <n v="21.263200000000001"/>
    <n v="18.997947368421102"/>
    <n v="8.08"/>
    <n v="2.09326424870466"/>
    <s v="Order"/>
    <n v="9.5198999999999998"/>
  </r>
  <r>
    <d v="2021-11-05T00:00:00"/>
    <x v="5"/>
    <x v="2"/>
    <n v="6"/>
    <n v="45"/>
    <x v="0"/>
    <x v="159"/>
    <x v="2"/>
    <s v="Clear"/>
    <n v="48.2"/>
    <x v="375"/>
    <n v="58"/>
    <n v="6"/>
    <n v="77.099999999999994"/>
    <n v="64.165999999999997"/>
    <n v="29.6538"/>
    <n v="24.679230769230799"/>
    <n v="12.85"/>
    <n v="1.32931034482759"/>
    <s v="Order"/>
    <n v="9.0709999999999997"/>
  </r>
  <r>
    <d v="2021-11-02T00:00:00"/>
    <x v="5"/>
    <x v="2"/>
    <n v="6"/>
    <n v="45"/>
    <x v="3"/>
    <x v="148"/>
    <x v="2"/>
    <s v="Partially Cloudy"/>
    <n v="47.5"/>
    <x v="376"/>
    <n v="11"/>
    <n v="4"/>
    <n v="27.5"/>
    <n v="25.047000000000001"/>
    <n v="22.916699999999999"/>
    <n v="20.872499999999999"/>
    <n v="6.875"/>
    <n v="2.5"/>
    <s v="Order"/>
    <n v="8.2142999999999997"/>
  </r>
  <r>
    <d v="2021-10-25T00:00:00"/>
    <x v="5"/>
    <x v="2"/>
    <n v="5"/>
    <n v="44"/>
    <x v="4"/>
    <x v="160"/>
    <x v="2"/>
    <s v="Rain"/>
    <n v="43.9"/>
    <x v="255"/>
    <n v="72.400000000000006"/>
    <n v="9"/>
    <n v="80.209999999999994"/>
    <n v="64.064800000000005"/>
    <n v="20.566700000000001"/>
    <n v="16.426871794871801"/>
    <n v="8.9122222222222192"/>
    <n v="1.1078729281768001"/>
    <s v="Order"/>
    <n v="8.5310000000000006"/>
  </r>
  <r>
    <d v="2021-10-24T00:00:00"/>
    <x v="5"/>
    <x v="2"/>
    <n v="4"/>
    <n v="43"/>
    <x v="2"/>
    <x v="161"/>
    <x v="2"/>
    <s v="Rain"/>
    <n v="42.9"/>
    <x v="377"/>
    <n v="100"/>
    <n v="14"/>
    <n v="137.51"/>
    <n v="115.21"/>
    <n v="25.4648"/>
    <n v="21.3351851851852"/>
    <n v="9.8221428571428593"/>
    <n v="1.3751"/>
    <s v="Order"/>
    <n v="7.6398000000000001"/>
  </r>
  <r>
    <d v="2021-10-11T00:00:00"/>
    <x v="5"/>
    <x v="2"/>
    <n v="3"/>
    <n v="42"/>
    <x v="4"/>
    <x v="162"/>
    <x v="2"/>
    <s v="Partially Cloudy"/>
    <n v="74.599999999999994"/>
    <x v="341"/>
    <n v="43.199999999999996"/>
    <n v="3"/>
    <n v="43.75"/>
    <n v="34.116399999999999"/>
    <n v="19.021699999999999"/>
    <n v="14.8332173913043"/>
    <n v="14.5833333333333"/>
    <n v="1.0127314814814801"/>
    <s v="Order"/>
    <n v="6.3785999999999996"/>
  </r>
  <r>
    <d v="2021-10-10T00:00:00"/>
    <x v="5"/>
    <x v="2"/>
    <n v="2"/>
    <n v="41"/>
    <x v="2"/>
    <x v="163"/>
    <x v="2"/>
    <s v="Partially Cloudy"/>
    <n v="67.599999999999994"/>
    <x v="376"/>
    <n v="35"/>
    <n v="2"/>
    <n v="22.5"/>
    <n v="14.695"/>
    <n v="18.75"/>
    <n v="12.2458333333333"/>
    <n v="11.25"/>
    <n v="0.64285714285714302"/>
    <s v="Order"/>
    <n v="5.8924000000000003"/>
  </r>
  <r>
    <d v="2021-10-02T00:00:00"/>
    <x v="5"/>
    <x v="2"/>
    <n v="1"/>
    <n v="40"/>
    <x v="6"/>
    <x v="164"/>
    <x v="2"/>
    <s v="Rain"/>
    <n v="55.4"/>
    <x v="378"/>
    <n v="40"/>
    <n v="5"/>
    <n v="35.75"/>
    <n v="26.83"/>
    <n v="17.023800000000001"/>
    <n v="12.7761904761905"/>
    <n v="7.15"/>
    <n v="0.89375000000000004"/>
    <s v="Order"/>
    <n v="5.6424000000000003"/>
  </r>
  <r>
    <d v="2021-09-25T00:00:00"/>
    <x v="5"/>
    <x v="3"/>
    <n v="13"/>
    <n v="39"/>
    <x v="6"/>
    <x v="165"/>
    <x v="2"/>
    <s v="Rain"/>
    <n v="69.7"/>
    <x v="379"/>
    <n v="152.30000000000001"/>
    <n v="16"/>
    <n v="179.4"/>
    <n v="145.43709999999999"/>
    <n v="24.575299999999999"/>
    <n v="19.9228904109589"/>
    <n v="11.2125"/>
    <n v="1.1779382797111"/>
    <s v="Order"/>
    <n v="7.4749999999999996"/>
  </r>
  <r>
    <d v="2021-09-16T00:00:00"/>
    <x v="5"/>
    <x v="3"/>
    <n v="12"/>
    <n v="38"/>
    <x v="5"/>
    <x v="42"/>
    <x v="2"/>
    <s v="Partially Cloudy"/>
    <n v="72"/>
    <x v="15"/>
    <n v="76.8"/>
    <n v="4"/>
    <n v="39.5"/>
    <n v="22.3736"/>
    <n v="12.741899999999999"/>
    <n v="7.2172903225806397"/>
    <n v="9.875"/>
    <n v="0.51432291666666696"/>
    <s v="Order"/>
    <n v="10.925599999999999"/>
  </r>
  <r>
    <d v="2021-09-12T00:00:00"/>
    <x v="5"/>
    <x v="3"/>
    <n v="11"/>
    <n v="37"/>
    <x v="2"/>
    <x v="166"/>
    <x v="2"/>
    <s v="Clear"/>
    <n v="74.3"/>
    <x v="380"/>
    <n v="13.3"/>
    <n v="2"/>
    <n v="20.149999999999999"/>
    <n v="17.184100000000001"/>
    <n v="40.299999999999997"/>
    <n v="34.368200000000002"/>
    <n v="10.074999999999999"/>
    <n v="1.5150375939849601"/>
    <s v="Order"/>
    <n v="10.486700000000001"/>
  </r>
  <r>
    <d v="2021-09-10T00:00:00"/>
    <x v="5"/>
    <x v="3"/>
    <n v="11"/>
    <n v="37"/>
    <x v="0"/>
    <x v="167"/>
    <x v="2"/>
    <s v="Clear"/>
    <n v="73.099999999999994"/>
    <x v="15"/>
    <n v="50.099999999999994"/>
    <n v="10"/>
    <n v="83.36"/>
    <n v="72.187700000000007"/>
    <n v="26.8903"/>
    <n v="23.286354838709698"/>
    <n v="8.3360000000000003"/>
    <n v="1.66387225548902"/>
    <s v="Order"/>
    <n v="10.66"/>
  </r>
  <r>
    <d v="2021-08-31T00:00:00"/>
    <x v="5"/>
    <x v="3"/>
    <n v="10"/>
    <n v="36"/>
    <x v="3"/>
    <x v="168"/>
    <x v="2"/>
    <s v="Rain"/>
    <n v="73.400000000000006"/>
    <x v="381"/>
    <n v="37.1"/>
    <n v="6"/>
    <n v="53.66"/>
    <n v="45.386699999999998"/>
    <n v="23.330400000000001"/>
    <n v="19.733347826087002"/>
    <n v="8.9433333333333298"/>
    <n v="1.4463611859838299"/>
    <s v="Order"/>
    <n v="11.7836"/>
  </r>
  <r>
    <d v="2021-08-30T00:00:00"/>
    <x v="5"/>
    <x v="3"/>
    <n v="10"/>
    <n v="36"/>
    <x v="4"/>
    <x v="106"/>
    <x v="2"/>
    <s v="Rain"/>
    <n v="82.2"/>
    <x v="61"/>
    <n v="13.5"/>
    <n v="2"/>
    <n v="16"/>
    <n v="12.9895"/>
    <n v="14.545500000000001"/>
    <n v="11.808636363636399"/>
    <n v="8"/>
    <n v="1.18518518518519"/>
    <s v="Order"/>
    <n v="11.1873"/>
  </r>
  <r>
    <d v="2021-08-01T00:00:00"/>
    <x v="5"/>
    <x v="3"/>
    <n v="5"/>
    <n v="31"/>
    <x v="2"/>
    <x v="169"/>
    <x v="2"/>
    <s v="Rain"/>
    <n v="74.2"/>
    <x v="313"/>
    <n v="47.4"/>
    <n v="2"/>
    <n v="27.8"/>
    <n v="17.229800000000001"/>
    <n v="14.631600000000001"/>
    <n v="9.0683157894736794"/>
    <n v="13.9"/>
    <n v="0.58649789029535904"/>
    <s v="Order"/>
    <n v="23.426400000000001"/>
  </r>
  <r>
    <d v="2021-07-31T00:00:00"/>
    <x v="5"/>
    <x v="3"/>
    <n v="5"/>
    <n v="31"/>
    <x v="6"/>
    <x v="170"/>
    <x v="2"/>
    <s v="Partially Cloudy"/>
    <n v="74.3"/>
    <x v="376"/>
    <n v="16.5"/>
    <n v="3"/>
    <n v="28.2"/>
    <n v="24.520499999999998"/>
    <n v="23.5"/>
    <n v="20.43375"/>
    <n v="9.4"/>
    <n v="1.7090909090909101"/>
    <s v="Order"/>
    <n v="23.941199999999998"/>
  </r>
  <r>
    <d v="2021-07-24T00:00:00"/>
    <x v="5"/>
    <x v="3"/>
    <n v="4"/>
    <n v="30"/>
    <x v="6"/>
    <x v="171"/>
    <x v="2"/>
    <s v="Rain"/>
    <n v="69.599999999999994"/>
    <x v="265"/>
    <n v="58"/>
    <n v="3"/>
    <n v="24"/>
    <n v="11.066000000000001"/>
    <n v="11.428599999999999"/>
    <n v="5.2695238095238102"/>
    <n v="8"/>
    <n v="0.41379310344827602"/>
    <s v="Order"/>
    <n v="24.083400000000001"/>
  </r>
  <r>
    <d v="2021-07-03T00:00:00"/>
    <x v="5"/>
    <x v="3"/>
    <n v="1"/>
    <n v="27"/>
    <x v="6"/>
    <x v="35"/>
    <x v="2"/>
    <s v="Rain"/>
    <n v="58.2"/>
    <x v="372"/>
    <n v="52.5"/>
    <n v="7"/>
    <n v="52"/>
    <n v="40.292499999999997"/>
    <n v="10.833299999999999"/>
    <n v="8.39427083333333"/>
    <n v="7.4285714285714297"/>
    <n v="0.99047619047618995"/>
    <s v="Order"/>
    <n v="27.0871"/>
  </r>
  <r>
    <d v="2021-07-02T00:00:00"/>
    <x v="5"/>
    <x v="3"/>
    <n v="1"/>
    <n v="27"/>
    <x v="0"/>
    <x v="172"/>
    <x v="1"/>
    <s v="Rain"/>
    <n v="58.1"/>
    <x v="81"/>
    <n v="95.6"/>
    <n v="7"/>
    <n v="50.5"/>
    <n v="29.1812"/>
    <n v="12.625"/>
    <n v="7.2953000000000001"/>
    <n v="7.2142857142857197"/>
    <n v="0.52824267782426804"/>
    <s v="Order"/>
    <n v="26.5093"/>
  </r>
  <r>
    <d v="2021-06-29T00:00:00"/>
    <x v="5"/>
    <x v="3"/>
    <n v="1"/>
    <n v="27"/>
    <x v="3"/>
    <x v="173"/>
    <x v="2"/>
    <s v="Rain"/>
    <n v="95.3"/>
    <x v="362"/>
    <n v="72"/>
    <n v="9"/>
    <n v="98.18"/>
    <n v="82.123999999999995"/>
    <n v="25.8368"/>
    <n v="21.6115789473684"/>
    <n v="10.9088888888889"/>
    <n v="1.36361111111111"/>
    <s v="Order"/>
    <n v="26.345300000000002"/>
  </r>
  <r>
    <d v="2021-06-26T00:00:00"/>
    <x v="5"/>
    <x v="0"/>
    <n v="13"/>
    <n v="26"/>
    <x v="6"/>
    <x v="174"/>
    <x v="1"/>
    <s v="Clear"/>
    <n v="93.1"/>
    <x v="323"/>
    <n v="112.99999999999999"/>
    <n v="18"/>
    <n v="134.36000000000001"/>
    <n v="109.161"/>
    <n v="20.9938"/>
    <n v="17.056406249999998"/>
    <n v="7.4644444444444398"/>
    <n v="1.18902654867257"/>
    <s v="Order"/>
    <n v="25.2544"/>
  </r>
  <r>
    <d v="2021-06-24T00:00:00"/>
    <x v="5"/>
    <x v="0"/>
    <n v="13"/>
    <n v="26"/>
    <x v="5"/>
    <x v="127"/>
    <x v="2"/>
    <s v="Rain"/>
    <n v="67.900000000000006"/>
    <x v="312"/>
    <n v="45"/>
    <n v="8"/>
    <n v="68.81"/>
    <n v="58.774999999999999"/>
    <n v="24.574999999999999"/>
    <n v="20.991071428571399"/>
    <n v="8.6012500000000003"/>
    <n v="1.52911111111111"/>
    <s v="Order"/>
    <n v="26.617699999999999"/>
  </r>
  <r>
    <d v="2021-06-22T00:00:00"/>
    <x v="5"/>
    <x v="0"/>
    <n v="13"/>
    <n v="26"/>
    <x v="3"/>
    <x v="175"/>
    <x v="2"/>
    <s v="Rain"/>
    <n v="70.2"/>
    <x v="5"/>
    <n v="40"/>
    <n v="2"/>
    <n v="32.909999999999997"/>
    <n v="23.99"/>
    <n v="18.283300000000001"/>
    <n v="13.327777777777801"/>
    <n v="16.454999999999998"/>
    <n v="0.82274999999999998"/>
    <s v="Order"/>
    <n v="25.853100000000001"/>
  </r>
  <r>
    <d v="2021-06-20T00:00:00"/>
    <x v="5"/>
    <x v="0"/>
    <n v="12"/>
    <n v="25"/>
    <x v="2"/>
    <x v="176"/>
    <x v="1"/>
    <s v="Partially Cloudy"/>
    <n v="83.8"/>
    <x v="382"/>
    <n v="69"/>
    <n v="5"/>
    <n v="110.89"/>
    <n v="95.503"/>
    <n v="38.237900000000003"/>
    <n v="32.932068965517203"/>
    <n v="22.178000000000001"/>
    <n v="1.6071014492753599"/>
    <s v="Order"/>
    <n v="26.494"/>
  </r>
  <r>
    <d v="2021-06-19T00:00:00"/>
    <x v="5"/>
    <x v="0"/>
    <n v="12"/>
    <n v="25"/>
    <x v="6"/>
    <x v="177"/>
    <x v="1"/>
    <s v="Partially Cloudy"/>
    <n v="83"/>
    <x v="349"/>
    <n v="171"/>
    <n v="15"/>
    <n v="142.97999999999999"/>
    <n v="104.84699999999999"/>
    <n v="20.425699999999999"/>
    <n v="14.978142857142901"/>
    <n v="9.532"/>
    <n v="0.83614035087719296"/>
    <s v="Order"/>
    <n v="26.015799999999999"/>
  </r>
  <r>
    <d v="2021-06-14T00:00:00"/>
    <x v="5"/>
    <x v="0"/>
    <n v="12"/>
    <n v="25"/>
    <x v="4"/>
    <x v="178"/>
    <x v="2"/>
    <s v="Rain"/>
    <n v="67.2"/>
    <x v="174"/>
    <n v="57"/>
    <n v="4"/>
    <n v="35.75"/>
    <n v="23.039000000000001"/>
    <n v="13.2407"/>
    <n v="8.5329629629629604"/>
    <n v="8.9375"/>
    <n v="0.62719298245613997"/>
    <s v="Order"/>
    <n v="26.723199999999999"/>
  </r>
  <r>
    <d v="2021-06-12T00:00:00"/>
    <x v="5"/>
    <x v="0"/>
    <n v="11"/>
    <n v="24"/>
    <x v="6"/>
    <x v="179"/>
    <x v="1"/>
    <s v="Clear"/>
    <n v="80.099999999999994"/>
    <x v="5"/>
    <n v="31"/>
    <n v="2"/>
    <n v="26.34"/>
    <n v="19.427"/>
    <n v="14.6333"/>
    <n v="10.7927777777778"/>
    <n v="13.17"/>
    <n v="0.84967741935483898"/>
    <s v="Order"/>
    <n v="27.237100000000002"/>
  </r>
  <r>
    <d v="2021-06-07T00:00:00"/>
    <x v="5"/>
    <x v="0"/>
    <n v="11"/>
    <n v="24"/>
    <x v="4"/>
    <x v="116"/>
    <x v="0"/>
    <s v="Clear"/>
    <n v="90.1"/>
    <x v="177"/>
    <n v="45"/>
    <n v="5"/>
    <n v="24.75"/>
    <n v="14.715"/>
    <n v="9.9"/>
    <n v="5.8860000000000001"/>
    <n v="4.95"/>
    <n v="0.55000000000000004"/>
    <s v="Order"/>
    <n v="27.860900000000001"/>
  </r>
  <r>
    <d v="2021-06-04T00:00:00"/>
    <x v="5"/>
    <x v="0"/>
    <n v="10"/>
    <n v="23"/>
    <x v="0"/>
    <x v="127"/>
    <x v="0"/>
    <s v="Clear"/>
    <n v="85"/>
    <x v="191"/>
    <n v="52"/>
    <n v="8"/>
    <n v="77.39"/>
    <n v="65.793999999999997"/>
    <n v="25.796700000000001"/>
    <n v="21.931333333333299"/>
    <n v="9.6737500000000001"/>
    <n v="1.48826923076923"/>
    <s v="Order"/>
    <n v="28.368200000000002"/>
  </r>
  <r>
    <d v="2021-06-03T00:00:00"/>
    <x v="5"/>
    <x v="0"/>
    <n v="10"/>
    <n v="23"/>
    <x v="5"/>
    <x v="155"/>
    <x v="0"/>
    <s v="Rain"/>
    <n v="77"/>
    <x v="312"/>
    <n v="42"/>
    <n v="6"/>
    <n v="56"/>
    <n v="46.634"/>
    <n v="20"/>
    <n v="16.655000000000001"/>
    <n v="9.3333333333333393"/>
    <n v="1.3333333333333299"/>
    <s v="Order"/>
    <n v="27.853300000000001"/>
  </r>
  <r>
    <d v="2021-05-31T00:00:00"/>
    <x v="5"/>
    <x v="0"/>
    <n v="10"/>
    <n v="23"/>
    <x v="4"/>
    <x v="79"/>
    <x v="2"/>
    <s v="Clear"/>
    <n v="74.5"/>
    <x v="249"/>
    <n v="89"/>
    <n v="11"/>
    <n v="98.36"/>
    <n v="78.513000000000005"/>
    <n v="23.419"/>
    <n v="18.693571428571399"/>
    <n v="8.9418181818181797"/>
    <n v="1.1051685393258399"/>
    <s v="Order"/>
    <n v="28.816400000000002"/>
  </r>
  <r>
    <d v="2021-05-29T00:00:00"/>
    <x v="5"/>
    <x v="0"/>
    <n v="9"/>
    <n v="22"/>
    <x v="6"/>
    <x v="149"/>
    <x v="2"/>
    <s v="Rain"/>
    <n v="54.1"/>
    <x v="382"/>
    <n v="60"/>
    <n v="7"/>
    <n v="66.5"/>
    <n v="53.12"/>
    <n v="22.931000000000001"/>
    <n v="18.3172413793103"/>
    <n v="9.5"/>
    <n v="1.1083333333333301"/>
    <s v="Order"/>
    <n v="28.468"/>
  </r>
  <r>
    <d v="2021-05-26T00:00:00"/>
    <x v="5"/>
    <x v="0"/>
    <n v="9"/>
    <n v="22"/>
    <x v="1"/>
    <x v="106"/>
    <x v="0"/>
    <s v="Rain"/>
    <n v="71.3"/>
    <x v="366"/>
    <n v="54"/>
    <n v="13"/>
    <n v="102.85"/>
    <n v="90.808000000000007"/>
    <n v="26.3718"/>
    <n v="23.2841025641026"/>
    <n v="7.9115384615384601"/>
    <n v="1.9046296296296299"/>
    <s v="Order"/>
    <n v="28.350200000000001"/>
  </r>
  <r>
    <d v="2021-05-23T00:00:00"/>
    <x v="5"/>
    <x v="0"/>
    <n v="8"/>
    <n v="21"/>
    <x v="2"/>
    <x v="102"/>
    <x v="1"/>
    <s v="Clear"/>
    <n v="62.2"/>
    <x v="383"/>
    <n v="142"/>
    <n v="14"/>
    <n v="189.8"/>
    <n v="158.13399999999999"/>
    <n v="28.7576"/>
    <n v="23.959696969696999"/>
    <n v="13.5571428571429"/>
    <n v="1.33661971830986"/>
    <s v="Order"/>
    <n v="27.2074"/>
  </r>
  <r>
    <d v="2021-05-21T00:00:00"/>
    <x v="5"/>
    <x v="0"/>
    <n v="8"/>
    <n v="21"/>
    <x v="0"/>
    <x v="135"/>
    <x v="1"/>
    <s v="Partially Cloudy"/>
    <n v="77.900000000000006"/>
    <x v="313"/>
    <n v="63.9"/>
    <n v="3"/>
    <n v="43.87"/>
    <n v="29.6203"/>
    <n v="23.089500000000001"/>
    <n v="15.589631578947399"/>
    <n v="14.623333333333299"/>
    <n v="0.68654147104851304"/>
    <s v="Order"/>
    <n v="26.1069"/>
  </r>
  <r>
    <d v="2021-05-20T00:00:00"/>
    <x v="5"/>
    <x v="0"/>
    <n v="8"/>
    <n v="21"/>
    <x v="5"/>
    <x v="180"/>
    <x v="2"/>
    <s v="Rain"/>
    <n v="73.400000000000006"/>
    <x v="384"/>
    <n v="22"/>
    <n v="2"/>
    <n v="19.61"/>
    <n v="14.704000000000001"/>
    <n v="21.788900000000002"/>
    <n v="16.337777777777799"/>
    <n v="9.8049999999999997"/>
    <n v="0.89136363636363602"/>
    <s v="Order"/>
    <n v="26.6187"/>
  </r>
  <r>
    <d v="2021-05-17T00:00:00"/>
    <x v="5"/>
    <x v="0"/>
    <n v="8"/>
    <n v="21"/>
    <x v="4"/>
    <x v="181"/>
    <x v="2"/>
    <s v="Partially Cloudy"/>
    <n v="77.400000000000006"/>
    <x v="385"/>
    <n v="93.070658369408378"/>
    <n v="9"/>
    <n v="79.73"/>
    <n v="58.975243183621899"/>
    <n v="16.963799999999999"/>
    <n v="12.5479240816217"/>
    <n v="8.8588888888888899"/>
    <n v="0.85666096487189602"/>
    <s v="Order"/>
    <n v="26.4008"/>
  </r>
  <r>
    <d v="2021-05-14T00:00:00"/>
    <x v="5"/>
    <x v="0"/>
    <n v="7"/>
    <n v="20"/>
    <x v="0"/>
    <x v="182"/>
    <x v="1"/>
    <s v="Rain"/>
    <n v="73.8"/>
    <x v="313"/>
    <n v="57.189545807727626"/>
    <n v="4"/>
    <n v="86.24"/>
    <n v="73.486731284876697"/>
    <n v="45.389499999999998"/>
    <n v="38.677226992040403"/>
    <n v="21.56"/>
    <n v="1.5079679123513301"/>
    <s v="Order"/>
    <n v="27.457999999999998"/>
  </r>
  <r>
    <d v="2021-05-12T00:00:00"/>
    <x v="5"/>
    <x v="0"/>
    <n v="7"/>
    <n v="20"/>
    <x v="1"/>
    <x v="82"/>
    <x v="2"/>
    <s v="Partially Cloudy"/>
    <n v="67"/>
    <x v="345"/>
    <n v="113.75302689594358"/>
    <n v="11"/>
    <n v="146.08000000000001"/>
    <n v="120.713075002205"/>
    <n v="33.972099999999998"/>
    <n v="28.072808140047599"/>
    <n v="13.28"/>
    <n v="1.2841856079454299"/>
    <s v="Order"/>
    <n v="26.4998"/>
  </r>
  <r>
    <d v="2021-05-07T00:00:00"/>
    <x v="5"/>
    <x v="0"/>
    <n v="6"/>
    <n v="19"/>
    <x v="0"/>
    <x v="154"/>
    <x v="1"/>
    <s v="Partially Cloudy"/>
    <n v="53.8"/>
    <x v="217"/>
    <n v="157.27125097125096"/>
    <n v="11"/>
    <n v="86.57"/>
    <n v="51.498511033410999"/>
    <n v="15.1877"/>
    <n v="9.0348264970896501"/>
    <n v="7.87"/>
    <n v="0.55045025372008305"/>
    <s v="Order"/>
    <n v="25.706800000000001"/>
  </r>
  <r>
    <d v="2021-05-06T00:00:00"/>
    <x v="5"/>
    <x v="0"/>
    <n v="6"/>
    <n v="19"/>
    <x v="5"/>
    <x v="183"/>
    <x v="1"/>
    <s v="Clear"/>
    <n v="59.6"/>
    <x v="366"/>
    <n v="85.784318711591439"/>
    <n v="6"/>
    <n v="66.97"/>
    <n v="47.840096927315102"/>
    <n v="17.171800000000001"/>
    <n v="12.2666915198244"/>
    <n v="11.161666666666701"/>
    <n v="0.78067881176692"/>
    <s v="Order"/>
    <n v="24.744900000000001"/>
  </r>
  <r>
    <d v="2021-05-05T00:00:00"/>
    <x v="5"/>
    <x v="0"/>
    <n v="6"/>
    <n v="19"/>
    <x v="1"/>
    <x v="118"/>
    <x v="2"/>
    <s v="Rain"/>
    <n v="58.7"/>
    <x v="312"/>
    <n v="72.388289842873192"/>
    <n v="7"/>
    <n v="104.94"/>
    <n v="88.797411365039295"/>
    <n v="37.4786"/>
    <n v="31.7133612017997"/>
    <n v="14.9914285714286"/>
    <n v="1.4496819890038"/>
    <s v="Order"/>
    <n v="24.000800000000002"/>
  </r>
  <r>
    <d v="2021-05-04T00:00:00"/>
    <x v="5"/>
    <x v="0"/>
    <n v="6"/>
    <n v="19"/>
    <x v="3"/>
    <x v="184"/>
    <x v="2"/>
    <s v="Rain"/>
    <n v="50"/>
    <x v="386"/>
    <n v="31.023552789802793"/>
    <n v="3"/>
    <n v="26"/>
    <n v="19.081747727873999"/>
    <n v="18.571400000000001"/>
    <n v="13.629819805624299"/>
    <n v="8.6666666666666607"/>
    <n v="0.83807293691217699"/>
    <s v="Order"/>
    <n v="22.834800000000001"/>
  </r>
  <r>
    <d v="2021-05-03T00:00:00"/>
    <x v="5"/>
    <x v="0"/>
    <n v="6"/>
    <n v="19"/>
    <x v="4"/>
    <x v="185"/>
    <x v="2"/>
    <s v="Overcast"/>
    <n v="61.1"/>
    <x v="15"/>
    <n v="72.388289842873192"/>
    <n v="7"/>
    <n v="74.13"/>
    <n v="57.9874113650393"/>
    <n v="23.9129"/>
    <n v="18.7056165693675"/>
    <n v="10.59"/>
    <n v="1.0240606617576899"/>
    <s v="Order"/>
    <n v="22.5459"/>
  </r>
  <r>
    <d v="2021-05-02T00:00:00"/>
    <x v="5"/>
    <x v="0"/>
    <n v="5"/>
    <n v="18"/>
    <x v="2"/>
    <x v="186"/>
    <x v="2"/>
    <s v="Partially Cloudy"/>
    <n v="56.8"/>
    <x v="387"/>
    <n v="62.047105579605585"/>
    <n v="6"/>
    <n v="41"/>
    <n v="27.163495455747999"/>
    <n v="11.7143"/>
    <n v="7.7609987016422703"/>
    <n v="6.8333333333333304"/>
    <n v="0.66078827718075495"/>
    <s v="Order"/>
    <n v="22.320399999999999"/>
  </r>
  <r>
    <d v="2021-04-25T00:00:00"/>
    <x v="5"/>
    <x v="0"/>
    <n v="4"/>
    <n v="17"/>
    <x v="2"/>
    <x v="187"/>
    <x v="2"/>
    <s v="Rain"/>
    <n v="44.4"/>
    <x v="313"/>
    <n v="51.705921316337992"/>
    <n v="5"/>
    <n v="41"/>
    <n v="29.4695795464566"/>
    <n v="21.578900000000001"/>
    <n v="15.510305024450901"/>
    <n v="8.1999999999999993"/>
    <n v="0.79294593261690605"/>
    <s v="Order"/>
    <n v="23.354199999999999"/>
  </r>
  <r>
    <d v="2021-04-18T00:00:00"/>
    <x v="5"/>
    <x v="0"/>
    <n v="3"/>
    <n v="16"/>
    <x v="2"/>
    <x v="188"/>
    <x v="1"/>
    <s v="Rain"/>
    <n v="61.9"/>
    <x v="388"/>
    <n v="19"/>
    <n v="4"/>
    <n v="30.67"/>
    <n v="26.433"/>
    <n v="16.313800000000001"/>
    <n v="14.060106382978701"/>
    <n v="7.6675000000000004"/>
    <n v="1.61421052631579"/>
    <s v="Order"/>
    <n v="22.898700000000002"/>
  </r>
  <r>
    <d v="2021-04-17T00:00:00"/>
    <x v="5"/>
    <x v="0"/>
    <n v="3"/>
    <n v="16"/>
    <x v="6"/>
    <x v="42"/>
    <x v="2"/>
    <s v="Partially Cloudy"/>
    <n v="50.9"/>
    <x v="389"/>
    <n v="73"/>
    <n v="6"/>
    <n v="83.04"/>
    <n v="66.760999999999996"/>
    <n v="31.101099999999999"/>
    <n v="25.004119850187301"/>
    <n v="13.84"/>
    <n v="1.13753424657534"/>
    <s v="Order"/>
    <n v="22.5579"/>
  </r>
  <r>
    <d v="2021-04-16T00:00:00"/>
    <x v="5"/>
    <x v="0"/>
    <n v="3"/>
    <n v="16"/>
    <x v="0"/>
    <x v="52"/>
    <x v="1"/>
    <s v="Rain / Snow Mix"/>
    <n v="40.799999999999997"/>
    <x v="210"/>
    <n v="188"/>
    <n v="12"/>
    <n v="139.62"/>
    <n v="97.695999999999998"/>
    <n v="19.582000000000001"/>
    <n v="13.7021037868163"/>
    <n v="11.635"/>
    <n v="0.74265957446808495"/>
    <s v="Order"/>
    <n v="22.034700000000001"/>
  </r>
  <r>
    <d v="2021-04-03T00:00:00"/>
    <x v="5"/>
    <x v="0"/>
    <n v="1"/>
    <n v="14"/>
    <x v="6"/>
    <x v="189"/>
    <x v="2"/>
    <s v="Clear"/>
    <n v="56.4"/>
    <x v="376"/>
    <n v="31.023552789802793"/>
    <n v="3"/>
    <n v="35.74"/>
    <n v="28.821747727874001"/>
    <n v="29.783300000000001"/>
    <n v="24.0181231065616"/>
    <n v="11.9133333333333"/>
    <n v="1.15202795250928"/>
    <s v="Order"/>
    <n v="21.327400000000001"/>
  </r>
  <r>
    <d v="2021-03-27T00:00:00"/>
    <x v="5"/>
    <x v="1"/>
    <n v="13"/>
    <n v="13"/>
    <x v="6"/>
    <x v="190"/>
    <x v="2"/>
    <s v="Rain"/>
    <n v="38.9"/>
    <x v="390"/>
    <n v="175.80013247554916"/>
    <n v="17"/>
    <n v="257.05"/>
    <n v="217.84657045795299"/>
    <n v="32.537999999999997"/>
    <n v="27.575515247842102"/>
    <n v="15.1205882352941"/>
    <n v="1.4621718219453099"/>
    <s v="Order"/>
    <n v="21.834199999999999"/>
  </r>
  <r>
    <d v="2021-03-24T00:00:00"/>
    <x v="5"/>
    <x v="1"/>
    <n v="13"/>
    <n v="13"/>
    <x v="1"/>
    <x v="122"/>
    <x v="2"/>
    <s v="Rain"/>
    <n v="53.6"/>
    <x v="391"/>
    <n v="62.047105579605585"/>
    <n v="6"/>
    <n v="90.59"/>
    <n v="76.753495455747995"/>
    <n v="34.842300000000002"/>
    <n v="29.5205751752877"/>
    <n v="15.098333333333301"/>
    <n v="1.4600197568244999"/>
    <s v="Order"/>
    <n v="18.978100000000001"/>
  </r>
  <r>
    <d v="2021-03-22T00:00:00"/>
    <x v="5"/>
    <x v="1"/>
    <n v="13"/>
    <n v="13"/>
    <x v="4"/>
    <x v="191"/>
    <x v="2"/>
    <s v="Partially Cloudy"/>
    <n v="64.3"/>
    <x v="176"/>
    <n v="51.705921316337992"/>
    <n v="5"/>
    <n v="67.849999999999994"/>
    <n v="56.319579546456602"/>
    <n v="33.924999999999997"/>
    <n v="28.159789773228301"/>
    <n v="13.57"/>
    <n v="1.3122288177574899"/>
    <s v="Order"/>
    <n v="17.971599999999999"/>
  </r>
  <r>
    <d v="2021-03-19T00:00:00"/>
    <x v="5"/>
    <x v="1"/>
    <n v="12"/>
    <n v="12"/>
    <x v="0"/>
    <x v="192"/>
    <x v="1"/>
    <s v="Clear"/>
    <n v="54.2"/>
    <x v="344"/>
    <n v="85.784318711591439"/>
    <n v="6"/>
    <n v="122.86"/>
    <n v="103.730096927315"/>
    <n v="34.127800000000001"/>
    <n v="28.813915813143101"/>
    <n v="20.476666666666699"/>
    <n v="1.4321964881840199"/>
    <s v="Order"/>
    <n v="17.217700000000001"/>
  </r>
  <r>
    <d v="2021-03-17T00:00:00"/>
    <x v="5"/>
    <x v="1"/>
    <n v="12"/>
    <n v="12"/>
    <x v="1"/>
    <x v="192"/>
    <x v="2"/>
    <s v="Rain"/>
    <n v="42.3"/>
    <x v="392"/>
    <n v="72.388289842873192"/>
    <n v="7"/>
    <n v="83.79"/>
    <n v="67.647411365039304"/>
    <n v="41.04"/>
    <n v="33.133425974713099"/>
    <n v="11.97"/>
    <n v="1.1575076601737"/>
    <s v="Order"/>
    <n v="15.852600000000001"/>
  </r>
  <r>
    <d v="2021-03-15T00:00:00"/>
    <x v="5"/>
    <x v="1"/>
    <n v="12"/>
    <n v="12"/>
    <x v="4"/>
    <x v="192"/>
    <x v="2"/>
    <s v="Clear"/>
    <n v="29.3"/>
    <x v="393"/>
    <n v="62.047105579605585"/>
    <n v="6"/>
    <n v="82"/>
    <n v="68.163495455748006"/>
    <n v="32.262300000000003"/>
    <n v="26.8184244416057"/>
    <n v="13.6666666666667"/>
    <n v="1.3215765543615099"/>
    <s v="Order"/>
    <n v="14.9216"/>
  </r>
  <r>
    <d v="2021-03-12T00:00:00"/>
    <x v="5"/>
    <x v="1"/>
    <n v="11"/>
    <n v="11"/>
    <x v="0"/>
    <x v="192"/>
    <x v="2"/>
    <s v="Partially Cloudy"/>
    <n v="32.299999999999997"/>
    <x v="394"/>
    <n v="51.705921316337992"/>
    <n v="5"/>
    <n v="40.86"/>
    <n v="29.3295795464566"/>
    <n v="15.919499999999999"/>
    <n v="11.427108914203901"/>
    <n v="8.1720000000000006"/>
    <n v="0.79023831235918995"/>
    <s v="Order"/>
    <n v="14.010400000000001"/>
  </r>
  <r>
    <d v="2021-03-10T00:00:00"/>
    <x v="5"/>
    <x v="1"/>
    <n v="11"/>
    <n v="11"/>
    <x v="1"/>
    <x v="192"/>
    <x v="2"/>
    <s v="Clear"/>
    <n v="56.3"/>
    <x v="395"/>
    <n v="41.364737053070392"/>
    <n v="4"/>
    <n v="41.62"/>
    <n v="32.395663637165299"/>
    <n v="25.3523"/>
    <n v="19.733399169846901"/>
    <n v="10.404999999999999"/>
    <n v="1.0061710279120599"/>
    <s v="Order"/>
    <n v="13.5564"/>
  </r>
  <r>
    <d v="2021-03-09T00:00:00"/>
    <x v="5"/>
    <x v="1"/>
    <n v="11"/>
    <n v="11"/>
    <x v="3"/>
    <x v="192"/>
    <x v="2"/>
    <s v="Clear"/>
    <n v="40"/>
    <x v="396"/>
    <n v="41.364737053070392"/>
    <n v="4"/>
    <n v="70.41"/>
    <n v="61.185663637165298"/>
    <n v="48.839300000000001"/>
    <n v="42.440922754103099"/>
    <n v="17.602499999999999"/>
    <n v="1.70217448523038"/>
    <s v="Order"/>
    <n v="13.093999999999999"/>
  </r>
  <r>
    <d v="2021-03-06T00:00:00"/>
    <x v="5"/>
    <x v="1"/>
    <n v="10"/>
    <n v="10"/>
    <x v="6"/>
    <x v="192"/>
    <x v="2"/>
    <s v="Clear"/>
    <n v="25.3"/>
    <x v="397"/>
    <n v="20.682368526535196"/>
    <n v="2"/>
    <n v="31.05"/>
    <n v="26.437831818582598"/>
    <n v="43.835299999999997"/>
    <n v="37.323997861528497"/>
    <n v="15.525"/>
    <n v="1.5012787321801799"/>
    <s v="Order"/>
    <n v="12.3117"/>
  </r>
  <r>
    <d v="2021-03-05T00:00:00"/>
    <x v="5"/>
    <x v="1"/>
    <n v="10"/>
    <n v="10"/>
    <x v="0"/>
    <x v="192"/>
    <x v="1"/>
    <s v="Partially Cloudy"/>
    <n v="20.6"/>
    <x v="274"/>
    <n v="100.08170516352334"/>
    <n v="7"/>
    <n v="142.68"/>
    <n v="120.361779748534"/>
    <n v="32.799999999999997"/>
    <n v="27.669374654835501"/>
    <n v="20.382857142857102"/>
    <n v="1.4256351824429401"/>
    <s v="Order"/>
    <n v="11.966699999999999"/>
  </r>
  <r>
    <d v="2021-03-02T00:00:00"/>
    <x v="5"/>
    <x v="1"/>
    <n v="10"/>
    <n v="10"/>
    <x v="3"/>
    <x v="192"/>
    <x v="0"/>
    <s v="Partially Cloudy"/>
    <n v="28.6"/>
    <x v="367"/>
    <n v="31.56942307692308"/>
    <n v="4"/>
    <n v="29.5"/>
    <n v="22.460018653846198"/>
    <n v="19.666699999999999"/>
    <n v="14.9733457692308"/>
    <n v="7.375"/>
    <n v="0.93444849872990499"/>
    <s v="Order"/>
    <n v="10.3813"/>
  </r>
  <r>
    <d v="2021-03-01T00:00:00"/>
    <x v="5"/>
    <x v="1"/>
    <n v="10"/>
    <n v="10"/>
    <x v="4"/>
    <x v="192"/>
    <x v="2"/>
    <s v="Partially Cloudy"/>
    <n v="5.5"/>
    <x v="398"/>
    <n v="41.364737053070392"/>
    <n v="4"/>
    <n v="37.5"/>
    <n v="28.275663637165302"/>
    <n v="20.089300000000001"/>
    <n v="15.147676948481401"/>
    <n v="9.375"/>
    <n v="0.90656928271750004"/>
    <s v="Order"/>
    <n v="10.053599999999999"/>
  </r>
  <r>
    <d v="2021-02-27T00:00:00"/>
    <x v="5"/>
    <x v="1"/>
    <n v="9"/>
    <n v="9"/>
    <x v="6"/>
    <x v="192"/>
    <x v="0"/>
    <s v="Clear"/>
    <n v="41.8"/>
    <x v="399"/>
    <n v="63.13884615384616"/>
    <n v="8"/>
    <n v="55.9"/>
    <n v="41.820037307692303"/>
    <n v="15.0404"/>
    <n v="11.2520279751638"/>
    <n v="6.9874999999999998"/>
    <n v="0.88535035727121503"/>
    <s v="Order"/>
    <n v="9.6369000000000007"/>
  </r>
  <r>
    <d v="2021-02-21T00:00:00"/>
    <x v="5"/>
    <x v="1"/>
    <n v="8"/>
    <n v="8"/>
    <x v="2"/>
    <x v="192"/>
    <x v="2"/>
    <s v="Rain / Snow Mix"/>
    <n v="36.1"/>
    <x v="48"/>
    <n v="124.09421115921117"/>
    <n v="12"/>
    <n v="90.75"/>
    <n v="63.076990911495898"/>
    <n v="19.728300000000001"/>
    <n v="13.7123893285861"/>
    <n v="7.5625"/>
    <n v="0.73129922139211601"/>
    <s v="Order"/>
    <n v="9.0158000000000005"/>
  </r>
  <r>
    <d v="2021-02-20T00:00:00"/>
    <x v="5"/>
    <x v="1"/>
    <n v="8"/>
    <n v="8"/>
    <x v="6"/>
    <x v="192"/>
    <x v="2"/>
    <s v="Clear"/>
    <n v="26.4"/>
    <x v="400"/>
    <n v="103.41184263267598"/>
    <n v="10"/>
    <n v="89.93"/>
    <n v="66.869159092913307"/>
    <n v="17.239000000000001"/>
    <n v="12.818369155191"/>
    <n v="8.9930000000000003"/>
    <n v="0.86962960634437003"/>
    <s v="Order"/>
    <n v="8.0074000000000005"/>
  </r>
  <r>
    <d v="2021-02-14T00:00:00"/>
    <x v="5"/>
    <x v="1"/>
    <n v="7"/>
    <n v="7"/>
    <x v="2"/>
    <x v="192"/>
    <x v="2"/>
    <s v="Partially Cloudy"/>
    <n v="29.5"/>
    <x v="275"/>
    <n v="82.729474106140785"/>
    <n v="8"/>
    <n v="174.88"/>
    <n v="156.43132727433101"/>
    <n v="27.980799999999999"/>
    <n v="25.0290123638929"/>
    <n v="21.86"/>
    <n v="2.1138778154884799"/>
    <s v="Order"/>
    <n v="7.0082000000000004"/>
  </r>
  <r>
    <d v="2021-02-07T00:00:00"/>
    <x v="5"/>
    <x v="1"/>
    <n v="6"/>
    <n v="6"/>
    <x v="2"/>
    <x v="192"/>
    <x v="1"/>
    <s v="Light Snow"/>
    <n v="16.3"/>
    <x v="346"/>
    <n v="85.784318711591439"/>
    <n v="6"/>
    <n v="74.709999999999994"/>
    <n v="55.580096927315097"/>
    <n v="13.8352"/>
    <n v="10.292610542095399"/>
    <n v="12.4516666666667"/>
    <n v="0.87090509223692103"/>
    <s v="Order"/>
    <n v="5.0651000000000002"/>
  </r>
  <r>
    <d v="2021-02-02T00:00:00"/>
    <x v="5"/>
    <x v="1"/>
    <n v="6"/>
    <n v="6"/>
    <x v="3"/>
    <x v="192"/>
    <x v="1"/>
    <s v="Rain / Snow Mix"/>
    <n v="31.9"/>
    <x v="401"/>
    <n v="71.48693225965954"/>
    <n v="5"/>
    <n v="53.84"/>
    <n v="37.898414106095899"/>
    <n v="10.840299999999999"/>
    <n v="7.6305531757240104"/>
    <n v="10.768000000000001"/>
    <n v="0.75314464193873698"/>
    <s v="Order"/>
    <n v="4.2350000000000003"/>
  </r>
  <r>
    <d v="2021-02-01T00:00:00"/>
    <x v="5"/>
    <x v="1"/>
    <n v="6"/>
    <n v="6"/>
    <x v="4"/>
    <x v="192"/>
    <x v="1"/>
    <s v="Rain / Snow Mix"/>
    <n v="21.2"/>
    <x v="280"/>
    <n v="28.594772903863813"/>
    <n v="2"/>
    <n v="24.85"/>
    <n v="18.473365642438399"/>
    <n v="11.5581"/>
    <n v="8.5922630895062202"/>
    <n v="12.425000000000001"/>
    <n v="0.86903994948818797"/>
    <s v="Order"/>
    <n v="3.6368"/>
  </r>
  <r>
    <d v="2021-01-31T00:00:00"/>
    <x v="5"/>
    <x v="1"/>
    <n v="5"/>
    <n v="5"/>
    <x v="2"/>
    <x v="192"/>
    <x v="0"/>
    <s v="Partially Cloudy"/>
    <n v="17.600000000000001"/>
    <x v="60"/>
    <n v="7.89235576923077"/>
    <n v="1"/>
    <n v="8.68"/>
    <n v="6.9200046634615404"/>
    <n v="3.6936"/>
    <n v="2.9446828355155499"/>
    <n v="8.68"/>
    <n v="1.09979836867465"/>
    <s v="Order"/>
    <n v="3.3607"/>
  </r>
  <r>
    <d v="2021-01-30T00:00:00"/>
    <x v="5"/>
    <x v="1"/>
    <n v="5"/>
    <n v="5"/>
    <x v="6"/>
    <x v="192"/>
    <x v="1"/>
    <s v="Clear"/>
    <n v="29.1"/>
    <x v="402"/>
    <n v="100.08170516352334"/>
    <n v="7"/>
    <n v="100.51"/>
    <n v="78.191779748534302"/>
    <n v="14.024699999999999"/>
    <n v="10.9104808951443"/>
    <n v="14.3585714285714"/>
    <n v="1.00427945183165"/>
    <s v="Order"/>
    <n v="3.2642000000000002"/>
  </r>
  <r>
    <d v="2021-01-17T00:00:00"/>
    <x v="5"/>
    <x v="1"/>
    <n v="3"/>
    <n v="3"/>
    <x v="2"/>
    <x v="192"/>
    <x v="1"/>
    <s v="Partially Cloudy"/>
    <n v="32.4"/>
    <x v="403"/>
    <n v="28.594772903863813"/>
    <n v="2"/>
    <n v="35.950000000000003"/>
    <n v="29.5733656424384"/>
    <n v="9.8045000000000009"/>
    <n v="8.0654633570286496"/>
    <n v="17.975000000000001"/>
    <n v="1.25722278406842"/>
    <s v="Order"/>
    <n v="2.1474000000000002"/>
  </r>
  <r>
    <d v="2021-01-10T00:00:00"/>
    <x v="5"/>
    <x v="1"/>
    <n v="2"/>
    <n v="2"/>
    <x v="2"/>
    <x v="192"/>
    <x v="1"/>
    <s v="Partially Cloudy"/>
    <n v="34.200000000000003"/>
    <x v="404"/>
    <n v="71.48693225965954"/>
    <n v="5"/>
    <n v="63.93"/>
    <n v="47.988414106095902"/>
    <n v="9.6620000000000008"/>
    <n v="7.2526570437424596"/>
    <n v="12.786"/>
    <n v="0.894289319449172"/>
    <s v="Order"/>
    <n v="1.748"/>
  </r>
  <r>
    <d v="2021-01-08T00:00:00"/>
    <x v="5"/>
    <x v="1"/>
    <n v="2"/>
    <n v="2"/>
    <x v="0"/>
    <x v="192"/>
    <x v="1"/>
    <s v="Partially Cloudy"/>
    <n v="26.6"/>
    <x v="405"/>
    <n v="28.594772903863813"/>
    <n v="2"/>
    <n v="12.04"/>
    <n v="5.6633656424383698"/>
    <n v="5.8731999999999998"/>
    <n v="2.7626173865552999"/>
    <n v="6.02"/>
    <n v="0.42105597552667101"/>
    <s v="Order"/>
    <n v="1.0377000000000001"/>
  </r>
  <r>
    <d v="2021-01-02T00:00:00"/>
    <x v="5"/>
    <x v="1"/>
    <n v="1"/>
    <n v="1"/>
    <x v="6"/>
    <x v="192"/>
    <x v="1"/>
    <s v="Rain / Snow Mix"/>
    <n v="32"/>
    <x v="406"/>
    <n v="57.189545807727626"/>
    <n v="4"/>
    <n v="53.14"/>
    <n v="40.386731284876703"/>
    <n v="17.1419"/>
    <n v="13.0279778338312"/>
    <n v="13.285"/>
    <n v="0.92919080313485503"/>
    <s v="Order"/>
    <n v="0.90390000000000004"/>
  </r>
  <r>
    <d v="2021-01-01T00:00:00"/>
    <x v="5"/>
    <x v="1"/>
    <n v="1"/>
    <n v="1"/>
    <x v="0"/>
    <x v="192"/>
    <x v="2"/>
    <s v="Rain / Snow Mix"/>
    <n v="29.5"/>
    <x v="407"/>
    <n v="10.341184263267598"/>
    <n v="1"/>
    <n v="28.21"/>
    <n v="25.9039159092913"/>
    <n v="6.51"/>
    <n v="5.9778267482979999"/>
    <n v="28.21"/>
    <n v="2.7279274096491402"/>
    <s v="Order"/>
    <n v="0.3134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CFF5E-09D2-422C-A17D-67D62E633113}" name="PivotTable5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Hours">
  <location ref="AA43:AV182" firstHeaderRow="1" firstDataRow="3" firstDataCol="1" rowPageCount="2" colPageCount="1"/>
  <pivotFields count="23">
    <pivotField dataField="1" numFmtId="14" showAll="0"/>
    <pivotField axis="axisPage" multipleItemSelectionAllowed="1" showAll="0">
      <items count="7">
        <item h="1" x="5"/>
        <item x="4"/>
        <item x="3"/>
        <item x="2"/>
        <item x="1"/>
        <item h="1" x="0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showAll="0"/>
    <pivotField showAll="0"/>
    <pivotField axis="axisCol" multipleItemSelectionAllowed="1" showAll="0">
      <items count="9">
        <item x="2"/>
        <item x="4"/>
        <item x="3"/>
        <item x="1"/>
        <item x="5"/>
        <item x="0"/>
        <item x="6"/>
        <item m="1" x="7"/>
        <item t="default"/>
      </items>
    </pivotField>
    <pivotField showAll="0">
      <items count="194">
        <item x="78"/>
        <item x="133"/>
        <item x="158"/>
        <item x="188"/>
        <item x="74"/>
        <item x="91"/>
        <item x="108"/>
        <item x="121"/>
        <item x="145"/>
        <item x="71"/>
        <item x="73"/>
        <item x="90"/>
        <item x="102"/>
        <item x="187"/>
        <item x="89"/>
        <item x="35"/>
        <item x="39"/>
        <item x="189"/>
        <item x="77"/>
        <item x="138"/>
        <item x="150"/>
        <item x="69"/>
        <item x="137"/>
        <item x="66"/>
        <item x="87"/>
        <item x="165"/>
        <item x="95"/>
        <item x="170"/>
        <item x="93"/>
        <item x="29"/>
        <item x="177"/>
        <item x="46"/>
        <item x="79"/>
        <item x="124"/>
        <item x="113"/>
        <item x="58"/>
        <item x="119"/>
        <item x="100"/>
        <item x="179"/>
        <item x="98"/>
        <item x="38"/>
        <item x="34"/>
        <item x="81"/>
        <item x="83"/>
        <item x="143"/>
        <item x="5"/>
        <item x="103"/>
        <item x="94"/>
        <item x="76"/>
        <item x="130"/>
        <item x="166"/>
        <item x="15"/>
        <item x="190"/>
        <item x="104"/>
        <item x="105"/>
        <item x="186"/>
        <item x="97"/>
        <item x="176"/>
        <item x="99"/>
        <item x="123"/>
        <item x="174"/>
        <item x="21"/>
        <item x="112"/>
        <item x="101"/>
        <item x="136"/>
        <item x="120"/>
        <item x="92"/>
        <item x="44"/>
        <item x="161"/>
        <item x="96"/>
        <item x="55"/>
        <item x="146"/>
        <item x="109"/>
        <item x="86"/>
        <item x="134"/>
        <item x="57"/>
        <item x="139"/>
        <item x="149"/>
        <item x="82"/>
        <item x="126"/>
        <item x="171"/>
        <item x="131"/>
        <item x="59"/>
        <item x="169"/>
        <item x="64"/>
        <item x="132"/>
        <item x="163"/>
        <item x="151"/>
        <item x="63"/>
        <item x="128"/>
        <item x="115"/>
        <item x="106"/>
        <item x="27"/>
        <item x="154"/>
        <item x="155"/>
        <item x="72"/>
        <item x="173"/>
        <item x="37"/>
        <item x="111"/>
        <item x="141"/>
        <item x="148"/>
        <item x="40"/>
        <item x="157"/>
        <item x="122"/>
        <item x="53"/>
        <item x="156"/>
        <item x="118"/>
        <item x="181"/>
        <item x="117"/>
        <item x="52"/>
        <item x="67"/>
        <item x="185"/>
        <item x="129"/>
        <item x="191"/>
        <item x="65"/>
        <item x="159"/>
        <item x="110"/>
        <item x="153"/>
        <item x="144"/>
        <item x="2"/>
        <item x="162"/>
        <item x="50"/>
        <item x="140"/>
        <item x="182"/>
        <item x="160"/>
        <item x="1"/>
        <item x="127"/>
        <item x="88"/>
        <item x="42"/>
        <item x="142"/>
        <item x="180"/>
        <item x="47"/>
        <item x="107"/>
        <item x="164"/>
        <item x="43"/>
        <item x="116"/>
        <item x="56"/>
        <item x="114"/>
        <item x="45"/>
        <item x="167"/>
        <item x="19"/>
        <item x="125"/>
        <item x="183"/>
        <item x="17"/>
        <item x="172"/>
        <item x="12"/>
        <item x="48"/>
        <item x="84"/>
        <item x="54"/>
        <item x="68"/>
        <item x="62"/>
        <item x="135"/>
        <item x="36"/>
        <item x="3"/>
        <item x="80"/>
        <item x="184"/>
        <item x="9"/>
        <item x="168"/>
        <item x="75"/>
        <item x="178"/>
        <item x="147"/>
        <item x="85"/>
        <item x="13"/>
        <item x="6"/>
        <item x="175"/>
        <item x="11"/>
        <item x="152"/>
        <item x="192"/>
        <item x="33"/>
        <item x="28"/>
        <item x="22"/>
        <item x="4"/>
        <item x="70"/>
        <item x="61"/>
        <item x="60"/>
        <item x="8"/>
        <item x="7"/>
        <item x="51"/>
        <item x="49"/>
        <item x="14"/>
        <item x="41"/>
        <item x="32"/>
        <item x="31"/>
        <item x="30"/>
        <item x="23"/>
        <item x="26"/>
        <item x="25"/>
        <item x="24"/>
        <item x="20"/>
        <item x="18"/>
        <item x="16"/>
        <item x="0"/>
        <item x="10"/>
        <item t="default"/>
      </items>
    </pivotField>
    <pivotField showAll="0"/>
    <pivotField showAll="0"/>
    <pivotField showAll="0"/>
    <pivotField axis="axisRow" showAll="0">
      <items count="409">
        <item x="10"/>
        <item x="11"/>
        <item x="12"/>
        <item x="6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3"/>
        <item x="15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5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9"/>
        <item x="0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8"/>
        <item x="4"/>
        <item t="default"/>
      </items>
    </pivotField>
    <pivotField showAll="0"/>
    <pivotField showAll="0"/>
    <pivotField numFmtId="44" showAll="0"/>
    <pivotField dataField="1" numFmtId="44" showAll="0"/>
    <pivotField numFmtId="44" showAll="0"/>
    <pivotField dataField="1" numFmtId="44" showAll="0"/>
    <pivotField numFmtId="44" showAll="0"/>
    <pivotField numFmtId="44" showAll="0"/>
    <pivotField showAll="0"/>
    <pivotField numFmtId="165"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0"/>
  </rowFields>
  <rowItems count="137">
    <i>
      <x v="1"/>
    </i>
    <i>
      <x v="2"/>
    </i>
    <i>
      <x v="3"/>
    </i>
    <i>
      <x v="7"/>
    </i>
    <i>
      <x v="8"/>
    </i>
    <i>
      <x v="9"/>
    </i>
    <i>
      <x v="12"/>
    </i>
    <i>
      <x v="15"/>
    </i>
    <i>
      <x v="18"/>
    </i>
    <i>
      <x v="24"/>
    </i>
    <i>
      <x v="26"/>
    </i>
    <i>
      <x v="28"/>
    </i>
    <i>
      <x v="32"/>
    </i>
    <i>
      <x v="34"/>
    </i>
    <i>
      <x v="38"/>
    </i>
    <i>
      <x v="39"/>
    </i>
    <i>
      <x v="40"/>
    </i>
    <i>
      <x v="42"/>
    </i>
    <i>
      <x v="43"/>
    </i>
    <i>
      <x v="47"/>
    </i>
    <i>
      <x v="50"/>
    </i>
    <i>
      <x v="51"/>
    </i>
    <i>
      <x v="52"/>
    </i>
    <i>
      <x v="55"/>
    </i>
    <i>
      <x v="58"/>
    </i>
    <i>
      <x v="62"/>
    </i>
    <i>
      <x v="72"/>
    </i>
    <i>
      <x v="74"/>
    </i>
    <i>
      <x v="76"/>
    </i>
    <i>
      <x v="78"/>
    </i>
    <i>
      <x v="79"/>
    </i>
    <i>
      <x v="81"/>
    </i>
    <i>
      <x v="84"/>
    </i>
    <i>
      <x v="85"/>
    </i>
    <i>
      <x v="88"/>
    </i>
    <i>
      <x v="94"/>
    </i>
    <i>
      <x v="97"/>
    </i>
    <i>
      <x v="98"/>
    </i>
    <i>
      <x v="102"/>
    </i>
    <i>
      <x v="113"/>
    </i>
    <i>
      <x v="117"/>
    </i>
    <i>
      <x v="122"/>
    </i>
    <i>
      <x v="123"/>
    </i>
    <i>
      <x v="124"/>
    </i>
    <i>
      <x v="126"/>
    </i>
    <i>
      <x v="127"/>
    </i>
    <i>
      <x v="128"/>
    </i>
    <i>
      <x v="136"/>
    </i>
    <i>
      <x v="137"/>
    </i>
    <i>
      <x v="139"/>
    </i>
    <i>
      <x v="140"/>
    </i>
    <i>
      <x v="141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80"/>
    </i>
    <i>
      <x v="194"/>
    </i>
    <i>
      <x v="195"/>
    </i>
    <i>
      <x v="199"/>
    </i>
    <i>
      <x v="203"/>
    </i>
    <i>
      <x v="204"/>
    </i>
    <i>
      <x v="205"/>
    </i>
    <i>
      <x v="213"/>
    </i>
    <i>
      <x v="215"/>
    </i>
    <i>
      <x v="219"/>
    </i>
    <i>
      <x v="220"/>
    </i>
    <i>
      <x v="228"/>
    </i>
    <i>
      <x v="230"/>
    </i>
    <i>
      <x v="234"/>
    </i>
    <i>
      <x v="243"/>
    </i>
    <i>
      <x v="244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9"/>
    </i>
    <i>
      <x v="271"/>
    </i>
    <i>
      <x v="272"/>
    </i>
    <i>
      <x v="279"/>
    </i>
    <i>
      <x v="283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39"/>
    </i>
    <i>
      <x v="352"/>
    </i>
    <i>
      <x v="355"/>
    </i>
    <i>
      <x v="363"/>
    </i>
    <i>
      <x v="364"/>
    </i>
  </rowItems>
  <colFields count="2">
    <field x="5"/>
    <field x="-2"/>
  </colFields>
  <colItems count="21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</colItems>
  <pageFields count="2">
    <pageField fld="2" item="0" hier="-1"/>
    <pageField fld="1" hier="-1"/>
  </pageFields>
  <dataFields count="3">
    <dataField name="Average of Net Earnings" fld="14" subtotal="average" baseField="10" baseItem="6" numFmtId="7"/>
    <dataField name=" Net $/Hour" fld="16" subtotal="average" baseField="10" baseItem="6" numFmtId="7"/>
    <dataField name="% OF Total" fld="0" subtotal="count" showDataAs="percentOfTotal" baseField="11" baseItem="1" numFmtId="9"/>
  </dataFields>
  <conditionalFormats count="3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field" type="all" priority="1">
      <pivotAreas count="1">
        <pivotArea outline="0" collapsedLevelsAreSubtotals="1" fieldPosition="0">
          <references count="3">
            <reference field="4294967294" count="1" selected="0">
              <x v="2"/>
            </reference>
            <reference field="5" count="0" selected="0"/>
            <reference field="10" count="0" selected="0"/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D4F7D1-031D-4CE0-9A84-4CEC832CC077}" name="PivotTable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Hours">
  <location ref="V6:Y143" firstHeaderRow="0" firstDataRow="1" firstDataCol="1" rowPageCount="3" colPageCount="1"/>
  <pivotFields count="23">
    <pivotField dataField="1" numFmtId="14" showAll="0"/>
    <pivotField axis="axisPage" multipleItemSelectionAllowed="1" showAll="0">
      <items count="7">
        <item h="1" x="5"/>
        <item x="4"/>
        <item x="3"/>
        <item x="2"/>
        <item x="1"/>
        <item h="1" x="0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showAll="0"/>
    <pivotField showAll="0"/>
    <pivotField axis="axisPage" multipleItemSelectionAllowed="1" showAll="0">
      <items count="9">
        <item x="2"/>
        <item x="4"/>
        <item x="3"/>
        <item x="1"/>
        <item x="5"/>
        <item x="0"/>
        <item x="6"/>
        <item m="1" x="7"/>
        <item t="default"/>
      </items>
    </pivotField>
    <pivotField showAll="0">
      <items count="194">
        <item x="78"/>
        <item x="133"/>
        <item x="158"/>
        <item x="188"/>
        <item x="74"/>
        <item x="91"/>
        <item x="108"/>
        <item x="121"/>
        <item x="145"/>
        <item x="71"/>
        <item x="73"/>
        <item x="90"/>
        <item x="102"/>
        <item x="187"/>
        <item x="89"/>
        <item x="35"/>
        <item x="39"/>
        <item x="189"/>
        <item x="77"/>
        <item x="138"/>
        <item x="150"/>
        <item x="69"/>
        <item x="137"/>
        <item x="66"/>
        <item x="87"/>
        <item x="165"/>
        <item x="95"/>
        <item x="170"/>
        <item x="93"/>
        <item x="29"/>
        <item x="177"/>
        <item x="46"/>
        <item x="79"/>
        <item x="124"/>
        <item x="113"/>
        <item x="58"/>
        <item x="119"/>
        <item x="100"/>
        <item x="179"/>
        <item x="98"/>
        <item x="38"/>
        <item x="34"/>
        <item x="81"/>
        <item x="83"/>
        <item x="143"/>
        <item x="5"/>
        <item x="103"/>
        <item x="94"/>
        <item x="76"/>
        <item x="130"/>
        <item x="166"/>
        <item x="15"/>
        <item x="190"/>
        <item x="104"/>
        <item x="105"/>
        <item x="186"/>
        <item x="97"/>
        <item x="176"/>
        <item x="99"/>
        <item x="123"/>
        <item x="174"/>
        <item x="21"/>
        <item x="112"/>
        <item x="101"/>
        <item x="136"/>
        <item x="120"/>
        <item x="92"/>
        <item x="44"/>
        <item x="161"/>
        <item x="96"/>
        <item x="55"/>
        <item x="146"/>
        <item x="109"/>
        <item x="86"/>
        <item x="134"/>
        <item x="57"/>
        <item x="139"/>
        <item x="149"/>
        <item x="82"/>
        <item x="126"/>
        <item x="171"/>
        <item x="131"/>
        <item x="59"/>
        <item x="169"/>
        <item x="64"/>
        <item x="132"/>
        <item x="163"/>
        <item x="151"/>
        <item x="63"/>
        <item x="128"/>
        <item x="115"/>
        <item x="106"/>
        <item x="27"/>
        <item x="154"/>
        <item x="155"/>
        <item x="72"/>
        <item x="173"/>
        <item x="37"/>
        <item x="111"/>
        <item x="141"/>
        <item x="148"/>
        <item x="40"/>
        <item x="157"/>
        <item x="122"/>
        <item x="53"/>
        <item x="156"/>
        <item x="118"/>
        <item x="181"/>
        <item x="117"/>
        <item x="52"/>
        <item x="67"/>
        <item x="185"/>
        <item x="129"/>
        <item x="191"/>
        <item x="65"/>
        <item x="159"/>
        <item x="110"/>
        <item x="153"/>
        <item x="144"/>
        <item x="2"/>
        <item x="162"/>
        <item x="50"/>
        <item x="140"/>
        <item x="182"/>
        <item x="160"/>
        <item x="1"/>
        <item x="127"/>
        <item x="88"/>
        <item x="42"/>
        <item x="142"/>
        <item x="180"/>
        <item x="47"/>
        <item x="107"/>
        <item x="164"/>
        <item x="43"/>
        <item x="116"/>
        <item x="56"/>
        <item x="114"/>
        <item x="45"/>
        <item x="167"/>
        <item x="19"/>
        <item x="125"/>
        <item x="183"/>
        <item x="17"/>
        <item x="172"/>
        <item x="12"/>
        <item x="48"/>
        <item x="84"/>
        <item x="54"/>
        <item x="68"/>
        <item x="62"/>
        <item x="135"/>
        <item x="36"/>
        <item x="3"/>
        <item x="80"/>
        <item x="184"/>
        <item x="9"/>
        <item x="168"/>
        <item x="75"/>
        <item x="178"/>
        <item x="147"/>
        <item x="85"/>
        <item x="13"/>
        <item x="6"/>
        <item x="175"/>
        <item x="11"/>
        <item x="152"/>
        <item x="192"/>
        <item x="33"/>
        <item x="28"/>
        <item x="22"/>
        <item x="4"/>
        <item x="70"/>
        <item x="61"/>
        <item x="60"/>
        <item x="8"/>
        <item x="7"/>
        <item x="51"/>
        <item x="49"/>
        <item x="14"/>
        <item x="41"/>
        <item x="32"/>
        <item x="31"/>
        <item x="30"/>
        <item x="23"/>
        <item x="26"/>
        <item x="25"/>
        <item x="24"/>
        <item x="20"/>
        <item x="18"/>
        <item x="16"/>
        <item x="0"/>
        <item x="10"/>
        <item t="default"/>
      </items>
    </pivotField>
    <pivotField showAll="0"/>
    <pivotField showAll="0"/>
    <pivotField showAll="0"/>
    <pivotField axis="axisRow" showAll="0">
      <items count="409">
        <item x="10"/>
        <item x="11"/>
        <item x="12"/>
        <item x="6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3"/>
        <item x="15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5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9"/>
        <item x="0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8"/>
        <item x="4"/>
        <item t="default"/>
      </items>
    </pivotField>
    <pivotField showAll="0"/>
    <pivotField showAll="0"/>
    <pivotField numFmtId="44" showAll="0"/>
    <pivotField dataField="1" numFmtId="44" showAll="0"/>
    <pivotField numFmtId="44" showAll="0"/>
    <pivotField dataField="1" numFmtId="44" showAll="0"/>
    <pivotField numFmtId="44" showAll="0"/>
    <pivotField numFmtId="44" showAll="0"/>
    <pivotField showAll="0"/>
    <pivotField numFmtId="165" showAll="0"/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10"/>
  </rowFields>
  <rowItems count="137">
    <i>
      <x v="1"/>
    </i>
    <i>
      <x v="2"/>
    </i>
    <i>
      <x v="3"/>
    </i>
    <i>
      <x v="7"/>
    </i>
    <i>
      <x v="8"/>
    </i>
    <i>
      <x v="9"/>
    </i>
    <i>
      <x v="12"/>
    </i>
    <i>
      <x v="15"/>
    </i>
    <i>
      <x v="18"/>
    </i>
    <i>
      <x v="24"/>
    </i>
    <i>
      <x v="26"/>
    </i>
    <i>
      <x v="28"/>
    </i>
    <i>
      <x v="32"/>
    </i>
    <i>
      <x v="34"/>
    </i>
    <i>
      <x v="38"/>
    </i>
    <i>
      <x v="39"/>
    </i>
    <i>
      <x v="40"/>
    </i>
    <i>
      <x v="42"/>
    </i>
    <i>
      <x v="43"/>
    </i>
    <i>
      <x v="47"/>
    </i>
    <i>
      <x v="50"/>
    </i>
    <i>
      <x v="51"/>
    </i>
    <i>
      <x v="52"/>
    </i>
    <i>
      <x v="55"/>
    </i>
    <i>
      <x v="58"/>
    </i>
    <i>
      <x v="62"/>
    </i>
    <i>
      <x v="72"/>
    </i>
    <i>
      <x v="74"/>
    </i>
    <i>
      <x v="76"/>
    </i>
    <i>
      <x v="78"/>
    </i>
    <i>
      <x v="79"/>
    </i>
    <i>
      <x v="81"/>
    </i>
    <i>
      <x v="84"/>
    </i>
    <i>
      <x v="85"/>
    </i>
    <i>
      <x v="88"/>
    </i>
    <i>
      <x v="94"/>
    </i>
    <i>
      <x v="97"/>
    </i>
    <i>
      <x v="98"/>
    </i>
    <i>
      <x v="102"/>
    </i>
    <i>
      <x v="113"/>
    </i>
    <i>
      <x v="117"/>
    </i>
    <i>
      <x v="122"/>
    </i>
    <i>
      <x v="123"/>
    </i>
    <i>
      <x v="124"/>
    </i>
    <i>
      <x v="126"/>
    </i>
    <i>
      <x v="127"/>
    </i>
    <i>
      <x v="128"/>
    </i>
    <i>
      <x v="136"/>
    </i>
    <i>
      <x v="137"/>
    </i>
    <i>
      <x v="139"/>
    </i>
    <i>
      <x v="140"/>
    </i>
    <i>
      <x v="141"/>
    </i>
    <i>
      <x v="145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80"/>
    </i>
    <i>
      <x v="194"/>
    </i>
    <i>
      <x v="195"/>
    </i>
    <i>
      <x v="199"/>
    </i>
    <i>
      <x v="203"/>
    </i>
    <i>
      <x v="204"/>
    </i>
    <i>
      <x v="205"/>
    </i>
    <i>
      <x v="213"/>
    </i>
    <i>
      <x v="215"/>
    </i>
    <i>
      <x v="219"/>
    </i>
    <i>
      <x v="220"/>
    </i>
    <i>
      <x v="228"/>
    </i>
    <i>
      <x v="230"/>
    </i>
    <i>
      <x v="234"/>
    </i>
    <i>
      <x v="243"/>
    </i>
    <i>
      <x v="244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9"/>
    </i>
    <i>
      <x v="271"/>
    </i>
    <i>
      <x v="272"/>
    </i>
    <i>
      <x v="279"/>
    </i>
    <i>
      <x v="283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39"/>
    </i>
    <i>
      <x v="352"/>
    </i>
    <i>
      <x v="355"/>
    </i>
    <i>
      <x v="363"/>
    </i>
    <i>
      <x v="364"/>
    </i>
  </rowItems>
  <colFields count="1">
    <field x="-2"/>
  </colFields>
  <colItems count="3">
    <i>
      <x/>
    </i>
    <i i="1">
      <x v="1"/>
    </i>
    <i i="2">
      <x v="2"/>
    </i>
  </colItems>
  <pageFields count="3">
    <pageField fld="2" item="0" hier="-1"/>
    <pageField fld="1" hier="-1"/>
    <pageField fld="5" hier="-1"/>
  </pageFields>
  <dataFields count="3">
    <dataField name="Average of Net Earnings" fld="14" subtotal="average" baseField="10" baseItem="6" numFmtId="7"/>
    <dataField name=" Net $/Hour" fld="16" subtotal="average" baseField="10" baseItem="6" numFmtId="7"/>
    <dataField name="% OF Total" fld="0" subtotal="count" showDataAs="percentOfTotal" baseField="11" baseItem="1" numFmtId="9"/>
  </dataFields>
  <conditionalFormats count="2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88FED-5605-4F56-8047-0E3CE30835FC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Hours">
  <location ref="AA5:AM34" firstHeaderRow="1" firstDataRow="3" firstDataCol="1" rowPageCount="3" colPageCount="1"/>
  <pivotFields count="23">
    <pivotField dataField="1" numFmtId="14" showAll="0"/>
    <pivotField axis="axisPage" multipleItemSelectionAllowed="1" showAll="0">
      <items count="7">
        <item x="5"/>
        <item x="4"/>
        <item x="3"/>
        <item x="2"/>
        <item x="1"/>
        <item x="0"/>
        <item t="default"/>
      </items>
    </pivotField>
    <pivotField axis="axisPage" showAll="0">
      <items count="5">
        <item x="1"/>
        <item x="0"/>
        <item x="3"/>
        <item x="2"/>
        <item t="default"/>
      </items>
    </pivotField>
    <pivotField showAll="0"/>
    <pivotField showAll="0"/>
    <pivotField axis="axisPage" showAll="0">
      <items count="9">
        <item x="2"/>
        <item x="4"/>
        <item x="3"/>
        <item x="1"/>
        <item x="5"/>
        <item x="0"/>
        <item x="6"/>
        <item m="1" x="7"/>
        <item t="default"/>
      </items>
    </pivotField>
    <pivotField showAll="0">
      <items count="194">
        <item x="78"/>
        <item x="133"/>
        <item x="158"/>
        <item x="188"/>
        <item x="74"/>
        <item x="91"/>
        <item x="108"/>
        <item x="121"/>
        <item x="145"/>
        <item x="71"/>
        <item x="73"/>
        <item x="90"/>
        <item x="102"/>
        <item x="187"/>
        <item x="89"/>
        <item x="35"/>
        <item x="39"/>
        <item x="189"/>
        <item x="77"/>
        <item x="138"/>
        <item x="150"/>
        <item x="69"/>
        <item x="137"/>
        <item x="66"/>
        <item x="87"/>
        <item x="165"/>
        <item x="95"/>
        <item x="170"/>
        <item x="93"/>
        <item x="29"/>
        <item x="177"/>
        <item x="46"/>
        <item x="79"/>
        <item x="124"/>
        <item x="113"/>
        <item x="58"/>
        <item x="119"/>
        <item x="100"/>
        <item x="179"/>
        <item x="98"/>
        <item x="38"/>
        <item x="34"/>
        <item x="81"/>
        <item x="83"/>
        <item x="143"/>
        <item x="5"/>
        <item x="103"/>
        <item x="94"/>
        <item x="76"/>
        <item x="130"/>
        <item x="166"/>
        <item x="15"/>
        <item x="190"/>
        <item x="104"/>
        <item x="105"/>
        <item x="186"/>
        <item x="97"/>
        <item x="176"/>
        <item x="99"/>
        <item x="123"/>
        <item x="174"/>
        <item x="21"/>
        <item x="112"/>
        <item x="101"/>
        <item x="136"/>
        <item x="120"/>
        <item x="92"/>
        <item x="44"/>
        <item x="161"/>
        <item x="96"/>
        <item x="55"/>
        <item x="146"/>
        <item x="109"/>
        <item x="86"/>
        <item x="134"/>
        <item x="57"/>
        <item x="139"/>
        <item x="149"/>
        <item x="82"/>
        <item x="126"/>
        <item x="171"/>
        <item x="131"/>
        <item x="59"/>
        <item x="169"/>
        <item x="64"/>
        <item x="132"/>
        <item x="163"/>
        <item x="151"/>
        <item x="63"/>
        <item x="128"/>
        <item x="115"/>
        <item x="106"/>
        <item x="27"/>
        <item x="154"/>
        <item x="155"/>
        <item x="72"/>
        <item x="173"/>
        <item x="37"/>
        <item x="111"/>
        <item x="141"/>
        <item x="148"/>
        <item x="40"/>
        <item x="157"/>
        <item x="122"/>
        <item x="53"/>
        <item x="156"/>
        <item x="118"/>
        <item x="181"/>
        <item x="117"/>
        <item x="52"/>
        <item x="67"/>
        <item x="185"/>
        <item x="129"/>
        <item x="191"/>
        <item x="65"/>
        <item x="159"/>
        <item x="110"/>
        <item x="153"/>
        <item x="144"/>
        <item x="2"/>
        <item x="162"/>
        <item x="50"/>
        <item x="140"/>
        <item x="182"/>
        <item x="160"/>
        <item x="1"/>
        <item x="127"/>
        <item x="88"/>
        <item x="42"/>
        <item x="142"/>
        <item x="180"/>
        <item x="47"/>
        <item x="107"/>
        <item x="164"/>
        <item x="43"/>
        <item x="116"/>
        <item x="56"/>
        <item x="114"/>
        <item x="45"/>
        <item x="167"/>
        <item x="19"/>
        <item x="125"/>
        <item x="183"/>
        <item x="17"/>
        <item x="172"/>
        <item x="12"/>
        <item x="48"/>
        <item x="84"/>
        <item x="54"/>
        <item x="68"/>
        <item x="62"/>
        <item x="135"/>
        <item x="36"/>
        <item x="3"/>
        <item x="80"/>
        <item x="184"/>
        <item x="9"/>
        <item x="168"/>
        <item x="75"/>
        <item x="178"/>
        <item x="147"/>
        <item x="85"/>
        <item x="13"/>
        <item x="6"/>
        <item x="175"/>
        <item x="11"/>
        <item x="152"/>
        <item x="192"/>
        <item x="33"/>
        <item x="28"/>
        <item x="22"/>
        <item x="4"/>
        <item x="70"/>
        <item x="61"/>
        <item x="60"/>
        <item x="8"/>
        <item x="7"/>
        <item x="51"/>
        <item x="49"/>
        <item x="14"/>
        <item x="41"/>
        <item x="32"/>
        <item x="31"/>
        <item x="30"/>
        <item x="23"/>
        <item x="26"/>
        <item x="25"/>
        <item x="24"/>
        <item x="20"/>
        <item x="18"/>
        <item x="16"/>
        <item x="0"/>
        <item x="10"/>
        <item t="default"/>
      </items>
    </pivotField>
    <pivotField axis="axisCol" showAll="0">
      <items count="6">
        <item x="3"/>
        <item x="2"/>
        <item x="0"/>
        <item x="1"/>
        <item m="1" x="4"/>
        <item t="default"/>
      </items>
    </pivotField>
    <pivotField showAll="0"/>
    <pivotField showAll="0"/>
    <pivotField axis="axisRow" showAll="0">
      <items count="409">
        <item x="10"/>
        <item x="11"/>
        <item x="12"/>
        <item x="6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3"/>
        <item x="15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5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9"/>
        <item x="0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8"/>
        <item x="4"/>
        <item t="default"/>
      </items>
    </pivotField>
    <pivotField showAll="0"/>
    <pivotField showAll="0"/>
    <pivotField numFmtId="44" showAll="0"/>
    <pivotField dataField="1" numFmtId="44" showAll="0"/>
    <pivotField numFmtId="44" showAll="0"/>
    <pivotField dataField="1" numFmtId="44" showAll="0"/>
    <pivotField numFmtId="44" showAll="0"/>
    <pivotField numFmtId="44" showAll="0"/>
    <pivotField showAll="0"/>
    <pivotField numFmtId="165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0"/>
  </rowFields>
  <rowItems count="27">
    <i>
      <x v="12"/>
    </i>
    <i>
      <x v="16"/>
    </i>
    <i>
      <x v="21"/>
    </i>
    <i>
      <x v="38"/>
    </i>
    <i>
      <x v="51"/>
    </i>
    <i>
      <x v="72"/>
    </i>
    <i>
      <x v="85"/>
    </i>
    <i>
      <x v="94"/>
    </i>
    <i>
      <x v="128"/>
    </i>
    <i>
      <x v="139"/>
    </i>
    <i>
      <x v="149"/>
    </i>
    <i>
      <x v="153"/>
    </i>
    <i>
      <x v="156"/>
    </i>
    <i>
      <x v="159"/>
    </i>
    <i>
      <x v="169"/>
    </i>
    <i>
      <x v="171"/>
    </i>
    <i>
      <x v="174"/>
    </i>
    <i>
      <x v="213"/>
    </i>
    <i>
      <x v="248"/>
    </i>
    <i>
      <x v="259"/>
    </i>
    <i>
      <x v="270"/>
    </i>
    <i>
      <x v="316"/>
    </i>
    <i>
      <x v="320"/>
    </i>
    <i>
      <x v="322"/>
    </i>
    <i>
      <x v="344"/>
    </i>
    <i>
      <x v="401"/>
    </i>
    <i>
      <x v="402"/>
    </i>
  </rowItems>
  <colFields count="2">
    <field x="7"/>
    <field x="-2"/>
  </colFields>
  <colItems count="12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</colItems>
  <pageFields count="3">
    <pageField fld="2" item="0" hier="-1"/>
    <pageField fld="1" hier="-1"/>
    <pageField fld="5" item="0" hier="-1"/>
  </pageFields>
  <dataFields count="3">
    <dataField name=" Net Earnings" fld="14" subtotal="average" baseField="10" baseItem="4" numFmtId="7"/>
    <dataField name="% OF Total" fld="0" subtotal="count" showDataAs="percentOfTotal" baseField="11" baseItem="1" numFmtId="9"/>
    <dataField name=" Net $/Hour" fld="16" subtotal="average" baseField="10" baseItem="7" numFmtId="7"/>
  </dataFields>
  <conditionalFormats count="2">
    <conditionalFormat scope="field" priority="22">
      <pivotAreas count="1">
        <pivotArea outline="0" collapsedLevelsAreSubtotals="1" fieldPosition="0">
          <references count="3">
            <reference field="4294967294" count="1" selected="0">
              <x v="0"/>
            </reference>
            <reference field="7" count="0" selected="0"/>
            <reference field="10" count="0" selected="0"/>
          </references>
        </pivotArea>
      </pivotAreas>
    </conditionalFormat>
    <conditionalFormat scope="field" priority="4">
      <pivotAreas count="1">
        <pivotArea outline="0" collapsedLevelsAreSubtotals="1" fieldPosition="0">
          <references count="3">
            <reference field="4294967294" count="1" selected="0">
              <x v="2"/>
            </reference>
            <reference field="7" count="0" selected="0"/>
            <reference field="10" count="0" selected="0"/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3EFB9-B689-4D14-880B-E95FF53C17BE}" name="PivotTable1" cacheId="2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5" rowHeaderCaption="Start Time" colHeaderCaption="DOW">
  <location ref="K4:S29" firstHeaderRow="1" firstDataRow="2" firstDataCol="1" rowPageCount="2" colPageCount="1"/>
  <pivotFields count="29">
    <pivotField numFmtId="169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  <pivotField axis="axisRow" numFmtId="172" showAll="0" sortType="ascending">
      <items count="177">
        <item x="0"/>
        <item m="1" x="26"/>
        <item m="1" x="89"/>
        <item m="1" x="134"/>
        <item m="1" x="147"/>
        <item m="1" x="106"/>
        <item m="1" x="87"/>
        <item m="1" x="153"/>
        <item m="1" x="28"/>
        <item m="1" x="125"/>
        <item m="1" x="27"/>
        <item m="1" x="84"/>
        <item m="1" x="126"/>
        <item m="1" x="144"/>
        <item m="1" x="29"/>
        <item x="24"/>
        <item x="20"/>
        <item m="1" x="108"/>
        <item m="1" x="79"/>
        <item x="5"/>
        <item m="1" x="141"/>
        <item m="1" x="132"/>
        <item x="19"/>
        <item m="1" x="93"/>
        <item m="1" x="154"/>
        <item x="22"/>
        <item x="6"/>
        <item m="1" x="165"/>
        <item m="1" x="49"/>
        <item m="1" x="37"/>
        <item m="1" x="175"/>
        <item x="4"/>
        <item m="1" x="137"/>
        <item m="1" x="34"/>
        <item m="1" x="86"/>
        <item x="17"/>
        <item m="1" x="159"/>
        <item m="1" x="103"/>
        <item m="1" x="143"/>
        <item m="1" x="71"/>
        <item m="1" x="65"/>
        <item m="1" x="167"/>
        <item x="11"/>
        <item m="1" x="58"/>
        <item m="1" x="152"/>
        <item m="1" x="52"/>
        <item m="1" x="36"/>
        <item m="1" x="123"/>
        <item m="1" x="142"/>
        <item m="1" x="168"/>
        <item m="1" x="136"/>
        <item x="12"/>
        <item m="1" x="56"/>
        <item m="1" x="148"/>
        <item m="1" x="166"/>
        <item x="21"/>
        <item m="1" x="155"/>
        <item m="1" x="96"/>
        <item m="1" x="171"/>
        <item m="1" x="156"/>
        <item x="3"/>
        <item m="1" x="172"/>
        <item m="1" x="111"/>
        <item m="1" x="69"/>
        <item m="1" x="33"/>
        <item m="1" x="169"/>
        <item m="1" x="151"/>
        <item m="1" x="38"/>
        <item m="1" x="163"/>
        <item x="7"/>
        <item m="1" x="59"/>
        <item m="1" x="170"/>
        <item m="1" x="61"/>
        <item m="1" x="146"/>
        <item m="1" x="174"/>
        <item m="1" x="104"/>
        <item m="1" x="135"/>
        <item x="15"/>
        <item m="1" x="75"/>
        <item m="1" x="91"/>
        <item m="1" x="162"/>
        <item m="1" x="120"/>
        <item m="1" x="99"/>
        <item m="1" x="157"/>
        <item m="1" x="101"/>
        <item m="1" x="51"/>
        <item m="1" x="44"/>
        <item m="1" x="118"/>
        <item m="1" x="64"/>
        <item m="1" x="110"/>
        <item x="10"/>
        <item m="1" x="66"/>
        <item m="1" x="133"/>
        <item m="1" x="109"/>
        <item m="1" x="73"/>
        <item m="1" x="85"/>
        <item m="1" x="121"/>
        <item m="1" x="113"/>
        <item m="1" x="139"/>
        <item m="1" x="50"/>
        <item m="1" x="150"/>
        <item m="1" x="43"/>
        <item m="1" x="53"/>
        <item m="1" x="124"/>
        <item m="1" x="62"/>
        <item m="1" x="102"/>
        <item m="1" x="116"/>
        <item m="1" x="98"/>
        <item m="1" x="77"/>
        <item x="2"/>
        <item m="1" x="80"/>
        <item m="1" x="32"/>
        <item m="1" x="114"/>
        <item m="1" x="35"/>
        <item m="1" x="41"/>
        <item m="1" x="46"/>
        <item m="1" x="138"/>
        <item m="1" x="92"/>
        <item m="1" x="117"/>
        <item m="1" x="39"/>
        <item m="1" x="112"/>
        <item m="1" x="31"/>
        <item m="1" x="81"/>
        <item m="1" x="78"/>
        <item m="1" x="161"/>
        <item m="1" x="82"/>
        <item m="1" x="94"/>
        <item m="1" x="131"/>
        <item m="1" x="74"/>
        <item x="1"/>
        <item m="1" x="100"/>
        <item m="1" x="45"/>
        <item m="1" x="76"/>
        <item m="1" x="119"/>
        <item m="1" x="54"/>
        <item m="1" x="107"/>
        <item m="1" x="70"/>
        <item m="1" x="97"/>
        <item m="1" x="47"/>
        <item m="1" x="115"/>
        <item m="1" x="164"/>
        <item m="1" x="72"/>
        <item m="1" x="95"/>
        <item m="1" x="55"/>
        <item m="1" x="145"/>
        <item m="1" x="140"/>
        <item x="9"/>
        <item m="1" x="149"/>
        <item m="1" x="68"/>
        <item m="1" x="105"/>
        <item m="1" x="88"/>
        <item m="1" x="122"/>
        <item m="1" x="42"/>
        <item m="1" x="129"/>
        <item m="1" x="158"/>
        <item m="1" x="63"/>
        <item m="1" x="160"/>
        <item m="1" x="127"/>
        <item x="14"/>
        <item m="1" x="128"/>
        <item m="1" x="173"/>
        <item m="1" x="48"/>
        <item x="8"/>
        <item m="1" x="40"/>
        <item m="1" x="67"/>
        <item m="1" x="57"/>
        <item m="1" x="90"/>
        <item x="18"/>
        <item x="13"/>
        <item m="1" x="60"/>
        <item x="23"/>
        <item x="25"/>
        <item m="1" x="83"/>
        <item x="16"/>
        <item m="1" x="130"/>
        <item m="1" x="30"/>
        <item t="default"/>
      </items>
    </pivotField>
    <pivotField axis="axisPage" showAll="0">
      <items count="6">
        <item x="3"/>
        <item x="0"/>
        <item x="2"/>
        <item x="1"/>
        <item m="1" x="4"/>
        <item t="default"/>
      </items>
    </pivotField>
    <pivotField showAll="0"/>
    <pivotField numFmtId="1" showAll="0"/>
    <pivotField numFmtId="2" showAll="0"/>
    <pivotField numFmtId="1" showAll="0"/>
    <pivotField numFmtId="1" showAll="0"/>
    <pivotField showAll="0"/>
    <pivotField showAll="0"/>
    <pivotField dataField="1"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6"/>
  </rowFields>
  <rowItems count="24">
    <i>
      <x/>
    </i>
    <i>
      <x v="15"/>
    </i>
    <i>
      <x v="22"/>
    </i>
    <i>
      <x v="25"/>
    </i>
    <i>
      <x v="26"/>
    </i>
    <i>
      <x v="31"/>
    </i>
    <i>
      <x v="35"/>
    </i>
    <i>
      <x v="42"/>
    </i>
    <i>
      <x v="51"/>
    </i>
    <i>
      <x v="55"/>
    </i>
    <i>
      <x v="60"/>
    </i>
    <i>
      <x v="69"/>
    </i>
    <i>
      <x v="77"/>
    </i>
    <i>
      <x v="90"/>
    </i>
    <i>
      <x v="109"/>
    </i>
    <i>
      <x v="129"/>
    </i>
    <i>
      <x v="146"/>
    </i>
    <i>
      <x v="158"/>
    </i>
    <i>
      <x v="162"/>
    </i>
    <i>
      <x v="167"/>
    </i>
    <i>
      <x v="168"/>
    </i>
    <i>
      <x v="170"/>
    </i>
    <i>
      <x v="171"/>
    </i>
    <i>
      <x v="173"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2" item="0" hier="-1"/>
    <pageField fld="7" hier="-1"/>
  </pageFields>
  <dataFields count="1">
    <dataField name="Average of Gross Earnings" fld="15" subtotal="average" baseField="6" baseItem="19" numFmtId="165"/>
  </dataFields>
  <conditionalFormats count="2">
    <conditionalFormat priority="8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5" count="7" selected="0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  <conditionalFormat priority="7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20">
              <x v="19"/>
              <x v="22"/>
              <x v="25"/>
              <x v="31"/>
              <x v="35"/>
              <x v="42"/>
              <x v="51"/>
              <x v="55"/>
              <x v="60"/>
              <x v="69"/>
              <x v="77"/>
              <x v="90"/>
              <x v="109"/>
              <x v="129"/>
              <x v="146"/>
              <x v="158"/>
              <x v="162"/>
              <x v="167"/>
              <x v="170"/>
              <x v="17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12E236-C298-4224-8EFC-0C2835F2ECCA}" name="PivotTable4" cacheId="2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5" rowHeaderCaption="Start Time" colHeaderCaption="DOW">
  <location ref="K33:S58" firstHeaderRow="1" firstDataRow="2" firstDataCol="1" rowPageCount="2" colPageCount="1"/>
  <pivotFields count="29">
    <pivotField numFmtId="169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  <pivotField axis="axisRow" numFmtId="172" showAll="0" sortType="ascending">
      <items count="177">
        <item x="0"/>
        <item m="1" x="26"/>
        <item m="1" x="89"/>
        <item m="1" x="134"/>
        <item m="1" x="147"/>
        <item m="1" x="106"/>
        <item m="1" x="87"/>
        <item m="1" x="153"/>
        <item m="1" x="28"/>
        <item m="1" x="125"/>
        <item m="1" x="27"/>
        <item m="1" x="84"/>
        <item m="1" x="126"/>
        <item m="1" x="144"/>
        <item m="1" x="29"/>
        <item x="24"/>
        <item x="20"/>
        <item m="1" x="108"/>
        <item m="1" x="79"/>
        <item x="5"/>
        <item m="1" x="141"/>
        <item m="1" x="132"/>
        <item x="19"/>
        <item m="1" x="93"/>
        <item m="1" x="154"/>
        <item x="22"/>
        <item x="6"/>
        <item m="1" x="165"/>
        <item m="1" x="49"/>
        <item m="1" x="37"/>
        <item m="1" x="175"/>
        <item x="4"/>
        <item m="1" x="137"/>
        <item m="1" x="34"/>
        <item m="1" x="86"/>
        <item x="17"/>
        <item m="1" x="159"/>
        <item m="1" x="103"/>
        <item m="1" x="143"/>
        <item m="1" x="71"/>
        <item m="1" x="65"/>
        <item m="1" x="167"/>
        <item x="11"/>
        <item m="1" x="58"/>
        <item m="1" x="152"/>
        <item m="1" x="52"/>
        <item m="1" x="36"/>
        <item m="1" x="123"/>
        <item m="1" x="142"/>
        <item m="1" x="168"/>
        <item m="1" x="136"/>
        <item x="12"/>
        <item m="1" x="56"/>
        <item m="1" x="148"/>
        <item m="1" x="166"/>
        <item x="21"/>
        <item m="1" x="155"/>
        <item m="1" x="96"/>
        <item m="1" x="171"/>
        <item m="1" x="156"/>
        <item x="3"/>
        <item m="1" x="172"/>
        <item m="1" x="111"/>
        <item m="1" x="69"/>
        <item m="1" x="33"/>
        <item m="1" x="169"/>
        <item m="1" x="151"/>
        <item m="1" x="38"/>
        <item m="1" x="163"/>
        <item x="7"/>
        <item m="1" x="59"/>
        <item m="1" x="170"/>
        <item m="1" x="61"/>
        <item m="1" x="146"/>
        <item m="1" x="174"/>
        <item m="1" x="104"/>
        <item m="1" x="135"/>
        <item x="15"/>
        <item m="1" x="75"/>
        <item m="1" x="91"/>
        <item m="1" x="162"/>
        <item m="1" x="120"/>
        <item m="1" x="99"/>
        <item m="1" x="157"/>
        <item m="1" x="101"/>
        <item m="1" x="51"/>
        <item m="1" x="44"/>
        <item m="1" x="118"/>
        <item m="1" x="64"/>
        <item m="1" x="110"/>
        <item x="10"/>
        <item m="1" x="66"/>
        <item m="1" x="133"/>
        <item m="1" x="109"/>
        <item m="1" x="73"/>
        <item m="1" x="85"/>
        <item m="1" x="121"/>
        <item m="1" x="113"/>
        <item m="1" x="139"/>
        <item m="1" x="50"/>
        <item m="1" x="150"/>
        <item m="1" x="43"/>
        <item m="1" x="53"/>
        <item m="1" x="124"/>
        <item m="1" x="62"/>
        <item m="1" x="102"/>
        <item m="1" x="116"/>
        <item m="1" x="98"/>
        <item m="1" x="77"/>
        <item x="2"/>
        <item m="1" x="80"/>
        <item m="1" x="32"/>
        <item m="1" x="114"/>
        <item m="1" x="35"/>
        <item m="1" x="41"/>
        <item m="1" x="46"/>
        <item m="1" x="138"/>
        <item m="1" x="92"/>
        <item m="1" x="117"/>
        <item m="1" x="39"/>
        <item m="1" x="112"/>
        <item m="1" x="31"/>
        <item m="1" x="81"/>
        <item m="1" x="78"/>
        <item m="1" x="161"/>
        <item m="1" x="82"/>
        <item m="1" x="94"/>
        <item m="1" x="131"/>
        <item m="1" x="74"/>
        <item x="1"/>
        <item m="1" x="100"/>
        <item m="1" x="45"/>
        <item m="1" x="76"/>
        <item m="1" x="119"/>
        <item m="1" x="54"/>
        <item m="1" x="107"/>
        <item m="1" x="70"/>
        <item m="1" x="97"/>
        <item m="1" x="47"/>
        <item m="1" x="115"/>
        <item m="1" x="164"/>
        <item m="1" x="72"/>
        <item m="1" x="95"/>
        <item m="1" x="55"/>
        <item m="1" x="145"/>
        <item m="1" x="140"/>
        <item x="9"/>
        <item m="1" x="149"/>
        <item m="1" x="68"/>
        <item m="1" x="105"/>
        <item m="1" x="88"/>
        <item m="1" x="122"/>
        <item m="1" x="42"/>
        <item m="1" x="129"/>
        <item m="1" x="158"/>
        <item m="1" x="63"/>
        <item m="1" x="160"/>
        <item m="1" x="127"/>
        <item x="14"/>
        <item m="1" x="128"/>
        <item m="1" x="173"/>
        <item m="1" x="48"/>
        <item x="8"/>
        <item m="1" x="40"/>
        <item m="1" x="67"/>
        <item m="1" x="57"/>
        <item m="1" x="90"/>
        <item x="18"/>
        <item x="13"/>
        <item m="1" x="60"/>
        <item x="23"/>
        <item x="25"/>
        <item m="1" x="83"/>
        <item x="16"/>
        <item m="1" x="130"/>
        <item m="1" x="30"/>
        <item t="default"/>
      </items>
    </pivotField>
    <pivotField axis="axisPage" showAll="0">
      <items count="6">
        <item x="3"/>
        <item x="0"/>
        <item x="2"/>
        <item x="1"/>
        <item m="1" x="4"/>
        <item t="default"/>
      </items>
    </pivotField>
    <pivotField showAll="0"/>
    <pivotField numFmtId="1" showAll="0"/>
    <pivotField numFmtId="2" showAll="0"/>
    <pivotField numFmtId="1" showAll="0"/>
    <pivotField numFmtId="1" showAll="0"/>
    <pivotField showAll="0"/>
    <pivotField showAll="0"/>
    <pivotField numFmtId="165" showAll="0"/>
    <pivotField numFmtId="165" showAll="0"/>
    <pivotField dataField="1"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6"/>
  </rowFields>
  <rowItems count="24">
    <i>
      <x/>
    </i>
    <i>
      <x v="15"/>
    </i>
    <i>
      <x v="22"/>
    </i>
    <i>
      <x v="25"/>
    </i>
    <i>
      <x v="26"/>
    </i>
    <i>
      <x v="31"/>
    </i>
    <i>
      <x v="35"/>
    </i>
    <i>
      <x v="42"/>
    </i>
    <i>
      <x v="51"/>
    </i>
    <i>
      <x v="55"/>
    </i>
    <i>
      <x v="60"/>
    </i>
    <i>
      <x v="69"/>
    </i>
    <i>
      <x v="77"/>
    </i>
    <i>
      <x v="90"/>
    </i>
    <i>
      <x v="109"/>
    </i>
    <i>
      <x v="129"/>
    </i>
    <i>
      <x v="146"/>
    </i>
    <i>
      <x v="158"/>
    </i>
    <i>
      <x v="162"/>
    </i>
    <i>
      <x v="167"/>
    </i>
    <i>
      <x v="168"/>
    </i>
    <i>
      <x v="170"/>
    </i>
    <i>
      <x v="171"/>
    </i>
    <i>
      <x v="173"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2" item="0" hier="-1"/>
    <pageField fld="7" hier="-1"/>
  </pageFields>
  <dataFields count="1">
    <dataField name="Average of Gross $/Hour" fld="17" subtotal="average" baseField="6" baseItem="22" numFmtId="165"/>
  </dataFields>
  <conditionalFormats count="2"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5" count="7" selected="0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  <conditionalFormat priority="5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7A130-314D-4ABE-9341-EA16DC2FCE7C}" name="PivotTable10" cacheId="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compact="0" outline="1" outlineData="1" compactData="0" multipleFieldFilters="0">
  <location ref="J2:P15" firstHeaderRow="1" firstDataRow="2" firstDataCol="1"/>
  <pivotFields count="15"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onth" axis="axisRow" compact="0" numFmtId="169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14"/>
  </colFields>
  <colItems count="6">
    <i>
      <x v="1"/>
    </i>
    <i>
      <x v="2"/>
    </i>
    <i>
      <x v="3"/>
    </i>
    <i>
      <x v="4"/>
    </i>
    <i>
      <x v="5"/>
    </i>
    <i>
      <x v="6"/>
    </i>
  </colItems>
  <dataFields count="1">
    <dataField name=" " fld="7" baseField="4" baseItem="4" numFmtId="166"/>
  </dataFields>
  <formats count="11">
    <format dxfId="189">
      <pivotArea field="5" type="button" dataOnly="0" labelOnly="1" outline="0" axis="axisRow" fieldPosition="0"/>
    </format>
    <format dxfId="188">
      <pivotArea dataOnly="0" labelOnly="1" outline="0" fieldPosition="0">
        <references count="1">
          <reference field="14" count="5">
            <x v="1"/>
            <x v="2"/>
            <x v="3"/>
            <x v="4"/>
            <x v="5"/>
          </reference>
        </references>
      </pivotArea>
    </format>
    <format dxfId="187">
      <pivotArea field="5" type="button" dataOnly="0" labelOnly="1" outline="0" axis="axisRow" fieldPosition="0"/>
    </format>
    <format dxfId="186">
      <pivotArea dataOnly="0" labelOnly="1" outline="0" fieldPosition="0">
        <references count="1">
          <reference field="14" count="5">
            <x v="1"/>
            <x v="2"/>
            <x v="3"/>
            <x v="4"/>
            <x v="5"/>
          </reference>
        </references>
      </pivotArea>
    </format>
    <format dxfId="185">
      <pivotArea dataOnly="0" labelOnly="1" outline="0" fieldPosition="0">
        <references count="1">
          <reference field="5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84">
      <pivotArea outline="0" collapsedLevelsAreSubtotals="1" fieldPosition="0"/>
    </format>
    <format dxfId="183">
      <pivotArea dataOnly="0" labelOnly="1" outline="0" fieldPosition="0">
        <references count="1">
          <reference field="5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82">
      <pivotArea fieldPosition="0">
        <references count="1">
          <reference field="5" count="1">
            <x v="12"/>
          </reference>
        </references>
      </pivotArea>
    </format>
    <format dxfId="181">
      <pivotArea outline="0" fieldPosition="0">
        <references count="1">
          <reference field="14" count="1" selected="0">
            <x v="6"/>
          </reference>
        </references>
      </pivotArea>
    </format>
    <format dxfId="180">
      <pivotArea dataOnly="0" labelOnly="1" outline="0" fieldPosition="0">
        <references count="1">
          <reference field="14" count="1">
            <x v="6"/>
          </reference>
        </references>
      </pivotArea>
    </format>
    <format dxfId="179">
      <pivotArea outline="0" fieldPosition="0">
        <references count="1">
          <reference field="14" count="1" selected="0">
            <x v="6"/>
          </reference>
        </references>
      </pivotArea>
    </format>
  </formats>
  <conditionalFormats count="1"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472D9E-1B46-47B0-8B2F-B1C8D44E89AA}" name="PivotTable9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G4:AL57" firstHeaderRow="1" firstDataRow="2" firstDataCol="1"/>
  <pivotFields count="28">
    <pivotField numFmtId="14" showAll="0"/>
    <pivotField axis="axisCol" numFmtId="1" showAll="0">
      <items count="6">
        <item x="0"/>
        <item x="1"/>
        <item x="2"/>
        <item x="3"/>
        <item x="4"/>
        <item t="default"/>
      </items>
    </pivotField>
    <pivotField axis="axisRow" numFmtId="1" showAll="0">
      <items count="53">
        <item x="0"/>
        <item x="1"/>
        <item x="2"/>
        <item x="50"/>
        <item x="3"/>
        <item x="4"/>
        <item x="5"/>
        <item x="6"/>
        <item x="7"/>
        <item x="8"/>
        <item x="9"/>
        <item x="10"/>
        <item x="11"/>
        <item x="12"/>
        <item x="43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44"/>
        <item x="45"/>
        <item x="25"/>
        <item x="26"/>
        <item x="51"/>
        <item x="46"/>
        <item x="47"/>
        <item x="4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9"/>
        <item t="default"/>
      </items>
    </pivotField>
    <pivotField numFmtId="1" showAll="0"/>
    <pivotField showAll="0"/>
    <pivotField showAll="0"/>
    <pivotField showAll="0"/>
    <pivotField showAll="0"/>
    <pivotField numFmtId="1" showAll="0"/>
    <pivotField showAll="0"/>
    <pivotField numFmtId="165" showAll="0"/>
    <pivotField numFmtId="2" showAll="0"/>
    <pivotField numFmtId="1" showAll="0"/>
    <pivotField numFmtId="1" showAll="0"/>
    <pivotField numFmtId="165" showAll="0"/>
    <pivotField showAll="0"/>
    <pivotField numFmtId="165" showAll="0"/>
    <pivotField numFmtId="165" showAll="0"/>
    <pivotField numFmtId="3" showAll="0"/>
    <pivotField numFmtId="3" showAll="0"/>
    <pivotField showAll="0"/>
    <pivotField numFmtId="171" showAll="0"/>
    <pivotField showAll="0"/>
    <pivotField numFmtId="165" showAll="0"/>
    <pivotField dataField="1" numFmtId="165" showAll="0"/>
    <pivotField numFmtId="165" showAll="0"/>
    <pivotField numFmtId="44" showAll="0"/>
    <pivotField numFmtId="165" showAll="0"/>
  </pivotFields>
  <rowFields count="1">
    <field x="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Sum of Diff from Avg. Per Week" fld="24" baseField="2" baseItem="5" numFmtId="165"/>
  </dataFields>
  <chartFormats count="10">
    <chartFormat chart="0" format="1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CD63B7-E9B5-4F39-A22D-4D983DB89895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outline="1" outlineData="1" compactData="0" multipleFieldFilters="0">
  <location ref="AF2:AG7" firstHeaderRow="1" firstDataRow="1" firstDataCol="1"/>
  <pivotFields count="9">
    <pivotField axis="axisRow" compact="0" numFmtId="14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ileage" fld="7" baseField="0" baseItem="4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FAEEA9-D362-429A-B101-EDBE5824E7F3}" name="PivotTable1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BF2:AJE10" firstHeaderRow="1" firstDataRow="2" firstDataCol="1"/>
  <pivotFields count="29">
    <pivotField axis="axisCol" numFmtId="14" showAll="0">
      <items count="8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6"/>
        <item x="867"/>
        <item x="868"/>
        <item x="869"/>
        <item x="870"/>
        <item x="871"/>
        <item x="872"/>
        <item x="873"/>
        <item x="865"/>
        <item x="874"/>
        <item x="875"/>
        <item x="876"/>
        <item x="877"/>
        <item x="878"/>
        <item x="879"/>
        <item x="880"/>
        <item x="881"/>
        <item t="default"/>
      </items>
    </pivotField>
    <pivotField numFmtId="1" showAll="0"/>
    <pivotField showAll="0"/>
    <pivotField numFmtId="1" showAll="0"/>
    <pivotField numFmtId="1" showAll="0"/>
    <pivotField axis="axisRow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showAll="0"/>
    <pivotField showAll="0"/>
    <pivotField numFmtId="1" showAll="0"/>
    <pivotField dataField="1"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0"/>
  </colFields>
  <colItems count="8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 t="grand">
      <x/>
    </i>
  </colItems>
  <dataFields count="1">
    <dataField name="Average of Hours" fld="10" subtotal="average" baseField="3" baseItem="0" numFmtId="167"/>
  </dataFields>
  <formats count="2">
    <format dxfId="120">
      <pivotArea collapsedLevelsAreSubtotals="1" fieldPosition="0">
        <references count="1">
          <reference field="5" count="1">
            <x v="6"/>
          </reference>
        </references>
      </pivotArea>
    </format>
    <format dxfId="119">
      <pivotArea dataOnly="0" labelOnly="1" fieldPosition="0">
        <references count="1">
          <reference field="5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40C21A-134E-4A6F-9E66-C65BEF3C5618}" name="PivotTable7" cacheId="0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AF10:AG17" firstHeaderRow="1" firstDataRow="1" firstDataCol="1"/>
  <pivotFields count="2">
    <pivotField dataField="1" subtotalTop="0" showAll="0" defaultSubtotal="0"/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Mileage" fld="0" baseField="1" baseItem="0" numFmtId="1"/>
  </dataField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Row="0" dragToCol="0" dragToPage="0" dragToData="1"/>
    <pivotHierarchy dragToData="1"/>
    <pivotHierarchy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arningsPerDay]"/>
        <x15:activeTabTopLevelEntity name="[Milea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6AEBD0-E6E8-46B6-8BF4-142899359F76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BA2:BB7" firstHeaderRow="1" firstDataRow="1" firstDataCol="1"/>
  <pivotFields count="9">
    <pivotField numFmtId="14" showAll="0"/>
    <pivotField showAll="0"/>
    <pivotField showAll="0"/>
    <pivotField numFmtId="1" showAll="0"/>
    <pivotField axis="axisRow" showAll="0">
      <items count="7">
        <item x="0"/>
        <item x="2"/>
        <item x="1"/>
        <item m="1" x="5"/>
        <item m="1" x="4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1"/>
    </i>
    <i>
      <x v="2"/>
    </i>
    <i>
      <x v="5"/>
    </i>
    <i t="grand">
      <x/>
    </i>
  </rowItems>
  <colItems count="1">
    <i/>
  </colItems>
  <dataFields count="1">
    <dataField name="Average of Mileage" fld="7" subtotal="average" baseField="1" baseItem="1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2D9E8-3AFB-484C-8BD4-C4D15716FF88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Date">
  <location ref="AJ2:AL44" firstHeaderRow="0" firstDataRow="1" firstDataCol="1"/>
  <pivotFields count="29">
    <pivotField axis="axisRow" numFmtId="16" showAll="0" sortType="ascending">
      <items count="8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t="default"/>
      </items>
    </pivotField>
    <pivotField axis="axisRow" numFmtId="1" showAll="0" sortType="ascending">
      <items count="9">
        <item m="1" x="7"/>
        <item m="1" x="6"/>
        <item sd="0" x="0"/>
        <item sd="0" x="1"/>
        <item sd="0" x="2"/>
        <item sd="0" x="3"/>
        <item sd="0" x="4"/>
        <item x="5"/>
        <item t="default"/>
      </items>
    </pivotField>
    <pivotField showAll="0"/>
    <pivotField numFmtId="1" showAll="0"/>
    <pivotField showAll="0"/>
    <pivotField showAll="0"/>
    <pivotField numFmtId="172" showAll="0"/>
    <pivotField showAll="0"/>
    <pivotField showAll="0"/>
    <pivotField numFmtId="1" showAll="0"/>
    <pivotField dataField="1" numFmtId="2" showAll="0"/>
    <pivotField numFmtId="2" showAll="0"/>
    <pivotField numFmtId="1" showAll="0"/>
    <pivotField name="Sessions/Day2" dataField="1"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2">
    <field x="1"/>
    <field x="0"/>
  </rowFields>
  <rowItems count="42">
    <i>
      <x v="2"/>
    </i>
    <i>
      <x v="3"/>
    </i>
    <i>
      <x v="4"/>
    </i>
    <i>
      <x v="5"/>
    </i>
    <i>
      <x v="6"/>
    </i>
    <i>
      <x v="7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61"/>
    </i>
    <i r="1">
      <x v="862"/>
    </i>
    <i r="1">
      <x v="863"/>
    </i>
    <i r="1">
      <x v="864"/>
    </i>
    <i r="1">
      <x v="865"/>
    </i>
    <i r="1">
      <x v="866"/>
    </i>
    <i r="1">
      <x v="867"/>
    </i>
    <i r="1">
      <x v="868"/>
    </i>
    <i r="1">
      <x v="869"/>
    </i>
    <i r="1">
      <x v="870"/>
    </i>
    <i r="1">
      <x v="871"/>
    </i>
    <i r="1">
      <x v="872"/>
    </i>
    <i r="1">
      <x v="873"/>
    </i>
    <i r="1">
      <x v="874"/>
    </i>
    <i r="1">
      <x v="875"/>
    </i>
    <i r="1">
      <x v="876"/>
    </i>
    <i r="1">
      <x v="877"/>
    </i>
    <i r="1">
      <x v="878"/>
    </i>
    <i r="1">
      <x v="879"/>
    </i>
    <i r="1">
      <x v="880"/>
    </i>
    <i r="1">
      <x v="88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Hours" fld="10" baseField="1" baseItem="0" numFmtId="1"/>
    <dataField name="Average Sessions/Day" fld="13" subtotal="average" baseField="1" baseItem="0" numFmtId="1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E61A1B-4CD1-4206-875C-8DF406DA5559}" name="PivotTable6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T3:AY12" firstHeaderRow="1" firstDataRow="2" firstDataCol="1"/>
  <pivotFields count="20"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>
      <items count="9">
        <item x="2"/>
        <item x="3"/>
        <item x="4"/>
        <item x="5"/>
        <item x="6"/>
        <item x="0"/>
        <item x="1"/>
        <item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" outline="0" subtotalTop="0" showAll="0">
      <items count="7"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sortType="descending">
      <items count="5">
        <item x="3"/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pivotTableStyleInfo name="PivotStyleDark8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4C47DC-2262-46DF-9BF8-5C6E26DCC235}" name="PivotTable7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Earnings/HR" colHeaderCaption="DOW">
  <location ref="Z28:AG33" firstHeaderRow="1" firstDataRow="2" firstDataCol="1" rowPageCount="1" colPageCount="1"/>
  <pivotFields count="29">
    <pivotField dataField="1" numFmtId="14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numFmtId="1"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umFmtId="1" showAll="0"/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7"/>
  </rowFields>
  <rowItems count="4">
    <i>
      <x/>
    </i>
    <i>
      <x v="1"/>
    </i>
    <i>
      <x v="2"/>
    </i>
    <i>
      <x v="3"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1">
    <pageField fld="2" item="2" hier="-1"/>
  </pageFields>
  <dataFields count="1">
    <dataField name="Count of Date" fld="0" subtotal="count" showDataAs="percentOfCol" baseField="6" baseItem="2" numFmtId="9"/>
  </dataField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9E256-F300-4092-B4E2-1ADF0CC72DA8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Weather ">
  <location ref="P84:U99" firstHeaderRow="1" firstDataRow="2" firstDataCol="1" rowPageCount="2" colPageCount="1"/>
  <pivotFields count="29">
    <pivotField numFmtId="14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numFmtId="1" showAll="0"/>
    <pivotField axis="axisPage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axis="axisCol" showAll="0">
      <items count="6">
        <item x="3"/>
        <item x="0"/>
        <item x="2"/>
        <item x="1"/>
        <item m="1" x="4"/>
        <item t="default"/>
      </items>
    </pivotField>
    <pivotField axis="axisRow" showAll="0" sortType="descending">
      <items count="21">
        <item x="2"/>
        <item x="5"/>
        <item x="1"/>
        <item x="4"/>
        <item x="6"/>
        <item x="0"/>
        <item x="7"/>
        <item x="3"/>
        <item x="8"/>
        <item x="9"/>
        <item x="10"/>
        <item x="11"/>
        <item m="1" x="17"/>
        <item x="12"/>
        <item x="13"/>
        <item m="1" x="18"/>
        <item x="14"/>
        <item m="1" x="16"/>
        <item m="1" x="19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8"/>
  </rowFields>
  <rowItems count="14">
    <i>
      <x v="10"/>
    </i>
    <i>
      <x v="14"/>
    </i>
    <i>
      <x v="11"/>
    </i>
    <i>
      <x v="1"/>
    </i>
    <i>
      <x v="2"/>
    </i>
    <i>
      <x v="13"/>
    </i>
    <i>
      <x/>
    </i>
    <i>
      <x v="7"/>
    </i>
    <i>
      <x v="3"/>
    </i>
    <i>
      <x v="5"/>
    </i>
    <i>
      <x v="4"/>
    </i>
    <i>
      <x v="16"/>
    </i>
    <i>
      <x v="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2" item="1" hier="-1"/>
    <pageField fld="5" hier="-1"/>
  </pageFields>
  <dataFields count="1">
    <dataField name="Average of $/Trip" fld="19" subtotal="average" baseField="5" baseItem="11"/>
  </dataFields>
  <formats count="2">
    <format dxfId="48">
      <pivotArea collapsedLevelsAreSubtotals="1" fieldPosition="0">
        <references count="1">
          <reference field="8" count="1">
            <x v="0"/>
          </reference>
        </references>
      </pivotArea>
    </format>
    <format dxfId="47">
      <pivotArea outline="0" collapsedLevelsAreSubtotals="1" fieldPosition="0"/>
    </format>
  </formats>
  <conditionalFormats count="2"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7" count="4" selected="0">
              <x v="0"/>
              <x v="1"/>
              <x v="2"/>
              <x v="3"/>
            </reference>
            <reference field="8" count="6">
              <x v="0"/>
              <x v="2"/>
              <x v="3"/>
              <x v="4"/>
              <x v="5"/>
              <x v="7"/>
            </reference>
          </references>
        </pivotArea>
      </pivotAreas>
    </conditionalFormat>
    <conditionalFormat priority="8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8" count="6">
              <x v="0"/>
              <x v="2"/>
              <x v="3"/>
              <x v="4"/>
              <x v="5"/>
              <x v="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DE34-3322-45C8-9E74-95CBFCE2A018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emperature ">
  <location ref="AL1:AL284" firstHeaderRow="1" firstDataRow="1" firstDataCol="1"/>
  <pivotFields count="29">
    <pivotField numFmtId="14" showAll="0"/>
    <pivotField numFmtId="1" showAll="0"/>
    <pivotField showAll="0"/>
    <pivotField numFmtId="1" showAll="0"/>
    <pivotField numFmtId="1" showAll="0"/>
    <pivotField showAll="0"/>
    <pivotField numFmtId="172" showAll="0"/>
    <pivotField showAll="0"/>
    <pivotField showAll="0"/>
    <pivotField axis="axisRow" numFmtId="1" showAll="0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m="1" x="284"/>
        <item x="81"/>
        <item x="82"/>
        <item x="83"/>
        <item m="1" x="285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289"/>
        <item x="146"/>
        <item x="147"/>
        <item x="148"/>
        <item x="149"/>
        <item x="150"/>
        <item x="151"/>
        <item x="152"/>
        <item x="153"/>
        <item m="1" x="2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m="1" x="286"/>
        <item x="179"/>
        <item x="180"/>
        <item x="181"/>
        <item x="182"/>
        <item x="183"/>
        <item x="184"/>
        <item x="185"/>
        <item m="1" x="287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m="1" x="282"/>
        <item x="276"/>
        <item x="277"/>
        <item x="278"/>
        <item x="279"/>
        <item m="1" x="283"/>
        <item x="280"/>
        <item x="281"/>
        <item t="default"/>
      </items>
    </pivotField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9"/>
  </rowFields>
  <rowItems count="2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3"/>
    </i>
    <i>
      <x v="284"/>
    </i>
    <i>
      <x v="285"/>
    </i>
    <i>
      <x v="286"/>
    </i>
    <i>
      <x v="288"/>
    </i>
    <i>
      <x v="28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A37AA2-D072-4121-AB64-8CF41DEEDD6E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Weather ">
  <location ref="P70:U80" firstHeaderRow="1" firstDataRow="2" firstDataCol="1" rowPageCount="2" colPageCount="1"/>
  <pivotFields count="29">
    <pivotField numFmtId="14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numFmtId="1" showAll="0"/>
    <pivotField axis="axisPage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axis="axisCol" showAll="0">
      <items count="6">
        <item x="3"/>
        <item x="0"/>
        <item x="2"/>
        <item x="1"/>
        <item m="1" x="4"/>
        <item t="default"/>
      </items>
    </pivotField>
    <pivotField axis="axisRow" showAll="0">
      <items count="21">
        <item x="2"/>
        <item x="5"/>
        <item x="1"/>
        <item x="4"/>
        <item x="6"/>
        <item x="0"/>
        <item x="7"/>
        <item x="3"/>
        <item x="8"/>
        <item x="9"/>
        <item x="10"/>
        <item x="11"/>
        <item m="1" x="17"/>
        <item x="12"/>
        <item x="13"/>
        <item m="1" x="18"/>
        <item x="14"/>
        <item m="1" x="16"/>
        <item m="1" x="19"/>
        <item x="15"/>
        <item t="default"/>
      </items>
    </pivotField>
    <pivotField numFmtId="1" showAll="0"/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8"/>
  </rowFields>
  <rowItems count="9">
    <i>
      <x/>
    </i>
    <i>
      <x v="1"/>
    </i>
    <i>
      <x v="2"/>
    </i>
    <i>
      <x v="3"/>
    </i>
    <i>
      <x v="5"/>
    </i>
    <i>
      <x v="6"/>
    </i>
    <i>
      <x v="7"/>
    </i>
    <i>
      <x v="1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2" item="0" hier="-1"/>
    <pageField fld="5" item="1" hier="-1"/>
  </pageFields>
  <formats count="2">
    <format dxfId="50">
      <pivotArea collapsedLevelsAreSubtotals="1" fieldPosition="0">
        <references count="1">
          <reference field="8" count="1">
            <x v="0"/>
          </reference>
        </references>
      </pivotArea>
    </format>
    <format dxfId="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5238D9-40FD-4A5D-9FA1-138DBDA871DA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Earnings/HR" colHeaderCaption="DOW">
  <location ref="Z13:AG18" firstHeaderRow="1" firstDataRow="2" firstDataCol="1" rowPageCount="1" colPageCount="1"/>
  <pivotFields count="29">
    <pivotField dataField="1" numFmtId="14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numFmtId="1"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axis="axisRow" showAll="0">
      <items count="6">
        <item x="3"/>
        <item x="0"/>
        <item x="2"/>
        <item x="1"/>
        <item m="1" x="4"/>
        <item t="default"/>
      </items>
    </pivotField>
    <pivotField showAll="0"/>
    <pivotField numFmtId="1" showAll="0"/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7"/>
  </rowFields>
  <rowItems count="4">
    <i>
      <x/>
    </i>
    <i>
      <x v="1"/>
    </i>
    <i>
      <x v="2"/>
    </i>
    <i>
      <x v="3"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pageFields count="1">
    <pageField fld="2" item="1" hier="-1"/>
  </pageFields>
  <dataFields count="1">
    <dataField name="Count of Date" fld="0" subtotal="count" showDataAs="percentOfCol" baseField="6" baseItem="2" numFmtId="9"/>
  </dataFields>
  <conditionalFormats count="1">
    <conditionalFormat priority="2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40CC4-03BD-425B-A102-3E93917C58A1}" name="PivotTable1" cacheId="1" applyNumberFormats="0" applyBorderFormats="0" applyFontFormats="0" applyPatternFormats="0" applyAlignmentFormats="0" applyWidthHeightFormats="1" dataCaption="Values" tag="0e87a224-bf6a-450a-865e-eb16920097ff" updatedVersion="8" minRefreshableVersion="3" useAutoFormatting="1" subtotalHiddenItems="1" rowGrandTotals="0" colGrandTotals="0" itemPrintTitles="1" createdVersion="8" indent="0" compact="0" compactData="0" multipleFieldFilters="0" chartFormat="2">
  <location ref="B4:C45" firstHeaderRow="1" firstDataRow="1" firstDataCol="1" rowPageCount="2" colPageCount="1"/>
  <pivotFields count="4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rowItems>
  <colItems count="1">
    <i/>
  </colItems>
  <pageFields count="2">
    <pageField fld="1" hier="28" name="[EarningsPerDay].[Date (Quarter)].&amp;[Qtr1]" cap="Qtr1"/>
    <pageField fld="2" hier="5" name="[EarningsPerDay].[DOW].&amp;[Saturday]" cap="Saturday"/>
  </pageFields>
  <dataFields count="1">
    <dataField name="Total Deliveries" fld="0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Deliveries"/>
    <pivotHierarchy dragToRow="0" dragToCol="0" dragToPage="0" dragToData="1"/>
    <pivotHierarchy dragToData="1"/>
    <pivotHierarchy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EarningsPerDa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00326-1416-40B5-BFC0-3AA89A57CD4A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Weather ">
  <location ref="AI4:AI21" firstHeaderRow="1" firstDataRow="1" firstDataCol="1" rowPageCount="2" colPageCount="1"/>
  <pivotFields count="29">
    <pivotField numFmtId="14" showAll="0"/>
    <pivotField numFmtId="1" showAll="0"/>
    <pivotField axis="axisPage" showAll="0">
      <items count="5">
        <item x="0"/>
        <item x="1"/>
        <item x="2"/>
        <item x="3"/>
        <item t="default"/>
      </items>
    </pivotField>
    <pivotField numFmtId="1" showAll="0"/>
    <pivotField numFmtId="1" showAll="0"/>
    <pivotField axis="axisPage" showAll="0">
      <items count="8">
        <item x="2"/>
        <item x="3"/>
        <item x="4"/>
        <item x="5"/>
        <item x="6"/>
        <item x="0"/>
        <item x="1"/>
        <item t="default"/>
      </items>
    </pivotField>
    <pivotField numFmtId="172" showAll="0"/>
    <pivotField showAll="0"/>
    <pivotField axis="axisRow" showAll="0">
      <items count="21">
        <item x="2"/>
        <item x="12"/>
        <item x="8"/>
        <item x="9"/>
        <item x="11"/>
        <item x="1"/>
        <item x="13"/>
        <item x="5"/>
        <item x="14"/>
        <item x="4"/>
        <item x="10"/>
        <item m="1" x="18"/>
        <item x="0"/>
        <item x="3"/>
        <item x="6"/>
        <item x="7"/>
        <item m="1" x="17"/>
        <item m="1" x="16"/>
        <item m="1" x="19"/>
        <item x="15"/>
        <item t="default"/>
      </items>
    </pivotField>
    <pivotField numFmtId="1" showAll="0"/>
    <pivotField numFmtId="2" showAll="0"/>
    <pivotField numFmtId="2" showAll="0"/>
    <pivotField numFmtId="1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3" showAll="0"/>
    <pivotField numFmtId="3" showAll="0"/>
    <pivotField numFmtId="171" showAll="0"/>
    <pivotField showAll="0"/>
    <pivotField numFmtId="165" showAll="0"/>
    <pivotField numFmtId="165" showAll="0"/>
    <pivotField numFmtId="165" showAll="0"/>
    <pivotField dragToRow="0" dragToCol="0" dragToPage="0" showAll="0" defaultSubtotal="0"/>
  </pivotFields>
  <rowFields count="1">
    <field x="8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9"/>
    </i>
    <i t="grand">
      <x/>
    </i>
  </rowItems>
  <colItems count="1">
    <i/>
  </colItems>
  <pageFields count="2">
    <pageField fld="2" hier="-1"/>
    <pageField fld="5" hier="-1"/>
  </pageFields>
  <formats count="2">
    <format dxfId="52">
      <pivotArea collapsedLevelsAreSubtotals="1" fieldPosition="0">
        <references count="1">
          <reference field="8" count="1">
            <x v="0"/>
          </reference>
        </references>
      </pivotArea>
    </format>
    <format dxfId="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3DFD98E2-FF67-4381-B3E8-AF2F699F419E}" autoFormatId="16" applyNumberFormats="0" applyBorderFormats="0" applyFontFormats="0" applyPatternFormats="0" applyAlignmentFormats="0" applyWidthHeightFormats="0">
  <queryTableRefresh nextId="18">
    <queryTableFields count="9">
      <queryTableField id="1" name="Year" tableColumnId="1"/>
      <queryTableField id="2" name="Week #" tableColumnId="2"/>
      <queryTableField id="10" name="Week Starting" tableColumnId="8"/>
      <queryTableField id="16" name="Working Days" tableColumnId="11"/>
      <queryTableField id="3" name="Hours" tableColumnId="3"/>
      <queryTableField id="8" name="Trips" tableColumnId="4"/>
      <queryTableField id="12" name="Avg. $/Trip" tableColumnId="9"/>
      <queryTableField id="13" name="Total Earnings" tableColumnId="10"/>
      <queryTableField id="7" name="$/Hour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7" xr16:uid="{575405D3-385C-4CD8-A312-D15E06370F53}" autoFormatId="16" applyNumberFormats="0" applyBorderFormats="0" applyFontFormats="0" applyPatternFormats="0" applyAlignmentFormats="0" applyWidthHeightFormats="0">
  <queryTableRefresh nextId="15">
    <queryTableFields count="8">
      <queryTableField id="1" name="Year" tableColumnId="1"/>
      <queryTableField id="2" name="Month" tableColumnId="2"/>
      <queryTableField id="13" name="Working Days" tableColumnId="10"/>
      <queryTableField id="5" name="Avg. $/Trip" tableColumnId="5"/>
      <queryTableField id="7" name="$/Hour" tableColumnId="7"/>
      <queryTableField id="8" name="Total Hours" tableColumnId="8"/>
      <queryTableField id="9" name="Total Trips" tableColumnId="9"/>
      <queryTableField id="6" name="Total Earning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D928816-7CAB-40F5-998F-09E9BE196B47}" autoFormatId="16" applyNumberFormats="0" applyBorderFormats="0" applyFontFormats="0" applyPatternFormats="0" applyAlignmentFormats="0" applyWidthHeightFormats="0">
  <queryTableRefresh nextId="59">
    <queryTableFields count="21">
      <queryTableField id="1" name="Date" tableColumnId="1"/>
      <queryTableField id="2" name="Year" tableColumnId="2"/>
      <queryTableField id="5" name="Quarter" tableColumnId="5"/>
      <queryTableField id="4" name="Week # in QTR" tableColumnId="4"/>
      <queryTableField id="3" name="Week #" tableColumnId="3"/>
      <queryTableField id="7" name="DOW" tableColumnId="7"/>
      <queryTableField id="8" name="Start Time" tableColumnId="8"/>
      <queryTableField id="11" name="Primary Area" tableColumnId="11"/>
      <queryTableField id="9" name="Weather" tableColumnId="9"/>
      <queryTableField id="10" name="Hi Temp" tableColumnId="10"/>
      <queryTableField id="13" name="Hours" tableColumnId="13"/>
      <queryTableField id="29" name="Miles" tableColumnId="22"/>
      <queryTableField id="21" name="Trips" tableColumnId="21"/>
      <queryTableField id="44" name="Gross Earnings" tableColumnId="12"/>
      <queryTableField id="49" name="Net Earnings" tableColumnId="14"/>
      <queryTableField id="50" name="Gross $/Hour" tableColumnId="15"/>
      <queryTableField id="51" name="Net $/Hour" tableColumnId="16"/>
      <queryTableField id="52" name="$/Trip" tableColumnId="17"/>
      <queryTableField id="53" name="$/Mile" tableColumnId="18"/>
      <queryTableField id="20" name="Type" tableColumnId="20"/>
      <queryTableField id="43" name="Avg Earnings / Day (90D)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E9518616-822C-4A49-8BEF-FE52469F6AB5}" autoFormatId="16" applyNumberFormats="0" applyBorderFormats="0" applyFontFormats="0" applyPatternFormats="0" applyAlignmentFormats="0" applyWidthHeightFormats="0">
  <queryTableRefresh nextId="7">
    <queryTableFields count="4">
      <queryTableField id="1" name="QTR" tableColumnId="1"/>
      <queryTableField id="2" name="DOW" tableColumnId="2"/>
      <queryTableField id="3" name="Primary Area" tableColumnId="3"/>
      <queryTableField id="4" name="Start Time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0078E-8108-43AF-911F-29CC8CDBA4FB}" name="Table5" displayName="Table5" ref="N2:W45" totalsRowShown="0" headerRowCellStyle="Normal 2" dataCellStyle="Normal 2">
  <autoFilter ref="N2:W45" xr:uid="{33DC0307-83FB-421D-87E4-EA7AFAFE94EB}"/>
  <tableColumns count="10">
    <tableColumn id="7" xr3:uid="{6484A349-B3F3-456B-BA75-887D332616D5}" name="Date" dataCellStyle="Normal 2"/>
    <tableColumn id="1" xr3:uid="{68DC94C6-1D99-4606-B69F-683E0105A7C2}" name="Savings-4419" dataCellStyle="Normal 2">
      <calculatedColumnFormula>E2</calculatedColumnFormula>
    </tableColumn>
    <tableColumn id="2" xr3:uid="{E06555AC-E219-4C67-BA9E-08201C48D169}" name="Stash Investments" dataCellStyle="Normal 2">
      <calculatedColumnFormula>E3</calculatedColumnFormula>
    </tableColumn>
    <tableColumn id="3" xr3:uid="{DB5A13C0-7EF8-4D3B-A84C-96F38A19E08C}" name="Savings-7392" dataCellStyle="Normal 2">
      <calculatedColumnFormula>E4</calculatedColumnFormula>
    </tableColumn>
    <tableColumn id="8" xr3:uid="{3EF2AFA4-8F86-49FC-A21B-D379D854A28A}" name="OM Balance" dataCellStyle="Normal 2">
      <calculatedColumnFormula>E6</calculatedColumnFormula>
    </tableColumn>
    <tableColumn id="4" xr3:uid="{FDA7A510-38CA-43C7-AC2A-B0F4AFFDE191}" name="SF Balance" dataCellStyle="Normal 2"/>
    <tableColumn id="9" xr3:uid="{ADE9B74D-9280-459C-A65A-B7BCF9C2E501}" name="Column1" dataCellStyle="Normal 2"/>
    <tableColumn id="10" xr3:uid="{86719F43-8111-4E99-969E-90E45B46B6DD}" name="Total Savings" dataDxfId="258" dataCellStyle="Normal 2">
      <calculatedColumnFormula>SUM(Table5[[#This Row],[Savings-4419]:[Savings-7392]])</calculatedColumnFormula>
    </tableColumn>
    <tableColumn id="6" xr3:uid="{7D3EAE93-8813-452A-AA42-04810F542295}" name="10K Balance" dataDxfId="257" dataCellStyle="Normal 2">
      <calculatedColumnFormula>IF((Table5[[#This Row],[Total Savings]]-SUM(10000,Table5[[#This Row],[OM Balance]]))&gt;0,"",Table5[[#This Row],[Total Savings]]-SUM(10000,Table5[[#This Row],[OM Balance]]))</calculatedColumnFormula>
    </tableColumn>
    <tableColumn id="5" xr3:uid="{AD71C2AE-0274-4E08-966C-9F2D599C1E1A}" name="15K Balance" dataDxfId="256" dataCellStyle="Normal 2">
      <calculatedColumnFormula>IF((Table5[[#This Row],[Total Savings]]-SUM(15000,Table5[[#This Row],[OM Balance]]))&gt;0,"",Table5[[#This Row],[Total Savings]]-SUM(15000,Table5[[#This Row],[OM Balance]]))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70601D-54D1-46E8-8797-0E4241CF5D86}" name="Table2" displayName="Table2" ref="B10:C13" totalsRowShown="0">
  <autoFilter ref="B10:C13" xr:uid="{9F70601D-54D1-46E8-8797-0E4241CF5D86}"/>
  <tableColumns count="2">
    <tableColumn id="1" xr3:uid="{7847B7C6-18EC-4720-B28B-01E96F087297}" name="Column1" dataDxfId="255" dataCellStyle="Normal 2"/>
    <tableColumn id="2" xr3:uid="{60B3147F-72F6-4E9E-B830-ED56927F13F4}" name="Column2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477658-87AD-4DA4-819E-997F4ABDD55F}" name="Table119" displayName="Table119" ref="F3:L8" totalsRowShown="0" headerRowBorderDxfId="254" tableBorderDxfId="253" totalsRowBorderDxfId="252">
  <autoFilter ref="F3:L8" xr:uid="{5AC841DF-49C2-42FD-A9E3-1FB992E45FF2}"/>
  <tableColumns count="7">
    <tableColumn id="1" xr3:uid="{35FD9FC2-1654-4C02-9CF6-40DABE89985A}" name="Budget"/>
    <tableColumn id="2" xr3:uid="{A58327EF-BB24-43C3-AE86-C746ED8FA79E}" name="Target"/>
    <tableColumn id="3" xr3:uid="{017774E6-4DB5-46A1-8691-CE20249A9339}" name="Savings Balance"/>
    <tableColumn id="10" xr3:uid="{85695479-8F2F-4C52-A4C6-EE550FE50E90}" name="Remaining" dataDxfId="251">
      <calculatedColumnFormula>IF(ISBLANK(Table119[[#This Row],[Target]])=TRUE,"",Table119[[#This Row],[Target]]-Table119[[#This Row],[Savings Balance]])</calculatedColumnFormula>
    </tableColumn>
    <tableColumn id="9" xr3:uid="{8374E75C-F3F9-4BDF-91D9-CBE07435EB1D}" name="Hours Needed" dataDxfId="250">
      <calculatedColumnFormula>IFERROR(Table119[[#This Row],[Remaining]]/$O$6,"")</calculatedColumnFormula>
    </tableColumn>
    <tableColumn id="4" xr3:uid="{72B71449-501F-4F96-B17F-B3D8606F222B}" name="Amt to Add" dataDxfId="249" dataCellStyle="Percent">
      <calculatedColumnFormula>$H$2*Table119[[#This Row],[Percentage]]</calculatedColumnFormula>
    </tableColumn>
    <tableColumn id="5" xr3:uid="{59915AB1-0CDA-4ED2-97B4-04A84F48B2FE}" name="Percentage" dataDxfId="248" dataCellStyle="Percent">
      <calculatedColumnFormula>(Table119[[#This Row],[Target]]-Table119[[#This Row],[Savings Balance]])/$I$9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BAA565B-3DFE-4B8A-8EC1-C358911BCC83}" name="SavingsGoals_Priorities17" displayName="SavingsGoals_Priorities17" ref="B8:Z18" totalsRowCount="1" headerRowDxfId="247">
  <autoFilter ref="B8:Z17" xr:uid="{0BD4D9C0-E9EF-45E4-97ED-AF777C94DA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sortState xmlns:xlrd2="http://schemas.microsoft.com/office/spreadsheetml/2017/richdata2" ref="B9:V17">
    <sortCondition ref="B8:B17"/>
  </sortState>
  <tableColumns count="25">
    <tableColumn id="1" xr3:uid="{A492708B-D9BB-4D47-89DD-7AB141E19F3F}" name="Prior." dataDxfId="246" totalsRowDxfId="245" dataCellStyle="Percent">
      <calculatedColumnFormula>ROW()-8</calculatedColumnFormula>
    </tableColumn>
    <tableColumn id="2" xr3:uid="{C76A0E47-5EAB-4756-80CD-D2703BABD525}" name="Goal" totalsRowDxfId="244"/>
    <tableColumn id="9" xr3:uid="{2367B860-C61F-450D-90BA-70F5D9FE055F}" name="Account" dataDxfId="243" totalsRowDxfId="242"/>
    <tableColumn id="3" xr3:uid="{11C0BB63-4B37-4210-A892-5470028D82E6}" name="Target" dataDxfId="241" totalsRowDxfId="240" dataCellStyle="Currency"/>
    <tableColumn id="5" xr3:uid="{3E7BB17A-1544-40FC-8DC3-E80A27F8A8A1}" name="Start Date" dataDxfId="239" totalsRowDxfId="238" dataCellStyle="Currency"/>
    <tableColumn id="8" xr3:uid="{8444FEE9-E666-4D00-A312-6A61A68F2F55}" name="Goal Date" dataDxfId="237" totalsRowDxfId="236" dataCellStyle="Currency"/>
    <tableColumn id="11" xr3:uid="{5A5A4967-7D8B-430C-B6CD-5869E17D85B6}" name="Wks to Goal" dataDxfId="235" totalsRowDxfId="234">
      <calculatedColumnFormula>IF(TODAY()&gt;SavingsGoals_Priorities17[[#This Row],[Goal Date]],1,(SavingsGoals_Priorities17[[#This Row],[Goal Date]]-SavingsGoals_Priorities17[[#This Row],[Start Date]])/7)</calculatedColumnFormula>
    </tableColumn>
    <tableColumn id="4" xr3:uid="{C9FEE7E9-ECBE-46B4-AB8E-70EE0CB0527B}" name="Min/Week" totalsRowFunction="sum" dataDxfId="233" totalsRowDxfId="232" dataCellStyle="Percent">
      <calculatedColumnFormula>IFERROR(SavingsGoals_Priorities17[[#This Row],[Target]]/SavingsGoals_Priorities17[[#This Row],[Wks to Goal]],"")</calculatedColumnFormula>
    </tableColumn>
    <tableColumn id="13" xr3:uid="{B8FAAEB7-DEF6-45F4-A8A5-5B93424901A2}" name="%1" dataDxfId="231" totalsRowDxfId="230" dataCellStyle="Percent">
      <calculatedColumnFormula>SavingsGoals_Priorities17[[#This Row],[Min/Week]]/SavingsGoals_Priorities17[[#Totals],[Min/Week]]</calculatedColumnFormula>
    </tableColumn>
    <tableColumn id="14" xr3:uid="{3F472C69-983B-4A40-B6D2-DA58EB0A34A4}" name="Min." totalsRowFunction="sum" dataDxfId="229" totalsRowDxfId="228" dataCellStyle="Currency">
      <calculatedColumnFormula>IF($N$4&lt;SavingsGoals_Priorities17[[#Totals],[Min/Week]],SavingsGoals_Priorities17[[#This Row],[%1]]*$N$4,SavingsGoals_Priorities17[[#This Row],[Min/Week]])</calculatedColumnFormula>
    </tableColumn>
    <tableColumn id="6" xr3:uid="{207F83D9-C36C-452E-A91A-5B51C3D87159}" name="Balance" dataDxfId="227" totalsRowDxfId="226" dataCellStyle="Currency"/>
    <tableColumn id="7" xr3:uid="{FD853062-B36F-4F63-A2B6-D0587BDCEC44}" name="$ Remain." dataDxfId="225" totalsRowDxfId="224" dataCellStyle="Currency">
      <calculatedColumnFormula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calculatedColumnFormula>
    </tableColumn>
    <tableColumn id="19" xr3:uid="{2AD76463-C2E2-4776-AC00-083B3216987D}" name="% to Goal" dataDxfId="223" totalsRowDxfId="222" dataCellStyle="Percent">
      <calculatedColumnFormula>IF(OR(SavingsGoals_Priorities17[[#This Row],[Account]]="Personal CC",SavingsGoals_Priorities17[[#This Row],[Account]]="Bill Pay CC"),1-(L9/E9),SavingsGoals_Priorities17[[#This Row],[Balance]]/SavingsGoals_Priorities17[[#This Row],[Target]])</calculatedColumnFormula>
    </tableColumn>
    <tableColumn id="10" xr3:uid="{AD4CFD06-D08F-4E95-9E90-9F085A653E5C}" name="Remain. Wks" dataDxfId="221" totalsRowDxfId="220">
      <calculatedColumnFormula>IF(((SavingsGoals_Priorities17[[#This Row],[Goal Date]]-TODAY())/7)&lt;0,0,((SavingsGoals_Priorities17[[#This Row],[Goal Date]]-TODAY())/7))</calculatedColumnFormula>
    </tableColumn>
    <tableColumn id="16" xr3:uid="{6F6E9F50-5417-4E53-A17E-94B01C5338FE}" name="Expected" dataDxfId="219" totalsRowDxfId="218" dataCellStyle="Currency">
      <calculatedColumnFormula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calculatedColumnFormula>
    </tableColumn>
    <tableColumn id="12" xr3:uid="{E850E0AB-9C99-40A6-83E6-623EE3C7F311}" name="%" dataDxfId="217" totalsRowDxfId="216" dataCellStyle="Percent">
      <calculatedColumnFormula>SavingsGoals_Priorities17[[#This Row],[Needed]]/SavingsGoals_Priorities17[[#Totals],[Needed]]</calculatedColumnFormula>
    </tableColumn>
    <tableColumn id="17" xr3:uid="{646D0739-C76D-4EA3-B3EE-F9C086B83AF8}" name="Min. 2" dataDxfId="215" totalsRowDxfId="214" dataCellStyle="Currency">
      <calculatedColumnFormula>IF($N$4&lt;SavingsGoals_Priorities17[[#Totals],[Min/Week]],0,SavingsGoals_Priorities17[[#This Row],[%]]*($N$4-SavingsGoals_Priorities17[[#Totals],[Min/Week]]))</calculatedColumnFormula>
    </tableColumn>
    <tableColumn id="21" xr3:uid="{C014F3EF-3976-4D41-94B7-89F00F730A26}" name="Column2" dataDxfId="213" totalsRowDxfId="212" dataCellStyle="Currency">
      <calculatedColumnFormula>1/(ROW(SavingsGoals_Priorities17[[#This Row],[Goal]])-8)</calculatedColumnFormula>
    </tableColumn>
    <tableColumn id="20" xr3:uid="{3F3C1450-2CB0-4CF2-B2AC-2F901BD94424}" name="Column1" dataDxfId="211" totalsRowDxfId="210" dataCellStyle="Currency">
      <calculatedColumnFormula>(SavingsGoals_Priorities17[[#This Row],[Column2]]/SUM(SavingsGoals_Priorities17[Column2]))</calculatedColumnFormula>
    </tableColumn>
    <tableColumn id="18" xr3:uid="{25F434D2-1CC5-48CA-B570-90F043C71F34}" name="Needed" totalsRowFunction="sum" dataDxfId="209" totalsRowDxfId="208" dataCellStyle="Currency">
      <calculatedColumnFormula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calculatedColumnFormula>
    </tableColumn>
    <tableColumn id="15" xr3:uid="{26DD0DDB-94B6-460A-B89A-8CFB054E6008}" name="Allot." dataDxfId="207" totalsRowDxfId="206" dataCellStyle="Currency">
      <calculatedColumnFormula>SavingsGoals_Priorities17[[#This Row],[Column1]]*$N$4</calculatedColumnFormula>
    </tableColumn>
    <tableColumn id="22" xr3:uid="{CE858491-5A8B-4367-8205-59FAFDFA44E4}" name="Ind." dataDxfId="205"/>
    <tableColumn id="23" xr3:uid="{A518B9A0-0D1E-4B49-B5FF-56D5A6C2F58C}" name="Allot.2" dataDxfId="204" dataCellStyle="Currency">
      <calculatedColumnFormula>SavingsGoals_Priorities17[[#This Row],[Column1]]*$E$25</calculatedColumnFormula>
    </tableColumn>
    <tableColumn id="24" xr3:uid="{1E01C2E3-823D-491E-83EC-9F2AAB52D867}" name="Week Remaining" dataDxfId="203">
      <calculatedColumnFormula>SavingsGoals_Priorities17[[#This Row],[$ Remain.]]/SavingsGoals_Priorities17[[#This Row],[Allot.2]]</calculatedColumnFormula>
    </tableColumn>
    <tableColumn id="25" xr3:uid="{E0B29724-8D98-4DEE-A51E-32CD2745CE45}" name="ETA" dataDxfId="202">
      <calculatedColumnFormula>TODAY()+(SavingsGoals_Priorities17[[#This Row],[Week Remaining]]*7)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897C7AB-7159-42E4-B467-1EE872727971}" name="Table2218" displayName="Table2218" ref="B3:L5" totalsRowShown="0" headerRowDxfId="201" headerRowBorderDxfId="200" tableBorderDxfId="199">
  <autoFilter ref="B3:L5" xr:uid="{46BFE459-920B-486C-A191-AB6260AD7A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EB1A467E-85C6-4B51-BCF8-4265A7A69A24}" name="Prior." dataDxfId="198">
      <calculatedColumnFormula>IFERROR(_xlfn.RANK.EQ(#REF!,#REF!,0),"")</calculatedColumnFormula>
    </tableColumn>
    <tableColumn id="2" xr3:uid="{7C05E2B1-CC9C-4E72-9BB2-92D32FCACDEF}" name="Goal"/>
    <tableColumn id="3" xr3:uid="{7D728928-7996-48DD-9FB6-C0DC4D938649}" name="Account"/>
    <tableColumn id="4" xr3:uid="{BB9FBDC5-E4D6-46A7-8CA7-D9ED0BAEE801}" name="Target" dataDxfId="197" dataCellStyle="Currency"/>
    <tableColumn id="5" xr3:uid="{D54BB002-561D-41E9-BDBE-4089479D28D7}" name="Start Date" dataDxfId="196"/>
    <tableColumn id="6" xr3:uid="{F08A3946-9F2F-4149-8535-F57A38E6A360}" name="Goal Date" dataDxfId="195"/>
    <tableColumn id="9" xr3:uid="{4300650C-7563-4A47-9912-22430D4D04A7}" name="Balance" dataDxfId="194" dataCellStyle="Currency">
      <calculatedColumnFormula>4.47+66</calculatedColumnFormula>
    </tableColumn>
    <tableColumn id="10" xr3:uid="{2E6474FD-4584-4E19-ACBC-D49BE2F3BD77}" name="$ Remain." dataDxfId="193">
      <calculatedColumnFormula>IF(Table2218[[#This Row],[Account]]="Personal CC",Table2218[[#This Row],[Balance]],Table2218[[#This Row],[Target]]-Table2218[[#This Row],[Balance]])</calculatedColumnFormula>
    </tableColumn>
    <tableColumn id="11" xr3:uid="{93E9F608-02CB-45D3-9715-DB1112C4D55A}" name="Column3" dataDxfId="192" dataCellStyle="Currency"/>
    <tableColumn id="8" xr3:uid="{9D11E2FE-8A0A-4372-A73C-3D3BBDDC7527}" name="Column2" dataDxfId="191" dataCellStyle="Currency"/>
    <tableColumn id="16" xr3:uid="{A02E5B0A-6CC7-454C-8527-85CDCC58CA9D}" name="Allot." dataDxfId="190" dataCellStyle="Currency">
      <calculatedColumnFormula>IF(AND(#REF!-SUM($I$4:I4)&lt;0,COUNT($I$4:I4)=1),#REF!,IF(AND(#REF!-SUM($I$4:I4)&lt;0,COUNT($I$4:I4)&gt;1),#REF!-SUM($I3:I$4),IF((#REF!-SUM($I$4:I4))&gt;Table2218[[#This Row],[$ Remain.]],Table2218[[#This Row],[$ Remain.]],Table2218[[#This Row],[$ Remain.]])))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E302590-3E88-4712-B336-D07EDC9EDA72}" name="Weekly_Metrics" displayName="Weekly_Metrics" ref="S2:AA256" tableType="queryTable" totalsRowShown="0" headerRowDxfId="178">
  <autoFilter ref="S2:AA256" xr:uid="{BE302590-3E88-4712-B336-D07EDC9EDA72}"/>
  <tableColumns count="9">
    <tableColumn id="1" xr3:uid="{F5CDD588-B1B7-4E8B-8419-CDBA280F4849}" uniqueName="1" name="Year" queryTableFieldId="1"/>
    <tableColumn id="2" xr3:uid="{D55B0BFB-85EC-4537-863F-0863924F3955}" uniqueName="2" name="Week #" queryTableFieldId="2"/>
    <tableColumn id="8" xr3:uid="{CCAC3BF5-F531-44DD-B51E-E79019A406D6}" uniqueName="8" name="Week Starting" queryTableFieldId="10" dataDxfId="4"/>
    <tableColumn id="11" xr3:uid="{82A69407-9058-45CD-A74B-9D7335AD0373}" uniqueName="11" name="Working Days" queryTableFieldId="16"/>
    <tableColumn id="3" xr3:uid="{43EF55BD-A3F0-45E5-B73E-BBBB2E59823F}" uniqueName="3" name="Hours" queryTableFieldId="3" dataDxfId="3"/>
    <tableColumn id="4" xr3:uid="{1538D653-01CB-4C06-8AB8-FC9CCF071802}" uniqueName="4" name="Trips" queryTableFieldId="8"/>
    <tableColumn id="9" xr3:uid="{A3351DA5-438C-43A7-BC4D-DB079A557ECD}" uniqueName="9" name="Avg. $/Trip" queryTableFieldId="12" dataDxfId="2"/>
    <tableColumn id="10" xr3:uid="{C21CC371-FC5F-4BCF-8E13-3E0AC93DD332}" uniqueName="10" name="Total Earnings" queryTableFieldId="13" dataDxfId="1"/>
    <tableColumn id="7" xr3:uid="{68262FEB-D928-4BCD-9B92-9335078EE758}" uniqueName="7" name="$/Hour" queryTableFieldId="7" dataDxfId="0"/>
  </tableColumns>
  <tableStyleInfo name="TableStyleMedium3" showFirstColumn="1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5EB3C69-5EB3-499F-8AB4-D293140AA0E2}" name="Monthly_Metrics" displayName="Monthly_Metrics" ref="AD2:AK67" tableType="queryTable" totalsRowShown="0" headerRowDxfId="177">
  <autoFilter ref="AD2:AK67" xr:uid="{F5EB3C69-5EB3-499F-8AB4-D293140AA0E2}"/>
  <tableColumns count="8">
    <tableColumn id="1" xr3:uid="{D22265D2-9139-4156-8328-757A3F43F520}" uniqueName="1" name="Year" queryTableFieldId="1" dataDxfId="8"/>
    <tableColumn id="2" xr3:uid="{3B16913B-5A67-4DA1-B08B-4BCC564EE552}" uniqueName="2" name="Month" queryTableFieldId="2"/>
    <tableColumn id="10" xr3:uid="{63A0AFE4-6DD0-43E9-BC70-3BD8ACA0451B}" uniqueName="10" name="Working Days" queryTableFieldId="13"/>
    <tableColumn id="5" xr3:uid="{08E41FEC-8B48-4151-AE68-CB9E1EE25074}" uniqueName="5" name="Avg. $/Trip" queryTableFieldId="5" dataDxfId="7"/>
    <tableColumn id="7" xr3:uid="{9A1FF418-3778-4838-8A68-FEA55391DFC2}" uniqueName="7" name="$/Hour" queryTableFieldId="7" dataDxfId="6"/>
    <tableColumn id="8" xr3:uid="{F7D66251-2C61-42EA-B481-2B1C41922ED4}" uniqueName="8" name="Total Hours" queryTableFieldId="8"/>
    <tableColumn id="9" xr3:uid="{01B2857D-3EEF-4F7F-BC29-B32DF2D8D75C}" uniqueName="9" name="Total Trips" queryTableFieldId="9"/>
    <tableColumn id="6" xr3:uid="{7ED84044-853B-4ACC-A3E2-1FA8C50CC232}" uniqueName="6" name="Total Earnings" queryTableFieldId="6" dataDxfId="5"/>
  </tableColumns>
  <tableStyleInfo name="TableStyleMedium7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BDB67-E1ED-498A-8821-F74C2ED8A42C}" name="Combined" displayName="Combined" ref="B2:O2100" totalsRowShown="0">
  <autoFilter ref="B2:O2100" xr:uid="{78D5FB91-7CE1-495F-920F-FFEAE436F3C9}"/>
  <tableColumns count="14">
    <tableColumn id="18" xr3:uid="{A6439165-1C52-4D10-87A6-A6119657DC6A}" name="UID" dataDxfId="278"/>
    <tableColumn id="13" xr3:uid="{6E3BC09B-565B-422F-BF82-EDDFD933E972}" name="App" dataDxfId="277"/>
    <tableColumn id="15" xr3:uid="{00189910-7533-4E2C-8B07-3E94C811A2D1}" name="Type" dataDxfId="276"/>
    <tableColumn id="6" xr3:uid="{64646554-128D-4E22-BC6C-9ACF98F606BF}" name="Week #" dataDxfId="275">
      <calculatedColumnFormula>IF(WEEKNUM(Combined[[#This Row],[Date]], 1) = 53, 1, WEEKNUM(Combined[[#This Row],[Date]], 2))</calculatedColumnFormula>
    </tableColumn>
    <tableColumn id="10" xr3:uid="{E0930AFC-82D2-4E27-A40B-24152E58B0E2}" name="DOW" dataDxfId="274">
      <calculatedColumnFormula>TEXT(WEEKDAY(G3,1),"DDDD")</calculatedColumnFormula>
    </tableColumn>
    <tableColumn id="1" xr3:uid="{7494919A-70A3-49F5-9A57-729394011153}" name="Date" dataDxfId="273"/>
    <tableColumn id="2" xr3:uid="{AE1420F9-03E1-449A-B7FD-1A480FF76840}" name="Trips"/>
    <tableColumn id="3" xr3:uid="{F6B4A951-3373-48C3-BFD7-01BC81D17505}" name="Earnings" dataDxfId="272"/>
    <tableColumn id="4" xr3:uid="{B3445B62-3BBB-4218-85F9-D51E30E74FE1}" name="Time Spent" dataDxfId="271"/>
    <tableColumn id="11" xr3:uid="{01350F91-C4D9-4427-B10D-7A6C88138DDE}" name="Time Spent 2" dataDxfId="270">
      <calculatedColumnFormula>Combined[[#This Row],[Time Spent]]*24</calculatedColumnFormula>
    </tableColumn>
    <tableColumn id="12" xr3:uid="{C7B331BA-E352-4700-A8CD-071D9AEAC560}" name="Time Spent 3" dataDxfId="269">
      <calculatedColumnFormula>MROUND(Combined[[#This Row],[Time Spent 2]],0.25)</calculatedColumnFormula>
    </tableColumn>
    <tableColumn id="9" xr3:uid="{D93EA85D-156C-4B54-AC84-EE391A8E2D00}" name="TOD" dataDxfId="268"/>
    <tableColumn id="5" xr3:uid="{4C97C765-0358-4CAF-8327-7030B468D6DA}" name="Primary Area"/>
    <tableColumn id="14" xr3:uid="{F6FB1EA5-6D54-440E-9A73-8C51173547E5}" name="Area #" dataDxfId="267">
      <calculatedColumnFormula>MATCH(Combined[[#This Row],[Primary Area]],KPIs!$C$4:$C$7,0)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5CB889-CCC6-42F4-9642-ABA08938909B}" name="Mileage" displayName="Mileage" ref="R2:Z884" totalsRowShown="0">
  <autoFilter ref="R2:Z884" xr:uid="{8D5CB889-CCC6-42F4-9642-ABA08938909B}"/>
  <tableColumns count="9">
    <tableColumn id="1" xr3:uid="{C980C23B-DFDC-46B6-85F7-C11B32CE9840}" name="Date" dataDxfId="266">
      <calculatedColumnFormula>Q3</calculatedColumnFormula>
    </tableColumn>
    <tableColumn id="5" xr3:uid="{424CEEAE-4998-43D4-A71D-CF8EB208D086}" name="DOW" dataDxfId="265">
      <calculatedColumnFormula>TEXT(Mileage[[#This Row],[Date]],"dddd")</calculatedColumnFormula>
    </tableColumn>
    <tableColumn id="6" xr3:uid="{51A1970F-655A-4398-AB8A-2440B7CD8186}" name="Weather" dataDxfId="264"/>
    <tableColumn id="4" xr3:uid="{7846A361-C392-4BCA-A64A-666DBD03D154}" name="Hi Temp" dataDxfId="263"/>
    <tableColumn id="2" xr3:uid="{129B4E5B-A280-497C-A413-35D634E775FC}" name="Primary Area" dataDxfId="262">
      <calculatedColumnFormula array="1">IFERROR(VLOOKUP(MODE(IF(Combined[Date]=Mileage[[#This Row],[Date]],Combined[Area '#])),KPIs!$B$4:$C$7,2,FALSE),VLOOKUP(Mileage[[#This Row],[Date]],Combined[[Date]:[Primary Area]],8,FALSE))</calculatedColumnFormula>
    </tableColumn>
    <tableColumn id="8" xr3:uid="{91D1AEB2-18E0-45A9-889D-1502CCF4EAB4}" name="Start Time" dataDxfId="261"/>
    <tableColumn id="10" xr3:uid="{4DBB8C0E-613D-43EB-9309-2754F1B4CC09}" name="Total Time" dataDxfId="260"/>
    <tableColumn id="3" xr3:uid="{CD6CADD7-8D6E-4B5D-A6DD-A4B39126D048}" name="Mileage"/>
    <tableColumn id="7" xr3:uid="{020A67F9-B049-4CFB-99F1-987DE59CC4A9}" name="UE/DD" dataDxfId="259">
      <calculatedColumnFormula>IF(SUMIFS(Combined[Earnings],Combined[Date],Mileage[[#This Row],[Date]],Combined[App],"UE")&gt;SUMIFS(Combined[Earnings],Combined[Date],Mileage[[#This Row],[Date]],Combined[App],"DD"),"UE","DD")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E5087A5-DB19-43B8-AC2D-38B660147AC2}" name="Table12" displayName="Table12" ref="B2:G15" totalsRowShown="0">
  <autoFilter ref="B2:G15" xr:uid="{1E5087A5-DB19-43B8-AC2D-38B660147AC2}"/>
  <tableColumns count="6">
    <tableColumn id="1" xr3:uid="{96E0EC53-DA01-4016-9810-90BAA411FA05}" name="Start"/>
    <tableColumn id="2" xr3:uid="{5FAC7743-0A1D-4B71-BB69-BE471C3EAD50}" name="Stop"/>
    <tableColumn id="5" xr3:uid="{FCF1AC0E-5CB1-4D7D-AFB0-604A57B8A498}" name="Miles" dataDxfId="176">
      <calculatedColumnFormula>70.2+38.2</calculatedColumnFormula>
    </tableColumn>
    <tableColumn id="3" xr3:uid="{877F0674-9865-4B70-88EE-4F5F79358227}" name="Sum" dataDxfId="175">
      <calculatedColumnFormula>Table12[[#This Row],[Stop]]-Table12[[#This Row],[Start]]</calculatedColumnFormula>
    </tableColumn>
    <tableColumn id="4" xr3:uid="{BC48D669-AE1F-4EF9-B90C-2DC9AC401281}" name="Sum2" dataDxfId="174">
      <calculatedColumnFormula>Table12[[#This Row],[Sum]]*24</calculatedColumnFormula>
    </tableColumn>
    <tableColumn id="6" xr3:uid="{1281538F-8DA5-45DF-9725-72461AEC5837}" name="Break Time" dataDxfId="173">
      <calculatedColumnFormula>IFERROR(IF((B4-Table12[[#This Row],[Stop]])&lt;0,"",B4-Table12[[#This Row],[Stop]]),"")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A53706F-92B2-451B-B922-BEEF7C625FC9}" name="Table25" displayName="Table25" ref="N2:O335" totalsRowShown="0">
  <autoFilter ref="N2:O335" xr:uid="{FA53706F-92B2-451B-B922-BEEF7C625FC9}"/>
  <tableColumns count="2">
    <tableColumn id="1" xr3:uid="{2C4975AF-693D-432A-BD9D-03B43E229744}" name="Date" dataDxfId="172"/>
    <tableColumn id="2" xr3:uid="{E2855421-C82D-4382-A02A-1B909474870A}" name="Time" dataDxfId="17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2724D8-A435-480A-BC46-64D62EC2AF05}" name="Table1" displayName="Table1" ref="B3:E8" totalsRowCount="1">
  <autoFilter ref="B3:E7" xr:uid="{C52724D8-A435-480A-BC46-64D62EC2AF05}"/>
  <tableColumns count="4">
    <tableColumn id="1" xr3:uid="{3DA058E3-1782-4CFB-ACEE-7F0506BEAD89}" name="Cost"/>
    <tableColumn id="2" xr3:uid="{7C2A8A42-FA9C-450C-90B2-D800E77ADB59}" name="Yearly Cost" dataDxfId="170" totalsRowDxfId="169" dataCellStyle="Currency"/>
    <tableColumn id="3" xr3:uid="{0965817E-22EE-40C7-8C47-A51C2D230120}" name="Cost Per Mile" totalsRowFunction="sum" dataDxfId="168" totalsRowDxfId="167" dataCellStyle="Currency">
      <calculatedColumnFormula>C4/#REF!</calculatedColumnFormula>
    </tableColumn>
    <tableColumn id="4" xr3:uid="{BB67E88C-C762-45D6-9ED6-FAE8DEFCA30B}" name="Updated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E7E69F3-5D56-4A62-81DB-7EEC081950C7}" name="Table35" displayName="Table35" ref="H2:N8" totalsRowCount="1" headerRowDxfId="166" totalsRowDxfId="163" headerRowBorderDxfId="165" tableBorderDxfId="164" totalsRowBorderDxfId="162">
  <autoFilter ref="H2:N7" xr:uid="{7E7E69F3-5D56-4A62-81DB-7EEC081950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CAC7C38-09EF-4639-BC11-64F474D29BDA}" name="Year" dataDxfId="161"/>
    <tableColumn id="2" xr3:uid="{4ED41BF9-027D-48BD-9622-AA51FEBB36E9}" name="WB Work Miles" dataDxfId="160">
      <calculatedColumnFormula>SUMIFS(EarningsPerDay[Miles],EarningsPerDay[Year],H3)</calculatedColumnFormula>
    </tableColumn>
    <tableColumn id="3" xr3:uid="{56F486CF-7203-44E6-AB70-0FE34A8B1204}" name="EL Work Miles" dataDxfId="159"/>
    <tableColumn id="4" xr3:uid="{954512E0-A49D-4E53-A566-327637D48176}" name="Personal Miles" totalsRowFunction="average" dataDxfId="158" totalsRowDxfId="157"/>
    <tableColumn id="5" xr3:uid="{37DB3AA9-9E6A-4D92-BC66-4717F50F901D}" name="Work Miles %" totalsRowFunction="average" totalsRowDxfId="156" dataCellStyle="Percent">
      <calculatedColumnFormula>AVERAGE(I3:J3)/(SUM(AVERAGE(I3:J3),K3))</calculatedColumnFormula>
    </tableColumn>
    <tableColumn id="7" xr3:uid="{4847B58D-1CE7-412C-88E7-E9650C5E6292}" name="Personal Mile %" totalsRowFunction="average" dataDxfId="155" totalsRowDxfId="154" dataCellStyle="Percent">
      <calculatedColumnFormula>Table35[[#This Row],[Personal Miles]]/(SUM(AVERAGE(I3:J3),K3))</calculatedColumnFormula>
    </tableColumn>
    <tableColumn id="6" xr3:uid="{F9DC20E2-732C-4CFB-BAD4-A11DDE23B222}" name="Total Miles" totalsRowFunction="average" dataDxfId="153" totalsRowDxfId="152">
      <calculatedColumnFormula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calculatedColumnFormula>
    </tableColumn>
  </tableColumns>
  <tableStyleInfo name="TableStyleLight1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C978481-7550-43F7-AEED-9FA6FEBC9D9B}" name="Table28" displayName="Table28" ref="C11:D11" headerRowCount="0" totalsRowShown="0">
  <tableColumns count="2">
    <tableColumn id="1" xr3:uid="{FD8E5895-8867-4D97-8851-C88DC8CAA561}" name="Column1"/>
    <tableColumn id="2" xr3:uid="{9C6F8104-013D-4319-9C40-B51CCDDA4E1B}" name="Column2" headerRowDxfId="151" dataDxfId="150">
      <calculatedColumnFormula>Table1[[#Totals],[Cost Per Mile]]*Table35[[#Totals],[Work Miles %]]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C6F755-98D8-4CCD-B00A-F3CFC39FF0A0}" name="Table29" displayName="Table29" ref="A3:AB780" totalsRowShown="0" headerRowDxfId="149" dataDxfId="148" tableBorderDxfId="147">
  <autoFilter ref="A3:AB780" xr:uid="{37C6F755-98D8-4CCD-B00A-F3CFC39FF0A0}"/>
  <tableColumns count="28">
    <tableColumn id="1" xr3:uid="{A3BF6A1E-3F46-4B56-9DCB-D3D2DF798C5B}" name="Date" dataDxfId="146"/>
    <tableColumn id="2" xr3:uid="{500B9550-4B03-49F4-A454-F76E0047BEEA}" name="Year" dataDxfId="145"/>
    <tableColumn id="3" xr3:uid="{B9007CC3-CE86-4194-B934-06279F0FD366}" name="Week #" dataDxfId="144"/>
    <tableColumn id="4" xr3:uid="{ACAFF6BB-B86B-40F0-871E-8257D6B2664E}" name="Week # in QTR" dataDxfId="143"/>
    <tableColumn id="5" xr3:uid="{258F9174-18EE-459B-BBDA-128F4B0EF001}" name="Quarter" dataDxfId="142"/>
    <tableColumn id="6" xr3:uid="{AA95537A-D4A0-4F9F-9B76-96603E5BCE4D}" name="DOW" dataDxfId="141"/>
    <tableColumn id="7" xr3:uid="{F914BE92-2ABD-4FC9-8F77-26BF4710EE2D}" name="Start Time" dataDxfId="140"/>
    <tableColumn id="8" xr3:uid="{9F7F395A-FCC7-481F-BF44-8EE52A74BE5E}" name="Weather" dataDxfId="139"/>
    <tableColumn id="9" xr3:uid="{9E8877B4-D38C-4A2C-89A3-E3022CA15078}" name="Hi Temp" dataDxfId="138"/>
    <tableColumn id="10" xr3:uid="{CF573AF3-7DCC-44D7-9EA3-2279B3F3EAE6}" name="Primary Area" dataDxfId="137"/>
    <tableColumn id="11" xr3:uid="{0AA6E467-9161-48AB-B168-B63832DD9EA6}" name="Earnings" dataDxfId="136"/>
    <tableColumn id="12" xr3:uid="{20BE7BB3-82CD-4C4D-9D84-A8D9377DA0F7}" name="Hours" dataDxfId="135"/>
    <tableColumn id="13" xr3:uid="{12FB6402-136F-47A1-A518-2244174BDD31}" name="Miles" dataDxfId="134"/>
    <tableColumn id="14" xr3:uid="{A86DD6B3-719A-436D-B526-077082469A43}" name="Deliveries" dataDxfId="133"/>
    <tableColumn id="15" xr3:uid="{49BDE6DB-FADE-48CD-9559-70556D1129A7}" name="$/Hour" dataDxfId="132"/>
    <tableColumn id="16" xr3:uid="{30CB2BDB-5C49-49A8-A9D9-49AD776969E5}" name="Diff from Avg. per Site &amp; DOW Hist." dataDxfId="131"/>
    <tableColumn id="17" xr3:uid="{CD4191AC-5096-41CC-8397-C79C11470C6E}" name="$/Trip" dataDxfId="130"/>
    <tableColumn id="18" xr3:uid="{863C7CE4-8B94-493F-AA06-321ABD6736BE}" name="$/Mile" dataDxfId="129"/>
    <tableColumn id="19" xr3:uid="{ABCFD423-1FDE-4652-94FB-D1E964D586A0}" name="Mi./Trip" dataDxfId="128"/>
    <tableColumn id="20" xr3:uid="{1FCCB58A-726B-45C3-BAC8-9BE03D45FC33}" name="Trips/Hr" dataDxfId="127"/>
    <tableColumn id="21" xr3:uid="{664DA561-4976-4CB6-9A09-FB195EA07A2E}" name="Sessions/Day"/>
    <tableColumn id="22" xr3:uid="{511844F4-3A32-4BE1-A5CF-A1EA1FB37BF2}" name="Estimated Time Spent Per Trip" dataDxfId="126"/>
    <tableColumn id="23" xr3:uid="{3C9E9808-B0CC-4BBA-8D8D-F611AAA99417}" name="Type" dataDxfId="125"/>
    <tableColumn id="24" xr3:uid="{B6A4C531-72BC-492A-9A07-D98D5E98BE4D}" name="Weekly Average Earnings" dataDxfId="124"/>
    <tableColumn id="25" xr3:uid="{9795888D-7D97-4FDB-A34D-945A7106748F}" name="Diff from Avg. Per Week" dataDxfId="123"/>
    <tableColumn id="26" xr3:uid="{768EA849-A755-45B3-B036-7C86A90E7D0B}" name="90-Day Earnings" dataDxfId="122"/>
    <tableColumn id="27" xr3:uid="{CB5AC478-7D58-47FF-B5F3-D063D5B28CB0}" name="4-Week Average" dataCellStyle="Currency">
      <calculatedColumnFormula>AVERAGE(OFFSET(K4,-3,0,4,1))</calculatedColumnFormula>
    </tableColumn>
    <tableColumn id="28" xr3:uid="{8ABC9B60-C8C1-4470-A397-23D5CA7A37E2}" name="Difference From Average" dataDxfId="121">
      <calculatedColumnFormula>Table29[[#This Row],[Earnings]]-Table29[[#This Row],[4-Week Average]]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701631B-19AE-458A-9B87-7495A7D1D437}" name="EarningsPerDay" displayName="EarningsPerDay" ref="C2:AD884" totalsRowShown="0" headerRowDxfId="118">
  <autoFilter ref="C2:AD884" xr:uid="{1701631B-19AE-458A-9B87-7495A7D1D437}"/>
  <tableColumns count="28">
    <tableColumn id="10" xr3:uid="{B68FAADF-80D6-4504-A0D9-583218D81207}" name="Date" dataDxfId="117" totalsRowDxfId="116">
      <calculatedColumnFormula>B3</calculatedColumnFormula>
    </tableColumn>
    <tableColumn id="17" xr3:uid="{44449E8D-8F8A-4286-93F1-F7D40D720CC8}" name="Year" dataDxfId="115" totalsRowDxfId="114">
      <calculatedColumnFormula>IF(EarningsPerDay[[#This Row],[Week '#]]&gt;=52,YEAR(EarningsPerDay[[#This Row],[Date]])-1,YEAR(EarningsPerDay[[#This Row],[Date]]))</calculatedColumnFormula>
    </tableColumn>
    <tableColumn id="22" xr3:uid="{BD44237E-B63B-45F0-873D-FA4E99FB4E4F}" name="Quarter" dataDxfId="113" totalsRowDxfId="112">
      <calculatedColumnFormula>"QTR"&amp;IF(EarningsPerDay[[#This Row],[Week '#]] &lt;= 13, 1, IF(EarningsPerDay[[#This Row],[Week '#]] &lt;= 26, 2, IF(EarningsPerDay[[#This Row],[Week '#]] &lt;= 39, 3, 4)))</calculatedColumnFormula>
    </tableColumn>
    <tableColumn id="29" xr3:uid="{3BD9D8B4-89B1-4B39-8086-8D663A6AB192}" name="Week # in QTR" dataDxfId="111">
      <calculatedColumnFormula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calculatedColumnFormula>
    </tableColumn>
    <tableColumn id="13" xr3:uid="{260B57B7-040A-40EC-ADC7-AF113F634AA1}" name="Week #" dataDxfId="110">
      <calculatedColumnFormula>IF(WEEKNUM(EarningsPerDay[[#This Row],[Date]], 2) = 53, 1, WEEKNUM(EarningsPerDay[[#This Row],[Date]],2))</calculatedColumnFormula>
    </tableColumn>
    <tableColumn id="1" xr3:uid="{291E136D-1676-4C57-9A7B-5EC54A12B387}" name="DOW" dataDxfId="109" totalsRowDxfId="108">
      <calculatedColumnFormula>TEXT(B3,"DDDD")</calculatedColumnFormula>
    </tableColumn>
    <tableColumn id="26" xr3:uid="{BEBDA6D2-D147-456E-AD28-278371E47ABE}" name="Start Time" dataDxfId="107">
      <calculatedColumnFormula>IF(_xlfn.XLOOKUP(EarningsPerDay[[#This Row],[Date]],Mileage[Date],Mileage[Start Time])="","",MROUND(_xlfn.XLOOKUP(EarningsPerDay[[#This Row],[Date]],Mileage[Date],Mileage[Start Time]),0.0208333333333333))</calculatedColumnFormula>
    </tableColumn>
    <tableColumn id="2" xr3:uid="{6899102C-F776-4440-8537-71CC5BA66329}" name="Primary Area" dataDxfId="106" totalsRowDxfId="105">
      <calculatedColumnFormula array="1">IFERROR(VLOOKUP(MODE(IF(Combined[Date]=EarningsPerDay[[#This Row],[Date]],Combined[Area '#])),KPIs!$B$4:$C$7,2,FALSE),VLOOKUP(EarningsPerDay[[#This Row],[Date]],Combined[[Date]:[Primary Area]],8,FALSE))</calculatedColumnFormula>
    </tableColumn>
    <tableColumn id="23" xr3:uid="{B4D1DA67-2784-4C89-96CC-D54734FDD3C8}" name="Weather" dataDxfId="104" totalsRowDxfId="103">
      <calculatedColumnFormula>_xlfn.XLOOKUP(EarningsPerDay[[#This Row],[Date]],Mileage[Date],Mileage[Weather])</calculatedColumnFormula>
    </tableColumn>
    <tableColumn id="25" xr3:uid="{92810BFD-7878-4FFC-862B-658B14FBDFE2}" name="Hi Temp" dataDxfId="102" totalsRowDxfId="101">
      <calculatedColumnFormula>_xlfn.XLOOKUP(EarningsPerDay[[#This Row],[Date]],Mileage[Date],Mileage[Hi Temp])</calculatedColumnFormula>
    </tableColumn>
    <tableColumn id="4" xr3:uid="{3C0CC626-003C-4AEB-89D2-54CAE8222557}" name="Hours" dataDxfId="100" totalsRowDxfId="99">
      <calculatedColumnFormula>_xlfn.XLOOKUP(EarningsPerDay[[#This Row],[Date]],Mileage[Date],Mileage[Total Time])</calculatedColumnFormula>
    </tableColumn>
    <tableColumn id="12" xr3:uid="{8F8AA2FA-1140-47C0-BE1A-370466E1C0AA}" name="Miles" dataDxfId="98" totalsRowDxfId="97">
      <calculatedColumnFormula>_xlfn.XLOOKUP(EarningsPerDay[[#This Row],[Date]],Mileage[Date],Mileage[Mileage])</calculatedColumnFormula>
    </tableColumn>
    <tableColumn id="6" xr3:uid="{6825B60D-D399-4251-BE60-2E73E3B0B3BC}" name="Deliveries" dataDxfId="96" totalsRowDxfId="95">
      <calculatedColumnFormula>SUMIF(Combined[Date],EarningsPerDay[[#This Row],[Date]],Combined[Trips])</calculatedColumnFormula>
    </tableColumn>
    <tableColumn id="5" xr3:uid="{F99ADB20-D71A-48C2-9232-D78D1065F3D4}" name="Sessions/Day" dataDxfId="94" totalsRowDxfId="93">
      <calculatedColumnFormula>COUNTIF(Combined[Date],EarningsPerDay[[#This Row],[Date]])</calculatedColumnFormula>
    </tableColumn>
    <tableColumn id="20" xr3:uid="{5DD1099D-75A4-443F-8567-B5F114AEDE41}" name="Type" dataDxfId="92" totalsRowDxfId="91">
      <calculatedColumnFormula>IF((SUMIFS(Combined[Earnings],Combined[Date],EarningsPerDay[[#This Row],[Date]],Combined[Type],"Hourly"))&gt;SUMIFS(Combined[Earnings],Combined[Date],EarningsPerDay[[#This Row],[Date]],Combined[Type],"Order"),"Hourly","Order")</calculatedColumnFormula>
    </tableColumn>
    <tableColumn id="3" xr3:uid="{36423102-C25E-4EBD-BA92-3903DA7DE71F}" name="Gross Earnings" dataDxfId="90" totalsRowDxfId="89">
      <calculatedColumnFormula>SUMIF(Combined[Date],EarningsPerDay[[#This Row],[Date]],Combined[Earnings])</calculatedColumnFormula>
    </tableColumn>
    <tableColumn id="19" xr3:uid="{2D708BE8-0DF8-4B24-8663-1EA7F9652B17}" name="Net Earnings" dataDxfId="88" totalsRowDxfId="87">
      <calculatedColumnFormula>EarningsPerDay[[#This Row],[Gross Earnings]]-(EarningsPerDay[[#This Row],[Miles]]*CpM!$D$11)</calculatedColumnFormula>
    </tableColumn>
    <tableColumn id="8" xr3:uid="{05C3101D-E784-45EB-B364-0A96F9FA1C33}" name="Gross $/Hour" dataDxfId="86" totalsRowDxfId="85">
      <calculatedColumnFormula>R3/M3</calculatedColumnFormula>
    </tableColumn>
    <tableColumn id="21" xr3:uid="{9A2C5030-A575-4339-9E63-5897639185AA}" name="Net $/Hour" dataDxfId="84" totalsRowDxfId="83">
      <calculatedColumnFormula>S3/M3</calculatedColumnFormula>
    </tableColumn>
    <tableColumn id="16" xr3:uid="{52211E79-78E0-4EA9-ABEA-AB4C86728775}" name="$/Trip" dataDxfId="82" totalsRowDxfId="81">
      <calculatedColumnFormula>EarningsPerDay[[#This Row],[Gross Earnings]]/EarningsPerDay[[#This Row],[Deliveries]]</calculatedColumnFormula>
    </tableColumn>
    <tableColumn id="11" xr3:uid="{C8154B93-5649-4F16-96A7-AF9B1E59D337}" name="$/Mile" dataDxfId="80" totalsRowDxfId="79">
      <calculatedColumnFormula>EarningsPerDay[[#This Row],[Gross Earnings]]/EarningsPerDay[[#This Row],[Miles]]</calculatedColumnFormula>
    </tableColumn>
    <tableColumn id="14" xr3:uid="{F7C5FA8A-E851-4959-BBE5-A045FFB44DCC}" name="Trips/Hr" dataDxfId="78" totalsRowDxfId="77">
      <calculatedColumnFormula>EarningsPerDay[[#This Row],[Deliveries]]/EarningsPerDay[[#This Row],[Hours]]</calculatedColumnFormula>
    </tableColumn>
    <tableColumn id="15" xr3:uid="{87490256-D05E-44AD-8F52-389070A356F7}" name="Mi./Trip" dataDxfId="76" totalsRowDxfId="75">
      <calculatedColumnFormula>EarningsPerDay[[#This Row],[Miles]]/EarningsPerDay[[#This Row],[Deliveries]]</calculatedColumnFormula>
    </tableColumn>
    <tableColumn id="9" xr3:uid="{62327CAC-74A0-4E9C-B0BE-B4021F5339A0}" name="Estimated Time Spent Per Trip" dataDxfId="74" totalsRowDxfId="73">
      <calculatedColumnFormula>(EarningsPerDay[[#This Row],[Hours]]/EarningsPerDay[[#This Row],[Deliveries]])/24</calculatedColumnFormula>
    </tableColumn>
    <tableColumn id="24" xr3:uid="{5DEE699C-C86B-4642-A3A6-B66260A33920}" name="Diff from Avg. per Site &amp; DOW Hist." dataDxfId="72">
      <calculatedColumnFormula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calculatedColumnFormula>
    </tableColumn>
    <tableColumn id="27" xr3:uid="{7590EBA9-9843-448C-97A9-851D8D1F45BE}" name="Weekly Average Earnings" dataDxfId="71">
      <calculatedColumnFormula>AVERAGEIFS(EarningsPerDay[Gross $/Hour],EarningsPerDay[Week '#], EarningsPerDay[[#This Row],[Week '#]], EarningsPerDay[DOW], EarningsPerDay[[#This Row],[DOW]])</calculatedColumnFormula>
    </tableColumn>
    <tableColumn id="28" xr3:uid="{31E0F025-B375-4EFA-B9DB-2900DFEC3FD4}" name="Diff from Avg. Per Week" dataDxfId="70">
      <calculatedColumnFormula>EarningsPerDay[[#This Row],[Gross $/Hour]] - EarningsPerDay[[#This Row],[Weekly Average Earnings]]</calculatedColumnFormula>
    </tableColumn>
    <tableColumn id="18" xr3:uid="{FC68D419-9BF4-4E9F-82D6-F244E95BF72C}" name="90-Day Earnings" dataDxfId="69">
      <calculatedColumnFormula>(SUMIFS(EarningsPerDay[Gross Earnings], EarningsPerDay[Date],"&gt;="&amp;EarningsPerDay[[#This Row],[Date]]-89, EarningsPerDay[Date], "&lt;="&amp;EarningsPerDay[[#This Row],[Date]]))/90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5C08166-DF08-4892-9334-0A4E3BB46747}" name="All_Data_Combined__WIP" displayName="All_Data_Combined__WIP" ref="A1:U883" tableType="queryTable" totalsRowShown="0">
  <autoFilter ref="A1:U883" xr:uid="{45C08166-DF08-4892-9334-0A4E3BB46747}"/>
  <tableColumns count="21">
    <tableColumn id="1" xr3:uid="{978C3B3E-C628-4224-BEA8-BA53C7525F26}" uniqueName="1" name="Date" queryTableFieldId="1" dataDxfId="68"/>
    <tableColumn id="2" xr3:uid="{1F4788DF-A191-4FF2-91D2-5947D5D52D6C}" uniqueName="2" name="Year" queryTableFieldId="2"/>
    <tableColumn id="5" xr3:uid="{2CE28BE9-A507-4288-AF03-4C8F1CE79DF8}" uniqueName="5" name="Quarter" queryTableFieldId="5" dataDxfId="67"/>
    <tableColumn id="4" xr3:uid="{449B0631-A77C-4D90-ACFB-92A0B0E05B6B}" uniqueName="4" name="Week # in QTR" queryTableFieldId="4"/>
    <tableColumn id="3" xr3:uid="{1E7A25EE-A7A3-41F3-95A3-07E62A80D60A}" uniqueName="3" name="Week #" queryTableFieldId="3"/>
    <tableColumn id="7" xr3:uid="{25F15BF9-4F8F-4FDF-B7C2-16C3EC1091A0}" uniqueName="7" name="DOW" queryTableFieldId="7" dataDxfId="66"/>
    <tableColumn id="8" xr3:uid="{436F409F-7CD1-4D18-AC8E-14CB96163492}" uniqueName="8" name="Start Time" queryTableFieldId="8" dataDxfId="65"/>
    <tableColumn id="11" xr3:uid="{93130755-8721-49D8-84FA-8E1E22B29055}" uniqueName="11" name="Primary Area" queryTableFieldId="11" dataDxfId="64"/>
    <tableColumn id="9" xr3:uid="{9B9CD79D-BA8E-4718-9FD1-FAC4BC7AF5AE}" uniqueName="9" name="Weather" queryTableFieldId="9" dataDxfId="63"/>
    <tableColumn id="10" xr3:uid="{3DF648FC-C9C3-4366-860B-CB0D9B70DBFF}" uniqueName="10" name="Hi Temp" queryTableFieldId="10"/>
    <tableColumn id="13" xr3:uid="{3493897C-03AA-448F-9A03-3B801AEBBE94}" uniqueName="13" name="Hours" queryTableFieldId="13"/>
    <tableColumn id="22" xr3:uid="{211FE2B7-5F85-4F0F-BCF2-E063D64FA209}" uniqueName="22" name="Miles" queryTableFieldId="29"/>
    <tableColumn id="21" xr3:uid="{8B49D2A8-B8B4-45B6-AE88-481658781AC4}" uniqueName="21" name="Trips" queryTableFieldId="21"/>
    <tableColumn id="12" xr3:uid="{06B2FAFF-B750-4E36-B5E1-14AE7D9A9C2A}" uniqueName="12" name="Gross Earnings" queryTableFieldId="44" dataDxfId="62" dataCellStyle="Currency"/>
    <tableColumn id="14" xr3:uid="{3E3D7422-0FF1-45D1-AA69-F49D958CE70F}" uniqueName="14" name="Net Earnings" queryTableFieldId="49" dataDxfId="61" dataCellStyle="Currency"/>
    <tableColumn id="15" xr3:uid="{E396058D-5AFE-4181-958C-E72AAD0DAC20}" uniqueName="15" name="Gross $/Hour" queryTableFieldId="50" dataDxfId="60" dataCellStyle="Currency"/>
    <tableColumn id="16" xr3:uid="{9EA4BDA7-504C-494A-887D-4416D98978EF}" uniqueName="16" name="Net $/Hour" queryTableFieldId="51" dataDxfId="59" dataCellStyle="Currency"/>
    <tableColumn id="17" xr3:uid="{7589AA96-364F-4C72-A012-B9DC6A859E8B}" uniqueName="17" name="$/Trip" queryTableFieldId="52" dataDxfId="58" dataCellStyle="Currency"/>
    <tableColumn id="18" xr3:uid="{575E4722-5198-4EE7-AE48-B96B87118158}" uniqueName="18" name="$/Mile" queryTableFieldId="53" dataDxfId="57" dataCellStyle="Currency"/>
    <tableColumn id="20" xr3:uid="{BF6CF5A9-F4F0-4890-82E3-9C29F1D3ECD3}" uniqueName="20" name="Type" queryTableFieldId="20"/>
    <tableColumn id="6" xr3:uid="{98F83BD9-6AC4-4B20-A581-82A686B99B46}" uniqueName="6" name="Avg Earnings / Day (90D)" queryTableFieldId="43" dataDxfId="5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2F80570-080A-4DFE-9605-8C7AA4A052F1}" name="Profitable_Start_Time_Data__New" displayName="Profitable_Start_Time_Data__New" ref="A1:D218" tableType="queryTable" totalsRowShown="0">
  <autoFilter ref="A1:D218" xr:uid="{F2F80570-080A-4DFE-9605-8C7AA4A052F1}"/>
  <tableColumns count="4">
    <tableColumn id="1" xr3:uid="{0FB9E664-4ADD-411A-A5BC-3D365971D641}" uniqueName="1" name="QTR" queryTableFieldId="1"/>
    <tableColumn id="2" xr3:uid="{F0A457CE-4E4D-41FC-AB66-E30597C8EB0E}" uniqueName="2" name="DOW" queryTableFieldId="2" dataDxfId="55"/>
    <tableColumn id="3" xr3:uid="{A3B71C2C-10D4-42C2-BFC9-256630C8ABA3}" uniqueName="3" name="Primary Area" queryTableFieldId="3" dataDxfId="54"/>
    <tableColumn id="4" xr3:uid="{3DB46114-768C-4120-A7E5-1A9D2C292545}" uniqueName="4" name="Start Time" queryTableFieldId="4" dataDxfId="5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00DDA4-B53E-4568-9585-B6FD19EC5F5F}" name="AveragesPerWeek" displayName="AveragesPerWeek" ref="H35:M87" totalsRowShown="0">
  <autoFilter ref="H35:M87" xr:uid="{5000DDA4-B53E-4568-9585-B6FD19EC5F5F}"/>
  <tableColumns count="6">
    <tableColumn id="1" xr3:uid="{4210CB48-BEAD-453D-B426-F3D10579F8D3}" name="Week"/>
    <tableColumn id="2" xr3:uid="{FA5DA500-9C2C-49E7-B2CD-AAA60ED924A9}" name="2021" dataDxfId="46">
      <calculatedColumnFormula>IFERROR(AVERAGEIFS(EarningsPerDay[Gross $/Hour],EarningsPerDay[Week '#],$H36,EarningsPerDay[Year],I$35),"")</calculatedColumnFormula>
    </tableColumn>
    <tableColumn id="3" xr3:uid="{D0DA647A-D43F-4A5D-B869-9AC795F23558}" name="2022" dataDxfId="45">
      <calculatedColumnFormula>IFERROR(AVERAGEIFS(EarningsPerDay[Gross $/Hour],EarningsPerDay[Week '#],$H36,EarningsPerDay[Year],J$35),"")</calculatedColumnFormula>
    </tableColumn>
    <tableColumn id="6" xr3:uid="{743A5C36-D31A-49DC-8BDD-5C8253691F93}" name="21-22 %" dataDxfId="44">
      <calculatedColumnFormula>IFERROR((AveragesPerWeek[[#This Row],[2022]]-AveragesPerWeek[[#This Row],[2021]])/AveragesPerWeek[[#This Row],[2021]],"")</calculatedColumnFormula>
    </tableColumn>
    <tableColumn id="4" xr3:uid="{D4A40260-ECBB-45AF-A604-D134093EB2A4}" name="2023" dataDxfId="43">
      <calculatedColumnFormula>IFERROR(AVERAGEIFS(EarningsPerDay[Gross $/Hour],EarningsPerDay[Week '#],$H36,EarningsPerDay[Year],L$35),"")</calculatedColumnFormula>
    </tableColumn>
    <tableColumn id="7" xr3:uid="{185F7182-1FCB-4581-AC86-80C6A2D09955}" name="22-23%" dataDxfId="42">
      <calculatedColumnFormula>IFERROR((AveragesPerWeek[[#This Row],[2023]]-AveragesPerWeek[[#This Row],[2022]])/AveragesPerWeek[[#This Row],[2022]],"")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D134A2-8E63-4291-A883-2E7BFF0085AD}" name="MillionairePlan" displayName="MillionairePlan" ref="Q1:T35" totalsRowShown="0">
  <autoFilter ref="Q1:T35" xr:uid="{93D134A2-8E63-4291-A883-2E7BFF0085AD}"/>
  <tableColumns count="4">
    <tableColumn id="1" xr3:uid="{E6C7DD5F-8E0E-4A96-8EB8-8AD939E1D8DC}" name="Date" dataDxfId="41">
      <calculatedColumnFormula>Q1+(14*26)</calculatedColumnFormula>
    </tableColumn>
    <tableColumn id="2" xr3:uid="{1A3A7732-4437-40E2-9E2F-B8DA963F922F}" name="Initial"/>
    <tableColumn id="3" xr3:uid="{9017BCE7-FDB1-4DE5-A54C-B75A6E1EE60F}" name="Dividend Yield" dataDxfId="40">
      <calculatedColumnFormula>R2*$N$4</calculatedColumnFormula>
    </tableColumn>
    <tableColumn id="4" xr3:uid="{7BAA76C3-37D6-4B6A-8C84-B36E515DEB0F}" name="DY/Month" dataDxfId="39">
      <calculatedColumnFormula>MillionairePlan[[#This Row],[Dividend Yield]]/12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6122E6D-21DF-44C9-B15D-D5AF93079EEC}" name="Historical_Taxes_Table" displayName="Historical_Taxes_Table" ref="B2:H8" totalsRowCount="1" dataDxfId="38">
  <autoFilter ref="B2:H7" xr:uid="{66122E6D-21DF-44C9-B15D-D5AF93079EEC}"/>
  <tableColumns count="7">
    <tableColumn id="1" xr3:uid="{9A62F86C-394F-4C24-894C-7DE3802E0997}" name="Year" dataDxfId="37"/>
    <tableColumn id="2" xr3:uid="{B867D909-F2E3-499D-A622-0E0E357A8FC3}" name="Side Gig Earnings" dataDxfId="36" dataCellStyle="Currency"/>
    <tableColumn id="6" xr3:uid="{C7F97B4D-3383-42A5-B126-8D10DC6F8D76}" name="AGI" dataDxfId="35" dataCellStyle="Currency"/>
    <tableColumn id="3" xr3:uid="{6D598584-4D92-4232-949B-D502D002E491}" name="Federal Owed" dataDxfId="34" dataCellStyle="Currency"/>
    <tableColumn id="4" xr3:uid="{352F8BFD-0B37-455C-B2AA-72E30C8B51F0}" name="State Owed" dataDxfId="33" dataCellStyle="Currency"/>
    <tableColumn id="5" xr3:uid="{C8500F6B-6B01-4669-A40E-3891CE57E524}" name="Total Owed" dataDxfId="32" dataCellStyle="Currency">
      <calculatedColumnFormula>SUM(Historical_Taxes_Table[[#This Row],[Federal Owed]:[State Owed]])</calculatedColumnFormula>
    </tableColumn>
    <tableColumn id="7" xr3:uid="{7F5A5AA6-A6AF-40DB-BEE7-0E5290B4FFD0}" name="% Taxed" totalsRowFunction="average" dataDxfId="31" totalsRowDxfId="30" dataCellStyle="Percent">
      <calculatedColumnFormula>IF(Historical_Taxes_Table[[#This Row],[Total Owed]]=0,"",Historical_Taxes_Table[[#This Row],[Total Owed]]/Historical_Taxes_Table[[#This Row],[Side Gig Earnings]])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9" dT="2023-10-24T20:28:59.86" personId="{E6672FDE-F945-4FE0-B14F-797BD64F11F2}" id="{A1BEA5AC-AF09-491E-A10C-E77CB576FEAF}">
    <text>10/24/23:
Average monthly usage last 6 months  - $740
Average Per Week - $171</text>
  </threadedComment>
  <threadedComment ref="C13" dT="2023-11-02T04:16:20.20" personId="{E6672FDE-F945-4FE0-B14F-797BD64F11F2}" id="{F648E048-A9C8-4994-ACE9-7DCF75A98CA5}">
    <text>See "BNPL, Car Maint., &amp; Others" sheet for details.</text>
  </threadedComment>
  <threadedComment ref="D17" dT="2023-12-10T04:23:47.65" personId="{E6672FDE-F945-4FE0-B14F-797BD64F11F2}" id="{D7812ED5-C9DD-474E-8F46-BB917EBFFC7E}">
    <text>Need to open an account for this.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23" dT="2026-03-04T00:14:35.04" personId="{E6672FDE-F945-4FE0-B14F-797BD64F11F2}" id="{C6CB9861-D694-4C50-9BD8-1D5BCF477BCF}">
    <text>Updated minimum to help reduce/eliminate the weekly reliance on Earnin.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2" dT="2025-05-22T18:39:18.15" personId="{E6672FDE-F945-4FE0-B14F-797BD64F11F2}" id="{010FACCC-DC15-4CC3-A64D-53C03487D727}">
    <text>Work miles tracked on workbook.</text>
  </threadedComment>
  <threadedComment ref="J2" dT="2025-05-27T13:09:51.02" personId="{E6672FDE-F945-4FE0-B14F-797BD64F11F2}" id="{D2C4C859-8419-47A8-A784-86FBC2324E6A}">
    <text>Everlance</text>
  </threadedComment>
  <threadedComment ref="K2" dT="2025-05-22T18:39:04.75" personId="{E6672FDE-F945-4FE0-B14F-797BD64F11F2}" id="{02BB6A69-6EF2-4B9A-98D3-131D6AC881D7}">
    <text>Everlance logged miles</text>
  </threadedComment>
  <threadedComment ref="C7" dT="2024-08-27T16:51:56.49" personId="{E6672FDE-F945-4FE0-B14F-797BD64F11F2}" id="{CD4FB585-6EDD-481D-9338-0A617DB94628}">
    <text>Found on the Declarations Document for just the CX-5. Doubled the number for the yearly value.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.bin"/><Relationship Id="rId3" Type="http://schemas.openxmlformats.org/officeDocument/2006/relationships/pivotTable" Target="../pivotTables/pivotTable16.xml"/><Relationship Id="rId7" Type="http://schemas.openxmlformats.org/officeDocument/2006/relationships/pivotTable" Target="../pivotTables/pivotTable20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5" Type="http://schemas.openxmlformats.org/officeDocument/2006/relationships/pivotTable" Target="../pivotTables/pivotTable18.xml"/><Relationship Id="rId10" Type="http://schemas.openxmlformats.org/officeDocument/2006/relationships/table" Target="../tables/table19.xml"/><Relationship Id="rId4" Type="http://schemas.openxmlformats.org/officeDocument/2006/relationships/pivotTable" Target="../pivotTables/pivotTable17.xml"/><Relationship Id="rId9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C4425-6FF0-467F-B3CB-0D35125C9B76}">
  <sheetPr codeName="Sheet1">
    <tabColor rgb="FF00B0F0"/>
  </sheetPr>
  <dimension ref="B1:W45"/>
  <sheetViews>
    <sheetView workbookViewId="0"/>
  </sheetViews>
  <sheetFormatPr defaultColWidth="9.08984375" defaultRowHeight="14.5" x14ac:dyDescent="0.35"/>
  <cols>
    <col min="1" max="1" width="9.08984375" style="14"/>
    <col min="2" max="2" width="23" style="14" bestFit="1" customWidth="1"/>
    <col min="3" max="3" width="10.36328125" style="14" bestFit="1" customWidth="1"/>
    <col min="4" max="4" width="1.6328125" style="14" customWidth="1"/>
    <col min="5" max="5" width="15.36328125" style="14" bestFit="1" customWidth="1"/>
    <col min="6" max="6" width="29.90625" style="14" bestFit="1" customWidth="1"/>
    <col min="7" max="9" width="10.36328125" style="14" bestFit="1" customWidth="1"/>
    <col min="10" max="10" width="9.6328125" style="14" bestFit="1" customWidth="1"/>
    <col min="11" max="11" width="20.36328125" style="14" bestFit="1" customWidth="1"/>
    <col min="12" max="13" width="9.6328125" style="14" bestFit="1" customWidth="1"/>
    <col min="14" max="14" width="10.90625" style="14" bestFit="1" customWidth="1"/>
    <col min="15" max="15" width="9.08984375" style="14" bestFit="1" customWidth="1"/>
    <col min="16" max="16" width="9.08984375" style="14" customWidth="1"/>
    <col min="17" max="17" width="9.08984375" style="14" bestFit="1" customWidth="1"/>
    <col min="18" max="18" width="13.36328125" style="14" bestFit="1" customWidth="1"/>
    <col min="19" max="19" width="9.08984375" style="14" bestFit="1" customWidth="1"/>
    <col min="20" max="20" width="9.08984375" style="14" bestFit="1"/>
    <col min="21" max="21" width="9.08984375" style="14" bestFit="1" customWidth="1"/>
    <col min="22" max="23" width="13.6328125" style="14" bestFit="1" customWidth="1"/>
    <col min="24" max="16384" width="9.08984375" style="14"/>
  </cols>
  <sheetData>
    <row r="1" spans="2:23" ht="15" thickBot="1" x14ac:dyDescent="0.4">
      <c r="E1" s="19" t="s">
        <v>0</v>
      </c>
      <c r="G1" s="19" t="s">
        <v>1</v>
      </c>
      <c r="H1" s="19" t="s">
        <v>2</v>
      </c>
      <c r="I1" s="19" t="s">
        <v>3</v>
      </c>
      <c r="J1" s="19" t="s">
        <v>4</v>
      </c>
    </row>
    <row r="2" spans="2:23" ht="15" thickBot="1" x14ac:dyDescent="0.4">
      <c r="B2" s="28" t="s">
        <v>5</v>
      </c>
      <c r="E2" s="25">
        <v>1.22</v>
      </c>
      <c r="F2" s="109" t="s">
        <v>6</v>
      </c>
      <c r="G2" s="110">
        <f>H2*2</f>
        <v>0</v>
      </c>
      <c r="H2" s="36"/>
      <c r="I2" s="27">
        <f ca="1">(I9-SUM($H$3:$H$4))*1.2</f>
        <v>-524.73393764988009</v>
      </c>
      <c r="J2" s="27">
        <f ca="1">(J9-SUM($H$3:$H$4))*1.2</f>
        <v>-558.30707913669062</v>
      </c>
      <c r="K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13</v>
      </c>
      <c r="T2" s="14" t="s">
        <v>14</v>
      </c>
      <c r="U2" s="14" t="s">
        <v>15</v>
      </c>
      <c r="V2" s="14" t="s">
        <v>16</v>
      </c>
      <c r="W2" s="14" t="s">
        <v>17</v>
      </c>
    </row>
    <row r="3" spans="2:23" ht="15" thickBot="1" x14ac:dyDescent="0.4">
      <c r="B3" s="84">
        <v>44635</v>
      </c>
      <c r="E3" s="25">
        <v>1016.99</v>
      </c>
      <c r="F3" s="83" t="s">
        <v>10</v>
      </c>
      <c r="G3" s="26">
        <v>156</v>
      </c>
      <c r="H3" s="36">
        <f>G3/2</f>
        <v>78</v>
      </c>
      <c r="J3" s="14">
        <v>566</v>
      </c>
      <c r="N3" s="19" t="s">
        <v>18</v>
      </c>
      <c r="O3" s="32">
        <f>E2</f>
        <v>1.22</v>
      </c>
      <c r="P3" s="32">
        <f>E3</f>
        <v>1016.99</v>
      </c>
      <c r="Q3" s="32">
        <f>E4</f>
        <v>1.08</v>
      </c>
      <c r="R3" s="32">
        <f>E6</f>
        <v>18680.38</v>
      </c>
      <c r="S3" s="32">
        <f>E7</f>
        <v>1300.68</v>
      </c>
      <c r="U3" s="31">
        <f>SUM(Table5[[#This Row],[Savings-4419]:[Savings-7392]])</f>
        <v>1019.2900000000001</v>
      </c>
      <c r="V3" s="31">
        <f>IF((Table5[[#This Row],[Total Savings]]-SUM(10000,Table5[[#This Row],[OM Balance]]))&gt;0,"",Table5[[#This Row],[Total Savings]]-SUM(10000,Table5[[#This Row],[OM Balance]]))</f>
        <v>-27661.09</v>
      </c>
      <c r="W3" s="31">
        <f>IF((Table5[[#This Row],[Total Savings]]-SUM(15000,Table5[[#This Row],[OM Balance]]))&gt;0,"",Table5[[#This Row],[Total Savings]]-SUM(15000,Table5[[#This Row],[OM Balance]]))</f>
        <v>-32661.090000000004</v>
      </c>
    </row>
    <row r="4" spans="2:23" ht="15" thickBot="1" x14ac:dyDescent="0.4">
      <c r="E4" s="25">
        <v>1.08</v>
      </c>
      <c r="F4" s="83" t="s">
        <v>19</v>
      </c>
      <c r="G4" s="111">
        <v>156</v>
      </c>
      <c r="H4" s="24">
        <f>G4/2</f>
        <v>78</v>
      </c>
      <c r="M4" s="32"/>
      <c r="N4" s="51">
        <v>44639</v>
      </c>
      <c r="O4" s="31">
        <f>$O$3+($G$2*0.8)</f>
        <v>1.22</v>
      </c>
      <c r="P4" s="31">
        <f>IF(Table5[[#This Row],[SF Balance]]="",$P$3+$G$3+($G$7/3),$P$3+$G$3)</f>
        <v>1172.99</v>
      </c>
      <c r="Q4" s="31">
        <f>IF(Table5[[#This Row],[SF Balance]]="",$Q$3+$G$4+($G$7/3),$Q$3+$G$4)</f>
        <v>157.08000000000001</v>
      </c>
      <c r="R4" s="31">
        <f>$R$3-$G$6</f>
        <v>18427.38</v>
      </c>
      <c r="S4" s="31">
        <f>IF(OR(S3&lt;0,S3="")=TRUE,"",S3-$G$7)</f>
        <v>1110.3400000000001</v>
      </c>
      <c r="U4" s="31">
        <f>SUM(Table5[[#This Row],[Savings-4419]:[Savings-7392]])</f>
        <v>1331.29</v>
      </c>
      <c r="V4" s="31">
        <f>IF((Table5[[#This Row],[Total Savings]]-SUM(10000,Table5[[#This Row],[OM Balance]]))&gt;0,"",Table5[[#This Row],[Total Savings]]-SUM(10000,Table5[[#This Row],[OM Balance]]))</f>
        <v>-27096.09</v>
      </c>
      <c r="W4" s="31">
        <f>IF((Table5[[#This Row],[Total Savings]]-SUM(15000,Table5[[#This Row],[OM Balance]]))&gt;0,"",Table5[[#This Row],[Total Savings]]-SUM(15000,Table5[[#This Row],[OM Balance]]))</f>
        <v>-32096.090000000004</v>
      </c>
    </row>
    <row r="5" spans="2:23" ht="15" thickBot="1" x14ac:dyDescent="0.4">
      <c r="E5" s="25">
        <v>0.33</v>
      </c>
      <c r="F5" s="112" t="s">
        <v>20</v>
      </c>
      <c r="G5" s="113"/>
      <c r="H5" s="113"/>
      <c r="N5" s="51">
        <f>N4+14</f>
        <v>44653</v>
      </c>
      <c r="O5" s="31">
        <f>O4+$G$2</f>
        <v>1.22</v>
      </c>
      <c r="P5" s="31">
        <f>IF(Table5[[#This Row],[SF Balance]]="",$P4+$G$3+($G$7/3),$P4+$G$3)</f>
        <v>1328.99</v>
      </c>
      <c r="Q5" s="31">
        <f>IF(Table5[[#This Row],[SF Balance]]="",$Q4+$G$4+($G$7/3),$Q4+$G$4)</f>
        <v>313.08000000000004</v>
      </c>
      <c r="R5" s="31">
        <f>IF(OR(S4&lt;0,S4="")=TRUE,R4-($G$6+$G$7),R4-$G$6)</f>
        <v>18174.38</v>
      </c>
      <c r="S5" s="31">
        <f t="shared" ref="S5:S18" si="0">IF(OR(S4&lt;0,S4="")=TRUE,"",S4-$G$7)</f>
        <v>920.00000000000011</v>
      </c>
      <c r="U5" s="31">
        <f>SUM(Table5[[#This Row],[Savings-4419]:[Savings-7392]])</f>
        <v>1643.29</v>
      </c>
      <c r="V5" s="31">
        <f>IF((Table5[[#This Row],[Total Savings]]-SUM(10000,Table5[[#This Row],[OM Balance]]))&gt;0,"",Table5[[#This Row],[Total Savings]]-SUM(10000,Table5[[#This Row],[OM Balance]]))</f>
        <v>-26531.09</v>
      </c>
      <c r="W5" s="31">
        <f>IF((Table5[[#This Row],[Total Savings]]-SUM(15000,Table5[[#This Row],[OM Balance]]))&gt;0,"",Table5[[#This Row],[Total Savings]]-SUM(15000,Table5[[#This Row],[OM Balance]]))</f>
        <v>-31531.090000000004</v>
      </c>
    </row>
    <row r="6" spans="2:23" ht="15" thickBot="1" x14ac:dyDescent="0.4">
      <c r="B6" s="34" t="s">
        <v>21</v>
      </c>
      <c r="C6" s="35">
        <f ca="1">E6-(H6*$G$20)</f>
        <v>41287.73714285715</v>
      </c>
      <c r="E6" s="25">
        <v>18680.38</v>
      </c>
      <c r="F6" s="60" t="s">
        <v>22</v>
      </c>
      <c r="G6" s="114">
        <v>253</v>
      </c>
      <c r="H6" s="33">
        <f>G6/2</f>
        <v>126.5</v>
      </c>
      <c r="I6" s="18">
        <f ca="1">TODAY()+((E6/H6)*7)</f>
        <v>47217.69691699605</v>
      </c>
      <c r="N6" s="51">
        <f t="shared" ref="N6:N45" si="1">N5+14</f>
        <v>44667</v>
      </c>
      <c r="O6" s="31">
        <f t="shared" ref="O6:O45" si="2">O5+$G$2</f>
        <v>1.22</v>
      </c>
      <c r="P6" s="31">
        <f>IF(Table5[[#This Row],[SF Balance]]="",$P5+$G$3+($G$7/3),$P5+$G$3)</f>
        <v>1484.99</v>
      </c>
      <c r="Q6" s="31">
        <f>IF(Table5[[#This Row],[SF Balance]]="",$Q5+$G$4+($G$7/3),$Q5+$G$4)</f>
        <v>469.08000000000004</v>
      </c>
      <c r="R6" s="31">
        <f t="shared" ref="R6:R39" si="3">IF(OR(S5&lt;0,S5="")=TRUE,R5-($G$6+$G$7),R5-$G$6)</f>
        <v>17921.38</v>
      </c>
      <c r="S6" s="31">
        <f t="shared" si="0"/>
        <v>729.66000000000008</v>
      </c>
      <c r="U6" s="31">
        <f>SUM(Table5[[#This Row],[Savings-4419]:[Savings-7392]])</f>
        <v>1955.29</v>
      </c>
      <c r="V6" s="31">
        <f>IF((Table5[[#This Row],[Total Savings]]-SUM(10000,Table5[[#This Row],[OM Balance]]))&gt;0,"",Table5[[#This Row],[Total Savings]]-SUM(10000,Table5[[#This Row],[OM Balance]]))</f>
        <v>-25966.09</v>
      </c>
      <c r="W6" s="31">
        <f>IF((Table5[[#This Row],[Total Savings]]-SUM(15000,Table5[[#This Row],[OM Balance]]))&gt;0,"",Table5[[#This Row],[Total Savings]]-SUM(15000,Table5[[#This Row],[OM Balance]]))</f>
        <v>-30966.090000000004</v>
      </c>
    </row>
    <row r="7" spans="2:23" ht="15" thickBot="1" x14ac:dyDescent="0.4">
      <c r="E7" s="25">
        <v>1300.68</v>
      </c>
      <c r="F7" s="60" t="s">
        <v>23</v>
      </c>
      <c r="G7" s="114">
        <v>190.34</v>
      </c>
      <c r="H7" s="33">
        <f>G7/2</f>
        <v>95.17</v>
      </c>
      <c r="I7" s="18"/>
      <c r="N7" s="51">
        <f t="shared" si="1"/>
        <v>44681</v>
      </c>
      <c r="O7" s="31">
        <f t="shared" si="2"/>
        <v>1.22</v>
      </c>
      <c r="P7" s="31">
        <f>IF(Table5[[#This Row],[SF Balance]]="",$P6+$G$3+($G$7/3),$P6+$G$3)</f>
        <v>1640.99</v>
      </c>
      <c r="Q7" s="31">
        <f>IF(Table5[[#This Row],[SF Balance]]="",$Q6+$G$4+($G$7/3),$Q6+$G$4)</f>
        <v>625.08000000000004</v>
      </c>
      <c r="R7" s="31">
        <f t="shared" si="3"/>
        <v>17668.38</v>
      </c>
      <c r="S7" s="31">
        <f t="shared" si="0"/>
        <v>539.32000000000005</v>
      </c>
      <c r="U7" s="31">
        <f>SUM(Table5[[#This Row],[Savings-4419]:[Savings-7392]])</f>
        <v>2267.29</v>
      </c>
      <c r="V7" s="31">
        <f>IF((Table5[[#This Row],[Total Savings]]-SUM(10000,Table5[[#This Row],[OM Balance]]))&gt;0,"",Table5[[#This Row],[Total Savings]]-SUM(10000,Table5[[#This Row],[OM Balance]]))</f>
        <v>-25401.09</v>
      </c>
      <c r="W7" s="31">
        <f>IF((Table5[[#This Row],[Total Savings]]-SUM(15000,Table5[[#This Row],[OM Balance]]))&gt;0,"",Table5[[#This Row],[Total Savings]]-SUM(15000,Table5[[#This Row],[OM Balance]]))</f>
        <v>-30401.09</v>
      </c>
    </row>
    <row r="8" spans="2:23" ht="15" thickBot="1" x14ac:dyDescent="0.4">
      <c r="N8" s="51">
        <f t="shared" si="1"/>
        <v>44695</v>
      </c>
      <c r="O8" s="31">
        <f t="shared" si="2"/>
        <v>1.22</v>
      </c>
      <c r="P8" s="31">
        <f>IF(Table5[[#This Row],[SF Balance]]="",$P7+$G$3+($G$7/3),$P7+$G$3)</f>
        <v>1796.99</v>
      </c>
      <c r="Q8" s="31">
        <f>IF(Table5[[#This Row],[SF Balance]]="",$Q7+$G$4+($G$7/3),$Q7+$G$4)</f>
        <v>781.08</v>
      </c>
      <c r="R8" s="31">
        <f t="shared" si="3"/>
        <v>17415.38</v>
      </c>
      <c r="S8" s="31">
        <f t="shared" si="0"/>
        <v>348.98</v>
      </c>
      <c r="U8" s="31">
        <f>SUM(Table5[[#This Row],[Savings-4419]:[Savings-7392]])</f>
        <v>2579.29</v>
      </c>
      <c r="V8" s="31">
        <f>IF((Table5[[#This Row],[Total Savings]]-SUM(10000,Table5[[#This Row],[OM Balance]]))&gt;0,"",Table5[[#This Row],[Total Savings]]-SUM(10000,Table5[[#This Row],[OM Balance]]))</f>
        <v>-24836.09</v>
      </c>
      <c r="W8" s="31">
        <f>IF((Table5[[#This Row],[Total Savings]]-SUM(15000,Table5[[#This Row],[OM Balance]]))&gt;0,"",Table5[[#This Row],[Total Savings]]-SUM(15000,Table5[[#This Row],[OM Balance]]))</f>
        <v>-29836.09</v>
      </c>
    </row>
    <row r="9" spans="2:23" ht="15" thickBot="1" x14ac:dyDescent="0.4">
      <c r="B9" s="478" t="s">
        <v>24</v>
      </c>
      <c r="C9" s="478"/>
      <c r="E9" s="23">
        <f>SUM(E2:E4)</f>
        <v>1019.2900000000001</v>
      </c>
      <c r="F9" s="22" t="s">
        <v>25</v>
      </c>
      <c r="G9" s="21">
        <f>SUM(G2:G4)</f>
        <v>312</v>
      </c>
      <c r="H9" s="21">
        <f>SUM(H2:H4)</f>
        <v>156</v>
      </c>
      <c r="I9" s="20">
        <f ca="1">(G13/G20)</f>
        <v>-281.27828137490008</v>
      </c>
      <c r="J9" s="20">
        <f ca="1">(H13/G20)</f>
        <v>-309.25589928057553</v>
      </c>
      <c r="K9" s="14" t="s">
        <v>26</v>
      </c>
      <c r="N9" s="51">
        <f t="shared" si="1"/>
        <v>44709</v>
      </c>
      <c r="O9" s="31">
        <f t="shared" si="2"/>
        <v>1.22</v>
      </c>
      <c r="P9" s="31">
        <f>IF(Table5[[#This Row],[SF Balance]]="",$P8+$G$3+($G$7/3),$P8+$G$3)</f>
        <v>1952.99</v>
      </c>
      <c r="Q9" s="31">
        <f>IF(Table5[[#This Row],[SF Balance]]="",$Q8+$G$4+($G$7/3),$Q8+$G$4)</f>
        <v>937.08</v>
      </c>
      <c r="R9" s="31">
        <f t="shared" si="3"/>
        <v>17162.38</v>
      </c>
      <c r="S9" s="31">
        <f t="shared" si="0"/>
        <v>158.64000000000001</v>
      </c>
      <c r="U9" s="31">
        <f>SUM(Table5[[#This Row],[Savings-4419]:[Savings-7392]])</f>
        <v>2891.29</v>
      </c>
      <c r="V9" s="31">
        <f>IF((Table5[[#This Row],[Total Savings]]-SUM(10000,Table5[[#This Row],[OM Balance]]))&gt;0,"",Table5[[#This Row],[Total Savings]]-SUM(10000,Table5[[#This Row],[OM Balance]]))</f>
        <v>-24271.09</v>
      </c>
      <c r="W9" s="31">
        <f>IF((Table5[[#This Row],[Total Savings]]-SUM(15000,Table5[[#This Row],[OM Balance]]))&gt;0,"",Table5[[#This Row],[Total Savings]]-SUM(15000,Table5[[#This Row],[OM Balance]]))</f>
        <v>-29271.09</v>
      </c>
    </row>
    <row r="10" spans="2:23" ht="15" thickBot="1" x14ac:dyDescent="0.4">
      <c r="B10" s="59" t="s">
        <v>14</v>
      </c>
      <c r="C10" s="14" t="s">
        <v>27</v>
      </c>
      <c r="G10" s="16"/>
      <c r="K10" s="19"/>
      <c r="N10" s="51">
        <f t="shared" si="1"/>
        <v>44723</v>
      </c>
      <c r="O10" s="31">
        <f t="shared" si="2"/>
        <v>1.22</v>
      </c>
      <c r="P10" s="31">
        <f>IF(Table5[[#This Row],[SF Balance]]="",$P9+$G$3+($G$7/3),$P9+$G$3)</f>
        <v>2108.9899999999998</v>
      </c>
      <c r="Q10" s="31">
        <f>IF(Table5[[#This Row],[SF Balance]]="",$Q9+$G$4+($G$7/3),$Q9+$G$4)</f>
        <v>1093.08</v>
      </c>
      <c r="R10" s="31">
        <f t="shared" si="3"/>
        <v>16909.38</v>
      </c>
      <c r="S10" s="31">
        <f t="shared" si="0"/>
        <v>-31.699999999999989</v>
      </c>
      <c r="U10" s="31">
        <f>SUM(Table5[[#This Row],[Savings-4419]:[Savings-7392]])</f>
        <v>3203.2899999999995</v>
      </c>
      <c r="V10" s="31">
        <f>IF((Table5[[#This Row],[Total Savings]]-SUM(10000,Table5[[#This Row],[OM Balance]]))&gt;0,"",Table5[[#This Row],[Total Savings]]-SUM(10000,Table5[[#This Row],[OM Balance]]))</f>
        <v>-23706.09</v>
      </c>
      <c r="W10" s="31">
        <f>IF((Table5[[#This Row],[Total Savings]]-SUM(15000,Table5[[#This Row],[OM Balance]]))&gt;0,"",Table5[[#This Row],[Total Savings]]-SUM(15000,Table5[[#This Row],[OM Balance]]))</f>
        <v>-28706.09</v>
      </c>
    </row>
    <row r="11" spans="2:23" ht="15" thickBot="1" x14ac:dyDescent="0.4">
      <c r="B11" s="59">
        <v>44351</v>
      </c>
      <c r="C11" s="14">
        <v>500</v>
      </c>
      <c r="F11" s="43" t="s">
        <v>28</v>
      </c>
      <c r="G11" s="44">
        <v>10000</v>
      </c>
      <c r="H11" s="44">
        <v>15000</v>
      </c>
      <c r="N11" s="51">
        <f t="shared" si="1"/>
        <v>44737</v>
      </c>
      <c r="O11" s="31">
        <f t="shared" si="2"/>
        <v>1.22</v>
      </c>
      <c r="P11" s="31">
        <f>IF(Table5[[#This Row],[SF Balance]]="",$P10+$G$3+($G$7/3),$P10+$G$3)</f>
        <v>2328.4366666666665</v>
      </c>
      <c r="Q11" s="31">
        <f>IF(Table5[[#This Row],[SF Balance]]="",$Q10+$G$4+($G$7/3),$Q10+$G$4)</f>
        <v>1312.5266666666666</v>
      </c>
      <c r="R11" s="31">
        <f t="shared" si="3"/>
        <v>16466.04</v>
      </c>
      <c r="S11" s="31" t="str">
        <f t="shared" si="0"/>
        <v/>
      </c>
      <c r="U11" s="31">
        <f>SUM(Table5[[#This Row],[Savings-4419]:[Savings-7392]])</f>
        <v>3642.1833333333329</v>
      </c>
      <c r="V11" s="31">
        <f>IF((Table5[[#This Row],[Total Savings]]-SUM(10000,Table5[[#This Row],[OM Balance]]))&gt;0,"",Table5[[#This Row],[Total Savings]]-SUM(10000,Table5[[#This Row],[OM Balance]]))</f>
        <v>-22823.856666666667</v>
      </c>
      <c r="W11" s="31">
        <f>IF((Table5[[#This Row],[Total Savings]]-SUM(15000,Table5[[#This Row],[OM Balance]]))&gt;0,"",Table5[[#This Row],[Total Savings]]-SUM(15000,Table5[[#This Row],[OM Balance]]))</f>
        <v>-27823.856666666667</v>
      </c>
    </row>
    <row r="12" spans="2:23" ht="15" thickBot="1" x14ac:dyDescent="0.4">
      <c r="B12" s="59">
        <v>44375</v>
      </c>
      <c r="C12" s="14">
        <v>420</v>
      </c>
      <c r="F12" s="45" t="s">
        <v>29</v>
      </c>
      <c r="G12" s="46">
        <f ca="1">G11+SUM($C$6:$C$6)</f>
        <v>51287.73714285715</v>
      </c>
      <c r="H12" s="46">
        <f ca="1">H11+SUM($C$6:$C$6)</f>
        <v>56287.73714285715</v>
      </c>
      <c r="N12" s="51">
        <f t="shared" si="1"/>
        <v>44751</v>
      </c>
      <c r="O12" s="31">
        <f t="shared" si="2"/>
        <v>1.22</v>
      </c>
      <c r="P12" s="31">
        <f>IF(Table5[[#This Row],[SF Balance]]="",$P11+$G$3+($G$7/3),$P11+$G$3)</f>
        <v>2547.8833333333332</v>
      </c>
      <c r="Q12" s="31">
        <f>IF(Table5[[#This Row],[SF Balance]]="",$Q11+$G$4+($G$7/3),$Q11+$G$4)</f>
        <v>1531.9733333333334</v>
      </c>
      <c r="R12" s="31">
        <f t="shared" si="3"/>
        <v>16022.7</v>
      </c>
      <c r="S12" s="31" t="str">
        <f t="shared" si="0"/>
        <v/>
      </c>
      <c r="U12" s="31">
        <f>SUM(Table5[[#This Row],[Savings-4419]:[Savings-7392]])</f>
        <v>4081.0766666666664</v>
      </c>
      <c r="V12" s="31">
        <f>IF((Table5[[#This Row],[Total Savings]]-SUM(10000,Table5[[#This Row],[OM Balance]]))&gt;0,"",Table5[[#This Row],[Total Savings]]-SUM(10000,Table5[[#This Row],[OM Balance]]))</f>
        <v>-21941.623333333333</v>
      </c>
      <c r="W12" s="31">
        <f>IF((Table5[[#This Row],[Total Savings]]-SUM(15000,Table5[[#This Row],[OM Balance]]))&gt;0,"",Table5[[#This Row],[Total Savings]]-SUM(15000,Table5[[#This Row],[OM Balance]]))</f>
        <v>-26941.623333333333</v>
      </c>
    </row>
    <row r="13" spans="2:23" ht="15" thickBot="1" x14ac:dyDescent="0.4">
      <c r="B13" s="59">
        <v>44369</v>
      </c>
      <c r="C13" s="14">
        <v>1000</v>
      </c>
      <c r="F13" s="47" t="s">
        <v>30</v>
      </c>
      <c r="G13" s="48">
        <f ca="1">G12-E9</f>
        <v>50268.447142857149</v>
      </c>
      <c r="H13" s="48">
        <f ca="1">H12-E9</f>
        <v>55268.447142857149</v>
      </c>
      <c r="N13" s="51">
        <f t="shared" si="1"/>
        <v>44765</v>
      </c>
      <c r="O13" s="31">
        <f t="shared" si="2"/>
        <v>1.22</v>
      </c>
      <c r="P13" s="31">
        <f>IF(Table5[[#This Row],[SF Balance]]="",$P12+$G$3+($G$7/3),$P12+$G$3)</f>
        <v>2767.33</v>
      </c>
      <c r="Q13" s="31">
        <f>IF(Table5[[#This Row],[SF Balance]]="",$Q12+$G$4+($G$7/3),$Q12+$G$4)</f>
        <v>1751.42</v>
      </c>
      <c r="R13" s="31">
        <f t="shared" si="3"/>
        <v>15579.36</v>
      </c>
      <c r="S13" s="31" t="str">
        <f t="shared" si="0"/>
        <v/>
      </c>
      <c r="U13" s="31">
        <f>SUM(Table5[[#This Row],[Savings-4419]:[Savings-7392]])</f>
        <v>4519.9699999999993</v>
      </c>
      <c r="V13" s="31">
        <f>IF((Table5[[#This Row],[Total Savings]]-SUM(10000,Table5[[#This Row],[OM Balance]]))&gt;0,"",Table5[[#This Row],[Total Savings]]-SUM(10000,Table5[[#This Row],[OM Balance]]))</f>
        <v>-21059.39</v>
      </c>
      <c r="W13" s="31">
        <f>IF((Table5[[#This Row],[Total Savings]]-SUM(15000,Table5[[#This Row],[OM Balance]]))&gt;0,"",Table5[[#This Row],[Total Savings]]-SUM(15000,Table5[[#This Row],[OM Balance]]))</f>
        <v>-26059.39</v>
      </c>
    </row>
    <row r="14" spans="2:23" ht="15" thickBot="1" x14ac:dyDescent="0.4">
      <c r="F14" s="38" t="s">
        <v>31</v>
      </c>
      <c r="G14" s="39">
        <f ca="1">TODAY()+((G13/H9)*7)</f>
        <v>48439.635448717949</v>
      </c>
      <c r="H14" s="50">
        <f>MAX(Table5[Date])</f>
        <v>45213</v>
      </c>
      <c r="I14" s="49"/>
      <c r="N14" s="51">
        <f t="shared" si="1"/>
        <v>44779</v>
      </c>
      <c r="O14" s="31">
        <f t="shared" si="2"/>
        <v>1.22</v>
      </c>
      <c r="P14" s="31">
        <f>IF(Table5[[#This Row],[SF Balance]]="",$P13+$G$3+($G$7/3),$P13+$G$3)</f>
        <v>2986.7766666666666</v>
      </c>
      <c r="Q14" s="31">
        <f>IF(Table5[[#This Row],[SF Balance]]="",$Q13+$G$4+($G$7/3),$Q13+$G$4)</f>
        <v>1970.8666666666668</v>
      </c>
      <c r="R14" s="31">
        <f t="shared" si="3"/>
        <v>15136.02</v>
      </c>
      <c r="S14" s="31" t="str">
        <f t="shared" si="0"/>
        <v/>
      </c>
      <c r="U14" s="31">
        <f>SUM(Table5[[#This Row],[Savings-4419]:[Savings-7392]])</f>
        <v>4958.8633333333328</v>
      </c>
      <c r="V14" s="31">
        <f>IF((Table5[[#This Row],[Total Savings]]-SUM(10000,Table5[[#This Row],[OM Balance]]))&gt;0,"",Table5[[#This Row],[Total Savings]]-SUM(10000,Table5[[#This Row],[OM Balance]]))</f>
        <v>-20177.156666666669</v>
      </c>
      <c r="W14" s="31">
        <f>IF((Table5[[#This Row],[Total Savings]]-SUM(15000,Table5[[#This Row],[OM Balance]]))&gt;0,"",Table5[[#This Row],[Total Savings]]-SUM(15000,Table5[[#This Row],[OM Balance]]))</f>
        <v>-25177.156666666669</v>
      </c>
    </row>
    <row r="15" spans="2:23" ht="15" thickBot="1" x14ac:dyDescent="0.4">
      <c r="C15" s="18"/>
      <c r="F15" s="38" t="s">
        <v>32</v>
      </c>
      <c r="G15" s="37">
        <f ca="1">1-(G13/G12)</f>
        <v>1.9873951489824293E-2</v>
      </c>
      <c r="H15" s="37">
        <f ca="1">1-(H13/H12)</f>
        <v>1.8108562392783023E-2</v>
      </c>
      <c r="N15" s="51">
        <f t="shared" si="1"/>
        <v>44793</v>
      </c>
      <c r="O15" s="31">
        <f t="shared" si="2"/>
        <v>1.22</v>
      </c>
      <c r="P15" s="31">
        <f>IF(Table5[[#This Row],[SF Balance]]="",$P14+$G$3+($G$7/3),$P14+$G$3)</f>
        <v>3206.2233333333334</v>
      </c>
      <c r="Q15" s="31">
        <f>IF(Table5[[#This Row],[SF Balance]]="",$Q14+$G$4+($G$7/3),$Q14+$G$4)</f>
        <v>2190.3133333333335</v>
      </c>
      <c r="R15" s="31">
        <f t="shared" si="3"/>
        <v>14692.68</v>
      </c>
      <c r="S15" s="31" t="str">
        <f t="shared" si="0"/>
        <v/>
      </c>
      <c r="U15" s="31">
        <f>SUM(Table5[[#This Row],[Savings-4419]:[Savings-7392]])</f>
        <v>5397.7566666666662</v>
      </c>
      <c r="V15" s="31">
        <f>IF((Table5[[#This Row],[Total Savings]]-SUM(10000,Table5[[#This Row],[OM Balance]]))&gt;0,"",Table5[[#This Row],[Total Savings]]-SUM(10000,Table5[[#This Row],[OM Balance]]))</f>
        <v>-19294.923333333332</v>
      </c>
      <c r="W15" s="31">
        <f>IF((Table5[[#This Row],[Total Savings]]-SUM(15000,Table5[[#This Row],[OM Balance]]))&gt;0,"",Table5[[#This Row],[Total Savings]]-SUM(15000,Table5[[#This Row],[OM Balance]]))</f>
        <v>-24294.923333333332</v>
      </c>
    </row>
    <row r="16" spans="2:23" x14ac:dyDescent="0.35">
      <c r="G16" s="18">
        <v>44964</v>
      </c>
      <c r="H16" s="18">
        <v>44933</v>
      </c>
      <c r="N16" s="51">
        <f t="shared" si="1"/>
        <v>44807</v>
      </c>
      <c r="O16" s="31">
        <f t="shared" si="2"/>
        <v>1.22</v>
      </c>
      <c r="P16" s="31">
        <f>IF(Table5[[#This Row],[SF Balance]]="",$P15+$G$3+($G$7/3),$P15+$G$3)</f>
        <v>3425.67</v>
      </c>
      <c r="Q16" s="31">
        <f>IF(Table5[[#This Row],[SF Balance]]="",$Q15+$G$4+($G$7/3),$Q15+$G$4)</f>
        <v>2409.7600000000002</v>
      </c>
      <c r="R16" s="31">
        <f t="shared" si="3"/>
        <v>14249.34</v>
      </c>
      <c r="S16" s="31" t="str">
        <f t="shared" si="0"/>
        <v/>
      </c>
      <c r="U16" s="31">
        <f>SUM(Table5[[#This Row],[Savings-4419]:[Savings-7392]])</f>
        <v>5836.65</v>
      </c>
      <c r="V16" s="31">
        <f>IF((Table5[[#This Row],[Total Savings]]-SUM(10000,Table5[[#This Row],[OM Balance]]))&gt;0,"",Table5[[#This Row],[Total Savings]]-SUM(10000,Table5[[#This Row],[OM Balance]]))</f>
        <v>-18412.690000000002</v>
      </c>
      <c r="W16" s="31">
        <f>IF((Table5[[#This Row],[Total Savings]]-SUM(15000,Table5[[#This Row],[OM Balance]]))&gt;0,"",Table5[[#This Row],[Total Savings]]-SUM(15000,Table5[[#This Row],[OM Balance]]))</f>
        <v>-23412.690000000002</v>
      </c>
    </row>
    <row r="17" spans="3:23" ht="15" thickBot="1" x14ac:dyDescent="0.4">
      <c r="E17" s="18"/>
      <c r="N17" s="51">
        <f t="shared" si="1"/>
        <v>44821</v>
      </c>
      <c r="O17" s="31">
        <f t="shared" si="2"/>
        <v>1.22</v>
      </c>
      <c r="P17" s="31">
        <f>IF(Table5[[#This Row],[SF Balance]]="",$P16+$G$3+($G$7/3),$P16+$G$3)</f>
        <v>3645.1166666666668</v>
      </c>
      <c r="Q17" s="31">
        <f>IF(Table5[[#This Row],[SF Balance]]="",$Q16+$G$4+($G$7/3),$Q16+$G$4)</f>
        <v>2629.2066666666669</v>
      </c>
      <c r="R17" s="31">
        <f t="shared" si="3"/>
        <v>13806</v>
      </c>
      <c r="S17" s="31" t="str">
        <f t="shared" si="0"/>
        <v/>
      </c>
      <c r="U17" s="31">
        <f>SUM(Table5[[#This Row],[Savings-4419]:[Savings-7392]])</f>
        <v>6275.5433333333331</v>
      </c>
      <c r="V17" s="31">
        <f>IF((Table5[[#This Row],[Total Savings]]-SUM(10000,Table5[[#This Row],[OM Balance]]))&gt;0,"",Table5[[#This Row],[Total Savings]]-SUM(10000,Table5[[#This Row],[OM Balance]]))</f>
        <v>-17530.456666666665</v>
      </c>
      <c r="W17" s="31">
        <f>IF((Table5[[#This Row],[Total Savings]]-SUM(15000,Table5[[#This Row],[OM Balance]]))&gt;0,"",Table5[[#This Row],[Total Savings]]-SUM(15000,Table5[[#This Row],[OM Balance]]))</f>
        <v>-22530.456666666665</v>
      </c>
    </row>
    <row r="18" spans="3:23" ht="15" thickBot="1" x14ac:dyDescent="0.4">
      <c r="F18" s="14" t="s">
        <v>33</v>
      </c>
      <c r="G18" s="17">
        <v>44933</v>
      </c>
      <c r="N18" s="51">
        <f t="shared" si="1"/>
        <v>44835</v>
      </c>
      <c r="O18" s="31">
        <f t="shared" si="2"/>
        <v>1.22</v>
      </c>
      <c r="P18" s="31">
        <f>IF(Table5[[#This Row],[SF Balance]]="",$P17+$G$3+($G$7/3),$P17+$G$3)</f>
        <v>3864.5633333333335</v>
      </c>
      <c r="Q18" s="31">
        <f>IF(Table5[[#This Row],[SF Balance]]="",$Q17+$G$4+($G$7/3),$Q17+$G$4)</f>
        <v>2848.6533333333336</v>
      </c>
      <c r="R18" s="31">
        <f t="shared" si="3"/>
        <v>13362.66</v>
      </c>
      <c r="S18" s="31" t="str">
        <f t="shared" si="0"/>
        <v/>
      </c>
      <c r="U18" s="31">
        <f>SUM(Table5[[#This Row],[Savings-4419]:[Savings-7392]])</f>
        <v>6714.4366666666665</v>
      </c>
      <c r="V18" s="31">
        <f>IF((Table5[[#This Row],[Total Savings]]-SUM(10000,Table5[[#This Row],[OM Balance]]))&gt;0,"",Table5[[#This Row],[Total Savings]]-SUM(10000,Table5[[#This Row],[OM Balance]]))</f>
        <v>-16648.223333333335</v>
      </c>
      <c r="W18" s="31">
        <f>IF((Table5[[#This Row],[Total Savings]]-SUM(15000,Table5[[#This Row],[OM Balance]]))&gt;0,"",Table5[[#This Row],[Total Savings]]-SUM(15000,Table5[[#This Row],[OM Balance]]))</f>
        <v>-21648.223333333335</v>
      </c>
    </row>
    <row r="19" spans="3:23" x14ac:dyDescent="0.35">
      <c r="F19" s="14" t="s">
        <v>34</v>
      </c>
      <c r="G19" s="16">
        <f ca="1">(G18-TODAY())</f>
        <v>-1251</v>
      </c>
      <c r="N19" s="51">
        <f t="shared" si="1"/>
        <v>44849</v>
      </c>
      <c r="O19" s="31">
        <f t="shared" si="2"/>
        <v>1.22</v>
      </c>
      <c r="P19" s="31">
        <f>IF(Table5[[#This Row],[SF Balance]]="",$P18+$G$3+($G$7/3),$P18+$G$3)</f>
        <v>4084.01</v>
      </c>
      <c r="Q19" s="31">
        <f>IF(Table5[[#This Row],[SF Balance]]="",$Q18+$G$4+($G$7/3),$Q18+$G$4)</f>
        <v>3068.1000000000004</v>
      </c>
      <c r="R19" s="31">
        <f t="shared" si="3"/>
        <v>12919.32</v>
      </c>
      <c r="S19" s="31" t="str">
        <f t="shared" ref="S19:S22" si="4">IF(OR(S18&lt;0,S18="")=TRUE,"",S18-141)</f>
        <v/>
      </c>
      <c r="U19" s="31">
        <f>SUM(Table5[[#This Row],[Savings-4419]:[Savings-7392]])</f>
        <v>7153.33</v>
      </c>
      <c r="V19" s="31">
        <f>IF((Table5[[#This Row],[Total Savings]]-SUM(10000,Table5[[#This Row],[OM Balance]]))&gt;0,"",Table5[[#This Row],[Total Savings]]-SUM(10000,Table5[[#This Row],[OM Balance]]))</f>
        <v>-15765.99</v>
      </c>
      <c r="W19" s="31">
        <f>IF((Table5[[#This Row],[Total Savings]]-SUM(15000,Table5[[#This Row],[OM Balance]]))&gt;0,"",Table5[[#This Row],[Total Savings]]-SUM(15000,Table5[[#This Row],[OM Balance]]))</f>
        <v>-20765.989999999998</v>
      </c>
    </row>
    <row r="20" spans="3:23" x14ac:dyDescent="0.35">
      <c r="C20" s="31"/>
      <c r="F20" s="14" t="s">
        <v>35</v>
      </c>
      <c r="G20" s="15">
        <f ca="1">(G19/7)</f>
        <v>-178.71428571428572</v>
      </c>
      <c r="N20" s="51">
        <f t="shared" si="1"/>
        <v>44863</v>
      </c>
      <c r="O20" s="31">
        <f t="shared" si="2"/>
        <v>1.22</v>
      </c>
      <c r="P20" s="31">
        <f>IF(Table5[[#This Row],[SF Balance]]="",$P19+$G$3+($G$7/3),$P19+$G$3)</f>
        <v>4303.4566666666669</v>
      </c>
      <c r="Q20" s="31">
        <f>IF(Table5[[#This Row],[SF Balance]]="",$Q19+$G$4+($G$7/3),$Q19+$G$4)</f>
        <v>3287.5466666666671</v>
      </c>
      <c r="R20" s="31">
        <f t="shared" si="3"/>
        <v>12475.98</v>
      </c>
      <c r="S20" s="31" t="str">
        <f t="shared" si="4"/>
        <v/>
      </c>
      <c r="U20" s="31">
        <f>SUM(Table5[[#This Row],[Savings-4419]:[Savings-7392]])</f>
        <v>7592.2233333333343</v>
      </c>
      <c r="V20" s="31">
        <f>IF((Table5[[#This Row],[Total Savings]]-SUM(10000,Table5[[#This Row],[OM Balance]]))&gt;0,"",Table5[[#This Row],[Total Savings]]-SUM(10000,Table5[[#This Row],[OM Balance]]))</f>
        <v>-14883.756666666664</v>
      </c>
      <c r="W20" s="31">
        <f>IF((Table5[[#This Row],[Total Savings]]-SUM(15000,Table5[[#This Row],[OM Balance]]))&gt;0,"",Table5[[#This Row],[Total Savings]]-SUM(15000,Table5[[#This Row],[OM Balance]]))</f>
        <v>-19883.756666666664</v>
      </c>
    </row>
    <row r="21" spans="3:23" x14ac:dyDescent="0.35">
      <c r="C21" s="31"/>
      <c r="G21" s="15"/>
      <c r="N21" s="51">
        <f t="shared" si="1"/>
        <v>44877</v>
      </c>
      <c r="O21" s="31">
        <f t="shared" si="2"/>
        <v>1.22</v>
      </c>
      <c r="P21" s="31">
        <f>IF(Table5[[#This Row],[SF Balance]]="",$P20+$G$3+($G$7/3),$P20+$G$3)</f>
        <v>4522.9033333333336</v>
      </c>
      <c r="Q21" s="31">
        <f>IF(Table5[[#This Row],[SF Balance]]="",$Q20+$G$4+($G$7/3),$Q20+$G$4)</f>
        <v>3506.9933333333338</v>
      </c>
      <c r="R21" s="31">
        <f t="shared" si="3"/>
        <v>12032.64</v>
      </c>
      <c r="S21" s="31" t="str">
        <f t="shared" si="4"/>
        <v/>
      </c>
      <c r="U21" s="31">
        <f>SUM(Table5[[#This Row],[Savings-4419]:[Savings-7392]])</f>
        <v>8031.1166666666677</v>
      </c>
      <c r="V21" s="31">
        <f>IF((Table5[[#This Row],[Total Savings]]-SUM(10000,Table5[[#This Row],[OM Balance]]))&gt;0,"",Table5[[#This Row],[Total Savings]]-SUM(10000,Table5[[#This Row],[OM Balance]]))</f>
        <v>-14001.523333333331</v>
      </c>
      <c r="W21" s="31">
        <f>IF((Table5[[#This Row],[Total Savings]]-SUM(15000,Table5[[#This Row],[OM Balance]]))&gt;0,"",Table5[[#This Row],[Total Savings]]-SUM(15000,Table5[[#This Row],[OM Balance]]))</f>
        <v>-19001.523333333331</v>
      </c>
    </row>
    <row r="22" spans="3:23" ht="15" thickBot="1" x14ac:dyDescent="0.4">
      <c r="C22" s="31"/>
      <c r="H22" s="19" t="s">
        <v>36</v>
      </c>
      <c r="I22" s="19" t="s">
        <v>37</v>
      </c>
      <c r="N22" s="51">
        <f t="shared" si="1"/>
        <v>44891</v>
      </c>
      <c r="O22" s="31">
        <f t="shared" si="2"/>
        <v>1.22</v>
      </c>
      <c r="P22" s="31">
        <f>IF(Table5[[#This Row],[SF Balance]]="",$P21+$G$3+($G$7/3),$P21+$G$3)</f>
        <v>4742.3500000000004</v>
      </c>
      <c r="Q22" s="31">
        <f>IF(Table5[[#This Row],[SF Balance]]="",$Q21+$G$4+($G$7/3),$Q21+$G$4)</f>
        <v>3726.4400000000005</v>
      </c>
      <c r="R22" s="31">
        <f t="shared" si="3"/>
        <v>11589.3</v>
      </c>
      <c r="S22" s="31" t="str">
        <f t="shared" si="4"/>
        <v/>
      </c>
      <c r="U22" s="31">
        <f>SUM(Table5[[#This Row],[Savings-4419]:[Savings-7392]])</f>
        <v>8470.010000000002</v>
      </c>
      <c r="V22" s="31">
        <f>IF((Table5[[#This Row],[Total Savings]]-SUM(10000,Table5[[#This Row],[OM Balance]]))&gt;0,"",Table5[[#This Row],[Total Savings]]-SUM(10000,Table5[[#This Row],[OM Balance]]))</f>
        <v>-13119.289999999997</v>
      </c>
      <c r="W22" s="31">
        <f>IF((Table5[[#This Row],[Total Savings]]-SUM(15000,Table5[[#This Row],[OM Balance]]))&gt;0,"",Table5[[#This Row],[Total Savings]]-SUM(15000,Table5[[#This Row],[OM Balance]]))</f>
        <v>-18119.289999999997</v>
      </c>
    </row>
    <row r="23" spans="3:23" ht="15" thickBot="1" x14ac:dyDescent="0.4">
      <c r="F23" s="115" t="s">
        <v>38</v>
      </c>
      <c r="G23" s="116">
        <f>(E2+H23)*0.2</f>
        <v>0.31000000000000005</v>
      </c>
      <c r="H23" s="25">
        <f>E5</f>
        <v>0.33</v>
      </c>
      <c r="I23" s="31">
        <f>G23-H23</f>
        <v>-1.9999999999999962E-2</v>
      </c>
      <c r="N23" s="51">
        <f t="shared" si="1"/>
        <v>44905</v>
      </c>
      <c r="O23" s="31">
        <f t="shared" si="2"/>
        <v>1.22</v>
      </c>
      <c r="P23" s="31">
        <f>IF(Table5[[#This Row],[SF Balance]]="",$P22+$G$3+($G$7/3),$P22+$G$3)</f>
        <v>4961.7966666666671</v>
      </c>
      <c r="Q23" s="31">
        <f>IF(Table5[[#This Row],[SF Balance]]="",$Q22+$G$4+($G$7/3),$Q22+$G$4)</f>
        <v>3945.8866666666672</v>
      </c>
      <c r="R23" s="31">
        <f t="shared" si="3"/>
        <v>11145.96</v>
      </c>
      <c r="S23" s="31" t="str">
        <f>IF(OR(S22&lt;0,S22="")=TRUE,"",S22-141)</f>
        <v/>
      </c>
      <c r="U23" s="31">
        <f>SUM(Table5[[#This Row],[Savings-4419]:[Savings-7392]])</f>
        <v>8908.9033333333355</v>
      </c>
      <c r="V23" s="31">
        <f>IF((Table5[[#This Row],[Total Savings]]-SUM(10000,Table5[[#This Row],[OM Balance]]))&gt;0,"",Table5[[#This Row],[Total Savings]]-SUM(10000,Table5[[#This Row],[OM Balance]]))</f>
        <v>-12237.056666666664</v>
      </c>
      <c r="W23" s="31">
        <f>IF((Table5[[#This Row],[Total Savings]]-SUM(15000,Table5[[#This Row],[OM Balance]]))&gt;0,"",Table5[[#This Row],[Total Savings]]-SUM(15000,Table5[[#This Row],[OM Balance]]))</f>
        <v>-17237.056666666664</v>
      </c>
    </row>
    <row r="24" spans="3:23" x14ac:dyDescent="0.35">
      <c r="N24" s="51">
        <f t="shared" si="1"/>
        <v>44919</v>
      </c>
      <c r="O24" s="31">
        <f t="shared" si="2"/>
        <v>1.22</v>
      </c>
      <c r="P24" s="31">
        <f>IF(Table5[[#This Row],[SF Balance]]="",$P23+$G$3+($G$7/3),$P23+$G$3)</f>
        <v>5181.2433333333338</v>
      </c>
      <c r="Q24" s="31">
        <f>IF(Table5[[#This Row],[SF Balance]]="",$Q23+$G$4+($G$7/3),$Q23+$G$4)</f>
        <v>4165.3333333333339</v>
      </c>
      <c r="R24" s="31">
        <f t="shared" si="3"/>
        <v>10702.619999999999</v>
      </c>
      <c r="S24" s="31" t="str">
        <f t="shared" ref="S24:S45" si="5">IF(OR(S23&lt;0,S23="")=TRUE,"",S23-162)</f>
        <v/>
      </c>
      <c r="U24" s="31">
        <f>SUM(Table5[[#This Row],[Savings-4419]:[Savings-7392]])</f>
        <v>9347.7966666666689</v>
      </c>
      <c r="V24" s="31">
        <f>IF((Table5[[#This Row],[Total Savings]]-SUM(10000,Table5[[#This Row],[OM Balance]]))&gt;0,"",Table5[[#This Row],[Total Savings]]-SUM(10000,Table5[[#This Row],[OM Balance]]))</f>
        <v>-11354.82333333333</v>
      </c>
      <c r="W24" s="31">
        <f>IF((Table5[[#This Row],[Total Savings]]-SUM(15000,Table5[[#This Row],[OM Balance]]))&gt;0,"",Table5[[#This Row],[Total Savings]]-SUM(15000,Table5[[#This Row],[OM Balance]]))</f>
        <v>-16354.82333333333</v>
      </c>
    </row>
    <row r="25" spans="3:23" x14ac:dyDescent="0.35">
      <c r="N25" s="51">
        <f t="shared" si="1"/>
        <v>44933</v>
      </c>
      <c r="O25" s="31">
        <f t="shared" si="2"/>
        <v>1.22</v>
      </c>
      <c r="P25" s="31">
        <f>IF(Table5[[#This Row],[SF Balance]]="",$P24+$G$3+($G$7/3),$P24+$G$3)</f>
        <v>5400.6900000000005</v>
      </c>
      <c r="Q25" s="31">
        <f>IF(Table5[[#This Row],[SF Balance]]="",$Q24+$G$4+($G$7/3),$Q24+$G$4)</f>
        <v>4384.7800000000007</v>
      </c>
      <c r="R25" s="31">
        <f t="shared" si="3"/>
        <v>10259.279999999999</v>
      </c>
      <c r="S25" s="31" t="str">
        <f t="shared" si="5"/>
        <v/>
      </c>
      <c r="U25" s="31">
        <f>SUM(Table5[[#This Row],[Savings-4419]:[Savings-7392]])</f>
        <v>9786.6900000000023</v>
      </c>
      <c r="V25" s="31">
        <f>IF((Table5[[#This Row],[Total Savings]]-SUM(10000,Table5[[#This Row],[OM Balance]]))&gt;0,"",Table5[[#This Row],[Total Savings]]-SUM(10000,Table5[[#This Row],[OM Balance]]))</f>
        <v>-10472.589999999997</v>
      </c>
      <c r="W25" s="31">
        <f>IF((Table5[[#This Row],[Total Savings]]-SUM(15000,Table5[[#This Row],[OM Balance]]))&gt;0,"",Table5[[#This Row],[Total Savings]]-SUM(15000,Table5[[#This Row],[OM Balance]]))</f>
        <v>-15472.589999999997</v>
      </c>
    </row>
    <row r="26" spans="3:23" x14ac:dyDescent="0.35">
      <c r="N26" s="51">
        <f t="shared" si="1"/>
        <v>44947</v>
      </c>
      <c r="O26" s="31">
        <f t="shared" si="2"/>
        <v>1.22</v>
      </c>
      <c r="P26" s="31">
        <f>IF(Table5[[#This Row],[SF Balance]]="",$P25+$G$3+($G$7/3),$P25+$G$3)</f>
        <v>5620.1366666666672</v>
      </c>
      <c r="Q26" s="31">
        <f>IF(Table5[[#This Row],[SF Balance]]="",$Q25+$G$4+($G$7/3),$Q25+$G$4)</f>
        <v>4604.2266666666674</v>
      </c>
      <c r="R26" s="31">
        <f t="shared" si="3"/>
        <v>9815.9399999999987</v>
      </c>
      <c r="S26" s="31" t="str">
        <f t="shared" si="5"/>
        <v/>
      </c>
      <c r="U26" s="31">
        <f>SUM(Table5[[#This Row],[Savings-4419]:[Savings-7392]])</f>
        <v>10225.583333333336</v>
      </c>
      <c r="V26" s="31">
        <f>IF((Table5[[#This Row],[Total Savings]]-SUM(10000,Table5[[#This Row],[OM Balance]]))&gt;0,"",Table5[[#This Row],[Total Savings]]-SUM(10000,Table5[[#This Row],[OM Balance]]))</f>
        <v>-9590.3566666666629</v>
      </c>
      <c r="W26" s="31">
        <f>IF((Table5[[#This Row],[Total Savings]]-SUM(15000,Table5[[#This Row],[OM Balance]]))&gt;0,"",Table5[[#This Row],[Total Savings]]-SUM(15000,Table5[[#This Row],[OM Balance]]))</f>
        <v>-14590.356666666663</v>
      </c>
    </row>
    <row r="27" spans="3:23" x14ac:dyDescent="0.35">
      <c r="N27" s="51">
        <f t="shared" si="1"/>
        <v>44961</v>
      </c>
      <c r="O27" s="31">
        <f t="shared" si="2"/>
        <v>1.22</v>
      </c>
      <c r="P27" s="31">
        <f>IF(Table5[[#This Row],[SF Balance]]="",$P26+$G$3+($G$7/3),$P26+$G$3)</f>
        <v>5839.5833333333339</v>
      </c>
      <c r="Q27" s="31">
        <f>IF(Table5[[#This Row],[SF Balance]]="",$Q26+$G$4+($G$7/3),$Q26+$G$4)</f>
        <v>4823.6733333333341</v>
      </c>
      <c r="R27" s="31">
        <f t="shared" si="3"/>
        <v>9372.5999999999985</v>
      </c>
      <c r="S27" s="31" t="str">
        <f t="shared" si="5"/>
        <v/>
      </c>
      <c r="U27" s="31">
        <f>SUM(Table5[[#This Row],[Savings-4419]:[Savings-7392]])</f>
        <v>10664.476666666669</v>
      </c>
      <c r="V27" s="31">
        <f>IF((Table5[[#This Row],[Total Savings]]-SUM(10000,Table5[[#This Row],[OM Balance]]))&gt;0,"",Table5[[#This Row],[Total Savings]]-SUM(10000,Table5[[#This Row],[OM Balance]]))</f>
        <v>-8708.1233333333294</v>
      </c>
      <c r="W27" s="31">
        <f>IF((Table5[[#This Row],[Total Savings]]-SUM(15000,Table5[[#This Row],[OM Balance]]))&gt;0,"",Table5[[#This Row],[Total Savings]]-SUM(15000,Table5[[#This Row],[OM Balance]]))</f>
        <v>-13708.123333333329</v>
      </c>
    </row>
    <row r="28" spans="3:23" x14ac:dyDescent="0.35">
      <c r="N28" s="51">
        <f t="shared" si="1"/>
        <v>44975</v>
      </c>
      <c r="O28" s="31">
        <f t="shared" si="2"/>
        <v>1.22</v>
      </c>
      <c r="P28" s="31">
        <f>IF(Table5[[#This Row],[SF Balance]]="",$P27+$G$3+($G$7/3),$P27+$G$3)</f>
        <v>6059.0300000000007</v>
      </c>
      <c r="Q28" s="31">
        <f>IF(Table5[[#This Row],[SF Balance]]="",$Q27+$G$4+($G$7/3),$Q27+$G$4)</f>
        <v>5043.1200000000008</v>
      </c>
      <c r="R28" s="31">
        <f t="shared" si="3"/>
        <v>8929.2599999999984</v>
      </c>
      <c r="S28" s="31" t="str">
        <f t="shared" si="5"/>
        <v/>
      </c>
      <c r="U28" s="31">
        <f>SUM(Table5[[#This Row],[Savings-4419]:[Savings-7392]])</f>
        <v>11103.370000000003</v>
      </c>
      <c r="V28" s="31">
        <f>IF((Table5[[#This Row],[Total Savings]]-SUM(10000,Table5[[#This Row],[OM Balance]]))&gt;0,"",Table5[[#This Row],[Total Savings]]-SUM(10000,Table5[[#This Row],[OM Balance]]))</f>
        <v>-7825.8899999999958</v>
      </c>
      <c r="W28" s="31">
        <f>IF((Table5[[#This Row],[Total Savings]]-SUM(15000,Table5[[#This Row],[OM Balance]]))&gt;0,"",Table5[[#This Row],[Total Savings]]-SUM(15000,Table5[[#This Row],[OM Balance]]))</f>
        <v>-12825.889999999996</v>
      </c>
    </row>
    <row r="29" spans="3:23" x14ac:dyDescent="0.35">
      <c r="N29" s="51">
        <f t="shared" si="1"/>
        <v>44989</v>
      </c>
      <c r="O29" s="31">
        <f t="shared" si="2"/>
        <v>1.22</v>
      </c>
      <c r="P29" s="31">
        <f>IF(Table5[[#This Row],[SF Balance]]="",$P28+$G$3+($G$7/3),$P28+$G$3)</f>
        <v>6278.4766666666674</v>
      </c>
      <c r="Q29" s="31">
        <f>IF(Table5[[#This Row],[SF Balance]]="",$Q28+$G$4+($G$7/3),$Q28+$G$4)</f>
        <v>5262.5666666666675</v>
      </c>
      <c r="R29" s="31">
        <f t="shared" si="3"/>
        <v>8485.9199999999983</v>
      </c>
      <c r="S29" s="31" t="str">
        <f t="shared" si="5"/>
        <v/>
      </c>
      <c r="U29" s="31">
        <f>SUM(Table5[[#This Row],[Savings-4419]:[Savings-7392]])</f>
        <v>11542.263333333336</v>
      </c>
      <c r="V29" s="31">
        <f>IF((Table5[[#This Row],[Total Savings]]-SUM(10000,Table5[[#This Row],[OM Balance]]))&gt;0,"",Table5[[#This Row],[Total Savings]]-SUM(10000,Table5[[#This Row],[OM Balance]]))</f>
        <v>-6943.6566666666622</v>
      </c>
      <c r="W29" s="31">
        <f>IF((Table5[[#This Row],[Total Savings]]-SUM(15000,Table5[[#This Row],[OM Balance]]))&gt;0,"",Table5[[#This Row],[Total Savings]]-SUM(15000,Table5[[#This Row],[OM Balance]]))</f>
        <v>-11943.656666666662</v>
      </c>
    </row>
    <row r="30" spans="3:23" x14ac:dyDescent="0.35">
      <c r="N30" s="51">
        <f t="shared" si="1"/>
        <v>45003</v>
      </c>
      <c r="O30" s="31">
        <f t="shared" si="2"/>
        <v>1.22</v>
      </c>
      <c r="P30" s="31">
        <f>IF(Table5[[#This Row],[SF Balance]]="",$P29+$G$3+($G$7/3),$P29+$G$3)</f>
        <v>6497.9233333333341</v>
      </c>
      <c r="Q30" s="31">
        <f>IF(Table5[[#This Row],[SF Balance]]="",$Q29+$G$4+($G$7/3),$Q29+$G$4)</f>
        <v>5482.0133333333342</v>
      </c>
      <c r="R30" s="31">
        <f t="shared" si="3"/>
        <v>8042.5799999999981</v>
      </c>
      <c r="S30" s="31" t="str">
        <f t="shared" si="5"/>
        <v/>
      </c>
      <c r="U30" s="31">
        <f>SUM(Table5[[#This Row],[Savings-4419]:[Savings-7392]])</f>
        <v>11981.156666666669</v>
      </c>
      <c r="V30" s="31">
        <f>IF((Table5[[#This Row],[Total Savings]]-SUM(10000,Table5[[#This Row],[OM Balance]]))&gt;0,"",Table5[[#This Row],[Total Savings]]-SUM(10000,Table5[[#This Row],[OM Balance]]))</f>
        <v>-6061.4233333333286</v>
      </c>
      <c r="W30" s="31">
        <f>IF((Table5[[#This Row],[Total Savings]]-SUM(15000,Table5[[#This Row],[OM Balance]]))&gt;0,"",Table5[[#This Row],[Total Savings]]-SUM(15000,Table5[[#This Row],[OM Balance]]))</f>
        <v>-11061.423333333329</v>
      </c>
    </row>
    <row r="31" spans="3:23" x14ac:dyDescent="0.35">
      <c r="N31" s="51">
        <f t="shared" si="1"/>
        <v>45017</v>
      </c>
      <c r="O31" s="31">
        <f t="shared" si="2"/>
        <v>1.22</v>
      </c>
      <c r="P31" s="31">
        <f>IF(Table5[[#This Row],[SF Balance]]="",$P30+$G$3+($G$7/3),$P30+$G$3)</f>
        <v>6717.3700000000008</v>
      </c>
      <c r="Q31" s="31">
        <f>IF(Table5[[#This Row],[SF Balance]]="",$Q30+$G$4+($G$7/3),$Q30+$G$4)</f>
        <v>5701.4600000000009</v>
      </c>
      <c r="R31" s="31">
        <f t="shared" si="3"/>
        <v>7599.239999999998</v>
      </c>
      <c r="S31" s="31" t="str">
        <f t="shared" si="5"/>
        <v/>
      </c>
      <c r="U31" s="31">
        <f>SUM(Table5[[#This Row],[Savings-4419]:[Savings-7392]])</f>
        <v>12420.050000000003</v>
      </c>
      <c r="V31" s="31">
        <f>IF((Table5[[#This Row],[Total Savings]]-SUM(10000,Table5[[#This Row],[OM Balance]]))&gt;0,"",Table5[[#This Row],[Total Savings]]-SUM(10000,Table5[[#This Row],[OM Balance]]))</f>
        <v>-5179.1899999999951</v>
      </c>
      <c r="W31" s="31">
        <f>IF((Table5[[#This Row],[Total Savings]]-SUM(15000,Table5[[#This Row],[OM Balance]]))&gt;0,"",Table5[[#This Row],[Total Savings]]-SUM(15000,Table5[[#This Row],[OM Balance]]))</f>
        <v>-10179.189999999995</v>
      </c>
    </row>
    <row r="32" spans="3:23" x14ac:dyDescent="0.35">
      <c r="N32" s="51">
        <f t="shared" si="1"/>
        <v>45031</v>
      </c>
      <c r="O32" s="31">
        <f t="shared" si="2"/>
        <v>1.22</v>
      </c>
      <c r="P32" s="31">
        <f>IF(Table5[[#This Row],[SF Balance]]="",$P31+$G$3+($G$7/3),$P31+$G$3)</f>
        <v>6936.8166666666675</v>
      </c>
      <c r="Q32" s="31">
        <f>IF(Table5[[#This Row],[SF Balance]]="",$Q31+$G$4+($G$7/3),$Q31+$G$4)</f>
        <v>5920.9066666666677</v>
      </c>
      <c r="R32" s="31">
        <f t="shared" si="3"/>
        <v>7155.8999999999978</v>
      </c>
      <c r="S32" s="31" t="str">
        <f t="shared" si="5"/>
        <v/>
      </c>
      <c r="U32" s="31">
        <f>SUM(Table5[[#This Row],[Savings-4419]:[Savings-7392]])</f>
        <v>12858.943333333336</v>
      </c>
      <c r="V32" s="31">
        <f>IF((Table5[[#This Row],[Total Savings]]-SUM(10000,Table5[[#This Row],[OM Balance]]))&gt;0,"",Table5[[#This Row],[Total Savings]]-SUM(10000,Table5[[#This Row],[OM Balance]]))</f>
        <v>-4296.9566666666615</v>
      </c>
      <c r="W32" s="31">
        <f>IF((Table5[[#This Row],[Total Savings]]-SUM(15000,Table5[[#This Row],[OM Balance]]))&gt;0,"",Table5[[#This Row],[Total Savings]]-SUM(15000,Table5[[#This Row],[OM Balance]]))</f>
        <v>-9296.9566666666615</v>
      </c>
    </row>
    <row r="33" spans="14:23" x14ac:dyDescent="0.35">
      <c r="N33" s="51">
        <f t="shared" si="1"/>
        <v>45045</v>
      </c>
      <c r="O33" s="31">
        <f t="shared" si="2"/>
        <v>1.22</v>
      </c>
      <c r="P33" s="31">
        <f>IF(Table5[[#This Row],[SF Balance]]="",$P32+$G$3+($G$7/3),$P32+$G$3)</f>
        <v>7156.2633333333342</v>
      </c>
      <c r="Q33" s="31">
        <f>IF(Table5[[#This Row],[SF Balance]]="",$Q32+$G$4+($G$7/3),$Q32+$G$4)</f>
        <v>6140.3533333333344</v>
      </c>
      <c r="R33" s="31">
        <f t="shared" si="3"/>
        <v>6712.5599999999977</v>
      </c>
      <c r="S33" s="31" t="str">
        <f t="shared" si="5"/>
        <v/>
      </c>
      <c r="U33" s="31">
        <f>SUM(Table5[[#This Row],[Savings-4419]:[Savings-7392]])</f>
        <v>13297.83666666667</v>
      </c>
      <c r="V33" s="31">
        <f>IF((Table5[[#This Row],[Total Savings]]-SUM(10000,Table5[[#This Row],[OM Balance]]))&gt;0,"",Table5[[#This Row],[Total Savings]]-SUM(10000,Table5[[#This Row],[OM Balance]]))</f>
        <v>-3414.7233333333279</v>
      </c>
      <c r="W33" s="31">
        <f>IF((Table5[[#This Row],[Total Savings]]-SUM(15000,Table5[[#This Row],[OM Balance]]))&gt;0,"",Table5[[#This Row],[Total Savings]]-SUM(15000,Table5[[#This Row],[OM Balance]]))</f>
        <v>-8414.7233333333279</v>
      </c>
    </row>
    <row r="34" spans="14:23" x14ac:dyDescent="0.35">
      <c r="N34" s="51">
        <f t="shared" si="1"/>
        <v>45059</v>
      </c>
      <c r="O34" s="31">
        <f t="shared" si="2"/>
        <v>1.22</v>
      </c>
      <c r="P34" s="31">
        <f>IF(Table5[[#This Row],[SF Balance]]="",$P33+$G$3+($G$7/3),$P33+$G$3)</f>
        <v>7375.7100000000009</v>
      </c>
      <c r="Q34" s="31">
        <f>IF(Table5[[#This Row],[SF Balance]]="",$Q33+$G$4+($G$7/3),$Q33+$G$4)</f>
        <v>6359.8000000000011</v>
      </c>
      <c r="R34" s="31">
        <f t="shared" si="3"/>
        <v>6269.2199999999975</v>
      </c>
      <c r="S34" s="31" t="str">
        <f t="shared" si="5"/>
        <v/>
      </c>
      <c r="U34" s="31">
        <f>SUM(Table5[[#This Row],[Savings-4419]:[Savings-7392]])</f>
        <v>13736.730000000003</v>
      </c>
      <c r="V34" s="31">
        <f>IF((Table5[[#This Row],[Total Savings]]-SUM(10000,Table5[[#This Row],[OM Balance]]))&gt;0,"",Table5[[#This Row],[Total Savings]]-SUM(10000,Table5[[#This Row],[OM Balance]]))</f>
        <v>-2532.4899999999943</v>
      </c>
      <c r="W34" s="31">
        <f>IF((Table5[[#This Row],[Total Savings]]-SUM(15000,Table5[[#This Row],[OM Balance]]))&gt;0,"",Table5[[#This Row],[Total Savings]]-SUM(15000,Table5[[#This Row],[OM Balance]]))</f>
        <v>-7532.4899999999943</v>
      </c>
    </row>
    <row r="35" spans="14:23" x14ac:dyDescent="0.35">
      <c r="N35" s="51">
        <f t="shared" si="1"/>
        <v>45073</v>
      </c>
      <c r="O35" s="31">
        <f t="shared" si="2"/>
        <v>1.22</v>
      </c>
      <c r="P35" s="31">
        <f>IF(Table5[[#This Row],[SF Balance]]="",$P34+$G$3+($G$7/3),$P34+$G$3)</f>
        <v>7595.1566666666677</v>
      </c>
      <c r="Q35" s="31">
        <f>IF(Table5[[#This Row],[SF Balance]]="",$Q34+$G$4+($G$7/3),$Q34+$G$4)</f>
        <v>6579.2466666666678</v>
      </c>
      <c r="R35" s="31">
        <f t="shared" si="3"/>
        <v>5825.8799999999974</v>
      </c>
      <c r="S35" s="31" t="str">
        <f t="shared" si="5"/>
        <v/>
      </c>
      <c r="U35" s="31">
        <f>SUM(Table5[[#This Row],[Savings-4419]:[Savings-7392]])</f>
        <v>14175.623333333337</v>
      </c>
      <c r="V35" s="31">
        <f>IF((Table5[[#This Row],[Total Savings]]-SUM(10000,Table5[[#This Row],[OM Balance]]))&gt;0,"",Table5[[#This Row],[Total Savings]]-SUM(10000,Table5[[#This Row],[OM Balance]]))</f>
        <v>-1650.2566666666607</v>
      </c>
      <c r="W35" s="31">
        <f>IF((Table5[[#This Row],[Total Savings]]-SUM(15000,Table5[[#This Row],[OM Balance]]))&gt;0,"",Table5[[#This Row],[Total Savings]]-SUM(15000,Table5[[#This Row],[OM Balance]]))</f>
        <v>-6650.2566666666607</v>
      </c>
    </row>
    <row r="36" spans="14:23" x14ac:dyDescent="0.35">
      <c r="N36" s="51">
        <f t="shared" si="1"/>
        <v>45087</v>
      </c>
      <c r="O36" s="31">
        <f t="shared" si="2"/>
        <v>1.22</v>
      </c>
      <c r="P36" s="31">
        <f>IF(Table5[[#This Row],[SF Balance]]="",$P35+$G$3+($G$7/3),$P35+$G$3)</f>
        <v>7814.6033333333344</v>
      </c>
      <c r="Q36" s="31">
        <f>IF(Table5[[#This Row],[SF Balance]]="",$Q35+$G$4+($G$7/3),$Q35+$G$4)</f>
        <v>6798.6933333333345</v>
      </c>
      <c r="R36" s="31">
        <f t="shared" si="3"/>
        <v>5382.5399999999972</v>
      </c>
      <c r="S36" s="31" t="str">
        <f t="shared" si="5"/>
        <v/>
      </c>
      <c r="U36" s="31">
        <f>SUM(Table5[[#This Row],[Savings-4419]:[Savings-7392]])</f>
        <v>14614.51666666667</v>
      </c>
      <c r="V36" s="31">
        <f>IF((Table5[[#This Row],[Total Savings]]-SUM(10000,Table5[[#This Row],[OM Balance]]))&gt;0,"",Table5[[#This Row],[Total Savings]]-SUM(10000,Table5[[#This Row],[OM Balance]]))</f>
        <v>-768.02333333332717</v>
      </c>
      <c r="W36" s="31">
        <f>IF((Table5[[#This Row],[Total Savings]]-SUM(15000,Table5[[#This Row],[OM Balance]]))&gt;0,"",Table5[[#This Row],[Total Savings]]-SUM(15000,Table5[[#This Row],[OM Balance]]))</f>
        <v>-5768.0233333333272</v>
      </c>
    </row>
    <row r="37" spans="14:23" x14ac:dyDescent="0.35">
      <c r="N37" s="51">
        <f t="shared" si="1"/>
        <v>45101</v>
      </c>
      <c r="O37" s="31">
        <f t="shared" si="2"/>
        <v>1.22</v>
      </c>
      <c r="P37" s="31">
        <f>IF(Table5[[#This Row],[SF Balance]]="",$P36+$G$3+($G$7/3),$P36+$G$3)</f>
        <v>8034.0500000000011</v>
      </c>
      <c r="Q37" s="31">
        <f>IF(Table5[[#This Row],[SF Balance]]="",$Q36+$G$4+($G$7/3),$Q36+$G$4)</f>
        <v>7018.1400000000012</v>
      </c>
      <c r="R37" s="31">
        <f t="shared" si="3"/>
        <v>4939.1999999999971</v>
      </c>
      <c r="S37" s="31" t="str">
        <f t="shared" si="5"/>
        <v/>
      </c>
      <c r="U37" s="31">
        <f>SUM(Table5[[#This Row],[Savings-4419]:[Savings-7392]])</f>
        <v>15053.410000000003</v>
      </c>
      <c r="V37" s="31" t="str">
        <f>IF((Table5[[#This Row],[Total Savings]]-SUM(10000,Table5[[#This Row],[OM Balance]]))&gt;0,"",Table5[[#This Row],[Total Savings]]-SUM(10000,Table5[[#This Row],[OM Balance]]))</f>
        <v/>
      </c>
      <c r="W37" s="31">
        <f>IF((Table5[[#This Row],[Total Savings]]-SUM(15000,Table5[[#This Row],[OM Balance]]))&gt;0,"",Table5[[#This Row],[Total Savings]]-SUM(15000,Table5[[#This Row],[OM Balance]]))</f>
        <v>-4885.7899999999936</v>
      </c>
    </row>
    <row r="38" spans="14:23" x14ac:dyDescent="0.35">
      <c r="N38" s="51">
        <f t="shared" si="1"/>
        <v>45115</v>
      </c>
      <c r="O38" s="31">
        <f t="shared" si="2"/>
        <v>1.22</v>
      </c>
      <c r="P38" s="31">
        <f>IF(Table5[[#This Row],[SF Balance]]="",$P37+$G$3+($G$7/3),$P37+$G$3)</f>
        <v>8253.4966666666678</v>
      </c>
      <c r="Q38" s="31">
        <f>IF(Table5[[#This Row],[SF Balance]]="",$Q37+$G$4+($G$7/3),$Q37+$G$4)</f>
        <v>7237.586666666668</v>
      </c>
      <c r="R38" s="31">
        <f t="shared" si="3"/>
        <v>4495.8599999999969</v>
      </c>
      <c r="S38" s="31" t="str">
        <f t="shared" si="5"/>
        <v/>
      </c>
      <c r="U38" s="31">
        <f>SUM(Table5[[#This Row],[Savings-4419]:[Savings-7392]])</f>
        <v>15492.303333333335</v>
      </c>
      <c r="V38" s="31" t="str">
        <f>IF((Table5[[#This Row],[Total Savings]]-SUM(10000,Table5[[#This Row],[OM Balance]]))&gt;0,"",Table5[[#This Row],[Total Savings]]-SUM(10000,Table5[[#This Row],[OM Balance]]))</f>
        <v/>
      </c>
      <c r="W38" s="31">
        <f>IF((Table5[[#This Row],[Total Savings]]-SUM(15000,Table5[[#This Row],[OM Balance]]))&gt;0,"",Table5[[#This Row],[Total Savings]]-SUM(15000,Table5[[#This Row],[OM Balance]]))</f>
        <v>-4003.5566666666618</v>
      </c>
    </row>
    <row r="39" spans="14:23" x14ac:dyDescent="0.35">
      <c r="N39" s="51">
        <f t="shared" si="1"/>
        <v>45129</v>
      </c>
      <c r="O39" s="31">
        <f t="shared" si="2"/>
        <v>1.22</v>
      </c>
      <c r="P39" s="31">
        <f>IF(Table5[[#This Row],[SF Balance]]="",$P38+$G$3+($G$7/3),$P38+$G$3)</f>
        <v>8472.9433333333345</v>
      </c>
      <c r="Q39" s="31">
        <f>IF(Table5[[#This Row],[SF Balance]]="",$Q38+$G$4+($G$7/3),$Q38+$G$4)</f>
        <v>7457.0333333333347</v>
      </c>
      <c r="R39" s="31">
        <f t="shared" si="3"/>
        <v>4052.5199999999968</v>
      </c>
      <c r="S39" s="31" t="str">
        <f t="shared" si="5"/>
        <v/>
      </c>
      <c r="U39" s="31">
        <f>SUM(Table5[[#This Row],[Savings-4419]:[Savings-7392]])</f>
        <v>15931.196666666669</v>
      </c>
      <c r="V39" s="31" t="str">
        <f>IF((Table5[[#This Row],[Total Savings]]-SUM(10000,Table5[[#This Row],[OM Balance]]))&gt;0,"",Table5[[#This Row],[Total Savings]]-SUM(10000,Table5[[#This Row],[OM Balance]]))</f>
        <v/>
      </c>
      <c r="W39" s="31">
        <f>IF((Table5[[#This Row],[Total Savings]]-SUM(15000,Table5[[#This Row],[OM Balance]]))&gt;0,"",Table5[[#This Row],[Total Savings]]-SUM(15000,Table5[[#This Row],[OM Balance]]))</f>
        <v>-3121.3233333333283</v>
      </c>
    </row>
    <row r="40" spans="14:23" x14ac:dyDescent="0.35">
      <c r="N40" s="51">
        <f t="shared" si="1"/>
        <v>45143</v>
      </c>
      <c r="O40" s="31">
        <f t="shared" si="2"/>
        <v>1.22</v>
      </c>
      <c r="P40" s="31">
        <f>IF(Table5[[#This Row],[SF Balance]]="",$P39+$G$3+($G$7/3),$P39+$G$3)</f>
        <v>8692.3900000000012</v>
      </c>
      <c r="Q40" s="31">
        <f>IF(Table5[[#This Row],[SF Balance]]="",$Q39+$G$4+($G$7/3),$Q39+$G$4)</f>
        <v>7676.4800000000014</v>
      </c>
      <c r="R40" s="31">
        <f t="shared" ref="R40:R45" si="6">IF(OR(S39&lt;0,S39="")=TRUE,R39-($G$6+$G$7),R39-$G$6)</f>
        <v>3609.1799999999967</v>
      </c>
      <c r="S40" s="31" t="str">
        <f t="shared" si="5"/>
        <v/>
      </c>
      <c r="U40" s="31">
        <f>SUM(Table5[[#This Row],[Savings-4419]:[Savings-7392]])</f>
        <v>16370.090000000002</v>
      </c>
      <c r="V40" s="31" t="str">
        <f>IF((Table5[[#This Row],[Total Savings]]-SUM(10000,Table5[[#This Row],[OM Balance]]))&gt;0,"",Table5[[#This Row],[Total Savings]]-SUM(10000,Table5[[#This Row],[OM Balance]]))</f>
        <v/>
      </c>
      <c r="W40" s="31">
        <f>IF((Table5[[#This Row],[Total Savings]]-SUM(15000,Table5[[#This Row],[OM Balance]]))&gt;0,"",Table5[[#This Row],[Total Savings]]-SUM(15000,Table5[[#This Row],[OM Balance]]))</f>
        <v>-2239.0899999999947</v>
      </c>
    </row>
    <row r="41" spans="14:23" x14ac:dyDescent="0.35">
      <c r="N41" s="51">
        <f t="shared" si="1"/>
        <v>45157</v>
      </c>
      <c r="O41" s="31">
        <f t="shared" si="2"/>
        <v>1.22</v>
      </c>
      <c r="P41" s="31">
        <f>IF(Table5[[#This Row],[SF Balance]]="",$P40+$G$3+($G$7/3),$P40+$G$3)</f>
        <v>8911.836666666668</v>
      </c>
      <c r="Q41" s="31">
        <f>IF(Table5[[#This Row],[SF Balance]]="",$Q40+$G$4+($G$7/3),$Q40+$G$4)</f>
        <v>7895.9266666666681</v>
      </c>
      <c r="R41" s="31">
        <f t="shared" si="6"/>
        <v>3165.8399999999965</v>
      </c>
      <c r="S41" s="31" t="str">
        <f t="shared" si="5"/>
        <v/>
      </c>
      <c r="U41" s="31">
        <f>SUM(Table5[[#This Row],[Savings-4419]:[Savings-7392]])</f>
        <v>16808.983333333337</v>
      </c>
      <c r="V41" s="31" t="str">
        <f>IF((Table5[[#This Row],[Total Savings]]-SUM(10000,Table5[[#This Row],[OM Balance]]))&gt;0,"",Table5[[#This Row],[Total Savings]]-SUM(10000,Table5[[#This Row],[OM Balance]]))</f>
        <v/>
      </c>
      <c r="W41" s="31">
        <f>IF((Table5[[#This Row],[Total Savings]]-SUM(15000,Table5[[#This Row],[OM Balance]]))&gt;0,"",Table5[[#This Row],[Total Savings]]-SUM(15000,Table5[[#This Row],[OM Balance]]))</f>
        <v>-1356.8566666666593</v>
      </c>
    </row>
    <row r="42" spans="14:23" x14ac:dyDescent="0.35">
      <c r="N42" s="51">
        <f t="shared" si="1"/>
        <v>45171</v>
      </c>
      <c r="O42" s="31">
        <f t="shared" si="2"/>
        <v>1.22</v>
      </c>
      <c r="P42" s="31">
        <f>IF(Table5[[#This Row],[SF Balance]]="",$P41+$G$3+($G$7/3),$P41+$G$3)</f>
        <v>9131.2833333333347</v>
      </c>
      <c r="Q42" s="31">
        <f>IF(Table5[[#This Row],[SF Balance]]="",$Q41+$G$4+($G$7/3),$Q41+$G$4)</f>
        <v>8115.3733333333348</v>
      </c>
      <c r="R42" s="31">
        <f t="shared" si="6"/>
        <v>2722.4999999999964</v>
      </c>
      <c r="S42" s="31" t="str">
        <f t="shared" si="5"/>
        <v/>
      </c>
      <c r="U42" s="31">
        <f>SUM(Table5[[#This Row],[Savings-4419]:[Savings-7392]])</f>
        <v>17247.876666666671</v>
      </c>
      <c r="V42" s="31" t="str">
        <f>IF((Table5[[#This Row],[Total Savings]]-SUM(10000,Table5[[#This Row],[OM Balance]]))&gt;0,"",Table5[[#This Row],[Total Savings]]-SUM(10000,Table5[[#This Row],[OM Balance]]))</f>
        <v/>
      </c>
      <c r="W42" s="31">
        <f>IF((Table5[[#This Row],[Total Savings]]-SUM(15000,Table5[[#This Row],[OM Balance]]))&gt;0,"",Table5[[#This Row],[Total Savings]]-SUM(15000,Table5[[#This Row],[OM Balance]]))</f>
        <v>-474.62333333332572</v>
      </c>
    </row>
    <row r="43" spans="14:23" x14ac:dyDescent="0.35">
      <c r="N43" s="51">
        <f t="shared" si="1"/>
        <v>45185</v>
      </c>
      <c r="O43" s="31">
        <f t="shared" si="2"/>
        <v>1.22</v>
      </c>
      <c r="P43" s="31">
        <f>IF(Table5[[#This Row],[SF Balance]]="",$P42+$G$3+($G$7/3),$P42+$G$3)</f>
        <v>9350.7300000000014</v>
      </c>
      <c r="Q43" s="31">
        <f>IF(Table5[[#This Row],[SF Balance]]="",$Q42+$G$4+($G$7/3),$Q42+$G$4)</f>
        <v>8334.8200000000015</v>
      </c>
      <c r="R43" s="31">
        <f t="shared" si="6"/>
        <v>2279.1599999999962</v>
      </c>
      <c r="S43" s="31" t="str">
        <f t="shared" si="5"/>
        <v/>
      </c>
      <c r="U43" s="31">
        <f>SUM(Table5[[#This Row],[Savings-4419]:[Savings-7392]])</f>
        <v>17686.770000000004</v>
      </c>
      <c r="V43" s="31" t="str">
        <f>IF((Table5[[#This Row],[Total Savings]]-SUM(10000,Table5[[#This Row],[OM Balance]]))&gt;0,"",Table5[[#This Row],[Total Savings]]-SUM(10000,Table5[[#This Row],[OM Balance]]))</f>
        <v/>
      </c>
      <c r="W43" s="31" t="str">
        <f>IF((Table5[[#This Row],[Total Savings]]-SUM(15000,Table5[[#This Row],[OM Balance]]))&gt;0,"",Table5[[#This Row],[Total Savings]]-SUM(15000,Table5[[#This Row],[OM Balance]]))</f>
        <v/>
      </c>
    </row>
    <row r="44" spans="14:23" x14ac:dyDescent="0.35">
      <c r="N44" s="51">
        <f t="shared" si="1"/>
        <v>45199</v>
      </c>
      <c r="O44" s="31">
        <f t="shared" si="2"/>
        <v>1.22</v>
      </c>
      <c r="P44" s="31">
        <f>IF(Table5[[#This Row],[SF Balance]]="",$P43+$G$3+($G$7/3),$P43+$G$3)</f>
        <v>9570.1766666666681</v>
      </c>
      <c r="Q44" s="31">
        <f>IF(Table5[[#This Row],[SF Balance]]="",$Q43+$G$4+($G$7/3),$Q43+$G$4)</f>
        <v>8554.2666666666682</v>
      </c>
      <c r="R44" s="31">
        <f t="shared" si="6"/>
        <v>1835.8199999999961</v>
      </c>
      <c r="S44" s="31" t="str">
        <f t="shared" si="5"/>
        <v/>
      </c>
      <c r="U44" s="31">
        <f>SUM(Table5[[#This Row],[Savings-4419]:[Savings-7392]])</f>
        <v>18125.663333333338</v>
      </c>
      <c r="V44" s="31" t="str">
        <f>IF((Table5[[#This Row],[Total Savings]]-SUM(10000,Table5[[#This Row],[OM Balance]]))&gt;0,"",Table5[[#This Row],[Total Savings]]-SUM(10000,Table5[[#This Row],[OM Balance]]))</f>
        <v/>
      </c>
      <c r="W44" s="31" t="str">
        <f>IF((Table5[[#This Row],[Total Savings]]-SUM(15000,Table5[[#This Row],[OM Balance]]))&gt;0,"",Table5[[#This Row],[Total Savings]]-SUM(15000,Table5[[#This Row],[OM Balance]]))</f>
        <v/>
      </c>
    </row>
    <row r="45" spans="14:23" x14ac:dyDescent="0.35">
      <c r="N45" s="51">
        <f t="shared" si="1"/>
        <v>45213</v>
      </c>
      <c r="O45" s="31">
        <f t="shared" si="2"/>
        <v>1.22</v>
      </c>
      <c r="P45" s="31">
        <f>IF(Table5[[#This Row],[SF Balance]]="",$P44+$G$3+($G$7/3),$P44+$G$3)</f>
        <v>9789.6233333333348</v>
      </c>
      <c r="Q45" s="31">
        <f>IF(Table5[[#This Row],[SF Balance]]="",$Q44+$G$4+($G$7/3),$Q44+$G$4)</f>
        <v>8773.713333333335</v>
      </c>
      <c r="R45" s="31">
        <f t="shared" si="6"/>
        <v>1392.4799999999959</v>
      </c>
      <c r="S45" s="31" t="str">
        <f t="shared" si="5"/>
        <v/>
      </c>
      <c r="U45" s="31">
        <f>SUM(Table5[[#This Row],[Savings-4419]:[Savings-7392]])</f>
        <v>18564.556666666671</v>
      </c>
      <c r="V45" s="31" t="str">
        <f>IF((Table5[[#This Row],[Total Savings]]-SUM(10000,Table5[[#This Row],[OM Balance]]))&gt;0,"",Table5[[#This Row],[Total Savings]]-SUM(10000,Table5[[#This Row],[OM Balance]]))</f>
        <v/>
      </c>
      <c r="W45" s="31" t="str">
        <f>IF((Table5[[#This Row],[Total Savings]]-SUM(15000,Table5[[#This Row],[OM Balance]]))&gt;0,"",Table5[[#This Row],[Total Savings]]-SUM(15000,Table5[[#This Row],[OM Balance]]))</f>
        <v/>
      </c>
    </row>
  </sheetData>
  <mergeCells count="1">
    <mergeCell ref="B9:C9"/>
  </mergeCells>
  <phoneticPr fontId="3" type="noConversion"/>
  <pageMargins left="0.7" right="0.7" top="0.75" bottom="0.75" header="0.3" footer="0.3"/>
  <pageSetup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EE4A-CA8F-482F-8CD5-E1791DE8C756}">
  <sheetPr codeName="Sheet5">
    <tabColor rgb="FFFFFF00"/>
  </sheetPr>
  <dimension ref="A1:X27"/>
  <sheetViews>
    <sheetView topLeftCell="E1" workbookViewId="0"/>
  </sheetViews>
  <sheetFormatPr defaultRowHeight="14.5" x14ac:dyDescent="0.35"/>
  <cols>
    <col min="1" max="1" width="1.6328125" hidden="1" customWidth="1"/>
    <col min="2" max="2" width="28.36328125" hidden="1" customWidth="1"/>
    <col min="3" max="4" width="9.6328125" style="61" hidden="1" customWidth="1"/>
    <col min="5" max="5" width="9.08984375" bestFit="1" customWidth="1"/>
    <col min="6" max="6" width="26" bestFit="1" customWidth="1"/>
    <col min="7" max="7" width="14.6328125" bestFit="1" customWidth="1"/>
    <col min="8" max="8" width="11.6328125" customWidth="1"/>
    <col min="9" max="9" width="14.08984375" bestFit="1" customWidth="1"/>
    <col min="10" max="10" width="5.6328125" customWidth="1"/>
    <col min="11" max="11" width="9.08984375" bestFit="1" customWidth="1"/>
    <col min="12" max="12" width="0" hidden="1" customWidth="1"/>
    <col min="13" max="13" width="9.08984375" bestFit="1" customWidth="1"/>
    <col min="14" max="14" width="27.36328125" bestFit="1" customWidth="1"/>
    <col min="15" max="15" width="10" bestFit="1" customWidth="1"/>
    <col min="16" max="16" width="4.36328125" customWidth="1"/>
    <col min="17" max="17" width="20" bestFit="1" customWidth="1"/>
  </cols>
  <sheetData>
    <row r="1" spans="2:24" ht="15" thickBot="1" x14ac:dyDescent="0.4">
      <c r="C1"/>
      <c r="D1"/>
    </row>
    <row r="2" spans="2:24" x14ac:dyDescent="0.35">
      <c r="B2" s="133" t="s">
        <v>53</v>
      </c>
      <c r="C2" s="134">
        <f>O10</f>
        <v>150</v>
      </c>
      <c r="D2" s="134">
        <f>O11</f>
        <v>253</v>
      </c>
      <c r="F2" s="479" t="s">
        <v>54</v>
      </c>
      <c r="G2" s="480"/>
      <c r="H2" s="139" t="e">
        <f ca="1">SUMIFS(Pivots!#REF!,Pivots!#REF!,YEAR(TODAY()),Pivots!#REF!,WEEKNUM(TODAY(),2))-$O$3</f>
        <v>#REF!</v>
      </c>
      <c r="N2" t="s">
        <v>55</v>
      </c>
      <c r="O2" s="130">
        <f ca="1">Metrics!E15</f>
        <v>133.87846153846155</v>
      </c>
    </row>
    <row r="3" spans="2:24" ht="15" thickBot="1" x14ac:dyDescent="0.4">
      <c r="C3"/>
      <c r="D3"/>
      <c r="F3" s="146" t="s">
        <v>56</v>
      </c>
      <c r="G3" s="147" t="s">
        <v>57</v>
      </c>
      <c r="H3" s="148" t="s">
        <v>58</v>
      </c>
      <c r="I3" s="155" t="s">
        <v>30</v>
      </c>
      <c r="J3" s="155" t="s">
        <v>160</v>
      </c>
      <c r="K3" s="149" t="s">
        <v>59</v>
      </c>
      <c r="L3" s="153" t="s">
        <v>60</v>
      </c>
      <c r="N3" s="121" t="s">
        <v>61</v>
      </c>
      <c r="O3" s="129">
        <v>186</v>
      </c>
      <c r="X3" s="117"/>
    </row>
    <row r="4" spans="2:24" x14ac:dyDescent="0.35">
      <c r="C4" s="72" t="s">
        <v>62</v>
      </c>
      <c r="D4" s="72" t="s">
        <v>41</v>
      </c>
      <c r="F4" s="144" t="s">
        <v>170</v>
      </c>
      <c r="G4" s="137">
        <v>150</v>
      </c>
      <c r="H4" s="140"/>
      <c r="I4" s="156">
        <f>IF(ISBLANK(Table119[[#This Row],[Target]])=TRUE,"",Table119[[#This Row],[Target]]-Table119[[#This Row],[Savings Balance]])</f>
        <v>150</v>
      </c>
      <c r="J4" s="160">
        <f ca="1">IFERROR(Table119[[#This Row],[Remaining]]/$O$6,"")</f>
        <v>6.1482577756883048</v>
      </c>
      <c r="K4" s="138" t="e">
        <f ca="1">$H$2*Table119[[#This Row],[Percentage]]</f>
        <v>#REF!</v>
      </c>
      <c r="L4" s="154">
        <f>(Table119[[#This Row],[Target]]-Table119[[#This Row],[Savings Balance]])/$I$9</f>
        <v>0.59288537549407117</v>
      </c>
      <c r="N4" t="s">
        <v>63</v>
      </c>
      <c r="O4" s="128">
        <f ca="1">O2-O3</f>
        <v>-52.121538461538449</v>
      </c>
    </row>
    <row r="5" spans="2:24" x14ac:dyDescent="0.35">
      <c r="B5" s="133" t="s">
        <v>64</v>
      </c>
      <c r="C5" s="134">
        <f ca="1">IF((C2+O3)&gt;$O$2,$O$2,C2/$O$6)</f>
        <v>133.87846153846155</v>
      </c>
      <c r="D5" s="134">
        <f ca="1">IF((D2+O3)&gt;$O$8,$O$8,D2/$O$6)</f>
        <v>317.16301936961241</v>
      </c>
      <c r="F5" s="144" t="s">
        <v>171</v>
      </c>
      <c r="G5" s="137">
        <v>103</v>
      </c>
      <c r="H5" s="136"/>
      <c r="I5" s="157">
        <f>IF(ISBLANK(Table119[[#This Row],[Target]])=TRUE,"",Table119[[#This Row],[Target]]-Table119[[#This Row],[Savings Balance]])</f>
        <v>103</v>
      </c>
      <c r="J5" s="160">
        <f ca="1">IFERROR(Table119[[#This Row],[Remaining]]/$O$6,"")</f>
        <v>4.2218036726393029</v>
      </c>
      <c r="K5" s="138" t="e">
        <f ca="1">$H$2*Table119[[#This Row],[Percentage]]</f>
        <v>#REF!</v>
      </c>
      <c r="L5" s="154">
        <f>(Table119[[#This Row],[Target]]-Table119[[#This Row],[Savings Balance]])/$I$9</f>
        <v>0.40711462450592883</v>
      </c>
    </row>
    <row r="6" spans="2:24" x14ac:dyDescent="0.35">
      <c r="B6" s="133" t="s">
        <v>65</v>
      </c>
      <c r="C6" s="135">
        <f ca="1">C5/$O$6</f>
        <v>5.4874619476735589</v>
      </c>
      <c r="D6" s="135">
        <f ca="1">D5/$O$7</f>
        <v>24.397155336124033</v>
      </c>
      <c r="F6" s="144"/>
      <c r="G6" s="137"/>
      <c r="H6" s="142"/>
      <c r="I6" s="158" t="str">
        <f>IF(ISBLANK(Table119[[#This Row],[Target]])=TRUE,"",Table119[[#This Row],[Target]]-Table119[[#This Row],[Savings Balance]])</f>
        <v/>
      </c>
      <c r="J6" s="161" t="str">
        <f ca="1">IFERROR(Table119[[#This Row],[Remaining]]/$O$6,"")</f>
        <v/>
      </c>
      <c r="K6" s="138" t="e">
        <f ca="1">$H$2*Table119[[#This Row],[Percentage]]</f>
        <v>#REF!</v>
      </c>
      <c r="L6" s="154">
        <f>(Table119[[#This Row],[Target]]-Table119[[#This Row],[Savings Balance]])/$I$9</f>
        <v>0</v>
      </c>
      <c r="N6" t="s">
        <v>66</v>
      </c>
      <c r="O6" s="130">
        <f ca="1">Metrics!E19</f>
        <v>24.397155336124033</v>
      </c>
    </row>
    <row r="7" spans="2:24" x14ac:dyDescent="0.35">
      <c r="C7" s="73"/>
      <c r="D7" s="73"/>
      <c r="F7" s="145"/>
      <c r="G7" s="141"/>
      <c r="H7" s="136"/>
      <c r="I7" s="157" t="str">
        <f>IF(ISBLANK(Table119[[#This Row],[Target]])=TRUE,"",Table119[[#This Row],[Target]]-Table119[[#This Row],[Savings Balance]])</f>
        <v/>
      </c>
      <c r="J7" s="160" t="str">
        <f ca="1">IFERROR(Table119[[#This Row],[Remaining]]/$O$6,"")</f>
        <v/>
      </c>
      <c r="K7" s="138" t="e">
        <f ca="1">$H$2*Table119[[#This Row],[Percentage]]</f>
        <v>#REF!</v>
      </c>
      <c r="L7" s="154">
        <f>(Table119[[#This Row],[Target]]-Table119[[#This Row],[Savings Balance]])/$I$9</f>
        <v>0</v>
      </c>
      <c r="N7" t="s">
        <v>67</v>
      </c>
      <c r="O7" s="132">
        <f ca="1">Metrics!E7</f>
        <v>13</v>
      </c>
    </row>
    <row r="8" spans="2:24" ht="15" thickBot="1" x14ac:dyDescent="0.4">
      <c r="C8" s="72" t="s">
        <v>28</v>
      </c>
      <c r="D8" s="72" t="s">
        <v>41</v>
      </c>
      <c r="F8" s="150"/>
      <c r="G8" s="151"/>
      <c r="H8" s="152"/>
      <c r="I8" s="159" t="str">
        <f>IF(ISBLANK(Table119[[#This Row],[Target]])=TRUE,"",Table119[[#This Row],[Target]]-Table119[[#This Row],[Savings Balance]])</f>
        <v/>
      </c>
      <c r="J8" s="162" t="str">
        <f ca="1">IFERROR(Table119[[#This Row],[Remaining]]/$O$6,"")</f>
        <v/>
      </c>
      <c r="K8" s="143" t="e">
        <f ca="1">$H$2*Table119[[#This Row],[Percentage]]</f>
        <v>#REF!</v>
      </c>
      <c r="L8" s="154">
        <f>(Table119[[#This Row],[Target]]-Table119[[#This Row],[Savings Balance]])/$I$9</f>
        <v>0</v>
      </c>
      <c r="N8" t="s">
        <v>68</v>
      </c>
      <c r="O8" s="127">
        <f ca="1">O6*O7</f>
        <v>317.16301936961241</v>
      </c>
    </row>
    <row r="9" spans="2:24" ht="15" thickBot="1" x14ac:dyDescent="0.4">
      <c r="B9" s="102" t="s">
        <v>69</v>
      </c>
      <c r="C9" s="103">
        <f ca="1">C6/Metrics!$E$4</f>
        <v>3.1356925415277481</v>
      </c>
      <c r="D9" s="104">
        <f ca="1">D6/Metrics!$E$4</f>
        <v>13.941231620642304</v>
      </c>
      <c r="G9" s="481" t="s">
        <v>70</v>
      </c>
      <c r="H9" s="481"/>
      <c r="I9" s="8">
        <f>SUM(Table119[Target])-SUM(Table119[Savings Balance])</f>
        <v>253</v>
      </c>
      <c r="J9" s="163">
        <f ca="1">I9/O6</f>
        <v>10.370061448327608</v>
      </c>
    </row>
    <row r="10" spans="2:24" x14ac:dyDescent="0.35">
      <c r="N10" t="s">
        <v>71</v>
      </c>
      <c r="O10" s="130">
        <f>$G$4</f>
        <v>150</v>
      </c>
    </row>
    <row r="11" spans="2:24" ht="15" thickBot="1" x14ac:dyDescent="0.4">
      <c r="G11" s="13" t="s">
        <v>43</v>
      </c>
      <c r="H11" s="13" t="s">
        <v>163</v>
      </c>
      <c r="N11" t="s">
        <v>72</v>
      </c>
      <c r="O11" s="130">
        <f>SUM(Table119[Target])</f>
        <v>253</v>
      </c>
    </row>
    <row r="12" spans="2:24" x14ac:dyDescent="0.35">
      <c r="F12" s="166" t="s">
        <v>161</v>
      </c>
      <c r="G12" s="164">
        <f ca="1">J9/G13</f>
        <v>-7.6306559590342956E-3</v>
      </c>
      <c r="H12" s="168">
        <f ca="1">G12*O6</f>
        <v>-0.18616629874908022</v>
      </c>
    </row>
    <row r="13" spans="2:24" ht="15" thickBot="1" x14ac:dyDescent="0.4">
      <c r="F13" s="167" t="s">
        <v>162</v>
      </c>
      <c r="G13" s="165">
        <f ca="1">H13-TODAY()+1</f>
        <v>-1359</v>
      </c>
      <c r="H13" s="178">
        <v>44824</v>
      </c>
    </row>
    <row r="14" spans="2:24" x14ac:dyDescent="0.35">
      <c r="N14" s="482" t="s">
        <v>73</v>
      </c>
      <c r="O14" s="482"/>
    </row>
    <row r="15" spans="2:24" x14ac:dyDescent="0.35">
      <c r="N15" s="56" t="s">
        <v>45</v>
      </c>
      <c r="O15" s="75" t="e">
        <f>VLOOKUP($N15,KPIs!#REF!,3,FALSE)*INDEX(Pivots!$BF$3:$BJ$11,MATCH('M-Priorities'!N15,Pivots!$BF$3:$BF$11,0),MATCH(Scheduling!$R$17,Pivots!$BF$3:$BJ$3,0))</f>
        <v>#REF!</v>
      </c>
    </row>
    <row r="16" spans="2:24" x14ac:dyDescent="0.35">
      <c r="N16" s="56" t="s">
        <v>46</v>
      </c>
      <c r="O16" s="75" t="e">
        <f>VLOOKUP($N16,KPIs!#REF!,3,FALSE)*INDEX(Pivots!$BF$3:$BJ$11,MATCH('M-Priorities'!N16,Pivots!$BF$3:$BF$11,0),MATCH(Scheduling!$R$17,Pivots!$BF$3:$BJ$3,0))</f>
        <v>#REF!</v>
      </c>
    </row>
    <row r="17" spans="6:15" x14ac:dyDescent="0.35">
      <c r="N17" s="56" t="s">
        <v>47</v>
      </c>
      <c r="O17" s="75" t="e">
        <f>VLOOKUP($N17,KPIs!#REF!,3,FALSE)*INDEX(Pivots!$BF$3:$BJ$11,MATCH('M-Priorities'!N17,Pivots!$BF$3:$BF$11,0),MATCH(Scheduling!$R$17,Pivots!$BF$3:$BJ$3,0))</f>
        <v>#REF!</v>
      </c>
    </row>
    <row r="18" spans="6:15" x14ac:dyDescent="0.35">
      <c r="F18" s="169" t="s">
        <v>166</v>
      </c>
      <c r="G18" s="170">
        <f>I9</f>
        <v>253</v>
      </c>
      <c r="N18" s="56" t="s">
        <v>48</v>
      </c>
      <c r="O18" s="75" t="e">
        <f>VLOOKUP($N18,KPIs!#REF!,3,FALSE)*INDEX(Pivots!$BF$3:$BJ$11,MATCH('M-Priorities'!N18,Pivots!$BF$3:$BF$11,0),MATCH(Scheduling!$R$17,Pivots!$BF$3:$BJ$3,0))</f>
        <v>#REF!</v>
      </c>
    </row>
    <row r="19" spans="6:15" x14ac:dyDescent="0.35">
      <c r="F19" s="171" t="s">
        <v>15</v>
      </c>
      <c r="G19" s="172">
        <f>SUM(G25:G27)</f>
        <v>267.02</v>
      </c>
      <c r="N19" s="56" t="s">
        <v>49</v>
      </c>
      <c r="O19" s="75" t="e">
        <f>VLOOKUP($N19,KPIs!#REF!,3,FALSE)*INDEX(Pivots!$BF$3:$BJ$11,MATCH('M-Priorities'!N19,Pivots!$BF$3:$BF$11,0),MATCH(Scheduling!$R$17,Pivots!$BF$3:$BJ$3,0))</f>
        <v>#REF!</v>
      </c>
    </row>
    <row r="20" spans="6:15" x14ac:dyDescent="0.35">
      <c r="F20" s="173" t="s">
        <v>30</v>
      </c>
      <c r="G20" s="174">
        <f>G18-G19</f>
        <v>-14.019999999999982</v>
      </c>
      <c r="N20" s="56" t="s">
        <v>50</v>
      </c>
      <c r="O20" s="75" t="e">
        <f>VLOOKUP($N20,KPIs!#REF!,3,FALSE)*INDEX(Pivots!$BF$3:$BJ$11,MATCH('M-Priorities'!N20,Pivots!$BF$3:$BF$11,0),MATCH(Scheduling!$R$17,Pivots!$BF$3:$BJ$3,0))</f>
        <v>#REF!</v>
      </c>
    </row>
    <row r="21" spans="6:15" ht="15" thickBot="1" x14ac:dyDescent="0.4">
      <c r="F21" s="173" t="s">
        <v>164</v>
      </c>
      <c r="G21" s="175">
        <f ca="1">G20/O6</f>
        <v>-0.57465716010099943</v>
      </c>
      <c r="N21" s="78" t="s">
        <v>51</v>
      </c>
      <c r="O21" s="79" t="e">
        <f>VLOOKUP($N21,KPIs!#REF!,3,FALSE)*INDEX(Pivots!$BF$3:$BJ$11,MATCH('M-Priorities'!N21,Pivots!$BF$3:$BF$11,0),MATCH(Scheduling!$R$17,Pivots!$BF$3:$BJ$3,0))</f>
        <v>#REF!</v>
      </c>
    </row>
    <row r="22" spans="6:15" x14ac:dyDescent="0.35">
      <c r="N22" s="76" t="s">
        <v>52</v>
      </c>
      <c r="O22" s="77" t="e">
        <f>SUM(O15:O21)</f>
        <v>#REF!</v>
      </c>
    </row>
    <row r="25" spans="6:15" x14ac:dyDescent="0.35">
      <c r="F25" s="176" t="s">
        <v>168</v>
      </c>
      <c r="G25" s="177">
        <v>19.11</v>
      </c>
    </row>
    <row r="26" spans="6:15" x14ac:dyDescent="0.35">
      <c r="F26" s="176" t="s">
        <v>169</v>
      </c>
      <c r="G26" s="177">
        <v>59.91</v>
      </c>
    </row>
    <row r="27" spans="6:15" x14ac:dyDescent="0.35">
      <c r="F27" s="176" t="s">
        <v>165</v>
      </c>
      <c r="G27" s="177">
        <v>188</v>
      </c>
    </row>
  </sheetData>
  <mergeCells count="3">
    <mergeCell ref="F2:G2"/>
    <mergeCell ref="G9:H9"/>
    <mergeCell ref="N14:O1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4AA55-22ED-4F32-8EFC-236175E96B17}">
  <sheetPr codeName="Sheet8">
    <tabColor rgb="FF00CC00"/>
  </sheetPr>
  <dimension ref="A1:Z36"/>
  <sheetViews>
    <sheetView workbookViewId="0"/>
  </sheetViews>
  <sheetFormatPr defaultRowHeight="14.5" outlineLevelCol="1" x14ac:dyDescent="0.35"/>
  <cols>
    <col min="1" max="1" width="1.6328125" customWidth="1"/>
    <col min="2" max="2" width="5.54296875" bestFit="1" customWidth="1"/>
    <col min="3" max="3" width="26.90625" style="61" bestFit="1" customWidth="1"/>
    <col min="4" max="4" width="18" style="61" bestFit="1" customWidth="1"/>
    <col min="5" max="5" width="8.90625" style="61" bestFit="1" customWidth="1"/>
    <col min="6" max="6" width="10.54296875" style="61" bestFit="1" customWidth="1"/>
    <col min="7" max="7" width="10.6328125" bestFit="1" customWidth="1"/>
    <col min="8" max="8" width="11" bestFit="1" customWidth="1"/>
    <col min="9" max="9" width="10" bestFit="1" customWidth="1"/>
    <col min="10" max="11" width="8.54296875" hidden="1" customWidth="1" outlineLevel="1"/>
    <col min="12" max="12" width="7.54296875" bestFit="1" customWidth="1" collapsed="1"/>
    <col min="13" max="13" width="9.36328125" bestFit="1" customWidth="1"/>
    <col min="14" max="14" width="8.90625" bestFit="1" customWidth="1"/>
    <col min="15" max="15" width="8.6328125" bestFit="1" customWidth="1"/>
    <col min="16" max="16" width="7.54296875" bestFit="1" customWidth="1"/>
    <col min="17" max="17" width="7.54296875" hidden="1" customWidth="1" outlineLevel="1"/>
    <col min="18" max="18" width="6.36328125" hidden="1" customWidth="1" outlineLevel="1"/>
    <col min="19" max="19" width="9.90625" hidden="1" customWidth="1" outlineLevel="1"/>
    <col min="20" max="20" width="6.6328125" hidden="1" customWidth="1" outlineLevel="1"/>
    <col min="21" max="21" width="7.36328125" customWidth="1" collapsed="1"/>
    <col min="22" max="22" width="6.36328125" bestFit="1" customWidth="1"/>
    <col min="23" max="23" width="4.36328125" bestFit="1" customWidth="1"/>
    <col min="24" max="24" width="6.36328125" hidden="1" customWidth="1" outlineLevel="1"/>
    <col min="25" max="25" width="7.54296875" hidden="1" customWidth="1" outlineLevel="1"/>
    <col min="26" max="26" width="10.54296875" bestFit="1" customWidth="1" collapsed="1"/>
  </cols>
  <sheetData>
    <row r="1" spans="1:26" x14ac:dyDescent="0.35">
      <c r="C1"/>
      <c r="D1"/>
      <c r="E1"/>
      <c r="F1"/>
    </row>
    <row r="2" spans="1:26" x14ac:dyDescent="0.35">
      <c r="B2" s="484" t="s">
        <v>246</v>
      </c>
      <c r="C2" s="484"/>
      <c r="D2" s="484"/>
      <c r="E2" s="484"/>
      <c r="F2" s="484"/>
      <c r="G2" s="484"/>
      <c r="H2" s="484"/>
      <c r="I2" s="484"/>
      <c r="J2" s="484"/>
    </row>
    <row r="3" spans="1:26" x14ac:dyDescent="0.35">
      <c r="B3" s="248" t="s">
        <v>181</v>
      </c>
      <c r="C3" s="249" t="s">
        <v>28</v>
      </c>
      <c r="D3" s="249" t="s">
        <v>182</v>
      </c>
      <c r="E3" s="250" t="s">
        <v>57</v>
      </c>
      <c r="F3" s="249" t="s">
        <v>222</v>
      </c>
      <c r="G3" s="249" t="s">
        <v>186</v>
      </c>
      <c r="H3" s="249" t="s">
        <v>197</v>
      </c>
      <c r="I3" s="249" t="s">
        <v>188</v>
      </c>
      <c r="J3" s="249" t="s">
        <v>267</v>
      </c>
      <c r="K3" s="249" t="s">
        <v>27</v>
      </c>
      <c r="L3" s="251" t="s">
        <v>199</v>
      </c>
      <c r="N3" s="485" t="s">
        <v>30</v>
      </c>
      <c r="O3" s="485"/>
    </row>
    <row r="4" spans="1:26" x14ac:dyDescent="0.35">
      <c r="B4" s="244" t="str">
        <f>IFERROR(_xlfn.RANK.EQ(#REF!,#REF!,0),"")</f>
        <v/>
      </c>
      <c r="C4" s="239" t="s">
        <v>286</v>
      </c>
      <c r="D4" s="239" t="s">
        <v>223</v>
      </c>
      <c r="E4" s="243"/>
      <c r="F4" s="204"/>
      <c r="G4" s="204"/>
      <c r="H4" s="206">
        <v>0</v>
      </c>
      <c r="I4" s="245">
        <f>IF(Table2218[[#This Row],[Account]]="Personal CC",Table2218[[#This Row],[Balance]],Table2218[[#This Row],[Target]]-Table2218[[#This Row],[Balance]])</f>
        <v>0</v>
      </c>
      <c r="J4" s="264"/>
      <c r="K4" s="264"/>
      <c r="L4" s="252">
        <f>IF(AND($E$22-SUM($I$4:I4)&lt;0,COUNT($I$4:I4)=1),$E$22,IF(AND($E$22-SUM($I$4:I4)&lt;0,COUNT($I$4:I4)&gt;1),IF($E$22-SUM($I$4:I4)&lt;0,IF($E$22-SUM($I3:I$4)&gt;0,$E$22-SUM($I3:I$4),0),$E$22-SUM($I$4:I4)),IF(($E$22-SUM($I$4:I4))&gt;Table2218[[#This Row],[$ Remain.]],Table2218[[#This Row],[$ Remain.]],Table2218[[#This Row],[$ Remain.]])))</f>
        <v>0</v>
      </c>
      <c r="N4" s="486">
        <f>IF(SUM(E22-SUM(Table2218[Allot.]))&lt;0,0,SUM(E22-SUM(Table2218[Allot.])))</f>
        <v>434</v>
      </c>
      <c r="O4" s="486"/>
    </row>
    <row r="5" spans="1:26" x14ac:dyDescent="0.35">
      <c r="B5" s="244" t="str">
        <f>IFERROR(_xlfn.RANK.EQ(#REF!,#REF!,0),"")</f>
        <v/>
      </c>
      <c r="C5" s="239"/>
      <c r="D5" s="239"/>
      <c r="E5" s="243"/>
      <c r="F5" s="204"/>
      <c r="G5" s="204"/>
      <c r="H5" s="206"/>
      <c r="I5" s="245">
        <f>IF(Table2218[[#This Row],[Account]]="Personal CC",Table2218[[#This Row],[Balance]],Table2218[[#This Row],[Target]]-Table2218[[#This Row],[Balance]])</f>
        <v>0</v>
      </c>
      <c r="J5" s="264"/>
      <c r="K5" s="264"/>
      <c r="L5" s="252">
        <f>IF(AND($E$22-SUM($I$4:I5)&lt;0,COUNT($I$4:I5)=1),$E$22,IF(AND($E$22-SUM($I$4:I5)&lt;0,COUNT($I$4:I5)&gt;1),IF($E$22-SUM($I$4:I5)&lt;0,IF($E$22-SUM($I$4:I4)&gt;0,$E$22-SUM($I$4:I4),0),$E$22-SUM($I$4:I5)),IF(($E$22-SUM($I$4:I5))&gt;Table2218[[#This Row],[$ Remain.]],Table2218[[#This Row],[$ Remain.]],Table2218[[#This Row],[$ Remain.]])))</f>
        <v>0</v>
      </c>
    </row>
    <row r="6" spans="1:26" x14ac:dyDescent="0.35">
      <c r="A6" s="246"/>
      <c r="B6" s="246"/>
      <c r="C6" s="246"/>
      <c r="D6" s="246"/>
      <c r="E6" s="246"/>
      <c r="F6" s="246"/>
      <c r="G6" s="246"/>
      <c r="H6" s="246"/>
      <c r="I6" s="246"/>
      <c r="J6" s="246"/>
      <c r="K6" s="246"/>
      <c r="L6" s="246"/>
      <c r="M6" s="246"/>
      <c r="N6" s="247"/>
    </row>
    <row r="7" spans="1:26" x14ac:dyDescent="0.35">
      <c r="B7" s="487" t="s">
        <v>247</v>
      </c>
      <c r="C7" s="487"/>
      <c r="D7" s="487"/>
      <c r="E7" s="487"/>
      <c r="F7" s="487"/>
      <c r="G7" s="487"/>
      <c r="H7" s="487"/>
      <c r="I7" s="487"/>
      <c r="J7" s="487"/>
      <c r="K7" s="487"/>
      <c r="L7" s="487"/>
      <c r="M7" s="487"/>
      <c r="N7" s="487"/>
      <c r="O7" s="487"/>
      <c r="P7" s="487"/>
    </row>
    <row r="8" spans="1:26" x14ac:dyDescent="0.35">
      <c r="B8" s="13" t="s">
        <v>181</v>
      </c>
      <c r="C8" s="13" t="s">
        <v>28</v>
      </c>
      <c r="D8" s="13" t="s">
        <v>182</v>
      </c>
      <c r="E8" s="191" t="s">
        <v>57</v>
      </c>
      <c r="F8" s="13" t="s">
        <v>222</v>
      </c>
      <c r="G8" s="13" t="s">
        <v>186</v>
      </c>
      <c r="H8" s="13" t="s">
        <v>263</v>
      </c>
      <c r="I8" s="13" t="s">
        <v>269</v>
      </c>
      <c r="J8" s="261" t="s">
        <v>264</v>
      </c>
      <c r="K8" s="261" t="s">
        <v>265</v>
      </c>
      <c r="L8" s="13" t="s">
        <v>197</v>
      </c>
      <c r="M8" s="13" t="s">
        <v>188</v>
      </c>
      <c r="N8" s="13" t="s">
        <v>273</v>
      </c>
      <c r="O8" s="13" t="s">
        <v>187</v>
      </c>
      <c r="P8" s="13" t="s">
        <v>200</v>
      </c>
      <c r="Q8" s="13" t="s">
        <v>244</v>
      </c>
      <c r="R8" s="13" t="s">
        <v>266</v>
      </c>
      <c r="S8" s="13" t="s">
        <v>27</v>
      </c>
      <c r="T8" s="13" t="s">
        <v>14</v>
      </c>
      <c r="U8" s="13" t="s">
        <v>201</v>
      </c>
      <c r="V8" s="13" t="s">
        <v>199</v>
      </c>
      <c r="W8" s="272" t="s">
        <v>274</v>
      </c>
      <c r="X8" s="272" t="s">
        <v>293</v>
      </c>
      <c r="Y8" s="13" t="s">
        <v>294</v>
      </c>
      <c r="Z8" s="13" t="s">
        <v>31</v>
      </c>
    </row>
    <row r="9" spans="1:26" x14ac:dyDescent="0.35">
      <c r="B9" s="242">
        <f t="shared" ref="B9:B17" si="0">ROW()-8</f>
        <v>1</v>
      </c>
      <c r="C9" t="s">
        <v>272</v>
      </c>
      <c r="D9" t="s">
        <v>196</v>
      </c>
      <c r="E9" s="202">
        <v>1800</v>
      </c>
      <c r="F9" s="233">
        <f t="shared" ref="F9:G11" ca="1" si="1">(7-WEEKDAY(TODAY(),1))+TODAY()</f>
        <v>46186</v>
      </c>
      <c r="G9" s="233">
        <f t="shared" ca="1" si="1"/>
        <v>46186</v>
      </c>
      <c r="H9" s="234">
        <f ca="1">IF(TODAY()&gt;SavingsGoals_Priorities17[[#This Row],[Goal Date]],1,(SavingsGoals_Priorities17[[#This Row],[Goal Date]]-SavingsGoals_Priorities17[[#This Row],[Start Date]])/7)</f>
        <v>0</v>
      </c>
      <c r="I9" s="266">
        <v>0</v>
      </c>
      <c r="J9" s="241">
        <f ca="1">SavingsGoals_Priorities17[[#This Row],[Min/Week]]/SavingsGoals_Priorities17[[#Totals],[Min/Week]]</f>
        <v>0</v>
      </c>
      <c r="K9" s="262">
        <f ca="1">IF($N$4&lt;SavingsGoals_Priorities17[[#Totals],[Min/Week]],SavingsGoals_Priorities17[[#This Row],[%1]]*$N$4,SavingsGoals_Priorities17[[#This Row],[Min/Week]])</f>
        <v>0</v>
      </c>
      <c r="L9" s="206">
        <f>1981.25-40</f>
        <v>1941.25</v>
      </c>
      <c r="M9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1941.25</v>
      </c>
      <c r="N9" s="268">
        <f>IF(OR(SavingsGoals_Priorities17[[#This Row],[Account]]="Personal CC",SavingsGoals_Priorities17[[#This Row],[Account]]="Bill Pay CC"),1-(L9/E9),SavingsGoals_Priorities17[[#This Row],[Balance]]/SavingsGoals_Priorities17[[#This Row],[Target]])</f>
        <v>-7.8472222222222276E-2</v>
      </c>
      <c r="O9" s="4">
        <f ca="1">IF(((SavingsGoals_Priorities17[[#This Row],[Goal Date]]-TODAY())/7)&lt;0,0,((SavingsGoals_Priorities17[[#This Row],[Goal Date]]-TODAY())/7))</f>
        <v>0.2857142857142857</v>
      </c>
      <c r="P9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1800</v>
      </c>
      <c r="Q9" s="238" t="e">
        <f ca="1">SavingsGoals_Priorities17[[#This Row],[Needed]]/SavingsGoals_Priorities17[[#Totals],[Needed]]</f>
        <v>#REF!</v>
      </c>
      <c r="R9" s="263">
        <f ca="1">IF($N$4&lt;SavingsGoals_Priorities17[[#Totals],[Min/Week]],0,SavingsGoals_Priorities17[[#This Row],[%]]*($N$4-SavingsGoals_Priorities17[[#Totals],[Min/Week]]))</f>
        <v>0</v>
      </c>
      <c r="S9" s="274">
        <f>1/(ROW(SavingsGoals_Priorities17[[#This Row],[Goal]])-8)</f>
        <v>1</v>
      </c>
      <c r="T9" s="238">
        <f>(SavingsGoals_Priorities17[[#This Row],[Column2]]/SUM(SavingsGoals_Priorities17[Column2]))</f>
        <v>0.3534857623790153</v>
      </c>
      <c r="U9" s="203">
        <f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1941.25</v>
      </c>
      <c r="V9" s="269">
        <f>SavingsGoals_Priorities17[[#This Row],[Column1]]*$N$4</f>
        <v>153.41282087249263</v>
      </c>
      <c r="W9" s="270" t="e">
        <f>-#REF!</f>
        <v>#REF!</v>
      </c>
      <c r="X9" s="278">
        <f>SavingsGoals_Priorities17[[#This Row],[Column1]]*$E$25</f>
        <v>-26.511432178426148</v>
      </c>
      <c r="Y9" s="4">
        <f>SavingsGoals_Priorities17[[#This Row],[$ Remain.]]/SavingsGoals_Priorities17[[#This Row],[Allot.2]]</f>
        <v>-73.223128306878309</v>
      </c>
      <c r="Z9" s="40">
        <f ca="1">TODAY()+(SavingsGoals_Priorities17[[#This Row],[Week Remaining]]*7)</f>
        <v>45671.438101851854</v>
      </c>
    </row>
    <row r="10" spans="1:26" x14ac:dyDescent="0.35">
      <c r="B10" s="242">
        <f t="shared" si="0"/>
        <v>2</v>
      </c>
      <c r="C10" t="s">
        <v>288</v>
      </c>
      <c r="D10" t="s">
        <v>289</v>
      </c>
      <c r="E10" s="202">
        <v>900</v>
      </c>
      <c r="F10" s="233">
        <f t="shared" ca="1" si="1"/>
        <v>46186</v>
      </c>
      <c r="G10" s="233">
        <f t="shared" ca="1" si="1"/>
        <v>46186</v>
      </c>
      <c r="H10" s="234">
        <f ca="1">IF(TODAY()&gt;SavingsGoals_Priorities17[[#This Row],[Goal Date]],1,(SavingsGoals_Priorities17[[#This Row],[Goal Date]]-SavingsGoals_Priorities17[[#This Row],[Start Date]])/7)</f>
        <v>0</v>
      </c>
      <c r="I10" s="266">
        <v>0</v>
      </c>
      <c r="J10" s="241">
        <f ca="1">SavingsGoals_Priorities17[[#This Row],[Min/Week]]/SavingsGoals_Priorities17[[#Totals],[Min/Week]]</f>
        <v>0</v>
      </c>
      <c r="K10" s="262">
        <f ca="1">IF($N$4&lt;SavingsGoals_Priorities17[[#Totals],[Min/Week]],SavingsGoals_Priorities17[[#This Row],[%1]]*$N$4,SavingsGoals_Priorities17[[#This Row],[Min/Week]])</f>
        <v>0</v>
      </c>
      <c r="L10" s="206">
        <f>762-20</f>
        <v>742</v>
      </c>
      <c r="M10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742</v>
      </c>
      <c r="N10" s="268">
        <f>IF(OR(SavingsGoals_Priorities17[[#This Row],[Account]]="Personal CC",SavingsGoals_Priorities17[[#This Row],[Account]]="Bill Pay CC"),1-(L10/E10),SavingsGoals_Priorities17[[#This Row],[Balance]]/SavingsGoals_Priorities17[[#This Row],[Target]])</f>
        <v>0.17555555555555558</v>
      </c>
      <c r="O10" s="4">
        <f ca="1">IF(((SavingsGoals_Priorities17[[#This Row],[Goal Date]]-TODAY())/7)&lt;0,0,((SavingsGoals_Priorities17[[#This Row],[Goal Date]]-TODAY())/7))</f>
        <v>0.2857142857142857</v>
      </c>
      <c r="P10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900</v>
      </c>
      <c r="Q10" s="238" t="e">
        <f ca="1">SavingsGoals_Priorities17[[#This Row],[Needed]]/SavingsGoals_Priorities17[[#Totals],[Needed]]</f>
        <v>#REF!</v>
      </c>
      <c r="R10" s="263">
        <f ca="1">IF($N$4&lt;SavingsGoals_Priorities17[[#Totals],[Min/Week]],0,SavingsGoals_Priorities17[[#This Row],[%]]*($N$4-SavingsGoals_Priorities17[[#Totals],[Min/Week]]))</f>
        <v>0</v>
      </c>
      <c r="S10" s="274">
        <f>1/(ROW(SavingsGoals_Priorities17[[#This Row],[Goal]])-8)</f>
        <v>0.5</v>
      </c>
      <c r="T10" s="238">
        <f>(SavingsGoals_Priorities17[[#This Row],[Column2]]/SUM(SavingsGoals_Priorities17[Column2]))</f>
        <v>0.17674288118950765</v>
      </c>
      <c r="U10" s="203">
        <f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742</v>
      </c>
      <c r="V10" s="269">
        <f>SavingsGoals_Priorities17[[#This Row],[Column1]]*$N$4</f>
        <v>76.706410436246315</v>
      </c>
      <c r="W10" s="270" t="e">
        <f>-#REF!</f>
        <v>#REF!</v>
      </c>
      <c r="X10" s="278">
        <f>SavingsGoals_Priorities17[[#This Row],[Column1]]*$E$25</f>
        <v>-13.255716089213074</v>
      </c>
      <c r="Y10" s="4">
        <f>SavingsGoals_Priorities17[[#This Row],[$ Remain.]]/SavingsGoals_Priorities17[[#This Row],[Allot.2]]</f>
        <v>-55.97585185185185</v>
      </c>
      <c r="Z10" s="40">
        <f ca="1">TODAY()+(SavingsGoals_Priorities17[[#This Row],[Week Remaining]]*7)</f>
        <v>45792.169037037034</v>
      </c>
    </row>
    <row r="11" spans="1:26" x14ac:dyDescent="0.35">
      <c r="B11" s="242">
        <f>ROW()-8</f>
        <v>3</v>
      </c>
      <c r="C11" t="s">
        <v>290</v>
      </c>
      <c r="D11" t="s">
        <v>224</v>
      </c>
      <c r="E11" s="202">
        <v>169</v>
      </c>
      <c r="F11" s="233">
        <f t="shared" ca="1" si="1"/>
        <v>46186</v>
      </c>
      <c r="G11" s="233">
        <f t="shared" ca="1" si="1"/>
        <v>46186</v>
      </c>
      <c r="H11" s="234">
        <f ca="1">IF(TODAY()&gt;SavingsGoals_Priorities17[[#This Row],[Goal Date]],1,(SavingsGoals_Priorities17[[#This Row],[Goal Date]]-SavingsGoals_Priorities17[[#This Row],[Start Date]])/7)</f>
        <v>0</v>
      </c>
      <c r="I11" s="266">
        <f>SavingsGoals_Priorities17[[#This Row],[Target]]</f>
        <v>169</v>
      </c>
      <c r="J11" s="241">
        <f ca="1">SavingsGoals_Priorities17[[#This Row],[Min/Week]]/SavingsGoals_Priorities17[[#Totals],[Min/Week]]</f>
        <v>1.1717793041160673E-2</v>
      </c>
      <c r="K11" s="262">
        <f ca="1">IF($N$4&lt;SavingsGoals_Priorities17[[#Totals],[Min/Week]],SavingsGoals_Priorities17[[#This Row],[%1]]*$N$4,SavingsGoals_Priorities17[[#This Row],[Min/Week]])</f>
        <v>5.085522179863732</v>
      </c>
      <c r="L11" s="206">
        <v>17</v>
      </c>
      <c r="M11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152</v>
      </c>
      <c r="N11" s="268">
        <f>IF(OR(SavingsGoals_Priorities17[[#This Row],[Account]]="Personal CC",SavingsGoals_Priorities17[[#This Row],[Account]]="Bill Pay CC"),1-(L11/E11),SavingsGoals_Priorities17[[#This Row],[Balance]]/SavingsGoals_Priorities17[[#This Row],[Target]])</f>
        <v>0.10059171597633136</v>
      </c>
      <c r="O11" s="4">
        <f ca="1">IF(((SavingsGoals_Priorities17[[#This Row],[Goal Date]]-TODAY())/7)&lt;0,0,((SavingsGoals_Priorities17[[#This Row],[Goal Date]]-TODAY())/7))</f>
        <v>0.2857142857142857</v>
      </c>
      <c r="P11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169</v>
      </c>
      <c r="Q11" s="238" t="e">
        <f ca="1">SavingsGoals_Priorities17[[#This Row],[Needed]]/SavingsGoals_Priorities17[[#Totals],[Needed]]</f>
        <v>#REF!</v>
      </c>
      <c r="R11" s="263">
        <f ca="1">IF($N$4&lt;SavingsGoals_Priorities17[[#Totals],[Min/Week]],0,SavingsGoals_Priorities17[[#This Row],[%]]*($N$4-SavingsGoals_Priorities17[[#Totals],[Min/Week]]))</f>
        <v>0</v>
      </c>
      <c r="S11" s="274">
        <f>1/(ROW(SavingsGoals_Priorities17[[#This Row],[Goal]])-8)</f>
        <v>0.33333333333333331</v>
      </c>
      <c r="T11" s="277">
        <f>(SavingsGoals_Priorities17[[#This Row],[Column2]]/SUM(SavingsGoals_Priorities17[Column2]))</f>
        <v>0.11782858745967177</v>
      </c>
      <c r="U11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152</v>
      </c>
      <c r="V11" s="269">
        <f>SavingsGoals_Priorities17[[#This Row],[Column1]]*$N$4</f>
        <v>51.137606957497546</v>
      </c>
      <c r="W11" s="270"/>
      <c r="X11" s="278">
        <f>SavingsGoals_Priorities17[[#This Row],[Column1]]*$E$25</f>
        <v>-8.8371440594753832</v>
      </c>
      <c r="Y11" s="4">
        <f>SavingsGoals_Priorities17[[#This Row],[$ Remain.]]/SavingsGoals_Priorities17[[#This Row],[Allot.2]]</f>
        <v>-17.200126984126982</v>
      </c>
      <c r="Z11" s="40">
        <f ca="1">TODAY()+(SavingsGoals_Priorities17[[#This Row],[Week Remaining]]*7)</f>
        <v>46063.599111111114</v>
      </c>
    </row>
    <row r="12" spans="1:26" x14ac:dyDescent="0.35">
      <c r="B12" s="242">
        <f t="shared" si="0"/>
        <v>4</v>
      </c>
      <c r="C12" t="s">
        <v>204</v>
      </c>
      <c r="D12" t="s">
        <v>262</v>
      </c>
      <c r="E12" s="202">
        <v>2677.89</v>
      </c>
      <c r="F12" s="233">
        <v>0</v>
      </c>
      <c r="G12" s="233">
        <v>0</v>
      </c>
      <c r="H12" s="181">
        <f ca="1">IF(TODAY()&gt;SavingsGoals_Priorities17[[#This Row],[Goal Date]],1,(SavingsGoals_Priorities17[[#This Row],[Goal Date]]-SavingsGoals_Priorities17[[#This Row],[Start Date]])/7)</f>
        <v>1</v>
      </c>
      <c r="I12" s="266">
        <f ca="1">IFERROR(SavingsGoals_Priorities17[[#This Row],[Target]]/SavingsGoals_Priorities17[[#This Row],[Wks to Goal]],"")</f>
        <v>2677.89</v>
      </c>
      <c r="J12" s="180">
        <f ca="1">SavingsGoals_Priorities17[[#This Row],[Min/Week]]/SavingsGoals_Priorities17[[#Totals],[Min/Week]]</f>
        <v>0.18567432430173819</v>
      </c>
      <c r="K12" s="75">
        <f ca="1">IF($N$4&lt;SavingsGoals_Priorities17[[#Totals],[Min/Week]],SavingsGoals_Priorities17[[#This Row],[%1]]*$N$4,SavingsGoals_Priorities17[[#This Row],[Min/Week]])</f>
        <v>80.58265674695437</v>
      </c>
      <c r="L12" s="206">
        <v>11.9</v>
      </c>
      <c r="M12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2665.99</v>
      </c>
      <c r="N12" s="268">
        <f>IF(OR(SavingsGoals_Priorities17[[#This Row],[Account]]="Personal CC",SavingsGoals_Priorities17[[#This Row],[Account]]="Bill Pay CC"),1-(L12/E12),SavingsGoals_Priorities17[[#This Row],[Balance]]/SavingsGoals_Priorities17[[#This Row],[Target]])</f>
        <v>4.4437971686663753E-3</v>
      </c>
      <c r="O12" s="4">
        <f ca="1">IF(((SavingsGoals_Priorities17[[#This Row],[Goal Date]]-TODAY())/7)&lt;0,0,((SavingsGoals_Priorities17[[#This Row],[Goal Date]]-TODAY())/7))</f>
        <v>0</v>
      </c>
      <c r="P12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2677.89</v>
      </c>
      <c r="Q12" s="238" t="e">
        <f ca="1">SavingsGoals_Priorities17[[#This Row],[Needed]]/SavingsGoals_Priorities17[[#Totals],[Needed]]</f>
        <v>#REF!</v>
      </c>
      <c r="R12" s="263">
        <f ca="1">IF($N$4&lt;SavingsGoals_Priorities17[[#Totals],[Min/Week]],0,SavingsGoals_Priorities17[[#This Row],[%]]*($N$4-SavingsGoals_Priorities17[[#Totals],[Min/Week]]))</f>
        <v>0</v>
      </c>
      <c r="S12" s="274">
        <f>1/(ROW(SavingsGoals_Priorities17[[#This Row],[Goal]])-8)</f>
        <v>0.25</v>
      </c>
      <c r="T12" s="238">
        <f>(SavingsGoals_Priorities17[[#This Row],[Column2]]/SUM(SavingsGoals_Priorities17[Column2]))</f>
        <v>8.8371440594753825E-2</v>
      </c>
      <c r="U12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2665.99</v>
      </c>
      <c r="V12" s="269">
        <f>SavingsGoals_Priorities17[[#This Row],[Column1]]*$N$4</f>
        <v>38.353205218123158</v>
      </c>
      <c r="W12" s="271"/>
      <c r="X12" s="278">
        <f>SavingsGoals_Priorities17[[#This Row],[Column1]]*$E$25</f>
        <v>-6.6278580446065369</v>
      </c>
      <c r="Y12" s="4">
        <f>SavingsGoals_Priorities17[[#This Row],[$ Remain.]]/SavingsGoals_Priorities17[[#This Row],[Allot.2]]</f>
        <v>-402.24005735449731</v>
      </c>
      <c r="Z12" s="40">
        <f ca="1">TODAY()+(SavingsGoals_Priorities17[[#This Row],[Week Remaining]]*7)</f>
        <v>43368.319598518516</v>
      </c>
    </row>
    <row r="13" spans="1:26" x14ac:dyDescent="0.35">
      <c r="B13" s="242">
        <f t="shared" si="0"/>
        <v>5</v>
      </c>
      <c r="C13" t="s">
        <v>268</v>
      </c>
      <c r="D13" s="240" t="s">
        <v>248</v>
      </c>
      <c r="E13" s="202" t="e">
        <f>#REF!</f>
        <v>#REF!</v>
      </c>
      <c r="F13" s="233" t="e">
        <f>#REF!</f>
        <v>#REF!</v>
      </c>
      <c r="G13" s="233" t="e">
        <f>#REF!</f>
        <v>#REF!</v>
      </c>
      <c r="H13" s="181" t="e">
        <f ca="1">IF(TODAY()&gt;SavingsGoals_Priorities17[[#This Row],[Goal Date]],1,(SavingsGoals_Priorities17[[#This Row],[Goal Date]]-SavingsGoals_Priorities17[[#This Row],[Start Date]])/7)</f>
        <v>#REF!</v>
      </c>
      <c r="I13" s="266" t="str">
        <f ca="1">IFERROR(SavingsGoals_Priorities17[[#This Row],[Target]]/SavingsGoals_Priorities17[[#This Row],[Wks to Goal]],"")</f>
        <v/>
      </c>
      <c r="J13" s="180" t="e">
        <f ca="1">SavingsGoals_Priorities17[[#This Row],[Min/Week]]/SavingsGoals_Priorities17[[#Totals],[Min/Week]]</f>
        <v>#VALUE!</v>
      </c>
      <c r="K13" s="75" t="e">
        <f ca="1">IF($N$4&lt;SavingsGoals_Priorities17[[#Totals],[Min/Week]],SavingsGoals_Priorities17[[#This Row],[%1]]*$N$4,SavingsGoals_Priorities17[[#This Row],[Min/Week]])</f>
        <v>#VALUE!</v>
      </c>
      <c r="L13" s="206">
        <v>13.63</v>
      </c>
      <c r="M13" s="197" t="e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#REF!</v>
      </c>
      <c r="N13" s="268" t="e">
        <f>IF(OR(SavingsGoals_Priorities17[[#This Row],[Account]]="Personal CC",SavingsGoals_Priorities17[[#This Row],[Account]]="Bill Pay CC"),1-(L13/E13),SavingsGoals_Priorities17[[#This Row],[Balance]]/SavingsGoals_Priorities17[[#This Row],[Target]])</f>
        <v>#REF!</v>
      </c>
      <c r="O13" s="4" t="e">
        <f ca="1">IF(((SavingsGoals_Priorities17[[#This Row],[Goal Date]]-TODAY())/7)&lt;0,0,((SavingsGoals_Priorities17[[#This Row],[Goal Date]]-TODAY())/7))</f>
        <v>#REF!</v>
      </c>
      <c r="P13" s="61" t="e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#REF!</v>
      </c>
      <c r="Q13" s="238" t="e">
        <f ca="1">SavingsGoals_Priorities17[[#This Row],[Needed]]/SavingsGoals_Priorities17[[#Totals],[Needed]]</f>
        <v>#REF!</v>
      </c>
      <c r="R13" s="263">
        <f ca="1">IF($N$4&lt;SavingsGoals_Priorities17[[#Totals],[Min/Week]],0,SavingsGoals_Priorities17[[#This Row],[%]]*($N$4-SavingsGoals_Priorities17[[#Totals],[Min/Week]]))</f>
        <v>0</v>
      </c>
      <c r="S13" s="274">
        <f>1/(ROW(SavingsGoals_Priorities17[[#This Row],[Goal]])-8)</f>
        <v>0.2</v>
      </c>
      <c r="T13" s="238">
        <f>(SavingsGoals_Priorities17[[#This Row],[Column2]]/SUM(SavingsGoals_Priorities17[Column2]))</f>
        <v>7.0697152475803063E-2</v>
      </c>
      <c r="U13" s="203" t="e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#REF!</v>
      </c>
      <c r="V13" s="269">
        <f>SavingsGoals_Priorities17[[#This Row],[Column1]]*$N$4</f>
        <v>30.68256417449853</v>
      </c>
      <c r="W13" s="271"/>
      <c r="X13" s="278">
        <f>SavingsGoals_Priorities17[[#This Row],[Column1]]*$E$25</f>
        <v>-5.3022864356852297</v>
      </c>
      <c r="Y13" s="4" t="e">
        <f>SavingsGoals_Priorities17[[#This Row],[$ Remain.]]/SavingsGoals_Priorities17[[#This Row],[Allot.2]]</f>
        <v>#REF!</v>
      </c>
      <c r="Z13" s="40" t="e">
        <f ca="1">TODAY()+(SavingsGoals_Priorities17[[#This Row],[Week Remaining]]*7)</f>
        <v>#REF!</v>
      </c>
    </row>
    <row r="14" spans="1:26" x14ac:dyDescent="0.35">
      <c r="B14" s="242">
        <f t="shared" si="0"/>
        <v>6</v>
      </c>
      <c r="C14" s="267" t="s">
        <v>271</v>
      </c>
      <c r="D14" t="s">
        <v>259</v>
      </c>
      <c r="E14" s="202">
        <v>1492</v>
      </c>
      <c r="F14" s="207">
        <v>45398</v>
      </c>
      <c r="G14" s="254">
        <v>45580</v>
      </c>
      <c r="H14" s="181">
        <f ca="1">IF(TODAY()&gt;SavingsGoals_Priorities17[[#This Row],[Goal Date]],1,(SavingsGoals_Priorities17[[#This Row],[Goal Date]]-SavingsGoals_Priorities17[[#This Row],[Start Date]])/7)</f>
        <v>1</v>
      </c>
      <c r="I14" s="266">
        <f ca="1">IFERROR(SavingsGoals_Priorities17[[#This Row],[Target]]/SavingsGoals_Priorities17[[#This Row],[Wks to Goal]],"")</f>
        <v>1492</v>
      </c>
      <c r="J14" s="180">
        <f ca="1">SavingsGoals_Priorities17[[#This Row],[Min/Week]]/SavingsGoals_Priorities17[[#Totals],[Min/Week]]</f>
        <v>0.10344939181900428</v>
      </c>
      <c r="K14" s="75">
        <f ca="1">IF($N$4&lt;SavingsGoals_Priorities17[[#Totals],[Min/Week]],SavingsGoals_Priorities17[[#This Row],[%1]]*$N$4,SavingsGoals_Priorities17[[#This Row],[Min/Week]])</f>
        <v>44.897036049447856</v>
      </c>
      <c r="L14" s="206">
        <v>8.8000000000000007</v>
      </c>
      <c r="M14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1483.2</v>
      </c>
      <c r="N14" s="268">
        <f>IF(OR(SavingsGoals_Priorities17[[#This Row],[Account]]="Personal CC",SavingsGoals_Priorities17[[#This Row],[Account]]="Bill Pay CC"),1-(L14/E14),SavingsGoals_Priorities17[[#This Row],[Balance]]/SavingsGoals_Priorities17[[#This Row],[Target]])</f>
        <v>5.8981233243967836E-3</v>
      </c>
      <c r="O14" s="4">
        <f ca="1">IF(((SavingsGoals_Priorities17[[#This Row],[Goal Date]]-TODAY())/7)&lt;0,0,((SavingsGoals_Priorities17[[#This Row],[Goal Date]]-TODAY())/7))</f>
        <v>0</v>
      </c>
      <c r="P14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1492</v>
      </c>
      <c r="Q14" s="238" t="e">
        <f ca="1">SavingsGoals_Priorities17[[#This Row],[Needed]]/SavingsGoals_Priorities17[[#Totals],[Needed]]</f>
        <v>#REF!</v>
      </c>
      <c r="R14" s="263">
        <f ca="1">IF($N$4&lt;SavingsGoals_Priorities17[[#Totals],[Min/Week]],0,SavingsGoals_Priorities17[[#This Row],[%]]*($N$4-SavingsGoals_Priorities17[[#Totals],[Min/Week]]))</f>
        <v>0</v>
      </c>
      <c r="S14" s="274">
        <f>1/(ROW(SavingsGoals_Priorities17[[#This Row],[Goal]])-8)</f>
        <v>0.16666666666666666</v>
      </c>
      <c r="T14" s="238">
        <f>(SavingsGoals_Priorities17[[#This Row],[Column2]]/SUM(SavingsGoals_Priorities17[Column2]))</f>
        <v>5.8914293729835886E-2</v>
      </c>
      <c r="U14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1483.2</v>
      </c>
      <c r="V14" s="269">
        <f>SavingsGoals_Priorities17[[#This Row],[Column1]]*$N$4</f>
        <v>25.568803478748773</v>
      </c>
      <c r="W14" s="270" t="e">
        <f>-#REF!</f>
        <v>#REF!</v>
      </c>
      <c r="X14" s="278">
        <f>SavingsGoals_Priorities17[[#This Row],[Column1]]*$E$25</f>
        <v>-4.4185720297376916</v>
      </c>
      <c r="Y14" s="4">
        <f>SavingsGoals_Priorities17[[#This Row],[$ Remain.]]/SavingsGoals_Priorities17[[#This Row],[Allot.2]]</f>
        <v>-335.67405714285712</v>
      </c>
      <c r="Z14" s="40">
        <f ca="1">TODAY()+(SavingsGoals_Priorities17[[#This Row],[Week Remaining]]*7)</f>
        <v>43834.281600000002</v>
      </c>
    </row>
    <row r="15" spans="1:26" x14ac:dyDescent="0.35">
      <c r="A15" s="235"/>
      <c r="B15" s="242">
        <f t="shared" si="0"/>
        <v>7</v>
      </c>
      <c r="C15" t="s">
        <v>225</v>
      </c>
      <c r="D15" t="s">
        <v>261</v>
      </c>
      <c r="E15" s="202">
        <v>10000</v>
      </c>
      <c r="F15" s="207">
        <v>45047</v>
      </c>
      <c r="G15" s="207">
        <v>46174</v>
      </c>
      <c r="H15" s="181">
        <f ca="1">IF(TODAY()&gt;SavingsGoals_Priorities17[[#This Row],[Goal Date]],1,(SavingsGoals_Priorities17[[#This Row],[Goal Date]]-SavingsGoals_Priorities17[[#This Row],[Start Date]])/7)</f>
        <v>1</v>
      </c>
      <c r="I15" s="266">
        <f ca="1">IFERROR(SavingsGoals_Priorities17[[#This Row],[Target]]/SavingsGoals_Priorities17[[#This Row],[Wks to Goal]],"")</f>
        <v>10000</v>
      </c>
      <c r="J15" s="180">
        <f ca="1">SavingsGoals_Priorities17[[#This Row],[Min/Week]]/SavingsGoals_Priorities17[[#Totals],[Min/Week]]</f>
        <v>0.69336053497992145</v>
      </c>
      <c r="K15" s="75">
        <f ca="1">IF($N$4&lt;SavingsGoals_Priorities17[[#Totals],[Min/Week]],SavingsGoals_Priorities17[[#This Row],[%1]]*$N$4,SavingsGoals_Priorities17[[#This Row],[Min/Week]])</f>
        <v>300.91847218128589</v>
      </c>
      <c r="L15" s="205">
        <v>170</v>
      </c>
      <c r="M15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9830</v>
      </c>
      <c r="N15" s="268">
        <f>IF(OR(SavingsGoals_Priorities17[[#This Row],[Account]]="Personal CC",SavingsGoals_Priorities17[[#This Row],[Account]]="Bill Pay CC"),1-(L15/E15),SavingsGoals_Priorities17[[#This Row],[Balance]]/SavingsGoals_Priorities17[[#This Row],[Target]])</f>
        <v>1.7000000000000001E-2</v>
      </c>
      <c r="O15" s="4">
        <f ca="1">IF(((SavingsGoals_Priorities17[[#This Row],[Goal Date]]-TODAY())/7)&lt;0,0,((SavingsGoals_Priorities17[[#This Row],[Goal Date]]-TODAY())/7))</f>
        <v>0</v>
      </c>
      <c r="P15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10000</v>
      </c>
      <c r="Q15" s="238" t="e">
        <f ca="1">SavingsGoals_Priorities17[[#This Row],[Needed]]/SavingsGoals_Priorities17[[#Totals],[Needed]]</f>
        <v>#REF!</v>
      </c>
      <c r="R15" s="263">
        <f ca="1">IF($N$4&lt;SavingsGoals_Priorities17[[#Totals],[Min/Week]],0,SavingsGoals_Priorities17[[#This Row],[%]]*($N$4-SavingsGoals_Priorities17[[#Totals],[Min/Week]]))</f>
        <v>0</v>
      </c>
      <c r="S15" s="274">
        <f>1/(ROW(SavingsGoals_Priorities17[[#This Row],[Goal]])-8)</f>
        <v>0.14285714285714285</v>
      </c>
      <c r="T15" s="238">
        <f>(SavingsGoals_Priorities17[[#This Row],[Column2]]/SUM(SavingsGoals_Priorities17[Column2]))</f>
        <v>5.0497966054145041E-2</v>
      </c>
      <c r="U15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9830</v>
      </c>
      <c r="V15" s="269">
        <f>SavingsGoals_Priorities17[[#This Row],[Column1]]*$N$4</f>
        <v>21.916117267498947</v>
      </c>
      <c r="W15" s="271"/>
      <c r="X15" s="278">
        <f>SavingsGoals_Priorities17[[#This Row],[Column1]]*$E$25</f>
        <v>-3.7873474540608782</v>
      </c>
      <c r="Y15" s="4">
        <f>SavingsGoals_Priorities17[[#This Row],[$ Remain.]]/SavingsGoals_Priorities17[[#This Row],[Allot.2]]</f>
        <v>-2595.4840740740738</v>
      </c>
      <c r="Z15" s="40">
        <f ca="1">TODAY()+(SavingsGoals_Priorities17[[#This Row],[Week Remaining]]*7)</f>
        <v>28015.611481481483</v>
      </c>
    </row>
    <row r="16" spans="1:26" x14ac:dyDescent="0.35">
      <c r="A16" s="235"/>
      <c r="B16" s="242">
        <f t="shared" si="0"/>
        <v>8</v>
      </c>
      <c r="C16" t="s">
        <v>216</v>
      </c>
      <c r="D16" t="s">
        <v>260</v>
      </c>
      <c r="E16" s="202">
        <v>870</v>
      </c>
      <c r="F16" s="233">
        <f ca="1">SavingsGoals_Priorities17[[#This Row],[Goal Date]]-90</f>
        <v>46113</v>
      </c>
      <c r="G16" s="233">
        <f ca="1">EOMONTH(TODAY(),MOD(-MONTH(TODAY()),3))</f>
        <v>46203</v>
      </c>
      <c r="H16" s="181">
        <f ca="1">IF(TODAY()&gt;SavingsGoals_Priorities17[[#This Row],[Goal Date]],1,(SavingsGoals_Priorities17[[#This Row],[Goal Date]]-SavingsGoals_Priorities17[[#This Row],[Start Date]])/7)</f>
        <v>12.857142857142858</v>
      </c>
      <c r="I16" s="266">
        <f ca="1">IFERROR(SavingsGoals_Priorities17[[#This Row],[Target]]/SavingsGoals_Priorities17[[#This Row],[Wks to Goal]],"")</f>
        <v>67.666666666666657</v>
      </c>
      <c r="J16" s="180">
        <f ca="1">SavingsGoals_Priorities17[[#This Row],[Min/Week]]/SavingsGoals_Priorities17[[#Totals],[Min/Week]]</f>
        <v>4.6917396200308013E-3</v>
      </c>
      <c r="K16" s="75">
        <f ca="1">IF($N$4&lt;SavingsGoals_Priorities17[[#Totals],[Min/Week]],SavingsGoals_Priorities17[[#This Row],[%1]]*$N$4,SavingsGoals_Priorities17[[#This Row],[Min/Week]])</f>
        <v>2.0362149950933679</v>
      </c>
      <c r="L16" s="205">
        <v>6.58</v>
      </c>
      <c r="M16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863.42</v>
      </c>
      <c r="N16" s="268">
        <f>IF(OR(SavingsGoals_Priorities17[[#This Row],[Account]]="Personal CC",SavingsGoals_Priorities17[[#This Row],[Account]]="Bill Pay CC"),1-(L16/E16),SavingsGoals_Priorities17[[#This Row],[Balance]]/SavingsGoals_Priorities17[[#This Row],[Target]])</f>
        <v>7.5632183908045979E-3</v>
      </c>
      <c r="O16" s="4">
        <f ca="1">IF(((SavingsGoals_Priorities17[[#This Row],[Goal Date]]-TODAY())/7)&lt;0,0,((SavingsGoals_Priorities17[[#This Row],[Goal Date]]-TODAY())/7))</f>
        <v>2.7142857142857144</v>
      </c>
      <c r="P16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686.33333333333326</v>
      </c>
      <c r="Q16" s="238" t="e">
        <f ca="1">SavingsGoals_Priorities17[[#This Row],[Needed]]/SavingsGoals_Priorities17[[#Totals],[Needed]]</f>
        <v>#REF!</v>
      </c>
      <c r="R16" s="263">
        <f ca="1">IF($N$4&lt;SavingsGoals_Priorities17[[#Totals],[Min/Week]],0,SavingsGoals_Priorities17[[#This Row],[%]]*($N$4-SavingsGoals_Priorities17[[#Totals],[Min/Week]]))</f>
        <v>0</v>
      </c>
      <c r="S16" s="274">
        <f>1/(ROW(SavingsGoals_Priorities17[[#This Row],[Goal]])-8)</f>
        <v>0.125</v>
      </c>
      <c r="T16" s="238">
        <f>(SavingsGoals_Priorities17[[#This Row],[Column2]]/SUM(SavingsGoals_Priorities17[Column2]))</f>
        <v>4.4185720297376913E-2</v>
      </c>
      <c r="U16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679.75333333333322</v>
      </c>
      <c r="V16" s="269">
        <f>SavingsGoals_Priorities17[[#This Row],[Column1]]*$N$4</f>
        <v>19.176602609061579</v>
      </c>
      <c r="W16" s="271"/>
      <c r="X16" s="278">
        <f>SavingsGoals_Priorities17[[#This Row],[Column1]]*$E$25</f>
        <v>-3.3139290223032685</v>
      </c>
      <c r="Y16" s="4">
        <f>SavingsGoals_Priorities17[[#This Row],[$ Remain.]]/SavingsGoals_Priorities17[[#This Row],[Allot.2]]</f>
        <v>-260.54269544973545</v>
      </c>
      <c r="Z16" s="40">
        <f ca="1">TODAY()+(SavingsGoals_Priorities17[[#This Row],[Week Remaining]]*7)</f>
        <v>44360.201131851849</v>
      </c>
    </row>
    <row r="17" spans="1:26" x14ac:dyDescent="0.35">
      <c r="A17" s="235"/>
      <c r="B17" s="242">
        <f t="shared" si="0"/>
        <v>9</v>
      </c>
      <c r="C17" s="267" t="s">
        <v>275</v>
      </c>
      <c r="D17" s="273"/>
      <c r="E17" s="202">
        <v>800</v>
      </c>
      <c r="F17" s="233">
        <f ca="1">IF(TODAY()&gt;DATE(YEAR(TODAY()),12,25),DATE(YEAR(TODAY())+1,1,1),DATE(YEAR(TODAY()),1,1))</f>
        <v>46023</v>
      </c>
      <c r="G17" s="233">
        <f ca="1">IF(TODAY()&gt;DATE(YEAR(TODAY()),12,25),DATE(YEAR(TODAY())+1,12,25-7),DATE(YEAR(TODAY()),12,25-7))</f>
        <v>46374</v>
      </c>
      <c r="H17" s="181">
        <f ca="1">IF(TODAY()&gt;SavingsGoals_Priorities17[[#This Row],[Goal Date]],1,(SavingsGoals_Priorities17[[#This Row],[Goal Date]]-SavingsGoals_Priorities17[[#This Row],[Start Date]])/7)</f>
        <v>50.142857142857146</v>
      </c>
      <c r="I17" s="266">
        <f ca="1">IFERROR(SavingsGoals_Priorities17[[#This Row],[Target]]/SavingsGoals_Priorities17[[#This Row],[Wks to Goal]],"")</f>
        <v>15.954415954415953</v>
      </c>
      <c r="J17" s="180">
        <f ca="1">SavingsGoals_Priorities17[[#This Row],[Min/Week]]/SavingsGoals_Priorities17[[#Totals],[Min/Week]]</f>
        <v>1.106216238144604E-3</v>
      </c>
      <c r="K17" s="75">
        <f ca="1">IF($N$4&lt;SavingsGoals_Priorities17[[#Totals],[Min/Week]],SavingsGoals_Priorities17[[#This Row],[%1]]*$N$4,SavingsGoals_Priorities17[[#This Row],[Min/Week]])</f>
        <v>0.48009784735475813</v>
      </c>
      <c r="L17" s="206">
        <v>0</v>
      </c>
      <c r="M17" s="197">
        <f>IF(OR(SavingsGoals_Priorities17[[#This Row],[Account]]="Personal CC",SavingsGoals_Priorities17[[#This Row],[Account]]="Bill Pay CC"),SavingsGoals_Priorities17[[#This Row],[Balance]],SavingsGoals_Priorities17[[#This Row],[Target]]-SavingsGoals_Priorities17[[#This Row],[Balance]])</f>
        <v>800</v>
      </c>
      <c r="N17" s="268">
        <f>IF(OR(SavingsGoals_Priorities17[[#This Row],[Account]]="Personal CC",SavingsGoals_Priorities17[[#This Row],[Account]]="Bill Pay CC"),1-(L17/E17),SavingsGoals_Priorities17[[#This Row],[Balance]]/SavingsGoals_Priorities17[[#This Row],[Target]])</f>
        <v>0</v>
      </c>
      <c r="O17" s="4">
        <f ca="1">IF(((SavingsGoals_Priorities17[[#This Row],[Goal Date]]-TODAY())/7)&lt;0,0,((SavingsGoals_Priorities17[[#This Row],[Goal Date]]-TODAY())/7))</f>
        <v>27.142857142857142</v>
      </c>
      <c r="P17" s="61">
        <f ca="1">IF(SavingsGoals_Priorities17[[#This Row],[Wks to Goal]]=0,SavingsGoals_Priorities17[[#This Row],[Target]],(SavingsGoals_Priorities17[[#This Row],[Wks to Goal]]-SavingsGoals_Priorities17[[#This Row],[Remain. Wks]])*(SavingsGoals_Priorities17[[#This Row],[Target]]/SavingsGoals_Priorities17[[#This Row],[Wks to Goal]]))</f>
        <v>366.95156695156697</v>
      </c>
      <c r="Q17" s="238" t="e">
        <f ca="1">SavingsGoals_Priorities17[[#This Row],[Needed]]/SavingsGoals_Priorities17[[#Totals],[Needed]]</f>
        <v>#REF!</v>
      </c>
      <c r="R17" s="263">
        <f ca="1">IF($N$4&lt;SavingsGoals_Priorities17[[#Totals],[Min/Week]],0,SavingsGoals_Priorities17[[#This Row],[%]]*($N$4-SavingsGoals_Priorities17[[#Totals],[Min/Week]]))</f>
        <v>0</v>
      </c>
      <c r="S17" s="274">
        <f>1/(ROW(SavingsGoals_Priorities17[[#This Row],[Goal]])-8)</f>
        <v>0.1111111111111111</v>
      </c>
      <c r="T17" s="238">
        <f>(SavingsGoals_Priorities17[[#This Row],[Column2]]/SUM(SavingsGoals_Priorities17[Column2]))</f>
        <v>3.9276195819890593E-2</v>
      </c>
      <c r="U17" s="203">
        <f ca="1">IF(OR(SavingsGoals_Priorities17[[#This Row],[Account]]="Personal CC",SavingsGoals_Priorities17[[#This Row],[Account]]="Bill Pay CC"),SavingsGoals_Priorities17[[#This Row],[Balance]],SavingsGoals_Priorities17[[#This Row],[Expected]]-SavingsGoals_Priorities17[[#This Row],[Balance]])</f>
        <v>366.95156695156697</v>
      </c>
      <c r="V17" s="269">
        <f>SavingsGoals_Priorities17[[#This Row],[Column1]]*$N$4</f>
        <v>17.045868985832517</v>
      </c>
      <c r="W17" s="271"/>
      <c r="X17" s="278">
        <f>SavingsGoals_Priorities17[[#This Row],[Column1]]*$E$25</f>
        <v>-2.9457146864917942</v>
      </c>
      <c r="Y17" s="4">
        <f>SavingsGoals_Priorities17[[#This Row],[$ Remain.]]/SavingsGoals_Priorities17[[#This Row],[Allot.2]]</f>
        <v>-271.58095238095234</v>
      </c>
      <c r="Z17" s="40">
        <f ca="1">TODAY()+(SavingsGoals_Priorities17[[#This Row],[Week Remaining]]*7)</f>
        <v>44282.933333333334</v>
      </c>
    </row>
    <row r="18" spans="1:26" x14ac:dyDescent="0.35">
      <c r="B18" s="235"/>
      <c r="C18" s="235"/>
      <c r="D18" s="235"/>
      <c r="E18" s="235"/>
      <c r="F18" s="235"/>
      <c r="G18" s="235"/>
      <c r="H18" s="235"/>
      <c r="I18" s="260">
        <f ca="1">SUBTOTAL(109,SavingsGoals_Priorities17[Min/Week])</f>
        <v>14422.511082621082</v>
      </c>
      <c r="J18" s="260"/>
      <c r="K18" s="260" t="e">
        <f ca="1">SUBTOTAL(109,SavingsGoals_Priorities17[Min.])</f>
        <v>#VALUE!</v>
      </c>
      <c r="L18" s="235"/>
      <c r="M18" s="235"/>
      <c r="N18" s="235"/>
      <c r="O18" s="235"/>
      <c r="P18" s="235"/>
      <c r="Q18" s="235"/>
      <c r="R18" s="235"/>
      <c r="S18" s="8"/>
      <c r="T18" s="8"/>
      <c r="U18" s="8" t="e">
        <f ca="1">SUBTOTAL(109,SavingsGoals_Priorities17[Needed])</f>
        <v>#REF!</v>
      </c>
      <c r="V18" s="235"/>
    </row>
    <row r="19" spans="1:26" ht="15" thickBot="1" x14ac:dyDescent="0.4">
      <c r="B19" s="235"/>
      <c r="C19" s="235"/>
      <c r="D19" s="235"/>
      <c r="E19" s="235"/>
      <c r="F19" s="235"/>
      <c r="G19" s="235"/>
      <c r="H19" s="235"/>
      <c r="I19" s="235"/>
      <c r="J19" s="235"/>
      <c r="K19" s="235"/>
      <c r="L19" s="235"/>
      <c r="M19" s="235"/>
      <c r="N19" s="235"/>
      <c r="O19" s="235"/>
      <c r="P19" s="235"/>
    </row>
    <row r="20" spans="1:26" ht="15" thickBot="1" x14ac:dyDescent="0.4">
      <c r="B20" s="235"/>
      <c r="D20" s="208" t="s">
        <v>203</v>
      </c>
      <c r="E20" s="209" t="e">
        <f ca="1">SUM(SavingsGoals_Priorities17[Needed])</f>
        <v>#REF!</v>
      </c>
      <c r="G20" s="235"/>
      <c r="J20" s="235"/>
      <c r="K20" s="235"/>
      <c r="P20" s="235"/>
    </row>
    <row r="21" spans="1:26" ht="15" thickBot="1" x14ac:dyDescent="0.4">
      <c r="B21" s="235"/>
      <c r="J21" s="4"/>
    </row>
    <row r="22" spans="1:26" ht="15" thickBot="1" x14ac:dyDescent="0.4">
      <c r="B22" s="235"/>
      <c r="D22" s="192" t="s">
        <v>178</v>
      </c>
      <c r="E22" s="190">
        <v>434</v>
      </c>
      <c r="L22" s="4"/>
    </row>
    <row r="23" spans="1:26" x14ac:dyDescent="0.35">
      <c r="B23" s="235"/>
      <c r="L23" s="4"/>
    </row>
    <row r="24" spans="1:26" x14ac:dyDescent="0.35">
      <c r="B24" s="235"/>
      <c r="C24" s="483" t="s">
        <v>291</v>
      </c>
      <c r="D24" s="483"/>
      <c r="E24" s="265" t="e" cm="1">
        <f t="array" ref="E24">INDEX(Pivots!#REF!,COUNTA(Pivots!#REF!)+1)-75</f>
        <v>#REF!</v>
      </c>
      <c r="L24" s="4"/>
    </row>
    <row r="25" spans="1:26" x14ac:dyDescent="0.35">
      <c r="B25" s="235"/>
      <c r="C25" s="483" t="s">
        <v>292</v>
      </c>
      <c r="D25" s="483"/>
      <c r="E25" s="265">
        <f>Scheduling!R19-75</f>
        <v>-75</v>
      </c>
      <c r="L25" s="4"/>
      <c r="O25" s="72"/>
    </row>
    <row r="26" spans="1:26" x14ac:dyDescent="0.35">
      <c r="B26" s="235"/>
      <c r="L26" s="4"/>
      <c r="O26" s="72"/>
    </row>
    <row r="27" spans="1:26" x14ac:dyDescent="0.35">
      <c r="B27" s="235"/>
      <c r="L27" s="4"/>
      <c r="O27" s="72"/>
    </row>
    <row r="28" spans="1:26" x14ac:dyDescent="0.35">
      <c r="B28" s="235"/>
      <c r="L28" s="4"/>
    </row>
    <row r="29" spans="1:26" x14ac:dyDescent="0.35">
      <c r="B29" s="235"/>
      <c r="L29" s="4"/>
    </row>
    <row r="30" spans="1:26" x14ac:dyDescent="0.35">
      <c r="B30" s="235"/>
      <c r="C30" s="235"/>
      <c r="D30" s="235"/>
      <c r="E30" s="235"/>
      <c r="F30"/>
      <c r="L30" s="4"/>
    </row>
    <row r="31" spans="1:26" x14ac:dyDescent="0.35">
      <c r="B31" s="235"/>
      <c r="C31" s="235"/>
      <c r="D31" s="235"/>
      <c r="E31" s="235"/>
      <c r="F31"/>
    </row>
    <row r="32" spans="1:26" x14ac:dyDescent="0.35">
      <c r="B32" s="235"/>
      <c r="C32" s="235"/>
      <c r="D32" s="235"/>
      <c r="E32" s="235"/>
      <c r="F32" s="8"/>
    </row>
    <row r="33" spans="2:12" x14ac:dyDescent="0.35">
      <c r="B33" s="235"/>
      <c r="C33" s="235"/>
      <c r="D33" s="235"/>
      <c r="E33" s="235"/>
      <c r="F33" s="8"/>
      <c r="J33" s="8"/>
    </row>
    <row r="34" spans="2:12" x14ac:dyDescent="0.35">
      <c r="J34" s="8"/>
    </row>
    <row r="35" spans="2:12" x14ac:dyDescent="0.35">
      <c r="J35" s="8"/>
      <c r="L35" s="40"/>
    </row>
    <row r="36" spans="2:12" x14ac:dyDescent="0.35">
      <c r="J36" s="8"/>
    </row>
  </sheetData>
  <mergeCells count="6">
    <mergeCell ref="C25:D25"/>
    <mergeCell ref="B2:J2"/>
    <mergeCell ref="N3:O3"/>
    <mergeCell ref="N4:O4"/>
    <mergeCell ref="B7:P7"/>
    <mergeCell ref="C24:D24"/>
  </mergeCells>
  <phoneticPr fontId="3" type="noConversion"/>
  <conditionalFormatting sqref="N9:N17">
    <cfRule type="dataBar" priority="4">
      <dataBar>
        <cfvo type="num" val="0"/>
        <cfvo type="num" val="1"/>
        <color rgb="FF00FF00"/>
      </dataBar>
      <extLst>
        <ext xmlns:x14="http://schemas.microsoft.com/office/spreadsheetml/2009/9/main" uri="{B025F937-C7B1-47D3-B67F-A62EFF666E3E}">
          <x14:id>{8027084A-704A-4E2F-AF58-665A10999324}</x14:id>
        </ext>
      </extLst>
    </cfRule>
  </conditionalFormatting>
  <conditionalFormatting sqref="Z9:Z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27084A-704A-4E2F-AF58-665A1099932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N9:N17</xm:sqref>
        </x14:conditionalFormatting>
        <x14:conditionalFormatting xmlns:xm="http://schemas.microsoft.com/office/excel/2006/main">
          <x14:cfRule type="iconSet" priority="2" id="{AD78057D-65D1-433F-9689-50C893803C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W14</xm:sqref>
        </x14:conditionalFormatting>
        <x14:conditionalFormatting xmlns:xm="http://schemas.microsoft.com/office/excel/2006/main">
          <x14:cfRule type="iconSet" priority="223" id="{070DEEBC-C80C-4AF1-A809-56972E4F0D5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W9:W11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5750-C6F6-471F-B36D-50862473746D}">
  <sheetPr>
    <tabColor rgb="FF002060"/>
  </sheetPr>
  <dimension ref="A1:BC182"/>
  <sheetViews>
    <sheetView zoomScale="85" zoomScaleNormal="85" workbookViewId="0">
      <selection activeCell="T22" sqref="T22"/>
    </sheetView>
  </sheetViews>
  <sheetFormatPr defaultRowHeight="14.5" x14ac:dyDescent="0.35"/>
  <cols>
    <col min="1" max="1" width="5.36328125" bestFit="1" customWidth="1"/>
    <col min="2" max="3" width="8.36328125" bestFit="1" customWidth="1"/>
    <col min="4" max="4" width="11.54296875" bestFit="1" customWidth="1"/>
    <col min="5" max="5" width="9" bestFit="1" customWidth="1"/>
    <col min="6" max="6" width="6.54296875" bestFit="1" customWidth="1"/>
    <col min="7" max="7" width="8.6328125" bestFit="1" customWidth="1"/>
    <col min="8" max="8" width="8.6328125" customWidth="1"/>
    <col min="9" max="9" width="6.54296875" bestFit="1" customWidth="1"/>
    <col min="11" max="11" width="17.453125" bestFit="1" customWidth="1"/>
    <col min="12" max="12" width="8" bestFit="1" customWidth="1"/>
    <col min="13" max="14" width="8.36328125" bestFit="1" customWidth="1"/>
    <col min="15" max="15" width="11.54296875" bestFit="1" customWidth="1"/>
    <col min="16" max="16" width="9" bestFit="1" customWidth="1"/>
    <col min="17" max="17" width="7.54296875" bestFit="1" customWidth="1"/>
    <col min="18" max="18" width="8.6328125" bestFit="1" customWidth="1"/>
    <col min="19" max="19" width="11.36328125" bestFit="1" customWidth="1"/>
    <col min="22" max="22" width="8.81640625" bestFit="1" customWidth="1"/>
    <col min="23" max="23" width="22.90625" bestFit="1" customWidth="1"/>
    <col min="24" max="24" width="11.6328125" bestFit="1" customWidth="1"/>
    <col min="25" max="25" width="10.453125" bestFit="1" customWidth="1"/>
    <col min="26" max="26" width="8.36328125" bestFit="1" customWidth="1"/>
    <col min="27" max="27" width="8.81640625" bestFit="1" customWidth="1"/>
    <col min="28" max="28" width="22.90625" bestFit="1" customWidth="1"/>
    <col min="29" max="29" width="11.6328125" bestFit="1" customWidth="1"/>
    <col min="30" max="30" width="10.453125" bestFit="1" customWidth="1"/>
    <col min="31" max="31" width="22.90625" bestFit="1" customWidth="1"/>
    <col min="32" max="32" width="11.6328125" bestFit="1" customWidth="1"/>
    <col min="33" max="33" width="10.453125" bestFit="1" customWidth="1"/>
    <col min="34" max="34" width="22.90625" bestFit="1" customWidth="1"/>
    <col min="35" max="35" width="11.6328125" bestFit="1" customWidth="1"/>
    <col min="36" max="36" width="10.453125" bestFit="1" customWidth="1"/>
    <col min="37" max="37" width="22.90625" bestFit="1" customWidth="1"/>
    <col min="38" max="38" width="11.6328125" bestFit="1" customWidth="1"/>
    <col min="39" max="39" width="10.453125" bestFit="1" customWidth="1"/>
    <col min="40" max="40" width="22.90625" bestFit="1" customWidth="1"/>
    <col min="41" max="41" width="11.6328125" bestFit="1" customWidth="1"/>
    <col min="42" max="42" width="10.453125" bestFit="1" customWidth="1"/>
    <col min="43" max="43" width="22.90625" bestFit="1" customWidth="1"/>
    <col min="44" max="44" width="11.6328125" bestFit="1" customWidth="1"/>
    <col min="45" max="45" width="10.453125" bestFit="1" customWidth="1"/>
    <col min="46" max="46" width="22.90625" bestFit="1" customWidth="1"/>
    <col min="47" max="47" width="11.6328125" bestFit="1" customWidth="1"/>
    <col min="48" max="48" width="10.453125" bestFit="1" customWidth="1"/>
    <col min="49" max="49" width="8.6328125" bestFit="1" customWidth="1"/>
    <col min="50" max="50" width="8.36328125" bestFit="1" customWidth="1"/>
    <col min="54" max="54" width="10.6328125" style="40" bestFit="1" customWidth="1"/>
    <col min="55" max="55" width="9.08984375" style="11"/>
  </cols>
  <sheetData>
    <row r="1" spans="1:55" ht="15" thickBot="1" x14ac:dyDescent="0.4">
      <c r="A1" s="492" t="s">
        <v>339</v>
      </c>
      <c r="B1" s="492"/>
      <c r="C1" s="492"/>
      <c r="D1" s="492"/>
      <c r="E1" s="492"/>
      <c r="F1" s="492"/>
      <c r="G1" s="492"/>
      <c r="H1" s="492"/>
      <c r="I1" s="492"/>
      <c r="K1" s="6" t="s">
        <v>75</v>
      </c>
      <c r="L1" t="s">
        <v>278</v>
      </c>
      <c r="V1" s="492" t="s">
        <v>432</v>
      </c>
      <c r="W1" s="492"/>
      <c r="X1" s="492"/>
      <c r="Y1" s="492"/>
      <c r="AA1" s="6" t="s">
        <v>75</v>
      </c>
      <c r="AB1" t="s">
        <v>278</v>
      </c>
    </row>
    <row r="2" spans="1:55" x14ac:dyDescent="0.35">
      <c r="A2" s="351" t="s">
        <v>338</v>
      </c>
      <c r="B2" s="107" t="s">
        <v>46</v>
      </c>
      <c r="C2" s="107" t="s">
        <v>47</v>
      </c>
      <c r="D2" s="107" t="s">
        <v>48</v>
      </c>
      <c r="E2" s="107" t="s">
        <v>49</v>
      </c>
      <c r="F2" s="107" t="s">
        <v>50</v>
      </c>
      <c r="G2" s="337" t="s">
        <v>51</v>
      </c>
      <c r="H2" s="107" t="s">
        <v>45</v>
      </c>
      <c r="I2" s="118"/>
      <c r="K2" s="6" t="s">
        <v>98</v>
      </c>
      <c r="L2" t="s">
        <v>300</v>
      </c>
      <c r="V2" s="6" t="s">
        <v>75</v>
      </c>
      <c r="W2" t="s">
        <v>278</v>
      </c>
      <c r="AA2" s="6" t="s">
        <v>172</v>
      </c>
      <c r="AB2" t="s">
        <v>300</v>
      </c>
      <c r="AP2" s="488" t="s">
        <v>403</v>
      </c>
      <c r="AQ2" s="489"/>
      <c r="AR2" s="489"/>
      <c r="AS2" s="489"/>
      <c r="AT2" s="489"/>
      <c r="AU2" s="489"/>
      <c r="AV2" s="489"/>
      <c r="AW2" s="489"/>
      <c r="AX2" s="490"/>
      <c r="BB2" s="40" t="str" cm="1">
        <f t="array" aca="1" ref="BB2:BC16" ca="1">_xlfn.LET(
  _xlpm.d, All_Data_Combined__WIP[Date],
  _xlpm.a, All_Data_Combined__WIP[Avg Earnings / Day (90D)],
  _xlpm.mask, (_xlpm.d&gt;=TODAY()-89)*(_xlpm.d&lt;=TODAY()),
  _xlpm.body, _xlfn._xlws.SORT( _xlfn._xlws.FILTER( CHOOSE({1,2}, _xlpm.d, _xlpm.a), _xlpm.mask ), 1, -1 ),
  _xlfn.VSTACK({"Date","Avg Earnings / Day (90D)"}, _xlpm.body)
)</f>
        <v>Date</v>
      </c>
      <c r="BC2" s="11" t="str">
        <f ca="1"/>
        <v>Avg Earnings / Day (90D)</v>
      </c>
    </row>
    <row r="3" spans="1:55" x14ac:dyDescent="0.35">
      <c r="A3" s="56">
        <f ca="1">A4-1</f>
        <v>20</v>
      </c>
      <c r="B3" s="341">
        <f ca="1">IFERROR(AVERAGEIFS(EarningsPerDay[Gross $/Hour],EarningsPerDay[DOW],Dashboards!B$2,EarningsPerDay[Week '#],Dashboards!$A3),"")</f>
        <v>25.030869708994711</v>
      </c>
      <c r="C3" s="341">
        <f ca="1">IFERROR(AVERAGEIFS(EarningsPerDay[Gross $/Hour],EarningsPerDay[DOW],Dashboards!C$2,EarningsPerDay[Week '#],Dashboards!$A3),"")</f>
        <v>25.982298093143498</v>
      </c>
      <c r="D3" s="341">
        <f ca="1">IFERROR(AVERAGEIFS(EarningsPerDay[Gross $/Hour],EarningsPerDay[DOW],Dashboards!D$2,EarningsPerDay[Week '#],Dashboards!$A3),"")</f>
        <v>24.268423200414826</v>
      </c>
      <c r="E3" s="341">
        <f ca="1">IFERROR(AVERAGEIFS(EarningsPerDay[Gross $/Hour],EarningsPerDay[DOW],Dashboards!E$2,EarningsPerDay[Week '#],Dashboards!$A3),"")</f>
        <v>19.305707637558172</v>
      </c>
      <c r="F3" s="341">
        <f ca="1">IFERROR(AVERAGEIFS(EarningsPerDay[Gross $/Hour],EarningsPerDay[DOW],Dashboards!F$2,EarningsPerDay[Week '#],Dashboards!$A3),"")</f>
        <v>26.162300455424486</v>
      </c>
      <c r="G3" s="345">
        <f ca="1">IFERROR(AVERAGEIFS(EarningsPerDay[Gross $/Hour],EarningsPerDay[DOW],Dashboards!G$2,EarningsPerDay[Week '#],Dashboards!$A3),"")</f>
        <v>24.377938517179022</v>
      </c>
      <c r="H3" s="341">
        <f ca="1">IFERROR(AVERAGEIFS(EarningsPerDay[Gross $/Hour],EarningsPerDay[DOW],Dashboards!H$2,EarningsPerDay[Week '#],Dashboards!$A3),"")</f>
        <v>24.12087912087912</v>
      </c>
      <c r="I3" s="348">
        <f ca="1">AVERAGEIF(B3:H3,"&lt;&gt;"&amp;"#N/A")</f>
        <v>24.178345247656264</v>
      </c>
      <c r="V3" s="6" t="s">
        <v>172</v>
      </c>
      <c r="W3" t="s">
        <v>380</v>
      </c>
      <c r="AA3" s="6" t="s">
        <v>99</v>
      </c>
      <c r="AB3" t="s">
        <v>45</v>
      </c>
      <c r="AP3" s="222" t="s">
        <v>74</v>
      </c>
      <c r="AQ3" s="92" t="s">
        <v>45</v>
      </c>
      <c r="AR3" s="92" t="s">
        <v>46</v>
      </c>
      <c r="AS3" s="92" t="s">
        <v>47</v>
      </c>
      <c r="AT3" s="92" t="s">
        <v>48</v>
      </c>
      <c r="AU3" s="92" t="s">
        <v>49</v>
      </c>
      <c r="AV3" s="92" t="s">
        <v>50</v>
      </c>
      <c r="AW3" s="92" t="s">
        <v>51</v>
      </c>
      <c r="AX3" s="223" t="s">
        <v>62</v>
      </c>
      <c r="BB3" s="40">
        <f ca="1"/>
        <v>46164</v>
      </c>
      <c r="BC3" s="11">
        <f ca="1"/>
        <v>23.685199999999998</v>
      </c>
    </row>
    <row r="4" spans="1:55" x14ac:dyDescent="0.35">
      <c r="A4" s="56">
        <f ca="1">A5-1</f>
        <v>21</v>
      </c>
      <c r="B4" s="341">
        <f ca="1">IFERROR(AVERAGEIFS(EarningsPerDay[Gross $/Hour],EarningsPerDay[DOW],Dashboards!B$2,EarningsPerDay[Week '#],Dashboards!$A4),"")</f>
        <v>15.443940210072718</v>
      </c>
      <c r="C4" s="341">
        <f ca="1">IFERROR(AVERAGEIFS(EarningsPerDay[Gross $/Hour],EarningsPerDay[DOW],Dashboards!C$2,EarningsPerDay[Week '#],Dashboards!$A4),"")</f>
        <v>21.403921568627453</v>
      </c>
      <c r="D4" s="341">
        <f ca="1">IFERROR(AVERAGEIFS(EarningsPerDay[Gross $/Hour],EarningsPerDay[DOW],Dashboards!D$2,EarningsPerDay[Week '#],Dashboards!$A4),"")</f>
        <v>19.565184981657026</v>
      </c>
      <c r="E4" s="341">
        <f ca="1">IFERROR(AVERAGEIFS(EarningsPerDay[Gross $/Hour],EarningsPerDay[DOW],Dashboards!E$2,EarningsPerDay[Week '#],Dashboards!$A4),"")</f>
        <v>19.770465325238188</v>
      </c>
      <c r="F4" s="341">
        <f ca="1">IFERROR(AVERAGEIFS(EarningsPerDay[Gross $/Hour],EarningsPerDay[DOW],Dashboards!F$2,EarningsPerDay[Week '#],Dashboards!$A4),"")</f>
        <v>17.27594486567542</v>
      </c>
      <c r="G4" s="345" t="str">
        <f ca="1">IFERROR(AVERAGEIFS(EarningsPerDay[Gross $/Hour],EarningsPerDay[DOW],Dashboards!G$2,EarningsPerDay[Week '#],Dashboards!$A4),"")</f>
        <v/>
      </c>
      <c r="H4" s="341">
        <f ca="1">IFERROR(AVERAGEIFS(EarningsPerDay[Gross $/Hour],EarningsPerDay[DOW],Dashboards!H$2,EarningsPerDay[Week '#],Dashboards!$A4),"")</f>
        <v>18.720893141945773</v>
      </c>
      <c r="I4" s="348">
        <f t="shared" ref="I4:I11" ca="1" si="0">AVERAGEIF(B4:H4,"&lt;&gt;"&amp;"#N/A")</f>
        <v>18.696725015536092</v>
      </c>
      <c r="K4" s="6" t="s">
        <v>419</v>
      </c>
      <c r="L4" s="6" t="s">
        <v>99</v>
      </c>
      <c r="V4" s="6" t="s">
        <v>99</v>
      </c>
      <c r="W4" t="s">
        <v>300</v>
      </c>
      <c r="AP4" s="224" t="s">
        <v>174</v>
      </c>
      <c r="AQ4" s="98">
        <f ca="1">IFERROR(AVERAGEIFS(EarningsPerDay[Net Earnings],EarningsPerDay[Primary Area],$AP4,EarningsPerDay[DOW],AQ$3,EarningsPerDay[Quarter],Scheduling!$R$17),"")</f>
        <v>54.079988931883747</v>
      </c>
      <c r="AR4" s="98">
        <f ca="1">IFERROR(AVERAGEIFS(EarningsPerDay[Net Earnings],EarningsPerDay[Primary Area],$AP4,EarningsPerDay[DOW],AR$3,EarningsPerDay[Quarter],Scheduling!$R$17),"")</f>
        <v>60.931740124668551</v>
      </c>
      <c r="AS4" s="98">
        <f ca="1">IFERROR(AVERAGEIFS(EarningsPerDay[Net Earnings],EarningsPerDay[Primary Area],$AP4,EarningsPerDay[DOW],AS$3,EarningsPerDay[Quarter],Scheduling!$R$17),"")</f>
        <v>78.063814091283035</v>
      </c>
      <c r="AT4" s="98">
        <f ca="1">IFERROR(AVERAGEIFS(EarningsPerDay[Net Earnings],EarningsPerDay[Primary Area],$AP4,EarningsPerDay[DOW],AT$3,EarningsPerDay[Quarter],Scheduling!$R$17),"")</f>
        <v>41.910661616176654</v>
      </c>
      <c r="AU4" s="98">
        <f ca="1">IFERROR(AVERAGEIFS(EarningsPerDay[Net Earnings],EarningsPerDay[Primary Area],$AP4,EarningsPerDay[DOW],AU$3,EarningsPerDay[Quarter],Scheduling!$R$17),"")</f>
        <v>43.106204928731891</v>
      </c>
      <c r="AV4" s="98">
        <f ca="1">IFERROR(AVERAGEIFS(EarningsPerDay[Net Earnings],EarningsPerDay[Primary Area],$AP4,EarningsPerDay[DOW],AV$3,EarningsPerDay[Quarter],Scheduling!$R$17),"")</f>
        <v>59.06093290351707</v>
      </c>
      <c r="AW4" s="98">
        <f ca="1">IFERROR(AVERAGEIFS(EarningsPerDay[Net Earnings],EarningsPerDay[Primary Area],$AP4,EarningsPerDay[DOW],AW$3,EarningsPerDay[Quarter],Scheduling!$R$17),"")</f>
        <v>70.927015101381045</v>
      </c>
      <c r="AX4" s="286">
        <f ca="1">AVERAGEIF(AQ4:AW4,"&gt;0")</f>
        <v>58.297193956805991</v>
      </c>
      <c r="BB4" s="40">
        <f ca="1"/>
        <v>46162</v>
      </c>
      <c r="BC4" s="11">
        <f ca="1"/>
        <v>26.3629</v>
      </c>
    </row>
    <row r="5" spans="1:55" x14ac:dyDescent="0.35">
      <c r="A5" s="56">
        <f ca="1">A6-1</f>
        <v>22</v>
      </c>
      <c r="B5" s="341">
        <f ca="1">IFERROR(AVERAGEIFS(EarningsPerDay[Gross $/Hour],EarningsPerDay[DOW],Dashboards!B$2,EarningsPerDay[Week '#],Dashboards!$A5),"")</f>
        <v>18.734097495073303</v>
      </c>
      <c r="C5" s="341">
        <f ca="1">IFERROR(AVERAGEIFS(EarningsPerDay[Gross $/Hour],EarningsPerDay[DOW],Dashboards!C$2,EarningsPerDay[Week '#],Dashboards!$A5),"")</f>
        <v>20.188057605643003</v>
      </c>
      <c r="D5" s="341">
        <f ca="1">IFERROR(AVERAGEIFS(EarningsPerDay[Gross $/Hour],EarningsPerDay[DOW],Dashboards!D$2,EarningsPerDay[Week '#],Dashboards!$A5),"")</f>
        <v>21.882177824775361</v>
      </c>
      <c r="E5" s="341">
        <f ca="1">IFERROR(AVERAGEIFS(EarningsPerDay[Gross $/Hour],EarningsPerDay[DOW],Dashboards!E$2,EarningsPerDay[Week '#],Dashboards!$A5),"")</f>
        <v>23.93154089725601</v>
      </c>
      <c r="F5" s="341">
        <f ca="1">IFERROR(AVERAGEIFS(EarningsPerDay[Gross $/Hour],EarningsPerDay[DOW],Dashboards!F$2,EarningsPerDay[Week '#],Dashboards!$A5),"")</f>
        <v>22.313396922264502</v>
      </c>
      <c r="G5" s="345">
        <f ca="1">IFERROR(AVERAGEIFS(EarningsPerDay[Gross $/Hour],EarningsPerDay[DOW],Dashboards!G$2,EarningsPerDay[Week '#],Dashboards!$A5),"")</f>
        <v>26.586309320587226</v>
      </c>
      <c r="H5" s="341">
        <f ca="1">IFERROR(AVERAGEIFS(EarningsPerDay[Gross $/Hour],EarningsPerDay[DOW],Dashboards!H$2,EarningsPerDay[Week '#],Dashboards!$A5),"")</f>
        <v>18.334880952380949</v>
      </c>
      <c r="I5" s="348">
        <f t="shared" ca="1" si="0"/>
        <v>21.710065859711481</v>
      </c>
      <c r="K5" s="6" t="s">
        <v>111</v>
      </c>
      <c r="L5" t="s">
        <v>45</v>
      </c>
      <c r="M5" t="s">
        <v>46</v>
      </c>
      <c r="N5" t="s">
        <v>47</v>
      </c>
      <c r="O5" t="s">
        <v>48</v>
      </c>
      <c r="P5" t="s">
        <v>49</v>
      </c>
      <c r="Q5" t="s">
        <v>50</v>
      </c>
      <c r="R5" t="s">
        <v>51</v>
      </c>
      <c r="S5" t="s">
        <v>88</v>
      </c>
      <c r="AB5" s="6" t="s">
        <v>77</v>
      </c>
      <c r="AP5" s="225" t="s">
        <v>80</v>
      </c>
      <c r="AQ5" s="98">
        <f ca="1">IFERROR(AVERAGEIFS(EarningsPerDay[Net Earnings],EarningsPerDay[Primary Area],$AP5,EarningsPerDay[DOW],AQ$3,EarningsPerDay[Quarter],Scheduling!$R$17),"")</f>
        <v>69.476018192914779</v>
      </c>
      <c r="AR5" s="98">
        <f ca="1">IFERROR(AVERAGEIFS(EarningsPerDay[Net Earnings],EarningsPerDay[Primary Area],$AP5,EarningsPerDay[DOW],AR$3,EarningsPerDay[Quarter],Scheduling!$R$17),"")</f>
        <v>69.454246721145878</v>
      </c>
      <c r="AS5" s="98">
        <f ca="1">IFERROR(AVERAGEIFS(EarningsPerDay[Net Earnings],EarningsPerDay[Primary Area],$AP5,EarningsPerDay[DOW],AS$3,EarningsPerDay[Quarter],Scheduling!$R$17),"")</f>
        <v>70.008152874663963</v>
      </c>
      <c r="AT5" s="98">
        <f ca="1">IFERROR(AVERAGEIFS(EarningsPerDay[Net Earnings],EarningsPerDay[Primary Area],$AP5,EarningsPerDay[DOW],AT$3,EarningsPerDay[Quarter],Scheduling!$R$17),"")</f>
        <v>81.986157084613154</v>
      </c>
      <c r="AU5" s="98">
        <f ca="1">IFERROR(AVERAGEIFS(EarningsPerDay[Net Earnings],EarningsPerDay[Primary Area],$AP5,EarningsPerDay[DOW],AU$3,EarningsPerDay[Quarter],Scheduling!$R$17),"")</f>
        <v>81.744183879741996</v>
      </c>
      <c r="AV5" s="98">
        <f ca="1">IFERROR(AVERAGEIFS(EarningsPerDay[Net Earnings],EarningsPerDay[Primary Area],$AP5,EarningsPerDay[DOW],AV$3,EarningsPerDay[Quarter],Scheduling!$R$17),"")</f>
        <v>99.981525529781806</v>
      </c>
      <c r="AW5" s="98">
        <f ca="1">IFERROR(AVERAGEIFS(EarningsPerDay[Net Earnings],EarningsPerDay[Primary Area],$AP5,EarningsPerDay[DOW],AW$3,EarningsPerDay[Quarter],Scheduling!$R$17),"")</f>
        <v>85.155086672489404</v>
      </c>
      <c r="AX5" s="286">
        <f ca="1">AVERAGEIF(AQ5:AW5,"&gt;0")</f>
        <v>79.686481565050144</v>
      </c>
      <c r="BB5" s="40">
        <f ca="1"/>
        <v>46159</v>
      </c>
      <c r="BC5" s="11">
        <f ca="1"/>
        <v>25.168299999999999</v>
      </c>
    </row>
    <row r="6" spans="1:55" ht="15" thickBot="1" x14ac:dyDescent="0.4">
      <c r="A6" s="342">
        <f ca="1">A7-1</f>
        <v>23</v>
      </c>
      <c r="B6" s="343">
        <f ca="1">IFERROR(AVERAGEIFS(EarningsPerDay[Gross $/Hour],EarningsPerDay[DOW],Dashboards!B$2,EarningsPerDay[Week '#],Dashboards!$A6),"")</f>
        <v>22.182309988289532</v>
      </c>
      <c r="C6" s="343">
        <f ca="1">IFERROR(AVERAGEIFS(EarningsPerDay[Gross $/Hour],EarningsPerDay[DOW],Dashboards!C$2,EarningsPerDay[Week '#],Dashboards!$A6),"")</f>
        <v>25.132141780506764</v>
      </c>
      <c r="D6" s="343">
        <f ca="1">IFERROR(AVERAGEIFS(EarningsPerDay[Gross $/Hour],EarningsPerDay[DOW],Dashboards!D$2,EarningsPerDay[Week '#],Dashboards!$A6),"")</f>
        <v>18.692679503627101</v>
      </c>
      <c r="E6" s="343">
        <f ca="1">IFERROR(AVERAGEIFS(EarningsPerDay[Gross $/Hour],EarningsPerDay[DOW],Dashboards!E$2,EarningsPerDay[Week '#],Dashboards!$A6),"")</f>
        <v>27.094757647407121</v>
      </c>
      <c r="F6" s="343">
        <f ca="1">IFERROR(AVERAGEIFS(EarningsPerDay[Gross $/Hour],EarningsPerDay[DOW],Dashboards!F$2,EarningsPerDay[Week '#],Dashboards!$A6),"")</f>
        <v>20.101809097414456</v>
      </c>
      <c r="G6" s="346">
        <f ca="1">IFERROR(AVERAGEIFS(EarningsPerDay[Gross $/Hour],EarningsPerDay[DOW],Dashboards!G$2,EarningsPerDay[Week '#],Dashboards!$A6),"")</f>
        <v>20.809749427409155</v>
      </c>
      <c r="H6" s="343">
        <f ca="1">IFERROR(AVERAGEIFS(EarningsPerDay[Gross $/Hour],EarningsPerDay[DOW],Dashboards!H$2,EarningsPerDay[Week '#],Dashboards!$A6),"")</f>
        <v>26.294561933534741</v>
      </c>
      <c r="I6" s="349">
        <f t="shared" ca="1" si="0"/>
        <v>22.901144196884125</v>
      </c>
      <c r="K6" s="276"/>
      <c r="L6" s="11">
        <v>74.816666666666663</v>
      </c>
      <c r="M6" s="11">
        <v>48.116666666666667</v>
      </c>
      <c r="N6" s="11">
        <v>51.25</v>
      </c>
      <c r="O6" s="11">
        <v>62.705000000000005</v>
      </c>
      <c r="P6" s="11"/>
      <c r="Q6" s="11">
        <v>69.330000000000013</v>
      </c>
      <c r="R6" s="11">
        <v>66.106000000000009</v>
      </c>
      <c r="S6" s="11">
        <v>64.566249999999997</v>
      </c>
      <c r="V6" s="6" t="s">
        <v>43</v>
      </c>
      <c r="W6" t="s">
        <v>414</v>
      </c>
      <c r="X6" t="s">
        <v>416</v>
      </c>
      <c r="Y6" t="s">
        <v>379</v>
      </c>
      <c r="AB6" t="s">
        <v>174</v>
      </c>
      <c r="AE6" t="s">
        <v>80</v>
      </c>
      <c r="AH6" t="s">
        <v>82</v>
      </c>
      <c r="AK6" t="s">
        <v>85</v>
      </c>
      <c r="AP6" s="224" t="s">
        <v>82</v>
      </c>
      <c r="AQ6" s="98">
        <f ca="1">IFERROR(AVERAGEIFS(EarningsPerDay[Net Earnings],EarningsPerDay[Primary Area],$AP6,EarningsPerDay[DOW],AQ$3,EarningsPerDay[Quarter],Scheduling!$R$17),"")</f>
        <v>82.814918343019571</v>
      </c>
      <c r="AR6" s="98">
        <f ca="1">IFERROR(AVERAGEIFS(EarningsPerDay[Net Earnings],EarningsPerDay[Primary Area],$AP6,EarningsPerDay[DOW],AR$3,EarningsPerDay[Quarter],Scheduling!$R$17),"")</f>
        <v>55.381342417088142</v>
      </c>
      <c r="AS6" s="98">
        <f ca="1">IFERROR(AVERAGEIFS(EarningsPerDay[Net Earnings],EarningsPerDay[Primary Area],$AP6,EarningsPerDay[DOW],AS$3,EarningsPerDay[Quarter],Scheduling!$R$17),"")</f>
        <v>43.516251397675127</v>
      </c>
      <c r="AT6" s="98">
        <f ca="1">IFERROR(AVERAGEIFS(EarningsPerDay[Net Earnings],EarningsPerDay[Primary Area],$AP6,EarningsPerDay[DOW],AT$3,EarningsPerDay[Quarter],Scheduling!$R$17),"")</f>
        <v>84.645877044687921</v>
      </c>
      <c r="AU6" s="98">
        <f ca="1">IFERROR(AVERAGEIFS(EarningsPerDay[Net Earnings],EarningsPerDay[Primary Area],$AP6,EarningsPerDay[DOW],AU$3,EarningsPerDay[Quarter],Scheduling!$R$17),"")</f>
        <v>52.639775886533265</v>
      </c>
      <c r="AV6" s="98">
        <f ca="1">IFERROR(AVERAGEIFS(EarningsPerDay[Net Earnings],EarningsPerDay[Primary Area],$AP6,EarningsPerDay[DOW],AV$3,EarningsPerDay[Quarter],Scheduling!$R$17),"")</f>
        <v>100.56934877499386</v>
      </c>
      <c r="AW6" s="98">
        <f ca="1">IFERROR(AVERAGEIFS(EarningsPerDay[Net Earnings],EarningsPerDay[Primary Area],$AP6,EarningsPerDay[DOW],AW$3,EarningsPerDay[Quarter],Scheduling!$R$17),"")</f>
        <v>92.64098769225474</v>
      </c>
      <c r="AX6" s="286">
        <f ca="1">AVERAGEIF(AQ6:AW6,"&gt;0")</f>
        <v>73.172643079464663</v>
      </c>
      <c r="BB6" s="40">
        <f ca="1"/>
        <v>46154</v>
      </c>
      <c r="BC6" s="11">
        <f ca="1"/>
        <v>25.0717</v>
      </c>
    </row>
    <row r="7" spans="1:55" ht="15" thickBot="1" x14ac:dyDescent="0.4">
      <c r="A7" s="102">
        <f ca="1">WEEKNUM(TODAY(),2)</f>
        <v>24</v>
      </c>
      <c r="B7" s="395">
        <f ca="1">IFERROR(AVERAGEIFS(EarningsPerDay[Gross $/Hour],EarningsPerDay[DOW],Dashboards!B$2,EarningsPerDay[Week '#],Dashboards!$A7),"")</f>
        <v>18.7884790163058</v>
      </c>
      <c r="C7" s="395">
        <f ca="1">IFERROR(AVERAGEIFS(EarningsPerDay[Gross $/Hour],EarningsPerDay[DOW],Dashboards!C$2,EarningsPerDay[Week '#],Dashboards!$A7),"")</f>
        <v>22.483161614441418</v>
      </c>
      <c r="D7" s="395">
        <f ca="1">IFERROR(AVERAGEIFS(EarningsPerDay[Gross $/Hour],EarningsPerDay[DOW],Dashboards!D$2,EarningsPerDay[Week '#],Dashboards!$A7),"")</f>
        <v>18.353146853146853</v>
      </c>
      <c r="E7" s="395">
        <f ca="1">IFERROR(AVERAGEIFS(EarningsPerDay[Gross $/Hour],EarningsPerDay[DOW],Dashboards!E$2,EarningsPerDay[Week '#],Dashboards!$A7),"")</f>
        <v>20.552091321007818</v>
      </c>
      <c r="F7" s="395">
        <f ca="1">IFERROR(AVERAGEIFS(EarningsPerDay[Gross $/Hour],EarningsPerDay[DOW],Dashboards!F$2,EarningsPerDay[Week '#],Dashboards!$A7),"")</f>
        <v>23.104506448136657</v>
      </c>
      <c r="G7" s="396">
        <f ca="1">IFERROR(AVERAGEIFS(EarningsPerDay[Gross $/Hour],EarningsPerDay[DOW],Dashboards!G$2,EarningsPerDay[Week '#],Dashboards!$A7),"")</f>
        <v>22.337827564977648</v>
      </c>
      <c r="H7" s="395">
        <f ca="1">IFERROR(AVERAGEIFS(EarningsPerDay[Gross $/Hour],EarningsPerDay[DOW],Dashboards!H$2,EarningsPerDay[Week '#],Dashboards!$A7),"")</f>
        <v>21.20821114369501</v>
      </c>
      <c r="I7" s="397">
        <f t="shared" ca="1" si="0"/>
        <v>20.975346280244455</v>
      </c>
      <c r="K7" s="276">
        <v>0.41666666666666669</v>
      </c>
      <c r="L7" s="11">
        <v>13.66</v>
      </c>
      <c r="M7" s="11"/>
      <c r="N7" s="11"/>
      <c r="O7" s="11"/>
      <c r="P7" s="11"/>
      <c r="Q7" s="11"/>
      <c r="R7" s="11"/>
      <c r="S7" s="11">
        <v>13.66</v>
      </c>
      <c r="V7" s="7">
        <v>4.38</v>
      </c>
      <c r="W7" s="470">
        <v>67.885999999999996</v>
      </c>
      <c r="X7" s="470">
        <v>15.4990867579909</v>
      </c>
      <c r="Y7" s="232">
        <v>5.6497175141242938E-3</v>
      </c>
      <c r="AA7" s="6" t="s">
        <v>43</v>
      </c>
      <c r="AB7" t="s">
        <v>415</v>
      </c>
      <c r="AC7" t="s">
        <v>379</v>
      </c>
      <c r="AD7" t="s">
        <v>416</v>
      </c>
      <c r="AE7" t="s">
        <v>415</v>
      </c>
      <c r="AF7" t="s">
        <v>379</v>
      </c>
      <c r="AG7" t="s">
        <v>416</v>
      </c>
      <c r="AH7" t="s">
        <v>415</v>
      </c>
      <c r="AI7" t="s">
        <v>379</v>
      </c>
      <c r="AJ7" t="s">
        <v>416</v>
      </c>
      <c r="AK7" t="s">
        <v>415</v>
      </c>
      <c r="AL7" t="s">
        <v>379</v>
      </c>
      <c r="AM7" t="s">
        <v>416</v>
      </c>
      <c r="AP7" s="226" t="s">
        <v>85</v>
      </c>
      <c r="AQ7" s="98">
        <f ca="1">IFERROR(AVERAGEIFS(EarningsPerDay[Net Earnings],EarningsPerDay[Primary Area],$AP7,EarningsPerDay[DOW],AQ$3,EarningsPerDay[Quarter],Scheduling!$R$17),"")</f>
        <v>87.365048135743592</v>
      </c>
      <c r="AR7" s="98">
        <f ca="1">IFERROR(AVERAGEIFS(EarningsPerDay[Net Earnings],EarningsPerDay[Primary Area],$AP7,EarningsPerDay[DOW],AR$3,EarningsPerDay[Quarter],Scheduling!$R$17),"")</f>
        <v>89.128181972938037</v>
      </c>
      <c r="AS7" s="98">
        <f ca="1">IFERROR(AVERAGEIFS(EarningsPerDay[Net Earnings],EarningsPerDay[Primary Area],$AP7,EarningsPerDay[DOW],AS$3,EarningsPerDay[Quarter],Scheduling!$R$17),"")</f>
        <v>75.526876875150379</v>
      </c>
      <c r="AT7" s="98">
        <f ca="1">IFERROR(AVERAGEIFS(EarningsPerDay[Net Earnings],EarningsPerDay[Primary Area],$AP7,EarningsPerDay[DOW],AT$3,EarningsPerDay[Quarter],Scheduling!$R$17),"")</f>
        <v>72.117195762841476</v>
      </c>
      <c r="AU7" s="98">
        <f ca="1">IFERROR(AVERAGEIFS(EarningsPerDay[Net Earnings],EarningsPerDay[Primary Area],$AP7,EarningsPerDay[DOW],AU$3,EarningsPerDay[Quarter],Scheduling!$R$17),"")</f>
        <v>71.888259167191649</v>
      </c>
      <c r="AV7" s="98">
        <f ca="1">IFERROR(AVERAGEIFS(EarningsPerDay[Net Earnings],EarningsPerDay[Primary Area],$AP7,EarningsPerDay[DOW],AV$3,EarningsPerDay[Quarter],Scheduling!$R$17),"")</f>
        <v>102.58171129233696</v>
      </c>
      <c r="AW7" s="98">
        <f ca="1">IFERROR(AVERAGEIFS(EarningsPerDay[Net Earnings],EarningsPerDay[Primary Area],$AP7,EarningsPerDay[DOW],AW$3,EarningsPerDay[Quarter],Scheduling!$R$17),"")</f>
        <v>72.197240805227509</v>
      </c>
      <c r="AX7" s="286">
        <f ca="1">AVERAGEIF(AQ7:AW7,"&gt;0")</f>
        <v>81.543502001632802</v>
      </c>
      <c r="BB7" s="40">
        <f ca="1"/>
        <v>46153</v>
      </c>
      <c r="BC7" s="11">
        <f ca="1"/>
        <v>23.9236</v>
      </c>
    </row>
    <row r="8" spans="1:55" ht="15" thickBot="1" x14ac:dyDescent="0.4">
      <c r="A8" s="76">
        <f ca="1">IF((A7+1)&gt;52,1,(A7+1))</f>
        <v>25</v>
      </c>
      <c r="B8" s="344">
        <f ca="1">IFERROR(AVERAGEIFS(EarningsPerDay[Gross $/Hour],EarningsPerDay[DOW],Dashboards!B$2,EarningsPerDay[Week '#],Dashboards!$A8),"")</f>
        <v>19.273030658110066</v>
      </c>
      <c r="C8" s="344">
        <f ca="1">IFERROR(AVERAGEIFS(EarningsPerDay[Gross $/Hour],EarningsPerDay[DOW],Dashboards!C$2,EarningsPerDay[Week '#],Dashboards!$A8),"")</f>
        <v>22.15340909090909</v>
      </c>
      <c r="D8" s="344">
        <f ca="1">IFERROR(AVERAGEIFS(EarningsPerDay[Gross $/Hour],EarningsPerDay[DOW],Dashboards!D$2,EarningsPerDay[Week '#],Dashboards!$A8),"")</f>
        <v>23.736752136752141</v>
      </c>
      <c r="E8" s="344">
        <f ca="1">IFERROR(AVERAGEIFS(EarningsPerDay[Gross $/Hour],EarningsPerDay[DOW],Dashboards!E$2,EarningsPerDay[Week '#],Dashboards!$A8),"")</f>
        <v>19.1731951408422</v>
      </c>
      <c r="F8" s="344">
        <f ca="1">IFERROR(AVERAGEIFS(EarningsPerDay[Gross $/Hour],EarningsPerDay[DOW],Dashboards!F$2,EarningsPerDay[Week '#],Dashboards!$A8),"")</f>
        <v>23.794549266247383</v>
      </c>
      <c r="G8" s="347">
        <f ca="1">IFERROR(AVERAGEIFS(EarningsPerDay[Gross $/Hour],EarningsPerDay[DOW],Dashboards!G$2,EarningsPerDay[Week '#],Dashboards!$A8),"")</f>
        <v>22.879063937501609</v>
      </c>
      <c r="H8" s="344">
        <f ca="1">IFERROR(AVERAGEIFS(EarningsPerDay[Gross $/Hour],EarningsPerDay[DOW],Dashboards!H$2,EarningsPerDay[Week '#],Dashboards!$A8),"")</f>
        <v>24.167933971299817</v>
      </c>
      <c r="I8" s="350">
        <f t="shared" ca="1" si="0"/>
        <v>22.168276314523187</v>
      </c>
      <c r="K8" s="276">
        <v>0.47916666666666669</v>
      </c>
      <c r="L8" s="11"/>
      <c r="M8" s="11"/>
      <c r="N8" s="11"/>
      <c r="O8" s="11"/>
      <c r="P8" s="11"/>
      <c r="Q8" s="11"/>
      <c r="R8" s="11">
        <v>100.25</v>
      </c>
      <c r="S8" s="11">
        <v>100.25</v>
      </c>
      <c r="V8" s="7">
        <v>4.75</v>
      </c>
      <c r="W8" s="470">
        <v>142.726</v>
      </c>
      <c r="X8" s="470">
        <v>30.0475789473684</v>
      </c>
      <c r="Y8" s="232">
        <v>5.6497175141242938E-3</v>
      </c>
      <c r="AA8" s="7">
        <v>4.4800000000000004</v>
      </c>
      <c r="AB8" s="470"/>
      <c r="AC8" s="232">
        <v>0</v>
      </c>
      <c r="AD8" s="470"/>
      <c r="AE8" s="470">
        <v>115.21299999999999</v>
      </c>
      <c r="AF8" s="232">
        <v>3.5714285714285712E-2</v>
      </c>
      <c r="AG8" s="470">
        <v>25.717187500000001</v>
      </c>
      <c r="AH8" s="470"/>
      <c r="AI8" s="232">
        <v>0</v>
      </c>
      <c r="AJ8" s="470"/>
      <c r="AK8" s="470"/>
      <c r="AL8" s="232">
        <v>0</v>
      </c>
      <c r="AM8" s="470"/>
      <c r="AP8" s="227" t="s">
        <v>41</v>
      </c>
      <c r="AQ8" s="62">
        <f t="shared" ref="AQ8:AW8" ca="1" si="1">MAX(AQ4:AQ7)</f>
        <v>87.365048135743592</v>
      </c>
      <c r="AR8" s="62">
        <f t="shared" ca="1" si="1"/>
        <v>89.128181972938037</v>
      </c>
      <c r="AS8" s="62">
        <f t="shared" ca="1" si="1"/>
        <v>78.063814091283035</v>
      </c>
      <c r="AT8" s="62">
        <f t="shared" ca="1" si="1"/>
        <v>84.645877044687921</v>
      </c>
      <c r="AU8" s="62">
        <f t="shared" ca="1" si="1"/>
        <v>81.744183879741996</v>
      </c>
      <c r="AV8" s="62">
        <f t="shared" ca="1" si="1"/>
        <v>102.58171129233696</v>
      </c>
      <c r="AW8" s="62">
        <f t="shared" ca="1" si="1"/>
        <v>92.64098769225474</v>
      </c>
      <c r="AX8" s="228"/>
      <c r="BB8" s="40">
        <f ca="1"/>
        <v>46150</v>
      </c>
      <c r="BC8" s="11">
        <f ca="1"/>
        <v>23.0261</v>
      </c>
    </row>
    <row r="9" spans="1:55" ht="15" thickBot="1" x14ac:dyDescent="0.4">
      <c r="A9" s="76">
        <f t="shared" ref="A9:A11" ca="1" si="2">IF((A8+1)&gt;52,1,(A8+1))</f>
        <v>26</v>
      </c>
      <c r="B9" s="341">
        <f ca="1">IFERROR(AVERAGEIFS(EarningsPerDay[Gross $/Hour],EarningsPerDay[DOW],Dashboards!B$2,EarningsPerDay[Week '#],Dashboards!$A9),"")</f>
        <v>16.747300215982719</v>
      </c>
      <c r="C9" s="341">
        <f ca="1">IFERROR(AVERAGEIFS(EarningsPerDay[Gross $/Hour],EarningsPerDay[DOW],Dashboards!C$2,EarningsPerDay[Week '#],Dashboards!$A9),"")</f>
        <v>20.492635020175374</v>
      </c>
      <c r="D9" s="341">
        <f ca="1">IFERROR(AVERAGEIFS(EarningsPerDay[Gross $/Hour],EarningsPerDay[DOW],Dashboards!D$2,EarningsPerDay[Week '#],Dashboards!$A9),"")</f>
        <v>14.873473218905231</v>
      </c>
      <c r="E9" s="341">
        <f ca="1">IFERROR(AVERAGEIFS(EarningsPerDay[Gross $/Hour],EarningsPerDay[DOW],Dashboards!E$2,EarningsPerDay[Week '#],Dashboards!$A9),"")</f>
        <v>24.575000000000003</v>
      </c>
      <c r="F9" s="341">
        <f ca="1">IFERROR(AVERAGEIFS(EarningsPerDay[Gross $/Hour],EarningsPerDay[DOW],Dashboards!F$2,EarningsPerDay[Week '#],Dashboards!$A9),"")</f>
        <v>26.982702895536416</v>
      </c>
      <c r="G9" s="345">
        <f ca="1">IFERROR(AVERAGEIFS(EarningsPerDay[Gross $/Hour],EarningsPerDay[DOW],Dashboards!G$2,EarningsPerDay[Week '#],Dashboards!$A9),"")</f>
        <v>20.115540994623654</v>
      </c>
      <c r="H9" s="341">
        <f ca="1">IFERROR(AVERAGEIFS(EarningsPerDay[Gross $/Hour],EarningsPerDay[DOW],Dashboards!H$2,EarningsPerDay[Week '#],Dashboards!$A9),"")</f>
        <v>18.887056636155606</v>
      </c>
      <c r="I9" s="348">
        <f t="shared" ca="1" si="0"/>
        <v>20.381958425911286</v>
      </c>
      <c r="K9" s="276">
        <v>0.5</v>
      </c>
      <c r="L9" s="11"/>
      <c r="M9" s="11">
        <v>77.680000000000007</v>
      </c>
      <c r="N9" s="11"/>
      <c r="O9" s="11"/>
      <c r="P9" s="11"/>
      <c r="Q9" s="11"/>
      <c r="R9" s="11"/>
      <c r="S9" s="11">
        <v>77.680000000000007</v>
      </c>
      <c r="V9" s="7">
        <v>3.75</v>
      </c>
      <c r="W9" s="470">
        <v>89.704999999999998</v>
      </c>
      <c r="X9" s="470">
        <v>23.921333333333301</v>
      </c>
      <c r="Y9" s="232">
        <v>5.6497175141242938E-3</v>
      </c>
      <c r="AA9" s="7">
        <v>1.63</v>
      </c>
      <c r="AB9" s="470"/>
      <c r="AC9" s="232">
        <v>0</v>
      </c>
      <c r="AD9" s="470"/>
      <c r="AE9" s="470">
        <v>12.895</v>
      </c>
      <c r="AF9" s="232">
        <v>3.5714285714285712E-2</v>
      </c>
      <c r="AG9" s="470">
        <v>7.9110429447852804</v>
      </c>
      <c r="AH9" s="470"/>
      <c r="AI9" s="232">
        <v>0</v>
      </c>
      <c r="AJ9" s="470"/>
      <c r="AK9" s="470"/>
      <c r="AL9" s="232">
        <v>0</v>
      </c>
      <c r="AM9" s="470"/>
      <c r="AP9" s="465" t="s">
        <v>87</v>
      </c>
      <c r="AQ9" s="466">
        <f t="shared" ref="AQ9:AW9" ca="1" si="3">_xlfn.RANK.EQ(AQ8,$AQ$8:$AW$8,0)</f>
        <v>4</v>
      </c>
      <c r="AR9" s="466">
        <f t="shared" ca="1" si="3"/>
        <v>3</v>
      </c>
      <c r="AS9" s="466">
        <f t="shared" ca="1" si="3"/>
        <v>7</v>
      </c>
      <c r="AT9" s="466">
        <f t="shared" ca="1" si="3"/>
        <v>5</v>
      </c>
      <c r="AU9" s="466">
        <f t="shared" ca="1" si="3"/>
        <v>6</v>
      </c>
      <c r="AV9" s="466">
        <f t="shared" ca="1" si="3"/>
        <v>1</v>
      </c>
      <c r="AW9" s="466">
        <f t="shared" ca="1" si="3"/>
        <v>2</v>
      </c>
      <c r="AX9" s="230"/>
      <c r="BB9" s="40">
        <f ca="1"/>
        <v>46146</v>
      </c>
      <c r="BC9" s="11">
        <f ca="1"/>
        <v>22.8157</v>
      </c>
    </row>
    <row r="10" spans="1:55" ht="15" thickBot="1" x14ac:dyDescent="0.4">
      <c r="A10" s="76">
        <f t="shared" ca="1" si="2"/>
        <v>27</v>
      </c>
      <c r="B10" s="341">
        <f ca="1">IFERROR(AVERAGEIFS(EarningsPerDay[Gross $/Hour],EarningsPerDay[DOW],Dashboards!B$2,EarningsPerDay[Week '#],Dashboards!$A10),"")</f>
        <v>29.873712776014589</v>
      </c>
      <c r="C10" s="341">
        <f ca="1">IFERROR(AVERAGEIFS(EarningsPerDay[Gross $/Hour],EarningsPerDay[DOW],Dashboards!C$2,EarningsPerDay[Week '#],Dashboards!$A10),"")</f>
        <v>20.191072811871479</v>
      </c>
      <c r="D10" s="341">
        <f ca="1">IFERROR(AVERAGEIFS(EarningsPerDay[Gross $/Hour],EarningsPerDay[DOW],Dashboards!D$2,EarningsPerDay[Week '#],Dashboards!$A10),"")</f>
        <v>28.967873876155501</v>
      </c>
      <c r="E10" s="341">
        <f ca="1">IFERROR(AVERAGEIFS(EarningsPerDay[Gross $/Hour],EarningsPerDay[DOW],Dashboards!E$2,EarningsPerDay[Week '#],Dashboards!$A10),"")</f>
        <v>25.47052001294638</v>
      </c>
      <c r="F10" s="341">
        <f ca="1">IFERROR(AVERAGEIFS(EarningsPerDay[Gross $/Hour],EarningsPerDay[DOW],Dashboards!F$2,EarningsPerDay[Week '#],Dashboards!$A10),"")</f>
        <v>18.630277777777778</v>
      </c>
      <c r="G10" s="345">
        <f ca="1">IFERROR(AVERAGEIFS(EarningsPerDay[Gross $/Hour],EarningsPerDay[DOW],Dashboards!G$2,EarningsPerDay[Week '#],Dashboards!$A10),"")</f>
        <v>15.768926865123115</v>
      </c>
      <c r="H10" s="341" t="str">
        <f ca="1">IFERROR(AVERAGEIFS(EarningsPerDay[Gross $/Hour],EarningsPerDay[DOW],Dashboards!H$2,EarningsPerDay[Week '#],Dashboards!$A10),"")</f>
        <v/>
      </c>
      <c r="I10" s="348">
        <f t="shared" ca="1" si="0"/>
        <v>23.150397353314805</v>
      </c>
      <c r="K10" s="276">
        <v>0.52083333333333337</v>
      </c>
      <c r="L10" s="11">
        <v>92.73</v>
      </c>
      <c r="M10" s="11"/>
      <c r="N10" s="11"/>
      <c r="O10" s="11"/>
      <c r="P10" s="11"/>
      <c r="Q10" s="11"/>
      <c r="R10" s="11"/>
      <c r="S10" s="11">
        <v>92.73</v>
      </c>
      <c r="V10" s="7">
        <v>4.87</v>
      </c>
      <c r="W10" s="470">
        <v>85.403999999999996</v>
      </c>
      <c r="X10" s="470">
        <v>17.536755646817198</v>
      </c>
      <c r="Y10" s="232">
        <v>5.6497175141242938E-3</v>
      </c>
      <c r="AA10" s="7">
        <v>1.22</v>
      </c>
      <c r="AB10" s="470"/>
      <c r="AC10" s="232">
        <v>0</v>
      </c>
      <c r="AD10" s="470"/>
      <c r="AE10" s="470">
        <v>30.149000000000001</v>
      </c>
      <c r="AF10" s="232">
        <v>3.5714285714285712E-2</v>
      </c>
      <c r="AG10" s="470">
        <v>24.712295081967198</v>
      </c>
      <c r="AH10" s="470"/>
      <c r="AI10" s="232">
        <v>0</v>
      </c>
      <c r="AJ10" s="470"/>
      <c r="AK10" s="470"/>
      <c r="AL10" s="232">
        <v>0</v>
      </c>
      <c r="AM10" s="470"/>
      <c r="BB10" s="40">
        <f ca="1"/>
        <v>46141</v>
      </c>
      <c r="BC10" s="11">
        <f ca="1"/>
        <v>23.749199999999998</v>
      </c>
    </row>
    <row r="11" spans="1:55" x14ac:dyDescent="0.35">
      <c r="A11" s="76">
        <f t="shared" ca="1" si="2"/>
        <v>28</v>
      </c>
      <c r="B11" s="341">
        <f ca="1">IFERROR(AVERAGEIFS(EarningsPerDay[Gross $/Hour],EarningsPerDay[DOW],Dashboards!B$2,EarningsPerDay[Week '#],Dashboards!$A11),"")</f>
        <v>25.60243407707911</v>
      </c>
      <c r="C11" s="341">
        <f ca="1">IFERROR(AVERAGEIFS(EarningsPerDay[Gross $/Hour],EarningsPerDay[DOW],Dashboards!C$2,EarningsPerDay[Week '#],Dashboards!$A11),"")</f>
        <v>15.352241121095423</v>
      </c>
      <c r="D11" s="341">
        <f ca="1">IFERROR(AVERAGEIFS(EarningsPerDay[Gross $/Hour],EarningsPerDay[DOW],Dashboards!D$2,EarningsPerDay[Week '#],Dashboards!$A11),"")</f>
        <v>20.380241708825185</v>
      </c>
      <c r="E11" s="341">
        <f ca="1">IFERROR(AVERAGEIFS(EarningsPerDay[Gross $/Hour],EarningsPerDay[DOW],Dashboards!E$2,EarningsPerDay[Week '#],Dashboards!$A11),"")</f>
        <v>24.976515151515155</v>
      </c>
      <c r="F11" s="341">
        <f ca="1">IFERROR(AVERAGEIFS(EarningsPerDay[Gross $/Hour],EarningsPerDay[DOW],Dashboards!F$2,EarningsPerDay[Week '#],Dashboards!$A11),"")</f>
        <v>19.758050348801941</v>
      </c>
      <c r="G11" s="345">
        <f ca="1">IFERROR(AVERAGEIFS(EarningsPerDay[Gross $/Hour],EarningsPerDay[DOW],Dashboards!G$2,EarningsPerDay[Week '#],Dashboards!$A11),"")</f>
        <v>18.072490706319702</v>
      </c>
      <c r="H11" s="341">
        <f ca="1">IFERROR(AVERAGEIFS(EarningsPerDay[Gross $/Hour],EarningsPerDay[DOW],Dashboards!H$2,EarningsPerDay[Week '#],Dashboards!$A11),"")</f>
        <v>17.549494949494949</v>
      </c>
      <c r="I11" s="348">
        <f t="shared" ca="1" si="0"/>
        <v>20.241638294733068</v>
      </c>
      <c r="K11" s="276">
        <v>0.54166666666666663</v>
      </c>
      <c r="L11" s="11">
        <v>52.45</v>
      </c>
      <c r="M11" s="11"/>
      <c r="N11" s="11"/>
      <c r="O11" s="11"/>
      <c r="P11" s="11"/>
      <c r="Q11" s="11"/>
      <c r="R11" s="11">
        <v>144.16999999999999</v>
      </c>
      <c r="S11" s="11">
        <v>121.24</v>
      </c>
      <c r="V11" s="7">
        <v>4.9800000000000004</v>
      </c>
      <c r="W11" s="470">
        <v>58.780999999999999</v>
      </c>
      <c r="X11" s="470">
        <v>11.803413654618501</v>
      </c>
      <c r="Y11" s="232">
        <v>5.6497175141242938E-3</v>
      </c>
      <c r="AA11" s="7">
        <v>4.5999999999999996</v>
      </c>
      <c r="AB11" s="470"/>
      <c r="AC11" s="232">
        <v>0</v>
      </c>
      <c r="AD11" s="470"/>
      <c r="AE11" s="470">
        <v>63.076990911495898</v>
      </c>
      <c r="AF11" s="232">
        <v>3.5714285714285712E-2</v>
      </c>
      <c r="AG11" s="470">
        <v>13.7123893285861</v>
      </c>
      <c r="AH11" s="470"/>
      <c r="AI11" s="232">
        <v>0</v>
      </c>
      <c r="AJ11" s="470"/>
      <c r="AK11" s="470">
        <v>97.358999999999995</v>
      </c>
      <c r="AL11" s="232">
        <v>3.5714285714285712E-2</v>
      </c>
      <c r="AM11" s="470">
        <v>21.164999999999999</v>
      </c>
      <c r="AP11" s="488" t="s">
        <v>404</v>
      </c>
      <c r="AQ11" s="489"/>
      <c r="AR11" s="489"/>
      <c r="AS11" s="489"/>
      <c r="AT11" s="489"/>
      <c r="AU11" s="489"/>
      <c r="AV11" s="489"/>
      <c r="AW11" s="489"/>
      <c r="AX11" s="490"/>
      <c r="BB11" s="40">
        <f ca="1"/>
        <v>46136</v>
      </c>
      <c r="BC11" s="11">
        <f ca="1"/>
        <v>22.6266</v>
      </c>
    </row>
    <row r="12" spans="1:55" x14ac:dyDescent="0.35">
      <c r="K12" s="276">
        <v>0.5625</v>
      </c>
      <c r="L12" s="11"/>
      <c r="M12" s="11"/>
      <c r="N12" s="11"/>
      <c r="O12" s="11"/>
      <c r="P12" s="11"/>
      <c r="Q12" s="11"/>
      <c r="R12" s="11">
        <v>169.68333333333331</v>
      </c>
      <c r="S12" s="11">
        <v>169.68333333333331</v>
      </c>
      <c r="V12" s="7">
        <v>4.22</v>
      </c>
      <c r="W12" s="470">
        <v>50.606000000000002</v>
      </c>
      <c r="X12" s="470">
        <v>11.9919431279621</v>
      </c>
      <c r="Y12" s="232">
        <v>5.6497175141242938E-3</v>
      </c>
      <c r="AA12" s="7">
        <v>2.35</v>
      </c>
      <c r="AB12" s="470"/>
      <c r="AC12" s="232">
        <v>0</v>
      </c>
      <c r="AD12" s="470"/>
      <c r="AE12" s="470"/>
      <c r="AF12" s="232">
        <v>0</v>
      </c>
      <c r="AG12" s="470"/>
      <c r="AH12" s="470">
        <v>6.9200046634615404</v>
      </c>
      <c r="AI12" s="232">
        <v>3.5714285714285712E-2</v>
      </c>
      <c r="AJ12" s="470">
        <v>2.9446828355155499</v>
      </c>
      <c r="AK12" s="470"/>
      <c r="AL12" s="232">
        <v>0</v>
      </c>
      <c r="AM12" s="470"/>
      <c r="AP12" s="222" t="s">
        <v>74</v>
      </c>
      <c r="AQ12" s="92" t="s">
        <v>45</v>
      </c>
      <c r="AR12" s="92" t="s">
        <v>46</v>
      </c>
      <c r="AS12" s="92" t="s">
        <v>47</v>
      </c>
      <c r="AT12" s="92" t="s">
        <v>48</v>
      </c>
      <c r="AU12" s="92" t="s">
        <v>49</v>
      </c>
      <c r="AV12" s="92" t="s">
        <v>50</v>
      </c>
      <c r="AW12" s="92" t="s">
        <v>51</v>
      </c>
      <c r="AX12" s="223" t="s">
        <v>62</v>
      </c>
      <c r="BB12" s="40">
        <f ca="1"/>
        <v>46134</v>
      </c>
      <c r="BC12" s="11">
        <f ca="1"/>
        <v>20.2347</v>
      </c>
    </row>
    <row r="13" spans="1:55" x14ac:dyDescent="0.35">
      <c r="K13" s="276">
        <v>0.58333333333333337</v>
      </c>
      <c r="L13" s="11"/>
      <c r="M13" s="11"/>
      <c r="N13" s="11"/>
      <c r="O13" s="11"/>
      <c r="P13" s="11"/>
      <c r="Q13" s="11"/>
      <c r="R13" s="11">
        <v>152.185</v>
      </c>
      <c r="S13" s="11">
        <v>152.185</v>
      </c>
      <c r="V13" s="7">
        <v>4.4800000000000004</v>
      </c>
      <c r="W13" s="470">
        <v>88.89466666666668</v>
      </c>
      <c r="X13" s="470">
        <v>19.84255952380953</v>
      </c>
      <c r="Y13" s="232">
        <v>1.6949152542372881E-2</v>
      </c>
      <c r="AA13" s="7">
        <v>4</v>
      </c>
      <c r="AB13" s="470"/>
      <c r="AC13" s="232">
        <v>0</v>
      </c>
      <c r="AD13" s="470"/>
      <c r="AE13" s="470">
        <v>92.86</v>
      </c>
      <c r="AF13" s="232">
        <v>3.5714285714285712E-2</v>
      </c>
      <c r="AG13" s="470">
        <v>23.215</v>
      </c>
      <c r="AH13" s="470"/>
      <c r="AI13" s="232">
        <v>0</v>
      </c>
      <c r="AJ13" s="470"/>
      <c r="AK13" s="470"/>
      <c r="AL13" s="232">
        <v>0</v>
      </c>
      <c r="AM13" s="470"/>
      <c r="AP13" s="224" t="s">
        <v>174</v>
      </c>
      <c r="AQ13" s="98">
        <f ca="1">IFERROR(AVERAGEIFS(EarningsPerDay[Net $/Hour],EarningsPerDay[Primary Area],$AP13,EarningsPerDay[DOW],AQ$12,EarningsPerDay[Quarter],Scheduling!$R$17),"")</f>
        <v>12.615321795938691</v>
      </c>
      <c r="AR13" s="98">
        <f ca="1">IFERROR(AVERAGEIFS(EarningsPerDay[Net $/Hour],EarningsPerDay[Primary Area],$AP13,EarningsPerDay[DOW],AR$12,EarningsPerDay[Quarter],Scheduling!$R$17),"")</f>
        <v>11.91036235005075</v>
      </c>
      <c r="AS13" s="98">
        <f ca="1">IFERROR(AVERAGEIFS(EarningsPerDay[Net $/Hour],EarningsPerDay[Primary Area],$AP13,EarningsPerDay[DOW],AS$12,EarningsPerDay[Quarter],Scheduling!$R$17),"")</f>
        <v>14.288573736080702</v>
      </c>
      <c r="AT13" s="98">
        <f ca="1">IFERROR(AVERAGEIFS(EarningsPerDay[Net $/Hour],EarningsPerDay[Primary Area],$AP13,EarningsPerDay[DOW],AT$12,EarningsPerDay[Quarter],Scheduling!$R$17),"")</f>
        <v>9.7328385077106674</v>
      </c>
      <c r="AU13" s="98">
        <f ca="1">IFERROR(AVERAGEIFS(EarningsPerDay[Net $/Hour],EarningsPerDay[Primary Area],$AP13,EarningsPerDay[DOW],AU$12,EarningsPerDay[Quarter],Scheduling!$R$17),"")</f>
        <v>10.558380645593548</v>
      </c>
      <c r="AV13" s="98">
        <f ca="1">IFERROR(AVERAGEIFS(EarningsPerDay[Net $/Hour],EarningsPerDay[Primary Area],$AP13,EarningsPerDay[DOW],AV$12,EarningsPerDay[Quarter],Scheduling!$R$17),"")</f>
        <v>13.156759193019816</v>
      </c>
      <c r="AW13" s="98">
        <f ca="1">IFERROR(AVERAGEIFS(EarningsPerDay[Net $/Hour],EarningsPerDay[Primary Area],$AP13,EarningsPerDay[DOW],AW$12,EarningsPerDay[Quarter],Scheduling!$R$17),"")</f>
        <v>16.274078719536291</v>
      </c>
      <c r="AX13" s="286">
        <f ca="1">AVERAGEIF(AQ13:AW13,"&gt;0")</f>
        <v>12.648044992561497</v>
      </c>
      <c r="BB13" s="40">
        <f ca="1"/>
        <v>46126</v>
      </c>
      <c r="BC13" s="11">
        <f ca="1"/>
        <v>22.256699999999999</v>
      </c>
    </row>
    <row r="14" spans="1:55" x14ac:dyDescent="0.35">
      <c r="K14" s="276">
        <v>0.60416666666666663</v>
      </c>
      <c r="L14" s="11"/>
      <c r="M14" s="11"/>
      <c r="N14" s="11"/>
      <c r="O14" s="11"/>
      <c r="P14" s="11"/>
      <c r="Q14" s="11"/>
      <c r="R14" s="11">
        <v>84.15</v>
      </c>
      <c r="S14" s="11">
        <v>84.15</v>
      </c>
      <c r="V14" s="7">
        <v>4.47</v>
      </c>
      <c r="W14" s="470">
        <v>88.601500000000001</v>
      </c>
      <c r="X14" s="470">
        <v>19.821364653243847</v>
      </c>
      <c r="Y14" s="232">
        <v>1.1299435028248588E-2</v>
      </c>
      <c r="AA14" s="7">
        <v>6.28</v>
      </c>
      <c r="AB14" s="470"/>
      <c r="AC14" s="232">
        <v>0</v>
      </c>
      <c r="AD14" s="470"/>
      <c r="AE14" s="470">
        <v>128.035</v>
      </c>
      <c r="AF14" s="232">
        <v>3.5714285714285712E-2</v>
      </c>
      <c r="AG14" s="470">
        <v>20.387738853503201</v>
      </c>
      <c r="AH14" s="470"/>
      <c r="AI14" s="232">
        <v>0</v>
      </c>
      <c r="AJ14" s="470"/>
      <c r="AK14" s="470"/>
      <c r="AL14" s="232">
        <v>0</v>
      </c>
      <c r="AM14" s="470"/>
      <c r="AP14" s="225" t="s">
        <v>80</v>
      </c>
      <c r="AQ14" s="98">
        <f ca="1">IFERROR(AVERAGEIFS(EarningsPerDay[Net $/Hour],EarningsPerDay[Primary Area],$AP14,EarningsPerDay[DOW],AQ$12,EarningsPerDay[Quarter],Scheduling!$R$17),"")</f>
        <v>16.574881493354177</v>
      </c>
      <c r="AR14" s="98">
        <f ca="1">IFERROR(AVERAGEIFS(EarningsPerDay[Net $/Hour],EarningsPerDay[Primary Area],$AP14,EarningsPerDay[DOW],AR$12,EarningsPerDay[Quarter],Scheduling!$R$17),"")</f>
        <v>16.138305264287634</v>
      </c>
      <c r="AS14" s="98">
        <f ca="1">IFERROR(AVERAGEIFS(EarningsPerDay[Net $/Hour],EarningsPerDay[Primary Area],$AP14,EarningsPerDay[DOW],AS$12,EarningsPerDay[Quarter],Scheduling!$R$17),"")</f>
        <v>17.010143518020495</v>
      </c>
      <c r="AT14" s="98">
        <f ca="1">IFERROR(AVERAGEIFS(EarningsPerDay[Net $/Hour],EarningsPerDay[Primary Area],$AP14,EarningsPerDay[DOW],AT$12,EarningsPerDay[Quarter],Scheduling!$R$17),"")</f>
        <v>18.003927553601578</v>
      </c>
      <c r="AU14" s="98">
        <f ca="1">IFERROR(AVERAGEIFS(EarningsPerDay[Net $/Hour],EarningsPerDay[Primary Area],$AP14,EarningsPerDay[DOW],AU$12,EarningsPerDay[Quarter],Scheduling!$R$17),"")</f>
        <v>18.592611111481531</v>
      </c>
      <c r="AV14" s="98">
        <f ca="1">IFERROR(AVERAGEIFS(EarningsPerDay[Net $/Hour],EarningsPerDay[Primary Area],$AP14,EarningsPerDay[DOW],AV$12,EarningsPerDay[Quarter],Scheduling!$R$17),"")</f>
        <v>18.297786812637124</v>
      </c>
      <c r="AW14" s="98">
        <f ca="1">IFERROR(AVERAGEIFS(EarningsPerDay[Net $/Hour],EarningsPerDay[Primary Area],$AP14,EarningsPerDay[DOW],AW$12,EarningsPerDay[Quarter],Scheduling!$R$17),"")</f>
        <v>20.103089300670046</v>
      </c>
      <c r="AX14" s="286">
        <f ca="1">AVERAGEIF(AQ14:AW14,"&gt;0")</f>
        <v>17.817249293436085</v>
      </c>
      <c r="BB14" s="40">
        <f ca="1"/>
        <v>46107</v>
      </c>
      <c r="BC14" s="11">
        <f ca="1"/>
        <v>26.0533</v>
      </c>
    </row>
    <row r="15" spans="1:55" x14ac:dyDescent="0.35">
      <c r="K15" s="276">
        <v>0.625</v>
      </c>
      <c r="L15" s="11">
        <v>95.12</v>
      </c>
      <c r="M15" s="11"/>
      <c r="N15" s="11"/>
      <c r="O15" s="11"/>
      <c r="P15" s="11">
        <v>9</v>
      </c>
      <c r="Q15" s="11"/>
      <c r="R15" s="11"/>
      <c r="S15" s="11">
        <v>52.06</v>
      </c>
      <c r="V15" s="7">
        <v>4.12</v>
      </c>
      <c r="W15" s="470">
        <v>104.703</v>
      </c>
      <c r="X15" s="470">
        <v>25.413349514563102</v>
      </c>
      <c r="Y15" s="232">
        <v>5.6497175141242938E-3</v>
      </c>
      <c r="AA15" s="7">
        <v>3.02</v>
      </c>
      <c r="AB15" s="470">
        <v>33.941000000000003</v>
      </c>
      <c r="AC15" s="232">
        <v>3.5714285714285712E-2</v>
      </c>
      <c r="AD15" s="470">
        <v>11.2387417218543</v>
      </c>
      <c r="AE15" s="470"/>
      <c r="AF15" s="232">
        <v>0</v>
      </c>
      <c r="AG15" s="470"/>
      <c r="AH15" s="470"/>
      <c r="AI15" s="232">
        <v>0</v>
      </c>
      <c r="AJ15" s="470"/>
      <c r="AK15" s="470"/>
      <c r="AL15" s="232">
        <v>0</v>
      </c>
      <c r="AM15" s="470"/>
      <c r="AP15" s="224" t="s">
        <v>82</v>
      </c>
      <c r="AQ15" s="98">
        <f ca="1">IFERROR(AVERAGEIFS(EarningsPerDay[Net $/Hour],EarningsPerDay[Primary Area],$AP15,EarningsPerDay[DOW],AQ$12,EarningsPerDay[Quarter],Scheduling!$R$17),"")</f>
        <v>13.070700165511205</v>
      </c>
      <c r="AR15" s="98">
        <f ca="1">IFERROR(AVERAGEIFS(EarningsPerDay[Net $/Hour],EarningsPerDay[Primary Area],$AP15,EarningsPerDay[DOW],AR$12,EarningsPerDay[Quarter],Scheduling!$R$17),"")</f>
        <v>11.461359781953325</v>
      </c>
      <c r="AS15" s="98">
        <f ca="1">IFERROR(AVERAGEIFS(EarningsPerDay[Net $/Hour],EarningsPerDay[Primary Area],$AP15,EarningsPerDay[DOW],AS$12,EarningsPerDay[Quarter],Scheduling!$R$17),"")</f>
        <v>11.297981456509101</v>
      </c>
      <c r="AT15" s="98">
        <f ca="1">IFERROR(AVERAGEIFS(EarningsPerDay[Net $/Hour],EarningsPerDay[Primary Area],$AP15,EarningsPerDay[DOW],AT$12,EarningsPerDay[Quarter],Scheduling!$R$17),"")</f>
        <v>19.048478011722025</v>
      </c>
      <c r="AU15" s="98">
        <f ca="1">IFERROR(AVERAGEIFS(EarningsPerDay[Net $/Hour],EarningsPerDay[Primary Area],$AP15,EarningsPerDay[DOW],AU$12,EarningsPerDay[Quarter],Scheduling!$R$17),"")</f>
        <v>14.34997052025984</v>
      </c>
      <c r="AV15" s="98">
        <f ca="1">IFERROR(AVERAGEIFS(EarningsPerDay[Net $/Hour],EarningsPerDay[Primary Area],$AP15,EarningsPerDay[DOW],AV$12,EarningsPerDay[Quarter],Scheduling!$R$17),"")</f>
        <v>19.485613890672106</v>
      </c>
      <c r="AW15" s="98">
        <f ca="1">IFERROR(AVERAGEIFS(EarningsPerDay[Net $/Hour],EarningsPerDay[Primary Area],$AP15,EarningsPerDay[DOW],AW$12,EarningsPerDay[Quarter],Scheduling!$R$17),"")</f>
        <v>17.017427606812031</v>
      </c>
      <c r="AX15" s="286">
        <f ca="1">AVERAGEIF(AQ15:AW15,"&gt;0")</f>
        <v>15.104504490491376</v>
      </c>
      <c r="BB15" s="40">
        <f ca="1"/>
        <v>46106</v>
      </c>
      <c r="BC15" s="11">
        <f ca="1"/>
        <v>24.95</v>
      </c>
    </row>
    <row r="16" spans="1:55" ht="15" thickBot="1" x14ac:dyDescent="0.4">
      <c r="K16" s="276">
        <v>0.64583333333333337</v>
      </c>
      <c r="L16" s="11">
        <v>216.67500000000001</v>
      </c>
      <c r="M16" s="11"/>
      <c r="N16" s="11"/>
      <c r="O16" s="11">
        <v>124.46000000000001</v>
      </c>
      <c r="P16" s="11"/>
      <c r="Q16" s="11"/>
      <c r="R16" s="11">
        <v>148.39599999999999</v>
      </c>
      <c r="S16" s="11">
        <v>162.47375000000002</v>
      </c>
      <c r="V16" s="7">
        <v>4.6500000000000004</v>
      </c>
      <c r="W16" s="470">
        <v>87.77</v>
      </c>
      <c r="X16" s="470">
        <v>18.875268817204301</v>
      </c>
      <c r="Y16" s="232">
        <v>5.6497175141242938E-3</v>
      </c>
      <c r="AA16" s="7">
        <v>3.6</v>
      </c>
      <c r="AB16" s="470"/>
      <c r="AC16" s="232">
        <v>0</v>
      </c>
      <c r="AD16" s="470"/>
      <c r="AE16" s="470">
        <v>77.948999999999998</v>
      </c>
      <c r="AF16" s="232">
        <v>3.5714285714285712E-2</v>
      </c>
      <c r="AG16" s="470">
        <v>21.6525</v>
      </c>
      <c r="AH16" s="470"/>
      <c r="AI16" s="232">
        <v>0</v>
      </c>
      <c r="AJ16" s="470"/>
      <c r="AK16" s="470"/>
      <c r="AL16" s="232">
        <v>0</v>
      </c>
      <c r="AM16" s="470"/>
      <c r="AP16" s="226" t="s">
        <v>85</v>
      </c>
      <c r="AQ16" s="98">
        <f ca="1">IFERROR(AVERAGEIFS(EarningsPerDay[Net $/Hour],EarningsPerDay[Primary Area],$AP16,EarningsPerDay[DOW],AQ$12,EarningsPerDay[Quarter],Scheduling!$R$17),"")</f>
        <v>17.684277295434462</v>
      </c>
      <c r="AR16" s="98">
        <f ca="1">IFERROR(AVERAGEIFS(EarningsPerDay[Net $/Hour],EarningsPerDay[Primary Area],$AP16,EarningsPerDay[DOW],AR$12,EarningsPerDay[Quarter],Scheduling!$R$17),"")</f>
        <v>15.729454892841074</v>
      </c>
      <c r="AS16" s="98">
        <f ca="1">IFERROR(AVERAGEIFS(EarningsPerDay[Net $/Hour],EarningsPerDay[Primary Area],$AP16,EarningsPerDay[DOW],AS$12,EarningsPerDay[Quarter],Scheduling!$R$17),"")</f>
        <v>15.919162320770621</v>
      </c>
      <c r="AT16" s="98">
        <f ca="1">IFERROR(AVERAGEIFS(EarningsPerDay[Net $/Hour],EarningsPerDay[Primary Area],$AP16,EarningsPerDay[DOW],AT$12,EarningsPerDay[Quarter],Scheduling!$R$17),"")</f>
        <v>14.801891056200084</v>
      </c>
      <c r="AU16" s="98">
        <f ca="1">IFERROR(AVERAGEIFS(EarningsPerDay[Net $/Hour],EarningsPerDay[Primary Area],$AP16,EarningsPerDay[DOW],AU$12,EarningsPerDay[Quarter],Scheduling!$R$17),"")</f>
        <v>13.559869605290032</v>
      </c>
      <c r="AV16" s="98">
        <f ca="1">IFERROR(AVERAGEIFS(EarningsPerDay[Net $/Hour],EarningsPerDay[Primary Area],$AP16,EarningsPerDay[DOW],AV$12,EarningsPerDay[Quarter],Scheduling!$R$17),"")</f>
        <v>17.062121843695085</v>
      </c>
      <c r="AW16" s="98">
        <f ca="1">IFERROR(AVERAGEIFS(EarningsPerDay[Net $/Hour],EarningsPerDay[Primary Area],$AP16,EarningsPerDay[DOW],AW$12,EarningsPerDay[Quarter],Scheduling!$R$17),"")</f>
        <v>15.670708551551735</v>
      </c>
      <c r="AX16" s="286">
        <f ca="1">AVERAGEIF(AQ16:AW16,"&gt;0")</f>
        <v>15.775355080826156</v>
      </c>
      <c r="BB16" s="40">
        <f ca="1"/>
        <v>46098</v>
      </c>
      <c r="BC16" s="11">
        <f ca="1"/>
        <v>26.127400000000002</v>
      </c>
    </row>
    <row r="17" spans="11:50" ht="15" thickBot="1" x14ac:dyDescent="0.4">
      <c r="K17" s="276">
        <v>0.66666666666666663</v>
      </c>
      <c r="L17" s="11">
        <v>156.20999999999998</v>
      </c>
      <c r="M17" s="11"/>
      <c r="N17" s="11"/>
      <c r="O17" s="11"/>
      <c r="P17" s="11"/>
      <c r="Q17" s="11"/>
      <c r="R17" s="11">
        <v>137.47499999999999</v>
      </c>
      <c r="S17" s="11">
        <v>146.84249999999997</v>
      </c>
      <c r="V17" s="7">
        <v>3.87</v>
      </c>
      <c r="W17" s="470">
        <v>76.049000000000007</v>
      </c>
      <c r="X17" s="470">
        <v>19.6509043927649</v>
      </c>
      <c r="Y17" s="232">
        <v>5.6497175141242938E-3</v>
      </c>
      <c r="AA17" s="7">
        <v>4.7699999999999996</v>
      </c>
      <c r="AB17" s="470"/>
      <c r="AC17" s="232">
        <v>0</v>
      </c>
      <c r="AD17" s="470"/>
      <c r="AE17" s="470"/>
      <c r="AF17" s="232">
        <v>0</v>
      </c>
      <c r="AG17" s="470"/>
      <c r="AH17" s="470">
        <v>91.843999999999994</v>
      </c>
      <c r="AI17" s="232">
        <v>3.5714285714285712E-2</v>
      </c>
      <c r="AJ17" s="470">
        <v>19.254507337526199</v>
      </c>
      <c r="AK17" s="470"/>
      <c r="AL17" s="232">
        <v>0</v>
      </c>
      <c r="AM17" s="470"/>
      <c r="AP17" s="227" t="s">
        <v>41</v>
      </c>
      <c r="AQ17" s="62">
        <f t="shared" ref="AQ17:AW17" ca="1" si="4">MAX(AQ13:AQ16)</f>
        <v>17.684277295434462</v>
      </c>
      <c r="AR17" s="62">
        <f t="shared" ca="1" si="4"/>
        <v>16.138305264287634</v>
      </c>
      <c r="AS17" s="62">
        <f t="shared" ca="1" si="4"/>
        <v>17.010143518020495</v>
      </c>
      <c r="AT17" s="62">
        <f t="shared" ca="1" si="4"/>
        <v>19.048478011722025</v>
      </c>
      <c r="AU17" s="62">
        <f t="shared" ca="1" si="4"/>
        <v>18.592611111481531</v>
      </c>
      <c r="AV17" s="62">
        <f t="shared" ca="1" si="4"/>
        <v>19.485613890672106</v>
      </c>
      <c r="AW17" s="62">
        <f t="shared" ca="1" si="4"/>
        <v>20.103089300670046</v>
      </c>
      <c r="AX17" s="228"/>
    </row>
    <row r="18" spans="11:50" ht="15" thickBot="1" x14ac:dyDescent="0.4">
      <c r="K18" s="276">
        <v>0.6875</v>
      </c>
      <c r="L18" s="11">
        <v>110.7</v>
      </c>
      <c r="M18" s="11"/>
      <c r="N18" s="11"/>
      <c r="O18" s="11"/>
      <c r="P18" s="11"/>
      <c r="Q18" s="11">
        <v>150.18</v>
      </c>
      <c r="R18" s="11">
        <v>129.84</v>
      </c>
      <c r="S18" s="11">
        <v>130.14000000000001</v>
      </c>
      <c r="V18" s="7">
        <v>4.17</v>
      </c>
      <c r="W18" s="470">
        <v>76.1006</v>
      </c>
      <c r="X18" s="470">
        <v>18.249544364508402</v>
      </c>
      <c r="Y18" s="232">
        <v>1.1299435028248588E-2</v>
      </c>
      <c r="AA18" s="7">
        <v>5.57</v>
      </c>
      <c r="AB18" s="470">
        <v>51.788800000000002</v>
      </c>
      <c r="AC18" s="232">
        <v>3.5714285714285712E-2</v>
      </c>
      <c r="AD18" s="470">
        <v>9.2978096947935391</v>
      </c>
      <c r="AE18" s="470"/>
      <c r="AF18" s="232">
        <v>0</v>
      </c>
      <c r="AG18" s="470"/>
      <c r="AH18" s="470"/>
      <c r="AI18" s="232">
        <v>0</v>
      </c>
      <c r="AJ18" s="470"/>
      <c r="AK18" s="470"/>
      <c r="AL18" s="232">
        <v>0</v>
      </c>
      <c r="AM18" s="470"/>
      <c r="AP18" s="465" t="s">
        <v>87</v>
      </c>
      <c r="AQ18" s="466">
        <f t="shared" ref="AQ18:AW18" ca="1" si="5">_xlfn.RANK.EQ(AQ17,$AQ$17:$AW$17,0)</f>
        <v>5</v>
      </c>
      <c r="AR18" s="466">
        <f t="shared" ca="1" si="5"/>
        <v>7</v>
      </c>
      <c r="AS18" s="466">
        <f t="shared" ca="1" si="5"/>
        <v>6</v>
      </c>
      <c r="AT18" s="466">
        <f t="shared" ca="1" si="5"/>
        <v>3</v>
      </c>
      <c r="AU18" s="466">
        <f t="shared" ca="1" si="5"/>
        <v>4</v>
      </c>
      <c r="AV18" s="466">
        <f t="shared" ca="1" si="5"/>
        <v>2</v>
      </c>
      <c r="AW18" s="466">
        <f t="shared" ca="1" si="5"/>
        <v>1</v>
      </c>
      <c r="AX18" s="230"/>
    </row>
    <row r="19" spans="11:50" x14ac:dyDescent="0.35">
      <c r="K19" s="276">
        <v>0.70833333333333337</v>
      </c>
      <c r="L19" s="11">
        <v>112.22999999999999</v>
      </c>
      <c r="M19" s="11">
        <v>82.34</v>
      </c>
      <c r="N19" s="11">
        <v>137.5675</v>
      </c>
      <c r="O19" s="11">
        <v>74.160000000000011</v>
      </c>
      <c r="P19" s="11">
        <v>89.902500000000003</v>
      </c>
      <c r="Q19" s="11">
        <v>40.93</v>
      </c>
      <c r="R19" s="11">
        <v>95.587499999999991</v>
      </c>
      <c r="S19" s="11">
        <v>94.964230769230753</v>
      </c>
      <c r="V19" s="7">
        <v>6.78</v>
      </c>
      <c r="W19" s="470">
        <v>123.092</v>
      </c>
      <c r="X19" s="470">
        <v>18.155162241887901</v>
      </c>
      <c r="Y19" s="232">
        <v>5.6497175141242938E-3</v>
      </c>
      <c r="AA19" s="7">
        <v>4.43</v>
      </c>
      <c r="AB19" s="470"/>
      <c r="AC19" s="232">
        <v>0</v>
      </c>
      <c r="AD19" s="470"/>
      <c r="AE19" s="470">
        <v>52.55</v>
      </c>
      <c r="AF19" s="232">
        <v>3.5714285714285712E-2</v>
      </c>
      <c r="AG19" s="470">
        <v>11.86230248307</v>
      </c>
      <c r="AH19" s="470"/>
      <c r="AI19" s="232">
        <v>0</v>
      </c>
      <c r="AJ19" s="470"/>
      <c r="AK19" s="470"/>
      <c r="AL19" s="232">
        <v>0</v>
      </c>
      <c r="AM19" s="470"/>
    </row>
    <row r="20" spans="11:50" x14ac:dyDescent="0.35">
      <c r="K20" s="276">
        <v>0.72916666666666663</v>
      </c>
      <c r="L20" s="11">
        <v>119.595</v>
      </c>
      <c r="M20" s="11">
        <v>84.589166666666685</v>
      </c>
      <c r="N20" s="11">
        <v>83.817999999999998</v>
      </c>
      <c r="O20" s="11">
        <v>87.847857142857137</v>
      </c>
      <c r="P20" s="11">
        <v>73.560909090909078</v>
      </c>
      <c r="Q20" s="11">
        <v>120.31500000000001</v>
      </c>
      <c r="R20" s="11">
        <v>122.795</v>
      </c>
      <c r="S20" s="11">
        <v>90.898636363636342</v>
      </c>
      <c r="V20" s="7">
        <v>5.8</v>
      </c>
      <c r="W20" s="470">
        <v>81.417000000000002</v>
      </c>
      <c r="X20" s="470">
        <v>14.037413793103401</v>
      </c>
      <c r="Y20" s="232">
        <v>5.6497175141242938E-3</v>
      </c>
      <c r="AA20" s="7">
        <v>8.1300000000000008</v>
      </c>
      <c r="AB20" s="470">
        <v>243.77500000000001</v>
      </c>
      <c r="AC20" s="232">
        <v>3.5714285714285712E-2</v>
      </c>
      <c r="AD20" s="470">
        <v>29.984624846248501</v>
      </c>
      <c r="AE20" s="470"/>
      <c r="AF20" s="232">
        <v>0</v>
      </c>
      <c r="AG20" s="470"/>
      <c r="AH20" s="470"/>
      <c r="AI20" s="232">
        <v>0</v>
      </c>
      <c r="AJ20" s="470"/>
      <c r="AK20" s="470"/>
      <c r="AL20" s="232">
        <v>0</v>
      </c>
      <c r="AM20" s="470"/>
      <c r="AP20" s="491" t="s">
        <v>320</v>
      </c>
      <c r="AQ20" s="491"/>
      <c r="AR20" s="491"/>
      <c r="AS20" s="491"/>
      <c r="AT20" s="491"/>
      <c r="AU20" s="491"/>
      <c r="AV20" s="491"/>
      <c r="AW20" s="491"/>
      <c r="AX20" s="491"/>
    </row>
    <row r="21" spans="11:50" x14ac:dyDescent="0.35">
      <c r="K21" s="276">
        <v>0.75</v>
      </c>
      <c r="L21" s="11">
        <v>84.73</v>
      </c>
      <c r="M21" s="11">
        <v>84.138333333333335</v>
      </c>
      <c r="N21" s="11">
        <v>97.155999999999992</v>
      </c>
      <c r="O21" s="11">
        <v>54.982857142857142</v>
      </c>
      <c r="P21" s="11">
        <v>93.313333333333333</v>
      </c>
      <c r="Q21" s="11">
        <v>132.50799999999998</v>
      </c>
      <c r="R21" s="11">
        <v>97.689999999999984</v>
      </c>
      <c r="S21" s="11">
        <v>89.719444444444449</v>
      </c>
      <c r="V21" s="7">
        <v>4.5999999999999996</v>
      </c>
      <c r="W21" s="470">
        <v>97.358999999999995</v>
      </c>
      <c r="X21" s="470">
        <v>21.164999999999999</v>
      </c>
      <c r="Y21" s="232">
        <v>5.6497175141242938E-3</v>
      </c>
      <c r="AA21" s="7">
        <v>1.03</v>
      </c>
      <c r="AB21" s="470"/>
      <c r="AC21" s="232">
        <v>0</v>
      </c>
      <c r="AD21" s="470"/>
      <c r="AE21" s="470">
        <v>7.1929999999999996</v>
      </c>
      <c r="AF21" s="232">
        <v>3.5714285714285712E-2</v>
      </c>
      <c r="AG21" s="470">
        <v>6.9834951456310703</v>
      </c>
      <c r="AH21" s="470"/>
      <c r="AI21" s="232">
        <v>0</v>
      </c>
      <c r="AJ21" s="470"/>
      <c r="AK21" s="470"/>
      <c r="AL21" s="232">
        <v>0</v>
      </c>
      <c r="AM21" s="470"/>
      <c r="AP21" s="97" t="s">
        <v>74</v>
      </c>
      <c r="AQ21" s="92" t="s">
        <v>45</v>
      </c>
      <c r="AR21" s="92" t="s">
        <v>46</v>
      </c>
      <c r="AS21" s="92" t="s">
        <v>47</v>
      </c>
      <c r="AT21" s="92" t="s">
        <v>48</v>
      </c>
      <c r="AU21" s="92" t="s">
        <v>49</v>
      </c>
      <c r="AV21" s="92" t="s">
        <v>50</v>
      </c>
      <c r="AW21" s="92" t="s">
        <v>51</v>
      </c>
      <c r="AX21" s="93" t="s">
        <v>62</v>
      </c>
    </row>
    <row r="22" spans="11:50" x14ac:dyDescent="0.35">
      <c r="K22" s="276">
        <v>0.77083333333333337</v>
      </c>
      <c r="L22" s="11">
        <v>114.53</v>
      </c>
      <c r="M22" s="11">
        <v>81.99</v>
      </c>
      <c r="N22" s="11">
        <v>132.15</v>
      </c>
      <c r="O22" s="11">
        <v>114.73</v>
      </c>
      <c r="P22" s="11"/>
      <c r="Q22" s="11">
        <v>73.341666666666654</v>
      </c>
      <c r="R22" s="11">
        <v>110.41</v>
      </c>
      <c r="S22" s="11">
        <v>95.725000000000009</v>
      </c>
      <c r="V22" s="7">
        <v>6.03</v>
      </c>
      <c r="W22" s="470">
        <v>81.902000000000001</v>
      </c>
      <c r="X22" s="470">
        <v>13.582421227197299</v>
      </c>
      <c r="Y22" s="232">
        <v>5.6497175141242938E-3</v>
      </c>
      <c r="AA22" s="7">
        <v>2.5</v>
      </c>
      <c r="AB22" s="470"/>
      <c r="AC22" s="232">
        <v>0</v>
      </c>
      <c r="AD22" s="470"/>
      <c r="AE22" s="470">
        <v>29.626999999999999</v>
      </c>
      <c r="AF22" s="232">
        <v>3.5714285714285712E-2</v>
      </c>
      <c r="AG22" s="470">
        <v>11.8508</v>
      </c>
      <c r="AH22" s="470"/>
      <c r="AI22" s="232">
        <v>0</v>
      </c>
      <c r="AJ22" s="470"/>
      <c r="AK22" s="470"/>
      <c r="AL22" s="232">
        <v>0</v>
      </c>
      <c r="AM22" s="470"/>
      <c r="AP22" s="86" t="s">
        <v>174</v>
      </c>
      <c r="AQ22" s="309">
        <f ca="1">IFERROR(AVERAGEIFS(EarningsPerDay[Miles],EarningsPerDay[Primary Area],$AP22,EarningsPerDay[DOW],AQ$21,EarningsPerDay[Quarter],Scheduling!$R$17)*CpM!$D$11,"")</f>
        <v>20.625011068116255</v>
      </c>
      <c r="AR22" s="309">
        <f ca="1">IFERROR(AVERAGEIFS(EarningsPerDay[Miles],EarningsPerDay[Primary Area],$AP22,EarningsPerDay[DOW],AR$21,EarningsPerDay[Quarter],Scheduling!$R$17)*CpM!$D$11,"")</f>
        <v>30.99325987533145</v>
      </c>
      <c r="AS22" s="309">
        <f ca="1">IFERROR(AVERAGEIFS(EarningsPerDay[Miles],EarningsPerDay[Primary Area],$AP22,EarningsPerDay[DOW],AS$21,EarningsPerDay[Quarter],Scheduling!$R$17)*CpM!$D$11,"")</f>
        <v>27.462852575383625</v>
      </c>
      <c r="AT22" s="309">
        <f ca="1">IFERROR(AVERAGEIFS(EarningsPerDay[Miles],EarningsPerDay[Primary Area],$AP22,EarningsPerDay[DOW],AT$21,EarningsPerDay[Quarter],Scheduling!$R$17)*CpM!$D$11,"")</f>
        <v>26.199338383823349</v>
      </c>
      <c r="AU22" s="309">
        <f ca="1">IFERROR(AVERAGEIFS(EarningsPerDay[Miles],EarningsPerDay[Primary Area],$AP22,EarningsPerDay[DOW],AU$21,EarningsPerDay[Quarter],Scheduling!$R$17)*CpM!$D$11,"")</f>
        <v>21.033795071268106</v>
      </c>
      <c r="AV22" s="309">
        <f ca="1">IFERROR(AVERAGEIFS(EarningsPerDay[Miles],EarningsPerDay[Primary Area],$AP22,EarningsPerDay[DOW],AV$21,EarningsPerDay[Quarter],Scheduling!$R$17)*CpM!$D$11,"")</f>
        <v>24.304067096482935</v>
      </c>
      <c r="AW22" s="309">
        <f ca="1">IFERROR(AVERAGEIFS(EarningsPerDay[Miles],EarningsPerDay[Primary Area],$AP22,EarningsPerDay[DOW],AW$21,EarningsPerDay[Quarter],Scheduling!$R$17)*CpM!$D$11,"")</f>
        <v>22.222984898618957</v>
      </c>
      <c r="AX22" s="291">
        <f ca="1">AVERAGEIF(AQ22:AW22,"&gt;0")</f>
        <v>24.691615567003527</v>
      </c>
    </row>
    <row r="23" spans="11:50" x14ac:dyDescent="0.35">
      <c r="K23" s="276">
        <v>0.79166666666666663</v>
      </c>
      <c r="L23" s="11">
        <v>141.75</v>
      </c>
      <c r="M23" s="11"/>
      <c r="N23" s="11">
        <v>80.62</v>
      </c>
      <c r="O23" s="11"/>
      <c r="P23" s="11">
        <v>98.240000000000009</v>
      </c>
      <c r="Q23" s="11">
        <v>72.832499999999996</v>
      </c>
      <c r="R23" s="11">
        <v>114.51250000000002</v>
      </c>
      <c r="S23" s="11">
        <v>95.884166666666658</v>
      </c>
      <c r="V23" s="7">
        <v>5.47</v>
      </c>
      <c r="W23" s="470">
        <v>75.319999999999993</v>
      </c>
      <c r="X23" s="470">
        <v>13.7696526508227</v>
      </c>
      <c r="Y23" s="232">
        <v>5.6497175141242938E-3</v>
      </c>
      <c r="AA23" s="7">
        <v>3.53</v>
      </c>
      <c r="AB23" s="470"/>
      <c r="AC23" s="232">
        <v>0</v>
      </c>
      <c r="AD23" s="470"/>
      <c r="AE23" s="470"/>
      <c r="AF23" s="232">
        <v>0</v>
      </c>
      <c r="AG23" s="470"/>
      <c r="AH23" s="470"/>
      <c r="AI23" s="232">
        <v>0</v>
      </c>
      <c r="AJ23" s="470"/>
      <c r="AK23" s="470">
        <v>74.620999999999995</v>
      </c>
      <c r="AL23" s="232">
        <v>3.5714285714285712E-2</v>
      </c>
      <c r="AM23" s="470">
        <v>21.139093484419298</v>
      </c>
      <c r="AP23" s="85" t="s">
        <v>80</v>
      </c>
      <c r="AQ23" s="309">
        <f ca="1">IFERROR(AVERAGEIFS(EarningsPerDay[Miles],EarningsPerDay[Primary Area],$AP23,EarningsPerDay[DOW],AQ$21,EarningsPerDay[Quarter],Scheduling!$R$17)*CpM!$D$11,"")</f>
        <v>19.417315140418562</v>
      </c>
      <c r="AR23" s="309">
        <f ca="1">IFERROR(AVERAGEIFS(EarningsPerDay[Miles],EarningsPerDay[Primary Area],$AP23,EarningsPerDay[DOW],AR$21,EarningsPerDay[Quarter],Scheduling!$R$17)*CpM!$D$11,"")</f>
        <v>21.821542752538331</v>
      </c>
      <c r="AS23" s="309">
        <f ca="1">IFERROR(AVERAGEIFS(EarningsPerDay[Miles],EarningsPerDay[Primary Area],$AP23,EarningsPerDay[DOW],AS$21,EarningsPerDay[Quarter],Scheduling!$R$17)*CpM!$D$11,"")</f>
        <v>21.174574398063314</v>
      </c>
      <c r="AT23" s="309">
        <f ca="1">IFERROR(AVERAGEIFS(EarningsPerDay[Miles],EarningsPerDay[Primary Area],$AP23,EarningsPerDay[DOW],AT$21,EarningsPerDay[Quarter],Scheduling!$R$17)*CpM!$D$11,"")</f>
        <v>23.351842915386822</v>
      </c>
      <c r="AU23" s="309">
        <f ca="1">IFERROR(AVERAGEIFS(EarningsPerDay[Miles],EarningsPerDay[Primary Area],$AP23,EarningsPerDay[DOW],AU$21,EarningsPerDay[Quarter],Scheduling!$R$17)*CpM!$D$11,"")</f>
        <v>21.885339929781836</v>
      </c>
      <c r="AV23" s="309">
        <f ca="1">IFERROR(AVERAGEIFS(EarningsPerDay[Miles],EarningsPerDay[Primary Area],$AP23,EarningsPerDay[DOW],AV$21,EarningsPerDay[Quarter],Scheduling!$R$17)*CpM!$D$11,"")</f>
        <v>27.971974470218207</v>
      </c>
      <c r="AW23" s="309">
        <f ca="1">IFERROR(AVERAGEIFS(EarningsPerDay[Miles],EarningsPerDay[Primary Area],$AP23,EarningsPerDay[DOW],AW$21,EarningsPerDay[Quarter],Scheduling!$R$17)*CpM!$D$11,"")</f>
        <v>22.287691105288371</v>
      </c>
      <c r="AX23" s="291">
        <f ca="1">AVERAGEIF(AQ23:AW23,"&gt;0")</f>
        <v>22.558611530242207</v>
      </c>
    </row>
    <row r="24" spans="11:50" x14ac:dyDescent="0.35">
      <c r="K24" s="276">
        <v>0.8125</v>
      </c>
      <c r="L24" s="11">
        <v>45.46</v>
      </c>
      <c r="M24" s="11"/>
      <c r="N24" s="11"/>
      <c r="O24" s="11"/>
      <c r="P24" s="11">
        <v>62.774999999999999</v>
      </c>
      <c r="Q24" s="11">
        <v>98.394999999999982</v>
      </c>
      <c r="R24" s="11">
        <v>64.260000000000005</v>
      </c>
      <c r="S24" s="11">
        <v>72.010000000000005</v>
      </c>
      <c r="V24" s="7">
        <v>4.4000000000000004</v>
      </c>
      <c r="W24" s="470">
        <v>67.522000000000006</v>
      </c>
      <c r="X24" s="470">
        <v>15.3459090909091</v>
      </c>
      <c r="Y24" s="232">
        <v>5.6497175141242938E-3</v>
      </c>
      <c r="AA24" s="7">
        <v>2.85</v>
      </c>
      <c r="AB24" s="470"/>
      <c r="AC24" s="232">
        <v>0</v>
      </c>
      <c r="AD24" s="470"/>
      <c r="AE24" s="470">
        <v>60.584000000000003</v>
      </c>
      <c r="AF24" s="232">
        <v>3.5714285714285712E-2</v>
      </c>
      <c r="AG24" s="470">
        <v>21.2575438596491</v>
      </c>
      <c r="AH24" s="470"/>
      <c r="AI24" s="232">
        <v>0</v>
      </c>
      <c r="AJ24" s="470"/>
      <c r="AK24" s="470"/>
      <c r="AL24" s="232">
        <v>0</v>
      </c>
      <c r="AM24" s="470"/>
      <c r="AP24" s="86" t="s">
        <v>82</v>
      </c>
      <c r="AQ24" s="309">
        <f ca="1">IFERROR(AVERAGEIFS(EarningsPerDay[Miles],EarningsPerDay[Primary Area],$AP24,EarningsPerDay[DOW],AQ$21,EarningsPerDay[Quarter],Scheduling!$R$17)*CpM!$D$11,"")</f>
        <v>26.255081656980419</v>
      </c>
      <c r="AR24" s="309">
        <f ca="1">IFERROR(AVERAGEIFS(EarningsPerDay[Miles],EarningsPerDay[Primary Area],$AP24,EarningsPerDay[DOW],AR$21,EarningsPerDay[Quarter],Scheduling!$R$17)*CpM!$D$11,"")</f>
        <v>16.648657582911859</v>
      </c>
      <c r="AS24" s="309">
        <f ca="1">IFERROR(AVERAGEIFS(EarningsPerDay[Miles],EarningsPerDay[Primary Area],$AP24,EarningsPerDay[DOW],AS$21,EarningsPerDay[Quarter],Scheduling!$R$17)*CpM!$D$11,"")</f>
        <v>18.380415268991531</v>
      </c>
      <c r="AT24" s="309">
        <f ca="1">IFERROR(AVERAGEIFS(EarningsPerDay[Miles],EarningsPerDay[Primary Area],$AP24,EarningsPerDay[DOW],AT$21,EarningsPerDay[Quarter],Scheduling!$R$17)*CpM!$D$11,"")</f>
        <v>16.475234066423194</v>
      </c>
      <c r="AU24" s="309">
        <f ca="1">IFERROR(AVERAGEIFS(EarningsPerDay[Miles],EarningsPerDay[Primary Area],$AP24,EarningsPerDay[DOW],AU$21,EarningsPerDay[Quarter],Scheduling!$R$17)*CpM!$D$11,"")</f>
        <v>14.716224113466733</v>
      </c>
      <c r="AV24" s="309">
        <f ca="1">IFERROR(AVERAGEIFS(EarningsPerDay[Miles],EarningsPerDay[Primary Area],$AP24,EarningsPerDay[DOW],AV$21,EarningsPerDay[Quarter],Scheduling!$R$17)*CpM!$D$11,"")</f>
        <v>17.391901225006137</v>
      </c>
      <c r="AW24" s="309">
        <f ca="1">IFERROR(AVERAGEIFS(EarningsPerDay[Miles],EarningsPerDay[Primary Area],$AP24,EarningsPerDay[DOW],AW$21,EarningsPerDay[Quarter],Scheduling!$R$17)*CpM!$D$11,"")</f>
        <v>22.935012307745271</v>
      </c>
      <c r="AX24" s="291">
        <f ca="1">AVERAGEIF(AQ24:AW24,"&gt;0")</f>
        <v>18.971789460217877</v>
      </c>
    </row>
    <row r="25" spans="11:50" ht="15" thickBot="1" x14ac:dyDescent="0.4">
      <c r="K25" s="276">
        <v>0.83333333333333337</v>
      </c>
      <c r="L25" s="11">
        <v>90.899999999999991</v>
      </c>
      <c r="M25" s="11">
        <v>83.62</v>
      </c>
      <c r="N25" s="11">
        <v>110.07</v>
      </c>
      <c r="O25" s="11">
        <v>43.55</v>
      </c>
      <c r="P25" s="11"/>
      <c r="Q25" s="11">
        <v>107.62</v>
      </c>
      <c r="R25" s="11"/>
      <c r="S25" s="11">
        <v>93.582222222222214</v>
      </c>
      <c r="V25" s="7">
        <v>4.1500000000000004</v>
      </c>
      <c r="W25" s="470">
        <v>70.054900000000004</v>
      </c>
      <c r="X25" s="470">
        <v>16.880698795180752</v>
      </c>
      <c r="Y25" s="232">
        <v>2.2598870056497175E-2</v>
      </c>
      <c r="AA25" s="7">
        <v>3.77</v>
      </c>
      <c r="AB25" s="470"/>
      <c r="AC25" s="232">
        <v>0</v>
      </c>
      <c r="AD25" s="470"/>
      <c r="AE25" s="470"/>
      <c r="AF25" s="232">
        <v>0</v>
      </c>
      <c r="AG25" s="470"/>
      <c r="AH25" s="470">
        <v>64.641999999999996</v>
      </c>
      <c r="AI25" s="232">
        <v>3.5714285714285712E-2</v>
      </c>
      <c r="AJ25" s="470">
        <v>17.146419098143198</v>
      </c>
      <c r="AK25" s="470"/>
      <c r="AL25" s="232">
        <v>0</v>
      </c>
      <c r="AM25" s="470"/>
      <c r="AP25" s="87" t="s">
        <v>85</v>
      </c>
      <c r="AQ25" s="309">
        <f ca="1">IFERROR(AVERAGEIFS(EarningsPerDay[Miles],EarningsPerDay[Primary Area],$AP25,EarningsPerDay[DOW],AQ$21,EarningsPerDay[Quarter],Scheduling!$R$17)*CpM!$D$11,"")</f>
        <v>22.220507419811973</v>
      </c>
      <c r="AR25" s="309">
        <f ca="1">IFERROR(AVERAGEIFS(EarningsPerDay[Miles],EarningsPerDay[Primary Area],$AP25,EarningsPerDay[DOW],AR$21,EarningsPerDay[Quarter],Scheduling!$R$17)*CpM!$D$11,"")</f>
        <v>30.235151360395285</v>
      </c>
      <c r="AS25" s="309">
        <f ca="1">IFERROR(AVERAGEIFS(EarningsPerDay[Miles],EarningsPerDay[Primary Area],$AP25,EarningsPerDay[DOW],AS$21,EarningsPerDay[Quarter],Scheduling!$R$17)*CpM!$D$11,"")</f>
        <v>27.98312312484962</v>
      </c>
      <c r="AT25" s="309">
        <f ca="1">IFERROR(AVERAGEIFS(EarningsPerDay[Miles],EarningsPerDay[Primary Area],$AP25,EarningsPerDay[DOW],AT$21,EarningsPerDay[Quarter],Scheduling!$R$17)*CpM!$D$11,"")</f>
        <v>21.326137570491859</v>
      </c>
      <c r="AU25" s="309">
        <f ca="1">IFERROR(AVERAGEIFS(EarningsPerDay[Miles],EarningsPerDay[Primary Area],$AP25,EarningsPerDay[DOW],AU$21,EarningsPerDay[Quarter],Scheduling!$R$17)*CpM!$D$11,"")</f>
        <v>25.356740832808367</v>
      </c>
      <c r="AV25" s="309">
        <f ca="1">IFERROR(AVERAGEIFS(EarningsPerDay[Miles],EarningsPerDay[Primary Area],$AP25,EarningsPerDay[DOW],AV$21,EarningsPerDay[Quarter],Scheduling!$R$17)*CpM!$D$11,"")</f>
        <v>31.731925071299418</v>
      </c>
      <c r="AW25" s="309">
        <f ca="1">IFERROR(AVERAGEIFS(EarningsPerDay[Miles],EarningsPerDay[Primary Area],$AP25,EarningsPerDay[DOW],AW$21,EarningsPerDay[Quarter],Scheduling!$R$17)*CpM!$D$11,"")</f>
        <v>21.33109252810582</v>
      </c>
      <c r="AX25" s="291">
        <f ca="1">AVERAGEIF(AQ25:AW25,"&gt;0")</f>
        <v>25.740668272537476</v>
      </c>
    </row>
    <row r="26" spans="11:50" ht="15" thickBot="1" x14ac:dyDescent="0.4">
      <c r="K26" s="276">
        <v>0.85416666666666663</v>
      </c>
      <c r="L26" s="11"/>
      <c r="M26" s="11"/>
      <c r="N26" s="11"/>
      <c r="O26" s="11"/>
      <c r="P26" s="11">
        <v>42.2</v>
      </c>
      <c r="Q26" s="11"/>
      <c r="R26" s="11">
        <v>155.03</v>
      </c>
      <c r="S26" s="11">
        <v>98.615000000000009</v>
      </c>
      <c r="V26" s="7">
        <v>4.32</v>
      </c>
      <c r="W26" s="470">
        <v>82.713999999999999</v>
      </c>
      <c r="X26" s="470">
        <v>19.146759259259301</v>
      </c>
      <c r="Y26" s="232">
        <v>5.6497175141242938E-3</v>
      </c>
      <c r="AA26" s="7">
        <v>3.9</v>
      </c>
      <c r="AB26" s="470"/>
      <c r="AC26" s="232">
        <v>0</v>
      </c>
      <c r="AD26" s="470"/>
      <c r="AE26" s="470">
        <v>76.674000000000007</v>
      </c>
      <c r="AF26" s="232">
        <v>3.5714285714285712E-2</v>
      </c>
      <c r="AG26" s="470">
        <v>19.66</v>
      </c>
      <c r="AH26" s="470"/>
      <c r="AI26" s="232">
        <v>0</v>
      </c>
      <c r="AJ26" s="470"/>
      <c r="AK26" s="470"/>
      <c r="AL26" s="232">
        <v>0</v>
      </c>
      <c r="AM26" s="470"/>
      <c r="AP26" s="53" t="s">
        <v>40</v>
      </c>
      <c r="AQ26" s="292">
        <f t="shared" ref="AQ26:AW26" ca="1" si="6">_xlfn.MINIFS(AQ22:AQ25,AQ22:AQ25,"&lt;&gt;0")</f>
        <v>19.417315140418562</v>
      </c>
      <c r="AR26" s="292">
        <f t="shared" ca="1" si="6"/>
        <v>16.648657582911859</v>
      </c>
      <c r="AS26" s="292">
        <f t="shared" ca="1" si="6"/>
        <v>18.380415268991531</v>
      </c>
      <c r="AT26" s="292">
        <f t="shared" ca="1" si="6"/>
        <v>16.475234066423194</v>
      </c>
      <c r="AU26" s="292">
        <f t="shared" ca="1" si="6"/>
        <v>14.716224113466733</v>
      </c>
      <c r="AV26" s="292">
        <f t="shared" ca="1" si="6"/>
        <v>17.391901225006137</v>
      </c>
      <c r="AW26" s="292">
        <f t="shared" ca="1" si="6"/>
        <v>21.33109252810582</v>
      </c>
    </row>
    <row r="27" spans="11:50" ht="15" thickBot="1" x14ac:dyDescent="0.4">
      <c r="K27" s="276">
        <v>0.875</v>
      </c>
      <c r="L27" s="11">
        <v>38.4</v>
      </c>
      <c r="M27" s="11"/>
      <c r="N27" s="11">
        <v>72.069999999999993</v>
      </c>
      <c r="O27" s="11"/>
      <c r="P27" s="11"/>
      <c r="Q27" s="11"/>
      <c r="R27" s="11"/>
      <c r="S27" s="11">
        <v>55.234999999999999</v>
      </c>
      <c r="V27" s="7">
        <v>5.25</v>
      </c>
      <c r="W27" s="470">
        <v>98.769000000000005</v>
      </c>
      <c r="X27" s="470">
        <v>18.8131428571429</v>
      </c>
      <c r="Y27" s="232">
        <v>5.6497175141242938E-3</v>
      </c>
      <c r="AA27" s="7">
        <v>3.1</v>
      </c>
      <c r="AB27" s="470"/>
      <c r="AC27" s="232">
        <v>0</v>
      </c>
      <c r="AD27" s="470"/>
      <c r="AE27" s="470">
        <v>67.447000000000003</v>
      </c>
      <c r="AF27" s="232">
        <v>3.5714285714285712E-2</v>
      </c>
      <c r="AG27" s="470">
        <v>21.757096774193599</v>
      </c>
      <c r="AH27" s="470"/>
      <c r="AI27" s="232">
        <v>0</v>
      </c>
      <c r="AJ27" s="470"/>
      <c r="AK27" s="470"/>
      <c r="AL27" s="232">
        <v>0</v>
      </c>
      <c r="AM27" s="470"/>
      <c r="AP27" s="53" t="s">
        <v>87</v>
      </c>
      <c r="AQ27" s="54">
        <f t="shared" ref="AQ27:AW27" ca="1" si="7">_xlfn.RANK.EQ(AQ26,$AQ$26:$AW$26,1)</f>
        <v>6</v>
      </c>
      <c r="AR27" s="54">
        <f t="shared" ca="1" si="7"/>
        <v>3</v>
      </c>
      <c r="AS27" s="54">
        <f t="shared" ca="1" si="7"/>
        <v>5</v>
      </c>
      <c r="AT27" s="54">
        <f t="shared" ca="1" si="7"/>
        <v>2</v>
      </c>
      <c r="AU27" s="54">
        <f t="shared" ca="1" si="7"/>
        <v>1</v>
      </c>
      <c r="AV27" s="54">
        <f t="shared" ca="1" si="7"/>
        <v>4</v>
      </c>
      <c r="AW27" s="54">
        <f t="shared" ca="1" si="7"/>
        <v>7</v>
      </c>
    </row>
    <row r="28" spans="11:50" x14ac:dyDescent="0.35">
      <c r="K28" s="276">
        <v>0.89583333333333337</v>
      </c>
      <c r="L28" s="11"/>
      <c r="M28" s="11">
        <v>21.84</v>
      </c>
      <c r="N28" s="11"/>
      <c r="O28" s="11"/>
      <c r="P28" s="11"/>
      <c r="Q28" s="11"/>
      <c r="R28" s="11">
        <v>60.17</v>
      </c>
      <c r="S28" s="11">
        <v>41.005000000000003</v>
      </c>
      <c r="V28" s="7">
        <v>2.35</v>
      </c>
      <c r="W28" s="470">
        <v>33.598999999999997</v>
      </c>
      <c r="X28" s="470">
        <v>14.2974468085106</v>
      </c>
      <c r="Y28" s="232">
        <v>5.6497175141242938E-3</v>
      </c>
      <c r="AA28" s="7">
        <v>6.25</v>
      </c>
      <c r="AB28" s="470"/>
      <c r="AC28" s="232">
        <v>0</v>
      </c>
      <c r="AD28" s="470"/>
      <c r="AE28" s="470">
        <v>156.43132727433101</v>
      </c>
      <c r="AF28" s="232">
        <v>3.5714285714285712E-2</v>
      </c>
      <c r="AG28" s="470">
        <v>25.0290123638929</v>
      </c>
      <c r="AH28" s="470"/>
      <c r="AI28" s="232">
        <v>0</v>
      </c>
      <c r="AJ28" s="470"/>
      <c r="AK28" s="470"/>
      <c r="AL28" s="232">
        <v>0</v>
      </c>
      <c r="AM28" s="470"/>
    </row>
    <row r="29" spans="11:50" x14ac:dyDescent="0.35">
      <c r="K29" s="276">
        <v>0.91666666666666663</v>
      </c>
      <c r="L29" s="11"/>
      <c r="M29" s="11"/>
      <c r="N29" s="11">
        <v>49.5</v>
      </c>
      <c r="O29" s="11"/>
      <c r="P29" s="11"/>
      <c r="Q29" s="11"/>
      <c r="R29" s="11"/>
      <c r="S29" s="11">
        <v>49.5</v>
      </c>
      <c r="V29" s="7">
        <v>1.1000000000000001</v>
      </c>
      <c r="W29" s="470">
        <v>18.110499999999998</v>
      </c>
      <c r="X29" s="470">
        <v>16.464090909090899</v>
      </c>
      <c r="Y29" s="232">
        <v>5.6497175141242938E-3</v>
      </c>
      <c r="AA29" s="7">
        <v>7.68</v>
      </c>
      <c r="AB29" s="470"/>
      <c r="AC29" s="232">
        <v>0</v>
      </c>
      <c r="AD29" s="470"/>
      <c r="AE29" s="470">
        <v>249.33600000000001</v>
      </c>
      <c r="AF29" s="232">
        <v>3.5714285714285712E-2</v>
      </c>
      <c r="AG29" s="470">
        <v>32.465625000000003</v>
      </c>
      <c r="AH29" s="470"/>
      <c r="AI29" s="232">
        <v>0</v>
      </c>
      <c r="AJ29" s="470"/>
      <c r="AK29" s="470"/>
      <c r="AL29" s="232">
        <v>0</v>
      </c>
      <c r="AM29" s="470"/>
    </row>
    <row r="30" spans="11:50" x14ac:dyDescent="0.35">
      <c r="K30" s="6" t="s">
        <v>75</v>
      </c>
      <c r="L30" t="s">
        <v>278</v>
      </c>
      <c r="V30" s="7">
        <v>5.38</v>
      </c>
      <c r="W30" s="470">
        <v>108.71599999999999</v>
      </c>
      <c r="X30" s="470">
        <v>20.2074349442379</v>
      </c>
      <c r="Y30" s="232">
        <v>5.6497175141242938E-3</v>
      </c>
      <c r="AA30" s="7">
        <v>5.5</v>
      </c>
      <c r="AB30" s="470"/>
      <c r="AC30" s="232">
        <v>0</v>
      </c>
      <c r="AD30" s="470"/>
      <c r="AE30" s="470"/>
      <c r="AF30" s="232">
        <v>0</v>
      </c>
      <c r="AG30" s="470"/>
      <c r="AH30" s="470"/>
      <c r="AI30" s="232">
        <v>0</v>
      </c>
      <c r="AJ30" s="470"/>
      <c r="AK30" s="470">
        <v>124.89619999999999</v>
      </c>
      <c r="AL30" s="232">
        <v>3.5714285714285712E-2</v>
      </c>
      <c r="AM30" s="470">
        <v>22.708400000000001</v>
      </c>
    </row>
    <row r="31" spans="11:50" x14ac:dyDescent="0.35">
      <c r="K31" s="6" t="s">
        <v>98</v>
      </c>
      <c r="L31" t="s">
        <v>300</v>
      </c>
      <c r="V31" s="7">
        <v>7.1</v>
      </c>
      <c r="W31" s="470">
        <v>75.872100000000003</v>
      </c>
      <c r="X31" s="470">
        <v>10.6862112676056</v>
      </c>
      <c r="Y31" s="232">
        <v>5.6497175141242938E-3</v>
      </c>
      <c r="AA31" s="7">
        <v>8.32</v>
      </c>
      <c r="AB31" s="470"/>
      <c r="AC31" s="232">
        <v>0</v>
      </c>
      <c r="AD31" s="470"/>
      <c r="AE31" s="470">
        <v>125.2535</v>
      </c>
      <c r="AF31" s="232">
        <v>3.5714285714285712E-2</v>
      </c>
      <c r="AG31" s="470">
        <v>15.0545072115385</v>
      </c>
      <c r="AH31" s="470"/>
      <c r="AI31" s="232">
        <v>0</v>
      </c>
      <c r="AJ31" s="470"/>
      <c r="AK31" s="470"/>
      <c r="AL31" s="232">
        <v>0</v>
      </c>
      <c r="AM31" s="470"/>
    </row>
    <row r="32" spans="11:50" x14ac:dyDescent="0.35">
      <c r="V32" s="7">
        <v>4.42</v>
      </c>
      <c r="W32" s="470">
        <v>105.217</v>
      </c>
      <c r="X32" s="470">
        <v>23.8047511312217</v>
      </c>
      <c r="Y32" s="232">
        <v>5.6497175141242938E-3</v>
      </c>
      <c r="AA32" s="7">
        <v>5.4</v>
      </c>
      <c r="AB32" s="470"/>
      <c r="AC32" s="232">
        <v>0</v>
      </c>
      <c r="AD32" s="470"/>
      <c r="AE32" s="470"/>
      <c r="AF32" s="232">
        <v>0</v>
      </c>
      <c r="AG32" s="470"/>
      <c r="AH32" s="470"/>
      <c r="AI32" s="232">
        <v>0</v>
      </c>
      <c r="AJ32" s="470"/>
      <c r="AK32" s="470">
        <v>55.580096927315097</v>
      </c>
      <c r="AL32" s="232">
        <v>3.5714285714285712E-2</v>
      </c>
      <c r="AM32" s="470">
        <v>10.292610542095399</v>
      </c>
    </row>
    <row r="33" spans="11:48" x14ac:dyDescent="0.35">
      <c r="K33" s="6" t="s">
        <v>420</v>
      </c>
      <c r="L33" s="6" t="s">
        <v>99</v>
      </c>
      <c r="V33" s="7">
        <v>4</v>
      </c>
      <c r="W33" s="470">
        <v>76.316500000000005</v>
      </c>
      <c r="X33" s="470">
        <v>19.079125000000001</v>
      </c>
      <c r="Y33" s="232">
        <v>1.1299435028248588E-2</v>
      </c>
      <c r="AA33" s="7">
        <v>3.6666666666666661</v>
      </c>
      <c r="AB33" s="470"/>
      <c r="AC33" s="232">
        <v>0</v>
      </c>
      <c r="AD33" s="470"/>
      <c r="AE33" s="470"/>
      <c r="AF33" s="232">
        <v>0</v>
      </c>
      <c r="AG33" s="470"/>
      <c r="AH33" s="470"/>
      <c r="AI33" s="232">
        <v>0</v>
      </c>
      <c r="AJ33" s="470"/>
      <c r="AK33" s="470">
        <v>29.5733656424384</v>
      </c>
      <c r="AL33" s="232">
        <v>3.5714285714285712E-2</v>
      </c>
      <c r="AM33" s="470">
        <v>8.0654633570286496</v>
      </c>
    </row>
    <row r="34" spans="11:48" x14ac:dyDescent="0.35">
      <c r="K34" s="6" t="s">
        <v>111</v>
      </c>
      <c r="L34" t="s">
        <v>45</v>
      </c>
      <c r="M34" t="s">
        <v>46</v>
      </c>
      <c r="N34" t="s">
        <v>47</v>
      </c>
      <c r="O34" t="s">
        <v>48</v>
      </c>
      <c r="P34" t="s">
        <v>49</v>
      </c>
      <c r="Q34" t="s">
        <v>50</v>
      </c>
      <c r="R34" t="s">
        <v>51</v>
      </c>
      <c r="S34" t="s">
        <v>88</v>
      </c>
      <c r="V34" s="7">
        <v>5.75</v>
      </c>
      <c r="W34" s="470">
        <v>69.888000000000005</v>
      </c>
      <c r="X34" s="470">
        <v>12.1544347826087</v>
      </c>
      <c r="Y34" s="232">
        <v>5.6497175141242938E-3</v>
      </c>
      <c r="AA34" s="7">
        <v>6.6166666666666671</v>
      </c>
      <c r="AB34" s="470"/>
      <c r="AC34" s="232">
        <v>0</v>
      </c>
      <c r="AD34" s="470"/>
      <c r="AE34" s="470"/>
      <c r="AF34" s="232">
        <v>0</v>
      </c>
      <c r="AG34" s="470"/>
      <c r="AH34" s="470"/>
      <c r="AI34" s="232">
        <v>0</v>
      </c>
      <c r="AJ34" s="470"/>
      <c r="AK34" s="470">
        <v>47.988414106095902</v>
      </c>
      <c r="AL34" s="232">
        <v>3.5714285714285712E-2</v>
      </c>
      <c r="AM34" s="470">
        <v>7.2526570437424596</v>
      </c>
    </row>
    <row r="35" spans="11:48" x14ac:dyDescent="0.35">
      <c r="K35" s="276"/>
      <c r="L35" s="11">
        <v>14.117395544348136</v>
      </c>
      <c r="M35" s="11">
        <v>21.303240110378884</v>
      </c>
      <c r="N35" s="11">
        <v>26.448747160474671</v>
      </c>
      <c r="O35" s="11">
        <v>33.196142131979698</v>
      </c>
      <c r="P35" s="11"/>
      <c r="Q35" s="11">
        <v>19.046085805793126</v>
      </c>
      <c r="R35" s="11">
        <v>21.456243428897221</v>
      </c>
      <c r="S35" s="11">
        <v>20.702677729835859</v>
      </c>
      <c r="V35" s="7">
        <v>5.12</v>
      </c>
      <c r="W35" s="470">
        <v>63.344949999999997</v>
      </c>
      <c r="X35" s="470">
        <v>12.372060546875</v>
      </c>
      <c r="Y35" s="232">
        <v>1.1299435028248588E-2</v>
      </c>
    </row>
    <row r="36" spans="11:48" x14ac:dyDescent="0.35">
      <c r="K36" s="276">
        <v>0.41666666666666669</v>
      </c>
      <c r="L36" s="11">
        <v>13.262135922330097</v>
      </c>
      <c r="M36" s="11"/>
      <c r="N36" s="11"/>
      <c r="O36" s="11"/>
      <c r="P36" s="11"/>
      <c r="Q36" s="11"/>
      <c r="R36" s="11"/>
      <c r="S36" s="11">
        <v>13.262135922330097</v>
      </c>
      <c r="V36" s="7">
        <v>5.43</v>
      </c>
      <c r="W36" s="470">
        <v>122.65600000000001</v>
      </c>
      <c r="X36" s="470">
        <v>22.588581952117849</v>
      </c>
      <c r="Y36" s="232">
        <v>1.1299435028248588E-2</v>
      </c>
    </row>
    <row r="37" spans="11:48" x14ac:dyDescent="0.35">
      <c r="K37" s="276">
        <v>0.47916666666666669</v>
      </c>
      <c r="L37" s="11"/>
      <c r="M37" s="11"/>
      <c r="N37" s="11"/>
      <c r="O37" s="11"/>
      <c r="P37" s="11"/>
      <c r="Q37" s="11"/>
      <c r="R37" s="11">
        <v>17.901785714285715</v>
      </c>
      <c r="S37" s="11">
        <v>17.901785714285715</v>
      </c>
      <c r="V37" s="7">
        <v>5.08</v>
      </c>
      <c r="W37" s="470">
        <v>79.889499999999998</v>
      </c>
      <c r="X37" s="470">
        <v>15.726279527559051</v>
      </c>
      <c r="Y37" s="232">
        <v>1.1299435028248588E-2</v>
      </c>
    </row>
    <row r="38" spans="11:48" x14ac:dyDescent="0.35">
      <c r="K38" s="276">
        <v>0.5</v>
      </c>
      <c r="L38" s="11"/>
      <c r="M38" s="11">
        <v>17.378076062639824</v>
      </c>
      <c r="N38" s="11"/>
      <c r="O38" s="11"/>
      <c r="P38" s="11"/>
      <c r="Q38" s="11"/>
      <c r="R38" s="11"/>
      <c r="S38" s="11">
        <v>17.378076062639824</v>
      </c>
      <c r="V38" s="7">
        <v>2.27</v>
      </c>
      <c r="W38" s="470">
        <v>26.952999999999999</v>
      </c>
      <c r="X38" s="470">
        <v>11.873568281938301</v>
      </c>
      <c r="Y38" s="232">
        <v>5.6497175141242938E-3</v>
      </c>
    </row>
    <row r="39" spans="11:48" x14ac:dyDescent="0.35">
      <c r="K39" s="276">
        <v>0.52083333333333337</v>
      </c>
      <c r="L39" s="11">
        <v>23.776923076923079</v>
      </c>
      <c r="M39" s="11"/>
      <c r="N39" s="11"/>
      <c r="O39" s="11"/>
      <c r="P39" s="11"/>
      <c r="Q39" s="11"/>
      <c r="R39" s="11"/>
      <c r="S39" s="11">
        <v>23.776923076923079</v>
      </c>
      <c r="V39" s="7">
        <v>4.5199999999999996</v>
      </c>
      <c r="W39" s="470">
        <v>68.064999999999998</v>
      </c>
      <c r="X39" s="470">
        <v>15.0586283185841</v>
      </c>
      <c r="Y39" s="232">
        <v>5.6497175141242938E-3</v>
      </c>
    </row>
    <row r="40" spans="11:48" x14ac:dyDescent="0.35">
      <c r="K40" s="276">
        <v>0.54166666666666663</v>
      </c>
      <c r="L40" s="11">
        <v>17.367549668874172</v>
      </c>
      <c r="M40" s="11"/>
      <c r="N40" s="11"/>
      <c r="O40" s="11"/>
      <c r="P40" s="11"/>
      <c r="Q40" s="11"/>
      <c r="R40" s="11">
        <v>28.078971353175508</v>
      </c>
      <c r="S40" s="11">
        <v>25.401115932100176</v>
      </c>
      <c r="V40" s="7">
        <v>6.28</v>
      </c>
      <c r="W40" s="470">
        <v>119.923</v>
      </c>
      <c r="X40" s="470">
        <v>19.096019108280252</v>
      </c>
      <c r="Y40" s="232">
        <v>1.1299435028248588E-2</v>
      </c>
      <c r="AA40" s="6" t="s">
        <v>75</v>
      </c>
      <c r="AB40" t="s">
        <v>278</v>
      </c>
    </row>
    <row r="41" spans="11:48" x14ac:dyDescent="0.35">
      <c r="K41" s="276">
        <v>0.5625</v>
      </c>
      <c r="L41" s="11"/>
      <c r="M41" s="11"/>
      <c r="N41" s="11"/>
      <c r="O41" s="11"/>
      <c r="P41" s="11"/>
      <c r="Q41" s="11"/>
      <c r="R41" s="11">
        <v>27.355825791855207</v>
      </c>
      <c r="S41" s="11">
        <v>27.355825791855207</v>
      </c>
      <c r="V41" s="7">
        <v>6.45</v>
      </c>
      <c r="W41" s="470">
        <v>112.438</v>
      </c>
      <c r="X41" s="470">
        <v>17.4322480620155</v>
      </c>
      <c r="Y41" s="232">
        <v>5.6497175141242938E-3</v>
      </c>
      <c r="AA41" s="6" t="s">
        <v>172</v>
      </c>
      <c r="AB41" t="s">
        <v>380</v>
      </c>
    </row>
    <row r="42" spans="11:48" x14ac:dyDescent="0.35">
      <c r="K42" s="276">
        <v>0.58333333333333337</v>
      </c>
      <c r="L42" s="11"/>
      <c r="M42" s="11"/>
      <c r="N42" s="11"/>
      <c r="O42" s="11"/>
      <c r="P42" s="11"/>
      <c r="Q42" s="11"/>
      <c r="R42" s="11">
        <v>24.768111313868616</v>
      </c>
      <c r="S42" s="11">
        <v>24.768111313868616</v>
      </c>
      <c r="V42" s="7">
        <v>3.02</v>
      </c>
      <c r="W42" s="470">
        <v>38.817999999999998</v>
      </c>
      <c r="X42" s="470">
        <v>12.85364238410595</v>
      </c>
      <c r="Y42" s="232">
        <v>1.1299435028248588E-2</v>
      </c>
    </row>
    <row r="43" spans="11:48" x14ac:dyDescent="0.35">
      <c r="K43" s="276">
        <v>0.60416666666666663</v>
      </c>
      <c r="L43" s="11"/>
      <c r="M43" s="11"/>
      <c r="N43" s="11"/>
      <c r="O43" s="11"/>
      <c r="P43" s="11"/>
      <c r="Q43" s="11"/>
      <c r="R43" s="11">
        <v>20.88089330024814</v>
      </c>
      <c r="S43" s="11">
        <v>20.88089330024814</v>
      </c>
      <c r="V43" s="7">
        <v>4.07</v>
      </c>
      <c r="W43" s="470">
        <v>85.352000000000004</v>
      </c>
      <c r="X43" s="470">
        <v>20.971007371007399</v>
      </c>
      <c r="Y43" s="232">
        <v>5.6497175141242938E-3</v>
      </c>
      <c r="AB43" s="6" t="s">
        <v>77</v>
      </c>
    </row>
    <row r="44" spans="11:48" x14ac:dyDescent="0.35">
      <c r="K44" s="276">
        <v>0.625</v>
      </c>
      <c r="L44" s="11">
        <v>26.422222222222224</v>
      </c>
      <c r="M44" s="11"/>
      <c r="N44" s="11"/>
      <c r="O44" s="11"/>
      <c r="P44" s="11">
        <v>20.930232558139537</v>
      </c>
      <c r="Q44" s="11"/>
      <c r="R44" s="11"/>
      <c r="S44" s="11">
        <v>23.67622739018088</v>
      </c>
      <c r="V44" s="7">
        <v>3.13</v>
      </c>
      <c r="W44" s="470">
        <v>48.505000000000003</v>
      </c>
      <c r="X44" s="470">
        <v>15.4968051118211</v>
      </c>
      <c r="Y44" s="232">
        <v>1.1299435028248588E-2</v>
      </c>
      <c r="AB44" t="s">
        <v>45</v>
      </c>
      <c r="AE44" t="s">
        <v>46</v>
      </c>
      <c r="AH44" t="s">
        <v>47</v>
      </c>
      <c r="AK44" t="s">
        <v>48</v>
      </c>
      <c r="AN44" t="s">
        <v>49</v>
      </c>
      <c r="AQ44" t="s">
        <v>50</v>
      </c>
      <c r="AT44" t="s">
        <v>51</v>
      </c>
    </row>
    <row r="45" spans="11:48" x14ac:dyDescent="0.35">
      <c r="K45" s="276">
        <v>0.64583333333333337</v>
      </c>
      <c r="L45" s="11">
        <v>27.434294871794869</v>
      </c>
      <c r="M45" s="11"/>
      <c r="N45" s="11"/>
      <c r="O45" s="11">
        <v>19.446874999999999</v>
      </c>
      <c r="P45" s="11"/>
      <c r="Q45" s="11"/>
      <c r="R45" s="11">
        <v>28.222769277270011</v>
      </c>
      <c r="S45" s="11">
        <v>26.928663891242476</v>
      </c>
      <c r="V45" s="7">
        <v>3.18</v>
      </c>
      <c r="W45" s="470">
        <v>54.377000000000002</v>
      </c>
      <c r="X45" s="470">
        <v>17.099685534591199</v>
      </c>
      <c r="Y45" s="232">
        <v>5.6497175141242938E-3</v>
      </c>
      <c r="AA45" s="6" t="s">
        <v>43</v>
      </c>
      <c r="AB45" t="s">
        <v>414</v>
      </c>
      <c r="AC45" t="s">
        <v>416</v>
      </c>
      <c r="AD45" t="s">
        <v>379</v>
      </c>
      <c r="AE45" t="s">
        <v>414</v>
      </c>
      <c r="AF45" t="s">
        <v>416</v>
      </c>
      <c r="AG45" t="s">
        <v>379</v>
      </c>
      <c r="AH45" t="s">
        <v>414</v>
      </c>
      <c r="AI45" t="s">
        <v>416</v>
      </c>
      <c r="AJ45" t="s">
        <v>379</v>
      </c>
      <c r="AK45" t="s">
        <v>414</v>
      </c>
      <c r="AL45" t="s">
        <v>416</v>
      </c>
      <c r="AM45" t="s">
        <v>379</v>
      </c>
      <c r="AN45" t="s">
        <v>414</v>
      </c>
      <c r="AO45" t="s">
        <v>416</v>
      </c>
      <c r="AP45" t="s">
        <v>379</v>
      </c>
      <c r="AQ45" t="s">
        <v>414</v>
      </c>
      <c r="AR45" t="s">
        <v>416</v>
      </c>
      <c r="AS45" t="s">
        <v>379</v>
      </c>
      <c r="AT45" t="s">
        <v>414</v>
      </c>
      <c r="AU45" t="s">
        <v>416</v>
      </c>
      <c r="AV45" t="s">
        <v>379</v>
      </c>
    </row>
    <row r="46" spans="11:48" x14ac:dyDescent="0.35">
      <c r="K46" s="276">
        <v>0.66666666666666663</v>
      </c>
      <c r="L46" s="11">
        <v>24.83755536941872</v>
      </c>
      <c r="M46" s="11"/>
      <c r="N46" s="11"/>
      <c r="O46" s="11"/>
      <c r="P46" s="11"/>
      <c r="Q46" s="11"/>
      <c r="R46" s="11">
        <v>28.930007511820072</v>
      </c>
      <c r="S46" s="11">
        <v>26.883781440619394</v>
      </c>
      <c r="V46" s="7">
        <v>2.98</v>
      </c>
      <c r="W46" s="470">
        <v>22.942</v>
      </c>
      <c r="X46" s="470">
        <v>7.6986577181208</v>
      </c>
      <c r="Y46" s="232">
        <v>5.6497175141242938E-3</v>
      </c>
      <c r="AA46" s="7">
        <v>4.38</v>
      </c>
      <c r="AB46" s="470"/>
      <c r="AC46" s="470"/>
      <c r="AD46" s="232">
        <v>0</v>
      </c>
      <c r="AE46" s="470">
        <v>67.885999999999996</v>
      </c>
      <c r="AF46" s="470">
        <v>15.4990867579909</v>
      </c>
      <c r="AG46" s="232">
        <v>5.6497175141242938E-3</v>
      </c>
      <c r="AH46" s="470"/>
      <c r="AI46" s="470"/>
      <c r="AJ46" s="232">
        <v>0</v>
      </c>
      <c r="AK46" s="470"/>
      <c r="AL46" s="470"/>
      <c r="AM46" s="232">
        <v>0</v>
      </c>
      <c r="AN46" s="470"/>
      <c r="AO46" s="470"/>
      <c r="AP46" s="232">
        <v>0</v>
      </c>
      <c r="AQ46" s="470"/>
      <c r="AR46" s="470"/>
      <c r="AS46" s="232">
        <v>0</v>
      </c>
      <c r="AT46" s="470"/>
      <c r="AU46" s="470"/>
      <c r="AV46" s="232">
        <v>0</v>
      </c>
    </row>
    <row r="47" spans="11:48" x14ac:dyDescent="0.35">
      <c r="K47" s="276">
        <v>0.6875</v>
      </c>
      <c r="L47" s="11">
        <v>27.675000000000001</v>
      </c>
      <c r="M47" s="11"/>
      <c r="N47" s="11"/>
      <c r="O47" s="11"/>
      <c r="P47" s="11"/>
      <c r="Q47" s="11">
        <v>33.373333333333335</v>
      </c>
      <c r="R47" s="11">
        <v>23.370038209498922</v>
      </c>
      <c r="S47" s="11">
        <v>26.947102438082794</v>
      </c>
      <c r="V47" s="7">
        <v>9.07</v>
      </c>
      <c r="W47" s="470">
        <v>183.76300000000001</v>
      </c>
      <c r="X47" s="470">
        <v>20.260529217199601</v>
      </c>
      <c r="Y47" s="232">
        <v>5.6497175141242938E-3</v>
      </c>
      <c r="AA47" s="7">
        <v>4.75</v>
      </c>
      <c r="AB47" s="470"/>
      <c r="AC47" s="470"/>
      <c r="AD47" s="232">
        <v>0</v>
      </c>
      <c r="AE47" s="470"/>
      <c r="AF47" s="470"/>
      <c r="AG47" s="232">
        <v>0</v>
      </c>
      <c r="AH47" s="470">
        <v>142.726</v>
      </c>
      <c r="AI47" s="470">
        <v>30.0475789473684</v>
      </c>
      <c r="AJ47" s="232">
        <v>5.6497175141242938E-3</v>
      </c>
      <c r="AK47" s="470"/>
      <c r="AL47" s="470"/>
      <c r="AM47" s="232">
        <v>0</v>
      </c>
      <c r="AN47" s="470"/>
      <c r="AO47" s="470"/>
      <c r="AP47" s="232">
        <v>0</v>
      </c>
      <c r="AQ47" s="470"/>
      <c r="AR47" s="470"/>
      <c r="AS47" s="232">
        <v>0</v>
      </c>
      <c r="AT47" s="470"/>
      <c r="AU47" s="470"/>
      <c r="AV47" s="232">
        <v>0</v>
      </c>
    </row>
    <row r="48" spans="11:48" x14ac:dyDescent="0.35">
      <c r="K48" s="276">
        <v>0.70833333333333337</v>
      </c>
      <c r="L48" s="11">
        <v>23.716108029901132</v>
      </c>
      <c r="M48" s="11">
        <v>23.826431834420106</v>
      </c>
      <c r="N48" s="11">
        <v>27.882710072590239</v>
      </c>
      <c r="O48" s="11">
        <v>21.287316595158643</v>
      </c>
      <c r="P48" s="11">
        <v>20.446438093920076</v>
      </c>
      <c r="Q48" s="11">
        <v>34.982905982905983</v>
      </c>
      <c r="R48" s="11">
        <v>24.594836390643476</v>
      </c>
      <c r="S48" s="11">
        <v>23.656326529621541</v>
      </c>
      <c r="V48" s="7">
        <v>5.23</v>
      </c>
      <c r="W48" s="470">
        <v>120.8035</v>
      </c>
      <c r="X48" s="470">
        <v>23.098183556405349</v>
      </c>
      <c r="Y48" s="232">
        <v>1.1299435028248588E-2</v>
      </c>
      <c r="AA48" s="7">
        <v>3.75</v>
      </c>
      <c r="AB48" s="470"/>
      <c r="AC48" s="470"/>
      <c r="AD48" s="232">
        <v>0</v>
      </c>
      <c r="AE48" s="470">
        <v>89.704999999999998</v>
      </c>
      <c r="AF48" s="470">
        <v>23.921333333333301</v>
      </c>
      <c r="AG48" s="232">
        <v>5.6497175141242938E-3</v>
      </c>
      <c r="AH48" s="470"/>
      <c r="AI48" s="470"/>
      <c r="AJ48" s="232">
        <v>0</v>
      </c>
      <c r="AK48" s="470"/>
      <c r="AL48" s="470"/>
      <c r="AM48" s="232">
        <v>0</v>
      </c>
      <c r="AN48" s="470"/>
      <c r="AO48" s="470"/>
      <c r="AP48" s="232">
        <v>0</v>
      </c>
      <c r="AQ48" s="470"/>
      <c r="AR48" s="470"/>
      <c r="AS48" s="232">
        <v>0</v>
      </c>
      <c r="AT48" s="470"/>
      <c r="AU48" s="470"/>
      <c r="AV48" s="232">
        <v>0</v>
      </c>
    </row>
    <row r="49" spans="11:48" x14ac:dyDescent="0.35">
      <c r="K49" s="276">
        <v>0.72916666666666663</v>
      </c>
      <c r="L49" s="11">
        <v>26.027604273679884</v>
      </c>
      <c r="M49" s="11">
        <v>21.588642134092463</v>
      </c>
      <c r="N49" s="11">
        <v>21.755416584151146</v>
      </c>
      <c r="O49" s="11">
        <v>23.080990530275368</v>
      </c>
      <c r="P49" s="11">
        <v>17.653636470262388</v>
      </c>
      <c r="Q49" s="11">
        <v>21.048200980692148</v>
      </c>
      <c r="R49" s="11">
        <v>18.507224451991355</v>
      </c>
      <c r="S49" s="11">
        <v>21.246522579187612</v>
      </c>
      <c r="V49" s="7">
        <v>3.93</v>
      </c>
      <c r="W49" s="470">
        <v>44.034799999999997</v>
      </c>
      <c r="X49" s="470">
        <v>11.204783715012701</v>
      </c>
      <c r="Y49" s="232">
        <v>5.6497175141242938E-3</v>
      </c>
      <c r="AA49" s="7">
        <v>4.87</v>
      </c>
      <c r="AB49" s="470"/>
      <c r="AC49" s="470"/>
      <c r="AD49" s="232">
        <v>0</v>
      </c>
      <c r="AE49" s="470"/>
      <c r="AF49" s="470"/>
      <c r="AG49" s="232">
        <v>0</v>
      </c>
      <c r="AH49" s="470">
        <v>85.403999999999996</v>
      </c>
      <c r="AI49" s="470">
        <v>17.536755646817198</v>
      </c>
      <c r="AJ49" s="232">
        <v>5.6497175141242938E-3</v>
      </c>
      <c r="AK49" s="470"/>
      <c r="AL49" s="470"/>
      <c r="AM49" s="232">
        <v>0</v>
      </c>
      <c r="AN49" s="470"/>
      <c r="AO49" s="470"/>
      <c r="AP49" s="232">
        <v>0</v>
      </c>
      <c r="AQ49" s="470"/>
      <c r="AR49" s="470"/>
      <c r="AS49" s="232">
        <v>0</v>
      </c>
      <c r="AT49" s="470"/>
      <c r="AU49" s="470"/>
      <c r="AV49" s="232">
        <v>0</v>
      </c>
    </row>
    <row r="50" spans="11:48" x14ac:dyDescent="0.35">
      <c r="K50" s="276">
        <v>0.75</v>
      </c>
      <c r="L50" s="11">
        <v>20.136512429648029</v>
      </c>
      <c r="M50" s="11">
        <v>25.150805194496851</v>
      </c>
      <c r="N50" s="11">
        <v>21.112975669869229</v>
      </c>
      <c r="O50" s="11">
        <v>22.81658609593654</v>
      </c>
      <c r="P50" s="11">
        <v>22.632803983168014</v>
      </c>
      <c r="Q50" s="11">
        <v>22.747647173243841</v>
      </c>
      <c r="R50" s="11">
        <v>22.03712032924955</v>
      </c>
      <c r="S50" s="11">
        <v>22.566063407206975</v>
      </c>
      <c r="V50" s="7">
        <v>6.82</v>
      </c>
      <c r="W50" s="470">
        <v>150.614</v>
      </c>
      <c r="X50" s="470">
        <v>22.084164222873898</v>
      </c>
      <c r="Y50" s="232">
        <v>5.6497175141242938E-3</v>
      </c>
      <c r="AA50" s="7">
        <v>4.9800000000000004</v>
      </c>
      <c r="AB50" s="470"/>
      <c r="AC50" s="470"/>
      <c r="AD50" s="232">
        <v>0</v>
      </c>
      <c r="AE50" s="470"/>
      <c r="AF50" s="470"/>
      <c r="AG50" s="232">
        <v>0</v>
      </c>
      <c r="AH50" s="470"/>
      <c r="AI50" s="470"/>
      <c r="AJ50" s="232">
        <v>0</v>
      </c>
      <c r="AK50" s="470"/>
      <c r="AL50" s="470"/>
      <c r="AM50" s="232">
        <v>0</v>
      </c>
      <c r="AN50" s="470">
        <v>58.780999999999999</v>
      </c>
      <c r="AO50" s="470">
        <v>11.803413654618501</v>
      </c>
      <c r="AP50" s="232">
        <v>5.6497175141242938E-3</v>
      </c>
      <c r="AQ50" s="470"/>
      <c r="AR50" s="470"/>
      <c r="AS50" s="232">
        <v>0</v>
      </c>
      <c r="AT50" s="470"/>
      <c r="AU50" s="470"/>
      <c r="AV50" s="232">
        <v>0</v>
      </c>
    </row>
    <row r="51" spans="11:48" x14ac:dyDescent="0.35">
      <c r="K51" s="276">
        <v>0.77083333333333337</v>
      </c>
      <c r="L51" s="11">
        <v>24.897826086956524</v>
      </c>
      <c r="M51" s="11">
        <v>24.942962112514351</v>
      </c>
      <c r="N51" s="11">
        <v>34.49080200950646</v>
      </c>
      <c r="O51" s="11">
        <v>24.153684210526318</v>
      </c>
      <c r="P51" s="11"/>
      <c r="Q51" s="11">
        <v>17.173699004301529</v>
      </c>
      <c r="R51" s="11">
        <v>23.898268398268396</v>
      </c>
      <c r="S51" s="11">
        <v>23.525021641079174</v>
      </c>
      <c r="V51" s="7">
        <v>4.97</v>
      </c>
      <c r="W51" s="470">
        <v>118.018</v>
      </c>
      <c r="X51" s="470">
        <v>23.746076458752501</v>
      </c>
      <c r="Y51" s="232">
        <v>1.1299435028248588E-2</v>
      </c>
      <c r="AA51" s="7">
        <v>4.22</v>
      </c>
      <c r="AB51" s="470"/>
      <c r="AC51" s="470"/>
      <c r="AD51" s="232">
        <v>0</v>
      </c>
      <c r="AE51" s="470"/>
      <c r="AF51" s="470"/>
      <c r="AG51" s="232">
        <v>0</v>
      </c>
      <c r="AH51" s="470">
        <v>50.606000000000002</v>
      </c>
      <c r="AI51" s="470">
        <v>11.9919431279621</v>
      </c>
      <c r="AJ51" s="232">
        <v>5.6497175141242938E-3</v>
      </c>
      <c r="AK51" s="470"/>
      <c r="AL51" s="470"/>
      <c r="AM51" s="232">
        <v>0</v>
      </c>
      <c r="AN51" s="470"/>
      <c r="AO51" s="470"/>
      <c r="AP51" s="232">
        <v>0</v>
      </c>
      <c r="AQ51" s="470"/>
      <c r="AR51" s="470"/>
      <c r="AS51" s="232">
        <v>0</v>
      </c>
      <c r="AT51" s="470"/>
      <c r="AU51" s="470"/>
      <c r="AV51" s="232">
        <v>0</v>
      </c>
    </row>
    <row r="52" spans="11:48" x14ac:dyDescent="0.35">
      <c r="K52" s="276">
        <v>0.79166666666666663</v>
      </c>
      <c r="L52" s="11">
        <v>31.640624999999996</v>
      </c>
      <c r="M52" s="11"/>
      <c r="N52" s="11">
        <v>24.496949891067537</v>
      </c>
      <c r="O52" s="11"/>
      <c r="P52" s="11">
        <v>19.766599597585515</v>
      </c>
      <c r="Q52" s="11">
        <v>17.940745759990165</v>
      </c>
      <c r="R52" s="11">
        <v>26.333840318665906</v>
      </c>
      <c r="S52" s="11">
        <v>23.124955724528743</v>
      </c>
      <c r="V52" s="7">
        <v>4.03</v>
      </c>
      <c r="W52" s="470">
        <v>80.140666666666661</v>
      </c>
      <c r="X52" s="470">
        <v>19.886021505376334</v>
      </c>
      <c r="Y52" s="232">
        <v>1.6949152542372881E-2</v>
      </c>
      <c r="AA52" s="7">
        <v>4.4800000000000004</v>
      </c>
      <c r="AB52" s="470"/>
      <c r="AC52" s="470"/>
      <c r="AD52" s="232">
        <v>0</v>
      </c>
      <c r="AE52" s="470">
        <v>89.677000000000007</v>
      </c>
      <c r="AF52" s="470">
        <v>20.017187499999999</v>
      </c>
      <c r="AG52" s="232">
        <v>5.6497175141242938E-3</v>
      </c>
      <c r="AH52" s="470"/>
      <c r="AI52" s="470"/>
      <c r="AJ52" s="232">
        <v>0</v>
      </c>
      <c r="AK52" s="470"/>
      <c r="AL52" s="470"/>
      <c r="AM52" s="232">
        <v>0</v>
      </c>
      <c r="AN52" s="470"/>
      <c r="AO52" s="470"/>
      <c r="AP52" s="232">
        <v>0</v>
      </c>
      <c r="AQ52" s="470">
        <v>70.167000000000002</v>
      </c>
      <c r="AR52" s="470">
        <v>15.662276785714299</v>
      </c>
      <c r="AS52" s="232">
        <v>5.6497175141242938E-3</v>
      </c>
      <c r="AT52" s="470">
        <v>106.84</v>
      </c>
      <c r="AU52" s="470">
        <v>23.848214285714299</v>
      </c>
      <c r="AV52" s="232">
        <v>5.6497175141242938E-3</v>
      </c>
    </row>
    <row r="53" spans="11:48" x14ac:dyDescent="0.35">
      <c r="K53" s="276">
        <v>0.8125</v>
      </c>
      <c r="L53" s="11">
        <v>18.184000000000001</v>
      </c>
      <c r="M53" s="11"/>
      <c r="N53" s="11"/>
      <c r="O53" s="11"/>
      <c r="P53" s="11">
        <v>23.267434620174345</v>
      </c>
      <c r="Q53" s="11">
        <v>24.60625674217907</v>
      </c>
      <c r="R53" s="11">
        <v>20.081250000000001</v>
      </c>
      <c r="S53" s="11">
        <v>22.335438787451142</v>
      </c>
      <c r="V53" s="7">
        <v>3.6</v>
      </c>
      <c r="W53" s="470">
        <v>52.376999999999995</v>
      </c>
      <c r="X53" s="470">
        <v>14.549166666666665</v>
      </c>
      <c r="Y53" s="232">
        <v>1.1299435028248588E-2</v>
      </c>
      <c r="AA53" s="7">
        <v>4.47</v>
      </c>
      <c r="AB53" s="470"/>
      <c r="AC53" s="470"/>
      <c r="AD53" s="232">
        <v>0</v>
      </c>
      <c r="AE53" s="470"/>
      <c r="AF53" s="470"/>
      <c r="AG53" s="232">
        <v>0</v>
      </c>
      <c r="AH53" s="470"/>
      <c r="AI53" s="470"/>
      <c r="AJ53" s="232">
        <v>0</v>
      </c>
      <c r="AK53" s="470">
        <v>94.581000000000003</v>
      </c>
      <c r="AL53" s="470">
        <v>21.159060402684599</v>
      </c>
      <c r="AM53" s="232">
        <v>5.6497175141242938E-3</v>
      </c>
      <c r="AN53" s="470"/>
      <c r="AO53" s="470"/>
      <c r="AP53" s="232">
        <v>0</v>
      </c>
      <c r="AQ53" s="470"/>
      <c r="AR53" s="470"/>
      <c r="AS53" s="232">
        <v>0</v>
      </c>
      <c r="AT53" s="470">
        <v>82.622</v>
      </c>
      <c r="AU53" s="470">
        <v>18.4836689038031</v>
      </c>
      <c r="AV53" s="232">
        <v>5.6497175141242938E-3</v>
      </c>
    </row>
    <row r="54" spans="11:48" x14ac:dyDescent="0.35">
      <c r="K54" s="276">
        <v>0.83333333333333337</v>
      </c>
      <c r="L54" s="11">
        <v>25.75070821529745</v>
      </c>
      <c r="M54" s="11">
        <v>26.408521560574947</v>
      </c>
      <c r="N54" s="11">
        <v>23.670967741935481</v>
      </c>
      <c r="O54" s="11">
        <v>19.529147982062778</v>
      </c>
      <c r="P54" s="11"/>
      <c r="Q54" s="11">
        <v>27.451614487442242</v>
      </c>
      <c r="R54" s="11"/>
      <c r="S54" s="11">
        <v>25.730480556690509</v>
      </c>
      <c r="V54" s="7">
        <v>3.2</v>
      </c>
      <c r="W54" s="470">
        <v>40.622</v>
      </c>
      <c r="X54" s="470">
        <v>12.694375000000001</v>
      </c>
      <c r="Y54" s="232">
        <v>5.6497175141242938E-3</v>
      </c>
      <c r="AA54" s="7">
        <v>4.12</v>
      </c>
      <c r="AB54" s="470"/>
      <c r="AC54" s="470"/>
      <c r="AD54" s="232">
        <v>0</v>
      </c>
      <c r="AE54" s="470"/>
      <c r="AF54" s="470"/>
      <c r="AG54" s="232">
        <v>0</v>
      </c>
      <c r="AH54" s="470">
        <v>104.703</v>
      </c>
      <c r="AI54" s="470">
        <v>25.413349514563102</v>
      </c>
      <c r="AJ54" s="232">
        <v>5.6497175141242938E-3</v>
      </c>
      <c r="AK54" s="470"/>
      <c r="AL54" s="470"/>
      <c r="AM54" s="232">
        <v>0</v>
      </c>
      <c r="AN54" s="470"/>
      <c r="AO54" s="470"/>
      <c r="AP54" s="232">
        <v>0</v>
      </c>
      <c r="AQ54" s="470"/>
      <c r="AR54" s="470"/>
      <c r="AS54" s="232">
        <v>0</v>
      </c>
      <c r="AT54" s="470"/>
      <c r="AU54" s="470"/>
      <c r="AV54" s="232">
        <v>0</v>
      </c>
    </row>
    <row r="55" spans="11:48" x14ac:dyDescent="0.35">
      <c r="K55" s="276">
        <v>0.85416666666666663</v>
      </c>
      <c r="L55" s="11"/>
      <c r="M55" s="11"/>
      <c r="N55" s="11"/>
      <c r="O55" s="11"/>
      <c r="P55" s="11">
        <v>24.534883720930235</v>
      </c>
      <c r="Q55" s="11"/>
      <c r="R55" s="11">
        <v>32.097308488612839</v>
      </c>
      <c r="S55" s="11">
        <v>28.316096104771539</v>
      </c>
      <c r="V55" s="7">
        <v>4.88</v>
      </c>
      <c r="W55" s="470">
        <v>88.941000000000003</v>
      </c>
      <c r="X55" s="470">
        <v>18.225614754098352</v>
      </c>
      <c r="Y55" s="232">
        <v>1.1299435028248588E-2</v>
      </c>
      <c r="AA55" s="7">
        <v>4.6500000000000004</v>
      </c>
      <c r="AB55" s="470"/>
      <c r="AC55" s="470"/>
      <c r="AD55" s="232">
        <v>0</v>
      </c>
      <c r="AE55" s="470"/>
      <c r="AF55" s="470"/>
      <c r="AG55" s="232">
        <v>0</v>
      </c>
      <c r="AH55" s="470">
        <v>87.77</v>
      </c>
      <c r="AI55" s="470">
        <v>18.875268817204301</v>
      </c>
      <c r="AJ55" s="232">
        <v>5.6497175141242938E-3</v>
      </c>
      <c r="AK55" s="470"/>
      <c r="AL55" s="470"/>
      <c r="AM55" s="232">
        <v>0</v>
      </c>
      <c r="AN55" s="470"/>
      <c r="AO55" s="470"/>
      <c r="AP55" s="232">
        <v>0</v>
      </c>
      <c r="AQ55" s="470"/>
      <c r="AR55" s="470"/>
      <c r="AS55" s="232">
        <v>0</v>
      </c>
      <c r="AT55" s="470"/>
      <c r="AU55" s="470"/>
      <c r="AV55" s="232">
        <v>0</v>
      </c>
    </row>
    <row r="56" spans="11:48" x14ac:dyDescent="0.35">
      <c r="K56" s="276">
        <v>0.875</v>
      </c>
      <c r="L56" s="11">
        <v>31.475409836065573</v>
      </c>
      <c r="M56" s="11"/>
      <c r="N56" s="11">
        <v>19.218666666666664</v>
      </c>
      <c r="O56" s="11"/>
      <c r="P56" s="11"/>
      <c r="Q56" s="11"/>
      <c r="R56" s="11"/>
      <c r="S56" s="11">
        <v>25.347038251366119</v>
      </c>
      <c r="V56" s="7">
        <v>4.7699999999999996</v>
      </c>
      <c r="W56" s="470">
        <v>91.843999999999994</v>
      </c>
      <c r="X56" s="470">
        <v>19.254507337526199</v>
      </c>
      <c r="Y56" s="232">
        <v>5.6497175141242938E-3</v>
      </c>
      <c r="AA56" s="7">
        <v>3.87</v>
      </c>
      <c r="AB56" s="470"/>
      <c r="AC56" s="470"/>
      <c r="AD56" s="232">
        <v>0</v>
      </c>
      <c r="AE56" s="470"/>
      <c r="AF56" s="470"/>
      <c r="AG56" s="232">
        <v>0</v>
      </c>
      <c r="AH56" s="470"/>
      <c r="AI56" s="470"/>
      <c r="AJ56" s="232">
        <v>0</v>
      </c>
      <c r="AK56" s="470"/>
      <c r="AL56" s="470"/>
      <c r="AM56" s="232">
        <v>0</v>
      </c>
      <c r="AN56" s="470">
        <v>76.049000000000007</v>
      </c>
      <c r="AO56" s="470">
        <v>19.6509043927649</v>
      </c>
      <c r="AP56" s="232">
        <v>5.6497175141242938E-3</v>
      </c>
      <c r="AQ56" s="470"/>
      <c r="AR56" s="470"/>
      <c r="AS56" s="232">
        <v>0</v>
      </c>
      <c r="AT56" s="470"/>
      <c r="AU56" s="470"/>
      <c r="AV56" s="232">
        <v>0</v>
      </c>
    </row>
    <row r="57" spans="11:48" x14ac:dyDescent="0.35">
      <c r="K57" s="276">
        <v>0.89583333333333337</v>
      </c>
      <c r="L57" s="11"/>
      <c r="M57" s="11">
        <v>25.694117647058825</v>
      </c>
      <c r="N57" s="11"/>
      <c r="O57" s="11"/>
      <c r="P57" s="11"/>
      <c r="Q57" s="11"/>
      <c r="R57" s="11">
        <v>17.19142857142857</v>
      </c>
      <c r="S57" s="11">
        <v>21.442773109243696</v>
      </c>
      <c r="V57" s="7">
        <v>6.85</v>
      </c>
      <c r="W57" s="470">
        <v>117.898</v>
      </c>
      <c r="X57" s="470">
        <v>17.211386861313901</v>
      </c>
      <c r="Y57" s="232">
        <v>5.6497175141242938E-3</v>
      </c>
      <c r="AA57" s="7">
        <v>4.17</v>
      </c>
      <c r="AB57" s="470"/>
      <c r="AC57" s="470"/>
      <c r="AD57" s="232">
        <v>0</v>
      </c>
      <c r="AE57" s="470"/>
      <c r="AF57" s="470"/>
      <c r="AG57" s="232">
        <v>0</v>
      </c>
      <c r="AH57" s="470">
        <v>46.12</v>
      </c>
      <c r="AI57" s="470">
        <v>11.0599520383693</v>
      </c>
      <c r="AJ57" s="232">
        <v>5.6497175141242938E-3</v>
      </c>
      <c r="AK57" s="470"/>
      <c r="AL57" s="470"/>
      <c r="AM57" s="232">
        <v>0</v>
      </c>
      <c r="AN57" s="470">
        <v>106.0812</v>
      </c>
      <c r="AO57" s="470">
        <v>25.439136690647501</v>
      </c>
      <c r="AP57" s="232">
        <v>5.6497175141242938E-3</v>
      </c>
      <c r="AQ57" s="470"/>
      <c r="AR57" s="470"/>
      <c r="AS57" s="232">
        <v>0</v>
      </c>
      <c r="AT57" s="470"/>
      <c r="AU57" s="470"/>
      <c r="AV57" s="232">
        <v>0</v>
      </c>
    </row>
    <row r="58" spans="11:48" x14ac:dyDescent="0.35">
      <c r="K58" s="276">
        <v>0.91666666666666663</v>
      </c>
      <c r="L58" s="11"/>
      <c r="M58" s="11"/>
      <c r="N58" s="11">
        <v>21.244635193133046</v>
      </c>
      <c r="O58" s="11"/>
      <c r="P58" s="11"/>
      <c r="Q58" s="11"/>
      <c r="R58" s="11"/>
      <c r="S58" s="11">
        <v>21.244635193133046</v>
      </c>
      <c r="V58" s="7">
        <v>3.42</v>
      </c>
      <c r="W58" s="470">
        <v>42.91</v>
      </c>
      <c r="X58" s="470">
        <v>12.546783625731001</v>
      </c>
      <c r="Y58" s="232">
        <v>5.6497175141242938E-3</v>
      </c>
      <c r="AA58" s="7">
        <v>6.78</v>
      </c>
      <c r="AB58" s="470"/>
      <c r="AC58" s="470"/>
      <c r="AD58" s="232">
        <v>0</v>
      </c>
      <c r="AE58" s="470"/>
      <c r="AF58" s="470"/>
      <c r="AG58" s="232">
        <v>0</v>
      </c>
      <c r="AH58" s="470"/>
      <c r="AI58" s="470"/>
      <c r="AJ58" s="232">
        <v>0</v>
      </c>
      <c r="AK58" s="470"/>
      <c r="AL58" s="470"/>
      <c r="AM58" s="232">
        <v>0</v>
      </c>
      <c r="AN58" s="470"/>
      <c r="AO58" s="470"/>
      <c r="AP58" s="232">
        <v>0</v>
      </c>
      <c r="AQ58" s="470"/>
      <c r="AR58" s="470"/>
      <c r="AS58" s="232">
        <v>0</v>
      </c>
      <c r="AT58" s="470">
        <v>123.092</v>
      </c>
      <c r="AU58" s="470">
        <v>18.155162241887901</v>
      </c>
      <c r="AV58" s="232">
        <v>5.6497175141242938E-3</v>
      </c>
    </row>
    <row r="59" spans="11:48" x14ac:dyDescent="0.35">
      <c r="V59" s="7">
        <v>5.33</v>
      </c>
      <c r="W59" s="470">
        <v>70.796000000000006</v>
      </c>
      <c r="X59" s="470">
        <v>13.2825515947467</v>
      </c>
      <c r="Y59" s="232">
        <v>5.6497175141242938E-3</v>
      </c>
      <c r="AA59" s="7">
        <v>5.8</v>
      </c>
      <c r="AB59" s="470"/>
      <c r="AC59" s="470"/>
      <c r="AD59" s="232">
        <v>0</v>
      </c>
      <c r="AE59" s="470"/>
      <c r="AF59" s="470"/>
      <c r="AG59" s="232">
        <v>0</v>
      </c>
      <c r="AH59" s="470"/>
      <c r="AI59" s="470"/>
      <c r="AJ59" s="232">
        <v>0</v>
      </c>
      <c r="AK59" s="470"/>
      <c r="AL59" s="470"/>
      <c r="AM59" s="232">
        <v>0</v>
      </c>
      <c r="AN59" s="470"/>
      <c r="AO59" s="470"/>
      <c r="AP59" s="232">
        <v>0</v>
      </c>
      <c r="AQ59" s="470">
        <v>81.417000000000002</v>
      </c>
      <c r="AR59" s="470">
        <v>14.037413793103401</v>
      </c>
      <c r="AS59" s="232">
        <v>5.6497175141242938E-3</v>
      </c>
      <c r="AT59" s="470"/>
      <c r="AU59" s="470"/>
      <c r="AV59" s="232">
        <v>0</v>
      </c>
    </row>
    <row r="60" spans="11:48" x14ac:dyDescent="0.35">
      <c r="V60" s="7">
        <v>5.57</v>
      </c>
      <c r="W60" s="470">
        <v>51.788800000000002</v>
      </c>
      <c r="X60" s="470">
        <v>9.2978096947935391</v>
      </c>
      <c r="Y60" s="232">
        <v>5.6497175141242938E-3</v>
      </c>
      <c r="AA60" s="7">
        <v>4.5999999999999996</v>
      </c>
      <c r="AB60" s="470">
        <v>97.358999999999995</v>
      </c>
      <c r="AC60" s="470">
        <v>21.164999999999999</v>
      </c>
      <c r="AD60" s="232">
        <v>5.6497175141242938E-3</v>
      </c>
      <c r="AE60" s="470"/>
      <c r="AF60" s="470"/>
      <c r="AG60" s="232">
        <v>0</v>
      </c>
      <c r="AH60" s="470"/>
      <c r="AI60" s="470"/>
      <c r="AJ60" s="232">
        <v>0</v>
      </c>
      <c r="AK60" s="470"/>
      <c r="AL60" s="470"/>
      <c r="AM60" s="232">
        <v>0</v>
      </c>
      <c r="AN60" s="470"/>
      <c r="AO60" s="470"/>
      <c r="AP60" s="232">
        <v>0</v>
      </c>
      <c r="AQ60" s="470"/>
      <c r="AR60" s="470"/>
      <c r="AS60" s="232">
        <v>0</v>
      </c>
      <c r="AT60" s="470"/>
      <c r="AU60" s="470"/>
      <c r="AV60" s="232">
        <v>0</v>
      </c>
    </row>
    <row r="61" spans="11:48" x14ac:dyDescent="0.35">
      <c r="V61" s="7">
        <v>4.92</v>
      </c>
      <c r="W61" s="470">
        <v>72.825999999999993</v>
      </c>
      <c r="X61" s="470">
        <v>14.8020325203252</v>
      </c>
      <c r="Y61" s="232">
        <v>5.6497175141242938E-3</v>
      </c>
      <c r="AA61" s="7">
        <v>6.03</v>
      </c>
      <c r="AB61" s="470"/>
      <c r="AC61" s="470"/>
      <c r="AD61" s="232">
        <v>0</v>
      </c>
      <c r="AE61" s="470"/>
      <c r="AF61" s="470"/>
      <c r="AG61" s="232">
        <v>0</v>
      </c>
      <c r="AH61" s="470"/>
      <c r="AI61" s="470"/>
      <c r="AJ61" s="232">
        <v>0</v>
      </c>
      <c r="AK61" s="470"/>
      <c r="AL61" s="470"/>
      <c r="AM61" s="232">
        <v>0</v>
      </c>
      <c r="AN61" s="470"/>
      <c r="AO61" s="470"/>
      <c r="AP61" s="232">
        <v>0</v>
      </c>
      <c r="AQ61" s="470">
        <v>81.902000000000001</v>
      </c>
      <c r="AR61" s="470">
        <v>13.582421227197299</v>
      </c>
      <c r="AS61" s="232">
        <v>5.6497175141242938E-3</v>
      </c>
      <c r="AT61" s="470"/>
      <c r="AU61" s="470"/>
      <c r="AV61" s="232">
        <v>0</v>
      </c>
    </row>
    <row r="62" spans="11:48" x14ac:dyDescent="0.35">
      <c r="V62" s="7">
        <v>3.98</v>
      </c>
      <c r="W62" s="470">
        <v>53.326000000000001</v>
      </c>
      <c r="X62" s="470">
        <v>13.3984924623116</v>
      </c>
      <c r="Y62" s="232">
        <v>5.6497175141242938E-3</v>
      </c>
      <c r="AA62" s="7">
        <v>5.47</v>
      </c>
      <c r="AB62" s="470"/>
      <c r="AC62" s="470"/>
      <c r="AD62" s="232">
        <v>0</v>
      </c>
      <c r="AE62" s="470"/>
      <c r="AF62" s="470"/>
      <c r="AG62" s="232">
        <v>0</v>
      </c>
      <c r="AH62" s="470"/>
      <c r="AI62" s="470"/>
      <c r="AJ62" s="232">
        <v>0</v>
      </c>
      <c r="AK62" s="470"/>
      <c r="AL62" s="470"/>
      <c r="AM62" s="232">
        <v>0</v>
      </c>
      <c r="AN62" s="470"/>
      <c r="AO62" s="470"/>
      <c r="AP62" s="232">
        <v>0</v>
      </c>
      <c r="AQ62" s="470">
        <v>75.319999999999993</v>
      </c>
      <c r="AR62" s="470">
        <v>13.7696526508227</v>
      </c>
      <c r="AS62" s="232">
        <v>5.6497175141242938E-3</v>
      </c>
      <c r="AT62" s="470"/>
      <c r="AU62" s="470"/>
      <c r="AV62" s="232">
        <v>0</v>
      </c>
    </row>
    <row r="63" spans="11:48" x14ac:dyDescent="0.35">
      <c r="V63" s="7">
        <v>2.4500000000000002</v>
      </c>
      <c r="W63" s="470">
        <v>33.723999999999997</v>
      </c>
      <c r="X63" s="470">
        <v>13.764897959183699</v>
      </c>
      <c r="Y63" s="232">
        <v>1.1299435028248588E-2</v>
      </c>
      <c r="AA63" s="7">
        <v>4.4000000000000004</v>
      </c>
      <c r="AB63" s="470"/>
      <c r="AC63" s="470"/>
      <c r="AD63" s="232">
        <v>0</v>
      </c>
      <c r="AE63" s="470"/>
      <c r="AF63" s="470"/>
      <c r="AG63" s="232">
        <v>0</v>
      </c>
      <c r="AH63" s="470"/>
      <c r="AI63" s="470"/>
      <c r="AJ63" s="232">
        <v>0</v>
      </c>
      <c r="AK63" s="470"/>
      <c r="AL63" s="470"/>
      <c r="AM63" s="232">
        <v>0</v>
      </c>
      <c r="AN63" s="470"/>
      <c r="AO63" s="470"/>
      <c r="AP63" s="232">
        <v>0</v>
      </c>
      <c r="AQ63" s="470"/>
      <c r="AR63" s="470"/>
      <c r="AS63" s="232">
        <v>0</v>
      </c>
      <c r="AT63" s="470">
        <v>67.522000000000006</v>
      </c>
      <c r="AU63" s="470">
        <v>15.3459090909091</v>
      </c>
      <c r="AV63" s="232">
        <v>5.6497175141242938E-3</v>
      </c>
    </row>
    <row r="64" spans="11:48" x14ac:dyDescent="0.35">
      <c r="V64" s="7">
        <v>4.43</v>
      </c>
      <c r="W64" s="470">
        <v>52.55</v>
      </c>
      <c r="X64" s="470">
        <v>11.86230248307</v>
      </c>
      <c r="Y64" s="232">
        <v>5.6497175141242938E-3</v>
      </c>
      <c r="AA64" s="7">
        <v>4.1500000000000004</v>
      </c>
      <c r="AB64" s="470"/>
      <c r="AC64" s="470"/>
      <c r="AD64" s="232">
        <v>0</v>
      </c>
      <c r="AE64" s="470"/>
      <c r="AF64" s="470"/>
      <c r="AG64" s="232">
        <v>0</v>
      </c>
      <c r="AH64" s="470">
        <v>80.024000000000001</v>
      </c>
      <c r="AI64" s="470">
        <v>19.2828915662651</v>
      </c>
      <c r="AJ64" s="232">
        <v>5.6497175141242938E-3</v>
      </c>
      <c r="AK64" s="470">
        <v>69.680999999999997</v>
      </c>
      <c r="AL64" s="470">
        <v>16.790602409638598</v>
      </c>
      <c r="AM64" s="232">
        <v>5.6497175141242938E-3</v>
      </c>
      <c r="AN64" s="470">
        <v>65.257300000000001</v>
      </c>
      <c r="AO64" s="470">
        <v>15.72465060240965</v>
      </c>
      <c r="AP64" s="232">
        <v>1.1299435028248588E-2</v>
      </c>
      <c r="AQ64" s="470"/>
      <c r="AR64" s="470"/>
      <c r="AS64" s="232">
        <v>0</v>
      </c>
      <c r="AT64" s="470"/>
      <c r="AU64" s="470"/>
      <c r="AV64" s="232">
        <v>0</v>
      </c>
    </row>
    <row r="65" spans="22:48" x14ac:dyDescent="0.35">
      <c r="V65" s="7">
        <v>2.9</v>
      </c>
      <c r="W65" s="470">
        <v>60.491</v>
      </c>
      <c r="X65" s="470">
        <v>20.858965517241401</v>
      </c>
      <c r="Y65" s="232">
        <v>1.1299435028248588E-2</v>
      </c>
      <c r="AA65" s="7">
        <v>4.32</v>
      </c>
      <c r="AB65" s="470"/>
      <c r="AC65" s="470"/>
      <c r="AD65" s="232">
        <v>0</v>
      </c>
      <c r="AE65" s="470"/>
      <c r="AF65" s="470"/>
      <c r="AG65" s="232">
        <v>0</v>
      </c>
      <c r="AH65" s="470"/>
      <c r="AI65" s="470"/>
      <c r="AJ65" s="232">
        <v>0</v>
      </c>
      <c r="AK65" s="470">
        <v>82.713999999999999</v>
      </c>
      <c r="AL65" s="470">
        <v>19.146759259259301</v>
      </c>
      <c r="AM65" s="232">
        <v>5.6497175141242938E-3</v>
      </c>
      <c r="AN65" s="470"/>
      <c r="AO65" s="470"/>
      <c r="AP65" s="232">
        <v>0</v>
      </c>
      <c r="AQ65" s="470"/>
      <c r="AR65" s="470"/>
      <c r="AS65" s="232">
        <v>0</v>
      </c>
      <c r="AT65" s="470"/>
      <c r="AU65" s="470"/>
      <c r="AV65" s="232">
        <v>0</v>
      </c>
    </row>
    <row r="66" spans="22:48" x14ac:dyDescent="0.35">
      <c r="V66" s="7">
        <v>2.78</v>
      </c>
      <c r="W66" s="470">
        <v>34.802999999999997</v>
      </c>
      <c r="X66" s="470">
        <v>12.5190647482014</v>
      </c>
      <c r="Y66" s="232">
        <v>5.6497175141242938E-3</v>
      </c>
      <c r="AA66" s="7">
        <v>5.25</v>
      </c>
      <c r="AB66" s="470"/>
      <c r="AC66" s="470"/>
      <c r="AD66" s="232">
        <v>0</v>
      </c>
      <c r="AE66" s="470"/>
      <c r="AF66" s="470"/>
      <c r="AG66" s="232">
        <v>0</v>
      </c>
      <c r="AH66" s="470"/>
      <c r="AI66" s="470"/>
      <c r="AJ66" s="232">
        <v>0</v>
      </c>
      <c r="AK66" s="470">
        <v>98.769000000000005</v>
      </c>
      <c r="AL66" s="470">
        <v>18.8131428571429</v>
      </c>
      <c r="AM66" s="232">
        <v>5.6497175141242938E-3</v>
      </c>
      <c r="AN66" s="470"/>
      <c r="AO66" s="470"/>
      <c r="AP66" s="232">
        <v>0</v>
      </c>
      <c r="AQ66" s="470"/>
      <c r="AR66" s="470"/>
      <c r="AS66" s="232">
        <v>0</v>
      </c>
      <c r="AT66" s="470"/>
      <c r="AU66" s="470"/>
      <c r="AV66" s="232">
        <v>0</v>
      </c>
    </row>
    <row r="67" spans="22:48" x14ac:dyDescent="0.35">
      <c r="V67" s="7">
        <v>8.1300000000000008</v>
      </c>
      <c r="W67" s="470">
        <v>243.77500000000001</v>
      </c>
      <c r="X67" s="470">
        <v>29.984624846248501</v>
      </c>
      <c r="Y67" s="232">
        <v>5.6497175141242938E-3</v>
      </c>
      <c r="AA67" s="7">
        <v>2.35</v>
      </c>
      <c r="AB67" s="470"/>
      <c r="AC67" s="470"/>
      <c r="AD67" s="232">
        <v>0</v>
      </c>
      <c r="AE67" s="470"/>
      <c r="AF67" s="470"/>
      <c r="AG67" s="232">
        <v>0</v>
      </c>
      <c r="AH67" s="470"/>
      <c r="AI67" s="470"/>
      <c r="AJ67" s="232">
        <v>0</v>
      </c>
      <c r="AK67" s="470">
        <v>33.598999999999997</v>
      </c>
      <c r="AL67" s="470">
        <v>14.2974468085106</v>
      </c>
      <c r="AM67" s="232">
        <v>5.6497175141242938E-3</v>
      </c>
      <c r="AN67" s="470"/>
      <c r="AO67" s="470"/>
      <c r="AP67" s="232">
        <v>0</v>
      </c>
      <c r="AQ67" s="470"/>
      <c r="AR67" s="470"/>
      <c r="AS67" s="232">
        <v>0</v>
      </c>
      <c r="AT67" s="470"/>
      <c r="AU67" s="470"/>
      <c r="AV67" s="232">
        <v>0</v>
      </c>
    </row>
    <row r="68" spans="22:48" x14ac:dyDescent="0.35">
      <c r="V68" s="7">
        <v>5.03</v>
      </c>
      <c r="W68" s="470">
        <v>107.56653333333334</v>
      </c>
      <c r="X68" s="470">
        <v>21.384996686547368</v>
      </c>
      <c r="Y68" s="232">
        <v>1.6949152542372881E-2</v>
      </c>
      <c r="AA68" s="7">
        <v>1.1000000000000001</v>
      </c>
      <c r="AB68" s="470"/>
      <c r="AC68" s="470"/>
      <c r="AD68" s="232">
        <v>0</v>
      </c>
      <c r="AE68" s="470"/>
      <c r="AF68" s="470"/>
      <c r="AG68" s="232">
        <v>0</v>
      </c>
      <c r="AH68" s="470"/>
      <c r="AI68" s="470"/>
      <c r="AJ68" s="232">
        <v>0</v>
      </c>
      <c r="AK68" s="470"/>
      <c r="AL68" s="470"/>
      <c r="AM68" s="232">
        <v>0</v>
      </c>
      <c r="AN68" s="470">
        <v>18.110499999999998</v>
      </c>
      <c r="AO68" s="470">
        <v>16.464090909090899</v>
      </c>
      <c r="AP68" s="232">
        <v>5.6497175141242938E-3</v>
      </c>
      <c r="AQ68" s="470"/>
      <c r="AR68" s="470"/>
      <c r="AS68" s="232">
        <v>0</v>
      </c>
      <c r="AT68" s="470"/>
      <c r="AU68" s="470"/>
      <c r="AV68" s="232">
        <v>0</v>
      </c>
    </row>
    <row r="69" spans="22:48" x14ac:dyDescent="0.35">
      <c r="V69" s="7">
        <v>2.52</v>
      </c>
      <c r="W69" s="470">
        <v>38.7605</v>
      </c>
      <c r="X69" s="470">
        <v>15.3811507936508</v>
      </c>
      <c r="Y69" s="232">
        <v>1.1299435028248588E-2</v>
      </c>
      <c r="AA69" s="7">
        <v>5.38</v>
      </c>
      <c r="AB69" s="470"/>
      <c r="AC69" s="470"/>
      <c r="AD69" s="232">
        <v>0</v>
      </c>
      <c r="AE69" s="470"/>
      <c r="AF69" s="470"/>
      <c r="AG69" s="232">
        <v>0</v>
      </c>
      <c r="AH69" s="470">
        <v>108.71599999999999</v>
      </c>
      <c r="AI69" s="470">
        <v>20.2074349442379</v>
      </c>
      <c r="AJ69" s="232">
        <v>5.6497175141242938E-3</v>
      </c>
      <c r="AK69" s="470"/>
      <c r="AL69" s="470"/>
      <c r="AM69" s="232">
        <v>0</v>
      </c>
      <c r="AN69" s="470"/>
      <c r="AO69" s="470"/>
      <c r="AP69" s="232">
        <v>0</v>
      </c>
      <c r="AQ69" s="470"/>
      <c r="AR69" s="470"/>
      <c r="AS69" s="232">
        <v>0</v>
      </c>
      <c r="AT69" s="470"/>
      <c r="AU69" s="470"/>
      <c r="AV69" s="232">
        <v>0</v>
      </c>
    </row>
    <row r="70" spans="22:48" x14ac:dyDescent="0.35">
      <c r="V70" s="7">
        <v>1.03</v>
      </c>
      <c r="W70" s="470">
        <v>7.1929999999999996</v>
      </c>
      <c r="X70" s="470">
        <v>6.9834951456310703</v>
      </c>
      <c r="Y70" s="232">
        <v>5.6497175141242938E-3</v>
      </c>
      <c r="AA70" s="7">
        <v>7.1</v>
      </c>
      <c r="AB70" s="470"/>
      <c r="AC70" s="470"/>
      <c r="AD70" s="232">
        <v>0</v>
      </c>
      <c r="AE70" s="470"/>
      <c r="AF70" s="470"/>
      <c r="AG70" s="232">
        <v>0</v>
      </c>
      <c r="AH70" s="470"/>
      <c r="AI70" s="470"/>
      <c r="AJ70" s="232">
        <v>0</v>
      </c>
      <c r="AK70" s="470"/>
      <c r="AL70" s="470"/>
      <c r="AM70" s="232">
        <v>0</v>
      </c>
      <c r="AN70" s="470">
        <v>75.872100000000003</v>
      </c>
      <c r="AO70" s="470">
        <v>10.6862112676056</v>
      </c>
      <c r="AP70" s="232">
        <v>5.6497175141242938E-3</v>
      </c>
      <c r="AQ70" s="470"/>
      <c r="AR70" s="470"/>
      <c r="AS70" s="232">
        <v>0</v>
      </c>
      <c r="AT70" s="470"/>
      <c r="AU70" s="470"/>
      <c r="AV70" s="232">
        <v>0</v>
      </c>
    </row>
    <row r="71" spans="22:48" x14ac:dyDescent="0.35">
      <c r="V71" s="7">
        <v>5.3</v>
      </c>
      <c r="W71" s="470">
        <v>94.65913333333333</v>
      </c>
      <c r="X71" s="470">
        <v>17.860213836478</v>
      </c>
      <c r="Y71" s="232">
        <v>1.6949152542372881E-2</v>
      </c>
      <c r="AA71" s="7">
        <v>4.42</v>
      </c>
      <c r="AB71" s="470"/>
      <c r="AC71" s="470"/>
      <c r="AD71" s="232">
        <v>0</v>
      </c>
      <c r="AE71" s="470"/>
      <c r="AF71" s="470"/>
      <c r="AG71" s="232">
        <v>0</v>
      </c>
      <c r="AH71" s="470"/>
      <c r="AI71" s="470"/>
      <c r="AJ71" s="232">
        <v>0</v>
      </c>
      <c r="AK71" s="470"/>
      <c r="AL71" s="470"/>
      <c r="AM71" s="232">
        <v>0</v>
      </c>
      <c r="AN71" s="470"/>
      <c r="AO71" s="470"/>
      <c r="AP71" s="232">
        <v>0</v>
      </c>
      <c r="AQ71" s="470"/>
      <c r="AR71" s="470"/>
      <c r="AS71" s="232">
        <v>0</v>
      </c>
      <c r="AT71" s="470">
        <v>105.217</v>
      </c>
      <c r="AU71" s="470">
        <v>23.8047511312217</v>
      </c>
      <c r="AV71" s="232">
        <v>5.6497175141242938E-3</v>
      </c>
    </row>
    <row r="72" spans="22:48" x14ac:dyDescent="0.35">
      <c r="V72" s="7">
        <v>3.73</v>
      </c>
      <c r="W72" s="470">
        <v>70.581999999999994</v>
      </c>
      <c r="X72" s="470">
        <v>18.922788203753399</v>
      </c>
      <c r="Y72" s="232">
        <v>5.6497175141242938E-3</v>
      </c>
      <c r="AA72" s="7">
        <v>4</v>
      </c>
      <c r="AB72" s="470">
        <v>92.86</v>
      </c>
      <c r="AC72" s="470">
        <v>23.215</v>
      </c>
      <c r="AD72" s="232">
        <v>5.6497175141242938E-3</v>
      </c>
      <c r="AE72" s="470"/>
      <c r="AF72" s="470"/>
      <c r="AG72" s="232">
        <v>0</v>
      </c>
      <c r="AH72" s="470"/>
      <c r="AI72" s="470"/>
      <c r="AJ72" s="232">
        <v>0</v>
      </c>
      <c r="AK72" s="470"/>
      <c r="AL72" s="470"/>
      <c r="AM72" s="232">
        <v>0</v>
      </c>
      <c r="AN72" s="470">
        <v>59.773000000000003</v>
      </c>
      <c r="AO72" s="470">
        <v>14.943250000000001</v>
      </c>
      <c r="AP72" s="232">
        <v>5.6497175141242938E-3</v>
      </c>
      <c r="AQ72" s="470"/>
      <c r="AR72" s="470"/>
      <c r="AS72" s="232">
        <v>0</v>
      </c>
      <c r="AT72" s="470"/>
      <c r="AU72" s="470"/>
      <c r="AV72" s="232">
        <v>0</v>
      </c>
    </row>
    <row r="73" spans="22:48" x14ac:dyDescent="0.35">
      <c r="V73" s="7">
        <v>5.6</v>
      </c>
      <c r="W73" s="470">
        <v>108.02665</v>
      </c>
      <c r="X73" s="470">
        <v>19.290473214285697</v>
      </c>
      <c r="Y73" s="232">
        <v>1.1299435028248588E-2</v>
      </c>
      <c r="AA73" s="7">
        <v>5.75</v>
      </c>
      <c r="AB73" s="470"/>
      <c r="AC73" s="470"/>
      <c r="AD73" s="232">
        <v>0</v>
      </c>
      <c r="AE73" s="470"/>
      <c r="AF73" s="470"/>
      <c r="AG73" s="232">
        <v>0</v>
      </c>
      <c r="AH73" s="470">
        <v>69.888000000000005</v>
      </c>
      <c r="AI73" s="470">
        <v>12.1544347826087</v>
      </c>
      <c r="AJ73" s="232">
        <v>5.6497175141242938E-3</v>
      </c>
      <c r="AK73" s="470"/>
      <c r="AL73" s="470"/>
      <c r="AM73" s="232">
        <v>0</v>
      </c>
      <c r="AN73" s="470"/>
      <c r="AO73" s="470"/>
      <c r="AP73" s="232">
        <v>0</v>
      </c>
      <c r="AQ73" s="470"/>
      <c r="AR73" s="470"/>
      <c r="AS73" s="232">
        <v>0</v>
      </c>
      <c r="AT73" s="470"/>
      <c r="AU73" s="470"/>
      <c r="AV73" s="232">
        <v>0</v>
      </c>
    </row>
    <row r="74" spans="22:48" x14ac:dyDescent="0.35">
      <c r="V74" s="7">
        <v>8.6199999999999992</v>
      </c>
      <c r="W74" s="470">
        <v>173.40299999999999</v>
      </c>
      <c r="X74" s="470">
        <v>20.1163573085847</v>
      </c>
      <c r="Y74" s="232">
        <v>5.6497175141242938E-3</v>
      </c>
      <c r="AA74" s="7">
        <v>5.12</v>
      </c>
      <c r="AB74" s="470"/>
      <c r="AC74" s="470"/>
      <c r="AD74" s="232">
        <v>0</v>
      </c>
      <c r="AE74" s="470"/>
      <c r="AF74" s="470"/>
      <c r="AG74" s="232">
        <v>0</v>
      </c>
      <c r="AH74" s="470"/>
      <c r="AI74" s="470"/>
      <c r="AJ74" s="232">
        <v>0</v>
      </c>
      <c r="AK74" s="470"/>
      <c r="AL74" s="470"/>
      <c r="AM74" s="232">
        <v>0</v>
      </c>
      <c r="AN74" s="470">
        <v>63.344949999999997</v>
      </c>
      <c r="AO74" s="470">
        <v>12.372060546875</v>
      </c>
      <c r="AP74" s="232">
        <v>1.1299435028248588E-2</v>
      </c>
      <c r="AQ74" s="470"/>
      <c r="AR74" s="470"/>
      <c r="AS74" s="232">
        <v>0</v>
      </c>
      <c r="AT74" s="470"/>
      <c r="AU74" s="470"/>
      <c r="AV74" s="232">
        <v>0</v>
      </c>
    </row>
    <row r="75" spans="22:48" x14ac:dyDescent="0.35">
      <c r="V75" s="7">
        <v>5.2</v>
      </c>
      <c r="W75" s="470">
        <v>84.051000000000002</v>
      </c>
      <c r="X75" s="470">
        <v>16.1636538461538</v>
      </c>
      <c r="Y75" s="232">
        <v>5.6497175141242938E-3</v>
      </c>
      <c r="AA75" s="7">
        <v>5.43</v>
      </c>
      <c r="AB75" s="470"/>
      <c r="AC75" s="470"/>
      <c r="AD75" s="232">
        <v>0</v>
      </c>
      <c r="AE75" s="470"/>
      <c r="AF75" s="470"/>
      <c r="AG75" s="232">
        <v>0</v>
      </c>
      <c r="AH75" s="470">
        <v>174.37</v>
      </c>
      <c r="AI75" s="470">
        <v>32.112338858195201</v>
      </c>
      <c r="AJ75" s="232">
        <v>5.6497175141242938E-3</v>
      </c>
      <c r="AK75" s="470"/>
      <c r="AL75" s="470"/>
      <c r="AM75" s="232">
        <v>0</v>
      </c>
      <c r="AN75" s="470"/>
      <c r="AO75" s="470"/>
      <c r="AP75" s="232">
        <v>0</v>
      </c>
      <c r="AQ75" s="470">
        <v>70.941999999999993</v>
      </c>
      <c r="AR75" s="470">
        <v>13.0648250460405</v>
      </c>
      <c r="AS75" s="232">
        <v>5.6497175141242938E-3</v>
      </c>
      <c r="AT75" s="470"/>
      <c r="AU75" s="470"/>
      <c r="AV75" s="232">
        <v>0</v>
      </c>
    </row>
    <row r="76" spans="22:48" x14ac:dyDescent="0.35">
      <c r="V76" s="7">
        <v>1.1499999999999999</v>
      </c>
      <c r="W76" s="470">
        <v>14.356999999999999</v>
      </c>
      <c r="X76" s="470">
        <v>12.484347826086999</v>
      </c>
      <c r="Y76" s="232">
        <v>5.6497175141242938E-3</v>
      </c>
      <c r="AA76" s="7">
        <v>5.08</v>
      </c>
      <c r="AB76" s="470"/>
      <c r="AC76" s="470"/>
      <c r="AD76" s="232">
        <v>0</v>
      </c>
      <c r="AE76" s="470">
        <v>92.260999999999996</v>
      </c>
      <c r="AF76" s="470">
        <v>18.161614173228301</v>
      </c>
      <c r="AG76" s="232">
        <v>5.6497175141242938E-3</v>
      </c>
      <c r="AH76" s="470"/>
      <c r="AI76" s="470"/>
      <c r="AJ76" s="232">
        <v>0</v>
      </c>
      <c r="AK76" s="470"/>
      <c r="AL76" s="470"/>
      <c r="AM76" s="232">
        <v>0</v>
      </c>
      <c r="AN76" s="470"/>
      <c r="AO76" s="470"/>
      <c r="AP76" s="232">
        <v>0</v>
      </c>
      <c r="AQ76" s="470"/>
      <c r="AR76" s="470"/>
      <c r="AS76" s="232">
        <v>0</v>
      </c>
      <c r="AT76" s="470">
        <v>67.518000000000001</v>
      </c>
      <c r="AU76" s="470">
        <v>13.2909448818898</v>
      </c>
      <c r="AV76" s="232">
        <v>5.6497175141242938E-3</v>
      </c>
    </row>
    <row r="77" spans="22:48" x14ac:dyDescent="0.35">
      <c r="V77" s="7">
        <v>2.7</v>
      </c>
      <c r="W77" s="470">
        <v>35.912999999999997</v>
      </c>
      <c r="X77" s="470">
        <v>13.3011111111111</v>
      </c>
      <c r="Y77" s="232">
        <v>5.6497175141242938E-3</v>
      </c>
      <c r="AA77" s="7">
        <v>2.27</v>
      </c>
      <c r="AB77" s="470"/>
      <c r="AC77" s="470"/>
      <c r="AD77" s="232">
        <v>0</v>
      </c>
      <c r="AE77" s="470"/>
      <c r="AF77" s="470"/>
      <c r="AG77" s="232">
        <v>0</v>
      </c>
      <c r="AH77" s="470">
        <v>26.952999999999999</v>
      </c>
      <c r="AI77" s="470">
        <v>11.873568281938301</v>
      </c>
      <c r="AJ77" s="232">
        <v>5.6497175141242938E-3</v>
      </c>
      <c r="AK77" s="470"/>
      <c r="AL77" s="470"/>
      <c r="AM77" s="232">
        <v>0</v>
      </c>
      <c r="AN77" s="470"/>
      <c r="AO77" s="470"/>
      <c r="AP77" s="232">
        <v>0</v>
      </c>
      <c r="AQ77" s="470"/>
      <c r="AR77" s="470"/>
      <c r="AS77" s="232">
        <v>0</v>
      </c>
      <c r="AT77" s="470"/>
      <c r="AU77" s="470"/>
      <c r="AV77" s="232">
        <v>0</v>
      </c>
    </row>
    <row r="78" spans="22:48" x14ac:dyDescent="0.35">
      <c r="V78" s="7">
        <v>2.82</v>
      </c>
      <c r="W78" s="470">
        <v>42.335999999999999</v>
      </c>
      <c r="X78" s="470">
        <v>15.012765957446801</v>
      </c>
      <c r="Y78" s="232">
        <v>5.6497175141242938E-3</v>
      </c>
      <c r="AA78" s="7">
        <v>4.5199999999999996</v>
      </c>
      <c r="AB78" s="470"/>
      <c r="AC78" s="470"/>
      <c r="AD78" s="232">
        <v>0</v>
      </c>
      <c r="AE78" s="470"/>
      <c r="AF78" s="470"/>
      <c r="AG78" s="232">
        <v>0</v>
      </c>
      <c r="AH78" s="470">
        <v>68.064999999999998</v>
      </c>
      <c r="AI78" s="470">
        <v>15.0586283185841</v>
      </c>
      <c r="AJ78" s="232">
        <v>5.6497175141242938E-3</v>
      </c>
      <c r="AK78" s="470"/>
      <c r="AL78" s="470"/>
      <c r="AM78" s="232">
        <v>0</v>
      </c>
      <c r="AN78" s="470"/>
      <c r="AO78" s="470"/>
      <c r="AP78" s="232">
        <v>0</v>
      </c>
      <c r="AQ78" s="470"/>
      <c r="AR78" s="470"/>
      <c r="AS78" s="232">
        <v>0</v>
      </c>
      <c r="AT78" s="470"/>
      <c r="AU78" s="470"/>
      <c r="AV78" s="232">
        <v>0</v>
      </c>
    </row>
    <row r="79" spans="22:48" x14ac:dyDescent="0.35">
      <c r="V79" s="7">
        <v>2</v>
      </c>
      <c r="W79" s="470">
        <v>37.707999999999998</v>
      </c>
      <c r="X79" s="470">
        <v>18.853999999999999</v>
      </c>
      <c r="Y79" s="232">
        <v>5.6497175141242938E-3</v>
      </c>
      <c r="AA79" s="7">
        <v>6.28</v>
      </c>
      <c r="AB79" s="470">
        <v>128.035</v>
      </c>
      <c r="AC79" s="470">
        <v>20.387738853503201</v>
      </c>
      <c r="AD79" s="232">
        <v>5.6497175141242938E-3</v>
      </c>
      <c r="AE79" s="470"/>
      <c r="AF79" s="470"/>
      <c r="AG79" s="232">
        <v>0</v>
      </c>
      <c r="AH79" s="470"/>
      <c r="AI79" s="470"/>
      <c r="AJ79" s="232">
        <v>0</v>
      </c>
      <c r="AK79" s="470"/>
      <c r="AL79" s="470"/>
      <c r="AM79" s="232">
        <v>0</v>
      </c>
      <c r="AN79" s="470">
        <v>111.81100000000001</v>
      </c>
      <c r="AO79" s="470">
        <v>17.8042993630573</v>
      </c>
      <c r="AP79" s="232">
        <v>5.6497175141242938E-3</v>
      </c>
      <c r="AQ79" s="470"/>
      <c r="AR79" s="470"/>
      <c r="AS79" s="232">
        <v>0</v>
      </c>
      <c r="AT79" s="470"/>
      <c r="AU79" s="470"/>
      <c r="AV79" s="232">
        <v>0</v>
      </c>
    </row>
    <row r="80" spans="22:48" x14ac:dyDescent="0.35">
      <c r="V80" s="7">
        <v>2.5</v>
      </c>
      <c r="W80" s="470">
        <v>37.205799999999996</v>
      </c>
      <c r="X80" s="470">
        <v>14.88232</v>
      </c>
      <c r="Y80" s="232">
        <v>1.1299435028248588E-2</v>
      </c>
      <c r="AA80" s="7">
        <v>6.45</v>
      </c>
      <c r="AB80" s="470"/>
      <c r="AC80" s="470"/>
      <c r="AD80" s="232">
        <v>0</v>
      </c>
      <c r="AE80" s="470"/>
      <c r="AF80" s="470"/>
      <c r="AG80" s="232">
        <v>0</v>
      </c>
      <c r="AH80" s="470"/>
      <c r="AI80" s="470"/>
      <c r="AJ80" s="232">
        <v>0</v>
      </c>
      <c r="AK80" s="470"/>
      <c r="AL80" s="470"/>
      <c r="AM80" s="232">
        <v>0</v>
      </c>
      <c r="AN80" s="470"/>
      <c r="AO80" s="470"/>
      <c r="AP80" s="232">
        <v>0</v>
      </c>
      <c r="AQ80" s="470">
        <v>112.438</v>
      </c>
      <c r="AR80" s="470">
        <v>17.4322480620155</v>
      </c>
      <c r="AS80" s="232">
        <v>5.6497175141242938E-3</v>
      </c>
      <c r="AT80" s="470"/>
      <c r="AU80" s="470"/>
      <c r="AV80" s="232">
        <v>0</v>
      </c>
    </row>
    <row r="81" spans="22:48" x14ac:dyDescent="0.35">
      <c r="V81" s="7">
        <v>1.7</v>
      </c>
      <c r="W81" s="470">
        <v>16.419</v>
      </c>
      <c r="X81" s="470">
        <v>9.6582352941176399</v>
      </c>
      <c r="Y81" s="232">
        <v>5.6497175141242938E-3</v>
      </c>
      <c r="AA81" s="7">
        <v>3.02</v>
      </c>
      <c r="AB81" s="470">
        <v>33.941000000000003</v>
      </c>
      <c r="AC81" s="470">
        <v>11.2387417218543</v>
      </c>
      <c r="AD81" s="232">
        <v>5.6497175141242938E-3</v>
      </c>
      <c r="AE81" s="470"/>
      <c r="AF81" s="470"/>
      <c r="AG81" s="232">
        <v>0</v>
      </c>
      <c r="AH81" s="470">
        <v>43.695</v>
      </c>
      <c r="AI81" s="470">
        <v>14.468543046357601</v>
      </c>
      <c r="AJ81" s="232">
        <v>5.6497175141242938E-3</v>
      </c>
      <c r="AK81" s="470"/>
      <c r="AL81" s="470"/>
      <c r="AM81" s="232">
        <v>0</v>
      </c>
      <c r="AN81" s="470"/>
      <c r="AO81" s="470"/>
      <c r="AP81" s="232">
        <v>0</v>
      </c>
      <c r="AQ81" s="470"/>
      <c r="AR81" s="470"/>
      <c r="AS81" s="232">
        <v>0</v>
      </c>
      <c r="AT81" s="470"/>
      <c r="AU81" s="470"/>
      <c r="AV81" s="232">
        <v>0</v>
      </c>
    </row>
    <row r="82" spans="22:48" x14ac:dyDescent="0.35">
      <c r="V82" s="7">
        <v>3.53</v>
      </c>
      <c r="W82" s="470">
        <v>74.620999999999995</v>
      </c>
      <c r="X82" s="470">
        <v>21.139093484419298</v>
      </c>
      <c r="Y82" s="232">
        <v>5.6497175141242938E-3</v>
      </c>
      <c r="AA82" s="7">
        <v>4.07</v>
      </c>
      <c r="AB82" s="470"/>
      <c r="AC82" s="470"/>
      <c r="AD82" s="232">
        <v>0</v>
      </c>
      <c r="AE82" s="470"/>
      <c r="AF82" s="470"/>
      <c r="AG82" s="232">
        <v>0</v>
      </c>
      <c r="AH82" s="470"/>
      <c r="AI82" s="470"/>
      <c r="AJ82" s="232">
        <v>0</v>
      </c>
      <c r="AK82" s="470"/>
      <c r="AL82" s="470"/>
      <c r="AM82" s="232">
        <v>0</v>
      </c>
      <c r="AN82" s="470">
        <v>85.352000000000004</v>
      </c>
      <c r="AO82" s="470">
        <v>20.971007371007399</v>
      </c>
      <c r="AP82" s="232">
        <v>5.6497175141242938E-3</v>
      </c>
      <c r="AQ82" s="470"/>
      <c r="AR82" s="470"/>
      <c r="AS82" s="232">
        <v>0</v>
      </c>
      <c r="AT82" s="470"/>
      <c r="AU82" s="470"/>
      <c r="AV82" s="232">
        <v>0</v>
      </c>
    </row>
    <row r="83" spans="22:48" x14ac:dyDescent="0.35">
      <c r="V83" s="7">
        <v>2.0699999999999998</v>
      </c>
      <c r="W83" s="470">
        <v>8.391</v>
      </c>
      <c r="X83" s="470">
        <v>4.0536231884058003</v>
      </c>
      <c r="Y83" s="232">
        <v>5.6497175141242938E-3</v>
      </c>
      <c r="AA83" s="7">
        <v>3.13</v>
      </c>
      <c r="AB83" s="470"/>
      <c r="AC83" s="470"/>
      <c r="AD83" s="232">
        <v>0</v>
      </c>
      <c r="AE83" s="470"/>
      <c r="AF83" s="470"/>
      <c r="AG83" s="232">
        <v>0</v>
      </c>
      <c r="AH83" s="470"/>
      <c r="AI83" s="470"/>
      <c r="AJ83" s="232">
        <v>0</v>
      </c>
      <c r="AK83" s="470"/>
      <c r="AL83" s="470"/>
      <c r="AM83" s="232">
        <v>0</v>
      </c>
      <c r="AN83" s="470"/>
      <c r="AO83" s="470"/>
      <c r="AP83" s="232">
        <v>0</v>
      </c>
      <c r="AQ83" s="470">
        <v>41.816000000000003</v>
      </c>
      <c r="AR83" s="470">
        <v>13.3597444089457</v>
      </c>
      <c r="AS83" s="232">
        <v>5.6497175141242938E-3</v>
      </c>
      <c r="AT83" s="470">
        <v>55.194000000000003</v>
      </c>
      <c r="AU83" s="470">
        <v>17.633865814696499</v>
      </c>
      <c r="AV83" s="232">
        <v>5.6497175141242938E-3</v>
      </c>
    </row>
    <row r="84" spans="22:48" x14ac:dyDescent="0.35">
      <c r="V84" s="7">
        <v>1.38</v>
      </c>
      <c r="W84" s="470">
        <v>10.86</v>
      </c>
      <c r="X84" s="470">
        <v>7.8695652173913002</v>
      </c>
      <c r="Y84" s="232">
        <v>5.6497175141242938E-3</v>
      </c>
      <c r="AA84" s="7">
        <v>3.18</v>
      </c>
      <c r="AB84" s="470"/>
      <c r="AC84" s="470"/>
      <c r="AD84" s="232">
        <v>0</v>
      </c>
      <c r="AE84" s="470"/>
      <c r="AF84" s="470"/>
      <c r="AG84" s="232">
        <v>0</v>
      </c>
      <c r="AH84" s="470"/>
      <c r="AI84" s="470"/>
      <c r="AJ84" s="232">
        <v>0</v>
      </c>
      <c r="AK84" s="470"/>
      <c r="AL84" s="470"/>
      <c r="AM84" s="232">
        <v>0</v>
      </c>
      <c r="AN84" s="470"/>
      <c r="AO84" s="470"/>
      <c r="AP84" s="232">
        <v>0</v>
      </c>
      <c r="AQ84" s="470">
        <v>54.377000000000002</v>
      </c>
      <c r="AR84" s="470">
        <v>17.099685534591199</v>
      </c>
      <c r="AS84" s="232">
        <v>5.6497175141242938E-3</v>
      </c>
      <c r="AT84" s="470"/>
      <c r="AU84" s="470"/>
      <c r="AV84" s="232">
        <v>0</v>
      </c>
    </row>
    <row r="85" spans="22:48" x14ac:dyDescent="0.35">
      <c r="V85" s="7">
        <v>2.85</v>
      </c>
      <c r="W85" s="470">
        <v>60.584000000000003</v>
      </c>
      <c r="X85" s="470">
        <v>21.2575438596491</v>
      </c>
      <c r="Y85" s="232">
        <v>5.6497175141242938E-3</v>
      </c>
      <c r="AA85" s="7">
        <v>2.98</v>
      </c>
      <c r="AB85" s="470"/>
      <c r="AC85" s="470"/>
      <c r="AD85" s="232">
        <v>0</v>
      </c>
      <c r="AE85" s="470"/>
      <c r="AF85" s="470"/>
      <c r="AG85" s="232">
        <v>0</v>
      </c>
      <c r="AH85" s="470"/>
      <c r="AI85" s="470"/>
      <c r="AJ85" s="232">
        <v>0</v>
      </c>
      <c r="AK85" s="470">
        <v>22.942</v>
      </c>
      <c r="AL85" s="470">
        <v>7.6986577181208</v>
      </c>
      <c r="AM85" s="232">
        <v>5.6497175141242938E-3</v>
      </c>
      <c r="AN85" s="470"/>
      <c r="AO85" s="470"/>
      <c r="AP85" s="232">
        <v>0</v>
      </c>
      <c r="AQ85" s="470"/>
      <c r="AR85" s="470"/>
      <c r="AS85" s="232">
        <v>0</v>
      </c>
      <c r="AT85" s="470"/>
      <c r="AU85" s="470"/>
      <c r="AV85" s="232">
        <v>0</v>
      </c>
    </row>
    <row r="86" spans="22:48" x14ac:dyDescent="0.35">
      <c r="V86" s="7">
        <v>1.73</v>
      </c>
      <c r="W86" s="470">
        <v>24.498999999999999</v>
      </c>
      <c r="X86" s="470">
        <v>14.161271676300601</v>
      </c>
      <c r="Y86" s="232">
        <v>5.6497175141242938E-3</v>
      </c>
      <c r="AA86" s="7">
        <v>9.07</v>
      </c>
      <c r="AB86" s="470"/>
      <c r="AC86" s="470"/>
      <c r="AD86" s="232">
        <v>0</v>
      </c>
      <c r="AE86" s="470"/>
      <c r="AF86" s="470"/>
      <c r="AG86" s="232">
        <v>0</v>
      </c>
      <c r="AH86" s="470"/>
      <c r="AI86" s="470"/>
      <c r="AJ86" s="232">
        <v>0</v>
      </c>
      <c r="AK86" s="470"/>
      <c r="AL86" s="470"/>
      <c r="AM86" s="232">
        <v>0</v>
      </c>
      <c r="AN86" s="470"/>
      <c r="AO86" s="470"/>
      <c r="AP86" s="232">
        <v>0</v>
      </c>
      <c r="AQ86" s="470">
        <v>183.76300000000001</v>
      </c>
      <c r="AR86" s="470">
        <v>20.260529217199601</v>
      </c>
      <c r="AS86" s="232">
        <v>5.6497175141242938E-3</v>
      </c>
      <c r="AT86" s="470"/>
      <c r="AU86" s="470"/>
      <c r="AV86" s="232">
        <v>0</v>
      </c>
    </row>
    <row r="87" spans="22:48" x14ac:dyDescent="0.35">
      <c r="V87" s="7">
        <v>2.75</v>
      </c>
      <c r="W87" s="470">
        <v>55.396500000000003</v>
      </c>
      <c r="X87" s="470">
        <v>20.144181818181799</v>
      </c>
      <c r="Y87" s="232">
        <v>1.1299435028248588E-2</v>
      </c>
      <c r="AA87" s="7">
        <v>5.23</v>
      </c>
      <c r="AB87" s="470"/>
      <c r="AC87" s="470"/>
      <c r="AD87" s="232">
        <v>0</v>
      </c>
      <c r="AE87" s="470">
        <v>115.995</v>
      </c>
      <c r="AF87" s="470">
        <v>22.178776290630999</v>
      </c>
      <c r="AG87" s="232">
        <v>5.6497175141242938E-3</v>
      </c>
      <c r="AH87" s="470"/>
      <c r="AI87" s="470"/>
      <c r="AJ87" s="232">
        <v>0</v>
      </c>
      <c r="AK87" s="470"/>
      <c r="AL87" s="470"/>
      <c r="AM87" s="232">
        <v>0</v>
      </c>
      <c r="AN87" s="470"/>
      <c r="AO87" s="470"/>
      <c r="AP87" s="232">
        <v>0</v>
      </c>
      <c r="AQ87" s="470">
        <v>125.61199999999999</v>
      </c>
      <c r="AR87" s="470">
        <v>24.017590822179699</v>
      </c>
      <c r="AS87" s="232">
        <v>5.6497175141242938E-3</v>
      </c>
      <c r="AT87" s="470"/>
      <c r="AU87" s="470"/>
      <c r="AV87" s="232">
        <v>0</v>
      </c>
    </row>
    <row r="88" spans="22:48" x14ac:dyDescent="0.35">
      <c r="V88" s="7">
        <v>3.27</v>
      </c>
      <c r="W88" s="470">
        <v>54.988999999999997</v>
      </c>
      <c r="X88" s="470">
        <v>16.8162079510703</v>
      </c>
      <c r="Y88" s="232">
        <v>5.6497175141242938E-3</v>
      </c>
      <c r="AA88" s="7">
        <v>3.93</v>
      </c>
      <c r="AB88" s="470"/>
      <c r="AC88" s="470"/>
      <c r="AD88" s="232">
        <v>0</v>
      </c>
      <c r="AE88" s="470"/>
      <c r="AF88" s="470"/>
      <c r="AG88" s="232">
        <v>0</v>
      </c>
      <c r="AH88" s="470">
        <v>44.034799999999997</v>
      </c>
      <c r="AI88" s="470">
        <v>11.204783715012701</v>
      </c>
      <c r="AJ88" s="232">
        <v>5.6497175141242938E-3</v>
      </c>
      <c r="AK88" s="470"/>
      <c r="AL88" s="470"/>
      <c r="AM88" s="232">
        <v>0</v>
      </c>
      <c r="AN88" s="470"/>
      <c r="AO88" s="470"/>
      <c r="AP88" s="232">
        <v>0</v>
      </c>
      <c r="AQ88" s="470"/>
      <c r="AR88" s="470"/>
      <c r="AS88" s="232">
        <v>0</v>
      </c>
      <c r="AT88" s="470"/>
      <c r="AU88" s="470"/>
      <c r="AV88" s="232">
        <v>0</v>
      </c>
    </row>
    <row r="89" spans="22:48" x14ac:dyDescent="0.35">
      <c r="V89" s="7">
        <v>4.18</v>
      </c>
      <c r="W89" s="470">
        <v>90.635999999999996</v>
      </c>
      <c r="X89" s="470">
        <v>21.683253588516699</v>
      </c>
      <c r="Y89" s="232">
        <v>5.6497175141242938E-3</v>
      </c>
      <c r="AA89" s="7">
        <v>6.82</v>
      </c>
      <c r="AB89" s="470"/>
      <c r="AC89" s="470"/>
      <c r="AD89" s="232">
        <v>0</v>
      </c>
      <c r="AE89" s="470"/>
      <c r="AF89" s="470"/>
      <c r="AG89" s="232">
        <v>0</v>
      </c>
      <c r="AH89" s="470"/>
      <c r="AI89" s="470"/>
      <c r="AJ89" s="232">
        <v>0</v>
      </c>
      <c r="AK89" s="470"/>
      <c r="AL89" s="470"/>
      <c r="AM89" s="232">
        <v>0</v>
      </c>
      <c r="AN89" s="470"/>
      <c r="AO89" s="470"/>
      <c r="AP89" s="232">
        <v>0</v>
      </c>
      <c r="AQ89" s="470">
        <v>150.614</v>
      </c>
      <c r="AR89" s="470">
        <v>22.084164222873898</v>
      </c>
      <c r="AS89" s="232">
        <v>5.6497175141242938E-3</v>
      </c>
      <c r="AT89" s="470"/>
      <c r="AU89" s="470"/>
      <c r="AV89" s="232">
        <v>0</v>
      </c>
    </row>
    <row r="90" spans="22:48" x14ac:dyDescent="0.35">
      <c r="V90" s="7">
        <v>3.35</v>
      </c>
      <c r="W90" s="470">
        <v>43.491</v>
      </c>
      <c r="X90" s="470">
        <v>12.982388059701499</v>
      </c>
      <c r="Y90" s="232">
        <v>5.6497175141242938E-3</v>
      </c>
      <c r="AA90" s="7">
        <v>4.97</v>
      </c>
      <c r="AB90" s="470"/>
      <c r="AC90" s="470"/>
      <c r="AD90" s="232">
        <v>0</v>
      </c>
      <c r="AE90" s="470"/>
      <c r="AF90" s="470"/>
      <c r="AG90" s="232">
        <v>0</v>
      </c>
      <c r="AH90" s="470">
        <v>151.399</v>
      </c>
      <c r="AI90" s="470">
        <v>30.462575452716301</v>
      </c>
      <c r="AJ90" s="232">
        <v>5.6497175141242938E-3</v>
      </c>
      <c r="AK90" s="470"/>
      <c r="AL90" s="470"/>
      <c r="AM90" s="232">
        <v>0</v>
      </c>
      <c r="AN90" s="470">
        <v>84.637</v>
      </c>
      <c r="AO90" s="470">
        <v>17.029577464788701</v>
      </c>
      <c r="AP90" s="232">
        <v>5.6497175141242938E-3</v>
      </c>
      <c r="AQ90" s="470"/>
      <c r="AR90" s="470"/>
      <c r="AS90" s="232">
        <v>0</v>
      </c>
      <c r="AT90" s="470"/>
      <c r="AU90" s="470"/>
      <c r="AV90" s="232">
        <v>0</v>
      </c>
    </row>
    <row r="91" spans="22:48" x14ac:dyDescent="0.35">
      <c r="V91" s="7">
        <v>5.32</v>
      </c>
      <c r="W91" s="470">
        <v>108.20399999999999</v>
      </c>
      <c r="X91" s="470">
        <v>20.339097744360899</v>
      </c>
      <c r="Y91" s="232">
        <v>5.6497175141242938E-3</v>
      </c>
      <c r="AA91" s="7">
        <v>4.03</v>
      </c>
      <c r="AB91" s="470"/>
      <c r="AC91" s="470"/>
      <c r="AD91" s="232">
        <v>0</v>
      </c>
      <c r="AE91" s="470">
        <v>78.626999999999995</v>
      </c>
      <c r="AF91" s="470">
        <v>19.5104218362283</v>
      </c>
      <c r="AG91" s="232">
        <v>5.6497175141242938E-3</v>
      </c>
      <c r="AH91" s="470"/>
      <c r="AI91" s="470"/>
      <c r="AJ91" s="232">
        <v>0</v>
      </c>
      <c r="AK91" s="470"/>
      <c r="AL91" s="470"/>
      <c r="AM91" s="232">
        <v>0</v>
      </c>
      <c r="AN91" s="470"/>
      <c r="AO91" s="470"/>
      <c r="AP91" s="232">
        <v>0</v>
      </c>
      <c r="AQ91" s="470"/>
      <c r="AR91" s="470"/>
      <c r="AS91" s="232">
        <v>0</v>
      </c>
      <c r="AT91" s="470">
        <v>80.897500000000008</v>
      </c>
      <c r="AU91" s="470">
        <v>20.073821339950349</v>
      </c>
      <c r="AV91" s="232">
        <v>1.1299435028248588E-2</v>
      </c>
    </row>
    <row r="92" spans="22:48" x14ac:dyDescent="0.35">
      <c r="V92" s="7">
        <v>4.58</v>
      </c>
      <c r="W92" s="470">
        <v>90.176000000000002</v>
      </c>
      <c r="X92" s="470">
        <v>19.689082969432299</v>
      </c>
      <c r="Y92" s="232">
        <v>5.6497175141242938E-3</v>
      </c>
      <c r="AA92" s="7">
        <v>3.6</v>
      </c>
      <c r="AB92" s="470">
        <v>77.948999999999998</v>
      </c>
      <c r="AC92" s="470">
        <v>21.6525</v>
      </c>
      <c r="AD92" s="232">
        <v>5.6497175141242938E-3</v>
      </c>
      <c r="AE92" s="470"/>
      <c r="AF92" s="470"/>
      <c r="AG92" s="232">
        <v>0</v>
      </c>
      <c r="AH92" s="470"/>
      <c r="AI92" s="470"/>
      <c r="AJ92" s="232">
        <v>0</v>
      </c>
      <c r="AK92" s="470"/>
      <c r="AL92" s="470"/>
      <c r="AM92" s="232">
        <v>0</v>
      </c>
      <c r="AN92" s="470"/>
      <c r="AO92" s="470"/>
      <c r="AP92" s="232">
        <v>0</v>
      </c>
      <c r="AQ92" s="470">
        <v>26.805</v>
      </c>
      <c r="AR92" s="470">
        <v>7.4458333333333302</v>
      </c>
      <c r="AS92" s="232">
        <v>5.6497175141242938E-3</v>
      </c>
      <c r="AT92" s="470"/>
      <c r="AU92" s="470"/>
      <c r="AV92" s="232">
        <v>0</v>
      </c>
    </row>
    <row r="93" spans="22:48" x14ac:dyDescent="0.35">
      <c r="V93" s="7">
        <v>5.88</v>
      </c>
      <c r="W93" s="470">
        <v>57.212000000000003</v>
      </c>
      <c r="X93" s="470">
        <v>9.7299319727891191</v>
      </c>
      <c r="Y93" s="232">
        <v>5.6497175141242938E-3</v>
      </c>
      <c r="AA93" s="7">
        <v>3.2</v>
      </c>
      <c r="AB93" s="470"/>
      <c r="AC93" s="470"/>
      <c r="AD93" s="232">
        <v>0</v>
      </c>
      <c r="AE93" s="470"/>
      <c r="AF93" s="470"/>
      <c r="AG93" s="232">
        <v>0</v>
      </c>
      <c r="AH93" s="470"/>
      <c r="AI93" s="470"/>
      <c r="AJ93" s="232">
        <v>0</v>
      </c>
      <c r="AK93" s="470"/>
      <c r="AL93" s="470"/>
      <c r="AM93" s="232">
        <v>0</v>
      </c>
      <c r="AN93" s="470"/>
      <c r="AO93" s="470"/>
      <c r="AP93" s="232">
        <v>0</v>
      </c>
      <c r="AQ93" s="470"/>
      <c r="AR93" s="470"/>
      <c r="AS93" s="232">
        <v>0</v>
      </c>
      <c r="AT93" s="470">
        <v>40.622</v>
      </c>
      <c r="AU93" s="470">
        <v>12.694375000000001</v>
      </c>
      <c r="AV93" s="232">
        <v>5.6497175141242938E-3</v>
      </c>
    </row>
    <row r="94" spans="22:48" x14ac:dyDescent="0.35">
      <c r="V94" s="7">
        <v>6.2</v>
      </c>
      <c r="W94" s="470">
        <v>97.474000000000004</v>
      </c>
      <c r="X94" s="470">
        <v>15.7216129032258</v>
      </c>
      <c r="Y94" s="232">
        <v>5.6497175141242938E-3</v>
      </c>
      <c r="AA94" s="7">
        <v>4.88</v>
      </c>
      <c r="AB94" s="470"/>
      <c r="AC94" s="470"/>
      <c r="AD94" s="232">
        <v>0</v>
      </c>
      <c r="AE94" s="470">
        <v>72.451999999999998</v>
      </c>
      <c r="AF94" s="470">
        <v>14.846721311475401</v>
      </c>
      <c r="AG94" s="232">
        <v>5.6497175141242938E-3</v>
      </c>
      <c r="AH94" s="470"/>
      <c r="AI94" s="470"/>
      <c r="AJ94" s="232">
        <v>0</v>
      </c>
      <c r="AK94" s="470"/>
      <c r="AL94" s="470"/>
      <c r="AM94" s="232">
        <v>0</v>
      </c>
      <c r="AN94" s="470"/>
      <c r="AO94" s="470"/>
      <c r="AP94" s="232">
        <v>0</v>
      </c>
      <c r="AQ94" s="470"/>
      <c r="AR94" s="470"/>
      <c r="AS94" s="232">
        <v>0</v>
      </c>
      <c r="AT94" s="470">
        <v>105.43</v>
      </c>
      <c r="AU94" s="470">
        <v>21.604508196721302</v>
      </c>
      <c r="AV94" s="232">
        <v>5.6497175141242938E-3</v>
      </c>
    </row>
    <row r="95" spans="22:48" x14ac:dyDescent="0.35">
      <c r="V95" s="7">
        <v>3.77</v>
      </c>
      <c r="W95" s="470">
        <v>71.267499999999998</v>
      </c>
      <c r="X95" s="470">
        <v>18.90384615384615</v>
      </c>
      <c r="Y95" s="232">
        <v>1.1299435028248588E-2</v>
      </c>
      <c r="AA95" s="7">
        <v>4.7699999999999996</v>
      </c>
      <c r="AB95" s="470">
        <v>91.843999999999994</v>
      </c>
      <c r="AC95" s="470">
        <v>19.254507337526199</v>
      </c>
      <c r="AD95" s="232">
        <v>5.6497175141242938E-3</v>
      </c>
      <c r="AE95" s="470"/>
      <c r="AF95" s="470"/>
      <c r="AG95" s="232">
        <v>0</v>
      </c>
      <c r="AH95" s="470"/>
      <c r="AI95" s="470"/>
      <c r="AJ95" s="232">
        <v>0</v>
      </c>
      <c r="AK95" s="470"/>
      <c r="AL95" s="470"/>
      <c r="AM95" s="232">
        <v>0</v>
      </c>
      <c r="AN95" s="470"/>
      <c r="AO95" s="470"/>
      <c r="AP95" s="232">
        <v>0</v>
      </c>
      <c r="AQ95" s="470"/>
      <c r="AR95" s="470"/>
      <c r="AS95" s="232">
        <v>0</v>
      </c>
      <c r="AT95" s="470"/>
      <c r="AU95" s="470"/>
      <c r="AV95" s="232">
        <v>0</v>
      </c>
    </row>
    <row r="96" spans="22:48" x14ac:dyDescent="0.35">
      <c r="V96" s="7">
        <v>6.52</v>
      </c>
      <c r="W96" s="470">
        <v>110.964</v>
      </c>
      <c r="X96" s="470">
        <v>17.019018404908</v>
      </c>
      <c r="Y96" s="232">
        <v>5.6497175141242938E-3</v>
      </c>
      <c r="AA96" s="7">
        <v>6.85</v>
      </c>
      <c r="AB96" s="470"/>
      <c r="AC96" s="470"/>
      <c r="AD96" s="232">
        <v>0</v>
      </c>
      <c r="AE96" s="470"/>
      <c r="AF96" s="470"/>
      <c r="AG96" s="232">
        <v>0</v>
      </c>
      <c r="AH96" s="470"/>
      <c r="AI96" s="470"/>
      <c r="AJ96" s="232">
        <v>0</v>
      </c>
      <c r="AK96" s="470"/>
      <c r="AL96" s="470"/>
      <c r="AM96" s="232">
        <v>0</v>
      </c>
      <c r="AN96" s="470"/>
      <c r="AO96" s="470"/>
      <c r="AP96" s="232">
        <v>0</v>
      </c>
      <c r="AQ96" s="470"/>
      <c r="AR96" s="470"/>
      <c r="AS96" s="232">
        <v>0</v>
      </c>
      <c r="AT96" s="470">
        <v>117.898</v>
      </c>
      <c r="AU96" s="470">
        <v>17.211386861313901</v>
      </c>
      <c r="AV96" s="232">
        <v>5.6497175141242938E-3</v>
      </c>
    </row>
    <row r="97" spans="22:48" x14ac:dyDescent="0.35">
      <c r="V97" s="7">
        <v>5.83</v>
      </c>
      <c r="W97" s="470">
        <v>94.498999999999995</v>
      </c>
      <c r="X97" s="470">
        <v>16.2090909090909</v>
      </c>
      <c r="Y97" s="232">
        <v>5.6497175141242938E-3</v>
      </c>
      <c r="AA97" s="7">
        <v>3.42</v>
      </c>
      <c r="AB97" s="470"/>
      <c r="AC97" s="470"/>
      <c r="AD97" s="232">
        <v>0</v>
      </c>
      <c r="AE97" s="470"/>
      <c r="AF97" s="470"/>
      <c r="AG97" s="232">
        <v>0</v>
      </c>
      <c r="AH97" s="470"/>
      <c r="AI97" s="470"/>
      <c r="AJ97" s="232">
        <v>0</v>
      </c>
      <c r="AK97" s="470">
        <v>42.91</v>
      </c>
      <c r="AL97" s="470">
        <v>12.546783625731001</v>
      </c>
      <c r="AM97" s="232">
        <v>5.6497175141242938E-3</v>
      </c>
      <c r="AN97" s="470"/>
      <c r="AO97" s="470"/>
      <c r="AP97" s="232">
        <v>0</v>
      </c>
      <c r="AQ97" s="470"/>
      <c r="AR97" s="470"/>
      <c r="AS97" s="232">
        <v>0</v>
      </c>
      <c r="AT97" s="470"/>
      <c r="AU97" s="470"/>
      <c r="AV97" s="232">
        <v>0</v>
      </c>
    </row>
    <row r="98" spans="22:48" x14ac:dyDescent="0.35">
      <c r="V98" s="7">
        <v>5.45</v>
      </c>
      <c r="W98" s="470">
        <v>95.537999999999997</v>
      </c>
      <c r="X98" s="470">
        <v>17.529908256880699</v>
      </c>
      <c r="Y98" s="232">
        <v>5.6497175141242938E-3</v>
      </c>
      <c r="AA98" s="7">
        <v>5.33</v>
      </c>
      <c r="AB98" s="470"/>
      <c r="AC98" s="470"/>
      <c r="AD98" s="232">
        <v>0</v>
      </c>
      <c r="AE98" s="470"/>
      <c r="AF98" s="470"/>
      <c r="AG98" s="232">
        <v>0</v>
      </c>
      <c r="AH98" s="470"/>
      <c r="AI98" s="470"/>
      <c r="AJ98" s="232">
        <v>0</v>
      </c>
      <c r="AK98" s="470"/>
      <c r="AL98" s="470"/>
      <c r="AM98" s="232">
        <v>0</v>
      </c>
      <c r="AN98" s="470"/>
      <c r="AO98" s="470"/>
      <c r="AP98" s="232">
        <v>0</v>
      </c>
      <c r="AQ98" s="470"/>
      <c r="AR98" s="470"/>
      <c r="AS98" s="232">
        <v>0</v>
      </c>
      <c r="AT98" s="470">
        <v>70.796000000000006</v>
      </c>
      <c r="AU98" s="470">
        <v>13.2825515947467</v>
      </c>
      <c r="AV98" s="232">
        <v>5.6497175141242938E-3</v>
      </c>
    </row>
    <row r="99" spans="22:48" x14ac:dyDescent="0.35">
      <c r="V99" s="7">
        <v>5.18</v>
      </c>
      <c r="W99" s="470">
        <v>172.08</v>
      </c>
      <c r="X99" s="470">
        <v>33.220077220077201</v>
      </c>
      <c r="Y99" s="232">
        <v>5.6497175141242938E-3</v>
      </c>
      <c r="AA99" s="7">
        <v>5.57</v>
      </c>
      <c r="AB99" s="470">
        <v>51.788800000000002</v>
      </c>
      <c r="AC99" s="470">
        <v>9.2978096947935391</v>
      </c>
      <c r="AD99" s="232">
        <v>5.6497175141242938E-3</v>
      </c>
      <c r="AE99" s="470"/>
      <c r="AF99" s="470"/>
      <c r="AG99" s="232">
        <v>0</v>
      </c>
      <c r="AH99" s="470"/>
      <c r="AI99" s="470"/>
      <c r="AJ99" s="232">
        <v>0</v>
      </c>
      <c r="AK99" s="470"/>
      <c r="AL99" s="470"/>
      <c r="AM99" s="232">
        <v>0</v>
      </c>
      <c r="AN99" s="470"/>
      <c r="AO99" s="470"/>
      <c r="AP99" s="232">
        <v>0</v>
      </c>
      <c r="AQ99" s="470"/>
      <c r="AR99" s="470"/>
      <c r="AS99" s="232">
        <v>0</v>
      </c>
      <c r="AT99" s="470"/>
      <c r="AU99" s="470"/>
      <c r="AV99" s="232">
        <v>0</v>
      </c>
    </row>
    <row r="100" spans="22:48" x14ac:dyDescent="0.35">
      <c r="V100" s="7">
        <v>5.72</v>
      </c>
      <c r="W100" s="470">
        <v>104.48249999999999</v>
      </c>
      <c r="X100" s="470">
        <v>18.266171328671348</v>
      </c>
      <c r="Y100" s="232">
        <v>1.1299435028248588E-2</v>
      </c>
      <c r="AA100" s="7">
        <v>4.92</v>
      </c>
      <c r="AB100" s="470"/>
      <c r="AC100" s="470"/>
      <c r="AD100" s="232">
        <v>0</v>
      </c>
      <c r="AE100" s="470"/>
      <c r="AF100" s="470"/>
      <c r="AG100" s="232">
        <v>0</v>
      </c>
      <c r="AH100" s="470"/>
      <c r="AI100" s="470"/>
      <c r="AJ100" s="232">
        <v>0</v>
      </c>
      <c r="AK100" s="470"/>
      <c r="AL100" s="470"/>
      <c r="AM100" s="232">
        <v>0</v>
      </c>
      <c r="AN100" s="470">
        <v>72.825999999999993</v>
      </c>
      <c r="AO100" s="470">
        <v>14.8020325203252</v>
      </c>
      <c r="AP100" s="232">
        <v>5.6497175141242938E-3</v>
      </c>
      <c r="AQ100" s="470"/>
      <c r="AR100" s="470"/>
      <c r="AS100" s="232">
        <v>0</v>
      </c>
      <c r="AT100" s="470"/>
      <c r="AU100" s="470"/>
      <c r="AV100" s="232">
        <v>0</v>
      </c>
    </row>
    <row r="101" spans="22:48" x14ac:dyDescent="0.35">
      <c r="V101" s="7">
        <v>4.2300000000000004</v>
      </c>
      <c r="W101" s="470">
        <v>88.668499999999995</v>
      </c>
      <c r="X101" s="470">
        <v>20.961820330969299</v>
      </c>
      <c r="Y101" s="232">
        <v>1.1299435028248588E-2</v>
      </c>
      <c r="AA101" s="7">
        <v>3.98</v>
      </c>
      <c r="AB101" s="470"/>
      <c r="AC101" s="470"/>
      <c r="AD101" s="232">
        <v>0</v>
      </c>
      <c r="AE101" s="470"/>
      <c r="AF101" s="470"/>
      <c r="AG101" s="232">
        <v>0</v>
      </c>
      <c r="AH101" s="470"/>
      <c r="AI101" s="470"/>
      <c r="AJ101" s="232">
        <v>0</v>
      </c>
      <c r="AK101" s="470"/>
      <c r="AL101" s="470"/>
      <c r="AM101" s="232">
        <v>0</v>
      </c>
      <c r="AN101" s="470"/>
      <c r="AO101" s="470"/>
      <c r="AP101" s="232">
        <v>0</v>
      </c>
      <c r="AQ101" s="470">
        <v>53.326000000000001</v>
      </c>
      <c r="AR101" s="470">
        <v>13.3984924623116</v>
      </c>
      <c r="AS101" s="232">
        <v>5.6497175141242938E-3</v>
      </c>
      <c r="AT101" s="470"/>
      <c r="AU101" s="470"/>
      <c r="AV101" s="232">
        <v>0</v>
      </c>
    </row>
    <row r="102" spans="22:48" x14ac:dyDescent="0.35">
      <c r="V102" s="7">
        <v>3.63</v>
      </c>
      <c r="W102" s="470">
        <v>53.152999999999999</v>
      </c>
      <c r="X102" s="470">
        <v>14.6426997245179</v>
      </c>
      <c r="Y102" s="232">
        <v>5.6497175141242938E-3</v>
      </c>
      <c r="AA102" s="7">
        <v>2.4500000000000002</v>
      </c>
      <c r="AB102" s="470"/>
      <c r="AC102" s="470"/>
      <c r="AD102" s="232">
        <v>0</v>
      </c>
      <c r="AE102" s="470"/>
      <c r="AF102" s="470"/>
      <c r="AG102" s="232">
        <v>0</v>
      </c>
      <c r="AH102" s="470">
        <v>33.723999999999997</v>
      </c>
      <c r="AI102" s="470">
        <v>13.764897959183699</v>
      </c>
      <c r="AJ102" s="232">
        <v>1.1299435028248588E-2</v>
      </c>
      <c r="AK102" s="470"/>
      <c r="AL102" s="470"/>
      <c r="AM102" s="232">
        <v>0</v>
      </c>
      <c r="AN102" s="470"/>
      <c r="AO102" s="470"/>
      <c r="AP102" s="232">
        <v>0</v>
      </c>
      <c r="AQ102" s="470"/>
      <c r="AR102" s="470"/>
      <c r="AS102" s="232">
        <v>0</v>
      </c>
      <c r="AT102" s="470"/>
      <c r="AU102" s="470"/>
      <c r="AV102" s="232">
        <v>0</v>
      </c>
    </row>
    <row r="103" spans="22:48" x14ac:dyDescent="0.35">
      <c r="V103" s="7">
        <v>3.22</v>
      </c>
      <c r="W103" s="470">
        <v>64.283000000000001</v>
      </c>
      <c r="X103" s="470">
        <v>19.963664596273301</v>
      </c>
      <c r="Y103" s="232">
        <v>5.6497175141242938E-3</v>
      </c>
      <c r="AA103" s="7">
        <v>4.43</v>
      </c>
      <c r="AB103" s="470">
        <v>52.55</v>
      </c>
      <c r="AC103" s="470">
        <v>11.86230248307</v>
      </c>
      <c r="AD103" s="232">
        <v>5.6497175141242938E-3</v>
      </c>
      <c r="AE103" s="470"/>
      <c r="AF103" s="470"/>
      <c r="AG103" s="232">
        <v>0</v>
      </c>
      <c r="AH103" s="470"/>
      <c r="AI103" s="470"/>
      <c r="AJ103" s="232">
        <v>0</v>
      </c>
      <c r="AK103" s="470"/>
      <c r="AL103" s="470"/>
      <c r="AM103" s="232">
        <v>0</v>
      </c>
      <c r="AN103" s="470"/>
      <c r="AO103" s="470"/>
      <c r="AP103" s="232">
        <v>0</v>
      </c>
      <c r="AQ103" s="470"/>
      <c r="AR103" s="470"/>
      <c r="AS103" s="232">
        <v>0</v>
      </c>
      <c r="AT103" s="470"/>
      <c r="AU103" s="470"/>
      <c r="AV103" s="232">
        <v>0</v>
      </c>
    </row>
    <row r="104" spans="22:48" x14ac:dyDescent="0.35">
      <c r="V104" s="7">
        <v>3.9</v>
      </c>
      <c r="W104" s="470">
        <v>76.674000000000007</v>
      </c>
      <c r="X104" s="470">
        <v>19.66</v>
      </c>
      <c r="Y104" s="232">
        <v>5.6497175141242938E-3</v>
      </c>
      <c r="AA104" s="7">
        <v>2.9</v>
      </c>
      <c r="AB104" s="470"/>
      <c r="AC104" s="470"/>
      <c r="AD104" s="232">
        <v>0</v>
      </c>
      <c r="AE104" s="470">
        <v>62.567999999999998</v>
      </c>
      <c r="AF104" s="470">
        <v>21.575172413793101</v>
      </c>
      <c r="AG104" s="232">
        <v>5.6497175141242938E-3</v>
      </c>
      <c r="AH104" s="470"/>
      <c r="AI104" s="470"/>
      <c r="AJ104" s="232">
        <v>0</v>
      </c>
      <c r="AK104" s="470"/>
      <c r="AL104" s="470"/>
      <c r="AM104" s="232">
        <v>0</v>
      </c>
      <c r="AN104" s="470"/>
      <c r="AO104" s="470"/>
      <c r="AP104" s="232">
        <v>0</v>
      </c>
      <c r="AQ104" s="470"/>
      <c r="AR104" s="470"/>
      <c r="AS104" s="232">
        <v>0</v>
      </c>
      <c r="AT104" s="470">
        <v>58.414000000000001</v>
      </c>
      <c r="AU104" s="470">
        <v>20.142758620689701</v>
      </c>
      <c r="AV104" s="232">
        <v>5.6497175141242938E-3</v>
      </c>
    </row>
    <row r="105" spans="22:48" x14ac:dyDescent="0.35">
      <c r="V105" s="7">
        <v>3.32</v>
      </c>
      <c r="W105" s="470">
        <v>88.801999999999992</v>
      </c>
      <c r="X105" s="470">
        <v>26.747590361445802</v>
      </c>
      <c r="Y105" s="232">
        <v>1.1299435028248588E-2</v>
      </c>
      <c r="AA105" s="7">
        <v>2.78</v>
      </c>
      <c r="AB105" s="470"/>
      <c r="AC105" s="470"/>
      <c r="AD105" s="232">
        <v>0</v>
      </c>
      <c r="AE105" s="470">
        <v>34.802999999999997</v>
      </c>
      <c r="AF105" s="470">
        <v>12.5190647482014</v>
      </c>
      <c r="AG105" s="232">
        <v>5.6497175141242938E-3</v>
      </c>
      <c r="AH105" s="470"/>
      <c r="AI105" s="470"/>
      <c r="AJ105" s="232">
        <v>0</v>
      </c>
      <c r="AK105" s="470"/>
      <c r="AL105" s="470"/>
      <c r="AM105" s="232">
        <v>0</v>
      </c>
      <c r="AN105" s="470"/>
      <c r="AO105" s="470"/>
      <c r="AP105" s="232">
        <v>0</v>
      </c>
      <c r="AQ105" s="470"/>
      <c r="AR105" s="470"/>
      <c r="AS105" s="232">
        <v>0</v>
      </c>
      <c r="AT105" s="470"/>
      <c r="AU105" s="470"/>
      <c r="AV105" s="232">
        <v>0</v>
      </c>
    </row>
    <row r="106" spans="22:48" x14ac:dyDescent="0.35">
      <c r="V106" s="7">
        <v>3.25</v>
      </c>
      <c r="W106" s="470">
        <v>88.012500000000003</v>
      </c>
      <c r="X106" s="470">
        <v>27.080769230769199</v>
      </c>
      <c r="Y106" s="232">
        <v>1.1299435028248588E-2</v>
      </c>
      <c r="AA106" s="7">
        <v>8.1300000000000008</v>
      </c>
      <c r="AB106" s="470">
        <v>243.77500000000001</v>
      </c>
      <c r="AC106" s="470">
        <v>29.984624846248501</v>
      </c>
      <c r="AD106" s="232">
        <v>5.6497175141242938E-3</v>
      </c>
      <c r="AE106" s="470"/>
      <c r="AF106" s="470"/>
      <c r="AG106" s="232">
        <v>0</v>
      </c>
      <c r="AH106" s="470"/>
      <c r="AI106" s="470"/>
      <c r="AJ106" s="232">
        <v>0</v>
      </c>
      <c r="AK106" s="470"/>
      <c r="AL106" s="470"/>
      <c r="AM106" s="232">
        <v>0</v>
      </c>
      <c r="AN106" s="470"/>
      <c r="AO106" s="470"/>
      <c r="AP106" s="232">
        <v>0</v>
      </c>
      <c r="AQ106" s="470"/>
      <c r="AR106" s="470"/>
      <c r="AS106" s="232">
        <v>0</v>
      </c>
      <c r="AT106" s="470"/>
      <c r="AU106" s="470"/>
      <c r="AV106" s="232">
        <v>0</v>
      </c>
    </row>
    <row r="107" spans="22:48" x14ac:dyDescent="0.35">
      <c r="V107" s="7">
        <v>3.38</v>
      </c>
      <c r="W107" s="470">
        <v>96.822999999999993</v>
      </c>
      <c r="X107" s="470">
        <v>28.645857988165702</v>
      </c>
      <c r="Y107" s="232">
        <v>5.6497175141242938E-3</v>
      </c>
      <c r="AA107" s="7">
        <v>5.03</v>
      </c>
      <c r="AB107" s="470"/>
      <c r="AC107" s="470"/>
      <c r="AD107" s="232">
        <v>0</v>
      </c>
      <c r="AE107" s="470"/>
      <c r="AF107" s="470"/>
      <c r="AG107" s="232">
        <v>0</v>
      </c>
      <c r="AH107" s="470">
        <v>178.83160000000001</v>
      </c>
      <c r="AI107" s="470">
        <v>35.5530019880716</v>
      </c>
      <c r="AJ107" s="232">
        <v>5.6497175141242938E-3</v>
      </c>
      <c r="AK107" s="470"/>
      <c r="AL107" s="470"/>
      <c r="AM107" s="232">
        <v>0</v>
      </c>
      <c r="AN107" s="470">
        <v>79.799000000000007</v>
      </c>
      <c r="AO107" s="470">
        <v>15.8646123260437</v>
      </c>
      <c r="AP107" s="232">
        <v>5.6497175141242938E-3</v>
      </c>
      <c r="AQ107" s="470">
        <v>64.069000000000003</v>
      </c>
      <c r="AR107" s="470">
        <v>12.7373757455268</v>
      </c>
      <c r="AS107" s="232">
        <v>5.6497175141242938E-3</v>
      </c>
      <c r="AT107" s="470"/>
      <c r="AU107" s="470"/>
      <c r="AV107" s="232">
        <v>0</v>
      </c>
    </row>
    <row r="108" spans="22:48" x14ac:dyDescent="0.35">
      <c r="V108" s="7">
        <v>7.55</v>
      </c>
      <c r="W108" s="470">
        <v>179.00399999999999</v>
      </c>
      <c r="X108" s="470">
        <v>23.709139072847702</v>
      </c>
      <c r="Y108" s="232">
        <v>5.6497175141242938E-3</v>
      </c>
      <c r="AA108" s="7">
        <v>2.52</v>
      </c>
      <c r="AB108" s="470"/>
      <c r="AC108" s="470"/>
      <c r="AD108" s="232">
        <v>0</v>
      </c>
      <c r="AE108" s="470"/>
      <c r="AF108" s="470"/>
      <c r="AG108" s="232">
        <v>0</v>
      </c>
      <c r="AH108" s="470"/>
      <c r="AI108" s="470"/>
      <c r="AJ108" s="232">
        <v>0</v>
      </c>
      <c r="AK108" s="470">
        <v>38.7605</v>
      </c>
      <c r="AL108" s="470">
        <v>15.3811507936508</v>
      </c>
      <c r="AM108" s="232">
        <v>1.1299435028248588E-2</v>
      </c>
      <c r="AN108" s="470"/>
      <c r="AO108" s="470"/>
      <c r="AP108" s="232">
        <v>0</v>
      </c>
      <c r="AQ108" s="470"/>
      <c r="AR108" s="470"/>
      <c r="AS108" s="232">
        <v>0</v>
      </c>
      <c r="AT108" s="470"/>
      <c r="AU108" s="470"/>
      <c r="AV108" s="232">
        <v>0</v>
      </c>
    </row>
    <row r="109" spans="22:48" x14ac:dyDescent="0.35">
      <c r="V109" s="7">
        <v>3.45</v>
      </c>
      <c r="W109" s="470">
        <v>47.48</v>
      </c>
      <c r="X109" s="470">
        <v>13.762318840579701</v>
      </c>
      <c r="Y109" s="232">
        <v>5.6497175141242938E-3</v>
      </c>
      <c r="AA109" s="7">
        <v>1.03</v>
      </c>
      <c r="AB109" s="470">
        <v>7.1929999999999996</v>
      </c>
      <c r="AC109" s="470">
        <v>6.9834951456310703</v>
      </c>
      <c r="AD109" s="232">
        <v>5.6497175141242938E-3</v>
      </c>
      <c r="AE109" s="470"/>
      <c r="AF109" s="470"/>
      <c r="AG109" s="232">
        <v>0</v>
      </c>
      <c r="AH109" s="470"/>
      <c r="AI109" s="470"/>
      <c r="AJ109" s="232">
        <v>0</v>
      </c>
      <c r="AK109" s="470"/>
      <c r="AL109" s="470"/>
      <c r="AM109" s="232">
        <v>0</v>
      </c>
      <c r="AN109" s="470"/>
      <c r="AO109" s="470"/>
      <c r="AP109" s="232">
        <v>0</v>
      </c>
      <c r="AQ109" s="470"/>
      <c r="AR109" s="470"/>
      <c r="AS109" s="232">
        <v>0</v>
      </c>
      <c r="AT109" s="470"/>
      <c r="AU109" s="470"/>
      <c r="AV109" s="232">
        <v>0</v>
      </c>
    </row>
    <row r="110" spans="22:48" x14ac:dyDescent="0.35">
      <c r="V110" s="7">
        <v>3.08</v>
      </c>
      <c r="W110" s="470">
        <v>58.554000000000002</v>
      </c>
      <c r="X110" s="470">
        <v>19.011038961038999</v>
      </c>
      <c r="Y110" s="232">
        <v>5.6497175141242938E-3</v>
      </c>
      <c r="AA110" s="7">
        <v>5.3</v>
      </c>
      <c r="AB110" s="470"/>
      <c r="AC110" s="470"/>
      <c r="AD110" s="232">
        <v>0</v>
      </c>
      <c r="AE110" s="470">
        <v>95.7684</v>
      </c>
      <c r="AF110" s="470">
        <v>18.069509433962299</v>
      </c>
      <c r="AG110" s="232">
        <v>5.6497175141242938E-3</v>
      </c>
      <c r="AH110" s="470"/>
      <c r="AI110" s="470"/>
      <c r="AJ110" s="232">
        <v>0</v>
      </c>
      <c r="AK110" s="470"/>
      <c r="AL110" s="470"/>
      <c r="AM110" s="232">
        <v>0</v>
      </c>
      <c r="AN110" s="470"/>
      <c r="AO110" s="470"/>
      <c r="AP110" s="232">
        <v>0</v>
      </c>
      <c r="AQ110" s="470">
        <v>68.793000000000006</v>
      </c>
      <c r="AR110" s="470">
        <v>12.979811320754701</v>
      </c>
      <c r="AS110" s="232">
        <v>5.6497175141242938E-3</v>
      </c>
      <c r="AT110" s="470">
        <v>119.416</v>
      </c>
      <c r="AU110" s="470">
        <v>22.531320754717001</v>
      </c>
      <c r="AV110" s="232">
        <v>5.6497175141242938E-3</v>
      </c>
    </row>
    <row r="111" spans="22:48" x14ac:dyDescent="0.35">
      <c r="V111" s="7">
        <v>2.37</v>
      </c>
      <c r="W111" s="470">
        <v>42.944000000000003</v>
      </c>
      <c r="X111" s="470">
        <v>18.119831223628701</v>
      </c>
      <c r="Y111" s="232">
        <v>5.6497175141242938E-3</v>
      </c>
      <c r="AA111" s="7">
        <v>3.73</v>
      </c>
      <c r="AB111" s="470"/>
      <c r="AC111" s="470"/>
      <c r="AD111" s="232">
        <v>0</v>
      </c>
      <c r="AE111" s="470">
        <v>70.581999999999994</v>
      </c>
      <c r="AF111" s="470">
        <v>18.922788203753399</v>
      </c>
      <c r="AG111" s="232">
        <v>5.6497175141242938E-3</v>
      </c>
      <c r="AH111" s="470"/>
      <c r="AI111" s="470"/>
      <c r="AJ111" s="232">
        <v>0</v>
      </c>
      <c r="AK111" s="470"/>
      <c r="AL111" s="470"/>
      <c r="AM111" s="232">
        <v>0</v>
      </c>
      <c r="AN111" s="470"/>
      <c r="AO111" s="470"/>
      <c r="AP111" s="232">
        <v>0</v>
      </c>
      <c r="AQ111" s="470"/>
      <c r="AR111" s="470"/>
      <c r="AS111" s="232">
        <v>0</v>
      </c>
      <c r="AT111" s="470"/>
      <c r="AU111" s="470"/>
      <c r="AV111" s="232">
        <v>0</v>
      </c>
    </row>
    <row r="112" spans="22:48" x14ac:dyDescent="0.35">
      <c r="V112" s="7">
        <v>2.3199999999999998</v>
      </c>
      <c r="W112" s="470">
        <v>31.792000000000002</v>
      </c>
      <c r="X112" s="470">
        <v>13.703448275862099</v>
      </c>
      <c r="Y112" s="232">
        <v>5.6497175141242938E-3</v>
      </c>
      <c r="AA112" s="7">
        <v>5.6</v>
      </c>
      <c r="AB112" s="470"/>
      <c r="AC112" s="470"/>
      <c r="AD112" s="232">
        <v>0</v>
      </c>
      <c r="AE112" s="470"/>
      <c r="AF112" s="470"/>
      <c r="AG112" s="232">
        <v>0</v>
      </c>
      <c r="AH112" s="470"/>
      <c r="AI112" s="470"/>
      <c r="AJ112" s="232">
        <v>0</v>
      </c>
      <c r="AK112" s="470"/>
      <c r="AL112" s="470"/>
      <c r="AM112" s="232">
        <v>0</v>
      </c>
      <c r="AN112" s="470"/>
      <c r="AO112" s="470"/>
      <c r="AP112" s="232">
        <v>0</v>
      </c>
      <c r="AQ112" s="470"/>
      <c r="AR112" s="470"/>
      <c r="AS112" s="232">
        <v>0</v>
      </c>
      <c r="AT112" s="470">
        <v>108.02665</v>
      </c>
      <c r="AU112" s="470">
        <v>19.290473214285697</v>
      </c>
      <c r="AV112" s="232">
        <v>1.1299435028248588E-2</v>
      </c>
    </row>
    <row r="113" spans="22:48" x14ac:dyDescent="0.35">
      <c r="V113" s="7">
        <v>3.23</v>
      </c>
      <c r="W113" s="470">
        <v>42.997</v>
      </c>
      <c r="X113" s="470">
        <v>13.3117647058824</v>
      </c>
      <c r="Y113" s="232">
        <v>5.6497175141242938E-3</v>
      </c>
      <c r="AA113" s="7">
        <v>8.6199999999999992</v>
      </c>
      <c r="AB113" s="470"/>
      <c r="AC113" s="470"/>
      <c r="AD113" s="232">
        <v>0</v>
      </c>
      <c r="AE113" s="470"/>
      <c r="AF113" s="470"/>
      <c r="AG113" s="232">
        <v>0</v>
      </c>
      <c r="AH113" s="470"/>
      <c r="AI113" s="470"/>
      <c r="AJ113" s="232">
        <v>0</v>
      </c>
      <c r="AK113" s="470"/>
      <c r="AL113" s="470"/>
      <c r="AM113" s="232">
        <v>0</v>
      </c>
      <c r="AN113" s="470"/>
      <c r="AO113" s="470"/>
      <c r="AP113" s="232">
        <v>0</v>
      </c>
      <c r="AQ113" s="470">
        <v>173.40299999999999</v>
      </c>
      <c r="AR113" s="470">
        <v>20.1163573085847</v>
      </c>
      <c r="AS113" s="232">
        <v>5.6497175141242938E-3</v>
      </c>
      <c r="AT113" s="470"/>
      <c r="AU113" s="470"/>
      <c r="AV113" s="232">
        <v>0</v>
      </c>
    </row>
    <row r="114" spans="22:48" x14ac:dyDescent="0.35">
      <c r="V114" s="7">
        <v>3.57</v>
      </c>
      <c r="W114" s="470">
        <v>45.981999999999999</v>
      </c>
      <c r="X114" s="470">
        <v>12.880112044817924</v>
      </c>
      <c r="Y114" s="232">
        <v>1.1299435028248588E-2</v>
      </c>
      <c r="AA114" s="7">
        <v>5.2</v>
      </c>
      <c r="AB114" s="470"/>
      <c r="AC114" s="470"/>
      <c r="AD114" s="232">
        <v>0</v>
      </c>
      <c r="AE114" s="470"/>
      <c r="AF114" s="470"/>
      <c r="AG114" s="232">
        <v>0</v>
      </c>
      <c r="AH114" s="470">
        <v>84.051000000000002</v>
      </c>
      <c r="AI114" s="470">
        <v>16.1636538461538</v>
      </c>
      <c r="AJ114" s="232">
        <v>5.6497175141242938E-3</v>
      </c>
      <c r="AK114" s="470"/>
      <c r="AL114" s="470"/>
      <c r="AM114" s="232">
        <v>0</v>
      </c>
      <c r="AN114" s="470"/>
      <c r="AO114" s="470"/>
      <c r="AP114" s="232">
        <v>0</v>
      </c>
      <c r="AQ114" s="470"/>
      <c r="AR114" s="470"/>
      <c r="AS114" s="232">
        <v>0</v>
      </c>
      <c r="AT114" s="470"/>
      <c r="AU114" s="470"/>
      <c r="AV114" s="232">
        <v>0</v>
      </c>
    </row>
    <row r="115" spans="22:48" x14ac:dyDescent="0.35">
      <c r="V115" s="7">
        <v>3.1</v>
      </c>
      <c r="W115" s="470">
        <v>67.447000000000003</v>
      </c>
      <c r="X115" s="470">
        <v>21.757096774193599</v>
      </c>
      <c r="Y115" s="232">
        <v>5.6497175141242938E-3</v>
      </c>
      <c r="AA115" s="7">
        <v>1.1499999999999999</v>
      </c>
      <c r="AB115" s="470"/>
      <c r="AC115" s="470"/>
      <c r="AD115" s="232">
        <v>0</v>
      </c>
      <c r="AE115" s="470"/>
      <c r="AF115" s="470"/>
      <c r="AG115" s="232">
        <v>0</v>
      </c>
      <c r="AH115" s="470"/>
      <c r="AI115" s="470"/>
      <c r="AJ115" s="232">
        <v>0</v>
      </c>
      <c r="AK115" s="470"/>
      <c r="AL115" s="470"/>
      <c r="AM115" s="232">
        <v>0</v>
      </c>
      <c r="AN115" s="470">
        <v>14.356999999999999</v>
      </c>
      <c r="AO115" s="470">
        <v>12.484347826086999</v>
      </c>
      <c r="AP115" s="232">
        <v>5.6497175141242938E-3</v>
      </c>
      <c r="AQ115" s="470"/>
      <c r="AR115" s="470"/>
      <c r="AS115" s="232">
        <v>0</v>
      </c>
      <c r="AT115" s="470"/>
      <c r="AU115" s="470"/>
      <c r="AV115" s="232">
        <v>0</v>
      </c>
    </row>
    <row r="116" spans="22:48" x14ac:dyDescent="0.35">
      <c r="V116" s="7">
        <v>2.1</v>
      </c>
      <c r="W116" s="470">
        <v>45.862000000000002</v>
      </c>
      <c r="X116" s="470">
        <v>21.839047619047602</v>
      </c>
      <c r="Y116" s="232">
        <v>5.6497175141242938E-3</v>
      </c>
      <c r="AA116" s="7">
        <v>2.7</v>
      </c>
      <c r="AB116" s="470"/>
      <c r="AC116" s="470"/>
      <c r="AD116" s="232">
        <v>0</v>
      </c>
      <c r="AE116" s="470"/>
      <c r="AF116" s="470"/>
      <c r="AG116" s="232">
        <v>0</v>
      </c>
      <c r="AH116" s="470"/>
      <c r="AI116" s="470"/>
      <c r="AJ116" s="232">
        <v>0</v>
      </c>
      <c r="AK116" s="470">
        <v>35.912999999999997</v>
      </c>
      <c r="AL116" s="470">
        <v>13.3011111111111</v>
      </c>
      <c r="AM116" s="232">
        <v>5.6497175141242938E-3</v>
      </c>
      <c r="AN116" s="470"/>
      <c r="AO116" s="470"/>
      <c r="AP116" s="232">
        <v>0</v>
      </c>
      <c r="AQ116" s="470"/>
      <c r="AR116" s="470"/>
      <c r="AS116" s="232">
        <v>0</v>
      </c>
      <c r="AT116" s="470"/>
      <c r="AU116" s="470"/>
      <c r="AV116" s="232">
        <v>0</v>
      </c>
    </row>
    <row r="117" spans="22:48" x14ac:dyDescent="0.35">
      <c r="V117" s="7">
        <v>0.75</v>
      </c>
      <c r="W117" s="470">
        <v>17.363</v>
      </c>
      <c r="X117" s="470">
        <v>23.150666666666702</v>
      </c>
      <c r="Y117" s="232">
        <v>5.6497175141242938E-3</v>
      </c>
      <c r="AA117" s="7">
        <v>2.82</v>
      </c>
      <c r="AB117" s="470"/>
      <c r="AC117" s="470"/>
      <c r="AD117" s="232">
        <v>0</v>
      </c>
      <c r="AE117" s="470">
        <v>42.335999999999999</v>
      </c>
      <c r="AF117" s="470">
        <v>15.012765957446801</v>
      </c>
      <c r="AG117" s="232">
        <v>5.6497175141242938E-3</v>
      </c>
      <c r="AH117" s="470"/>
      <c r="AI117" s="470"/>
      <c r="AJ117" s="232">
        <v>0</v>
      </c>
      <c r="AK117" s="470"/>
      <c r="AL117" s="470"/>
      <c r="AM117" s="232">
        <v>0</v>
      </c>
      <c r="AN117" s="470"/>
      <c r="AO117" s="470"/>
      <c r="AP117" s="232">
        <v>0</v>
      </c>
      <c r="AQ117" s="470"/>
      <c r="AR117" s="470"/>
      <c r="AS117" s="232">
        <v>0</v>
      </c>
      <c r="AT117" s="470"/>
      <c r="AU117" s="470"/>
      <c r="AV117" s="232">
        <v>0</v>
      </c>
    </row>
    <row r="118" spans="22:48" x14ac:dyDescent="0.35">
      <c r="V118" s="7">
        <v>2.95</v>
      </c>
      <c r="W118" s="470">
        <v>48.896000000000001</v>
      </c>
      <c r="X118" s="470">
        <v>16.5749152542373</v>
      </c>
      <c r="Y118" s="232">
        <v>5.6497175141242938E-3</v>
      </c>
      <c r="AA118" s="7">
        <v>2</v>
      </c>
      <c r="AB118" s="470"/>
      <c r="AC118" s="470"/>
      <c r="AD118" s="232">
        <v>0</v>
      </c>
      <c r="AE118" s="470"/>
      <c r="AF118" s="470"/>
      <c r="AG118" s="232">
        <v>0</v>
      </c>
      <c r="AH118" s="470"/>
      <c r="AI118" s="470"/>
      <c r="AJ118" s="232">
        <v>0</v>
      </c>
      <c r="AK118" s="470"/>
      <c r="AL118" s="470"/>
      <c r="AM118" s="232">
        <v>0</v>
      </c>
      <c r="AN118" s="470"/>
      <c r="AO118" s="470"/>
      <c r="AP118" s="232">
        <v>0</v>
      </c>
      <c r="AQ118" s="470"/>
      <c r="AR118" s="470"/>
      <c r="AS118" s="232">
        <v>0</v>
      </c>
      <c r="AT118" s="470">
        <v>37.707999999999998</v>
      </c>
      <c r="AU118" s="470">
        <v>18.853999999999999</v>
      </c>
      <c r="AV118" s="232">
        <v>5.6497175141242938E-3</v>
      </c>
    </row>
    <row r="119" spans="22:48" x14ac:dyDescent="0.35">
      <c r="V119" s="7">
        <v>2.63</v>
      </c>
      <c r="W119" s="470">
        <v>31.289000000000001</v>
      </c>
      <c r="X119" s="470">
        <v>11.896958174904899</v>
      </c>
      <c r="Y119" s="232">
        <v>5.6497175141242938E-3</v>
      </c>
      <c r="AA119" s="7">
        <v>2.5</v>
      </c>
      <c r="AB119" s="470">
        <v>29.626999999999999</v>
      </c>
      <c r="AC119" s="470">
        <v>11.8508</v>
      </c>
      <c r="AD119" s="232">
        <v>5.6497175141242938E-3</v>
      </c>
      <c r="AE119" s="470"/>
      <c r="AF119" s="470"/>
      <c r="AG119" s="232">
        <v>0</v>
      </c>
      <c r="AH119" s="470"/>
      <c r="AI119" s="470"/>
      <c r="AJ119" s="232">
        <v>0</v>
      </c>
      <c r="AK119" s="470"/>
      <c r="AL119" s="470"/>
      <c r="AM119" s="232">
        <v>0</v>
      </c>
      <c r="AN119" s="470">
        <v>44.784599999999998</v>
      </c>
      <c r="AO119" s="470">
        <v>17.91384</v>
      </c>
      <c r="AP119" s="232">
        <v>5.6497175141242938E-3</v>
      </c>
      <c r="AQ119" s="470"/>
      <c r="AR119" s="470"/>
      <c r="AS119" s="232">
        <v>0</v>
      </c>
      <c r="AT119" s="470"/>
      <c r="AU119" s="470"/>
      <c r="AV119" s="232">
        <v>0</v>
      </c>
    </row>
    <row r="120" spans="22:48" x14ac:dyDescent="0.35">
      <c r="V120" s="7">
        <v>3.72</v>
      </c>
      <c r="W120" s="470">
        <v>79.075999999999993</v>
      </c>
      <c r="X120" s="470">
        <v>21.2569892473118</v>
      </c>
      <c r="Y120" s="232">
        <v>5.6497175141242938E-3</v>
      </c>
      <c r="AA120" s="7">
        <v>1.7</v>
      </c>
      <c r="AB120" s="470"/>
      <c r="AC120" s="470"/>
      <c r="AD120" s="232">
        <v>0</v>
      </c>
      <c r="AE120" s="470"/>
      <c r="AF120" s="470"/>
      <c r="AG120" s="232">
        <v>0</v>
      </c>
      <c r="AH120" s="470">
        <v>16.419</v>
      </c>
      <c r="AI120" s="470">
        <v>9.6582352941176399</v>
      </c>
      <c r="AJ120" s="232">
        <v>5.6497175141242938E-3</v>
      </c>
      <c r="AK120" s="470"/>
      <c r="AL120" s="470"/>
      <c r="AM120" s="232">
        <v>0</v>
      </c>
      <c r="AN120" s="470"/>
      <c r="AO120" s="470"/>
      <c r="AP120" s="232">
        <v>0</v>
      </c>
      <c r="AQ120" s="470"/>
      <c r="AR120" s="470"/>
      <c r="AS120" s="232">
        <v>0</v>
      </c>
      <c r="AT120" s="470"/>
      <c r="AU120" s="470"/>
      <c r="AV120" s="232">
        <v>0</v>
      </c>
    </row>
    <row r="121" spans="22:48" x14ac:dyDescent="0.35">
      <c r="V121" s="7">
        <v>3.55</v>
      </c>
      <c r="W121" s="470">
        <v>62.737000000000002</v>
      </c>
      <c r="X121" s="470">
        <v>17.672394366197199</v>
      </c>
      <c r="Y121" s="232">
        <v>5.6497175141242938E-3</v>
      </c>
      <c r="AA121" s="7">
        <v>3.53</v>
      </c>
      <c r="AB121" s="470">
        <v>74.620999999999995</v>
      </c>
      <c r="AC121" s="470">
        <v>21.139093484419298</v>
      </c>
      <c r="AD121" s="232">
        <v>5.6497175141242938E-3</v>
      </c>
      <c r="AE121" s="470"/>
      <c r="AF121" s="470"/>
      <c r="AG121" s="232">
        <v>0</v>
      </c>
      <c r="AH121" s="470"/>
      <c r="AI121" s="470"/>
      <c r="AJ121" s="232">
        <v>0</v>
      </c>
      <c r="AK121" s="470"/>
      <c r="AL121" s="470"/>
      <c r="AM121" s="232">
        <v>0</v>
      </c>
      <c r="AN121" s="470"/>
      <c r="AO121" s="470"/>
      <c r="AP121" s="232">
        <v>0</v>
      </c>
      <c r="AQ121" s="470"/>
      <c r="AR121" s="470"/>
      <c r="AS121" s="232">
        <v>0</v>
      </c>
      <c r="AT121" s="470"/>
      <c r="AU121" s="470"/>
      <c r="AV121" s="232">
        <v>0</v>
      </c>
    </row>
    <row r="122" spans="22:48" x14ac:dyDescent="0.35">
      <c r="V122" s="7">
        <v>4.3499999999999996</v>
      </c>
      <c r="W122" s="470">
        <v>54.341999999999999</v>
      </c>
      <c r="X122" s="470">
        <v>12.492413793103401</v>
      </c>
      <c r="Y122" s="232">
        <v>5.6497175141242938E-3</v>
      </c>
      <c r="AA122" s="7">
        <v>2.0699999999999998</v>
      </c>
      <c r="AB122" s="470"/>
      <c r="AC122" s="470"/>
      <c r="AD122" s="232">
        <v>0</v>
      </c>
      <c r="AE122" s="470"/>
      <c r="AF122" s="470"/>
      <c r="AG122" s="232">
        <v>0</v>
      </c>
      <c r="AH122" s="470"/>
      <c r="AI122" s="470"/>
      <c r="AJ122" s="232">
        <v>0</v>
      </c>
      <c r="AK122" s="470"/>
      <c r="AL122" s="470"/>
      <c r="AM122" s="232">
        <v>0</v>
      </c>
      <c r="AN122" s="470">
        <v>8.391</v>
      </c>
      <c r="AO122" s="470">
        <v>4.0536231884058003</v>
      </c>
      <c r="AP122" s="232">
        <v>5.6497175141242938E-3</v>
      </c>
      <c r="AQ122" s="470"/>
      <c r="AR122" s="470"/>
      <c r="AS122" s="232">
        <v>0</v>
      </c>
      <c r="AT122" s="470"/>
      <c r="AU122" s="470"/>
      <c r="AV122" s="232">
        <v>0</v>
      </c>
    </row>
    <row r="123" spans="22:48" x14ac:dyDescent="0.35">
      <c r="V123" s="7">
        <v>3.85</v>
      </c>
      <c r="W123" s="470">
        <v>39.457999999999998</v>
      </c>
      <c r="X123" s="470">
        <v>10.248831168831201</v>
      </c>
      <c r="Y123" s="232">
        <v>5.6497175141242938E-3</v>
      </c>
      <c r="AA123" s="7">
        <v>1.38</v>
      </c>
      <c r="AB123" s="470"/>
      <c r="AC123" s="470"/>
      <c r="AD123" s="232">
        <v>0</v>
      </c>
      <c r="AE123" s="470"/>
      <c r="AF123" s="470"/>
      <c r="AG123" s="232">
        <v>0</v>
      </c>
      <c r="AH123" s="470"/>
      <c r="AI123" s="470"/>
      <c r="AJ123" s="232">
        <v>0</v>
      </c>
      <c r="AK123" s="470">
        <v>10.86</v>
      </c>
      <c r="AL123" s="470">
        <v>7.8695652173913002</v>
      </c>
      <c r="AM123" s="232">
        <v>5.6497175141242938E-3</v>
      </c>
      <c r="AN123" s="470"/>
      <c r="AO123" s="470"/>
      <c r="AP123" s="232">
        <v>0</v>
      </c>
      <c r="AQ123" s="470"/>
      <c r="AR123" s="470"/>
      <c r="AS123" s="232">
        <v>0</v>
      </c>
      <c r="AT123" s="470"/>
      <c r="AU123" s="470"/>
      <c r="AV123" s="232">
        <v>0</v>
      </c>
    </row>
    <row r="124" spans="22:48" x14ac:dyDescent="0.35">
      <c r="V124" s="7">
        <v>4.13</v>
      </c>
      <c r="W124" s="470">
        <v>94.837999999999994</v>
      </c>
      <c r="X124" s="470">
        <v>22.963196125907999</v>
      </c>
      <c r="Y124" s="232">
        <v>5.6497175141242938E-3</v>
      </c>
      <c r="AA124" s="7">
        <v>2.85</v>
      </c>
      <c r="AB124" s="470">
        <v>60.584000000000003</v>
      </c>
      <c r="AC124" s="470">
        <v>21.2575438596491</v>
      </c>
      <c r="AD124" s="232">
        <v>5.6497175141242938E-3</v>
      </c>
      <c r="AE124" s="470"/>
      <c r="AF124" s="470"/>
      <c r="AG124" s="232">
        <v>0</v>
      </c>
      <c r="AH124" s="470"/>
      <c r="AI124" s="470"/>
      <c r="AJ124" s="232">
        <v>0</v>
      </c>
      <c r="AK124" s="470"/>
      <c r="AL124" s="470"/>
      <c r="AM124" s="232">
        <v>0</v>
      </c>
      <c r="AN124" s="470"/>
      <c r="AO124" s="470"/>
      <c r="AP124" s="232">
        <v>0</v>
      </c>
      <c r="AQ124" s="470"/>
      <c r="AR124" s="470"/>
      <c r="AS124" s="232">
        <v>0</v>
      </c>
      <c r="AT124" s="470"/>
      <c r="AU124" s="470"/>
      <c r="AV124" s="232">
        <v>0</v>
      </c>
    </row>
    <row r="125" spans="22:48" x14ac:dyDescent="0.35">
      <c r="V125" s="7">
        <v>4.5</v>
      </c>
      <c r="W125" s="470">
        <v>119.3612</v>
      </c>
      <c r="X125" s="470">
        <v>26.524711111111099</v>
      </c>
      <c r="Y125" s="232">
        <v>5.6497175141242938E-3</v>
      </c>
      <c r="AA125" s="7">
        <v>1.73</v>
      </c>
      <c r="AB125" s="470"/>
      <c r="AC125" s="470"/>
      <c r="AD125" s="232">
        <v>0</v>
      </c>
      <c r="AE125" s="470"/>
      <c r="AF125" s="470"/>
      <c r="AG125" s="232">
        <v>0</v>
      </c>
      <c r="AH125" s="470"/>
      <c r="AI125" s="470"/>
      <c r="AJ125" s="232">
        <v>0</v>
      </c>
      <c r="AK125" s="470"/>
      <c r="AL125" s="470"/>
      <c r="AM125" s="232">
        <v>0</v>
      </c>
      <c r="AN125" s="470"/>
      <c r="AO125" s="470"/>
      <c r="AP125" s="232">
        <v>0</v>
      </c>
      <c r="AQ125" s="470">
        <v>24.498999999999999</v>
      </c>
      <c r="AR125" s="470">
        <v>14.161271676300601</v>
      </c>
      <c r="AS125" s="232">
        <v>5.6497175141242938E-3</v>
      </c>
      <c r="AT125" s="470"/>
      <c r="AU125" s="470"/>
      <c r="AV125" s="232">
        <v>0</v>
      </c>
    </row>
    <row r="126" spans="22:48" x14ac:dyDescent="0.35">
      <c r="V126" s="7">
        <v>1.8</v>
      </c>
      <c r="W126" s="470">
        <v>28.082799999999999</v>
      </c>
      <c r="X126" s="470">
        <v>15.601555555555599</v>
      </c>
      <c r="Y126" s="232">
        <v>5.6497175141242938E-3</v>
      </c>
      <c r="AA126" s="7">
        <v>2.75</v>
      </c>
      <c r="AB126" s="470"/>
      <c r="AC126" s="470"/>
      <c r="AD126" s="232">
        <v>0</v>
      </c>
      <c r="AE126" s="470"/>
      <c r="AF126" s="470"/>
      <c r="AG126" s="232">
        <v>0</v>
      </c>
      <c r="AH126" s="470">
        <v>57.796999999999997</v>
      </c>
      <c r="AI126" s="470">
        <v>21.0170909090909</v>
      </c>
      <c r="AJ126" s="232">
        <v>5.6497175141242938E-3</v>
      </c>
      <c r="AK126" s="470"/>
      <c r="AL126" s="470"/>
      <c r="AM126" s="232">
        <v>0</v>
      </c>
      <c r="AN126" s="470">
        <v>52.996000000000002</v>
      </c>
      <c r="AO126" s="470">
        <v>19.271272727272699</v>
      </c>
      <c r="AP126" s="232">
        <v>5.6497175141242938E-3</v>
      </c>
      <c r="AQ126" s="470"/>
      <c r="AR126" s="470"/>
      <c r="AS126" s="232">
        <v>0</v>
      </c>
      <c r="AT126" s="470"/>
      <c r="AU126" s="470"/>
      <c r="AV126" s="232">
        <v>0</v>
      </c>
    </row>
    <row r="127" spans="22:48" x14ac:dyDescent="0.35">
      <c r="V127" s="7">
        <v>6.23</v>
      </c>
      <c r="W127" s="470">
        <v>57.194500000000005</v>
      </c>
      <c r="X127" s="470">
        <v>9.1804975922953354</v>
      </c>
      <c r="Y127" s="232">
        <v>1.1299435028248588E-2</v>
      </c>
      <c r="AA127" s="7">
        <v>3.27</v>
      </c>
      <c r="AB127" s="470"/>
      <c r="AC127" s="470"/>
      <c r="AD127" s="232">
        <v>0</v>
      </c>
      <c r="AE127" s="470"/>
      <c r="AF127" s="470"/>
      <c r="AG127" s="232">
        <v>0</v>
      </c>
      <c r="AH127" s="470"/>
      <c r="AI127" s="470"/>
      <c r="AJ127" s="232">
        <v>0</v>
      </c>
      <c r="AK127" s="470"/>
      <c r="AL127" s="470"/>
      <c r="AM127" s="232">
        <v>0</v>
      </c>
      <c r="AN127" s="470">
        <v>54.988999999999997</v>
      </c>
      <c r="AO127" s="470">
        <v>16.8162079510703</v>
      </c>
      <c r="AP127" s="232">
        <v>5.6497175141242938E-3</v>
      </c>
      <c r="AQ127" s="470"/>
      <c r="AR127" s="470"/>
      <c r="AS127" s="232">
        <v>0</v>
      </c>
      <c r="AT127" s="470"/>
      <c r="AU127" s="470"/>
      <c r="AV127" s="232">
        <v>0</v>
      </c>
    </row>
    <row r="128" spans="22:48" x14ac:dyDescent="0.35">
      <c r="V128" s="7">
        <v>2.4300000000000002</v>
      </c>
      <c r="W128" s="470">
        <v>45.628399999999999</v>
      </c>
      <c r="X128" s="470">
        <v>18.7771193415638</v>
      </c>
      <c r="Y128" s="232">
        <v>5.6497175141242938E-3</v>
      </c>
      <c r="AA128" s="7">
        <v>4.18</v>
      </c>
      <c r="AB128" s="470"/>
      <c r="AC128" s="470"/>
      <c r="AD128" s="232">
        <v>0</v>
      </c>
      <c r="AE128" s="470">
        <v>90.635999999999996</v>
      </c>
      <c r="AF128" s="470">
        <v>21.683253588516699</v>
      </c>
      <c r="AG128" s="232">
        <v>5.6497175141242938E-3</v>
      </c>
      <c r="AH128" s="470"/>
      <c r="AI128" s="470"/>
      <c r="AJ128" s="232">
        <v>0</v>
      </c>
      <c r="AK128" s="470"/>
      <c r="AL128" s="470"/>
      <c r="AM128" s="232">
        <v>0</v>
      </c>
      <c r="AN128" s="470"/>
      <c r="AO128" s="470"/>
      <c r="AP128" s="232">
        <v>0</v>
      </c>
      <c r="AQ128" s="470"/>
      <c r="AR128" s="470"/>
      <c r="AS128" s="232">
        <v>0</v>
      </c>
      <c r="AT128" s="470"/>
      <c r="AU128" s="470"/>
      <c r="AV128" s="232">
        <v>0</v>
      </c>
    </row>
    <row r="129" spans="22:48" x14ac:dyDescent="0.35">
      <c r="V129" s="7">
        <v>1.17</v>
      </c>
      <c r="W129" s="470">
        <v>36.024000000000001</v>
      </c>
      <c r="X129" s="470">
        <v>30.789743589743601</v>
      </c>
      <c r="Y129" s="232">
        <v>5.6497175141242938E-3</v>
      </c>
      <c r="AA129" s="7">
        <v>3.35</v>
      </c>
      <c r="AB129" s="470"/>
      <c r="AC129" s="470"/>
      <c r="AD129" s="232">
        <v>0</v>
      </c>
      <c r="AE129" s="470">
        <v>43.491</v>
      </c>
      <c r="AF129" s="470">
        <v>12.982388059701499</v>
      </c>
      <c r="AG129" s="232">
        <v>5.6497175141242938E-3</v>
      </c>
      <c r="AH129" s="470"/>
      <c r="AI129" s="470"/>
      <c r="AJ129" s="232">
        <v>0</v>
      </c>
      <c r="AK129" s="470"/>
      <c r="AL129" s="470"/>
      <c r="AM129" s="232">
        <v>0</v>
      </c>
      <c r="AN129" s="470"/>
      <c r="AO129" s="470"/>
      <c r="AP129" s="232">
        <v>0</v>
      </c>
      <c r="AQ129" s="470"/>
      <c r="AR129" s="470"/>
      <c r="AS129" s="232">
        <v>0</v>
      </c>
      <c r="AT129" s="470"/>
      <c r="AU129" s="470"/>
      <c r="AV129" s="232">
        <v>0</v>
      </c>
    </row>
    <row r="130" spans="22:48" x14ac:dyDescent="0.35">
      <c r="V130" s="7">
        <v>5.15</v>
      </c>
      <c r="W130" s="470">
        <v>104.95399999999999</v>
      </c>
      <c r="X130" s="470">
        <v>20.3794174757282</v>
      </c>
      <c r="Y130" s="232">
        <v>5.6497175141242938E-3</v>
      </c>
      <c r="AA130" s="7">
        <v>5.32</v>
      </c>
      <c r="AB130" s="470"/>
      <c r="AC130" s="470"/>
      <c r="AD130" s="232">
        <v>0</v>
      </c>
      <c r="AE130" s="470"/>
      <c r="AF130" s="470"/>
      <c r="AG130" s="232">
        <v>0</v>
      </c>
      <c r="AH130" s="470"/>
      <c r="AI130" s="470"/>
      <c r="AJ130" s="232">
        <v>0</v>
      </c>
      <c r="AK130" s="470"/>
      <c r="AL130" s="470"/>
      <c r="AM130" s="232">
        <v>0</v>
      </c>
      <c r="AN130" s="470"/>
      <c r="AO130" s="470"/>
      <c r="AP130" s="232">
        <v>0</v>
      </c>
      <c r="AQ130" s="470"/>
      <c r="AR130" s="470"/>
      <c r="AS130" s="232">
        <v>0</v>
      </c>
      <c r="AT130" s="470">
        <v>108.20399999999999</v>
      </c>
      <c r="AU130" s="470">
        <v>20.339097744360899</v>
      </c>
      <c r="AV130" s="232">
        <v>5.6497175141242938E-3</v>
      </c>
    </row>
    <row r="131" spans="22:48" x14ac:dyDescent="0.35">
      <c r="V131" s="7">
        <v>7.68</v>
      </c>
      <c r="W131" s="470">
        <v>249.33600000000001</v>
      </c>
      <c r="X131" s="470">
        <v>32.465625000000003</v>
      </c>
      <c r="Y131" s="232">
        <v>5.6497175141242938E-3</v>
      </c>
      <c r="AA131" s="7">
        <v>4.58</v>
      </c>
      <c r="AB131" s="470"/>
      <c r="AC131" s="470"/>
      <c r="AD131" s="232">
        <v>0</v>
      </c>
      <c r="AE131" s="470"/>
      <c r="AF131" s="470"/>
      <c r="AG131" s="232">
        <v>0</v>
      </c>
      <c r="AH131" s="470"/>
      <c r="AI131" s="470"/>
      <c r="AJ131" s="232">
        <v>0</v>
      </c>
      <c r="AK131" s="470"/>
      <c r="AL131" s="470"/>
      <c r="AM131" s="232">
        <v>0</v>
      </c>
      <c r="AN131" s="470">
        <v>90.176000000000002</v>
      </c>
      <c r="AO131" s="470">
        <v>19.689082969432299</v>
      </c>
      <c r="AP131" s="232">
        <v>5.6497175141242938E-3</v>
      </c>
      <c r="AQ131" s="470"/>
      <c r="AR131" s="470"/>
      <c r="AS131" s="232">
        <v>0</v>
      </c>
      <c r="AT131" s="470"/>
      <c r="AU131" s="470"/>
      <c r="AV131" s="232">
        <v>0</v>
      </c>
    </row>
    <row r="132" spans="22:48" x14ac:dyDescent="0.35">
      <c r="V132" s="7">
        <v>7.9</v>
      </c>
      <c r="W132" s="470">
        <v>105.218</v>
      </c>
      <c r="X132" s="470">
        <v>13.3187341772152</v>
      </c>
      <c r="Y132" s="232">
        <v>5.6497175141242938E-3</v>
      </c>
      <c r="AA132" s="7">
        <v>5.88</v>
      </c>
      <c r="AB132" s="470"/>
      <c r="AC132" s="470"/>
      <c r="AD132" s="232">
        <v>0</v>
      </c>
      <c r="AE132" s="470"/>
      <c r="AF132" s="470"/>
      <c r="AG132" s="232">
        <v>0</v>
      </c>
      <c r="AH132" s="470"/>
      <c r="AI132" s="470"/>
      <c r="AJ132" s="232">
        <v>0</v>
      </c>
      <c r="AK132" s="470"/>
      <c r="AL132" s="470"/>
      <c r="AM132" s="232">
        <v>0</v>
      </c>
      <c r="AN132" s="470"/>
      <c r="AO132" s="470"/>
      <c r="AP132" s="232">
        <v>0</v>
      </c>
      <c r="AQ132" s="470">
        <v>57.212000000000003</v>
      </c>
      <c r="AR132" s="470">
        <v>9.7299319727891191</v>
      </c>
      <c r="AS132" s="232">
        <v>5.6497175141242938E-3</v>
      </c>
      <c r="AT132" s="470"/>
      <c r="AU132" s="470"/>
      <c r="AV132" s="232">
        <v>0</v>
      </c>
    </row>
    <row r="133" spans="22:48" x14ac:dyDescent="0.35">
      <c r="V133" s="7">
        <v>6.15</v>
      </c>
      <c r="W133" s="470">
        <v>61.847000000000001</v>
      </c>
      <c r="X133" s="470">
        <v>10.0564227642276</v>
      </c>
      <c r="Y133" s="232">
        <v>5.6497175141242938E-3</v>
      </c>
      <c r="AA133" s="7">
        <v>6.2</v>
      </c>
      <c r="AB133" s="470"/>
      <c r="AC133" s="470"/>
      <c r="AD133" s="232">
        <v>0</v>
      </c>
      <c r="AE133" s="470"/>
      <c r="AF133" s="470"/>
      <c r="AG133" s="232">
        <v>0</v>
      </c>
      <c r="AH133" s="470"/>
      <c r="AI133" s="470"/>
      <c r="AJ133" s="232">
        <v>0</v>
      </c>
      <c r="AK133" s="470"/>
      <c r="AL133" s="470"/>
      <c r="AM133" s="232">
        <v>0</v>
      </c>
      <c r="AN133" s="470"/>
      <c r="AO133" s="470"/>
      <c r="AP133" s="232">
        <v>0</v>
      </c>
      <c r="AQ133" s="470"/>
      <c r="AR133" s="470"/>
      <c r="AS133" s="232">
        <v>0</v>
      </c>
      <c r="AT133" s="470">
        <v>97.474000000000004</v>
      </c>
      <c r="AU133" s="470">
        <v>15.7216129032258</v>
      </c>
      <c r="AV133" s="232">
        <v>5.6497175141242938E-3</v>
      </c>
    </row>
    <row r="134" spans="22:48" x14ac:dyDescent="0.35">
      <c r="V134" s="7">
        <v>0.45</v>
      </c>
      <c r="W134" s="470">
        <v>5.4930000000000003</v>
      </c>
      <c r="X134" s="470">
        <v>12.206666666666701</v>
      </c>
      <c r="Y134" s="232">
        <v>5.6497175141242938E-3</v>
      </c>
      <c r="AA134" s="7">
        <v>3.77</v>
      </c>
      <c r="AB134" s="470">
        <v>64.641999999999996</v>
      </c>
      <c r="AC134" s="470">
        <v>17.146419098143198</v>
      </c>
      <c r="AD134" s="232">
        <v>5.6497175141242938E-3</v>
      </c>
      <c r="AE134" s="470"/>
      <c r="AF134" s="470"/>
      <c r="AG134" s="232">
        <v>0</v>
      </c>
      <c r="AH134" s="470"/>
      <c r="AI134" s="470"/>
      <c r="AJ134" s="232">
        <v>0</v>
      </c>
      <c r="AK134" s="470"/>
      <c r="AL134" s="470"/>
      <c r="AM134" s="232">
        <v>0</v>
      </c>
      <c r="AN134" s="470"/>
      <c r="AO134" s="470"/>
      <c r="AP134" s="232">
        <v>0</v>
      </c>
      <c r="AQ134" s="470">
        <v>77.893000000000001</v>
      </c>
      <c r="AR134" s="470">
        <v>20.661273209549101</v>
      </c>
      <c r="AS134" s="232">
        <v>5.6497175141242938E-3</v>
      </c>
      <c r="AT134" s="470"/>
      <c r="AU134" s="470"/>
      <c r="AV134" s="232">
        <v>0</v>
      </c>
    </row>
    <row r="135" spans="22:48" x14ac:dyDescent="0.35">
      <c r="V135" s="7">
        <v>5.5</v>
      </c>
      <c r="W135" s="470">
        <v>88.317149999999998</v>
      </c>
      <c r="X135" s="470">
        <v>16.05766363636365</v>
      </c>
      <c r="Y135" s="232">
        <v>2.2598870056497175E-2</v>
      </c>
      <c r="AA135" s="7">
        <v>6.52</v>
      </c>
      <c r="AB135" s="470"/>
      <c r="AC135" s="470"/>
      <c r="AD135" s="232">
        <v>0</v>
      </c>
      <c r="AE135" s="470"/>
      <c r="AF135" s="470"/>
      <c r="AG135" s="232">
        <v>0</v>
      </c>
      <c r="AH135" s="470"/>
      <c r="AI135" s="470"/>
      <c r="AJ135" s="232">
        <v>0</v>
      </c>
      <c r="AK135" s="470"/>
      <c r="AL135" s="470"/>
      <c r="AM135" s="232">
        <v>0</v>
      </c>
      <c r="AN135" s="470">
        <v>110.964</v>
      </c>
      <c r="AO135" s="470">
        <v>17.019018404908</v>
      </c>
      <c r="AP135" s="232">
        <v>5.6497175141242938E-3</v>
      </c>
      <c r="AQ135" s="470"/>
      <c r="AR135" s="470"/>
      <c r="AS135" s="232">
        <v>0</v>
      </c>
      <c r="AT135" s="470"/>
      <c r="AU135" s="470"/>
      <c r="AV135" s="232">
        <v>0</v>
      </c>
    </row>
    <row r="136" spans="22:48" x14ac:dyDescent="0.35">
      <c r="V136" s="7">
        <v>6.4</v>
      </c>
      <c r="W136" s="470">
        <v>99.260999999999996</v>
      </c>
      <c r="X136" s="470">
        <v>15.50953125</v>
      </c>
      <c r="Y136" s="232">
        <v>5.6497175141242938E-3</v>
      </c>
      <c r="AA136" s="7">
        <v>5.83</v>
      </c>
      <c r="AB136" s="470"/>
      <c r="AC136" s="470"/>
      <c r="AD136" s="232">
        <v>0</v>
      </c>
      <c r="AE136" s="470"/>
      <c r="AF136" s="470"/>
      <c r="AG136" s="232">
        <v>0</v>
      </c>
      <c r="AH136" s="470"/>
      <c r="AI136" s="470"/>
      <c r="AJ136" s="232">
        <v>0</v>
      </c>
      <c r="AK136" s="470"/>
      <c r="AL136" s="470"/>
      <c r="AM136" s="232">
        <v>0</v>
      </c>
      <c r="AN136" s="470"/>
      <c r="AO136" s="470"/>
      <c r="AP136" s="232">
        <v>0</v>
      </c>
      <c r="AQ136" s="470">
        <v>94.498999999999995</v>
      </c>
      <c r="AR136" s="470">
        <v>16.2090909090909</v>
      </c>
      <c r="AS136" s="232">
        <v>5.6497175141242938E-3</v>
      </c>
      <c r="AT136" s="470"/>
      <c r="AU136" s="470"/>
      <c r="AV136" s="232">
        <v>0</v>
      </c>
    </row>
    <row r="137" spans="22:48" x14ac:dyDescent="0.35">
      <c r="V137" s="7">
        <v>8.32</v>
      </c>
      <c r="W137" s="470">
        <v>125.2535</v>
      </c>
      <c r="X137" s="470">
        <v>15.0545072115385</v>
      </c>
      <c r="Y137" s="232">
        <v>5.6497175141242938E-3</v>
      </c>
      <c r="AA137" s="7">
        <v>5.45</v>
      </c>
      <c r="AB137" s="470"/>
      <c r="AC137" s="470"/>
      <c r="AD137" s="232">
        <v>0</v>
      </c>
      <c r="AE137" s="470"/>
      <c r="AF137" s="470"/>
      <c r="AG137" s="232">
        <v>0</v>
      </c>
      <c r="AH137" s="470"/>
      <c r="AI137" s="470"/>
      <c r="AJ137" s="232">
        <v>0</v>
      </c>
      <c r="AK137" s="470"/>
      <c r="AL137" s="470"/>
      <c r="AM137" s="232">
        <v>0</v>
      </c>
      <c r="AN137" s="470">
        <v>95.537999999999997</v>
      </c>
      <c r="AO137" s="470">
        <v>17.529908256880699</v>
      </c>
      <c r="AP137" s="232">
        <v>5.6497175141242938E-3</v>
      </c>
      <c r="AQ137" s="470"/>
      <c r="AR137" s="470"/>
      <c r="AS137" s="232">
        <v>0</v>
      </c>
      <c r="AT137" s="470"/>
      <c r="AU137" s="470"/>
      <c r="AV137" s="232">
        <v>0</v>
      </c>
    </row>
    <row r="138" spans="22:48" x14ac:dyDescent="0.35">
      <c r="V138" s="7">
        <v>0.8</v>
      </c>
      <c r="W138" s="470">
        <v>17.446100000000001</v>
      </c>
      <c r="X138" s="470">
        <v>21.807625000000002</v>
      </c>
      <c r="Y138" s="232">
        <v>5.6497175141242938E-3</v>
      </c>
      <c r="AA138" s="7">
        <v>5.18</v>
      </c>
      <c r="AB138" s="470"/>
      <c r="AC138" s="470"/>
      <c r="AD138" s="232">
        <v>0</v>
      </c>
      <c r="AE138" s="470"/>
      <c r="AF138" s="470"/>
      <c r="AG138" s="232">
        <v>0</v>
      </c>
      <c r="AH138" s="470"/>
      <c r="AI138" s="470"/>
      <c r="AJ138" s="232">
        <v>0</v>
      </c>
      <c r="AK138" s="470">
        <v>172.08</v>
      </c>
      <c r="AL138" s="470">
        <v>33.220077220077201</v>
      </c>
      <c r="AM138" s="232">
        <v>5.6497175141242938E-3</v>
      </c>
      <c r="AN138" s="470"/>
      <c r="AO138" s="470"/>
      <c r="AP138" s="232">
        <v>0</v>
      </c>
      <c r="AQ138" s="470"/>
      <c r="AR138" s="470"/>
      <c r="AS138" s="232">
        <v>0</v>
      </c>
      <c r="AT138" s="470"/>
      <c r="AU138" s="470"/>
      <c r="AV138" s="232">
        <v>0</v>
      </c>
    </row>
    <row r="139" spans="22:48" x14ac:dyDescent="0.35">
      <c r="V139" s="7">
        <v>2.2999999999999998</v>
      </c>
      <c r="W139" s="470">
        <v>60.031100000000002</v>
      </c>
      <c r="X139" s="470">
        <v>26.1004782608696</v>
      </c>
      <c r="Y139" s="232">
        <v>5.6497175141242938E-3</v>
      </c>
      <c r="AA139" s="7">
        <v>5.72</v>
      </c>
      <c r="AB139" s="470"/>
      <c r="AC139" s="470"/>
      <c r="AD139" s="232">
        <v>0</v>
      </c>
      <c r="AE139" s="470">
        <v>79.966999999999999</v>
      </c>
      <c r="AF139" s="470">
        <v>13.980244755244801</v>
      </c>
      <c r="AG139" s="232">
        <v>5.6497175141242938E-3</v>
      </c>
      <c r="AH139" s="470"/>
      <c r="AI139" s="470"/>
      <c r="AJ139" s="232">
        <v>0</v>
      </c>
      <c r="AK139" s="470"/>
      <c r="AL139" s="470"/>
      <c r="AM139" s="232">
        <v>0</v>
      </c>
      <c r="AN139" s="470"/>
      <c r="AO139" s="470"/>
      <c r="AP139" s="232">
        <v>0</v>
      </c>
      <c r="AQ139" s="470"/>
      <c r="AR139" s="470"/>
      <c r="AS139" s="232">
        <v>0</v>
      </c>
      <c r="AT139" s="470">
        <v>128.99799999999999</v>
      </c>
      <c r="AU139" s="470">
        <v>22.552097902097898</v>
      </c>
      <c r="AV139" s="232">
        <v>5.6497175141242938E-3</v>
      </c>
    </row>
    <row r="140" spans="22:48" x14ac:dyDescent="0.35">
      <c r="V140" s="7">
        <v>4.8</v>
      </c>
      <c r="W140" s="470">
        <v>69.492000000000004</v>
      </c>
      <c r="X140" s="470">
        <v>14.477499999999999</v>
      </c>
      <c r="Y140" s="232">
        <v>5.6497175141242938E-3</v>
      </c>
      <c r="AA140" s="7">
        <v>4.2300000000000004</v>
      </c>
      <c r="AB140" s="470"/>
      <c r="AC140" s="470"/>
      <c r="AD140" s="232">
        <v>0</v>
      </c>
      <c r="AE140" s="470"/>
      <c r="AF140" s="470"/>
      <c r="AG140" s="232">
        <v>0</v>
      </c>
      <c r="AH140" s="470"/>
      <c r="AI140" s="470"/>
      <c r="AJ140" s="232">
        <v>0</v>
      </c>
      <c r="AK140" s="470">
        <v>88.668499999999995</v>
      </c>
      <c r="AL140" s="470">
        <v>20.961820330969299</v>
      </c>
      <c r="AM140" s="232">
        <v>1.1299435028248588E-2</v>
      </c>
      <c r="AN140" s="470"/>
      <c r="AO140" s="470"/>
      <c r="AP140" s="232">
        <v>0</v>
      </c>
      <c r="AQ140" s="470"/>
      <c r="AR140" s="470"/>
      <c r="AS140" s="232">
        <v>0</v>
      </c>
      <c r="AT140" s="470"/>
      <c r="AU140" s="470"/>
      <c r="AV140" s="232">
        <v>0</v>
      </c>
    </row>
    <row r="141" spans="22:48" x14ac:dyDescent="0.35">
      <c r="V141" s="7">
        <v>3.3</v>
      </c>
      <c r="W141" s="470">
        <v>93.792000000000002</v>
      </c>
      <c r="X141" s="470">
        <v>28.4218181818182</v>
      </c>
      <c r="Y141" s="232">
        <v>5.6497175141242938E-3</v>
      </c>
      <c r="AA141" s="7">
        <v>3.63</v>
      </c>
      <c r="AB141" s="470"/>
      <c r="AC141" s="470"/>
      <c r="AD141" s="232">
        <v>0</v>
      </c>
      <c r="AE141" s="470"/>
      <c r="AF141" s="470"/>
      <c r="AG141" s="232">
        <v>0</v>
      </c>
      <c r="AH141" s="470"/>
      <c r="AI141" s="470"/>
      <c r="AJ141" s="232">
        <v>0</v>
      </c>
      <c r="AK141" s="470"/>
      <c r="AL141" s="470"/>
      <c r="AM141" s="232">
        <v>0</v>
      </c>
      <c r="AN141" s="470"/>
      <c r="AO141" s="470"/>
      <c r="AP141" s="232">
        <v>0</v>
      </c>
      <c r="AQ141" s="470">
        <v>53.152999999999999</v>
      </c>
      <c r="AR141" s="470">
        <v>14.6426997245179</v>
      </c>
      <c r="AS141" s="232">
        <v>5.6497175141242938E-3</v>
      </c>
      <c r="AT141" s="470"/>
      <c r="AU141" s="470"/>
      <c r="AV141" s="232">
        <v>0</v>
      </c>
    </row>
    <row r="142" spans="22:48" x14ac:dyDescent="0.35">
      <c r="V142" s="7">
        <v>8.8000000000000007</v>
      </c>
      <c r="W142" s="470">
        <v>183.18199999999999</v>
      </c>
      <c r="X142" s="470">
        <v>20.816136363636399</v>
      </c>
      <c r="Y142" s="232">
        <v>5.6497175141242938E-3</v>
      </c>
      <c r="AA142" s="7">
        <v>3.22</v>
      </c>
      <c r="AB142" s="470"/>
      <c r="AC142" s="470"/>
      <c r="AD142" s="232">
        <v>0</v>
      </c>
      <c r="AE142" s="470"/>
      <c r="AF142" s="470"/>
      <c r="AG142" s="232">
        <v>0</v>
      </c>
      <c r="AH142" s="470"/>
      <c r="AI142" s="470"/>
      <c r="AJ142" s="232">
        <v>0</v>
      </c>
      <c r="AK142" s="470"/>
      <c r="AL142" s="470"/>
      <c r="AM142" s="232">
        <v>0</v>
      </c>
      <c r="AN142" s="470">
        <v>64.283000000000001</v>
      </c>
      <c r="AO142" s="470">
        <v>19.963664596273301</v>
      </c>
      <c r="AP142" s="232">
        <v>5.6497175141242938E-3</v>
      </c>
      <c r="AQ142" s="470"/>
      <c r="AR142" s="470"/>
      <c r="AS142" s="232">
        <v>0</v>
      </c>
      <c r="AT142" s="470"/>
      <c r="AU142" s="470"/>
      <c r="AV142" s="232">
        <v>0</v>
      </c>
    </row>
    <row r="143" spans="22:48" x14ac:dyDescent="0.35">
      <c r="V143" s="7">
        <v>3.9000000000000004</v>
      </c>
      <c r="W143" s="470">
        <v>61.320099999999996</v>
      </c>
      <c r="X143" s="470">
        <v>15.7231025641026</v>
      </c>
      <c r="Y143" s="232">
        <v>5.6497175141242938E-3</v>
      </c>
      <c r="AA143" s="7">
        <v>3.9</v>
      </c>
      <c r="AB143" s="470">
        <v>76.674000000000007</v>
      </c>
      <c r="AC143" s="470">
        <v>19.66</v>
      </c>
      <c r="AD143" s="232">
        <v>5.6497175141242938E-3</v>
      </c>
      <c r="AE143" s="470"/>
      <c r="AF143" s="470"/>
      <c r="AG143" s="232">
        <v>0</v>
      </c>
      <c r="AH143" s="470"/>
      <c r="AI143" s="470"/>
      <c r="AJ143" s="232">
        <v>0</v>
      </c>
      <c r="AK143" s="470"/>
      <c r="AL143" s="470"/>
      <c r="AM143" s="232">
        <v>0</v>
      </c>
      <c r="AN143" s="470"/>
      <c r="AO143" s="470"/>
      <c r="AP143" s="232">
        <v>0</v>
      </c>
      <c r="AQ143" s="470"/>
      <c r="AR143" s="470"/>
      <c r="AS143" s="232">
        <v>0</v>
      </c>
      <c r="AT143" s="470"/>
      <c r="AU143" s="470"/>
      <c r="AV143" s="232">
        <v>0</v>
      </c>
    </row>
    <row r="144" spans="22:48" x14ac:dyDescent="0.35">
      <c r="AA144" s="7">
        <v>3.32</v>
      </c>
      <c r="AB144" s="470"/>
      <c r="AC144" s="470"/>
      <c r="AD144" s="232">
        <v>0</v>
      </c>
      <c r="AE144" s="470"/>
      <c r="AF144" s="470"/>
      <c r="AG144" s="232">
        <v>0</v>
      </c>
      <c r="AH144" s="470"/>
      <c r="AI144" s="470"/>
      <c r="AJ144" s="232">
        <v>0</v>
      </c>
      <c r="AK144" s="470">
        <v>109.18899999999999</v>
      </c>
      <c r="AL144" s="470">
        <v>32.888253012048203</v>
      </c>
      <c r="AM144" s="232">
        <v>5.6497175141242938E-3</v>
      </c>
      <c r="AN144" s="470"/>
      <c r="AO144" s="470"/>
      <c r="AP144" s="232">
        <v>0</v>
      </c>
      <c r="AQ144" s="470">
        <v>68.415000000000006</v>
      </c>
      <c r="AR144" s="470">
        <v>20.606927710843401</v>
      </c>
      <c r="AS144" s="232">
        <v>5.6497175141242938E-3</v>
      </c>
      <c r="AT144" s="470"/>
      <c r="AU144" s="470"/>
      <c r="AV144" s="232">
        <v>0</v>
      </c>
    </row>
    <row r="145" spans="27:48" x14ac:dyDescent="0.35">
      <c r="AA145" s="7">
        <v>3.25</v>
      </c>
      <c r="AB145" s="470"/>
      <c r="AC145" s="470"/>
      <c r="AD145" s="232">
        <v>0</v>
      </c>
      <c r="AE145" s="470">
        <v>86.147000000000006</v>
      </c>
      <c r="AF145" s="470">
        <v>26.506769230769201</v>
      </c>
      <c r="AG145" s="232">
        <v>5.6497175141242938E-3</v>
      </c>
      <c r="AH145" s="470"/>
      <c r="AI145" s="470"/>
      <c r="AJ145" s="232">
        <v>0</v>
      </c>
      <c r="AK145" s="470"/>
      <c r="AL145" s="470"/>
      <c r="AM145" s="232">
        <v>0</v>
      </c>
      <c r="AN145" s="470"/>
      <c r="AO145" s="470"/>
      <c r="AP145" s="232">
        <v>0</v>
      </c>
      <c r="AQ145" s="470"/>
      <c r="AR145" s="470"/>
      <c r="AS145" s="232">
        <v>0</v>
      </c>
      <c r="AT145" s="470">
        <v>89.878</v>
      </c>
      <c r="AU145" s="470">
        <v>27.654769230769201</v>
      </c>
      <c r="AV145" s="232">
        <v>5.6497175141242938E-3</v>
      </c>
    </row>
    <row r="146" spans="27:48" x14ac:dyDescent="0.35">
      <c r="AA146" s="7">
        <v>3.38</v>
      </c>
      <c r="AB146" s="470"/>
      <c r="AC146" s="470"/>
      <c r="AD146" s="232">
        <v>0</v>
      </c>
      <c r="AE146" s="470"/>
      <c r="AF146" s="470"/>
      <c r="AG146" s="232">
        <v>0</v>
      </c>
      <c r="AH146" s="470">
        <v>96.822999999999993</v>
      </c>
      <c r="AI146" s="470">
        <v>28.645857988165702</v>
      </c>
      <c r="AJ146" s="232">
        <v>5.6497175141242938E-3</v>
      </c>
      <c r="AK146" s="470"/>
      <c r="AL146" s="470"/>
      <c r="AM146" s="232">
        <v>0</v>
      </c>
      <c r="AN146" s="470"/>
      <c r="AO146" s="470"/>
      <c r="AP146" s="232">
        <v>0</v>
      </c>
      <c r="AQ146" s="470"/>
      <c r="AR146" s="470"/>
      <c r="AS146" s="232">
        <v>0</v>
      </c>
      <c r="AT146" s="470"/>
      <c r="AU146" s="470"/>
      <c r="AV146" s="232">
        <v>0</v>
      </c>
    </row>
    <row r="147" spans="27:48" x14ac:dyDescent="0.35">
      <c r="AA147" s="7">
        <v>7.55</v>
      </c>
      <c r="AB147" s="470"/>
      <c r="AC147" s="470"/>
      <c r="AD147" s="232">
        <v>0</v>
      </c>
      <c r="AE147" s="470"/>
      <c r="AF147" s="470"/>
      <c r="AG147" s="232">
        <v>0</v>
      </c>
      <c r="AH147" s="470"/>
      <c r="AI147" s="470"/>
      <c r="AJ147" s="232">
        <v>0</v>
      </c>
      <c r="AK147" s="470"/>
      <c r="AL147" s="470"/>
      <c r="AM147" s="232">
        <v>0</v>
      </c>
      <c r="AN147" s="470"/>
      <c r="AO147" s="470"/>
      <c r="AP147" s="232">
        <v>0</v>
      </c>
      <c r="AQ147" s="470"/>
      <c r="AR147" s="470"/>
      <c r="AS147" s="232">
        <v>0</v>
      </c>
      <c r="AT147" s="470">
        <v>179.00399999999999</v>
      </c>
      <c r="AU147" s="470">
        <v>23.709139072847702</v>
      </c>
      <c r="AV147" s="232">
        <v>5.6497175141242938E-3</v>
      </c>
    </row>
    <row r="148" spans="27:48" x14ac:dyDescent="0.35">
      <c r="AA148" s="7">
        <v>3.45</v>
      </c>
      <c r="AB148" s="470"/>
      <c r="AC148" s="470"/>
      <c r="AD148" s="232">
        <v>0</v>
      </c>
      <c r="AE148" s="470"/>
      <c r="AF148" s="470"/>
      <c r="AG148" s="232">
        <v>0</v>
      </c>
      <c r="AH148" s="470">
        <v>47.48</v>
      </c>
      <c r="AI148" s="470">
        <v>13.762318840579701</v>
      </c>
      <c r="AJ148" s="232">
        <v>5.6497175141242938E-3</v>
      </c>
      <c r="AK148" s="470"/>
      <c r="AL148" s="470"/>
      <c r="AM148" s="232">
        <v>0</v>
      </c>
      <c r="AN148" s="470"/>
      <c r="AO148" s="470"/>
      <c r="AP148" s="232">
        <v>0</v>
      </c>
      <c r="AQ148" s="470"/>
      <c r="AR148" s="470"/>
      <c r="AS148" s="232">
        <v>0</v>
      </c>
      <c r="AT148" s="470"/>
      <c r="AU148" s="470"/>
      <c r="AV148" s="232">
        <v>0</v>
      </c>
    </row>
    <row r="149" spans="27:48" x14ac:dyDescent="0.35">
      <c r="AA149" s="7">
        <v>3.08</v>
      </c>
      <c r="AB149" s="470"/>
      <c r="AC149" s="470"/>
      <c r="AD149" s="232">
        <v>0</v>
      </c>
      <c r="AE149" s="470"/>
      <c r="AF149" s="470"/>
      <c r="AG149" s="232">
        <v>0</v>
      </c>
      <c r="AH149" s="470"/>
      <c r="AI149" s="470"/>
      <c r="AJ149" s="232">
        <v>0</v>
      </c>
      <c r="AK149" s="470">
        <v>58.554000000000002</v>
      </c>
      <c r="AL149" s="470">
        <v>19.011038961038999</v>
      </c>
      <c r="AM149" s="232">
        <v>5.6497175141242938E-3</v>
      </c>
      <c r="AN149" s="470"/>
      <c r="AO149" s="470"/>
      <c r="AP149" s="232">
        <v>0</v>
      </c>
      <c r="AQ149" s="470"/>
      <c r="AR149" s="470"/>
      <c r="AS149" s="232">
        <v>0</v>
      </c>
      <c r="AT149" s="470"/>
      <c r="AU149" s="470"/>
      <c r="AV149" s="232">
        <v>0</v>
      </c>
    </row>
    <row r="150" spans="27:48" x14ac:dyDescent="0.35">
      <c r="AA150" s="7">
        <v>2.37</v>
      </c>
      <c r="AB150" s="470"/>
      <c r="AC150" s="470"/>
      <c r="AD150" s="232">
        <v>0</v>
      </c>
      <c r="AE150" s="470"/>
      <c r="AF150" s="470"/>
      <c r="AG150" s="232">
        <v>0</v>
      </c>
      <c r="AH150" s="470"/>
      <c r="AI150" s="470"/>
      <c r="AJ150" s="232">
        <v>0</v>
      </c>
      <c r="AK150" s="470">
        <v>42.944000000000003</v>
      </c>
      <c r="AL150" s="470">
        <v>18.119831223628701</v>
      </c>
      <c r="AM150" s="232">
        <v>5.6497175141242938E-3</v>
      </c>
      <c r="AN150" s="470"/>
      <c r="AO150" s="470"/>
      <c r="AP150" s="232">
        <v>0</v>
      </c>
      <c r="AQ150" s="470"/>
      <c r="AR150" s="470"/>
      <c r="AS150" s="232">
        <v>0</v>
      </c>
      <c r="AT150" s="470"/>
      <c r="AU150" s="470"/>
      <c r="AV150" s="232">
        <v>0</v>
      </c>
    </row>
    <row r="151" spans="27:48" x14ac:dyDescent="0.35">
      <c r="AA151" s="7">
        <v>2.3199999999999998</v>
      </c>
      <c r="AB151" s="470"/>
      <c r="AC151" s="470"/>
      <c r="AD151" s="232">
        <v>0</v>
      </c>
      <c r="AE151" s="470">
        <v>31.792000000000002</v>
      </c>
      <c r="AF151" s="470">
        <v>13.703448275862099</v>
      </c>
      <c r="AG151" s="232">
        <v>5.6497175141242938E-3</v>
      </c>
      <c r="AH151" s="470"/>
      <c r="AI151" s="470"/>
      <c r="AJ151" s="232">
        <v>0</v>
      </c>
      <c r="AK151" s="470"/>
      <c r="AL151" s="470"/>
      <c r="AM151" s="232">
        <v>0</v>
      </c>
      <c r="AN151" s="470"/>
      <c r="AO151" s="470"/>
      <c r="AP151" s="232">
        <v>0</v>
      </c>
      <c r="AQ151" s="470"/>
      <c r="AR151" s="470"/>
      <c r="AS151" s="232">
        <v>0</v>
      </c>
      <c r="AT151" s="470"/>
      <c r="AU151" s="470"/>
      <c r="AV151" s="232">
        <v>0</v>
      </c>
    </row>
    <row r="152" spans="27:48" x14ac:dyDescent="0.35">
      <c r="AA152" s="7">
        <v>3.23</v>
      </c>
      <c r="AB152" s="470"/>
      <c r="AC152" s="470"/>
      <c r="AD152" s="232">
        <v>0</v>
      </c>
      <c r="AE152" s="470"/>
      <c r="AF152" s="470"/>
      <c r="AG152" s="232">
        <v>0</v>
      </c>
      <c r="AH152" s="470"/>
      <c r="AI152" s="470"/>
      <c r="AJ152" s="232">
        <v>0</v>
      </c>
      <c r="AK152" s="470"/>
      <c r="AL152" s="470"/>
      <c r="AM152" s="232">
        <v>0</v>
      </c>
      <c r="AN152" s="470">
        <v>42.997</v>
      </c>
      <c r="AO152" s="470">
        <v>13.3117647058824</v>
      </c>
      <c r="AP152" s="232">
        <v>5.6497175141242938E-3</v>
      </c>
      <c r="AQ152" s="470"/>
      <c r="AR152" s="470"/>
      <c r="AS152" s="232">
        <v>0</v>
      </c>
      <c r="AT152" s="470"/>
      <c r="AU152" s="470"/>
      <c r="AV152" s="232">
        <v>0</v>
      </c>
    </row>
    <row r="153" spans="27:48" x14ac:dyDescent="0.35">
      <c r="AA153" s="7">
        <v>3.57</v>
      </c>
      <c r="AB153" s="470"/>
      <c r="AC153" s="470"/>
      <c r="AD153" s="232">
        <v>0</v>
      </c>
      <c r="AE153" s="470">
        <v>63.021999999999998</v>
      </c>
      <c r="AF153" s="470">
        <v>17.6532212885154</v>
      </c>
      <c r="AG153" s="232">
        <v>5.6497175141242938E-3</v>
      </c>
      <c r="AH153" s="470"/>
      <c r="AI153" s="470"/>
      <c r="AJ153" s="232">
        <v>0</v>
      </c>
      <c r="AK153" s="470">
        <v>28.942</v>
      </c>
      <c r="AL153" s="470">
        <v>8.1070028011204496</v>
      </c>
      <c r="AM153" s="232">
        <v>5.6497175141242938E-3</v>
      </c>
      <c r="AN153" s="470"/>
      <c r="AO153" s="470"/>
      <c r="AP153" s="232">
        <v>0</v>
      </c>
      <c r="AQ153" s="470"/>
      <c r="AR153" s="470"/>
      <c r="AS153" s="232">
        <v>0</v>
      </c>
      <c r="AT153" s="470"/>
      <c r="AU153" s="470"/>
      <c r="AV153" s="232">
        <v>0</v>
      </c>
    </row>
    <row r="154" spans="27:48" x14ac:dyDescent="0.35">
      <c r="AA154" s="7">
        <v>3.1</v>
      </c>
      <c r="AB154" s="470">
        <v>67.447000000000003</v>
      </c>
      <c r="AC154" s="470">
        <v>21.757096774193599</v>
      </c>
      <c r="AD154" s="232">
        <v>5.6497175141242938E-3</v>
      </c>
      <c r="AE154" s="470"/>
      <c r="AF154" s="470"/>
      <c r="AG154" s="232">
        <v>0</v>
      </c>
      <c r="AH154" s="470"/>
      <c r="AI154" s="470"/>
      <c r="AJ154" s="232">
        <v>0</v>
      </c>
      <c r="AK154" s="470"/>
      <c r="AL154" s="470"/>
      <c r="AM154" s="232">
        <v>0</v>
      </c>
      <c r="AN154" s="470"/>
      <c r="AO154" s="470"/>
      <c r="AP154" s="232">
        <v>0</v>
      </c>
      <c r="AQ154" s="470"/>
      <c r="AR154" s="470"/>
      <c r="AS154" s="232">
        <v>0</v>
      </c>
      <c r="AT154" s="470"/>
      <c r="AU154" s="470"/>
      <c r="AV154" s="232">
        <v>0</v>
      </c>
    </row>
    <row r="155" spans="27:48" x14ac:dyDescent="0.35">
      <c r="AA155" s="7">
        <v>2.1</v>
      </c>
      <c r="AB155" s="470"/>
      <c r="AC155" s="470"/>
      <c r="AD155" s="232">
        <v>0</v>
      </c>
      <c r="AE155" s="470"/>
      <c r="AF155" s="470"/>
      <c r="AG155" s="232">
        <v>0</v>
      </c>
      <c r="AH155" s="470"/>
      <c r="AI155" s="470"/>
      <c r="AJ155" s="232">
        <v>0</v>
      </c>
      <c r="AK155" s="470"/>
      <c r="AL155" s="470"/>
      <c r="AM155" s="232">
        <v>0</v>
      </c>
      <c r="AN155" s="470"/>
      <c r="AO155" s="470"/>
      <c r="AP155" s="232">
        <v>0</v>
      </c>
      <c r="AQ155" s="470"/>
      <c r="AR155" s="470"/>
      <c r="AS155" s="232">
        <v>0</v>
      </c>
      <c r="AT155" s="470">
        <v>45.862000000000002</v>
      </c>
      <c r="AU155" s="470">
        <v>21.839047619047602</v>
      </c>
      <c r="AV155" s="232">
        <v>5.6497175141242938E-3</v>
      </c>
    </row>
    <row r="156" spans="27:48" x14ac:dyDescent="0.35">
      <c r="AA156" s="7">
        <v>0.75</v>
      </c>
      <c r="AB156" s="470"/>
      <c r="AC156" s="470"/>
      <c r="AD156" s="232">
        <v>0</v>
      </c>
      <c r="AE156" s="470"/>
      <c r="AF156" s="470"/>
      <c r="AG156" s="232">
        <v>0</v>
      </c>
      <c r="AH156" s="470"/>
      <c r="AI156" s="470"/>
      <c r="AJ156" s="232">
        <v>0</v>
      </c>
      <c r="AK156" s="470">
        <v>17.363</v>
      </c>
      <c r="AL156" s="470">
        <v>23.150666666666702</v>
      </c>
      <c r="AM156" s="232">
        <v>5.6497175141242938E-3</v>
      </c>
      <c r="AN156" s="470"/>
      <c r="AO156" s="470"/>
      <c r="AP156" s="232">
        <v>0</v>
      </c>
      <c r="AQ156" s="470"/>
      <c r="AR156" s="470"/>
      <c r="AS156" s="232">
        <v>0</v>
      </c>
      <c r="AT156" s="470"/>
      <c r="AU156" s="470"/>
      <c r="AV156" s="232">
        <v>0</v>
      </c>
    </row>
    <row r="157" spans="27:48" x14ac:dyDescent="0.35">
      <c r="AA157" s="7">
        <v>2.95</v>
      </c>
      <c r="AB157" s="470"/>
      <c r="AC157" s="470"/>
      <c r="AD157" s="232">
        <v>0</v>
      </c>
      <c r="AE157" s="470"/>
      <c r="AF157" s="470"/>
      <c r="AG157" s="232">
        <v>0</v>
      </c>
      <c r="AH157" s="470">
        <v>48.896000000000001</v>
      </c>
      <c r="AI157" s="470">
        <v>16.5749152542373</v>
      </c>
      <c r="AJ157" s="232">
        <v>5.6497175141242938E-3</v>
      </c>
      <c r="AK157" s="470"/>
      <c r="AL157" s="470"/>
      <c r="AM157" s="232">
        <v>0</v>
      </c>
      <c r="AN157" s="470"/>
      <c r="AO157" s="470"/>
      <c r="AP157" s="232">
        <v>0</v>
      </c>
      <c r="AQ157" s="470"/>
      <c r="AR157" s="470"/>
      <c r="AS157" s="232">
        <v>0</v>
      </c>
      <c r="AT157" s="470"/>
      <c r="AU157" s="470"/>
      <c r="AV157" s="232">
        <v>0</v>
      </c>
    </row>
    <row r="158" spans="27:48" x14ac:dyDescent="0.35">
      <c r="AA158" s="7">
        <v>2.63</v>
      </c>
      <c r="AB158" s="470"/>
      <c r="AC158" s="470"/>
      <c r="AD158" s="232">
        <v>0</v>
      </c>
      <c r="AE158" s="470"/>
      <c r="AF158" s="470"/>
      <c r="AG158" s="232">
        <v>0</v>
      </c>
      <c r="AH158" s="470"/>
      <c r="AI158" s="470"/>
      <c r="AJ158" s="232">
        <v>0</v>
      </c>
      <c r="AK158" s="470"/>
      <c r="AL158" s="470"/>
      <c r="AM158" s="232">
        <v>0</v>
      </c>
      <c r="AN158" s="470"/>
      <c r="AO158" s="470"/>
      <c r="AP158" s="232">
        <v>0</v>
      </c>
      <c r="AQ158" s="470">
        <v>31.289000000000001</v>
      </c>
      <c r="AR158" s="470">
        <v>11.896958174904899</v>
      </c>
      <c r="AS158" s="232">
        <v>5.6497175141242938E-3</v>
      </c>
      <c r="AT158" s="470"/>
      <c r="AU158" s="470"/>
      <c r="AV158" s="232">
        <v>0</v>
      </c>
    </row>
    <row r="159" spans="27:48" x14ac:dyDescent="0.35">
      <c r="AA159" s="7">
        <v>3.72</v>
      </c>
      <c r="AB159" s="470"/>
      <c r="AC159" s="470"/>
      <c r="AD159" s="232">
        <v>0</v>
      </c>
      <c r="AE159" s="470"/>
      <c r="AF159" s="470"/>
      <c r="AG159" s="232">
        <v>0</v>
      </c>
      <c r="AH159" s="470"/>
      <c r="AI159" s="470"/>
      <c r="AJ159" s="232">
        <v>0</v>
      </c>
      <c r="AK159" s="470">
        <v>79.075999999999993</v>
      </c>
      <c r="AL159" s="470">
        <v>21.2569892473118</v>
      </c>
      <c r="AM159" s="232">
        <v>5.6497175141242938E-3</v>
      </c>
      <c r="AN159" s="470"/>
      <c r="AO159" s="470"/>
      <c r="AP159" s="232">
        <v>0</v>
      </c>
      <c r="AQ159" s="470"/>
      <c r="AR159" s="470"/>
      <c r="AS159" s="232">
        <v>0</v>
      </c>
      <c r="AT159" s="470"/>
      <c r="AU159" s="470"/>
      <c r="AV159" s="232">
        <v>0</v>
      </c>
    </row>
    <row r="160" spans="27:48" x14ac:dyDescent="0.35">
      <c r="AA160" s="7">
        <v>3.55</v>
      </c>
      <c r="AB160" s="470"/>
      <c r="AC160" s="470"/>
      <c r="AD160" s="232">
        <v>0</v>
      </c>
      <c r="AE160" s="470"/>
      <c r="AF160" s="470"/>
      <c r="AG160" s="232">
        <v>0</v>
      </c>
      <c r="AH160" s="470">
        <v>62.737000000000002</v>
      </c>
      <c r="AI160" s="470">
        <v>17.672394366197199</v>
      </c>
      <c r="AJ160" s="232">
        <v>5.6497175141242938E-3</v>
      </c>
      <c r="AK160" s="470"/>
      <c r="AL160" s="470"/>
      <c r="AM160" s="232">
        <v>0</v>
      </c>
      <c r="AN160" s="470"/>
      <c r="AO160" s="470"/>
      <c r="AP160" s="232">
        <v>0</v>
      </c>
      <c r="AQ160" s="470"/>
      <c r="AR160" s="470"/>
      <c r="AS160" s="232">
        <v>0</v>
      </c>
      <c r="AT160" s="470"/>
      <c r="AU160" s="470"/>
      <c r="AV160" s="232">
        <v>0</v>
      </c>
    </row>
    <row r="161" spans="27:48" x14ac:dyDescent="0.35">
      <c r="AA161" s="7">
        <v>4.3499999999999996</v>
      </c>
      <c r="AB161" s="470"/>
      <c r="AC161" s="470"/>
      <c r="AD161" s="232">
        <v>0</v>
      </c>
      <c r="AE161" s="470"/>
      <c r="AF161" s="470"/>
      <c r="AG161" s="232">
        <v>0</v>
      </c>
      <c r="AH161" s="470"/>
      <c r="AI161" s="470"/>
      <c r="AJ161" s="232">
        <v>0</v>
      </c>
      <c r="AK161" s="470">
        <v>54.341999999999999</v>
      </c>
      <c r="AL161" s="470">
        <v>12.492413793103401</v>
      </c>
      <c r="AM161" s="232">
        <v>5.6497175141242938E-3</v>
      </c>
      <c r="AN161" s="470"/>
      <c r="AO161" s="470"/>
      <c r="AP161" s="232">
        <v>0</v>
      </c>
      <c r="AQ161" s="470"/>
      <c r="AR161" s="470"/>
      <c r="AS161" s="232">
        <v>0</v>
      </c>
      <c r="AT161" s="470"/>
      <c r="AU161" s="470"/>
      <c r="AV161" s="232">
        <v>0</v>
      </c>
    </row>
    <row r="162" spans="27:48" x14ac:dyDescent="0.35">
      <c r="AA162" s="7">
        <v>3.85</v>
      </c>
      <c r="AB162" s="470"/>
      <c r="AC162" s="470"/>
      <c r="AD162" s="232">
        <v>0</v>
      </c>
      <c r="AE162" s="470"/>
      <c r="AF162" s="470"/>
      <c r="AG162" s="232">
        <v>0</v>
      </c>
      <c r="AH162" s="470"/>
      <c r="AI162" s="470"/>
      <c r="AJ162" s="232">
        <v>0</v>
      </c>
      <c r="AK162" s="470"/>
      <c r="AL162" s="470"/>
      <c r="AM162" s="232">
        <v>0</v>
      </c>
      <c r="AN162" s="470"/>
      <c r="AO162" s="470"/>
      <c r="AP162" s="232">
        <v>0</v>
      </c>
      <c r="AQ162" s="470">
        <v>39.457999999999998</v>
      </c>
      <c r="AR162" s="470">
        <v>10.248831168831201</v>
      </c>
      <c r="AS162" s="232">
        <v>5.6497175141242938E-3</v>
      </c>
      <c r="AT162" s="470"/>
      <c r="AU162" s="470"/>
      <c r="AV162" s="232">
        <v>0</v>
      </c>
    </row>
    <row r="163" spans="27:48" x14ac:dyDescent="0.35">
      <c r="AA163" s="7">
        <v>4.13</v>
      </c>
      <c r="AB163" s="470"/>
      <c r="AC163" s="470"/>
      <c r="AD163" s="232">
        <v>0</v>
      </c>
      <c r="AE163" s="470"/>
      <c r="AF163" s="470"/>
      <c r="AG163" s="232">
        <v>0</v>
      </c>
      <c r="AH163" s="470"/>
      <c r="AI163" s="470"/>
      <c r="AJ163" s="232">
        <v>0</v>
      </c>
      <c r="AK163" s="470"/>
      <c r="AL163" s="470"/>
      <c r="AM163" s="232">
        <v>0</v>
      </c>
      <c r="AN163" s="470"/>
      <c r="AO163" s="470"/>
      <c r="AP163" s="232">
        <v>0</v>
      </c>
      <c r="AQ163" s="470"/>
      <c r="AR163" s="470"/>
      <c r="AS163" s="232">
        <v>0</v>
      </c>
      <c r="AT163" s="470">
        <v>94.837999999999994</v>
      </c>
      <c r="AU163" s="470">
        <v>22.963196125907999</v>
      </c>
      <c r="AV163" s="232">
        <v>5.6497175141242938E-3</v>
      </c>
    </row>
    <row r="164" spans="27:48" x14ac:dyDescent="0.35">
      <c r="AA164" s="7">
        <v>4.5</v>
      </c>
      <c r="AB164" s="470"/>
      <c r="AC164" s="470"/>
      <c r="AD164" s="232">
        <v>0</v>
      </c>
      <c r="AE164" s="470"/>
      <c r="AF164" s="470"/>
      <c r="AG164" s="232">
        <v>0</v>
      </c>
      <c r="AH164" s="470"/>
      <c r="AI164" s="470"/>
      <c r="AJ164" s="232">
        <v>0</v>
      </c>
      <c r="AK164" s="470"/>
      <c r="AL164" s="470"/>
      <c r="AM164" s="232">
        <v>0</v>
      </c>
      <c r="AN164" s="470"/>
      <c r="AO164" s="470"/>
      <c r="AP164" s="232">
        <v>0</v>
      </c>
      <c r="AQ164" s="470"/>
      <c r="AR164" s="470"/>
      <c r="AS164" s="232">
        <v>0</v>
      </c>
      <c r="AT164" s="470">
        <v>119.3612</v>
      </c>
      <c r="AU164" s="470">
        <v>26.524711111111099</v>
      </c>
      <c r="AV164" s="232">
        <v>5.6497175141242938E-3</v>
      </c>
    </row>
    <row r="165" spans="27:48" x14ac:dyDescent="0.35">
      <c r="AA165" s="7">
        <v>1.8</v>
      </c>
      <c r="AB165" s="470"/>
      <c r="AC165" s="470"/>
      <c r="AD165" s="232">
        <v>0</v>
      </c>
      <c r="AE165" s="470">
        <v>28.082799999999999</v>
      </c>
      <c r="AF165" s="470">
        <v>15.601555555555599</v>
      </c>
      <c r="AG165" s="232">
        <v>5.6497175141242938E-3</v>
      </c>
      <c r="AH165" s="470"/>
      <c r="AI165" s="470"/>
      <c r="AJ165" s="232">
        <v>0</v>
      </c>
      <c r="AK165" s="470"/>
      <c r="AL165" s="470"/>
      <c r="AM165" s="232">
        <v>0</v>
      </c>
      <c r="AN165" s="470"/>
      <c r="AO165" s="470"/>
      <c r="AP165" s="232">
        <v>0</v>
      </c>
      <c r="AQ165" s="470"/>
      <c r="AR165" s="470"/>
      <c r="AS165" s="232">
        <v>0</v>
      </c>
      <c r="AT165" s="470"/>
      <c r="AU165" s="470"/>
      <c r="AV165" s="232">
        <v>0</v>
      </c>
    </row>
    <row r="166" spans="27:48" x14ac:dyDescent="0.35">
      <c r="AA166" s="7">
        <v>6.23</v>
      </c>
      <c r="AB166" s="470"/>
      <c r="AC166" s="470"/>
      <c r="AD166" s="232">
        <v>0</v>
      </c>
      <c r="AE166" s="470"/>
      <c r="AF166" s="470"/>
      <c r="AG166" s="232">
        <v>0</v>
      </c>
      <c r="AH166" s="470"/>
      <c r="AI166" s="470"/>
      <c r="AJ166" s="232">
        <v>0</v>
      </c>
      <c r="AK166" s="470"/>
      <c r="AL166" s="470"/>
      <c r="AM166" s="232">
        <v>0</v>
      </c>
      <c r="AN166" s="470">
        <v>51.814</v>
      </c>
      <c r="AO166" s="470">
        <v>8.3168539325842694</v>
      </c>
      <c r="AP166" s="232">
        <v>5.6497175141242938E-3</v>
      </c>
      <c r="AQ166" s="470"/>
      <c r="AR166" s="470"/>
      <c r="AS166" s="232">
        <v>0</v>
      </c>
      <c r="AT166" s="470">
        <v>62.575000000000003</v>
      </c>
      <c r="AU166" s="470">
        <v>10.0441412520064</v>
      </c>
      <c r="AV166" s="232">
        <v>5.6497175141242938E-3</v>
      </c>
    </row>
    <row r="167" spans="27:48" x14ac:dyDescent="0.35">
      <c r="AA167" s="7">
        <v>2.4300000000000002</v>
      </c>
      <c r="AB167" s="470"/>
      <c r="AC167" s="470"/>
      <c r="AD167" s="232">
        <v>0</v>
      </c>
      <c r="AE167" s="470"/>
      <c r="AF167" s="470"/>
      <c r="AG167" s="232">
        <v>0</v>
      </c>
      <c r="AH167" s="470"/>
      <c r="AI167" s="470"/>
      <c r="AJ167" s="232">
        <v>0</v>
      </c>
      <c r="AK167" s="470"/>
      <c r="AL167" s="470"/>
      <c r="AM167" s="232">
        <v>0</v>
      </c>
      <c r="AN167" s="470">
        <v>45.628399999999999</v>
      </c>
      <c r="AO167" s="470">
        <v>18.7771193415638</v>
      </c>
      <c r="AP167" s="232">
        <v>5.6497175141242938E-3</v>
      </c>
      <c r="AQ167" s="470"/>
      <c r="AR167" s="470"/>
      <c r="AS167" s="232">
        <v>0</v>
      </c>
      <c r="AT167" s="470"/>
      <c r="AU167" s="470"/>
      <c r="AV167" s="232">
        <v>0</v>
      </c>
    </row>
    <row r="168" spans="27:48" x14ac:dyDescent="0.35">
      <c r="AA168" s="7">
        <v>1.17</v>
      </c>
      <c r="AB168" s="470"/>
      <c r="AC168" s="470"/>
      <c r="AD168" s="232">
        <v>0</v>
      </c>
      <c r="AE168" s="470"/>
      <c r="AF168" s="470"/>
      <c r="AG168" s="232">
        <v>0</v>
      </c>
      <c r="AH168" s="470"/>
      <c r="AI168" s="470"/>
      <c r="AJ168" s="232">
        <v>0</v>
      </c>
      <c r="AK168" s="470"/>
      <c r="AL168" s="470"/>
      <c r="AM168" s="232">
        <v>0</v>
      </c>
      <c r="AN168" s="470"/>
      <c r="AO168" s="470"/>
      <c r="AP168" s="232">
        <v>0</v>
      </c>
      <c r="AQ168" s="470">
        <v>36.024000000000001</v>
      </c>
      <c r="AR168" s="470">
        <v>30.789743589743601</v>
      </c>
      <c r="AS168" s="232">
        <v>5.6497175141242938E-3</v>
      </c>
      <c r="AT168" s="470"/>
      <c r="AU168" s="470"/>
      <c r="AV168" s="232">
        <v>0</v>
      </c>
    </row>
    <row r="169" spans="27:48" x14ac:dyDescent="0.35">
      <c r="AA169" s="7">
        <v>5.15</v>
      </c>
      <c r="AB169" s="470"/>
      <c r="AC169" s="470"/>
      <c r="AD169" s="232">
        <v>0</v>
      </c>
      <c r="AE169" s="470"/>
      <c r="AF169" s="470"/>
      <c r="AG169" s="232">
        <v>0</v>
      </c>
      <c r="AH169" s="470">
        <v>104.95399999999999</v>
      </c>
      <c r="AI169" s="470">
        <v>20.3794174757282</v>
      </c>
      <c r="AJ169" s="232">
        <v>5.6497175141242938E-3</v>
      </c>
      <c r="AK169" s="470"/>
      <c r="AL169" s="470"/>
      <c r="AM169" s="232">
        <v>0</v>
      </c>
      <c r="AN169" s="470"/>
      <c r="AO169" s="470"/>
      <c r="AP169" s="232">
        <v>0</v>
      </c>
      <c r="AQ169" s="470"/>
      <c r="AR169" s="470"/>
      <c r="AS169" s="232">
        <v>0</v>
      </c>
      <c r="AT169" s="470"/>
      <c r="AU169" s="470"/>
      <c r="AV169" s="232">
        <v>0</v>
      </c>
    </row>
    <row r="170" spans="27:48" x14ac:dyDescent="0.35">
      <c r="AA170" s="7">
        <v>7.68</v>
      </c>
      <c r="AB170" s="470">
        <v>249.33600000000001</v>
      </c>
      <c r="AC170" s="470">
        <v>32.465625000000003</v>
      </c>
      <c r="AD170" s="232">
        <v>5.6497175141242938E-3</v>
      </c>
      <c r="AE170" s="470"/>
      <c r="AF170" s="470"/>
      <c r="AG170" s="232">
        <v>0</v>
      </c>
      <c r="AH170" s="470"/>
      <c r="AI170" s="470"/>
      <c r="AJ170" s="232">
        <v>0</v>
      </c>
      <c r="AK170" s="470"/>
      <c r="AL170" s="470"/>
      <c r="AM170" s="232">
        <v>0</v>
      </c>
      <c r="AN170" s="470"/>
      <c r="AO170" s="470"/>
      <c r="AP170" s="232">
        <v>0</v>
      </c>
      <c r="AQ170" s="470"/>
      <c r="AR170" s="470"/>
      <c r="AS170" s="232">
        <v>0</v>
      </c>
      <c r="AT170" s="470"/>
      <c r="AU170" s="470"/>
      <c r="AV170" s="232">
        <v>0</v>
      </c>
    </row>
    <row r="171" spans="27:48" x14ac:dyDescent="0.35">
      <c r="AA171" s="7">
        <v>7.9</v>
      </c>
      <c r="AB171" s="470"/>
      <c r="AC171" s="470"/>
      <c r="AD171" s="232">
        <v>0</v>
      </c>
      <c r="AE171" s="470"/>
      <c r="AF171" s="470"/>
      <c r="AG171" s="232">
        <v>0</v>
      </c>
      <c r="AH171" s="470"/>
      <c r="AI171" s="470"/>
      <c r="AJ171" s="232">
        <v>0</v>
      </c>
      <c r="AK171" s="470"/>
      <c r="AL171" s="470"/>
      <c r="AM171" s="232">
        <v>0</v>
      </c>
      <c r="AN171" s="470"/>
      <c r="AO171" s="470"/>
      <c r="AP171" s="232">
        <v>0</v>
      </c>
      <c r="AQ171" s="470"/>
      <c r="AR171" s="470"/>
      <c r="AS171" s="232">
        <v>0</v>
      </c>
      <c r="AT171" s="470">
        <v>105.218</v>
      </c>
      <c r="AU171" s="470">
        <v>13.3187341772152</v>
      </c>
      <c r="AV171" s="232">
        <v>5.6497175141242938E-3</v>
      </c>
    </row>
    <row r="172" spans="27:48" x14ac:dyDescent="0.35">
      <c r="AA172" s="7">
        <v>6.15</v>
      </c>
      <c r="AB172" s="470"/>
      <c r="AC172" s="470"/>
      <c r="AD172" s="232">
        <v>0</v>
      </c>
      <c r="AE172" s="470">
        <v>61.847000000000001</v>
      </c>
      <c r="AF172" s="470">
        <v>10.0564227642276</v>
      </c>
      <c r="AG172" s="232">
        <v>5.6497175141242938E-3</v>
      </c>
      <c r="AH172" s="470"/>
      <c r="AI172" s="470"/>
      <c r="AJ172" s="232">
        <v>0</v>
      </c>
      <c r="AK172" s="470"/>
      <c r="AL172" s="470"/>
      <c r="AM172" s="232">
        <v>0</v>
      </c>
      <c r="AN172" s="470"/>
      <c r="AO172" s="470"/>
      <c r="AP172" s="232">
        <v>0</v>
      </c>
      <c r="AQ172" s="470"/>
      <c r="AR172" s="470"/>
      <c r="AS172" s="232">
        <v>0</v>
      </c>
      <c r="AT172" s="470"/>
      <c r="AU172" s="470"/>
      <c r="AV172" s="232">
        <v>0</v>
      </c>
    </row>
    <row r="173" spans="27:48" x14ac:dyDescent="0.35">
      <c r="AA173" s="7">
        <v>0.45</v>
      </c>
      <c r="AB173" s="470"/>
      <c r="AC173" s="470"/>
      <c r="AD173" s="232">
        <v>0</v>
      </c>
      <c r="AE173" s="470"/>
      <c r="AF173" s="470"/>
      <c r="AG173" s="232">
        <v>0</v>
      </c>
      <c r="AH173" s="470"/>
      <c r="AI173" s="470"/>
      <c r="AJ173" s="232">
        <v>0</v>
      </c>
      <c r="AK173" s="470">
        <v>5.4930000000000003</v>
      </c>
      <c r="AL173" s="470">
        <v>12.206666666666701</v>
      </c>
      <c r="AM173" s="232">
        <v>5.6497175141242938E-3</v>
      </c>
      <c r="AN173" s="470"/>
      <c r="AO173" s="470"/>
      <c r="AP173" s="232">
        <v>0</v>
      </c>
      <c r="AQ173" s="470"/>
      <c r="AR173" s="470"/>
      <c r="AS173" s="232">
        <v>0</v>
      </c>
      <c r="AT173" s="470"/>
      <c r="AU173" s="470"/>
      <c r="AV173" s="232">
        <v>0</v>
      </c>
    </row>
    <row r="174" spans="27:48" x14ac:dyDescent="0.35">
      <c r="AA174" s="7">
        <v>5.5</v>
      </c>
      <c r="AB174" s="470">
        <v>124.89619999999999</v>
      </c>
      <c r="AC174" s="470">
        <v>22.708400000000001</v>
      </c>
      <c r="AD174" s="232">
        <v>5.6497175141242938E-3</v>
      </c>
      <c r="AE174" s="470"/>
      <c r="AF174" s="470"/>
      <c r="AG174" s="232">
        <v>0</v>
      </c>
      <c r="AH174" s="470">
        <v>64.105999999999995</v>
      </c>
      <c r="AI174" s="470">
        <v>11.6556363636364</v>
      </c>
      <c r="AJ174" s="232">
        <v>5.6497175141242938E-3</v>
      </c>
      <c r="AK174" s="470"/>
      <c r="AL174" s="470"/>
      <c r="AM174" s="232">
        <v>0</v>
      </c>
      <c r="AN174" s="470"/>
      <c r="AO174" s="470"/>
      <c r="AP174" s="232">
        <v>0</v>
      </c>
      <c r="AQ174" s="470">
        <v>81.206599999999995</v>
      </c>
      <c r="AR174" s="470">
        <v>14.7648363636364</v>
      </c>
      <c r="AS174" s="232">
        <v>5.6497175141242938E-3</v>
      </c>
      <c r="AT174" s="470">
        <v>83.059799999999996</v>
      </c>
      <c r="AU174" s="470">
        <v>15.1017818181818</v>
      </c>
      <c r="AV174" s="232">
        <v>5.6497175141242938E-3</v>
      </c>
    </row>
    <row r="175" spans="27:48" x14ac:dyDescent="0.35">
      <c r="AA175" s="7">
        <v>6.4</v>
      </c>
      <c r="AB175" s="470"/>
      <c r="AC175" s="470"/>
      <c r="AD175" s="232">
        <v>0</v>
      </c>
      <c r="AE175" s="470"/>
      <c r="AF175" s="470"/>
      <c r="AG175" s="232">
        <v>0</v>
      </c>
      <c r="AH175" s="470"/>
      <c r="AI175" s="470"/>
      <c r="AJ175" s="232">
        <v>0</v>
      </c>
      <c r="AK175" s="470">
        <v>99.260999999999996</v>
      </c>
      <c r="AL175" s="470">
        <v>15.50953125</v>
      </c>
      <c r="AM175" s="232">
        <v>5.6497175141242938E-3</v>
      </c>
      <c r="AN175" s="470"/>
      <c r="AO175" s="470"/>
      <c r="AP175" s="232">
        <v>0</v>
      </c>
      <c r="AQ175" s="470"/>
      <c r="AR175" s="470"/>
      <c r="AS175" s="232">
        <v>0</v>
      </c>
      <c r="AT175" s="470"/>
      <c r="AU175" s="470"/>
      <c r="AV175" s="232">
        <v>0</v>
      </c>
    </row>
    <row r="176" spans="27:48" x14ac:dyDescent="0.35">
      <c r="AA176" s="7">
        <v>8.32</v>
      </c>
      <c r="AB176" s="470">
        <v>125.2535</v>
      </c>
      <c r="AC176" s="470">
        <v>15.0545072115385</v>
      </c>
      <c r="AD176" s="232">
        <v>5.6497175141242938E-3</v>
      </c>
      <c r="AE176" s="470"/>
      <c r="AF176" s="470"/>
      <c r="AG176" s="232">
        <v>0</v>
      </c>
      <c r="AH176" s="470"/>
      <c r="AI176" s="470"/>
      <c r="AJ176" s="232">
        <v>0</v>
      </c>
      <c r="AK176" s="470"/>
      <c r="AL176" s="470"/>
      <c r="AM176" s="232">
        <v>0</v>
      </c>
      <c r="AN176" s="470"/>
      <c r="AO176" s="470"/>
      <c r="AP176" s="232">
        <v>0</v>
      </c>
      <c r="AQ176" s="470"/>
      <c r="AR176" s="470"/>
      <c r="AS176" s="232">
        <v>0</v>
      </c>
      <c r="AT176" s="470"/>
      <c r="AU176" s="470"/>
      <c r="AV176" s="232">
        <v>0</v>
      </c>
    </row>
    <row r="177" spans="27:48" x14ac:dyDescent="0.35">
      <c r="AA177" s="7">
        <v>0.8</v>
      </c>
      <c r="AB177" s="470"/>
      <c r="AC177" s="470"/>
      <c r="AD177" s="232">
        <v>0</v>
      </c>
      <c r="AE177" s="470">
        <v>17.446100000000001</v>
      </c>
      <c r="AF177" s="470">
        <v>21.807625000000002</v>
      </c>
      <c r="AG177" s="232">
        <v>5.6497175141242938E-3</v>
      </c>
      <c r="AH177" s="470"/>
      <c r="AI177" s="470"/>
      <c r="AJ177" s="232">
        <v>0</v>
      </c>
      <c r="AK177" s="470"/>
      <c r="AL177" s="470"/>
      <c r="AM177" s="232">
        <v>0</v>
      </c>
      <c r="AN177" s="470"/>
      <c r="AO177" s="470"/>
      <c r="AP177" s="232">
        <v>0</v>
      </c>
      <c r="AQ177" s="470"/>
      <c r="AR177" s="470"/>
      <c r="AS177" s="232">
        <v>0</v>
      </c>
      <c r="AT177" s="470"/>
      <c r="AU177" s="470"/>
      <c r="AV177" s="232">
        <v>0</v>
      </c>
    </row>
    <row r="178" spans="27:48" x14ac:dyDescent="0.35">
      <c r="AA178" s="7">
        <v>2.2999999999999998</v>
      </c>
      <c r="AB178" s="470"/>
      <c r="AC178" s="470"/>
      <c r="AD178" s="232">
        <v>0</v>
      </c>
      <c r="AE178" s="470">
        <v>60.031100000000002</v>
      </c>
      <c r="AF178" s="470">
        <v>26.1004782608696</v>
      </c>
      <c r="AG178" s="232">
        <v>5.6497175141242938E-3</v>
      </c>
      <c r="AH178" s="470"/>
      <c r="AI178" s="470"/>
      <c r="AJ178" s="232">
        <v>0</v>
      </c>
      <c r="AK178" s="470"/>
      <c r="AL178" s="470"/>
      <c r="AM178" s="232">
        <v>0</v>
      </c>
      <c r="AN178" s="470"/>
      <c r="AO178" s="470"/>
      <c r="AP178" s="232">
        <v>0</v>
      </c>
      <c r="AQ178" s="470"/>
      <c r="AR178" s="470"/>
      <c r="AS178" s="232">
        <v>0</v>
      </c>
      <c r="AT178" s="470"/>
      <c r="AU178" s="470"/>
      <c r="AV178" s="232">
        <v>0</v>
      </c>
    </row>
    <row r="179" spans="27:48" x14ac:dyDescent="0.35">
      <c r="AA179" s="7">
        <v>4.8</v>
      </c>
      <c r="AB179" s="470"/>
      <c r="AC179" s="470"/>
      <c r="AD179" s="232">
        <v>0</v>
      </c>
      <c r="AE179" s="470">
        <v>69.492000000000004</v>
      </c>
      <c r="AF179" s="470">
        <v>14.477499999999999</v>
      </c>
      <c r="AG179" s="232">
        <v>5.6497175141242938E-3</v>
      </c>
      <c r="AH179" s="470"/>
      <c r="AI179" s="470"/>
      <c r="AJ179" s="232">
        <v>0</v>
      </c>
      <c r="AK179" s="470"/>
      <c r="AL179" s="470"/>
      <c r="AM179" s="232">
        <v>0</v>
      </c>
      <c r="AN179" s="470"/>
      <c r="AO179" s="470"/>
      <c r="AP179" s="232">
        <v>0</v>
      </c>
      <c r="AQ179" s="470"/>
      <c r="AR179" s="470"/>
      <c r="AS179" s="232">
        <v>0</v>
      </c>
      <c r="AT179" s="470"/>
      <c r="AU179" s="470"/>
      <c r="AV179" s="232">
        <v>0</v>
      </c>
    </row>
    <row r="180" spans="27:48" x14ac:dyDescent="0.35">
      <c r="AA180" s="7">
        <v>3.3</v>
      </c>
      <c r="AB180" s="470"/>
      <c r="AC180" s="470"/>
      <c r="AD180" s="232">
        <v>0</v>
      </c>
      <c r="AE180" s="470"/>
      <c r="AF180" s="470"/>
      <c r="AG180" s="232">
        <v>0</v>
      </c>
      <c r="AH180" s="470">
        <v>93.792000000000002</v>
      </c>
      <c r="AI180" s="470">
        <v>28.4218181818182</v>
      </c>
      <c r="AJ180" s="232">
        <v>5.6497175141242938E-3</v>
      </c>
      <c r="AK180" s="470"/>
      <c r="AL180" s="470"/>
      <c r="AM180" s="232">
        <v>0</v>
      </c>
      <c r="AN180" s="470"/>
      <c r="AO180" s="470"/>
      <c r="AP180" s="232">
        <v>0</v>
      </c>
      <c r="AQ180" s="470"/>
      <c r="AR180" s="470"/>
      <c r="AS180" s="232">
        <v>0</v>
      </c>
      <c r="AT180" s="470"/>
      <c r="AU180" s="470"/>
      <c r="AV180" s="232">
        <v>0</v>
      </c>
    </row>
    <row r="181" spans="27:48" x14ac:dyDescent="0.35">
      <c r="AA181" s="7">
        <v>8.8000000000000007</v>
      </c>
      <c r="AB181" s="470"/>
      <c r="AC181" s="470"/>
      <c r="AD181" s="232">
        <v>0</v>
      </c>
      <c r="AE181" s="470"/>
      <c r="AF181" s="470"/>
      <c r="AG181" s="232">
        <v>0</v>
      </c>
      <c r="AH181" s="470"/>
      <c r="AI181" s="470"/>
      <c r="AJ181" s="232">
        <v>0</v>
      </c>
      <c r="AK181" s="470"/>
      <c r="AL181" s="470"/>
      <c r="AM181" s="232">
        <v>0</v>
      </c>
      <c r="AN181" s="470"/>
      <c r="AO181" s="470"/>
      <c r="AP181" s="232">
        <v>0</v>
      </c>
      <c r="AQ181" s="470"/>
      <c r="AR181" s="470"/>
      <c r="AS181" s="232">
        <v>0</v>
      </c>
      <c r="AT181" s="470">
        <v>183.18199999999999</v>
      </c>
      <c r="AU181" s="470">
        <v>20.816136363636399</v>
      </c>
      <c r="AV181" s="232">
        <v>5.6497175141242938E-3</v>
      </c>
    </row>
    <row r="182" spans="27:48" x14ac:dyDescent="0.35">
      <c r="AA182" s="7">
        <v>3.9000000000000004</v>
      </c>
      <c r="AB182" s="470"/>
      <c r="AC182" s="470"/>
      <c r="AD182" s="232">
        <v>0</v>
      </c>
      <c r="AE182" s="470"/>
      <c r="AF182" s="470"/>
      <c r="AG182" s="232">
        <v>0</v>
      </c>
      <c r="AH182" s="470">
        <v>61.320099999999996</v>
      </c>
      <c r="AI182" s="470">
        <v>15.7231025641026</v>
      </c>
      <c r="AJ182" s="232">
        <v>5.6497175141242938E-3</v>
      </c>
      <c r="AK182" s="470"/>
      <c r="AL182" s="470"/>
      <c r="AM182" s="232">
        <v>0</v>
      </c>
      <c r="AN182" s="470"/>
      <c r="AO182" s="470"/>
      <c r="AP182" s="232">
        <v>0</v>
      </c>
      <c r="AQ182" s="470"/>
      <c r="AR182" s="470"/>
      <c r="AS182" s="232">
        <v>0</v>
      </c>
      <c r="AT182" s="470"/>
      <c r="AU182" s="470"/>
      <c r="AV182" s="232">
        <v>0</v>
      </c>
    </row>
  </sheetData>
  <mergeCells count="5">
    <mergeCell ref="AP2:AX2"/>
    <mergeCell ref="AP11:AX11"/>
    <mergeCell ref="AP20:AX20"/>
    <mergeCell ref="A1:I1"/>
    <mergeCell ref="V1:Y1"/>
  </mergeCells>
  <phoneticPr fontId="3" type="noConversion"/>
  <conditionalFormatting sqref="I3:I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H11">
    <cfRule type="colorScale" priority="28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B8:AB34 AE8:AE34 AH8:AH34 AK8:AK34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27:AW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2:AW2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2:AX25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Q9:AW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4:AX7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4:AW7">
    <cfRule type="cellIs" dxfId="29" priority="15" operator="greaterThanOrEqual">
      <formula>AVERAGE($AQ$4:$AW$7)</formula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8:AW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3:AX16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13:AW16">
    <cfRule type="cellIs" dxfId="28" priority="11" operator="greaterThanOrEqual">
      <formula>AVERAGE($N$8:$T$8)</formula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W7:W14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X7:X14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L6:R2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S8:S9 S11:S25 S27:S28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L35:R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S35:S5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8:AD34 AG8:AG34 AJ8:AJ34 AM8:AM34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B46:AB182 AE46:AE182 AH46:AH182 AK46:AK182 AN46:AN182 AQ46:AQ182 AT46:AT18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C46:AC182 AF46:AF182 AI46:AI182 AL46:AL182 AO46:AO182 AR46:AR182 AU46:AU18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46:AD182 AG46:AG182 AJ46:AJ182 AM46:AM182 AP46:AP182 AS46:AS182 AV46:AV182">
    <cfRule type="aboveAverage" dxfId="27" priority="1"/>
  </conditionalFormatting>
  <pageMargins left="0.7" right="0.7" top="0.75" bottom="0.75" header="0.3" footer="0.3"/>
  <pageSetup orientation="portrait" r:id="rId6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BAC0-5CA8-4DB7-B3F2-7389EDFF04EF}">
  <sheetPr>
    <tabColor rgb="FF002060"/>
  </sheetPr>
  <dimension ref="A1:AS256"/>
  <sheetViews>
    <sheetView workbookViewId="0">
      <selection activeCell="H16" sqref="H16"/>
    </sheetView>
  </sheetViews>
  <sheetFormatPr defaultRowHeight="14.5" x14ac:dyDescent="0.35"/>
  <cols>
    <col min="1" max="1" width="9.90625" bestFit="1" customWidth="1"/>
    <col min="2" max="2" width="37.6328125" bestFit="1" customWidth="1"/>
    <col min="3" max="3" width="9.90625" bestFit="1" customWidth="1"/>
    <col min="4" max="4" width="10.6328125" bestFit="1" customWidth="1"/>
    <col min="5" max="6" width="12" bestFit="1" customWidth="1"/>
    <col min="7" max="7" width="9" bestFit="1" customWidth="1"/>
    <col min="8" max="8" width="7" bestFit="1" customWidth="1"/>
    <col min="9" max="9" width="6.6328125" customWidth="1"/>
    <col min="10" max="10" width="11.54296875" bestFit="1" customWidth="1"/>
    <col min="11" max="11" width="8" bestFit="1" customWidth="1"/>
    <col min="12" max="14" width="7.54296875" bestFit="1" customWidth="1"/>
    <col min="15" max="15" width="7.453125" bestFit="1" customWidth="1"/>
    <col min="16" max="16" width="6.453125" bestFit="1" customWidth="1"/>
    <col min="17" max="18" width="1.6328125" customWidth="1"/>
    <col min="19" max="19" width="9.08984375" bestFit="1" customWidth="1"/>
    <col min="20" max="20" width="11.6328125" bestFit="1" customWidth="1"/>
    <col min="21" max="21" width="17.1796875" style="57" bestFit="1" customWidth="1"/>
    <col min="22" max="22" width="16.90625" style="4" bestFit="1" customWidth="1"/>
    <col min="23" max="23" width="10.36328125" style="11" bestFit="1" customWidth="1"/>
    <col min="24" max="24" width="9.453125" style="11" bestFit="1" customWidth="1"/>
    <col min="25" max="25" width="14.453125" style="11" bestFit="1" customWidth="1"/>
    <col min="26" max="26" width="17.1796875" style="11" bestFit="1" customWidth="1"/>
    <col min="27" max="27" width="11.36328125" style="11" bestFit="1" customWidth="1"/>
    <col min="28" max="28" width="1.6328125" customWidth="1"/>
    <col min="30" max="30" width="9.08984375" style="89" bestFit="1" customWidth="1"/>
    <col min="31" max="31" width="11.08984375" bestFit="1" customWidth="1"/>
    <col min="32" max="32" width="16.90625" bestFit="1" customWidth="1"/>
    <col min="33" max="33" width="14.453125" bestFit="1" customWidth="1"/>
    <col min="34" max="34" width="11.36328125" style="11" bestFit="1" customWidth="1"/>
    <col min="35" max="35" width="15.08984375" style="11" bestFit="1" customWidth="1"/>
    <col min="36" max="36" width="14.1796875" style="11" bestFit="1" customWidth="1"/>
    <col min="37" max="37" width="17.1796875" style="11" bestFit="1" customWidth="1"/>
    <col min="38" max="38" width="15.6328125" style="8" bestFit="1" customWidth="1"/>
    <col min="39" max="39" width="9.453125" style="11" bestFit="1" customWidth="1"/>
  </cols>
  <sheetData>
    <row r="1" spans="1:45" ht="15" thickBot="1" x14ac:dyDescent="0.4">
      <c r="A1" s="55"/>
      <c r="B1" s="55"/>
      <c r="C1" s="55"/>
      <c r="D1" s="55"/>
      <c r="E1" s="55"/>
      <c r="F1" s="55"/>
      <c r="G1" s="55"/>
      <c r="H1" s="55"/>
      <c r="I1" s="55"/>
      <c r="J1" s="493" t="s">
        <v>340</v>
      </c>
      <c r="K1" s="493"/>
      <c r="L1" s="493"/>
      <c r="M1" s="493"/>
      <c r="N1" s="493"/>
      <c r="O1" s="493"/>
      <c r="P1" s="493"/>
      <c r="Q1" s="55"/>
      <c r="R1" s="55"/>
      <c r="S1" s="495" t="s">
        <v>362</v>
      </c>
      <c r="T1" s="495"/>
      <c r="U1" s="495"/>
      <c r="V1" s="495"/>
      <c r="W1" s="495"/>
      <c r="X1" s="495"/>
      <c r="Y1" s="495"/>
      <c r="Z1" s="495"/>
      <c r="AA1" s="356"/>
      <c r="AB1" s="55"/>
      <c r="AC1" s="55"/>
      <c r="AD1" s="494" t="s">
        <v>361</v>
      </c>
      <c r="AE1" s="494"/>
      <c r="AF1" s="494"/>
      <c r="AG1" s="494"/>
      <c r="AH1" s="494"/>
      <c r="AI1" s="494"/>
      <c r="AJ1" s="494"/>
      <c r="AK1" s="368"/>
      <c r="AL1" s="55"/>
      <c r="AM1" s="55"/>
      <c r="AN1" s="55"/>
      <c r="AO1" s="55"/>
      <c r="AP1" s="55"/>
      <c r="AQ1" s="55"/>
      <c r="AR1" s="55"/>
      <c r="AS1" s="55"/>
    </row>
    <row r="2" spans="1:45" x14ac:dyDescent="0.35">
      <c r="A2" s="55"/>
      <c r="B2" s="5"/>
      <c r="C2" s="123" t="s">
        <v>115</v>
      </c>
      <c r="D2" s="323" t="s">
        <v>365</v>
      </c>
      <c r="E2" s="123" t="s">
        <v>116</v>
      </c>
      <c r="F2" s="123" t="s">
        <v>329</v>
      </c>
      <c r="G2" s="55"/>
      <c r="H2" s="55"/>
      <c r="I2" s="55"/>
      <c r="J2" s="6" t="s">
        <v>341</v>
      </c>
      <c r="K2" s="6" t="s">
        <v>123</v>
      </c>
      <c r="Q2" s="55"/>
      <c r="R2" s="55"/>
      <c r="S2" s="321" t="s">
        <v>172</v>
      </c>
      <c r="T2" s="321" t="s">
        <v>104</v>
      </c>
      <c r="U2" s="321" t="s">
        <v>348</v>
      </c>
      <c r="V2" s="321" t="s">
        <v>364</v>
      </c>
      <c r="W2" s="290" t="s">
        <v>43</v>
      </c>
      <c r="X2" s="321" t="s">
        <v>105</v>
      </c>
      <c r="Y2" s="371" t="s">
        <v>349</v>
      </c>
      <c r="Z2" s="371" t="s">
        <v>117</v>
      </c>
      <c r="AA2" s="371" t="s">
        <v>122</v>
      </c>
      <c r="AB2" s="55"/>
      <c r="AC2" s="55"/>
      <c r="AD2" s="13" t="s">
        <v>172</v>
      </c>
      <c r="AE2" s="321" t="s">
        <v>342</v>
      </c>
      <c r="AF2" s="321" t="s">
        <v>364</v>
      </c>
      <c r="AG2" s="371" t="s">
        <v>349</v>
      </c>
      <c r="AH2" s="371" t="s">
        <v>122</v>
      </c>
      <c r="AI2" s="321" t="s">
        <v>118</v>
      </c>
      <c r="AJ2" s="321" t="s">
        <v>363</v>
      </c>
      <c r="AK2" s="372" t="s">
        <v>117</v>
      </c>
      <c r="AL2" s="55"/>
      <c r="AM2" s="55"/>
      <c r="AN2" s="55"/>
      <c r="AO2" s="55"/>
      <c r="AP2" s="55"/>
      <c r="AQ2" s="55"/>
      <c r="AR2" s="55"/>
      <c r="AS2" s="55"/>
    </row>
    <row r="3" spans="1:45" ht="15.5" x14ac:dyDescent="0.35">
      <c r="A3" s="55"/>
      <c r="B3" s="10" t="s">
        <v>306</v>
      </c>
      <c r="C3" s="120">
        <f>AVERAGE(Monthly_Metrics[Working Days])</f>
        <v>13.569230769230769</v>
      </c>
      <c r="D3" s="324">
        <f>AVERAGE($AF$3:$AF$14)</f>
        <v>13.25</v>
      </c>
      <c r="E3" s="120">
        <f ca="1">(COUNTIFS(EarningsPerDay[Date], "&gt;="&amp;TODAY()-90, EarningsPerDay[Date], "&lt;="&amp;TODAY()))/3</f>
        <v>5</v>
      </c>
      <c r="F3" s="120">
        <f ca="1">COUNTIFS(EarningsPerDay[Date], "&gt;="&amp;TODAY()-30, EarningsPerDay[Date], "&lt;="&amp;TODAY())</f>
        <v>4</v>
      </c>
      <c r="G3" s="55"/>
      <c r="H3" s="55"/>
      <c r="I3" s="55"/>
      <c r="J3" s="352" t="s">
        <v>342</v>
      </c>
      <c r="K3" s="13" t="s">
        <v>126</v>
      </c>
      <c r="L3" s="13" t="s">
        <v>129</v>
      </c>
      <c r="M3" s="13" t="s">
        <v>179</v>
      </c>
      <c r="N3" s="13" t="s">
        <v>277</v>
      </c>
      <c r="O3" s="13" t="s">
        <v>331</v>
      </c>
      <c r="P3" s="13" t="s">
        <v>435</v>
      </c>
      <c r="Q3" s="55"/>
      <c r="R3" s="55"/>
      <c r="S3" s="322">
        <v>2026</v>
      </c>
      <c r="T3" s="322">
        <v>21</v>
      </c>
      <c r="U3" s="365">
        <v>46160</v>
      </c>
      <c r="V3" s="322">
        <v>2</v>
      </c>
      <c r="W3" s="366">
        <v>11</v>
      </c>
      <c r="X3" s="322">
        <v>19</v>
      </c>
      <c r="Y3" s="355">
        <v>12.3338</v>
      </c>
      <c r="Z3" s="355">
        <v>232.76</v>
      </c>
      <c r="AA3" s="355">
        <v>20.760300000000001</v>
      </c>
      <c r="AB3" s="55"/>
      <c r="AC3" s="55"/>
      <c r="AD3" s="322">
        <v>2026</v>
      </c>
      <c r="AE3" s="322" t="s">
        <v>135</v>
      </c>
      <c r="AF3" s="322">
        <v>7</v>
      </c>
      <c r="AG3" s="355">
        <v>12.2675</v>
      </c>
      <c r="AH3" s="355">
        <v>20.877700000000001</v>
      </c>
      <c r="AI3" s="322">
        <v>30</v>
      </c>
      <c r="AJ3" s="322">
        <v>52</v>
      </c>
      <c r="AK3" s="367">
        <v>647.17999999999995</v>
      </c>
      <c r="AL3" s="55"/>
      <c r="AM3" s="55"/>
      <c r="AN3" s="55"/>
      <c r="AO3" s="55"/>
      <c r="AP3" s="55"/>
      <c r="AQ3" s="55"/>
      <c r="AR3" s="55"/>
      <c r="AS3" s="55"/>
    </row>
    <row r="4" spans="1:45" ht="15.5" x14ac:dyDescent="0.35">
      <c r="A4" s="55"/>
      <c r="B4" s="10" t="s">
        <v>332</v>
      </c>
      <c r="C4" s="120">
        <f>C3/(52/12)</f>
        <v>3.1313609467455623</v>
      </c>
      <c r="D4" s="324">
        <f ca="1">AVERAGEIFS(Weekly_Metrics[Working Days], Weekly_Metrics[Week Starting],"&gt;="&amp;TODAY()-365, Weekly_Metrics[Week Starting], "&lt;="&amp;TODAY())</f>
        <v>3.3777777777777778</v>
      </c>
      <c r="E4" s="120">
        <f ca="1">AVERAGEIFS(Weekly_Metrics[Working Days], Weekly_Metrics[Week Starting],"&gt;="&amp;TODAY()-90, Weekly_Metrics[Week Starting], "&lt;="&amp;TODAY())</f>
        <v>1.75</v>
      </c>
      <c r="F4" s="120">
        <f ca="1">AVERAGEIFS(Weekly_Metrics[Working Days], Weekly_Metrics[Week Starting],"&gt;="&amp;TODAY()-30, Weekly_Metrics[Week Starting], "&lt;="&amp;TODAY())</f>
        <v>2</v>
      </c>
      <c r="G4" s="419">
        <f ca="1">AVERAGE(C4:F4)</f>
        <v>2.5647846811308348</v>
      </c>
      <c r="H4" s="55"/>
      <c r="I4" s="55"/>
      <c r="J4" s="353" t="s">
        <v>128</v>
      </c>
      <c r="K4" s="354">
        <v>302.45999999999998</v>
      </c>
      <c r="L4" s="354">
        <v>218.13</v>
      </c>
      <c r="M4" s="354">
        <v>1947.9899999999998</v>
      </c>
      <c r="N4" s="354">
        <v>1905.5899999999995</v>
      </c>
      <c r="O4" s="354">
        <v>1076.5600000000002</v>
      </c>
      <c r="P4" s="476">
        <v>807.9799999999999</v>
      </c>
      <c r="Q4" s="55"/>
      <c r="R4" s="55"/>
      <c r="S4">
        <v>2026</v>
      </c>
      <c r="T4">
        <v>20</v>
      </c>
      <c r="U4" s="40">
        <v>46153</v>
      </c>
      <c r="V4">
        <v>3</v>
      </c>
      <c r="W4" s="4">
        <v>13</v>
      </c>
      <c r="X4">
        <v>24</v>
      </c>
      <c r="Y4" s="11">
        <v>14.495799999999999</v>
      </c>
      <c r="Z4" s="11">
        <v>337.75</v>
      </c>
      <c r="AA4" s="11">
        <v>26.235399999999998</v>
      </c>
      <c r="AB4" s="55"/>
      <c r="AC4" s="55"/>
      <c r="AD4" s="89">
        <v>2026</v>
      </c>
      <c r="AE4" t="s">
        <v>359</v>
      </c>
      <c r="AF4">
        <v>4</v>
      </c>
      <c r="AG4" s="11">
        <v>14.363899999999999</v>
      </c>
      <c r="AH4" s="11">
        <v>32.368200000000002</v>
      </c>
      <c r="AI4">
        <v>20</v>
      </c>
      <c r="AJ4">
        <v>48</v>
      </c>
      <c r="AK4" s="8">
        <v>710.68</v>
      </c>
      <c r="AL4" s="55"/>
      <c r="AM4" s="55"/>
      <c r="AN4" s="55"/>
      <c r="AO4" s="55"/>
      <c r="AP4" s="55"/>
      <c r="AQ4" s="55"/>
      <c r="AR4" s="55"/>
      <c r="AS4" s="55"/>
    </row>
    <row r="5" spans="1:45" x14ac:dyDescent="0.35">
      <c r="A5" s="55"/>
      <c r="B5" s="55"/>
      <c r="C5" s="55"/>
      <c r="D5" s="55"/>
      <c r="E5" s="55"/>
      <c r="F5" s="55"/>
      <c r="G5" s="55"/>
      <c r="H5" s="55"/>
      <c r="I5" s="55"/>
      <c r="J5" s="353" t="s">
        <v>131</v>
      </c>
      <c r="K5" s="354">
        <v>564.86</v>
      </c>
      <c r="L5" s="354">
        <v>631.31000000000006</v>
      </c>
      <c r="M5" s="354">
        <v>1851.0099999999998</v>
      </c>
      <c r="N5" s="354">
        <v>1707.1600000000003</v>
      </c>
      <c r="O5" s="354">
        <v>1362.08</v>
      </c>
      <c r="P5" s="476">
        <v>652.94000000000005</v>
      </c>
      <c r="Q5" s="55"/>
      <c r="R5" s="55"/>
      <c r="S5">
        <v>2026</v>
      </c>
      <c r="T5">
        <v>19</v>
      </c>
      <c r="U5" s="40">
        <v>46146</v>
      </c>
      <c r="V5">
        <v>2</v>
      </c>
      <c r="W5" s="4">
        <v>6</v>
      </c>
      <c r="X5">
        <v>9</v>
      </c>
      <c r="Y5" s="11">
        <v>8.8585999999999991</v>
      </c>
      <c r="Z5" s="11">
        <v>76.67</v>
      </c>
      <c r="AA5" s="11">
        <v>12.958399999999999</v>
      </c>
      <c r="AB5" s="55"/>
      <c r="AC5" s="55"/>
      <c r="AD5" s="89">
        <v>2026</v>
      </c>
      <c r="AE5" t="s">
        <v>360</v>
      </c>
      <c r="AF5">
        <v>8</v>
      </c>
      <c r="AG5" s="11">
        <v>14.4566</v>
      </c>
      <c r="AH5" s="11">
        <v>24.593800000000002</v>
      </c>
      <c r="AI5">
        <v>31</v>
      </c>
      <c r="AJ5">
        <v>56</v>
      </c>
      <c r="AK5" s="8">
        <v>773.81</v>
      </c>
      <c r="AL5" s="55"/>
      <c r="AM5" s="55"/>
      <c r="AN5" s="55"/>
      <c r="AO5" s="55"/>
      <c r="AP5" s="55"/>
      <c r="AQ5" s="55"/>
      <c r="AR5" s="55"/>
      <c r="AS5" s="55"/>
    </row>
    <row r="6" spans="1:45" ht="15.5" x14ac:dyDescent="0.35">
      <c r="A6" s="55"/>
      <c r="B6" s="10" t="s">
        <v>127</v>
      </c>
      <c r="C6" s="120">
        <f>AVERAGE(Weekly_Metrics[Hours])</f>
        <v>16.26771653543307</v>
      </c>
      <c r="D6" s="324">
        <f ca="1">AVERAGEIFS(Weekly_Metrics[Hours], Weekly_Metrics[Week Starting],"&gt;="&amp;TODAY()-365, Weekly_Metrics[Week Starting], "&lt;="&amp;TODAY())</f>
        <v>16.088888888888889</v>
      </c>
      <c r="E6" s="120">
        <f ca="1">AVERAGEIFS(Weekly_Metrics[Hours], Weekly_Metrics[Week Starting],"&gt;="&amp;TODAY()-90, Weekly_Metrics[Week Starting], "&lt;="&amp;TODAY())</f>
        <v>7.875</v>
      </c>
      <c r="F6" s="120">
        <f ca="1">AVERAGEIFS(Weekly_Metrics[Hours], Weekly_Metrics[Week Starting],"&gt;="&amp;TODAY()-30, Weekly_Metrics[Week Starting], "&lt;="&amp;TODAY())</f>
        <v>11</v>
      </c>
      <c r="G6" s="55"/>
      <c r="H6" s="55"/>
      <c r="I6" s="55"/>
      <c r="J6" s="353" t="s">
        <v>133</v>
      </c>
      <c r="K6" s="354">
        <v>1097.76</v>
      </c>
      <c r="L6" s="354">
        <v>1025.76</v>
      </c>
      <c r="M6" s="354">
        <v>1721.6899999999998</v>
      </c>
      <c r="N6" s="354">
        <v>1611.08</v>
      </c>
      <c r="O6" s="354">
        <v>2019.6999999999996</v>
      </c>
      <c r="P6" s="476">
        <v>773.81000000000006</v>
      </c>
      <c r="Q6" s="55"/>
      <c r="R6" s="55"/>
      <c r="S6">
        <v>2026</v>
      </c>
      <c r="T6">
        <v>18</v>
      </c>
      <c r="U6" s="40">
        <v>46139</v>
      </c>
      <c r="V6">
        <v>1</v>
      </c>
      <c r="W6" s="4">
        <v>5</v>
      </c>
      <c r="X6">
        <v>13</v>
      </c>
      <c r="Y6" s="11">
        <v>9.4522999999999993</v>
      </c>
      <c r="Z6" s="11">
        <v>122.88</v>
      </c>
      <c r="AA6" s="11">
        <v>22.464400000000001</v>
      </c>
      <c r="AB6" s="55"/>
      <c r="AC6" s="55"/>
      <c r="AD6" s="89">
        <v>2026</v>
      </c>
      <c r="AE6" t="s">
        <v>350</v>
      </c>
      <c r="AF6">
        <v>5</v>
      </c>
      <c r="AG6" s="11">
        <v>18.184000000000001</v>
      </c>
      <c r="AH6" s="11">
        <v>29.613199999999999</v>
      </c>
      <c r="AI6">
        <v>22</v>
      </c>
      <c r="AJ6">
        <v>36</v>
      </c>
      <c r="AK6" s="8">
        <v>652.94000000000005</v>
      </c>
      <c r="AL6" s="55"/>
      <c r="AM6" s="55"/>
      <c r="AN6" s="55"/>
      <c r="AO6" s="55"/>
      <c r="AP6" s="55"/>
      <c r="AQ6" s="55"/>
      <c r="AR6" s="55"/>
      <c r="AS6" s="55"/>
    </row>
    <row r="7" spans="1:45" ht="15.5" x14ac:dyDescent="0.35">
      <c r="A7" s="55"/>
      <c r="B7" s="10" t="s">
        <v>130</v>
      </c>
      <c r="C7" s="120">
        <f>MAX(Weekly_Metrics[Hours])</f>
        <v>41</v>
      </c>
      <c r="D7" s="324">
        <f ca="1">_xlfn.MAXIFS(Weekly_Metrics[Hours], Weekly_Metrics[Week Starting],"&gt;="&amp;TODAY()-365, Weekly_Metrics[Week Starting], "&lt;="&amp;TODAY())</f>
        <v>36</v>
      </c>
      <c r="E7" s="120">
        <f ca="1">_xlfn.MAXIFS(Weekly_Metrics[Hours], Weekly_Metrics[Week Starting],"&gt;="&amp;TODAY()-90, Weekly_Metrics[Week Starting], "&lt;="&amp;TODAY())</f>
        <v>13</v>
      </c>
      <c r="F7" s="120">
        <f ca="1">_xlfn.MAXIFS(Weekly_Metrics[Hours], Weekly_Metrics[Week Starting],"&gt;="&amp;TODAY()-30, Weekly_Metrics[Week Starting], "&lt;="&amp;TODAY())</f>
        <v>11</v>
      </c>
      <c r="G7" s="55"/>
      <c r="H7" s="55"/>
      <c r="I7" s="55"/>
      <c r="J7" s="353" t="s">
        <v>134</v>
      </c>
      <c r="K7" s="354">
        <v>330.07</v>
      </c>
      <c r="L7" s="354">
        <v>341.12</v>
      </c>
      <c r="M7" s="354">
        <v>1288.05</v>
      </c>
      <c r="N7" s="354">
        <v>1953.53</v>
      </c>
      <c r="O7" s="354">
        <v>1659.9000000000003</v>
      </c>
      <c r="P7" s="476">
        <v>710.68</v>
      </c>
      <c r="Q7" s="55"/>
      <c r="R7" s="55"/>
      <c r="S7">
        <v>2026</v>
      </c>
      <c r="T7">
        <v>17</v>
      </c>
      <c r="U7" s="40">
        <v>46132</v>
      </c>
      <c r="V7">
        <v>2</v>
      </c>
      <c r="W7" s="4">
        <v>12</v>
      </c>
      <c r="X7">
        <v>27</v>
      </c>
      <c r="Y7" s="11">
        <v>20.467199999999998</v>
      </c>
      <c r="Z7" s="11">
        <v>531.25</v>
      </c>
      <c r="AA7" s="11">
        <v>44.441800000000001</v>
      </c>
      <c r="AB7" s="55"/>
      <c r="AC7" s="55"/>
      <c r="AD7" s="89">
        <v>2026</v>
      </c>
      <c r="AE7" t="s">
        <v>351</v>
      </c>
      <c r="AF7">
        <v>11</v>
      </c>
      <c r="AG7" s="11">
        <v>13.680099999999999</v>
      </c>
      <c r="AH7" s="11">
        <v>25.284500000000001</v>
      </c>
      <c r="AI7">
        <v>30</v>
      </c>
      <c r="AJ7">
        <v>58</v>
      </c>
      <c r="AK7" s="8">
        <v>807.98</v>
      </c>
      <c r="AL7" s="55"/>
      <c r="AM7" s="55"/>
      <c r="AN7" s="55"/>
      <c r="AO7" s="55"/>
      <c r="AP7" s="55"/>
      <c r="AQ7" s="55"/>
      <c r="AR7" s="55"/>
      <c r="AS7" s="55"/>
    </row>
    <row r="8" spans="1:45" x14ac:dyDescent="0.35">
      <c r="A8" s="55"/>
      <c r="B8" s="55"/>
      <c r="C8" s="55"/>
      <c r="D8" s="55"/>
      <c r="E8" s="55"/>
      <c r="F8" s="55"/>
      <c r="G8" s="237"/>
      <c r="H8" s="237"/>
      <c r="I8" s="237"/>
      <c r="J8" s="353" t="s">
        <v>135</v>
      </c>
      <c r="K8" s="354">
        <v>1232.6499999999999</v>
      </c>
      <c r="L8" s="354">
        <v>733.12999999999988</v>
      </c>
      <c r="M8" s="354">
        <v>1200.72</v>
      </c>
      <c r="N8" s="354">
        <v>2376.0300000000002</v>
      </c>
      <c r="O8" s="354">
        <v>2474.94</v>
      </c>
      <c r="P8" s="476">
        <v>647.18000000000006</v>
      </c>
      <c r="Q8" s="55"/>
      <c r="R8" s="55"/>
      <c r="S8">
        <v>2026</v>
      </c>
      <c r="T8">
        <v>16</v>
      </c>
      <c r="U8" s="40">
        <v>46125</v>
      </c>
      <c r="V8">
        <v>1</v>
      </c>
      <c r="W8" s="4">
        <v>3</v>
      </c>
      <c r="X8">
        <v>8</v>
      </c>
      <c r="Y8" s="11">
        <v>7.0688000000000004</v>
      </c>
      <c r="Z8" s="11">
        <v>56.55</v>
      </c>
      <c r="AA8" s="11">
        <v>18.125</v>
      </c>
      <c r="AB8" s="55"/>
      <c r="AC8" s="55"/>
      <c r="AD8" s="89">
        <v>2025</v>
      </c>
      <c r="AE8" t="s">
        <v>352</v>
      </c>
      <c r="AF8">
        <v>15</v>
      </c>
      <c r="AG8" s="11">
        <v>12.444000000000001</v>
      </c>
      <c r="AH8" s="11">
        <v>21.8001</v>
      </c>
      <c r="AI8">
        <v>82</v>
      </c>
      <c r="AJ8">
        <v>150</v>
      </c>
      <c r="AK8" s="8">
        <v>1806.19</v>
      </c>
      <c r="AL8" s="55"/>
      <c r="AM8" s="55"/>
      <c r="AN8" s="55"/>
      <c r="AO8" s="55"/>
      <c r="AP8" s="55"/>
      <c r="AQ8" s="55"/>
      <c r="AR8" s="55"/>
      <c r="AS8" s="55"/>
    </row>
    <row r="9" spans="1:45" ht="15.5" x14ac:dyDescent="0.35">
      <c r="A9" s="55"/>
      <c r="B9" s="10" t="s">
        <v>391</v>
      </c>
      <c r="C9" s="120"/>
      <c r="D9" s="324">
        <f ca="1">SUMIFS(EarningsPerDay[Miles], EarningsPerDay[Date], "&gt;="&amp;TODAY()-365, EarningsPerDay[Date], "&lt;="&amp;TODAY())/12</f>
        <v>1380.0333333333335</v>
      </c>
      <c r="E9" s="120">
        <f ca="1">SUMIFS(EarningsPerDay[Miles], EarningsPerDay[Date], "&gt;="&amp;TODAY()-90, EarningsPerDay[Date], "&lt;="&amp;TODAY())/3</f>
        <v>473.66666666666669</v>
      </c>
      <c r="F9" s="120">
        <f ca="1">SUMIFS(EarningsPerDay[Miles], EarningsPerDay[Date], "&gt;="&amp;TODAY()-30, EarningsPerDay[Date], "&lt;="&amp;TODAY())</f>
        <v>459</v>
      </c>
      <c r="G9" s="419">
        <f ca="1">AVERAGE(C9:F9)</f>
        <v>770.90000000000009</v>
      </c>
      <c r="H9" s="237"/>
      <c r="I9" s="55"/>
      <c r="J9" s="353" t="s">
        <v>136</v>
      </c>
      <c r="K9" s="354">
        <v>808.35999999999979</v>
      </c>
      <c r="L9" s="354">
        <v>1261.47</v>
      </c>
      <c r="M9" s="354">
        <v>729.21999999999991</v>
      </c>
      <c r="N9" s="354">
        <v>2692.4500000000003</v>
      </c>
      <c r="O9" s="354">
        <v>2317.42</v>
      </c>
      <c r="P9" s="476"/>
      <c r="Q9" s="55"/>
      <c r="R9" s="55"/>
      <c r="S9">
        <v>2026</v>
      </c>
      <c r="T9">
        <v>13</v>
      </c>
      <c r="U9" s="40">
        <v>46104</v>
      </c>
      <c r="V9">
        <v>2</v>
      </c>
      <c r="W9" s="4">
        <v>9</v>
      </c>
      <c r="X9">
        <v>15</v>
      </c>
      <c r="Y9" s="11">
        <v>14.401199999999999</v>
      </c>
      <c r="Z9" s="11">
        <v>214.03</v>
      </c>
      <c r="AA9" s="11">
        <v>23.412400000000002</v>
      </c>
      <c r="AB9" s="55"/>
      <c r="AC9" s="55"/>
      <c r="AD9" s="89">
        <v>2025</v>
      </c>
      <c r="AE9" t="s">
        <v>353</v>
      </c>
      <c r="AF9">
        <v>18</v>
      </c>
      <c r="AG9" s="11">
        <v>10.2532</v>
      </c>
      <c r="AH9" s="11">
        <v>20.677600000000002</v>
      </c>
      <c r="AI9">
        <v>73</v>
      </c>
      <c r="AJ9">
        <v>150</v>
      </c>
      <c r="AK9" s="8">
        <v>1553.52</v>
      </c>
      <c r="AL9" s="55"/>
      <c r="AM9" s="55"/>
      <c r="AN9" s="55"/>
      <c r="AO9" s="55"/>
      <c r="AP9" s="55"/>
      <c r="AQ9" s="55"/>
      <c r="AR9" s="55"/>
      <c r="AS9" s="55"/>
    </row>
    <row r="10" spans="1:45" ht="15.5" x14ac:dyDescent="0.35">
      <c r="A10" s="55"/>
      <c r="B10" s="10" t="s">
        <v>257</v>
      </c>
      <c r="C10" s="120">
        <f>AVERAGE(EarningsPerDay[Miles])</f>
        <v>97.645049526829325</v>
      </c>
      <c r="D10" s="324">
        <f ca="1">AVERAGEIFS(EarningsPerDay[Miles], EarningsPerDay[Date], "&gt;="&amp;TODAY()-365, EarningsPerDay[Date], "&lt;="&amp;TODAY())</f>
        <v>109.67152317880796</v>
      </c>
      <c r="E10" s="120">
        <f ca="1">AVERAGEIFS(EarningsPerDay[Miles], EarningsPerDay[Date], "&gt;="&amp;TODAY()-90, EarningsPerDay[Date], "&lt;="&amp;TODAY())</f>
        <v>94.733333333333334</v>
      </c>
      <c r="F10" s="120">
        <f ca="1">AVERAGEIFS(EarningsPerDay[Miles], EarningsPerDay[Date], "&gt;="&amp;TODAY()-30, EarningsPerDay[Date], "&lt;="&amp;TODAY())</f>
        <v>114.75</v>
      </c>
      <c r="G10" s="55"/>
      <c r="H10" s="237"/>
      <c r="I10" s="55"/>
      <c r="J10" s="353" t="s">
        <v>137</v>
      </c>
      <c r="K10" s="354">
        <v>154.69999999999999</v>
      </c>
      <c r="L10" s="354">
        <v>1396.0200000000004</v>
      </c>
      <c r="M10" s="354">
        <v>1884.2900000000002</v>
      </c>
      <c r="N10" s="354">
        <v>2493.3399999999997</v>
      </c>
      <c r="O10" s="354">
        <v>1294.68</v>
      </c>
      <c r="P10" s="476"/>
      <c r="Q10" s="55"/>
      <c r="R10" s="55"/>
      <c r="S10">
        <v>2026</v>
      </c>
      <c r="T10">
        <v>12</v>
      </c>
      <c r="U10" s="40">
        <v>46097</v>
      </c>
      <c r="V10">
        <v>1</v>
      </c>
      <c r="W10" s="4">
        <v>4</v>
      </c>
      <c r="X10">
        <v>4</v>
      </c>
      <c r="Y10" s="11">
        <v>18.017499999999998</v>
      </c>
      <c r="Z10" s="11">
        <v>72.069999999999993</v>
      </c>
      <c r="AA10" s="11">
        <v>19.218699999999998</v>
      </c>
      <c r="AB10" s="55"/>
      <c r="AC10" s="55"/>
      <c r="AD10" s="89">
        <v>2025</v>
      </c>
      <c r="AE10" t="s">
        <v>354</v>
      </c>
      <c r="AF10">
        <v>15</v>
      </c>
      <c r="AG10" s="11">
        <v>13.304</v>
      </c>
      <c r="AH10" s="11">
        <v>24.3993</v>
      </c>
      <c r="AI10">
        <v>83</v>
      </c>
      <c r="AJ10">
        <v>167</v>
      </c>
      <c r="AK10" s="8">
        <v>2077.48</v>
      </c>
      <c r="AL10" s="55"/>
      <c r="AM10" s="55"/>
      <c r="AN10" s="55"/>
      <c r="AO10" s="55"/>
      <c r="AP10" s="55"/>
      <c r="AQ10" s="55"/>
      <c r="AR10" s="55"/>
      <c r="AS10" s="55"/>
    </row>
    <row r="11" spans="1:45" ht="15.5" x14ac:dyDescent="0.35">
      <c r="A11" s="124" t="str">
        <f>SUM(Combined[Trips])&amp; " Trips"</f>
        <v>8443 Trips</v>
      </c>
      <c r="B11" s="10" t="s">
        <v>307</v>
      </c>
      <c r="C11" s="120">
        <f>AVERAGE(EarningsPerDay[Deliveries])</f>
        <v>9.5725623582766435</v>
      </c>
      <c r="D11" s="324">
        <f ca="1">AVERAGEIFS(EarningsPerDay[Deliveries], EarningsPerDay[Date],"&gt;="&amp;TODAY()-365, EarningsPerDay[Date], "&lt;="&amp;TODAY())</f>
        <v>9.1788079470198678</v>
      </c>
      <c r="E11" s="120">
        <f ca="1">AVERAGEIFS(EarningsPerDay[Deliveries], EarningsPerDay[Date],"&gt;="&amp;TODAY()-90, EarningsPerDay[Date], "&lt;="&amp;TODAY())</f>
        <v>8.3333333333333339</v>
      </c>
      <c r="F11" s="120">
        <f ca="1">AVERAGEIFS(EarningsPerDay[Deliveries], EarningsPerDay[Date],"&gt;="&amp;TODAY()-30, EarningsPerDay[Date], "&lt;="&amp;TODAY())</f>
        <v>9.25</v>
      </c>
      <c r="G11" s="419">
        <f ca="1">AVERAGE(C11:F11)</f>
        <v>9.0836759096574617</v>
      </c>
      <c r="H11" s="237"/>
      <c r="I11" s="55"/>
      <c r="J11" s="353" t="s">
        <v>138</v>
      </c>
      <c r="K11" s="354">
        <v>97.46</v>
      </c>
      <c r="L11" s="354">
        <v>1245.97</v>
      </c>
      <c r="M11" s="354">
        <v>1977.1600000000003</v>
      </c>
      <c r="N11" s="354">
        <v>2947.1000000000004</v>
      </c>
      <c r="O11" s="354">
        <v>2524.4299999999998</v>
      </c>
      <c r="P11" s="476"/>
      <c r="Q11" s="55"/>
      <c r="R11" s="55"/>
      <c r="S11">
        <v>2026</v>
      </c>
      <c r="T11">
        <v>11</v>
      </c>
      <c r="U11" s="40">
        <v>46090</v>
      </c>
      <c r="V11">
        <v>2</v>
      </c>
      <c r="W11" s="4">
        <v>8</v>
      </c>
      <c r="X11">
        <v>12</v>
      </c>
      <c r="Y11" s="11">
        <v>19.2333</v>
      </c>
      <c r="Z11" s="11">
        <v>230.8</v>
      </c>
      <c r="AA11" s="11">
        <v>28.733799999999999</v>
      </c>
      <c r="AB11" s="55"/>
      <c r="AC11" s="55"/>
      <c r="AD11" s="89">
        <v>2025</v>
      </c>
      <c r="AE11" t="s">
        <v>355</v>
      </c>
      <c r="AF11">
        <v>22</v>
      </c>
      <c r="AG11" s="11">
        <v>13.910299999999999</v>
      </c>
      <c r="AH11" s="11">
        <v>24.620799999999999</v>
      </c>
      <c r="AI11">
        <v>110</v>
      </c>
      <c r="AJ11">
        <v>210</v>
      </c>
      <c r="AK11" s="8">
        <v>2651.85</v>
      </c>
      <c r="AL11" s="55"/>
      <c r="AM11" s="55"/>
      <c r="AN11" s="55"/>
      <c r="AO11" s="55"/>
      <c r="AP11" s="55"/>
      <c r="AQ11" s="55"/>
      <c r="AR11" s="55"/>
      <c r="AS11" s="55"/>
    </row>
    <row r="12" spans="1:45" ht="15.5" x14ac:dyDescent="0.35">
      <c r="A12" s="55"/>
      <c r="B12" s="10" t="s">
        <v>167</v>
      </c>
      <c r="C12" s="131">
        <f>AVERAGE(EarningsPerDay[Trips/Hr])</f>
        <v>2.0684072028824865</v>
      </c>
      <c r="D12" s="325">
        <f ca="1">AVERAGEIFS(EarningsPerDay[Trips/Hr], EarningsPerDay[Date], "&gt;="&amp;TODAY()-365, EarningsPerDay[Date], "&lt;="&amp;TODAY())</f>
        <v>1.9076575875757535</v>
      </c>
      <c r="E12" s="131">
        <f ca="1">AVERAGEIFS(EarningsPerDay[Trips/Hr], EarningsPerDay[Date], "&gt;="&amp;TODAY()-90, EarningsPerDay[Date], "&lt;="&amp;TODAY())</f>
        <v>1.8077185229400072</v>
      </c>
      <c r="F12" s="131">
        <f ca="1">AVERAGEIFS(EarningsPerDay[Trips/Hr], EarningsPerDay[Date], "&gt;="&amp;TODAY()-30, EarningsPerDay[Date], "&lt;="&amp;TODAY())</f>
        <v>1.7502893474034873</v>
      </c>
      <c r="G12" s="55"/>
      <c r="H12" s="237"/>
      <c r="I12" s="237"/>
      <c r="J12" s="353" t="s">
        <v>139</v>
      </c>
      <c r="K12" s="354">
        <v>322.40999999999997</v>
      </c>
      <c r="L12" s="354">
        <v>2452.79</v>
      </c>
      <c r="M12" s="354">
        <v>1806.8</v>
      </c>
      <c r="N12" s="354">
        <v>2421.4699999999993</v>
      </c>
      <c r="O12" s="354">
        <v>2651.8499999999995</v>
      </c>
      <c r="P12" s="476"/>
      <c r="Q12" s="55"/>
      <c r="R12" s="55"/>
      <c r="S12">
        <v>2026</v>
      </c>
      <c r="T12">
        <v>10</v>
      </c>
      <c r="U12" s="40">
        <v>46083</v>
      </c>
      <c r="V12">
        <v>3</v>
      </c>
      <c r="W12" s="4">
        <v>10</v>
      </c>
      <c r="X12">
        <v>25</v>
      </c>
      <c r="Y12" s="11">
        <v>10.122199999999999</v>
      </c>
      <c r="Z12" s="11">
        <v>256.91000000000003</v>
      </c>
      <c r="AA12" s="11">
        <v>24.413</v>
      </c>
      <c r="AB12" s="55"/>
      <c r="AC12" s="55"/>
      <c r="AD12" s="89">
        <v>2025</v>
      </c>
      <c r="AE12" t="s">
        <v>356</v>
      </c>
      <c r="AF12">
        <v>22</v>
      </c>
      <c r="AG12" s="11">
        <v>11.445600000000001</v>
      </c>
      <c r="AH12" s="11">
        <v>20.896000000000001</v>
      </c>
      <c r="AI12">
        <v>120</v>
      </c>
      <c r="AJ12">
        <v>229</v>
      </c>
      <c r="AK12" s="8">
        <v>2524.4299999999998</v>
      </c>
      <c r="AL12" s="55"/>
      <c r="AM12" s="55"/>
      <c r="AN12" s="55"/>
      <c r="AO12" s="55"/>
      <c r="AP12" s="55"/>
      <c r="AQ12" s="55"/>
      <c r="AR12" s="55"/>
      <c r="AS12" s="55"/>
    </row>
    <row r="13" spans="1:45" x14ac:dyDescent="0.35">
      <c r="A13" s="55"/>
      <c r="B13" s="55"/>
      <c r="C13" s="55"/>
      <c r="D13" s="55"/>
      <c r="E13" s="55"/>
      <c r="F13" s="55"/>
      <c r="G13" s="237"/>
      <c r="H13" s="237"/>
      <c r="I13" s="55"/>
      <c r="J13" s="353" t="s">
        <v>140</v>
      </c>
      <c r="K13" s="354">
        <v>319.71999999999997</v>
      </c>
      <c r="L13" s="354">
        <v>1195.0899999999999</v>
      </c>
      <c r="M13" s="354">
        <v>1599.4</v>
      </c>
      <c r="N13" s="354">
        <v>1747.4599999999998</v>
      </c>
      <c r="O13" s="354">
        <v>2077.4799999999996</v>
      </c>
      <c r="P13" s="476"/>
      <c r="Q13" s="55"/>
      <c r="R13" s="55"/>
      <c r="S13">
        <v>2026</v>
      </c>
      <c r="T13">
        <v>8</v>
      </c>
      <c r="U13" s="40">
        <v>46069</v>
      </c>
      <c r="V13">
        <v>2</v>
      </c>
      <c r="W13" s="4">
        <v>9</v>
      </c>
      <c r="X13">
        <v>19</v>
      </c>
      <c r="Y13" s="11">
        <v>19.251000000000001</v>
      </c>
      <c r="Z13" s="11">
        <v>366.24</v>
      </c>
      <c r="AA13" s="11">
        <v>39.827199999999998</v>
      </c>
      <c r="AB13" s="55"/>
      <c r="AC13" s="55"/>
      <c r="AD13" s="89">
        <v>2025</v>
      </c>
      <c r="AE13" t="s">
        <v>357</v>
      </c>
      <c r="AF13">
        <v>11</v>
      </c>
      <c r="AG13" s="11">
        <v>11.970599999999999</v>
      </c>
      <c r="AH13" s="11">
        <v>21.8611</v>
      </c>
      <c r="AI13">
        <v>61</v>
      </c>
      <c r="AJ13">
        <v>114</v>
      </c>
      <c r="AK13" s="8">
        <v>1294.68</v>
      </c>
      <c r="AL13" s="55"/>
      <c r="AM13" s="55"/>
      <c r="AN13" s="55"/>
      <c r="AO13" s="55"/>
      <c r="AP13" s="55"/>
      <c r="AQ13" s="55"/>
      <c r="AR13" s="55"/>
      <c r="AS13" s="55"/>
    </row>
    <row r="14" spans="1:45" ht="15.5" x14ac:dyDescent="0.35">
      <c r="A14" s="55"/>
      <c r="B14" s="10" t="s">
        <v>132</v>
      </c>
      <c r="C14" s="369">
        <f>AVERAGE(Monthly_Metrics[Total Earnings])</f>
        <v>1392.6590769230772</v>
      </c>
      <c r="D14" s="370">
        <f ca="1">(SUMIFS(EarningsPerDay[Gross Earnings], EarningsPerDay[Date],"&gt;="&amp;TODAY()-365, EarningsPerDay[Date], "&lt;="&amp;TODAY()))/12</f>
        <v>1415.1791666666659</v>
      </c>
      <c r="E14" s="369">
        <f ca="1">SUMIFS(EarningsPerDay[Gross Earnings], EarningsPerDay[Date],"&gt;="&amp;TODAY()-90, EarningsPerDay[Date], "&lt;="&amp;TODAY())/3</f>
        <v>580.14</v>
      </c>
      <c r="F14" s="369">
        <f ca="1">SUMIFS(EarningsPerDay[Gross Earnings], EarningsPerDay[Date],"&gt;="&amp;TODAY()-30, EarningsPerDay[Date], "&lt;="&amp;TODAY())</f>
        <v>489.74</v>
      </c>
      <c r="G14" s="424">
        <f ca="1">AVERAGE(C14:F14)</f>
        <v>969.42956089743575</v>
      </c>
      <c r="H14" s="237"/>
      <c r="I14" s="55"/>
      <c r="J14" s="353" t="s">
        <v>142</v>
      </c>
      <c r="K14" s="354">
        <v>1317.7499999999998</v>
      </c>
      <c r="L14" s="354">
        <v>1427.7800000000004</v>
      </c>
      <c r="M14" s="354">
        <v>1834.45</v>
      </c>
      <c r="N14" s="354">
        <v>1886.7199999999998</v>
      </c>
      <c r="O14" s="354">
        <v>1553.5200000000002</v>
      </c>
      <c r="P14" s="476"/>
      <c r="Q14" s="55"/>
      <c r="R14" s="55"/>
      <c r="S14">
        <v>2026</v>
      </c>
      <c r="T14">
        <v>7</v>
      </c>
      <c r="U14" s="40">
        <v>46062</v>
      </c>
      <c r="V14">
        <v>2</v>
      </c>
      <c r="W14" s="4">
        <v>8</v>
      </c>
      <c r="X14">
        <v>10</v>
      </c>
      <c r="Y14" s="11">
        <v>16.084</v>
      </c>
      <c r="Z14" s="11">
        <v>144.94999999999999</v>
      </c>
      <c r="AA14" s="11">
        <v>18.3856</v>
      </c>
      <c r="AB14" s="55"/>
      <c r="AC14" s="55"/>
      <c r="AD14" s="89">
        <v>2025</v>
      </c>
      <c r="AE14" t="s">
        <v>358</v>
      </c>
      <c r="AF14">
        <v>21</v>
      </c>
      <c r="AG14" s="11">
        <v>11.8103</v>
      </c>
      <c r="AH14" s="11">
        <v>22.5246</v>
      </c>
      <c r="AI14">
        <v>102</v>
      </c>
      <c r="AJ14">
        <v>201</v>
      </c>
      <c r="AK14" s="8">
        <v>2317.42</v>
      </c>
      <c r="AL14" s="55"/>
      <c r="AM14" s="55"/>
      <c r="AN14" s="55"/>
      <c r="AO14" s="55"/>
      <c r="AP14" s="55"/>
      <c r="AQ14" s="55"/>
      <c r="AR14" s="55"/>
      <c r="AS14" s="55"/>
    </row>
    <row r="15" spans="1:45" ht="16" thickBot="1" x14ac:dyDescent="0.4">
      <c r="A15" s="55"/>
      <c r="B15" s="10" t="s">
        <v>55</v>
      </c>
      <c r="C15" s="369">
        <f>AVERAGE(Weekly_Metrics[Total Earnings])</f>
        <v>356.38913385826766</v>
      </c>
      <c r="D15" s="370">
        <f ca="1">SUMIFS(EarningsPerDay[Gross Earnings], EarningsPerDay[Date],"&gt;="&amp;TODAY()-365, EarningsPerDay[Date], "&lt;="&amp;TODAY())/52</f>
        <v>326.5798076923075</v>
      </c>
      <c r="E15" s="369">
        <f ca="1">SUMIFS(EarningsPerDay[Gross Earnings], EarningsPerDay[Date],"&gt;="&amp;TODAY()-90, EarningsPerDay[Date], "&lt;="&amp;TODAY())/((52/12)*3)</f>
        <v>133.87846153846155</v>
      </c>
      <c r="F15" s="369">
        <f ca="1">SUMIFS(EarningsPerDay[Gross Earnings], EarningsPerDay[Date],"&gt;="&amp;TODAY()-30, EarningsPerDay[Date], "&lt;="&amp;TODAY())/(52/12)</f>
        <v>113.01692307692309</v>
      </c>
      <c r="G15" s="374">
        <f ca="1">AVERAGE(C15:F15)</f>
        <v>232.46608154148998</v>
      </c>
      <c r="H15" s="55">
        <v>281.70999999999998</v>
      </c>
      <c r="I15" s="55"/>
      <c r="J15" s="353" t="s">
        <v>144</v>
      </c>
      <c r="K15" s="364">
        <v>674.57</v>
      </c>
      <c r="L15" s="364">
        <v>1941.5200000000004</v>
      </c>
      <c r="M15" s="364">
        <v>1111.02</v>
      </c>
      <c r="N15" s="364">
        <v>324.91000000000003</v>
      </c>
      <c r="O15" s="364">
        <v>1806.1900000000003</v>
      </c>
      <c r="P15" s="477"/>
      <c r="Q15" s="55"/>
      <c r="R15" s="55"/>
      <c r="S15">
        <v>2026</v>
      </c>
      <c r="T15">
        <v>5</v>
      </c>
      <c r="U15" s="40">
        <v>46048</v>
      </c>
      <c r="V15">
        <v>2</v>
      </c>
      <c r="W15" s="4">
        <v>5</v>
      </c>
      <c r="X15">
        <v>9</v>
      </c>
      <c r="Y15" s="11">
        <v>15.585000000000001</v>
      </c>
      <c r="Z15" s="11">
        <v>163.59</v>
      </c>
      <c r="AA15" s="11">
        <v>28.667400000000001</v>
      </c>
      <c r="AB15" s="55"/>
      <c r="AC15" s="55"/>
      <c r="AD15" s="89">
        <v>2025</v>
      </c>
      <c r="AE15" t="s">
        <v>135</v>
      </c>
      <c r="AF15">
        <v>22</v>
      </c>
      <c r="AG15" s="11">
        <v>11.7704</v>
      </c>
      <c r="AH15" s="11">
        <v>21.859100000000002</v>
      </c>
      <c r="AI15">
        <v>114</v>
      </c>
      <c r="AJ15">
        <v>220</v>
      </c>
      <c r="AK15" s="8">
        <v>2474.94</v>
      </c>
      <c r="AL15" s="55"/>
      <c r="AM15" s="55"/>
      <c r="AN15" s="55"/>
      <c r="AO15" s="55"/>
      <c r="AP15" s="55"/>
      <c r="AQ15" s="55"/>
      <c r="AR15" s="55"/>
      <c r="AS15" s="55"/>
    </row>
    <row r="16" spans="1:45" x14ac:dyDescent="0.35">
      <c r="A16" s="55"/>
      <c r="B16" s="55"/>
      <c r="C16" s="55"/>
      <c r="D16" s="55"/>
      <c r="E16" s="55"/>
      <c r="F16" s="55"/>
      <c r="G16" s="237"/>
      <c r="H16" s="237"/>
      <c r="I16" s="55"/>
      <c r="J16" s="55"/>
      <c r="K16" s="363">
        <f>SUM(K4:K15)</f>
        <v>7222.7699999999995</v>
      </c>
      <c r="L16" s="363">
        <f t="shared" ref="L16:P16" si="0">SUM(L4:L15)</f>
        <v>13870.090000000002</v>
      </c>
      <c r="M16" s="363">
        <f t="shared" si="0"/>
        <v>18951.8</v>
      </c>
      <c r="N16" s="363">
        <f t="shared" si="0"/>
        <v>24066.84</v>
      </c>
      <c r="O16" s="363">
        <f t="shared" si="0"/>
        <v>22818.75</v>
      </c>
      <c r="P16" s="363">
        <f t="shared" si="0"/>
        <v>3592.59</v>
      </c>
      <c r="Q16" s="55"/>
      <c r="R16" s="55"/>
      <c r="S16">
        <v>2026</v>
      </c>
      <c r="T16">
        <v>4</v>
      </c>
      <c r="U16" s="40">
        <v>46041</v>
      </c>
      <c r="V16">
        <v>2</v>
      </c>
      <c r="W16" s="4">
        <v>9</v>
      </c>
      <c r="X16">
        <v>14</v>
      </c>
      <c r="Y16" s="11">
        <v>13.374000000000001</v>
      </c>
      <c r="Z16" s="11">
        <v>188.09</v>
      </c>
      <c r="AA16" s="11">
        <v>20.638200000000001</v>
      </c>
      <c r="AB16" s="55"/>
      <c r="AC16" s="55"/>
      <c r="AD16" s="89">
        <v>2025</v>
      </c>
      <c r="AE16" t="s">
        <v>359</v>
      </c>
      <c r="AF16">
        <v>16</v>
      </c>
      <c r="AG16" s="11">
        <v>10.657400000000001</v>
      </c>
      <c r="AH16" s="11">
        <v>21.054500000000001</v>
      </c>
      <c r="AI16">
        <v>78</v>
      </c>
      <c r="AJ16">
        <v>155</v>
      </c>
      <c r="AK16" s="8">
        <v>1659.9</v>
      </c>
      <c r="AL16" s="55"/>
      <c r="AM16" s="55"/>
      <c r="AN16" s="55"/>
      <c r="AO16" s="55"/>
      <c r="AP16" s="55"/>
      <c r="AQ16" s="55"/>
      <c r="AR16" s="55"/>
      <c r="AS16" s="55"/>
    </row>
    <row r="17" spans="1:45" ht="15.5" x14ac:dyDescent="0.35">
      <c r="A17" s="55"/>
      <c r="B17" s="10" t="s">
        <v>433</v>
      </c>
      <c r="C17" s="332">
        <f>AVERAGE(EarningsPerDay[Gross Earnings])</f>
        <v>102.63360544217691</v>
      </c>
      <c r="D17" s="335">
        <f ca="1">AVERAGEIFS(EarningsPerDay[Gross Earnings], EarningsPerDay[Date],"&gt;="&amp;TODAY()-365, EarningsPerDay[Date], "&lt;="&amp;TODAY())</f>
        <v>112.46456953642378</v>
      </c>
      <c r="E17" s="332">
        <f ca="1">AVERAGEIFS(EarningsPerDay[Gross Earnings], EarningsPerDay[Date],"&gt;="&amp;TODAY()-90, EarningsPerDay[Date], "&lt;="&amp;TODAY())</f>
        <v>116.02800000000001</v>
      </c>
      <c r="F17" s="332">
        <f ca="1">AVERAGEIFS(EarningsPerDay[Gross Earnings], EarningsPerDay[Date],"&gt;="&amp;TODAY()-30, EarningsPerDay[Date], "&lt;="&amp;TODAY())</f>
        <v>122.435</v>
      </c>
      <c r="G17" s="374">
        <f ca="1">AVERAGE(C17:F17)</f>
        <v>113.39029374465018</v>
      </c>
      <c r="H17" s="237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>
        <v>2026</v>
      </c>
      <c r="T17">
        <v>3</v>
      </c>
      <c r="U17" s="40">
        <v>46034</v>
      </c>
      <c r="V17">
        <v>4</v>
      </c>
      <c r="W17" s="4">
        <v>12</v>
      </c>
      <c r="X17">
        <v>28</v>
      </c>
      <c r="Y17" s="11">
        <v>11.571999999999999</v>
      </c>
      <c r="Z17" s="11">
        <v>353.42</v>
      </c>
      <c r="AA17" s="11">
        <v>25.5304</v>
      </c>
      <c r="AB17" s="55"/>
      <c r="AC17" s="55"/>
      <c r="AD17" s="89">
        <v>2025</v>
      </c>
      <c r="AE17" t="s">
        <v>360</v>
      </c>
      <c r="AF17">
        <v>19</v>
      </c>
      <c r="AG17" s="11">
        <v>10.7851</v>
      </c>
      <c r="AH17" s="11">
        <v>22.0395</v>
      </c>
      <c r="AI17">
        <v>86</v>
      </c>
      <c r="AJ17">
        <v>178</v>
      </c>
      <c r="AK17" s="8">
        <v>2019.7</v>
      </c>
      <c r="AL17" s="55"/>
      <c r="AM17" s="55"/>
      <c r="AN17" s="55"/>
      <c r="AO17" s="55"/>
      <c r="AP17" s="55"/>
      <c r="AQ17" s="55"/>
      <c r="AR17" s="55"/>
      <c r="AS17" s="55"/>
    </row>
    <row r="18" spans="1:45" ht="15.5" x14ac:dyDescent="0.35">
      <c r="A18" s="55"/>
      <c r="B18" s="10" t="s">
        <v>434</v>
      </c>
      <c r="C18" s="331">
        <f>AVERAGE(EarningsPerDay[$/Trip])</f>
        <v>11.063930390886643</v>
      </c>
      <c r="D18" s="334">
        <f ca="1">AVERAGEIFS(EarningsPerDay[$/Trip], EarningsPerDay[Date], "&gt;="&amp;TODAY()-365, EarningsPerDay[Date], "&lt;="&amp;TODAY())</f>
        <v>12.744706033341192</v>
      </c>
      <c r="E18" s="331">
        <f ca="1">AVERAGEIFS(EarningsPerDay[$/Trip], EarningsPerDay[Date], "&gt;="&amp;TODAY()-90, EarningsPerDay[Date], "&lt;="&amp;TODAY())</f>
        <v>13.748298555148555</v>
      </c>
      <c r="F18" s="331">
        <f ca="1">AVERAGEIFS(EarningsPerDay[$/Trip], EarningsPerDay[Date], "&gt;="&amp;TODAY()-30, EarningsPerDay[Date], "&lt;="&amp;TODAY())</f>
        <v>13.673375</v>
      </c>
      <c r="G18" s="55"/>
      <c r="H18" s="237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>
        <v>2026</v>
      </c>
      <c r="T18">
        <v>2</v>
      </c>
      <c r="U18" s="40">
        <v>46027</v>
      </c>
      <c r="V18">
        <v>1</v>
      </c>
      <c r="W18" s="4">
        <v>2</v>
      </c>
      <c r="X18">
        <v>2</v>
      </c>
      <c r="Y18" s="11">
        <v>21.1</v>
      </c>
      <c r="Z18" s="11">
        <v>42.2</v>
      </c>
      <c r="AA18" s="11">
        <v>24.5349</v>
      </c>
      <c r="AB18" s="55"/>
      <c r="AC18" s="55"/>
      <c r="AD18" s="89">
        <v>2025</v>
      </c>
      <c r="AE18" t="s">
        <v>350</v>
      </c>
      <c r="AF18">
        <v>15</v>
      </c>
      <c r="AG18" s="11">
        <v>12.087199999999999</v>
      </c>
      <c r="AH18" s="11">
        <v>21.9999</v>
      </c>
      <c r="AI18">
        <v>60</v>
      </c>
      <c r="AJ18">
        <v>114</v>
      </c>
      <c r="AK18" s="8">
        <v>1362.08</v>
      </c>
      <c r="AL18" s="55"/>
      <c r="AM18" s="55"/>
      <c r="AN18" s="55"/>
      <c r="AO18" s="55"/>
      <c r="AP18" s="55"/>
      <c r="AQ18" s="55"/>
      <c r="AR18" s="55"/>
      <c r="AS18" s="55"/>
    </row>
    <row r="19" spans="1:45" ht="15.5" x14ac:dyDescent="0.35">
      <c r="A19" s="55"/>
      <c r="B19" s="10" t="s">
        <v>407</v>
      </c>
      <c r="C19" s="331">
        <f>AVERAGE(Weekly_Metrics[$/Hour])</f>
        <v>22.098800393700795</v>
      </c>
      <c r="D19" s="334">
        <f ca="1">AVERAGEIFS(EarningsPerDay[Gross $/Hour], EarningsPerDay[Date],"&gt;="&amp;TODAY()-365, EarningsPerDay[Date], "&lt;="&amp;TODAY())</f>
        <v>23.171118251097631</v>
      </c>
      <c r="E19" s="331">
        <f ca="1">AVERAGEIFS(EarningsPerDay[Gross $/Hour], EarningsPerDay[Date],"&gt;="&amp;TODAY()-90, EarningsPerDay[Date], "&lt;="&amp;TODAY())</f>
        <v>24.397155336124033</v>
      </c>
      <c r="F19" s="333">
        <f ca="1">AVERAGEIFS(EarningsPerDay[Gross $/Hour], EarningsPerDay[Date],"&gt;="&amp;TODAY()-30, EarningsPerDay[Date], "&lt;="&amp;TODAY())</f>
        <v>23.646381310412231</v>
      </c>
      <c r="G19" s="374">
        <f ca="1">AVERAGE(C19:F19)</f>
        <v>23.328363822833673</v>
      </c>
      <c r="H19" s="237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>
        <v>2026</v>
      </c>
      <c r="T19">
        <v>1</v>
      </c>
      <c r="U19" s="40">
        <v>46020</v>
      </c>
      <c r="V19">
        <v>3</v>
      </c>
      <c r="W19" s="4">
        <v>6</v>
      </c>
      <c r="X19">
        <v>12</v>
      </c>
      <c r="Y19" s="11">
        <v>15.1419</v>
      </c>
      <c r="Z19" s="11">
        <v>202.43</v>
      </c>
      <c r="AA19" s="11">
        <v>28.1676</v>
      </c>
      <c r="AB19" s="55"/>
      <c r="AC19" s="55"/>
      <c r="AD19" s="89">
        <v>2025</v>
      </c>
      <c r="AE19" t="s">
        <v>351</v>
      </c>
      <c r="AF19">
        <v>16</v>
      </c>
      <c r="AG19" s="11">
        <v>11.7523</v>
      </c>
      <c r="AH19" s="11">
        <v>18.928599999999999</v>
      </c>
      <c r="AI19">
        <v>55</v>
      </c>
      <c r="AJ19">
        <v>98</v>
      </c>
      <c r="AK19" s="8">
        <v>1076.56</v>
      </c>
      <c r="AL19" s="55"/>
      <c r="AM19" s="55"/>
      <c r="AN19" s="55"/>
      <c r="AO19" s="55"/>
      <c r="AP19" s="55"/>
      <c r="AQ19" s="55"/>
      <c r="AR19" s="55"/>
      <c r="AS19" s="55"/>
    </row>
    <row r="20" spans="1:45" ht="15.5" x14ac:dyDescent="0.35">
      <c r="A20" s="55"/>
      <c r="B20" s="10" t="s">
        <v>409</v>
      </c>
      <c r="C20" s="331">
        <f>AVERAGE(EarningsPerDay[$/Mile])</f>
        <v>1.0902382696957127</v>
      </c>
      <c r="D20" s="334">
        <f ca="1">AVERAGEIFS(EarningsPerDay[$/Mile], EarningsPerDay[Date],"&gt;="&amp;TODAY()-365, EarningsPerDay[Date], "&lt;="&amp;TODAY())</f>
        <v>1.0591364543923723</v>
      </c>
      <c r="E20" s="331">
        <f ca="1">AVERAGEIFS(EarningsPerDay[$/Mile], EarningsPerDay[Date],"&gt;="&amp;TODAY()-90, EarningsPerDay[Date], "&lt;="&amp;TODAY())</f>
        <v>1.2316753348768954</v>
      </c>
      <c r="F20" s="333">
        <f ca="1">AVERAGEIFS(EarningsPerDay[$/Mile], EarningsPerDay[Date],"&gt;="&amp;TODAY()-30, EarningsPerDay[Date], "&lt;="&amp;TODAY())</f>
        <v>1.079211446946035</v>
      </c>
      <c r="G20" s="374">
        <f ca="1">AVERAGE(C20:F20)</f>
        <v>1.1150653764777538</v>
      </c>
      <c r="H20" s="237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>
        <v>2025</v>
      </c>
      <c r="T20">
        <v>51</v>
      </c>
      <c r="U20" s="40">
        <v>46006</v>
      </c>
      <c r="V20">
        <v>4</v>
      </c>
      <c r="W20" s="4">
        <v>18</v>
      </c>
      <c r="X20">
        <v>31</v>
      </c>
      <c r="Y20" s="11">
        <v>12.8948</v>
      </c>
      <c r="Z20" s="11">
        <v>398.66</v>
      </c>
      <c r="AA20" s="11">
        <v>21.962399999999999</v>
      </c>
      <c r="AB20" s="55"/>
      <c r="AC20" s="55"/>
      <c r="AD20" s="89">
        <v>2024</v>
      </c>
      <c r="AE20" t="s">
        <v>352</v>
      </c>
      <c r="AF20">
        <v>6</v>
      </c>
      <c r="AG20" s="11">
        <v>9.3427000000000007</v>
      </c>
      <c r="AH20" s="11">
        <v>25.048200000000001</v>
      </c>
      <c r="AI20">
        <v>13</v>
      </c>
      <c r="AJ20">
        <v>38</v>
      </c>
      <c r="AK20" s="8">
        <v>324.91000000000003</v>
      </c>
      <c r="AL20" s="55"/>
      <c r="AM20" s="55"/>
      <c r="AN20" s="55"/>
      <c r="AO20" s="55"/>
      <c r="AP20" s="55"/>
      <c r="AQ20" s="55"/>
      <c r="AR20" s="55"/>
      <c r="AS20" s="55"/>
    </row>
    <row r="21" spans="1:45" x14ac:dyDescent="0.35">
      <c r="A21" s="55"/>
      <c r="B21" s="55"/>
      <c r="C21" s="55"/>
      <c r="D21" s="55"/>
      <c r="E21" s="55"/>
      <c r="F21" s="55"/>
      <c r="G21" s="55"/>
      <c r="H21" s="237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>
        <v>2025</v>
      </c>
      <c r="T21">
        <v>50</v>
      </c>
      <c r="U21" s="40">
        <v>45999</v>
      </c>
      <c r="V21">
        <v>6</v>
      </c>
      <c r="W21" s="4">
        <v>36</v>
      </c>
      <c r="X21">
        <v>73</v>
      </c>
      <c r="Y21" s="11">
        <v>10.980700000000001</v>
      </c>
      <c r="Z21" s="11">
        <v>778.72</v>
      </c>
      <c r="AA21" s="11">
        <v>21.598400000000002</v>
      </c>
      <c r="AB21" s="55"/>
      <c r="AC21" s="55"/>
      <c r="AD21" s="89">
        <v>2024</v>
      </c>
      <c r="AE21" t="s">
        <v>353</v>
      </c>
      <c r="AF21">
        <v>16</v>
      </c>
      <c r="AG21" s="11">
        <v>11.814299999999999</v>
      </c>
      <c r="AH21" s="11">
        <v>24.416</v>
      </c>
      <c r="AI21">
        <v>75</v>
      </c>
      <c r="AJ21">
        <v>172</v>
      </c>
      <c r="AK21" s="8">
        <v>1886.72</v>
      </c>
      <c r="AL21" s="55"/>
      <c r="AM21" s="55"/>
      <c r="AN21" s="55"/>
      <c r="AO21" s="55"/>
      <c r="AP21" s="55"/>
      <c r="AQ21" s="55"/>
      <c r="AR21" s="55"/>
      <c r="AS21" s="55"/>
    </row>
    <row r="22" spans="1:45" ht="15.5" x14ac:dyDescent="0.35">
      <c r="A22" s="55"/>
      <c r="B22" s="10" t="s">
        <v>346</v>
      </c>
      <c r="C22" s="126">
        <f>COUNT(Weekly_Metrics[Week Starting])</f>
        <v>254</v>
      </c>
      <c r="D22" s="326"/>
      <c r="E22" s="125"/>
      <c r="F22" s="125"/>
      <c r="G22" s="55"/>
      <c r="H22" s="237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>
        <v>2025</v>
      </c>
      <c r="T22">
        <v>49</v>
      </c>
      <c r="U22" s="40">
        <v>45992</v>
      </c>
      <c r="V22">
        <v>4</v>
      </c>
      <c r="W22" s="4">
        <v>24</v>
      </c>
      <c r="X22">
        <v>39</v>
      </c>
      <c r="Y22" s="11">
        <v>13.368</v>
      </c>
      <c r="Z22" s="11">
        <v>518.74</v>
      </c>
      <c r="AA22" s="11">
        <v>21.4725</v>
      </c>
      <c r="AB22" s="55"/>
      <c r="AC22" s="55"/>
      <c r="AD22" s="89">
        <v>2024</v>
      </c>
      <c r="AE22" t="s">
        <v>354</v>
      </c>
      <c r="AF22">
        <v>18</v>
      </c>
      <c r="AG22" s="11">
        <v>10.702</v>
      </c>
      <c r="AH22" s="11">
        <v>21.833100000000002</v>
      </c>
      <c r="AI22">
        <v>80</v>
      </c>
      <c r="AJ22">
        <v>170</v>
      </c>
      <c r="AK22" s="8">
        <v>1747.46</v>
      </c>
      <c r="AL22" s="55"/>
      <c r="AM22" s="55"/>
      <c r="AN22" s="55"/>
      <c r="AO22" s="55"/>
      <c r="AP22" s="55"/>
      <c r="AQ22" s="55"/>
      <c r="AR22" s="55"/>
      <c r="AS22" s="55"/>
    </row>
    <row r="23" spans="1:45" ht="15.5" x14ac:dyDescent="0.35">
      <c r="A23" s="55"/>
      <c r="B23" s="10" t="s">
        <v>347</v>
      </c>
      <c r="C23" s="125">
        <f>COUNT(Pivots!B:B)</f>
        <v>882</v>
      </c>
      <c r="D23" s="326"/>
      <c r="E23" s="125"/>
      <c r="F23" s="125"/>
      <c r="G23" s="55"/>
      <c r="H23" s="237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>
        <v>2025</v>
      </c>
      <c r="T23">
        <v>48</v>
      </c>
      <c r="U23" s="40">
        <v>45985</v>
      </c>
      <c r="V23">
        <v>4</v>
      </c>
      <c r="W23" s="4">
        <v>24</v>
      </c>
      <c r="X23">
        <v>50</v>
      </c>
      <c r="Y23" s="11">
        <v>11.8552</v>
      </c>
      <c r="Z23" s="11">
        <v>565.46</v>
      </c>
      <c r="AA23" s="11">
        <v>23.414400000000001</v>
      </c>
      <c r="AB23" s="55"/>
      <c r="AC23" s="55"/>
      <c r="AD23" s="89">
        <v>2024</v>
      </c>
      <c r="AE23" t="s">
        <v>355</v>
      </c>
      <c r="AF23">
        <v>18</v>
      </c>
      <c r="AG23" s="11">
        <v>10.571</v>
      </c>
      <c r="AH23" s="11">
        <v>24.377300000000002</v>
      </c>
      <c r="AI23">
        <v>99</v>
      </c>
      <c r="AJ23">
        <v>233</v>
      </c>
      <c r="AK23" s="8">
        <v>2421.4699999999998</v>
      </c>
      <c r="AL23" s="55"/>
      <c r="AM23" s="55"/>
      <c r="AN23" s="55"/>
      <c r="AO23" s="55"/>
      <c r="AP23" s="55"/>
      <c r="AQ23" s="55"/>
      <c r="AR23" s="55"/>
      <c r="AS23" s="55"/>
    </row>
    <row r="24" spans="1:45" ht="15.5" x14ac:dyDescent="0.35">
      <c r="A24" s="55"/>
      <c r="B24" s="10" t="s">
        <v>143</v>
      </c>
      <c r="C24" s="126">
        <f>(MAX(Combined[Date])-MIN(Combined[Date]))/C23</f>
        <v>2.2301587301587302</v>
      </c>
      <c r="D24" s="327"/>
      <c r="E24" s="126"/>
      <c r="F24" s="126"/>
      <c r="G24" s="55"/>
      <c r="H24" s="237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>
        <v>2025</v>
      </c>
      <c r="T24">
        <v>47</v>
      </c>
      <c r="U24" s="40">
        <v>45978</v>
      </c>
      <c r="V24">
        <v>4</v>
      </c>
      <c r="W24" s="4">
        <v>11</v>
      </c>
      <c r="X24">
        <v>20</v>
      </c>
      <c r="Y24" s="11">
        <v>11.514200000000001</v>
      </c>
      <c r="Z24" s="11">
        <v>252.33</v>
      </c>
      <c r="AA24" s="11">
        <v>22.878299999999999</v>
      </c>
      <c r="AB24" s="55"/>
      <c r="AC24" s="55"/>
      <c r="AD24" s="89">
        <v>2024</v>
      </c>
      <c r="AE24" t="s">
        <v>356</v>
      </c>
      <c r="AF24">
        <v>22</v>
      </c>
      <c r="AG24" s="11">
        <v>9.5200999999999993</v>
      </c>
      <c r="AH24" s="11">
        <v>21.679300000000001</v>
      </c>
      <c r="AI24">
        <v>134</v>
      </c>
      <c r="AJ24">
        <v>308</v>
      </c>
      <c r="AK24" s="8">
        <v>2947.1</v>
      </c>
      <c r="AL24" s="55"/>
      <c r="AM24" s="55"/>
      <c r="AN24" s="55"/>
      <c r="AO24" s="55"/>
      <c r="AP24" s="55"/>
      <c r="AQ24" s="55"/>
      <c r="AR24" s="55"/>
      <c r="AS24" s="55"/>
    </row>
    <row r="25" spans="1:45" ht="16" thickBot="1" x14ac:dyDescent="0.4">
      <c r="A25" s="55"/>
      <c r="B25" s="329" t="s">
        <v>398</v>
      </c>
      <c r="C25" s="336">
        <f ca="1">C26/(TODAY()-MIN(EarningsPerDay[Date]))</f>
        <v>45.557544036235548</v>
      </c>
      <c r="D25" s="373">
        <f ca="1">D26/365</f>
        <v>46.526438356164356</v>
      </c>
      <c r="E25" s="331">
        <f ca="1">E26/90</f>
        <v>19.338000000000001</v>
      </c>
      <c r="F25" s="330">
        <f ca="1">F26/30</f>
        <v>16.324666666666666</v>
      </c>
      <c r="G25" s="374">
        <f ca="1">AVERAGE(C25:F25)</f>
        <v>31.936662264766646</v>
      </c>
      <c r="H25" s="55">
        <v>39.159999999999997</v>
      </c>
      <c r="I25" s="55"/>
      <c r="J25" s="55"/>
      <c r="K25" s="55"/>
      <c r="L25" s="55"/>
      <c r="M25" s="55"/>
      <c r="N25" s="55"/>
      <c r="O25" s="55"/>
      <c r="P25" s="55"/>
      <c r="Q25" s="55"/>
      <c r="R25" s="55"/>
      <c r="S25">
        <v>2025</v>
      </c>
      <c r="T25">
        <v>46</v>
      </c>
      <c r="U25" s="40">
        <v>45971</v>
      </c>
      <c r="V25">
        <v>4</v>
      </c>
      <c r="W25" s="4">
        <v>15</v>
      </c>
      <c r="X25">
        <v>30</v>
      </c>
      <c r="Y25" s="11">
        <v>9.8133999999999997</v>
      </c>
      <c r="Z25" s="11">
        <v>300.87</v>
      </c>
      <c r="AA25" s="11">
        <v>19.2501</v>
      </c>
      <c r="AB25" s="55"/>
      <c r="AC25" s="55"/>
      <c r="AD25" s="89">
        <v>2024</v>
      </c>
      <c r="AE25" t="s">
        <v>357</v>
      </c>
      <c r="AF25">
        <v>21</v>
      </c>
      <c r="AG25" s="11">
        <v>10.926299999999999</v>
      </c>
      <c r="AH25" s="11">
        <v>21.974</v>
      </c>
      <c r="AI25">
        <v>111</v>
      </c>
      <c r="AJ25">
        <v>232</v>
      </c>
      <c r="AK25" s="8">
        <v>2493.34</v>
      </c>
      <c r="AL25" s="55"/>
      <c r="AM25" s="55"/>
      <c r="AN25" s="55"/>
      <c r="AO25" s="55"/>
      <c r="AP25" s="55"/>
      <c r="AQ25" s="55"/>
      <c r="AR25" s="55"/>
      <c r="AS25" s="55"/>
    </row>
    <row r="26" spans="1:45" ht="16" thickBot="1" x14ac:dyDescent="0.4">
      <c r="A26" s="55"/>
      <c r="B26" s="9" t="s">
        <v>52</v>
      </c>
      <c r="C26" s="29">
        <f>SUMPRODUCT(EarningsPerDay[Gross Earnings])</f>
        <v>90522.84000000004</v>
      </c>
      <c r="D26" s="328">
        <f ca="1">SUMIFS(EarningsPerDay[Gross Earnings], EarningsPerDay[Date],"&gt;="&amp;TODAY()-365, EarningsPerDay[Date], "&lt;="&amp;TODAY())</f>
        <v>16982.149999999991</v>
      </c>
      <c r="E26" s="29">
        <f ca="1">SUMIFS(EarningsPerDay[Gross Earnings], EarningsPerDay[Date],"&gt;="&amp;TODAY()-90, EarningsPerDay[Date], "&lt;="&amp;TODAY())</f>
        <v>1740.42</v>
      </c>
      <c r="F26" s="29">
        <f ca="1">SUMIFS(EarningsPerDay[Gross Earnings], EarningsPerDay[Date],"&gt;="&amp;TODAY()-30, EarningsPerDay[Date], "&lt;="&amp;TODAY())</f>
        <v>489.74</v>
      </c>
      <c r="G26" s="55"/>
      <c r="H26" s="237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>
        <v>2025</v>
      </c>
      <c r="T26">
        <v>45</v>
      </c>
      <c r="U26" s="40">
        <v>45964</v>
      </c>
      <c r="V26">
        <v>4</v>
      </c>
      <c r="W26" s="4">
        <v>16</v>
      </c>
      <c r="X26">
        <v>38</v>
      </c>
      <c r="Y26" s="11">
        <v>7.9942000000000002</v>
      </c>
      <c r="Z26" s="11">
        <v>293.72000000000003</v>
      </c>
      <c r="AA26" s="11">
        <v>17.7318</v>
      </c>
      <c r="AB26" s="55"/>
      <c r="AC26" s="55"/>
      <c r="AD26" s="89">
        <v>2024</v>
      </c>
      <c r="AE26" t="s">
        <v>358</v>
      </c>
      <c r="AF26">
        <v>21</v>
      </c>
      <c r="AG26" s="11">
        <v>11.2865</v>
      </c>
      <c r="AH26" s="11">
        <v>22.591100000000001</v>
      </c>
      <c r="AI26">
        <v>119</v>
      </c>
      <c r="AJ26">
        <v>245</v>
      </c>
      <c r="AK26" s="8">
        <v>2692.45</v>
      </c>
      <c r="AL26" s="55"/>
      <c r="AM26" s="55"/>
      <c r="AN26" s="55"/>
      <c r="AO26" s="55"/>
      <c r="AP26" s="55"/>
      <c r="AQ26" s="55"/>
      <c r="AR26" s="55"/>
      <c r="AS26" s="55"/>
    </row>
    <row r="27" spans="1:45" x14ac:dyDescent="0.3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>
        <v>2025</v>
      </c>
      <c r="T27">
        <v>44</v>
      </c>
      <c r="U27" s="40">
        <v>45957</v>
      </c>
      <c r="V27">
        <v>5</v>
      </c>
      <c r="W27" s="4">
        <v>24</v>
      </c>
      <c r="X27">
        <v>47</v>
      </c>
      <c r="Y27" s="11">
        <v>12.6707</v>
      </c>
      <c r="Z27" s="11">
        <v>629.76</v>
      </c>
      <c r="AA27" s="11">
        <v>24.682300000000001</v>
      </c>
      <c r="AB27" s="55"/>
      <c r="AC27" s="55"/>
      <c r="AD27" s="89">
        <v>2024</v>
      </c>
      <c r="AE27" t="s">
        <v>135</v>
      </c>
      <c r="AF27">
        <v>22</v>
      </c>
      <c r="AG27" s="11">
        <v>9.8129000000000008</v>
      </c>
      <c r="AH27" s="11">
        <v>21.5215</v>
      </c>
      <c r="AI27">
        <v>108</v>
      </c>
      <c r="AJ27">
        <v>241</v>
      </c>
      <c r="AK27" s="8">
        <v>2376.0300000000002</v>
      </c>
      <c r="AL27" s="55"/>
      <c r="AM27" s="55"/>
      <c r="AN27" s="55"/>
      <c r="AO27" s="55"/>
      <c r="AP27" s="55"/>
      <c r="AQ27" s="55"/>
      <c r="AR27" s="55"/>
      <c r="AS27" s="55"/>
    </row>
    <row r="28" spans="1:45" x14ac:dyDescent="0.35">
      <c r="A28" s="55"/>
      <c r="B28" s="55"/>
      <c r="C28" s="55"/>
      <c r="D28" s="55"/>
      <c r="E28" s="289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>
        <v>2025</v>
      </c>
      <c r="T28">
        <v>43</v>
      </c>
      <c r="U28" s="40">
        <v>45950</v>
      </c>
      <c r="V28">
        <v>3</v>
      </c>
      <c r="W28" s="4">
        <v>18</v>
      </c>
      <c r="X28">
        <v>38</v>
      </c>
      <c r="Y28" s="11">
        <v>8.7285000000000004</v>
      </c>
      <c r="Z28" s="11">
        <v>338.8</v>
      </c>
      <c r="AA28" s="11">
        <v>18.432700000000001</v>
      </c>
      <c r="AB28" s="55"/>
      <c r="AC28" s="55"/>
      <c r="AD28" s="89">
        <v>2024</v>
      </c>
      <c r="AE28" t="s">
        <v>359</v>
      </c>
      <c r="AF28">
        <v>21</v>
      </c>
      <c r="AG28" s="11">
        <v>9.9374000000000002</v>
      </c>
      <c r="AH28" s="11">
        <v>20.573699999999999</v>
      </c>
      <c r="AI28">
        <v>92</v>
      </c>
      <c r="AJ28">
        <v>197</v>
      </c>
      <c r="AK28" s="8">
        <v>1953.53</v>
      </c>
      <c r="AL28" s="55"/>
      <c r="AM28" s="55"/>
      <c r="AN28" s="55"/>
      <c r="AO28" s="55"/>
      <c r="AP28" s="55"/>
      <c r="AQ28" s="55"/>
      <c r="AR28" s="55"/>
      <c r="AS28" s="55"/>
    </row>
    <row r="29" spans="1:45" x14ac:dyDescent="0.3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>
        <v>2025</v>
      </c>
      <c r="T29">
        <v>42</v>
      </c>
      <c r="U29" s="40">
        <v>45943</v>
      </c>
      <c r="V29">
        <v>3</v>
      </c>
      <c r="W29" s="4">
        <v>16</v>
      </c>
      <c r="X29">
        <v>38</v>
      </c>
      <c r="Y29" s="11">
        <v>9.6829000000000001</v>
      </c>
      <c r="Z29" s="11">
        <v>355.8</v>
      </c>
      <c r="AA29" s="11">
        <v>22.031700000000001</v>
      </c>
      <c r="AB29" s="55"/>
      <c r="AC29" s="55"/>
      <c r="AD29" s="89">
        <v>2024</v>
      </c>
      <c r="AE29" t="s">
        <v>360</v>
      </c>
      <c r="AF29">
        <v>15</v>
      </c>
      <c r="AG29" s="11">
        <v>12.786899999999999</v>
      </c>
      <c r="AH29" s="11">
        <v>26.434100000000001</v>
      </c>
      <c r="AI29">
        <v>61</v>
      </c>
      <c r="AJ29">
        <v>129</v>
      </c>
      <c r="AK29" s="8">
        <v>1611.08</v>
      </c>
      <c r="AL29" s="55"/>
      <c r="AM29" s="55"/>
      <c r="AN29" s="55"/>
      <c r="AO29" s="55"/>
      <c r="AP29" s="55"/>
      <c r="AQ29" s="55"/>
      <c r="AR29" s="55"/>
      <c r="AS29" s="55"/>
    </row>
    <row r="30" spans="1:45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>
        <v>2025</v>
      </c>
      <c r="T30">
        <v>41</v>
      </c>
      <c r="U30" s="40">
        <v>45936</v>
      </c>
      <c r="V30">
        <v>2</v>
      </c>
      <c r="W30" s="4">
        <v>11</v>
      </c>
      <c r="X30">
        <v>26</v>
      </c>
      <c r="Y30" s="11">
        <v>11.955399999999999</v>
      </c>
      <c r="Z30" s="11">
        <v>299.49</v>
      </c>
      <c r="AA30" s="11">
        <v>27.137699999999999</v>
      </c>
      <c r="AB30" s="55"/>
      <c r="AC30" s="55"/>
      <c r="AD30" s="89">
        <v>2024</v>
      </c>
      <c r="AE30" t="s">
        <v>350</v>
      </c>
      <c r="AF30">
        <v>19</v>
      </c>
      <c r="AG30" s="11">
        <v>9.3587000000000007</v>
      </c>
      <c r="AH30" s="11">
        <v>22.561800000000002</v>
      </c>
      <c r="AI30">
        <v>74</v>
      </c>
      <c r="AJ30">
        <v>180</v>
      </c>
      <c r="AK30" s="8">
        <v>1707.16</v>
      </c>
      <c r="AL30" s="55"/>
      <c r="AM30" s="55"/>
      <c r="AN30" s="55"/>
      <c r="AO30" s="55"/>
      <c r="AP30" s="55"/>
      <c r="AQ30" s="55"/>
      <c r="AR30" s="55"/>
      <c r="AS30" s="55"/>
    </row>
    <row r="31" spans="1:45" x14ac:dyDescent="0.35">
      <c r="A31" s="55"/>
      <c r="B31" s="55"/>
      <c r="C31" s="463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>
        <v>2025</v>
      </c>
      <c r="T31">
        <v>40</v>
      </c>
      <c r="U31" s="40">
        <v>45929</v>
      </c>
      <c r="V31">
        <v>6</v>
      </c>
      <c r="W31" s="4">
        <v>26</v>
      </c>
      <c r="X31">
        <v>40</v>
      </c>
      <c r="Y31" s="11">
        <v>21.0961</v>
      </c>
      <c r="Z31" s="11">
        <v>745.76</v>
      </c>
      <c r="AA31" s="11">
        <v>28.77</v>
      </c>
      <c r="AB31" s="55"/>
      <c r="AC31" s="55"/>
      <c r="AD31" s="89">
        <v>2024</v>
      </c>
      <c r="AE31" t="s">
        <v>351</v>
      </c>
      <c r="AF31">
        <v>22</v>
      </c>
      <c r="AG31" s="11">
        <v>11.8613</v>
      </c>
      <c r="AH31" s="11">
        <v>23.514399999999998</v>
      </c>
      <c r="AI31">
        <v>80</v>
      </c>
      <c r="AJ31">
        <v>160</v>
      </c>
      <c r="AK31" s="8">
        <v>1905.59</v>
      </c>
      <c r="AL31" s="55"/>
      <c r="AM31" s="55"/>
      <c r="AN31" s="55"/>
      <c r="AO31" s="55"/>
      <c r="AP31" s="55"/>
      <c r="AQ31" s="55"/>
      <c r="AR31" s="55"/>
      <c r="AS31" s="55"/>
    </row>
    <row r="32" spans="1:45" x14ac:dyDescent="0.3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>
        <v>2025</v>
      </c>
      <c r="T32">
        <v>39</v>
      </c>
      <c r="U32" s="40">
        <v>45922</v>
      </c>
      <c r="V32">
        <v>5</v>
      </c>
      <c r="W32" s="4">
        <v>27</v>
      </c>
      <c r="X32">
        <v>48</v>
      </c>
      <c r="Y32" s="11">
        <v>14.7928</v>
      </c>
      <c r="Z32" s="11">
        <v>703.98</v>
      </c>
      <c r="AA32" s="11">
        <v>27.445699999999999</v>
      </c>
      <c r="AB32" s="55"/>
      <c r="AC32" s="55"/>
      <c r="AD32" s="89">
        <v>2023</v>
      </c>
      <c r="AE32" t="s">
        <v>352</v>
      </c>
      <c r="AF32">
        <v>12</v>
      </c>
      <c r="AG32" s="11">
        <v>11.334099999999999</v>
      </c>
      <c r="AH32" s="11">
        <v>21.944199999999999</v>
      </c>
      <c r="AI32">
        <v>48</v>
      </c>
      <c r="AJ32">
        <v>96</v>
      </c>
      <c r="AK32" s="8">
        <v>1111.02</v>
      </c>
      <c r="AL32" s="55"/>
      <c r="AM32" s="55"/>
      <c r="AN32" s="55"/>
      <c r="AO32" s="55"/>
      <c r="AP32" s="55"/>
      <c r="AQ32" s="55"/>
      <c r="AR32" s="55"/>
      <c r="AS32" s="55"/>
    </row>
    <row r="33" spans="1:45" x14ac:dyDescent="0.3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>
        <v>2025</v>
      </c>
      <c r="T33">
        <v>38</v>
      </c>
      <c r="U33" s="40">
        <v>45915</v>
      </c>
      <c r="V33">
        <v>5</v>
      </c>
      <c r="W33" s="4">
        <v>28</v>
      </c>
      <c r="X33">
        <v>56</v>
      </c>
      <c r="Y33" s="11">
        <v>11.036799999999999</v>
      </c>
      <c r="Z33" s="11">
        <v>612.74</v>
      </c>
      <c r="AA33" s="11">
        <v>22.090499999999999</v>
      </c>
      <c r="AB33" s="55"/>
      <c r="AC33" s="55"/>
      <c r="AD33" s="89">
        <v>2023</v>
      </c>
      <c r="AE33" t="s">
        <v>353</v>
      </c>
      <c r="AF33">
        <v>18</v>
      </c>
      <c r="AG33" s="11">
        <v>10.879899999999999</v>
      </c>
      <c r="AH33" s="11">
        <v>22.597200000000001</v>
      </c>
      <c r="AI33">
        <v>78</v>
      </c>
      <c r="AJ33">
        <v>167</v>
      </c>
      <c r="AK33" s="8">
        <v>1834.45</v>
      </c>
      <c r="AL33" s="55"/>
      <c r="AM33" s="55"/>
      <c r="AN33" s="55"/>
      <c r="AO33" s="55"/>
      <c r="AP33" s="55"/>
      <c r="AQ33" s="55"/>
      <c r="AR33" s="55"/>
      <c r="AS33" s="55"/>
    </row>
    <row r="34" spans="1:45" x14ac:dyDescent="0.35">
      <c r="A34" s="55"/>
      <c r="B34" s="55"/>
      <c r="C34" s="464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>
        <v>2025</v>
      </c>
      <c r="T34">
        <v>37</v>
      </c>
      <c r="U34" s="40">
        <v>45908</v>
      </c>
      <c r="V34">
        <v>5</v>
      </c>
      <c r="W34" s="4">
        <v>29</v>
      </c>
      <c r="X34">
        <v>50</v>
      </c>
      <c r="Y34" s="11">
        <v>13.375</v>
      </c>
      <c r="Z34" s="11">
        <v>646.44000000000005</v>
      </c>
      <c r="AA34" s="11">
        <v>21.828199999999999</v>
      </c>
      <c r="AB34" s="55"/>
      <c r="AC34" s="55"/>
      <c r="AD34" s="89">
        <v>2023</v>
      </c>
      <c r="AE34" t="s">
        <v>354</v>
      </c>
      <c r="AF34">
        <v>16</v>
      </c>
      <c r="AG34" s="11">
        <v>10.847200000000001</v>
      </c>
      <c r="AH34" s="11">
        <v>24.163599999999999</v>
      </c>
      <c r="AI34">
        <v>67</v>
      </c>
      <c r="AJ34">
        <v>147</v>
      </c>
      <c r="AK34" s="8">
        <v>1599.4</v>
      </c>
      <c r="AL34" s="55"/>
      <c r="AM34" s="55"/>
      <c r="AN34" s="55"/>
      <c r="AO34" s="55"/>
      <c r="AP34" s="55"/>
      <c r="AQ34" s="55"/>
      <c r="AR34" s="55"/>
      <c r="AS34" s="55"/>
    </row>
    <row r="35" spans="1:45" x14ac:dyDescent="0.35">
      <c r="A35" s="55"/>
      <c r="B35" s="55"/>
      <c r="C35" s="464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>
        <v>2025</v>
      </c>
      <c r="T35">
        <v>36</v>
      </c>
      <c r="U35" s="40">
        <v>45901</v>
      </c>
      <c r="V35">
        <v>5</v>
      </c>
      <c r="W35" s="4">
        <v>21</v>
      </c>
      <c r="X35">
        <v>46</v>
      </c>
      <c r="Y35" s="11">
        <v>12.0677</v>
      </c>
      <c r="Z35" s="11">
        <v>537.70000000000005</v>
      </c>
      <c r="AA35" s="11">
        <v>23.644600000000001</v>
      </c>
      <c r="AB35" s="55"/>
      <c r="AC35" s="55"/>
      <c r="AD35" s="89">
        <v>2023</v>
      </c>
      <c r="AE35" t="s">
        <v>355</v>
      </c>
      <c r="AF35">
        <v>19</v>
      </c>
      <c r="AG35" s="11">
        <v>11.436</v>
      </c>
      <c r="AH35" s="11">
        <v>22.145399999999999</v>
      </c>
      <c r="AI35">
        <v>79</v>
      </c>
      <c r="AJ35">
        <v>171</v>
      </c>
      <c r="AK35" s="8">
        <v>1806.8</v>
      </c>
      <c r="AL35" s="55"/>
      <c r="AM35" s="55"/>
      <c r="AN35" s="55"/>
      <c r="AO35" s="55"/>
      <c r="AP35" s="55"/>
      <c r="AQ35" s="55"/>
      <c r="AR35" s="55"/>
      <c r="AS35" s="55"/>
    </row>
    <row r="36" spans="1:45" x14ac:dyDescent="0.35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>
        <v>2025</v>
      </c>
      <c r="T36">
        <v>35</v>
      </c>
      <c r="U36" s="40">
        <v>45894</v>
      </c>
      <c r="V36">
        <v>5</v>
      </c>
      <c r="W36" s="4">
        <v>27</v>
      </c>
      <c r="X36">
        <v>53</v>
      </c>
      <c r="Y36" s="11">
        <v>13.688800000000001</v>
      </c>
      <c r="Z36" s="11">
        <v>638.88</v>
      </c>
      <c r="AA36" s="11">
        <v>23.3627</v>
      </c>
      <c r="AB36" s="55"/>
      <c r="AC36" s="55"/>
      <c r="AD36" s="89">
        <v>2023</v>
      </c>
      <c r="AE36" t="s">
        <v>356</v>
      </c>
      <c r="AF36">
        <v>20</v>
      </c>
      <c r="AG36" s="11">
        <v>9.7280999999999995</v>
      </c>
      <c r="AH36" s="11">
        <v>19.498000000000001</v>
      </c>
      <c r="AI36">
        <v>99</v>
      </c>
      <c r="AJ36">
        <v>206</v>
      </c>
      <c r="AK36" s="8">
        <v>1977.16</v>
      </c>
      <c r="AL36" s="55"/>
      <c r="AM36" s="55"/>
      <c r="AN36" s="55"/>
      <c r="AO36" s="55"/>
      <c r="AP36" s="55"/>
      <c r="AQ36" s="55"/>
      <c r="AR36" s="55"/>
      <c r="AS36" s="55"/>
    </row>
    <row r="37" spans="1:45" x14ac:dyDescent="0.3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>
        <v>2025</v>
      </c>
      <c r="T37">
        <v>34</v>
      </c>
      <c r="U37" s="40">
        <v>45887</v>
      </c>
      <c r="V37">
        <v>4</v>
      </c>
      <c r="W37" s="4">
        <v>26</v>
      </c>
      <c r="X37">
        <v>49</v>
      </c>
      <c r="Y37" s="11">
        <v>11.629200000000001</v>
      </c>
      <c r="Z37" s="11">
        <v>558.47</v>
      </c>
      <c r="AA37" s="11">
        <v>22.165199999999999</v>
      </c>
      <c r="AB37" s="55"/>
      <c r="AC37" s="55"/>
      <c r="AD37" s="89">
        <v>2023</v>
      </c>
      <c r="AE37" t="s">
        <v>357</v>
      </c>
      <c r="AF37">
        <v>16</v>
      </c>
      <c r="AG37" s="11">
        <v>10.0528</v>
      </c>
      <c r="AH37" s="11">
        <v>19.171700000000001</v>
      </c>
      <c r="AI37">
        <v>96</v>
      </c>
      <c r="AJ37">
        <v>189</v>
      </c>
      <c r="AK37" s="8">
        <v>1884.29</v>
      </c>
      <c r="AL37" s="55"/>
      <c r="AM37" s="55"/>
      <c r="AN37" s="55"/>
      <c r="AO37" s="55"/>
      <c r="AP37" s="55"/>
      <c r="AQ37" s="55"/>
      <c r="AR37" s="55"/>
      <c r="AS37" s="55"/>
    </row>
    <row r="38" spans="1:45" x14ac:dyDescent="0.35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>
        <v>2025</v>
      </c>
      <c r="T38">
        <v>33</v>
      </c>
      <c r="U38" s="40">
        <v>45880</v>
      </c>
      <c r="V38">
        <v>7</v>
      </c>
      <c r="W38" s="4">
        <v>35</v>
      </c>
      <c r="X38">
        <v>67</v>
      </c>
      <c r="Y38" s="11">
        <v>9.76</v>
      </c>
      <c r="Z38" s="11">
        <v>631.73</v>
      </c>
      <c r="AA38" s="11">
        <v>18.5581</v>
      </c>
      <c r="AB38" s="55"/>
      <c r="AC38" s="55"/>
      <c r="AD38" s="89">
        <v>2023</v>
      </c>
      <c r="AE38" t="s">
        <v>358</v>
      </c>
      <c r="AF38">
        <v>7</v>
      </c>
      <c r="AG38" s="11">
        <v>10.5223</v>
      </c>
      <c r="AH38" s="11">
        <v>21.364999999999998</v>
      </c>
      <c r="AI38">
        <v>34</v>
      </c>
      <c r="AJ38">
        <v>71</v>
      </c>
      <c r="AK38" s="8">
        <v>729.22</v>
      </c>
      <c r="AL38" s="55"/>
      <c r="AM38" s="55"/>
      <c r="AN38" s="55"/>
      <c r="AO38" s="55"/>
      <c r="AP38" s="55"/>
      <c r="AQ38" s="55"/>
      <c r="AR38" s="55"/>
      <c r="AS38" s="55"/>
    </row>
    <row r="39" spans="1:4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>
        <v>2025</v>
      </c>
      <c r="T39">
        <v>32</v>
      </c>
      <c r="U39" s="40">
        <v>45873</v>
      </c>
      <c r="V39">
        <v>5</v>
      </c>
      <c r="W39" s="4">
        <v>26</v>
      </c>
      <c r="X39">
        <v>47</v>
      </c>
      <c r="Y39" s="11">
        <v>11.356</v>
      </c>
      <c r="Z39" s="11">
        <v>542.69000000000005</v>
      </c>
      <c r="AA39" s="11">
        <v>20.1327</v>
      </c>
      <c r="AB39" s="55"/>
      <c r="AC39" s="55"/>
      <c r="AD39" s="89">
        <v>2023</v>
      </c>
      <c r="AE39" t="s">
        <v>135</v>
      </c>
      <c r="AF39">
        <v>13</v>
      </c>
      <c r="AG39" s="11">
        <v>9.7416999999999998</v>
      </c>
      <c r="AH39" s="11">
        <v>18.231000000000002</v>
      </c>
      <c r="AI39">
        <v>63</v>
      </c>
      <c r="AJ39">
        <v>123</v>
      </c>
      <c r="AK39" s="8">
        <v>1200.72</v>
      </c>
      <c r="AL39" s="55"/>
      <c r="AM39" s="55"/>
      <c r="AN39" s="55"/>
      <c r="AO39" s="55"/>
      <c r="AP39" s="55"/>
      <c r="AQ39" s="55"/>
      <c r="AR39" s="55"/>
      <c r="AS39" s="55"/>
    </row>
    <row r="40" spans="1:45" x14ac:dyDescent="0.35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>
        <v>2025</v>
      </c>
      <c r="T40">
        <v>31</v>
      </c>
      <c r="U40" s="40">
        <v>45866</v>
      </c>
      <c r="V40">
        <v>4</v>
      </c>
      <c r="W40" s="4">
        <v>24</v>
      </c>
      <c r="X40">
        <v>48</v>
      </c>
      <c r="Y40" s="11">
        <v>10.324199999999999</v>
      </c>
      <c r="Z40" s="11">
        <v>493.91</v>
      </c>
      <c r="AA40" s="11">
        <v>20.516200000000001</v>
      </c>
      <c r="AB40" s="55"/>
      <c r="AC40" s="55"/>
      <c r="AD40" s="89">
        <v>2023</v>
      </c>
      <c r="AE40" t="s">
        <v>359</v>
      </c>
      <c r="AF40">
        <v>14</v>
      </c>
      <c r="AG40" s="11">
        <v>10.4024</v>
      </c>
      <c r="AH40" s="11">
        <v>22.744800000000001</v>
      </c>
      <c r="AI40">
        <v>57</v>
      </c>
      <c r="AJ40">
        <v>125</v>
      </c>
      <c r="AK40" s="8">
        <v>1288.05</v>
      </c>
      <c r="AL40" s="55"/>
      <c r="AM40" s="55"/>
      <c r="AN40" s="55"/>
      <c r="AO40" s="55"/>
      <c r="AP40" s="55"/>
      <c r="AQ40" s="55"/>
      <c r="AR40" s="55"/>
      <c r="AS40" s="55"/>
    </row>
    <row r="41" spans="1:45" x14ac:dyDescent="0.35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>
        <v>2025</v>
      </c>
      <c r="T41">
        <v>30</v>
      </c>
      <c r="U41" s="40">
        <v>45859</v>
      </c>
      <c r="V41">
        <v>2</v>
      </c>
      <c r="W41" s="4">
        <v>15</v>
      </c>
      <c r="X41">
        <v>30</v>
      </c>
      <c r="Y41" s="11">
        <v>10.448600000000001</v>
      </c>
      <c r="Z41" s="11">
        <v>311.32</v>
      </c>
      <c r="AA41" s="11">
        <v>20.434999999999999</v>
      </c>
      <c r="AB41" s="55"/>
      <c r="AC41" s="55"/>
      <c r="AD41" s="89">
        <v>2023</v>
      </c>
      <c r="AE41" t="s">
        <v>360</v>
      </c>
      <c r="AF41">
        <v>19</v>
      </c>
      <c r="AG41" s="11">
        <v>11.4178</v>
      </c>
      <c r="AH41" s="11">
        <v>20.688600000000001</v>
      </c>
      <c r="AI41">
        <v>85</v>
      </c>
      <c r="AJ41">
        <v>163</v>
      </c>
      <c r="AK41" s="8">
        <v>1721.69</v>
      </c>
      <c r="AL41" s="55"/>
      <c r="AM41" s="55"/>
      <c r="AN41" s="55"/>
      <c r="AO41" s="55"/>
      <c r="AP41" s="55"/>
      <c r="AQ41" s="55"/>
      <c r="AR41" s="55"/>
      <c r="AS41" s="55"/>
    </row>
    <row r="42" spans="1:45" x14ac:dyDescent="0.35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>
        <v>2025</v>
      </c>
      <c r="T42">
        <v>29</v>
      </c>
      <c r="U42" s="40">
        <v>45852</v>
      </c>
      <c r="V42">
        <v>2</v>
      </c>
      <c r="W42" s="4">
        <v>14</v>
      </c>
      <c r="X42">
        <v>19</v>
      </c>
      <c r="Y42" s="11">
        <v>14.261799999999999</v>
      </c>
      <c r="Z42" s="11">
        <v>268.12</v>
      </c>
      <c r="AA42" s="11">
        <v>19.991800000000001</v>
      </c>
      <c r="AB42" s="55"/>
      <c r="AC42" s="55"/>
      <c r="AD42" s="89">
        <v>2023</v>
      </c>
      <c r="AE42" t="s">
        <v>350</v>
      </c>
      <c r="AF42">
        <v>15</v>
      </c>
      <c r="AG42" s="11">
        <v>10.405799999999999</v>
      </c>
      <c r="AH42" s="11">
        <v>24.854399999999998</v>
      </c>
      <c r="AI42">
        <v>73</v>
      </c>
      <c r="AJ42">
        <v>177</v>
      </c>
      <c r="AK42" s="8">
        <v>1851.01</v>
      </c>
      <c r="AL42" s="55"/>
      <c r="AM42" s="55"/>
      <c r="AN42" s="55"/>
      <c r="AO42" s="55"/>
      <c r="AP42" s="55"/>
      <c r="AQ42" s="55"/>
      <c r="AR42" s="55"/>
      <c r="AS42" s="55"/>
    </row>
    <row r="43" spans="1:45" x14ac:dyDescent="0.35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>
        <v>2025</v>
      </c>
      <c r="T43">
        <v>28</v>
      </c>
      <c r="U43" s="40">
        <v>45845</v>
      </c>
      <c r="V43">
        <v>1</v>
      </c>
      <c r="W43" s="4">
        <v>5</v>
      </c>
      <c r="X43">
        <v>10</v>
      </c>
      <c r="Y43" s="11">
        <v>12.622</v>
      </c>
      <c r="Z43" s="11">
        <v>126.22</v>
      </c>
      <c r="AA43" s="11">
        <v>25.602399999999999</v>
      </c>
      <c r="AB43" s="55"/>
      <c r="AC43" s="55"/>
      <c r="AD43" s="89">
        <v>2023</v>
      </c>
      <c r="AE43" t="s">
        <v>351</v>
      </c>
      <c r="AF43">
        <v>18</v>
      </c>
      <c r="AG43" s="11">
        <v>9.7132000000000005</v>
      </c>
      <c r="AH43" s="11">
        <v>18.495200000000001</v>
      </c>
      <c r="AI43">
        <v>104</v>
      </c>
      <c r="AJ43">
        <v>196</v>
      </c>
      <c r="AK43" s="8">
        <v>1947.99</v>
      </c>
      <c r="AL43" s="55"/>
      <c r="AM43" s="55"/>
      <c r="AN43" s="55"/>
      <c r="AO43" s="55"/>
      <c r="AP43" s="55"/>
      <c r="AQ43" s="55"/>
      <c r="AR43" s="55"/>
      <c r="AS43" s="55"/>
    </row>
    <row r="44" spans="1:4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>
        <v>2025</v>
      </c>
      <c r="T44">
        <v>27</v>
      </c>
      <c r="U44" s="40">
        <v>45838</v>
      </c>
      <c r="V44">
        <v>4</v>
      </c>
      <c r="W44" s="4">
        <v>15</v>
      </c>
      <c r="X44">
        <v>31</v>
      </c>
      <c r="Y44" s="11">
        <v>13.9398</v>
      </c>
      <c r="Z44" s="11">
        <v>420.24</v>
      </c>
      <c r="AA44" s="11">
        <v>28.04</v>
      </c>
      <c r="AB44" s="55"/>
      <c r="AC44" s="55"/>
      <c r="AD44" s="89">
        <v>2022</v>
      </c>
      <c r="AE44" t="s">
        <v>352</v>
      </c>
      <c r="AF44">
        <v>19</v>
      </c>
      <c r="AG44" s="11">
        <v>10.6153</v>
      </c>
      <c r="AH44" s="11">
        <v>18.802</v>
      </c>
      <c r="AI44">
        <v>109</v>
      </c>
      <c r="AJ44">
        <v>197</v>
      </c>
      <c r="AK44" s="8">
        <v>1941.52</v>
      </c>
      <c r="AL44" s="55"/>
      <c r="AM44" s="55"/>
      <c r="AN44" s="55"/>
      <c r="AO44" s="55"/>
      <c r="AP44" s="55"/>
      <c r="AQ44" s="55"/>
      <c r="AR44" s="55"/>
      <c r="AS44" s="55"/>
    </row>
    <row r="45" spans="1:45" x14ac:dyDescent="0.35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>
        <v>2025</v>
      </c>
      <c r="T45">
        <v>26</v>
      </c>
      <c r="U45" s="40">
        <v>45831</v>
      </c>
      <c r="V45">
        <v>6</v>
      </c>
      <c r="W45" s="4">
        <v>28</v>
      </c>
      <c r="X45">
        <v>51</v>
      </c>
      <c r="Y45" s="11">
        <v>11.873699999999999</v>
      </c>
      <c r="Z45" s="11">
        <v>607.89</v>
      </c>
      <c r="AA45" s="11">
        <v>21.329799999999999</v>
      </c>
      <c r="AB45" s="55"/>
      <c r="AC45" s="55"/>
      <c r="AD45" s="89">
        <v>2022</v>
      </c>
      <c r="AE45" t="s">
        <v>353</v>
      </c>
      <c r="AF45">
        <v>13</v>
      </c>
      <c r="AG45" s="11">
        <v>10.9877</v>
      </c>
      <c r="AH45" s="11">
        <v>18.090199999999999</v>
      </c>
      <c r="AI45">
        <v>80</v>
      </c>
      <c r="AJ45">
        <v>127</v>
      </c>
      <c r="AK45" s="8">
        <v>1427.78</v>
      </c>
      <c r="AL45" s="55"/>
      <c r="AM45" s="55"/>
      <c r="AN45" s="55"/>
      <c r="AO45" s="55"/>
      <c r="AP45" s="55"/>
      <c r="AQ45" s="55"/>
      <c r="AR45" s="55"/>
      <c r="AS45" s="55"/>
    </row>
    <row r="46" spans="1:45" x14ac:dyDescent="0.3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>
        <v>2025</v>
      </c>
      <c r="T46">
        <v>25</v>
      </c>
      <c r="U46" s="40">
        <v>45824</v>
      </c>
      <c r="V46">
        <v>4</v>
      </c>
      <c r="W46" s="4">
        <v>21</v>
      </c>
      <c r="X46">
        <v>36</v>
      </c>
      <c r="Y46" s="11">
        <v>11.3666</v>
      </c>
      <c r="Z46" s="11">
        <v>432.44</v>
      </c>
      <c r="AA46" s="11">
        <v>19.4207</v>
      </c>
      <c r="AB46" s="55"/>
      <c r="AC46" s="55"/>
      <c r="AD46" s="89">
        <v>2022</v>
      </c>
      <c r="AE46" t="s">
        <v>354</v>
      </c>
      <c r="AF46">
        <v>9</v>
      </c>
      <c r="AG46" s="11">
        <v>10.3028</v>
      </c>
      <c r="AH46" s="11">
        <v>22.084299999999999</v>
      </c>
      <c r="AI46">
        <v>61</v>
      </c>
      <c r="AJ46">
        <v>117</v>
      </c>
      <c r="AK46" s="8">
        <v>1195.0899999999999</v>
      </c>
      <c r="AL46" s="55"/>
      <c r="AM46" s="55"/>
      <c r="AN46" s="55"/>
      <c r="AO46" s="55"/>
      <c r="AP46" s="55"/>
      <c r="AQ46" s="55"/>
      <c r="AR46" s="55"/>
      <c r="AS46" s="55"/>
    </row>
    <row r="47" spans="1:45" x14ac:dyDescent="0.3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>
        <v>2025</v>
      </c>
      <c r="T47">
        <v>24</v>
      </c>
      <c r="U47" s="40">
        <v>45817</v>
      </c>
      <c r="V47">
        <v>4</v>
      </c>
      <c r="W47" s="4">
        <v>20</v>
      </c>
      <c r="X47">
        <v>41</v>
      </c>
      <c r="Y47" s="11">
        <v>12.7987</v>
      </c>
      <c r="Z47" s="11">
        <v>484.18</v>
      </c>
      <c r="AA47" s="11">
        <v>24.381</v>
      </c>
      <c r="AB47" s="55"/>
      <c r="AC47" s="55"/>
      <c r="AD47" s="89">
        <v>2022</v>
      </c>
      <c r="AE47" t="s">
        <v>355</v>
      </c>
      <c r="AF47">
        <v>23</v>
      </c>
      <c r="AG47" s="11">
        <v>9.7620000000000005</v>
      </c>
      <c r="AH47" s="11">
        <v>21.002800000000001</v>
      </c>
      <c r="AI47">
        <v>126</v>
      </c>
      <c r="AJ47">
        <v>256</v>
      </c>
      <c r="AK47" s="8">
        <v>2452.79</v>
      </c>
      <c r="AL47" s="55"/>
      <c r="AM47" s="55"/>
      <c r="AN47" s="55"/>
      <c r="AO47" s="55"/>
      <c r="AP47" s="55"/>
      <c r="AQ47" s="55"/>
      <c r="AR47" s="55"/>
      <c r="AS47" s="55"/>
    </row>
    <row r="48" spans="1:45" x14ac:dyDescent="0.3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>
        <v>2025</v>
      </c>
      <c r="T48">
        <v>23</v>
      </c>
      <c r="U48" s="40">
        <v>45810</v>
      </c>
      <c r="V48">
        <v>5</v>
      </c>
      <c r="W48" s="4">
        <v>24</v>
      </c>
      <c r="X48">
        <v>53</v>
      </c>
      <c r="Y48" s="11">
        <v>11.3939</v>
      </c>
      <c r="Z48" s="11">
        <v>553.27</v>
      </c>
      <c r="AA48" s="11">
        <v>22.926600000000001</v>
      </c>
      <c r="AB48" s="55"/>
      <c r="AC48" s="55"/>
      <c r="AD48" s="89">
        <v>2022</v>
      </c>
      <c r="AE48" t="s">
        <v>356</v>
      </c>
      <c r="AF48">
        <v>12</v>
      </c>
      <c r="AG48" s="11">
        <v>10.522600000000001</v>
      </c>
      <c r="AH48" s="11">
        <v>19.6053</v>
      </c>
      <c r="AI48">
        <v>66</v>
      </c>
      <c r="AJ48">
        <v>120</v>
      </c>
      <c r="AK48" s="8">
        <v>1245.97</v>
      </c>
      <c r="AL48" s="55"/>
      <c r="AM48" s="55"/>
      <c r="AN48" s="55"/>
      <c r="AO48" s="55"/>
      <c r="AP48" s="55"/>
      <c r="AQ48" s="55"/>
      <c r="AR48" s="55"/>
      <c r="AS48" s="55"/>
    </row>
    <row r="49" spans="1:45" x14ac:dyDescent="0.3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>
        <v>2025</v>
      </c>
      <c r="T49">
        <v>22</v>
      </c>
      <c r="U49" s="40">
        <v>45803</v>
      </c>
      <c r="V49">
        <v>6</v>
      </c>
      <c r="W49" s="4">
        <v>32</v>
      </c>
      <c r="X49">
        <v>58</v>
      </c>
      <c r="Y49" s="11">
        <v>11.671099999999999</v>
      </c>
      <c r="Z49" s="11">
        <v>661.51</v>
      </c>
      <c r="AA49" s="11">
        <v>20.6782</v>
      </c>
      <c r="AB49" s="55"/>
      <c r="AC49" s="55"/>
      <c r="AD49" s="89">
        <v>2022</v>
      </c>
      <c r="AE49" t="s">
        <v>357</v>
      </c>
      <c r="AF49">
        <v>12</v>
      </c>
      <c r="AG49" s="11">
        <v>10.0185</v>
      </c>
      <c r="AH49" s="11">
        <v>23.252300000000002</v>
      </c>
      <c r="AI49">
        <v>62</v>
      </c>
      <c r="AJ49">
        <v>144</v>
      </c>
      <c r="AK49" s="8">
        <v>1396.02</v>
      </c>
      <c r="AL49" s="55"/>
      <c r="AM49" s="55"/>
      <c r="AN49" s="55"/>
      <c r="AO49" s="55"/>
      <c r="AP49" s="55"/>
      <c r="AQ49" s="55"/>
      <c r="AR49" s="55"/>
      <c r="AS49" s="55"/>
    </row>
    <row r="50" spans="1:45" x14ac:dyDescent="0.3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>
        <v>2025</v>
      </c>
      <c r="T50">
        <v>21</v>
      </c>
      <c r="U50" s="40">
        <v>45796</v>
      </c>
      <c r="V50">
        <v>3</v>
      </c>
      <c r="W50" s="4">
        <v>16</v>
      </c>
      <c r="X50">
        <v>24</v>
      </c>
      <c r="Y50" s="11">
        <v>13.325200000000001</v>
      </c>
      <c r="Z50" s="11">
        <v>314.81</v>
      </c>
      <c r="AA50" s="11">
        <v>20.055900000000001</v>
      </c>
      <c r="AB50" s="55"/>
      <c r="AC50" s="55"/>
      <c r="AD50" s="89">
        <v>2022</v>
      </c>
      <c r="AE50" t="s">
        <v>358</v>
      </c>
      <c r="AF50">
        <v>12</v>
      </c>
      <c r="AG50" s="11">
        <v>10.246</v>
      </c>
      <c r="AH50" s="11">
        <v>19.649699999999999</v>
      </c>
      <c r="AI50">
        <v>70</v>
      </c>
      <c r="AJ50">
        <v>128</v>
      </c>
      <c r="AK50" s="8">
        <v>1261.47</v>
      </c>
      <c r="AL50" s="55"/>
      <c r="AM50" s="55"/>
      <c r="AN50" s="55"/>
      <c r="AO50" s="55"/>
      <c r="AP50" s="55"/>
      <c r="AQ50" s="55"/>
      <c r="AR50" s="55"/>
      <c r="AS50" s="55"/>
    </row>
    <row r="51" spans="1:4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>
        <v>2025</v>
      </c>
      <c r="T51">
        <v>20</v>
      </c>
      <c r="U51" s="40">
        <v>45789</v>
      </c>
      <c r="V51">
        <v>5</v>
      </c>
      <c r="W51" s="4">
        <v>25</v>
      </c>
      <c r="X51">
        <v>62</v>
      </c>
      <c r="Y51" s="11">
        <v>9.9265000000000008</v>
      </c>
      <c r="Z51" s="11">
        <v>595.37</v>
      </c>
      <c r="AA51" s="11">
        <v>23.846800000000002</v>
      </c>
      <c r="AB51" s="55"/>
      <c r="AC51" s="55"/>
      <c r="AD51" s="89">
        <v>2022</v>
      </c>
      <c r="AE51" t="s">
        <v>135</v>
      </c>
      <c r="AF51">
        <v>9</v>
      </c>
      <c r="AG51" s="11">
        <v>8.0226000000000006</v>
      </c>
      <c r="AH51" s="11">
        <v>18.3827</v>
      </c>
      <c r="AI51">
        <v>38</v>
      </c>
      <c r="AJ51">
        <v>86</v>
      </c>
      <c r="AK51" s="8">
        <v>733.13</v>
      </c>
      <c r="AL51" s="55"/>
      <c r="AM51" s="55"/>
      <c r="AN51" s="55"/>
      <c r="AO51" s="55"/>
      <c r="AP51" s="55"/>
      <c r="AQ51" s="55"/>
      <c r="AR51" s="55"/>
      <c r="AS51" s="55"/>
    </row>
    <row r="52" spans="1:45" x14ac:dyDescent="0.3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>
        <v>2025</v>
      </c>
      <c r="T52">
        <v>19</v>
      </c>
      <c r="U52" s="40">
        <v>45782</v>
      </c>
      <c r="V52">
        <v>6</v>
      </c>
      <c r="W52" s="4">
        <v>33</v>
      </c>
      <c r="X52">
        <v>62</v>
      </c>
      <c r="Y52" s="11">
        <v>11.627700000000001</v>
      </c>
      <c r="Z52" s="11">
        <v>697.61</v>
      </c>
      <c r="AA52" s="11">
        <v>21.6235</v>
      </c>
      <c r="AB52" s="55"/>
      <c r="AC52" s="55"/>
      <c r="AD52" s="89">
        <v>2022</v>
      </c>
      <c r="AE52" t="s">
        <v>359</v>
      </c>
      <c r="AF52">
        <v>3</v>
      </c>
      <c r="AG52" s="11">
        <v>10.1294</v>
      </c>
      <c r="AH52" s="11">
        <v>27.253399999999999</v>
      </c>
      <c r="AI52">
        <v>14</v>
      </c>
      <c r="AJ52">
        <v>33</v>
      </c>
      <c r="AK52" s="8">
        <v>341.12</v>
      </c>
      <c r="AL52" s="55"/>
      <c r="AM52" s="55"/>
      <c r="AN52" s="55"/>
      <c r="AO52" s="55"/>
      <c r="AP52" s="55"/>
      <c r="AQ52" s="55"/>
      <c r="AR52" s="55"/>
      <c r="AS52" s="55"/>
    </row>
    <row r="53" spans="1:45" x14ac:dyDescent="0.3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>
        <v>2025</v>
      </c>
      <c r="T53">
        <v>18</v>
      </c>
      <c r="U53" s="40">
        <v>45775</v>
      </c>
      <c r="V53">
        <v>6</v>
      </c>
      <c r="W53" s="4">
        <v>29</v>
      </c>
      <c r="X53">
        <v>55</v>
      </c>
      <c r="Y53" s="11">
        <v>11.620799999999999</v>
      </c>
      <c r="Z53" s="11">
        <v>623.6</v>
      </c>
      <c r="AA53" s="11">
        <v>21.597799999999999</v>
      </c>
      <c r="AB53" s="55"/>
      <c r="AC53" s="55"/>
      <c r="AD53" s="89">
        <v>2022</v>
      </c>
      <c r="AE53" t="s">
        <v>360</v>
      </c>
      <c r="AF53">
        <v>10</v>
      </c>
      <c r="AG53" s="11">
        <v>10.715400000000001</v>
      </c>
      <c r="AH53" s="11">
        <v>26.063500000000001</v>
      </c>
      <c r="AI53">
        <v>41</v>
      </c>
      <c r="AJ53">
        <v>104</v>
      </c>
      <c r="AK53" s="8">
        <v>1025.76</v>
      </c>
      <c r="AL53" s="55"/>
      <c r="AM53" s="55"/>
      <c r="AN53" s="55"/>
      <c r="AO53" s="55"/>
      <c r="AP53" s="55"/>
      <c r="AQ53" s="55"/>
      <c r="AR53" s="55"/>
      <c r="AS53" s="55"/>
    </row>
    <row r="54" spans="1:45" x14ac:dyDescent="0.35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>
        <v>2025</v>
      </c>
      <c r="T54">
        <v>17</v>
      </c>
      <c r="U54" s="40">
        <v>45768</v>
      </c>
      <c r="V54">
        <v>6</v>
      </c>
      <c r="W54" s="4">
        <v>28</v>
      </c>
      <c r="X54">
        <v>54</v>
      </c>
      <c r="Y54" s="11">
        <v>10.241099999999999</v>
      </c>
      <c r="Z54" s="11">
        <v>554.67999999999995</v>
      </c>
      <c r="AA54" s="11">
        <v>19.606400000000001</v>
      </c>
      <c r="AB54" s="55"/>
      <c r="AC54" s="55"/>
      <c r="AD54" s="89">
        <v>2022</v>
      </c>
      <c r="AE54" t="s">
        <v>350</v>
      </c>
      <c r="AF54">
        <v>7</v>
      </c>
      <c r="AG54" s="11">
        <v>10.161099999999999</v>
      </c>
      <c r="AH54" s="11">
        <v>24.206499999999998</v>
      </c>
      <c r="AI54">
        <v>27</v>
      </c>
      <c r="AJ54">
        <v>67</v>
      </c>
      <c r="AK54" s="8">
        <v>631.30999999999995</v>
      </c>
      <c r="AL54" s="55"/>
      <c r="AM54" s="55"/>
      <c r="AN54" s="55"/>
      <c r="AO54" s="55"/>
      <c r="AP54" s="55"/>
      <c r="AQ54" s="55"/>
      <c r="AR54" s="55"/>
      <c r="AS54" s="55"/>
    </row>
    <row r="55" spans="1:4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>
        <v>2025</v>
      </c>
      <c r="T55">
        <v>16</v>
      </c>
      <c r="U55" s="40">
        <v>45761</v>
      </c>
      <c r="V55">
        <v>3</v>
      </c>
      <c r="W55" s="4">
        <v>14</v>
      </c>
      <c r="X55">
        <v>32</v>
      </c>
      <c r="Y55" s="11">
        <v>10.548400000000001</v>
      </c>
      <c r="Z55" s="11">
        <v>336.32</v>
      </c>
      <c r="AA55" s="11">
        <v>23.280899999999999</v>
      </c>
      <c r="AB55" s="55"/>
      <c r="AC55" s="55"/>
      <c r="AD55" s="89">
        <v>2022</v>
      </c>
      <c r="AE55" t="s">
        <v>351</v>
      </c>
      <c r="AF55">
        <v>3</v>
      </c>
      <c r="AG55" s="11">
        <v>8.8998000000000008</v>
      </c>
      <c r="AH55" s="11">
        <v>19.874500000000001</v>
      </c>
      <c r="AI55">
        <v>11</v>
      </c>
      <c r="AJ55">
        <v>26</v>
      </c>
      <c r="AK55" s="8">
        <v>218.13</v>
      </c>
      <c r="AL55" s="55"/>
      <c r="AM55" s="55"/>
      <c r="AN55" s="55"/>
      <c r="AO55" s="55"/>
      <c r="AP55" s="55"/>
      <c r="AQ55" s="55"/>
      <c r="AR55" s="55"/>
      <c r="AS55" s="55"/>
    </row>
    <row r="56" spans="1:45" x14ac:dyDescent="0.35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>
        <v>2025</v>
      </c>
      <c r="T56">
        <v>15</v>
      </c>
      <c r="U56" s="40">
        <v>45754</v>
      </c>
      <c r="V56">
        <v>4</v>
      </c>
      <c r="W56" s="4">
        <v>19</v>
      </c>
      <c r="X56">
        <v>37</v>
      </c>
      <c r="Y56" s="11">
        <v>11.178000000000001</v>
      </c>
      <c r="Z56" s="11">
        <v>418.11</v>
      </c>
      <c r="AA56" s="11">
        <v>21.537800000000001</v>
      </c>
      <c r="AB56" s="55"/>
      <c r="AC56" s="55"/>
      <c r="AD56" s="89">
        <v>2021</v>
      </c>
      <c r="AE56" t="s">
        <v>352</v>
      </c>
      <c r="AF56">
        <v>7</v>
      </c>
      <c r="AG56" s="11">
        <v>12.360900000000001</v>
      </c>
      <c r="AH56" s="11">
        <v>24.551400000000001</v>
      </c>
      <c r="AI56">
        <v>29</v>
      </c>
      <c r="AJ56">
        <v>59</v>
      </c>
      <c r="AK56" s="8">
        <v>674.57</v>
      </c>
      <c r="AL56" s="55"/>
      <c r="AM56" s="55"/>
      <c r="AN56" s="55"/>
      <c r="AO56" s="55"/>
      <c r="AP56" s="55"/>
      <c r="AQ56" s="55"/>
      <c r="AR56" s="55"/>
      <c r="AS56" s="55"/>
    </row>
    <row r="57" spans="1:45" x14ac:dyDescent="0.35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>
        <v>2025</v>
      </c>
      <c r="T57">
        <v>13</v>
      </c>
      <c r="U57" s="40">
        <v>45740</v>
      </c>
      <c r="V57">
        <v>4</v>
      </c>
      <c r="W57" s="4">
        <v>18</v>
      </c>
      <c r="X57">
        <v>35</v>
      </c>
      <c r="Y57" s="11">
        <v>11.0695</v>
      </c>
      <c r="Z57" s="11">
        <v>382.03</v>
      </c>
      <c r="AA57" s="11">
        <v>20.998200000000001</v>
      </c>
      <c r="AB57" s="55"/>
      <c r="AC57" s="55"/>
      <c r="AD57" s="89">
        <v>2021</v>
      </c>
      <c r="AE57" t="s">
        <v>353</v>
      </c>
      <c r="AF57">
        <v>14</v>
      </c>
      <c r="AG57" s="11">
        <v>9.4215</v>
      </c>
      <c r="AH57" s="11">
        <v>22.870999999999999</v>
      </c>
      <c r="AI57">
        <v>57</v>
      </c>
      <c r="AJ57">
        <v>136</v>
      </c>
      <c r="AK57" s="8">
        <v>1317.75</v>
      </c>
      <c r="AL57" s="55"/>
      <c r="AM57" s="55"/>
      <c r="AN57" s="55"/>
      <c r="AO57" s="55"/>
      <c r="AP57" s="55"/>
      <c r="AQ57" s="55"/>
      <c r="AR57" s="55"/>
      <c r="AS57" s="55"/>
    </row>
    <row r="58" spans="1:45" x14ac:dyDescent="0.35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>
        <v>2025</v>
      </c>
      <c r="T58">
        <v>12</v>
      </c>
      <c r="U58" s="40">
        <v>45733</v>
      </c>
      <c r="V58">
        <v>6</v>
      </c>
      <c r="W58" s="4">
        <v>25</v>
      </c>
      <c r="X58">
        <v>55</v>
      </c>
      <c r="Y58" s="11">
        <v>9.4847999999999999</v>
      </c>
      <c r="Z58" s="11">
        <v>541.77</v>
      </c>
      <c r="AA58" s="11">
        <v>20.537400000000002</v>
      </c>
      <c r="AB58" s="55"/>
      <c r="AC58" s="55"/>
      <c r="AD58" s="89">
        <v>2021</v>
      </c>
      <c r="AE58" t="s">
        <v>354</v>
      </c>
      <c r="AF58">
        <v>5</v>
      </c>
      <c r="AG58" s="11">
        <v>10.343500000000001</v>
      </c>
      <c r="AH58" s="11">
        <v>20.165400000000002</v>
      </c>
      <c r="AI58">
        <v>15</v>
      </c>
      <c r="AJ58">
        <v>33</v>
      </c>
      <c r="AK58" s="8">
        <v>319.72000000000003</v>
      </c>
      <c r="AL58" s="55"/>
      <c r="AM58" s="55"/>
      <c r="AN58" s="55"/>
      <c r="AO58" s="55"/>
      <c r="AP58" s="55"/>
      <c r="AQ58" s="55"/>
      <c r="AR58" s="55"/>
      <c r="AS58" s="55"/>
    </row>
    <row r="59" spans="1:45" x14ac:dyDescent="0.3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>
        <v>2025</v>
      </c>
      <c r="T59">
        <v>11</v>
      </c>
      <c r="U59" s="40">
        <v>45726</v>
      </c>
      <c r="V59">
        <v>4</v>
      </c>
      <c r="W59" s="4">
        <v>20</v>
      </c>
      <c r="X59">
        <v>40</v>
      </c>
      <c r="Y59" s="11">
        <v>12.8377</v>
      </c>
      <c r="Z59" s="11">
        <v>557.84</v>
      </c>
      <c r="AA59" s="11">
        <v>25.591999999999999</v>
      </c>
      <c r="AB59" s="55"/>
      <c r="AC59" s="55"/>
      <c r="AD59" s="89">
        <v>2021</v>
      </c>
      <c r="AE59" t="s">
        <v>355</v>
      </c>
      <c r="AF59">
        <v>4</v>
      </c>
      <c r="AG59" s="11">
        <v>9.8745999999999992</v>
      </c>
      <c r="AH59" s="11">
        <v>26.126899999999999</v>
      </c>
      <c r="AI59">
        <v>14</v>
      </c>
      <c r="AJ59">
        <v>32</v>
      </c>
      <c r="AK59" s="8">
        <v>322.41000000000003</v>
      </c>
      <c r="AL59" s="55"/>
      <c r="AM59" s="55"/>
      <c r="AN59" s="55"/>
      <c r="AO59" s="55"/>
      <c r="AP59" s="55"/>
      <c r="AQ59" s="55"/>
      <c r="AR59" s="55"/>
      <c r="AS59" s="55"/>
    </row>
    <row r="60" spans="1:45" x14ac:dyDescent="0.35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>
        <v>2025</v>
      </c>
      <c r="T60">
        <v>10</v>
      </c>
      <c r="U60" s="40">
        <v>45719</v>
      </c>
      <c r="V60">
        <v>4</v>
      </c>
      <c r="W60" s="4">
        <v>18</v>
      </c>
      <c r="X60">
        <v>36</v>
      </c>
      <c r="Y60" s="11">
        <v>10.1052</v>
      </c>
      <c r="Z60" s="11">
        <v>394.56</v>
      </c>
      <c r="AA60" s="11">
        <v>20.522500000000001</v>
      </c>
      <c r="AB60" s="55"/>
      <c r="AC60" s="55"/>
      <c r="AD60" s="89">
        <v>2021</v>
      </c>
      <c r="AE60" t="s">
        <v>356</v>
      </c>
      <c r="AF60">
        <v>3</v>
      </c>
      <c r="AG60" s="11">
        <v>10.2811</v>
      </c>
      <c r="AH60" s="11">
        <v>17.502500000000001</v>
      </c>
      <c r="AI60">
        <v>5</v>
      </c>
      <c r="AJ60">
        <v>10</v>
      </c>
      <c r="AK60" s="8">
        <v>97.46</v>
      </c>
      <c r="AL60" s="55"/>
      <c r="AM60" s="55"/>
      <c r="AN60" s="55"/>
      <c r="AO60" s="55"/>
      <c r="AP60" s="55"/>
      <c r="AQ60" s="55"/>
      <c r="AR60" s="55"/>
      <c r="AS60" s="55"/>
    </row>
    <row r="61" spans="1:45" x14ac:dyDescent="0.35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>
        <v>2025</v>
      </c>
      <c r="T61">
        <v>9</v>
      </c>
      <c r="U61" s="40">
        <v>45712</v>
      </c>
      <c r="V61">
        <v>3</v>
      </c>
      <c r="W61" s="4">
        <v>14</v>
      </c>
      <c r="X61">
        <v>28</v>
      </c>
      <c r="Y61" s="11">
        <v>12.928599999999999</v>
      </c>
      <c r="Z61" s="11">
        <v>358.12</v>
      </c>
      <c r="AA61" s="11">
        <v>24.858799999999999</v>
      </c>
      <c r="AB61" s="55"/>
      <c r="AC61" s="55"/>
      <c r="AD61" s="89">
        <v>2021</v>
      </c>
      <c r="AE61" t="s">
        <v>357</v>
      </c>
      <c r="AF61">
        <v>4</v>
      </c>
      <c r="AG61" s="11">
        <v>8.0106999999999999</v>
      </c>
      <c r="AH61" s="11">
        <v>14.5967</v>
      </c>
      <c r="AI61">
        <v>12</v>
      </c>
      <c r="AJ61">
        <v>20</v>
      </c>
      <c r="AK61" s="8">
        <v>154.69999999999999</v>
      </c>
      <c r="AL61" s="55"/>
      <c r="AM61" s="55"/>
      <c r="AN61" s="55"/>
      <c r="AO61" s="55"/>
      <c r="AP61" s="55"/>
      <c r="AQ61" s="55"/>
      <c r="AR61" s="55"/>
      <c r="AS61" s="55"/>
    </row>
    <row r="62" spans="1:4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>
        <v>2025</v>
      </c>
      <c r="T62">
        <v>8</v>
      </c>
      <c r="U62" s="40">
        <v>45705</v>
      </c>
      <c r="V62">
        <v>4</v>
      </c>
      <c r="W62" s="4">
        <v>24</v>
      </c>
      <c r="X62">
        <v>50</v>
      </c>
      <c r="Y62" s="11">
        <v>11.599</v>
      </c>
      <c r="Z62" s="11">
        <v>571.61</v>
      </c>
      <c r="AA62" s="11">
        <v>23.230799999999999</v>
      </c>
      <c r="AB62" s="55"/>
      <c r="AC62" s="55"/>
      <c r="AD62" s="89">
        <v>2021</v>
      </c>
      <c r="AE62" t="s">
        <v>358</v>
      </c>
      <c r="AF62">
        <v>11</v>
      </c>
      <c r="AG62" s="11">
        <v>11.018599999999999</v>
      </c>
      <c r="AH62" s="11">
        <v>21.0839</v>
      </c>
      <c r="AI62">
        <v>38</v>
      </c>
      <c r="AJ62">
        <v>82</v>
      </c>
      <c r="AK62" s="8">
        <v>808.36</v>
      </c>
      <c r="AL62" s="55"/>
      <c r="AM62" s="55"/>
      <c r="AN62" s="55"/>
      <c r="AO62" s="55"/>
      <c r="AP62" s="55"/>
      <c r="AQ62" s="55"/>
      <c r="AR62" s="55"/>
      <c r="AS62" s="55"/>
    </row>
    <row r="63" spans="1:4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>
        <v>2025</v>
      </c>
      <c r="T63">
        <v>7</v>
      </c>
      <c r="U63" s="40">
        <v>45698</v>
      </c>
      <c r="V63">
        <v>3</v>
      </c>
      <c r="W63" s="4">
        <v>11</v>
      </c>
      <c r="X63">
        <v>19</v>
      </c>
      <c r="Y63" s="11">
        <v>14.081200000000001</v>
      </c>
      <c r="Z63" s="11">
        <v>261.83999999999997</v>
      </c>
      <c r="AA63" s="11">
        <v>23.619399999999999</v>
      </c>
      <c r="AB63" s="55"/>
      <c r="AC63" s="55"/>
      <c r="AD63" s="89">
        <v>2021</v>
      </c>
      <c r="AE63" t="s">
        <v>135</v>
      </c>
      <c r="AF63">
        <v>15</v>
      </c>
      <c r="AG63" s="11">
        <v>11.210100000000001</v>
      </c>
      <c r="AH63" s="11">
        <v>24.448</v>
      </c>
      <c r="AI63">
        <v>52</v>
      </c>
      <c r="AJ63">
        <v>114</v>
      </c>
      <c r="AK63" s="8">
        <v>1232.6500000000001</v>
      </c>
      <c r="AL63" s="55"/>
      <c r="AM63" s="55"/>
      <c r="AN63" s="55"/>
      <c r="AO63" s="55"/>
      <c r="AP63" s="55"/>
      <c r="AQ63" s="55"/>
      <c r="AR63" s="55"/>
      <c r="AS63" s="55"/>
    </row>
    <row r="64" spans="1:45" x14ac:dyDescent="0.3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>
        <v>2025</v>
      </c>
      <c r="T64">
        <v>6</v>
      </c>
      <c r="U64" s="40">
        <v>45691</v>
      </c>
      <c r="V64">
        <v>5</v>
      </c>
      <c r="W64" s="4">
        <v>14</v>
      </c>
      <c r="X64">
        <v>26</v>
      </c>
      <c r="Y64" s="11">
        <v>9.8513000000000002</v>
      </c>
      <c r="Z64" s="11">
        <v>264.26</v>
      </c>
      <c r="AA64" s="11">
        <v>18.7682</v>
      </c>
      <c r="AB64" s="55"/>
      <c r="AC64" s="55"/>
      <c r="AD64" s="89">
        <v>2021</v>
      </c>
      <c r="AE64" t="s">
        <v>359</v>
      </c>
      <c r="AF64">
        <v>5</v>
      </c>
      <c r="AG64" s="11">
        <v>10.651199999999999</v>
      </c>
      <c r="AH64" s="11">
        <v>23.671800000000001</v>
      </c>
      <c r="AI64">
        <v>15</v>
      </c>
      <c r="AJ64">
        <v>30</v>
      </c>
      <c r="AK64" s="8">
        <v>330.07</v>
      </c>
      <c r="AL64" s="55"/>
      <c r="AM64" s="55"/>
      <c r="AN64" s="55"/>
      <c r="AO64" s="55"/>
      <c r="AP64" s="55"/>
      <c r="AQ64" s="55"/>
      <c r="AR64" s="55"/>
      <c r="AS64" s="55"/>
    </row>
    <row r="65" spans="19:45" x14ac:dyDescent="0.35">
      <c r="S65">
        <v>2025</v>
      </c>
      <c r="T65">
        <v>5</v>
      </c>
      <c r="U65" s="40">
        <v>45684</v>
      </c>
      <c r="V65">
        <v>2</v>
      </c>
      <c r="W65" s="4">
        <v>6</v>
      </c>
      <c r="X65">
        <v>9</v>
      </c>
      <c r="Y65" s="11">
        <v>14.550800000000001</v>
      </c>
      <c r="Z65" s="11">
        <v>124.86</v>
      </c>
      <c r="AA65" s="11">
        <v>21.4435</v>
      </c>
      <c r="AB65" s="55"/>
      <c r="AC65" s="55"/>
      <c r="AD65" s="89">
        <v>2021</v>
      </c>
      <c r="AE65" t="s">
        <v>360</v>
      </c>
      <c r="AF65">
        <v>13</v>
      </c>
      <c r="AG65" s="11">
        <v>13.7492</v>
      </c>
      <c r="AH65" s="11">
        <v>31.941400000000002</v>
      </c>
      <c r="AI65">
        <v>35</v>
      </c>
      <c r="AJ65">
        <v>77</v>
      </c>
      <c r="AK65" s="8">
        <v>1097.76</v>
      </c>
      <c r="AL65" s="55"/>
      <c r="AM65" s="55"/>
      <c r="AN65" s="55"/>
      <c r="AO65" s="55"/>
      <c r="AP65" s="55"/>
      <c r="AQ65" s="55"/>
      <c r="AR65" s="55"/>
      <c r="AS65" s="55"/>
    </row>
    <row r="66" spans="19:45" x14ac:dyDescent="0.35">
      <c r="S66">
        <v>2025</v>
      </c>
      <c r="T66">
        <v>4</v>
      </c>
      <c r="U66" s="40">
        <v>45677</v>
      </c>
      <c r="V66">
        <v>4</v>
      </c>
      <c r="W66" s="4">
        <v>12</v>
      </c>
      <c r="X66">
        <v>21</v>
      </c>
      <c r="Y66" s="11">
        <v>10.1457</v>
      </c>
      <c r="Z66" s="11">
        <v>197.68</v>
      </c>
      <c r="AA66" s="11">
        <v>17.355399999999999</v>
      </c>
      <c r="AB66" s="55"/>
      <c r="AC66" s="55"/>
      <c r="AD66" s="89">
        <v>2021</v>
      </c>
      <c r="AE66" t="s">
        <v>350</v>
      </c>
      <c r="AF66">
        <v>7</v>
      </c>
      <c r="AG66" s="11">
        <v>11.578200000000001</v>
      </c>
      <c r="AH66" s="11">
        <v>16.603200000000001</v>
      </c>
      <c r="AI66">
        <v>32</v>
      </c>
      <c r="AJ66">
        <v>51</v>
      </c>
      <c r="AK66" s="8">
        <v>564.86</v>
      </c>
      <c r="AL66" s="55"/>
      <c r="AM66" s="55"/>
      <c r="AN66" s="55"/>
      <c r="AO66" s="55"/>
      <c r="AP66" s="55"/>
      <c r="AQ66" s="55"/>
      <c r="AR66" s="55"/>
      <c r="AS66" s="55"/>
    </row>
    <row r="67" spans="19:45" x14ac:dyDescent="0.35">
      <c r="S67">
        <v>2025</v>
      </c>
      <c r="T67">
        <v>3</v>
      </c>
      <c r="U67" s="40">
        <v>45670</v>
      </c>
      <c r="V67">
        <v>5</v>
      </c>
      <c r="W67" s="4">
        <v>22</v>
      </c>
      <c r="X67">
        <v>39</v>
      </c>
      <c r="Y67" s="11">
        <v>11.665900000000001</v>
      </c>
      <c r="Z67" s="11">
        <v>452.88</v>
      </c>
      <c r="AA67" s="11">
        <v>20.9739</v>
      </c>
      <c r="AB67" s="55"/>
      <c r="AC67" s="55"/>
      <c r="AD67" s="89">
        <v>2021</v>
      </c>
      <c r="AE67" t="s">
        <v>351</v>
      </c>
      <c r="AF67">
        <v>7</v>
      </c>
      <c r="AG67" s="11">
        <v>14.4735</v>
      </c>
      <c r="AH67" s="11">
        <v>9.5299999999999994</v>
      </c>
      <c r="AI67">
        <v>29</v>
      </c>
      <c r="AJ67">
        <v>22</v>
      </c>
      <c r="AK67" s="8">
        <v>302.45999999999998</v>
      </c>
      <c r="AL67" s="55"/>
      <c r="AM67" s="55"/>
      <c r="AN67" s="55"/>
      <c r="AO67" s="55"/>
      <c r="AP67" s="55"/>
      <c r="AQ67" s="55"/>
      <c r="AR67" s="55"/>
      <c r="AS67" s="55"/>
    </row>
    <row r="68" spans="19:45" x14ac:dyDescent="0.35">
      <c r="S68">
        <v>2025</v>
      </c>
      <c r="T68">
        <v>2</v>
      </c>
      <c r="U68" s="40">
        <v>45663</v>
      </c>
      <c r="V68">
        <v>3</v>
      </c>
      <c r="W68" s="4">
        <v>10</v>
      </c>
      <c r="X68">
        <v>19</v>
      </c>
      <c r="Y68" s="11">
        <v>12.693300000000001</v>
      </c>
      <c r="Z68" s="11">
        <v>184.49</v>
      </c>
      <c r="AA68" s="11">
        <v>14.8171</v>
      </c>
      <c r="AL68" s="55"/>
      <c r="AM68" s="55"/>
      <c r="AN68" s="55"/>
      <c r="AO68" s="55"/>
      <c r="AP68" s="55"/>
      <c r="AQ68" s="55"/>
      <c r="AR68" s="55"/>
      <c r="AS68" s="55"/>
    </row>
    <row r="69" spans="19:45" x14ac:dyDescent="0.35">
      <c r="S69">
        <v>2025</v>
      </c>
      <c r="T69">
        <v>1</v>
      </c>
      <c r="U69" s="40">
        <v>46020</v>
      </c>
      <c r="V69">
        <v>4</v>
      </c>
      <c r="W69" s="4">
        <v>12</v>
      </c>
      <c r="X69">
        <v>20</v>
      </c>
      <c r="Y69" s="11">
        <v>13.5627</v>
      </c>
      <c r="Z69" s="11">
        <v>276.47000000000003</v>
      </c>
      <c r="AA69" s="11">
        <v>22.4435</v>
      </c>
      <c r="AL69" s="55"/>
      <c r="AM69" s="55"/>
      <c r="AN69" s="55"/>
      <c r="AO69" s="55"/>
      <c r="AP69" s="55"/>
      <c r="AQ69" s="55"/>
      <c r="AR69" s="55"/>
      <c r="AS69" s="55"/>
    </row>
    <row r="70" spans="19:45" x14ac:dyDescent="0.35">
      <c r="S70">
        <v>2024</v>
      </c>
      <c r="T70">
        <v>50</v>
      </c>
      <c r="U70" s="40">
        <v>45635</v>
      </c>
      <c r="V70">
        <v>2</v>
      </c>
      <c r="W70" s="4">
        <v>4</v>
      </c>
      <c r="X70">
        <v>9</v>
      </c>
      <c r="Y70" s="11">
        <v>10.9383</v>
      </c>
      <c r="Z70" s="11">
        <v>95.07</v>
      </c>
      <c r="AA70" s="11">
        <v>24.448899999999998</v>
      </c>
      <c r="AL70" s="55"/>
      <c r="AM70" s="55"/>
      <c r="AN70" s="55"/>
      <c r="AO70" s="55"/>
      <c r="AP70" s="55"/>
      <c r="AQ70" s="55"/>
      <c r="AR70" s="55"/>
      <c r="AS70" s="55"/>
    </row>
    <row r="71" spans="19:45" x14ac:dyDescent="0.35">
      <c r="S71">
        <v>2024</v>
      </c>
      <c r="T71">
        <v>49</v>
      </c>
      <c r="U71" s="40">
        <v>45628</v>
      </c>
      <c r="V71">
        <v>4</v>
      </c>
      <c r="W71" s="4">
        <v>9</v>
      </c>
      <c r="X71">
        <v>29</v>
      </c>
      <c r="Y71" s="11">
        <v>8.5449000000000002</v>
      </c>
      <c r="Z71" s="11">
        <v>229.84</v>
      </c>
      <c r="AA71" s="11">
        <v>25.347799999999999</v>
      </c>
    </row>
    <row r="72" spans="19:45" x14ac:dyDescent="0.35">
      <c r="S72">
        <v>2024</v>
      </c>
      <c r="T72">
        <v>48</v>
      </c>
      <c r="U72" s="40">
        <v>45621</v>
      </c>
      <c r="V72">
        <v>3</v>
      </c>
      <c r="W72" s="4">
        <v>12</v>
      </c>
      <c r="X72">
        <v>23</v>
      </c>
      <c r="Y72" s="11">
        <v>11.846500000000001</v>
      </c>
      <c r="Z72" s="11">
        <v>281.55</v>
      </c>
      <c r="AA72" s="11">
        <v>23.5928</v>
      </c>
    </row>
    <row r="73" spans="19:45" x14ac:dyDescent="0.35">
      <c r="S73">
        <v>2024</v>
      </c>
      <c r="T73">
        <v>47</v>
      </c>
      <c r="U73" s="40">
        <v>45614</v>
      </c>
      <c r="V73">
        <v>3</v>
      </c>
      <c r="W73" s="4">
        <v>7</v>
      </c>
      <c r="X73">
        <v>14</v>
      </c>
      <c r="Y73" s="11">
        <v>11.6775</v>
      </c>
      <c r="Z73" s="11">
        <v>182.52</v>
      </c>
      <c r="AA73" s="11">
        <v>21.270900000000001</v>
      </c>
    </row>
    <row r="74" spans="19:45" x14ac:dyDescent="0.35">
      <c r="S74">
        <v>2024</v>
      </c>
      <c r="T74">
        <v>46</v>
      </c>
      <c r="U74" s="40">
        <v>45607</v>
      </c>
      <c r="V74">
        <v>4</v>
      </c>
      <c r="W74" s="4">
        <v>24</v>
      </c>
      <c r="X74">
        <v>64</v>
      </c>
      <c r="Y74" s="11">
        <v>8.6440999999999999</v>
      </c>
      <c r="Z74" s="11">
        <v>557.54</v>
      </c>
      <c r="AA74" s="11">
        <v>23.360600000000002</v>
      </c>
    </row>
    <row r="75" spans="19:45" x14ac:dyDescent="0.35">
      <c r="S75">
        <v>2024</v>
      </c>
      <c r="T75">
        <v>45</v>
      </c>
      <c r="U75" s="40">
        <v>45600</v>
      </c>
      <c r="V75">
        <v>3</v>
      </c>
      <c r="W75" s="4">
        <v>13</v>
      </c>
      <c r="X75">
        <v>25</v>
      </c>
      <c r="Y75" s="11">
        <v>17.343499999999999</v>
      </c>
      <c r="Z75" s="11">
        <v>365.51</v>
      </c>
      <c r="AA75" s="11">
        <v>28.514199999999999</v>
      </c>
    </row>
    <row r="76" spans="19:45" x14ac:dyDescent="0.35">
      <c r="S76">
        <v>2024</v>
      </c>
      <c r="T76">
        <v>44</v>
      </c>
      <c r="U76" s="40">
        <v>45593</v>
      </c>
      <c r="V76">
        <v>6</v>
      </c>
      <c r="W76" s="4">
        <v>30</v>
      </c>
      <c r="X76">
        <v>66</v>
      </c>
      <c r="Y76" s="11">
        <v>11.0702</v>
      </c>
      <c r="Z76" s="11">
        <v>708.89</v>
      </c>
      <c r="AA76" s="11">
        <v>23.3291</v>
      </c>
    </row>
    <row r="77" spans="19:45" x14ac:dyDescent="0.35">
      <c r="S77">
        <v>2024</v>
      </c>
      <c r="T77">
        <v>43</v>
      </c>
      <c r="U77" s="40">
        <v>45586</v>
      </c>
      <c r="V77">
        <v>4</v>
      </c>
      <c r="W77" s="4">
        <v>19</v>
      </c>
      <c r="X77">
        <v>43</v>
      </c>
      <c r="Y77" s="11">
        <v>9.7914999999999992</v>
      </c>
      <c r="Z77" s="11">
        <v>404.51</v>
      </c>
      <c r="AA77" s="11">
        <v>20.994</v>
      </c>
    </row>
    <row r="78" spans="19:45" x14ac:dyDescent="0.35">
      <c r="S78">
        <v>2024</v>
      </c>
      <c r="T78">
        <v>42</v>
      </c>
      <c r="U78" s="40">
        <v>45579</v>
      </c>
      <c r="V78">
        <v>6</v>
      </c>
      <c r="W78" s="4">
        <v>24</v>
      </c>
      <c r="X78">
        <v>56</v>
      </c>
      <c r="Y78" s="11">
        <v>8.9671000000000003</v>
      </c>
      <c r="Z78" s="11">
        <v>505.45</v>
      </c>
      <c r="AA78" s="11">
        <v>21.6799</v>
      </c>
    </row>
    <row r="79" spans="19:45" x14ac:dyDescent="0.35">
      <c r="S79">
        <v>2024</v>
      </c>
      <c r="T79">
        <v>41</v>
      </c>
      <c r="U79" s="40">
        <v>45572</v>
      </c>
      <c r="V79">
        <v>2</v>
      </c>
      <c r="W79" s="4">
        <v>10</v>
      </c>
      <c r="X79">
        <v>20</v>
      </c>
      <c r="Y79" s="11">
        <v>15.3826</v>
      </c>
      <c r="Z79" s="11">
        <v>275.77999999999997</v>
      </c>
      <c r="AA79" s="11">
        <v>28.2257</v>
      </c>
    </row>
    <row r="80" spans="19:45" x14ac:dyDescent="0.35">
      <c r="S80">
        <v>2024</v>
      </c>
      <c r="T80">
        <v>40</v>
      </c>
      <c r="U80" s="40">
        <v>45565</v>
      </c>
      <c r="V80">
        <v>4</v>
      </c>
      <c r="W80" s="4">
        <v>23</v>
      </c>
      <c r="X80">
        <v>43</v>
      </c>
      <c r="Y80" s="11">
        <v>10.6265</v>
      </c>
      <c r="Z80" s="11">
        <v>450.53</v>
      </c>
      <c r="AA80" s="11">
        <v>19.508800000000001</v>
      </c>
    </row>
    <row r="81" spans="19:27" x14ac:dyDescent="0.35">
      <c r="S81">
        <v>2024</v>
      </c>
      <c r="T81">
        <v>39</v>
      </c>
      <c r="U81" s="40">
        <v>45558</v>
      </c>
      <c r="V81">
        <v>4</v>
      </c>
      <c r="W81" s="4">
        <v>22</v>
      </c>
      <c r="X81">
        <v>56</v>
      </c>
      <c r="Y81" s="11">
        <v>11.5602</v>
      </c>
      <c r="Z81" s="11">
        <v>625.66999999999996</v>
      </c>
      <c r="AA81" s="11">
        <v>27.887799999999999</v>
      </c>
    </row>
    <row r="82" spans="19:27" x14ac:dyDescent="0.35">
      <c r="S82">
        <v>2024</v>
      </c>
      <c r="T82">
        <v>38</v>
      </c>
      <c r="U82" s="40">
        <v>45551</v>
      </c>
      <c r="V82">
        <v>2</v>
      </c>
      <c r="W82" s="4">
        <v>10</v>
      </c>
      <c r="X82">
        <v>23</v>
      </c>
      <c r="Y82" s="11">
        <v>12.088800000000001</v>
      </c>
      <c r="Z82" s="11">
        <v>257.27999999999997</v>
      </c>
      <c r="AA82" s="11">
        <v>26.661000000000001</v>
      </c>
    </row>
    <row r="83" spans="19:27" x14ac:dyDescent="0.35">
      <c r="S83">
        <v>2024</v>
      </c>
      <c r="T83">
        <v>37</v>
      </c>
      <c r="U83" s="40">
        <v>45544</v>
      </c>
      <c r="V83">
        <v>7</v>
      </c>
      <c r="W83" s="4">
        <v>41</v>
      </c>
      <c r="X83">
        <v>97</v>
      </c>
      <c r="Y83" s="11">
        <v>9.7772000000000006</v>
      </c>
      <c r="Z83" s="11">
        <v>951.72</v>
      </c>
      <c r="AA83" s="11">
        <v>23.130400000000002</v>
      </c>
    </row>
    <row r="84" spans="19:27" x14ac:dyDescent="0.35">
      <c r="S84">
        <v>2024</v>
      </c>
      <c r="T84">
        <v>36</v>
      </c>
      <c r="U84" s="40">
        <v>45537</v>
      </c>
      <c r="V84">
        <v>4</v>
      </c>
      <c r="W84" s="4">
        <v>20</v>
      </c>
      <c r="X84">
        <v>45</v>
      </c>
      <c r="Y84" s="11">
        <v>10.8109</v>
      </c>
      <c r="Z84" s="11">
        <v>488.7</v>
      </c>
      <c r="AA84" s="11">
        <v>23.3916</v>
      </c>
    </row>
    <row r="85" spans="19:27" x14ac:dyDescent="0.35">
      <c r="S85">
        <v>2024</v>
      </c>
      <c r="T85">
        <v>35</v>
      </c>
      <c r="U85" s="40">
        <v>45530</v>
      </c>
      <c r="V85">
        <v>3</v>
      </c>
      <c r="W85" s="4">
        <v>14</v>
      </c>
      <c r="X85">
        <v>32</v>
      </c>
      <c r="Y85" s="11">
        <v>9.6006</v>
      </c>
      <c r="Z85" s="11">
        <v>316.20999999999998</v>
      </c>
      <c r="AA85" s="11">
        <v>22.7089</v>
      </c>
    </row>
    <row r="86" spans="19:27" x14ac:dyDescent="0.35">
      <c r="S86">
        <v>2024</v>
      </c>
      <c r="T86">
        <v>34</v>
      </c>
      <c r="U86" s="40">
        <v>45523</v>
      </c>
      <c r="V86">
        <v>5</v>
      </c>
      <c r="W86" s="4">
        <v>33</v>
      </c>
      <c r="X86">
        <v>74</v>
      </c>
      <c r="Y86" s="11">
        <v>11.188599999999999</v>
      </c>
      <c r="Z86" s="11">
        <v>826.94</v>
      </c>
      <c r="AA86" s="11">
        <v>25.222100000000001</v>
      </c>
    </row>
    <row r="87" spans="19:27" x14ac:dyDescent="0.35">
      <c r="S87">
        <v>2024</v>
      </c>
      <c r="T87">
        <v>33</v>
      </c>
      <c r="U87" s="40">
        <v>45516</v>
      </c>
      <c r="V87">
        <v>7</v>
      </c>
      <c r="W87" s="4">
        <v>41</v>
      </c>
      <c r="X87">
        <v>95</v>
      </c>
      <c r="Y87" s="11">
        <v>8.5370000000000008</v>
      </c>
      <c r="Z87" s="11">
        <v>826.1</v>
      </c>
      <c r="AA87" s="11">
        <v>19.5932</v>
      </c>
    </row>
    <row r="88" spans="19:27" x14ac:dyDescent="0.35">
      <c r="S88">
        <v>2024</v>
      </c>
      <c r="T88">
        <v>32</v>
      </c>
      <c r="U88" s="40">
        <v>45509</v>
      </c>
      <c r="V88">
        <v>4</v>
      </c>
      <c r="W88" s="4">
        <v>28</v>
      </c>
      <c r="X88">
        <v>63</v>
      </c>
      <c r="Y88" s="11">
        <v>9.8747000000000007</v>
      </c>
      <c r="Z88" s="11">
        <v>604.34</v>
      </c>
      <c r="AA88" s="11">
        <v>21.536799999999999</v>
      </c>
    </row>
    <row r="89" spans="19:27" x14ac:dyDescent="0.35">
      <c r="S89">
        <v>2024</v>
      </c>
      <c r="T89">
        <v>31</v>
      </c>
      <c r="U89" s="40">
        <v>45502</v>
      </c>
      <c r="V89">
        <v>6</v>
      </c>
      <c r="W89" s="4">
        <v>32</v>
      </c>
      <c r="X89">
        <v>74</v>
      </c>
      <c r="Y89" s="11">
        <v>9.9007000000000005</v>
      </c>
      <c r="Z89" s="11">
        <v>724.51</v>
      </c>
      <c r="AA89" s="11">
        <v>21.8706</v>
      </c>
    </row>
    <row r="90" spans="19:27" x14ac:dyDescent="0.35">
      <c r="S90">
        <v>2024</v>
      </c>
      <c r="T90">
        <v>30</v>
      </c>
      <c r="U90" s="40">
        <v>45495</v>
      </c>
      <c r="V90">
        <v>5</v>
      </c>
      <c r="W90" s="4">
        <v>32</v>
      </c>
      <c r="X90">
        <v>68</v>
      </c>
      <c r="Y90" s="11">
        <v>9.9703999999999997</v>
      </c>
      <c r="Z90" s="11">
        <v>667.6</v>
      </c>
      <c r="AA90" s="11">
        <v>21.1372</v>
      </c>
    </row>
    <row r="91" spans="19:27" x14ac:dyDescent="0.35">
      <c r="S91">
        <v>2024</v>
      </c>
      <c r="T91">
        <v>29</v>
      </c>
      <c r="U91" s="40">
        <v>45488</v>
      </c>
      <c r="V91">
        <v>6</v>
      </c>
      <c r="W91" s="4">
        <v>35</v>
      </c>
      <c r="X91">
        <v>68</v>
      </c>
      <c r="Y91" s="11">
        <v>10.8674</v>
      </c>
      <c r="Z91" s="11">
        <v>738.73</v>
      </c>
      <c r="AA91" s="11">
        <v>20.889800000000001</v>
      </c>
    </row>
    <row r="92" spans="19:27" x14ac:dyDescent="0.35">
      <c r="S92">
        <v>2024</v>
      </c>
      <c r="T92">
        <v>28</v>
      </c>
      <c r="U92" s="40">
        <v>45481</v>
      </c>
      <c r="V92">
        <v>3</v>
      </c>
      <c r="W92" s="4">
        <v>9</v>
      </c>
      <c r="X92">
        <v>16</v>
      </c>
      <c r="Y92" s="11">
        <v>11.1206</v>
      </c>
      <c r="Z92" s="11">
        <v>169.05</v>
      </c>
      <c r="AA92" s="11">
        <v>18.308499999999999</v>
      </c>
    </row>
    <row r="93" spans="19:27" x14ac:dyDescent="0.35">
      <c r="S93">
        <v>2024</v>
      </c>
      <c r="T93">
        <v>27</v>
      </c>
      <c r="U93" s="40">
        <v>45474</v>
      </c>
      <c r="V93">
        <v>4</v>
      </c>
      <c r="W93" s="4">
        <v>22</v>
      </c>
      <c r="X93">
        <v>50</v>
      </c>
      <c r="Y93" s="11">
        <v>11.767099999999999</v>
      </c>
      <c r="Z93" s="11">
        <v>566.96</v>
      </c>
      <c r="AA93" s="11">
        <v>25.921700000000001</v>
      </c>
    </row>
    <row r="94" spans="19:27" x14ac:dyDescent="0.35">
      <c r="S94">
        <v>2024</v>
      </c>
      <c r="T94">
        <v>25</v>
      </c>
      <c r="U94" s="40">
        <v>45460</v>
      </c>
      <c r="V94">
        <v>6</v>
      </c>
      <c r="W94" s="4">
        <v>32</v>
      </c>
      <c r="X94">
        <v>68</v>
      </c>
      <c r="Y94" s="11">
        <v>10.6631</v>
      </c>
      <c r="Z94" s="11">
        <v>718.98</v>
      </c>
      <c r="AA94" s="11">
        <v>22.416599999999999</v>
      </c>
    </row>
    <row r="95" spans="19:27" x14ac:dyDescent="0.35">
      <c r="S95">
        <v>2024</v>
      </c>
      <c r="T95">
        <v>24</v>
      </c>
      <c r="U95" s="40">
        <v>45453</v>
      </c>
      <c r="V95">
        <v>6</v>
      </c>
      <c r="W95" s="4">
        <v>35</v>
      </c>
      <c r="X95">
        <v>71</v>
      </c>
      <c r="Y95" s="11">
        <v>11.8291</v>
      </c>
      <c r="Z95" s="11">
        <v>819.82</v>
      </c>
      <c r="AA95" s="11">
        <v>22.940200000000001</v>
      </c>
    </row>
    <row r="96" spans="19:27" x14ac:dyDescent="0.35">
      <c r="S96">
        <v>2024</v>
      </c>
      <c r="T96">
        <v>23</v>
      </c>
      <c r="U96" s="40">
        <v>45446</v>
      </c>
      <c r="V96">
        <v>7</v>
      </c>
      <c r="W96" s="4">
        <v>41</v>
      </c>
      <c r="X96">
        <v>86</v>
      </c>
      <c r="Y96" s="11">
        <v>10.7277</v>
      </c>
      <c r="Z96" s="11">
        <v>906.37</v>
      </c>
      <c r="AA96" s="11">
        <v>22.0029</v>
      </c>
    </row>
    <row r="97" spans="19:27" x14ac:dyDescent="0.35">
      <c r="S97">
        <v>2024</v>
      </c>
      <c r="T97">
        <v>22</v>
      </c>
      <c r="U97" s="40">
        <v>45439</v>
      </c>
      <c r="V97">
        <v>7</v>
      </c>
      <c r="W97" s="4">
        <v>37</v>
      </c>
      <c r="X97">
        <v>72</v>
      </c>
      <c r="Y97" s="11">
        <v>11.213100000000001</v>
      </c>
      <c r="Z97" s="11">
        <v>797.28</v>
      </c>
      <c r="AA97" s="11">
        <v>21.351900000000001</v>
      </c>
    </row>
    <row r="98" spans="19:27" x14ac:dyDescent="0.35">
      <c r="S98">
        <v>2024</v>
      </c>
      <c r="T98">
        <v>21</v>
      </c>
      <c r="U98" s="40">
        <v>45432</v>
      </c>
      <c r="V98">
        <v>4</v>
      </c>
      <c r="W98" s="4">
        <v>15</v>
      </c>
      <c r="X98">
        <v>31</v>
      </c>
      <c r="Y98" s="11">
        <v>8.3821999999999992</v>
      </c>
      <c r="Z98" s="11">
        <v>272.52999999999997</v>
      </c>
      <c r="AA98" s="11">
        <v>17.5532</v>
      </c>
    </row>
    <row r="99" spans="19:27" x14ac:dyDescent="0.35">
      <c r="S99">
        <v>2024</v>
      </c>
      <c r="T99">
        <v>20</v>
      </c>
      <c r="U99" s="40">
        <v>45425</v>
      </c>
      <c r="V99">
        <v>5</v>
      </c>
      <c r="W99" s="4">
        <v>29</v>
      </c>
      <c r="X99">
        <v>72</v>
      </c>
      <c r="Y99" s="11">
        <v>9.8023000000000007</v>
      </c>
      <c r="Z99" s="11">
        <v>692.62</v>
      </c>
      <c r="AA99" s="11">
        <v>24.0123</v>
      </c>
    </row>
    <row r="100" spans="19:27" x14ac:dyDescent="0.35">
      <c r="S100">
        <v>2024</v>
      </c>
      <c r="T100">
        <v>19</v>
      </c>
      <c r="U100" s="40">
        <v>45418</v>
      </c>
      <c r="V100">
        <v>3</v>
      </c>
      <c r="W100" s="4">
        <v>13</v>
      </c>
      <c r="X100">
        <v>28</v>
      </c>
      <c r="Y100" s="11">
        <v>10.798500000000001</v>
      </c>
      <c r="Z100" s="11">
        <v>299.62</v>
      </c>
      <c r="AA100" s="11">
        <v>22.466200000000001</v>
      </c>
    </row>
    <row r="101" spans="19:27" x14ac:dyDescent="0.35">
      <c r="S101">
        <v>2024</v>
      </c>
      <c r="T101">
        <v>18</v>
      </c>
      <c r="U101" s="40">
        <v>45411</v>
      </c>
      <c r="V101">
        <v>6</v>
      </c>
      <c r="W101" s="4">
        <v>28</v>
      </c>
      <c r="X101">
        <v>68</v>
      </c>
      <c r="Y101" s="11">
        <v>9.6478000000000002</v>
      </c>
      <c r="Z101" s="11">
        <v>645.86</v>
      </c>
      <c r="AA101" s="11">
        <v>22.597200000000001</v>
      </c>
    </row>
    <row r="102" spans="19:27" x14ac:dyDescent="0.35">
      <c r="S102">
        <v>2024</v>
      </c>
      <c r="T102">
        <v>17</v>
      </c>
      <c r="U102" s="40">
        <v>45404</v>
      </c>
      <c r="V102">
        <v>6</v>
      </c>
      <c r="W102" s="4">
        <v>25</v>
      </c>
      <c r="X102">
        <v>59</v>
      </c>
      <c r="Y102" s="11">
        <v>8.4047999999999998</v>
      </c>
      <c r="Z102" s="11">
        <v>491.54</v>
      </c>
      <c r="AA102" s="11">
        <v>19.1846</v>
      </c>
    </row>
    <row r="103" spans="19:27" x14ac:dyDescent="0.35">
      <c r="S103">
        <v>2024</v>
      </c>
      <c r="T103">
        <v>16</v>
      </c>
      <c r="U103" s="40">
        <v>45397</v>
      </c>
      <c r="V103">
        <v>5</v>
      </c>
      <c r="W103" s="4">
        <v>23</v>
      </c>
      <c r="X103">
        <v>38</v>
      </c>
      <c r="Y103" s="11">
        <v>11.9633</v>
      </c>
      <c r="Z103" s="11">
        <v>449.85</v>
      </c>
      <c r="AA103" s="11">
        <v>19.1158</v>
      </c>
    </row>
    <row r="104" spans="19:27" x14ac:dyDescent="0.35">
      <c r="S104">
        <v>2024</v>
      </c>
      <c r="T104">
        <v>15</v>
      </c>
      <c r="U104" s="40">
        <v>45390</v>
      </c>
      <c r="V104">
        <v>4</v>
      </c>
      <c r="W104" s="4">
        <v>20</v>
      </c>
      <c r="X104">
        <v>44</v>
      </c>
      <c r="Y104" s="11">
        <v>10.3405</v>
      </c>
      <c r="Z104" s="11">
        <v>447.61</v>
      </c>
      <c r="AA104" s="11">
        <v>22.9221</v>
      </c>
    </row>
    <row r="105" spans="19:27" x14ac:dyDescent="0.35">
      <c r="S105">
        <v>2024</v>
      </c>
      <c r="T105">
        <v>14</v>
      </c>
      <c r="U105" s="40">
        <v>45383</v>
      </c>
      <c r="V105">
        <v>5</v>
      </c>
      <c r="W105" s="4">
        <v>20</v>
      </c>
      <c r="X105">
        <v>46</v>
      </c>
      <c r="Y105" s="11">
        <v>9.7235999999999994</v>
      </c>
      <c r="Z105" s="11">
        <v>479.93</v>
      </c>
      <c r="AA105" s="11">
        <v>21.736000000000001</v>
      </c>
    </row>
    <row r="106" spans="19:27" x14ac:dyDescent="0.35">
      <c r="S106">
        <v>2024</v>
      </c>
      <c r="T106">
        <v>13</v>
      </c>
      <c r="U106" s="40">
        <v>45376</v>
      </c>
      <c r="V106">
        <v>4</v>
      </c>
      <c r="W106" s="4">
        <v>15</v>
      </c>
      <c r="X106">
        <v>29</v>
      </c>
      <c r="Y106" s="11">
        <v>15.564</v>
      </c>
      <c r="Z106" s="11">
        <v>453.45</v>
      </c>
      <c r="AA106" s="11">
        <v>31.102</v>
      </c>
    </row>
    <row r="107" spans="19:27" x14ac:dyDescent="0.35">
      <c r="S107">
        <v>2024</v>
      </c>
      <c r="T107">
        <v>12</v>
      </c>
      <c r="U107" s="40">
        <v>45369</v>
      </c>
      <c r="V107">
        <v>1</v>
      </c>
      <c r="W107" s="4">
        <v>3</v>
      </c>
      <c r="X107">
        <v>8</v>
      </c>
      <c r="Y107" s="11">
        <v>14.305</v>
      </c>
      <c r="Z107" s="11">
        <v>114.44</v>
      </c>
      <c r="AA107" s="11">
        <v>33.857999999999997</v>
      </c>
    </row>
    <row r="108" spans="19:27" x14ac:dyDescent="0.35">
      <c r="S108">
        <v>2024</v>
      </c>
      <c r="T108">
        <v>11</v>
      </c>
      <c r="U108" s="40">
        <v>45362</v>
      </c>
      <c r="V108">
        <v>5</v>
      </c>
      <c r="W108" s="4">
        <v>20</v>
      </c>
      <c r="X108">
        <v>43</v>
      </c>
      <c r="Y108" s="11">
        <v>11.3345</v>
      </c>
      <c r="Z108" s="11">
        <v>462.41</v>
      </c>
      <c r="AA108" s="11">
        <v>22.882300000000001</v>
      </c>
    </row>
    <row r="109" spans="19:27" x14ac:dyDescent="0.35">
      <c r="S109">
        <v>2024</v>
      </c>
      <c r="T109">
        <v>10</v>
      </c>
      <c r="U109" s="40">
        <v>45355</v>
      </c>
      <c r="V109">
        <v>2</v>
      </c>
      <c r="W109" s="4">
        <v>11</v>
      </c>
      <c r="X109">
        <v>25</v>
      </c>
      <c r="Y109" s="11">
        <v>10.6066</v>
      </c>
      <c r="Z109" s="11">
        <v>287.14</v>
      </c>
      <c r="AA109" s="11">
        <v>24.156700000000001</v>
      </c>
    </row>
    <row r="110" spans="19:27" x14ac:dyDescent="0.35">
      <c r="S110">
        <v>2024</v>
      </c>
      <c r="T110">
        <v>9</v>
      </c>
      <c r="U110" s="40">
        <v>45348</v>
      </c>
      <c r="V110">
        <v>5</v>
      </c>
      <c r="W110" s="4">
        <v>19</v>
      </c>
      <c r="X110">
        <v>42</v>
      </c>
      <c r="Y110" s="11">
        <v>11.771800000000001</v>
      </c>
      <c r="Z110" s="11">
        <v>490.57</v>
      </c>
      <c r="AA110" s="11">
        <v>25.850300000000001</v>
      </c>
    </row>
    <row r="111" spans="19:27" x14ac:dyDescent="0.35">
      <c r="S111">
        <v>2024</v>
      </c>
      <c r="T111">
        <v>8</v>
      </c>
      <c r="U111" s="40">
        <v>45341</v>
      </c>
      <c r="V111">
        <v>5</v>
      </c>
      <c r="W111" s="4">
        <v>17</v>
      </c>
      <c r="X111">
        <v>41</v>
      </c>
      <c r="Y111" s="11">
        <v>9.3012999999999995</v>
      </c>
      <c r="Z111" s="11">
        <v>401.19</v>
      </c>
      <c r="AA111" s="11">
        <v>22.266100000000002</v>
      </c>
    </row>
    <row r="112" spans="19:27" x14ac:dyDescent="0.35">
      <c r="S112">
        <v>2024</v>
      </c>
      <c r="T112">
        <v>7</v>
      </c>
      <c r="U112" s="40">
        <v>45334</v>
      </c>
      <c r="V112">
        <v>5</v>
      </c>
      <c r="W112" s="4">
        <v>22</v>
      </c>
      <c r="X112">
        <v>56</v>
      </c>
      <c r="Y112" s="11">
        <v>9.9947999999999997</v>
      </c>
      <c r="Z112" s="11">
        <v>558.87</v>
      </c>
      <c r="AA112" s="11">
        <v>24.795500000000001</v>
      </c>
    </row>
    <row r="113" spans="19:27" x14ac:dyDescent="0.35">
      <c r="S113">
        <v>2024</v>
      </c>
      <c r="T113">
        <v>6</v>
      </c>
      <c r="U113" s="40">
        <v>45327</v>
      </c>
      <c r="V113">
        <v>5</v>
      </c>
      <c r="W113" s="4">
        <v>19</v>
      </c>
      <c r="X113">
        <v>44</v>
      </c>
      <c r="Y113" s="11">
        <v>9.1816999999999993</v>
      </c>
      <c r="Z113" s="11">
        <v>402.7</v>
      </c>
      <c r="AA113" s="11">
        <v>20.939499999999999</v>
      </c>
    </row>
    <row r="114" spans="19:27" x14ac:dyDescent="0.35">
      <c r="S114">
        <v>2024</v>
      </c>
      <c r="T114">
        <v>5</v>
      </c>
      <c r="U114" s="40">
        <v>45320</v>
      </c>
      <c r="V114">
        <v>4</v>
      </c>
      <c r="W114" s="4">
        <v>17</v>
      </c>
      <c r="X114">
        <v>37</v>
      </c>
      <c r="Y114" s="11">
        <v>9.8605</v>
      </c>
      <c r="Z114" s="11">
        <v>369.09</v>
      </c>
      <c r="AA114" s="11">
        <v>21.2746</v>
      </c>
    </row>
    <row r="115" spans="19:27" x14ac:dyDescent="0.35">
      <c r="S115">
        <v>2024</v>
      </c>
      <c r="T115">
        <v>4</v>
      </c>
      <c r="U115" s="40">
        <v>45313</v>
      </c>
      <c r="V115">
        <v>5</v>
      </c>
      <c r="W115" s="4">
        <v>21</v>
      </c>
      <c r="X115">
        <v>40</v>
      </c>
      <c r="Y115" s="11">
        <v>11.3673</v>
      </c>
      <c r="Z115" s="11">
        <v>441.41</v>
      </c>
      <c r="AA115" s="11">
        <v>21.097100000000001</v>
      </c>
    </row>
    <row r="116" spans="19:27" x14ac:dyDescent="0.35">
      <c r="S116">
        <v>2024</v>
      </c>
      <c r="T116">
        <v>3</v>
      </c>
      <c r="U116" s="40">
        <v>45306</v>
      </c>
      <c r="V116">
        <v>3</v>
      </c>
      <c r="W116" s="4">
        <v>14</v>
      </c>
      <c r="X116">
        <v>29</v>
      </c>
      <c r="Y116" s="11">
        <v>12.7043</v>
      </c>
      <c r="Z116" s="11">
        <v>357.09</v>
      </c>
      <c r="AA116" s="11">
        <v>25.970199999999998</v>
      </c>
    </row>
    <row r="117" spans="19:27" x14ac:dyDescent="0.35">
      <c r="S117">
        <v>2024</v>
      </c>
      <c r="T117">
        <v>2</v>
      </c>
      <c r="U117" s="40">
        <v>45299</v>
      </c>
      <c r="V117">
        <v>6</v>
      </c>
      <c r="W117" s="4">
        <v>15</v>
      </c>
      <c r="X117">
        <v>31</v>
      </c>
      <c r="Y117" s="11">
        <v>11.958500000000001</v>
      </c>
      <c r="Z117" s="11">
        <v>376.29</v>
      </c>
      <c r="AA117" s="11">
        <v>25.194900000000001</v>
      </c>
    </row>
    <row r="118" spans="19:27" x14ac:dyDescent="0.35">
      <c r="S118">
        <v>2024</v>
      </c>
      <c r="T118">
        <v>1</v>
      </c>
      <c r="U118" s="40">
        <v>45292</v>
      </c>
      <c r="V118">
        <v>6</v>
      </c>
      <c r="W118" s="4">
        <v>22</v>
      </c>
      <c r="X118">
        <v>44</v>
      </c>
      <c r="Y118" s="11">
        <v>11.455</v>
      </c>
      <c r="Z118" s="11">
        <v>509.18</v>
      </c>
      <c r="AA118" s="11">
        <v>22.098299999999998</v>
      </c>
    </row>
    <row r="119" spans="19:27" x14ac:dyDescent="0.35">
      <c r="S119">
        <v>2023</v>
      </c>
      <c r="T119">
        <v>53</v>
      </c>
      <c r="U119" s="40">
        <v>45285</v>
      </c>
      <c r="V119">
        <v>2</v>
      </c>
      <c r="W119" s="4">
        <v>11</v>
      </c>
      <c r="X119">
        <v>22</v>
      </c>
      <c r="Y119" s="11">
        <v>12.59</v>
      </c>
      <c r="Z119" s="11">
        <v>277.85000000000002</v>
      </c>
      <c r="AA119" s="11">
        <v>24.822500000000002</v>
      </c>
    </row>
    <row r="120" spans="19:27" x14ac:dyDescent="0.35">
      <c r="S120">
        <v>2023</v>
      </c>
      <c r="T120">
        <v>52</v>
      </c>
      <c r="U120" s="40">
        <v>45278</v>
      </c>
      <c r="V120">
        <v>4</v>
      </c>
      <c r="W120" s="4">
        <v>14</v>
      </c>
      <c r="X120">
        <v>27</v>
      </c>
      <c r="Y120" s="11">
        <v>12.0464</v>
      </c>
      <c r="Z120" s="11">
        <v>319.98</v>
      </c>
      <c r="AA120" s="11">
        <v>21.319199999999999</v>
      </c>
    </row>
    <row r="121" spans="19:27" x14ac:dyDescent="0.35">
      <c r="S121">
        <v>2023</v>
      </c>
      <c r="T121">
        <v>51</v>
      </c>
      <c r="U121" s="40">
        <v>45271</v>
      </c>
      <c r="V121">
        <v>2</v>
      </c>
      <c r="W121" s="4">
        <v>9</v>
      </c>
      <c r="X121">
        <v>18</v>
      </c>
      <c r="Y121" s="11">
        <v>12.3375</v>
      </c>
      <c r="Z121" s="11">
        <v>231.38</v>
      </c>
      <c r="AA121" s="11">
        <v>23.671399999999998</v>
      </c>
    </row>
    <row r="122" spans="19:27" x14ac:dyDescent="0.35">
      <c r="S122">
        <v>2023</v>
      </c>
      <c r="T122">
        <v>50</v>
      </c>
      <c r="U122" s="40">
        <v>45264</v>
      </c>
      <c r="V122">
        <v>4</v>
      </c>
      <c r="W122" s="4">
        <v>13</v>
      </c>
      <c r="X122">
        <v>29</v>
      </c>
      <c r="Y122" s="11">
        <v>9.4922000000000004</v>
      </c>
      <c r="Z122" s="11">
        <v>281.81</v>
      </c>
      <c r="AA122" s="11">
        <v>20.2666</v>
      </c>
    </row>
    <row r="123" spans="19:27" x14ac:dyDescent="0.35">
      <c r="S123">
        <v>2023</v>
      </c>
      <c r="T123">
        <v>49</v>
      </c>
      <c r="U123" s="40">
        <v>45257</v>
      </c>
      <c r="V123">
        <v>3</v>
      </c>
      <c r="W123" s="4">
        <v>13</v>
      </c>
      <c r="X123">
        <v>25</v>
      </c>
      <c r="Y123" s="11">
        <v>13.386799999999999</v>
      </c>
      <c r="Z123" s="11">
        <v>333.75</v>
      </c>
      <c r="AA123" s="11">
        <v>24.994800000000001</v>
      </c>
    </row>
    <row r="124" spans="19:27" x14ac:dyDescent="0.35">
      <c r="S124">
        <v>2023</v>
      </c>
      <c r="T124">
        <v>48</v>
      </c>
      <c r="U124" s="40">
        <v>45250</v>
      </c>
      <c r="V124">
        <v>4</v>
      </c>
      <c r="W124" s="4">
        <v>17</v>
      </c>
      <c r="X124">
        <v>37</v>
      </c>
      <c r="Y124" s="11">
        <v>10.537800000000001</v>
      </c>
      <c r="Z124" s="11">
        <v>397.84</v>
      </c>
      <c r="AA124" s="11">
        <v>21.404</v>
      </c>
    </row>
    <row r="125" spans="19:27" x14ac:dyDescent="0.35">
      <c r="S125">
        <v>2023</v>
      </c>
      <c r="T125">
        <v>47</v>
      </c>
      <c r="U125" s="40">
        <v>45243</v>
      </c>
      <c r="V125">
        <v>4</v>
      </c>
      <c r="W125" s="4">
        <v>12</v>
      </c>
      <c r="X125">
        <v>25</v>
      </c>
      <c r="Y125" s="11">
        <v>9.6186000000000007</v>
      </c>
      <c r="Z125" s="11">
        <v>269.86</v>
      </c>
      <c r="AA125" s="11">
        <v>20.8248</v>
      </c>
    </row>
    <row r="126" spans="19:27" x14ac:dyDescent="0.35">
      <c r="S126">
        <v>2023</v>
      </c>
      <c r="T126">
        <v>46</v>
      </c>
      <c r="U126" s="40">
        <v>45236</v>
      </c>
      <c r="V126">
        <v>5</v>
      </c>
      <c r="W126" s="4">
        <v>27</v>
      </c>
      <c r="X126">
        <v>61</v>
      </c>
      <c r="Y126" s="11">
        <v>10.441000000000001</v>
      </c>
      <c r="Z126" s="11">
        <v>617.44000000000005</v>
      </c>
      <c r="AA126" s="11">
        <v>22.77</v>
      </c>
    </row>
    <row r="127" spans="19:27" x14ac:dyDescent="0.35">
      <c r="S127">
        <v>2023</v>
      </c>
      <c r="T127">
        <v>45</v>
      </c>
      <c r="U127" s="40">
        <v>45229</v>
      </c>
      <c r="V127">
        <v>4</v>
      </c>
      <c r="W127" s="4">
        <v>17</v>
      </c>
      <c r="X127">
        <v>39</v>
      </c>
      <c r="Y127" s="11">
        <v>11.277900000000001</v>
      </c>
      <c r="Z127" s="11">
        <v>438.21</v>
      </c>
      <c r="AA127" s="11">
        <v>25.347799999999999</v>
      </c>
    </row>
    <row r="128" spans="19:27" x14ac:dyDescent="0.35">
      <c r="S128">
        <v>2023</v>
      </c>
      <c r="T128">
        <v>44</v>
      </c>
      <c r="U128" s="40">
        <v>45222</v>
      </c>
      <c r="V128">
        <v>5</v>
      </c>
      <c r="W128" s="4">
        <v>22</v>
      </c>
      <c r="X128">
        <v>47</v>
      </c>
      <c r="Y128" s="11">
        <v>11.239699999999999</v>
      </c>
      <c r="Z128" s="11">
        <v>545.04</v>
      </c>
      <c r="AA128" s="11">
        <v>24.5611</v>
      </c>
    </row>
    <row r="129" spans="19:27" x14ac:dyDescent="0.35">
      <c r="S129">
        <v>2023</v>
      </c>
      <c r="T129">
        <v>43</v>
      </c>
      <c r="U129" s="40">
        <v>45215</v>
      </c>
      <c r="V129">
        <v>2</v>
      </c>
      <c r="W129" s="4">
        <v>10</v>
      </c>
      <c r="X129">
        <v>24</v>
      </c>
      <c r="Y129" s="11">
        <v>10.626099999999999</v>
      </c>
      <c r="Z129" s="11">
        <v>241.77</v>
      </c>
      <c r="AA129" s="11">
        <v>24.482199999999999</v>
      </c>
    </row>
    <row r="130" spans="19:27" x14ac:dyDescent="0.35">
      <c r="S130">
        <v>2023</v>
      </c>
      <c r="T130">
        <v>42</v>
      </c>
      <c r="U130" s="40">
        <v>45208</v>
      </c>
      <c r="V130">
        <v>4</v>
      </c>
      <c r="W130" s="4">
        <v>16</v>
      </c>
      <c r="X130">
        <v>32</v>
      </c>
      <c r="Y130" s="11">
        <v>11.5258</v>
      </c>
      <c r="Z130" s="11">
        <v>370.45</v>
      </c>
      <c r="AA130" s="11">
        <v>24.527999999999999</v>
      </c>
    </row>
    <row r="131" spans="19:27" x14ac:dyDescent="0.35">
      <c r="S131">
        <v>2023</v>
      </c>
      <c r="T131">
        <v>41</v>
      </c>
      <c r="U131" s="40">
        <v>45201</v>
      </c>
      <c r="V131">
        <v>3</v>
      </c>
      <c r="W131" s="4">
        <v>11</v>
      </c>
      <c r="X131">
        <v>24</v>
      </c>
      <c r="Y131" s="11">
        <v>9.2453000000000003</v>
      </c>
      <c r="Z131" s="11">
        <v>219.49</v>
      </c>
      <c r="AA131" s="11">
        <v>21.4482</v>
      </c>
    </row>
    <row r="132" spans="19:27" x14ac:dyDescent="0.35">
      <c r="S132">
        <v>2023</v>
      </c>
      <c r="T132">
        <v>40</v>
      </c>
      <c r="U132" s="40">
        <v>45194</v>
      </c>
      <c r="V132">
        <v>5</v>
      </c>
      <c r="W132" s="4">
        <v>18</v>
      </c>
      <c r="X132">
        <v>36</v>
      </c>
      <c r="Y132" s="11">
        <v>10.846299999999999</v>
      </c>
      <c r="Z132" s="11">
        <v>374.77</v>
      </c>
      <c r="AA132" s="11">
        <v>20.8476</v>
      </c>
    </row>
    <row r="133" spans="19:27" x14ac:dyDescent="0.35">
      <c r="S133">
        <v>2023</v>
      </c>
      <c r="T133">
        <v>39</v>
      </c>
      <c r="U133" s="40">
        <v>45187</v>
      </c>
      <c r="V133">
        <v>4</v>
      </c>
      <c r="W133" s="4">
        <v>16</v>
      </c>
      <c r="X133">
        <v>38</v>
      </c>
      <c r="Y133" s="11">
        <v>9.5295000000000005</v>
      </c>
      <c r="Z133" s="11">
        <v>326.39999999999998</v>
      </c>
      <c r="AA133" s="11">
        <v>18.457799999999999</v>
      </c>
    </row>
    <row r="134" spans="19:27" x14ac:dyDescent="0.35">
      <c r="S134">
        <v>2023</v>
      </c>
      <c r="T134">
        <v>38</v>
      </c>
      <c r="U134" s="40">
        <v>45180</v>
      </c>
      <c r="V134">
        <v>4</v>
      </c>
      <c r="W134" s="4">
        <v>14</v>
      </c>
      <c r="X134">
        <v>29</v>
      </c>
      <c r="Y134" s="11">
        <v>13.845800000000001</v>
      </c>
      <c r="Z134" s="11">
        <v>333.51</v>
      </c>
      <c r="AA134" s="11">
        <v>23.882000000000001</v>
      </c>
    </row>
    <row r="135" spans="19:27" x14ac:dyDescent="0.35">
      <c r="S135">
        <v>2023</v>
      </c>
      <c r="T135">
        <v>37</v>
      </c>
      <c r="U135" s="40">
        <v>45173</v>
      </c>
      <c r="V135">
        <v>4</v>
      </c>
      <c r="W135" s="4">
        <v>20</v>
      </c>
      <c r="X135">
        <v>42</v>
      </c>
      <c r="Y135" s="11">
        <v>13.0031</v>
      </c>
      <c r="Z135" s="11">
        <v>535.19000000000005</v>
      </c>
      <c r="AA135" s="11">
        <v>26.8291</v>
      </c>
    </row>
    <row r="136" spans="19:27" x14ac:dyDescent="0.35">
      <c r="S136">
        <v>2023</v>
      </c>
      <c r="T136">
        <v>36</v>
      </c>
      <c r="U136" s="40">
        <v>45166</v>
      </c>
      <c r="V136">
        <v>5</v>
      </c>
      <c r="W136" s="4">
        <v>28</v>
      </c>
      <c r="X136">
        <v>63</v>
      </c>
      <c r="Y136" s="11">
        <v>9.0061999999999998</v>
      </c>
      <c r="Z136" s="11">
        <v>576.02</v>
      </c>
      <c r="AA136" s="11">
        <v>20.393899999999999</v>
      </c>
    </row>
    <row r="137" spans="19:27" x14ac:dyDescent="0.35">
      <c r="S137">
        <v>2023</v>
      </c>
      <c r="T137">
        <v>35</v>
      </c>
      <c r="U137" s="40">
        <v>45159</v>
      </c>
      <c r="V137">
        <v>4</v>
      </c>
      <c r="W137" s="4">
        <v>22</v>
      </c>
      <c r="X137">
        <v>43</v>
      </c>
      <c r="Y137" s="11">
        <v>10.5799</v>
      </c>
      <c r="Z137" s="11">
        <v>461.61</v>
      </c>
      <c r="AA137" s="11">
        <v>20.256</v>
      </c>
    </row>
    <row r="138" spans="19:27" x14ac:dyDescent="0.35">
      <c r="S138">
        <v>2023</v>
      </c>
      <c r="T138">
        <v>34</v>
      </c>
      <c r="U138" s="40">
        <v>45152</v>
      </c>
      <c r="V138">
        <v>5</v>
      </c>
      <c r="W138" s="4">
        <v>22</v>
      </c>
      <c r="X138">
        <v>54</v>
      </c>
      <c r="Y138" s="11">
        <v>8.9191000000000003</v>
      </c>
      <c r="Z138" s="11">
        <v>463.93</v>
      </c>
      <c r="AA138" s="11">
        <v>20.353400000000001</v>
      </c>
    </row>
    <row r="139" spans="19:27" x14ac:dyDescent="0.35">
      <c r="S139">
        <v>2023</v>
      </c>
      <c r="T139">
        <v>33</v>
      </c>
      <c r="U139" s="40">
        <v>45145</v>
      </c>
      <c r="V139">
        <v>4</v>
      </c>
      <c r="W139" s="4">
        <v>17</v>
      </c>
      <c r="X139">
        <v>28</v>
      </c>
      <c r="Y139" s="11">
        <v>10.7965</v>
      </c>
      <c r="Z139" s="11">
        <v>301.41000000000003</v>
      </c>
      <c r="AA139" s="11">
        <v>18.1371</v>
      </c>
    </row>
    <row r="140" spans="19:27" x14ac:dyDescent="0.35">
      <c r="S140">
        <v>2023</v>
      </c>
      <c r="T140">
        <v>32</v>
      </c>
      <c r="U140" s="40">
        <v>45138</v>
      </c>
      <c r="V140">
        <v>5</v>
      </c>
      <c r="W140" s="4">
        <v>28</v>
      </c>
      <c r="X140">
        <v>53</v>
      </c>
      <c r="Y140" s="11">
        <v>9.7250999999999994</v>
      </c>
      <c r="Z140" s="11">
        <v>516.02</v>
      </c>
      <c r="AA140" s="11">
        <v>18.294</v>
      </c>
    </row>
    <row r="141" spans="19:27" x14ac:dyDescent="0.35">
      <c r="S141">
        <v>2023</v>
      </c>
      <c r="T141">
        <v>31</v>
      </c>
      <c r="U141" s="40">
        <v>45131</v>
      </c>
      <c r="V141">
        <v>2</v>
      </c>
      <c r="W141" s="4">
        <v>12</v>
      </c>
      <c r="X141">
        <v>25</v>
      </c>
      <c r="Y141" s="11">
        <v>9.4367999999999999</v>
      </c>
      <c r="Z141" s="11">
        <v>248.77</v>
      </c>
      <c r="AA141" s="11">
        <v>18.945799999999998</v>
      </c>
    </row>
    <row r="142" spans="19:27" x14ac:dyDescent="0.35">
      <c r="S142">
        <v>2023</v>
      </c>
      <c r="T142">
        <v>30</v>
      </c>
      <c r="U142" s="40">
        <v>45124</v>
      </c>
      <c r="V142">
        <v>3</v>
      </c>
      <c r="W142" s="4">
        <v>22</v>
      </c>
      <c r="X142">
        <v>42</v>
      </c>
      <c r="Y142" s="11">
        <v>11.578099999999999</v>
      </c>
      <c r="Z142" s="11">
        <v>472.94</v>
      </c>
      <c r="AA142" s="11">
        <v>21.3903</v>
      </c>
    </row>
    <row r="143" spans="19:27" x14ac:dyDescent="0.35">
      <c r="S143">
        <v>2023</v>
      </c>
      <c r="T143">
        <v>29</v>
      </c>
      <c r="U143" s="40">
        <v>45117</v>
      </c>
      <c r="V143">
        <v>6</v>
      </c>
      <c r="W143" s="4">
        <v>33</v>
      </c>
      <c r="X143">
        <v>66</v>
      </c>
      <c r="Y143" s="11">
        <v>9.0648</v>
      </c>
      <c r="Z143" s="11">
        <v>577.91</v>
      </c>
      <c r="AA143" s="11">
        <v>17.909600000000001</v>
      </c>
    </row>
    <row r="144" spans="19:27" x14ac:dyDescent="0.35">
      <c r="S144">
        <v>2023</v>
      </c>
      <c r="T144">
        <v>28</v>
      </c>
      <c r="U144" s="40">
        <v>45110</v>
      </c>
      <c r="V144">
        <v>4</v>
      </c>
      <c r="W144" s="4">
        <v>24</v>
      </c>
      <c r="X144">
        <v>47</v>
      </c>
      <c r="Y144" s="11">
        <v>10.2982</v>
      </c>
      <c r="Z144" s="11">
        <v>479.77</v>
      </c>
      <c r="AA144" s="11">
        <v>19.564699999999998</v>
      </c>
    </row>
    <row r="145" spans="19:27" x14ac:dyDescent="0.35">
      <c r="S145">
        <v>2023</v>
      </c>
      <c r="T145">
        <v>26</v>
      </c>
      <c r="U145" s="40">
        <v>45096</v>
      </c>
      <c r="V145">
        <v>3</v>
      </c>
      <c r="W145" s="4">
        <v>15</v>
      </c>
      <c r="X145">
        <v>25</v>
      </c>
      <c r="Y145" s="11">
        <v>10.9848</v>
      </c>
      <c r="Z145" s="11">
        <v>275.95999999999998</v>
      </c>
      <c r="AA145" s="11">
        <v>18.648800000000001</v>
      </c>
    </row>
    <row r="146" spans="19:27" x14ac:dyDescent="0.35">
      <c r="S146">
        <v>2023</v>
      </c>
      <c r="T146">
        <v>24</v>
      </c>
      <c r="U146" s="40">
        <v>45082</v>
      </c>
      <c r="V146">
        <v>2</v>
      </c>
      <c r="W146" s="4">
        <v>10</v>
      </c>
      <c r="X146">
        <v>24</v>
      </c>
      <c r="Y146" s="11">
        <v>9.8869000000000007</v>
      </c>
      <c r="Z146" s="11">
        <v>231.68</v>
      </c>
      <c r="AA146" s="11">
        <v>24.536999999999999</v>
      </c>
    </row>
    <row r="147" spans="19:27" x14ac:dyDescent="0.35">
      <c r="S147">
        <v>2023</v>
      </c>
      <c r="T147">
        <v>23</v>
      </c>
      <c r="U147" s="40">
        <v>45075</v>
      </c>
      <c r="V147">
        <v>3</v>
      </c>
      <c r="W147" s="4">
        <v>14</v>
      </c>
      <c r="X147">
        <v>27</v>
      </c>
      <c r="Y147" s="11">
        <v>10.4679</v>
      </c>
      <c r="Z147" s="11">
        <v>273.95999999999998</v>
      </c>
      <c r="AA147" s="11">
        <v>19.242999999999999</v>
      </c>
    </row>
    <row r="148" spans="19:27" x14ac:dyDescent="0.35">
      <c r="S148">
        <v>2023</v>
      </c>
      <c r="T148">
        <v>22</v>
      </c>
      <c r="U148" s="40">
        <v>45068</v>
      </c>
      <c r="V148">
        <v>3</v>
      </c>
      <c r="W148" s="4">
        <v>17</v>
      </c>
      <c r="X148">
        <v>34</v>
      </c>
      <c r="Y148" s="11">
        <v>10.8621</v>
      </c>
      <c r="Z148" s="11">
        <v>373.27</v>
      </c>
      <c r="AA148" s="11">
        <v>21.819400000000002</v>
      </c>
    </row>
    <row r="149" spans="19:27" x14ac:dyDescent="0.35">
      <c r="S149">
        <v>2023</v>
      </c>
      <c r="T149">
        <v>21</v>
      </c>
      <c r="U149" s="40">
        <v>45061</v>
      </c>
      <c r="V149">
        <v>2</v>
      </c>
      <c r="W149" s="4">
        <v>6</v>
      </c>
      <c r="X149">
        <v>10</v>
      </c>
      <c r="Y149" s="11">
        <v>7.5335999999999999</v>
      </c>
      <c r="Z149" s="11">
        <v>79.069999999999993</v>
      </c>
      <c r="AA149" s="11">
        <v>12.351599999999999</v>
      </c>
    </row>
    <row r="150" spans="19:27" x14ac:dyDescent="0.35">
      <c r="S150">
        <v>2023</v>
      </c>
      <c r="T150">
        <v>20</v>
      </c>
      <c r="U150" s="40">
        <v>45054</v>
      </c>
      <c r="V150">
        <v>2</v>
      </c>
      <c r="W150" s="4">
        <v>11</v>
      </c>
      <c r="X150">
        <v>19</v>
      </c>
      <c r="Y150" s="11">
        <v>11.5787</v>
      </c>
      <c r="Z150" s="11">
        <v>207.76</v>
      </c>
      <c r="AA150" s="11">
        <v>19.087800000000001</v>
      </c>
    </row>
    <row r="151" spans="19:27" x14ac:dyDescent="0.35">
      <c r="S151">
        <v>2023</v>
      </c>
      <c r="T151">
        <v>19</v>
      </c>
      <c r="U151" s="40">
        <v>45047</v>
      </c>
      <c r="V151">
        <v>5</v>
      </c>
      <c r="W151" s="4">
        <v>26</v>
      </c>
      <c r="X151">
        <v>55</v>
      </c>
      <c r="Y151" s="11">
        <v>9.0711999999999993</v>
      </c>
      <c r="Z151" s="11">
        <v>488.24</v>
      </c>
      <c r="AA151" s="11">
        <v>19.0943</v>
      </c>
    </row>
    <row r="152" spans="19:27" x14ac:dyDescent="0.35">
      <c r="S152">
        <v>2023</v>
      </c>
      <c r="T152">
        <v>18</v>
      </c>
      <c r="U152" s="40">
        <v>45040</v>
      </c>
      <c r="V152">
        <v>5</v>
      </c>
      <c r="W152" s="4">
        <v>17</v>
      </c>
      <c r="X152">
        <v>36</v>
      </c>
      <c r="Y152" s="11">
        <v>10.9331</v>
      </c>
      <c r="Z152" s="11">
        <v>385.38</v>
      </c>
      <c r="AA152" s="11">
        <v>24.186299999999999</v>
      </c>
    </row>
    <row r="153" spans="19:27" x14ac:dyDescent="0.35">
      <c r="S153">
        <v>2023</v>
      </c>
      <c r="T153">
        <v>17</v>
      </c>
      <c r="U153" s="40">
        <v>45033</v>
      </c>
      <c r="V153">
        <v>5</v>
      </c>
      <c r="W153" s="4">
        <v>24</v>
      </c>
      <c r="X153">
        <v>55</v>
      </c>
      <c r="Y153" s="11">
        <v>10.276</v>
      </c>
      <c r="Z153" s="11">
        <v>562.11</v>
      </c>
      <c r="AA153" s="11">
        <v>23.8216</v>
      </c>
    </row>
    <row r="154" spans="19:27" x14ac:dyDescent="0.35">
      <c r="S154">
        <v>2023</v>
      </c>
      <c r="T154">
        <v>16</v>
      </c>
      <c r="U154" s="40">
        <v>45026</v>
      </c>
      <c r="V154">
        <v>2</v>
      </c>
      <c r="W154" s="4">
        <v>10</v>
      </c>
      <c r="X154">
        <v>21</v>
      </c>
      <c r="Y154" s="11">
        <v>11.5992</v>
      </c>
      <c r="Z154" s="11">
        <v>236.16</v>
      </c>
      <c r="AA154" s="11">
        <v>23.869399999999999</v>
      </c>
    </row>
    <row r="155" spans="19:27" x14ac:dyDescent="0.35">
      <c r="S155">
        <v>2023</v>
      </c>
      <c r="T155">
        <v>15</v>
      </c>
      <c r="U155" s="40">
        <v>45019</v>
      </c>
      <c r="V155">
        <v>1</v>
      </c>
      <c r="W155" s="4">
        <v>2</v>
      </c>
      <c r="X155">
        <v>3</v>
      </c>
      <c r="Y155" s="11">
        <v>8.5</v>
      </c>
      <c r="Z155" s="11">
        <v>25.5</v>
      </c>
      <c r="AA155" s="11">
        <v>13.421099999999999</v>
      </c>
    </row>
    <row r="156" spans="19:27" x14ac:dyDescent="0.35">
      <c r="S156">
        <v>2023</v>
      </c>
      <c r="T156">
        <v>14</v>
      </c>
      <c r="U156" s="40">
        <v>45012</v>
      </c>
      <c r="V156">
        <v>4</v>
      </c>
      <c r="W156" s="4">
        <v>23</v>
      </c>
      <c r="X156">
        <v>49</v>
      </c>
      <c r="Y156" s="11">
        <v>8.8643000000000001</v>
      </c>
      <c r="Z156" s="11">
        <v>455.73</v>
      </c>
      <c r="AA156" s="11">
        <v>18.867599999999999</v>
      </c>
    </row>
    <row r="157" spans="19:27" x14ac:dyDescent="0.35">
      <c r="S157">
        <v>2023</v>
      </c>
      <c r="T157">
        <v>13</v>
      </c>
      <c r="U157" s="40">
        <v>45005</v>
      </c>
      <c r="V157">
        <v>4</v>
      </c>
      <c r="W157" s="4">
        <v>17</v>
      </c>
      <c r="X157">
        <v>36</v>
      </c>
      <c r="Y157" s="11">
        <v>11.0199</v>
      </c>
      <c r="Z157" s="11">
        <v>395.19</v>
      </c>
      <c r="AA157" s="11">
        <v>23.572700000000001</v>
      </c>
    </row>
    <row r="158" spans="19:27" x14ac:dyDescent="0.35">
      <c r="S158">
        <v>2023</v>
      </c>
      <c r="T158">
        <v>12</v>
      </c>
      <c r="U158" s="40">
        <v>44998</v>
      </c>
      <c r="V158">
        <v>5</v>
      </c>
      <c r="W158" s="4">
        <v>22</v>
      </c>
      <c r="X158">
        <v>37</v>
      </c>
      <c r="Y158" s="11">
        <v>12.256600000000001</v>
      </c>
      <c r="Z158" s="11">
        <v>362.98</v>
      </c>
      <c r="AA158" s="11">
        <v>16.608000000000001</v>
      </c>
    </row>
    <row r="159" spans="19:27" x14ac:dyDescent="0.35">
      <c r="S159">
        <v>2023</v>
      </c>
      <c r="T159">
        <v>11</v>
      </c>
      <c r="U159" s="40">
        <v>44991</v>
      </c>
      <c r="V159">
        <v>4</v>
      </c>
      <c r="W159" s="4">
        <v>16</v>
      </c>
      <c r="X159">
        <v>33</v>
      </c>
      <c r="Y159" s="11">
        <v>9.6295000000000002</v>
      </c>
      <c r="Z159" s="11">
        <v>313.36</v>
      </c>
      <c r="AA159" s="11">
        <v>19.4316</v>
      </c>
    </row>
    <row r="160" spans="19:27" x14ac:dyDescent="0.35">
      <c r="S160">
        <v>2023</v>
      </c>
      <c r="T160">
        <v>10</v>
      </c>
      <c r="U160" s="40">
        <v>44984</v>
      </c>
      <c r="V160">
        <v>4</v>
      </c>
      <c r="W160" s="4">
        <v>16</v>
      </c>
      <c r="X160">
        <v>27</v>
      </c>
      <c r="Y160" s="11">
        <v>14.857900000000001</v>
      </c>
      <c r="Z160" s="11">
        <v>398.8</v>
      </c>
      <c r="AA160" s="11">
        <v>26.0366</v>
      </c>
    </row>
    <row r="161" spans="19:27" x14ac:dyDescent="0.35">
      <c r="S161">
        <v>2023</v>
      </c>
      <c r="T161">
        <v>9</v>
      </c>
      <c r="U161" s="40">
        <v>44977</v>
      </c>
      <c r="V161">
        <v>3</v>
      </c>
      <c r="W161" s="4">
        <v>15</v>
      </c>
      <c r="X161">
        <v>41</v>
      </c>
      <c r="Y161" s="11">
        <v>9.9212000000000007</v>
      </c>
      <c r="Z161" s="11">
        <v>448.88</v>
      </c>
      <c r="AA161" s="11">
        <v>27.184000000000001</v>
      </c>
    </row>
    <row r="162" spans="19:27" x14ac:dyDescent="0.35">
      <c r="S162">
        <v>2023</v>
      </c>
      <c r="T162">
        <v>8</v>
      </c>
      <c r="U162" s="40">
        <v>44970</v>
      </c>
      <c r="V162">
        <v>4</v>
      </c>
      <c r="W162" s="4">
        <v>20</v>
      </c>
      <c r="X162">
        <v>47</v>
      </c>
      <c r="Y162" s="11">
        <v>10.698499999999999</v>
      </c>
      <c r="Z162" s="11">
        <v>510.89</v>
      </c>
      <c r="AA162" s="11">
        <v>25.255099999999999</v>
      </c>
    </row>
    <row r="163" spans="19:27" x14ac:dyDescent="0.35">
      <c r="S163">
        <v>2023</v>
      </c>
      <c r="T163">
        <v>7</v>
      </c>
      <c r="U163" s="40">
        <v>44963</v>
      </c>
      <c r="V163">
        <v>6</v>
      </c>
      <c r="W163" s="4">
        <v>28</v>
      </c>
      <c r="X163">
        <v>69</v>
      </c>
      <c r="Y163" s="11">
        <v>9.9857999999999993</v>
      </c>
      <c r="Z163" s="11">
        <v>659.37</v>
      </c>
      <c r="AA163" s="11">
        <v>23.679400000000001</v>
      </c>
    </row>
    <row r="164" spans="19:27" x14ac:dyDescent="0.35">
      <c r="S164">
        <v>2023</v>
      </c>
      <c r="T164">
        <v>6</v>
      </c>
      <c r="U164" s="40">
        <v>44956</v>
      </c>
      <c r="V164">
        <v>2</v>
      </c>
      <c r="W164" s="4">
        <v>10</v>
      </c>
      <c r="X164">
        <v>22</v>
      </c>
      <c r="Y164" s="11">
        <v>13.8773</v>
      </c>
      <c r="Z164" s="11">
        <v>305.3</v>
      </c>
      <c r="AA164" s="11">
        <v>30.2164</v>
      </c>
    </row>
    <row r="165" spans="19:27" x14ac:dyDescent="0.35">
      <c r="S165">
        <v>2023</v>
      </c>
      <c r="T165">
        <v>5</v>
      </c>
      <c r="U165" s="40">
        <v>44949</v>
      </c>
      <c r="V165">
        <v>4</v>
      </c>
      <c r="W165" s="4">
        <v>20</v>
      </c>
      <c r="X165">
        <v>41</v>
      </c>
      <c r="Y165" s="11">
        <v>8.4154999999999998</v>
      </c>
      <c r="Z165" s="11">
        <v>354.05</v>
      </c>
      <c r="AA165" s="11">
        <v>17.5946</v>
      </c>
    </row>
    <row r="166" spans="19:27" x14ac:dyDescent="0.35">
      <c r="S166">
        <v>2023</v>
      </c>
      <c r="T166">
        <v>4</v>
      </c>
      <c r="U166" s="40">
        <v>44942</v>
      </c>
      <c r="V166">
        <v>3</v>
      </c>
      <c r="W166" s="4">
        <v>21</v>
      </c>
      <c r="X166">
        <v>37</v>
      </c>
      <c r="Y166" s="11">
        <v>9.9941999999999993</v>
      </c>
      <c r="Z166" s="11">
        <v>371.02</v>
      </c>
      <c r="AA166" s="11">
        <v>17.929200000000002</v>
      </c>
    </row>
    <row r="167" spans="19:27" x14ac:dyDescent="0.35">
      <c r="S167">
        <v>2023</v>
      </c>
      <c r="T167">
        <v>3</v>
      </c>
      <c r="U167" s="40">
        <v>44935</v>
      </c>
      <c r="V167">
        <v>5</v>
      </c>
      <c r="W167" s="4">
        <v>27</v>
      </c>
      <c r="X167">
        <v>50</v>
      </c>
      <c r="Y167" s="11">
        <v>9.42</v>
      </c>
      <c r="Z167" s="11">
        <v>491.96</v>
      </c>
      <c r="AA167" s="11">
        <v>17.488800000000001</v>
      </c>
    </row>
    <row r="168" spans="19:27" x14ac:dyDescent="0.35">
      <c r="S168">
        <v>2023</v>
      </c>
      <c r="T168">
        <v>2</v>
      </c>
      <c r="U168" s="40">
        <v>44928</v>
      </c>
      <c r="V168">
        <v>4</v>
      </c>
      <c r="W168" s="4">
        <v>23</v>
      </c>
      <c r="X168">
        <v>42</v>
      </c>
      <c r="Y168" s="11">
        <v>8.9114000000000004</v>
      </c>
      <c r="Z168" s="11">
        <v>376.59</v>
      </c>
      <c r="AA168" s="11">
        <v>16.4971</v>
      </c>
    </row>
    <row r="169" spans="19:27" x14ac:dyDescent="0.35">
      <c r="S169">
        <v>2023</v>
      </c>
      <c r="T169">
        <v>1</v>
      </c>
      <c r="U169" s="40">
        <v>44921</v>
      </c>
      <c r="V169">
        <v>1</v>
      </c>
      <c r="W169" s="4">
        <v>8</v>
      </c>
      <c r="X169">
        <v>15</v>
      </c>
      <c r="Y169" s="11">
        <v>10.364699999999999</v>
      </c>
      <c r="Z169" s="11">
        <v>155.47</v>
      </c>
      <c r="AA169" s="11">
        <v>18.686299999999999</v>
      </c>
    </row>
    <row r="170" spans="19:27" x14ac:dyDescent="0.35">
      <c r="S170">
        <v>2022</v>
      </c>
      <c r="T170">
        <v>52</v>
      </c>
      <c r="U170" s="40">
        <v>44914</v>
      </c>
      <c r="V170">
        <v>2</v>
      </c>
      <c r="W170" s="4">
        <v>9</v>
      </c>
      <c r="X170">
        <v>19</v>
      </c>
      <c r="Y170" s="11">
        <v>11.8933</v>
      </c>
      <c r="Z170" s="11">
        <v>156.16</v>
      </c>
      <c r="AA170" s="11">
        <v>18.13</v>
      </c>
    </row>
    <row r="171" spans="19:27" x14ac:dyDescent="0.35">
      <c r="S171">
        <v>2022</v>
      </c>
      <c r="T171">
        <v>51</v>
      </c>
      <c r="U171" s="40">
        <v>44907</v>
      </c>
      <c r="V171">
        <v>7</v>
      </c>
      <c r="W171" s="4">
        <v>40</v>
      </c>
      <c r="X171">
        <v>75</v>
      </c>
      <c r="Y171" s="11">
        <v>10.5025</v>
      </c>
      <c r="Z171" s="11">
        <v>735.93</v>
      </c>
      <c r="AA171" s="11">
        <v>18.929400000000001</v>
      </c>
    </row>
    <row r="172" spans="19:27" x14ac:dyDescent="0.35">
      <c r="S172">
        <v>2022</v>
      </c>
      <c r="T172">
        <v>50</v>
      </c>
      <c r="U172" s="40">
        <v>44900</v>
      </c>
      <c r="V172">
        <v>5</v>
      </c>
      <c r="W172" s="4">
        <v>28</v>
      </c>
      <c r="X172">
        <v>49</v>
      </c>
      <c r="Y172" s="11">
        <v>10.5162</v>
      </c>
      <c r="Z172" s="11">
        <v>526.95000000000005</v>
      </c>
      <c r="AA172" s="11">
        <v>21.2285</v>
      </c>
    </row>
    <row r="173" spans="19:27" x14ac:dyDescent="0.35">
      <c r="S173">
        <v>2022</v>
      </c>
      <c r="T173">
        <v>49</v>
      </c>
      <c r="U173" s="40">
        <v>44893</v>
      </c>
      <c r="V173">
        <v>3</v>
      </c>
      <c r="W173" s="4">
        <v>23</v>
      </c>
      <c r="X173">
        <v>32</v>
      </c>
      <c r="Y173" s="11">
        <v>9.8949999999999996</v>
      </c>
      <c r="Z173" s="11">
        <v>289.56</v>
      </c>
      <c r="AA173" s="11">
        <v>12.7476</v>
      </c>
    </row>
    <row r="174" spans="19:27" x14ac:dyDescent="0.35">
      <c r="S174">
        <v>2022</v>
      </c>
      <c r="T174">
        <v>48</v>
      </c>
      <c r="U174" s="40">
        <v>44886</v>
      </c>
      <c r="V174">
        <v>5</v>
      </c>
      <c r="W174" s="4">
        <v>28</v>
      </c>
      <c r="X174">
        <v>53</v>
      </c>
      <c r="Y174" s="11">
        <v>10.744300000000001</v>
      </c>
      <c r="Z174" s="11">
        <v>564.44000000000005</v>
      </c>
      <c r="AA174" s="11">
        <v>20.0563</v>
      </c>
    </row>
    <row r="175" spans="19:27" x14ac:dyDescent="0.35">
      <c r="S175">
        <v>2022</v>
      </c>
      <c r="T175">
        <v>47</v>
      </c>
      <c r="U175" s="40">
        <v>44879</v>
      </c>
      <c r="V175">
        <v>2</v>
      </c>
      <c r="W175" s="4">
        <v>14</v>
      </c>
      <c r="X175">
        <v>24</v>
      </c>
      <c r="Y175" s="11">
        <v>13.389900000000001</v>
      </c>
      <c r="Z175" s="11">
        <v>327.01</v>
      </c>
      <c r="AA175" s="11">
        <v>23.691600000000001</v>
      </c>
    </row>
    <row r="176" spans="19:27" x14ac:dyDescent="0.35">
      <c r="S176">
        <v>2022</v>
      </c>
      <c r="T176">
        <v>46</v>
      </c>
      <c r="U176" s="40">
        <v>44872</v>
      </c>
      <c r="V176">
        <v>4</v>
      </c>
      <c r="W176" s="4">
        <v>24</v>
      </c>
      <c r="X176">
        <v>36</v>
      </c>
      <c r="Y176" s="11">
        <v>10.609299999999999</v>
      </c>
      <c r="Z176" s="11">
        <v>394.51</v>
      </c>
      <c r="AA176" s="11">
        <v>16.1282</v>
      </c>
    </row>
    <row r="177" spans="19:27" x14ac:dyDescent="0.35">
      <c r="S177">
        <v>2022</v>
      </c>
      <c r="T177">
        <v>45</v>
      </c>
      <c r="U177" s="40">
        <v>44865</v>
      </c>
      <c r="V177">
        <v>1</v>
      </c>
      <c r="W177" s="4">
        <v>6</v>
      </c>
      <c r="X177">
        <v>9</v>
      </c>
      <c r="Y177" s="11">
        <v>10.578900000000001</v>
      </c>
      <c r="Z177" s="11">
        <v>95.21</v>
      </c>
      <c r="AA177" s="11">
        <v>17.3109</v>
      </c>
    </row>
    <row r="178" spans="19:27" x14ac:dyDescent="0.35">
      <c r="S178">
        <v>2022</v>
      </c>
      <c r="T178">
        <v>42</v>
      </c>
      <c r="U178" s="40">
        <v>44844</v>
      </c>
      <c r="V178">
        <v>3</v>
      </c>
      <c r="W178" s="4">
        <v>26</v>
      </c>
      <c r="X178">
        <v>31</v>
      </c>
      <c r="Y178" s="11">
        <v>10.7339</v>
      </c>
      <c r="Z178" s="11">
        <v>341.5</v>
      </c>
      <c r="AA178" s="11">
        <v>15.1434</v>
      </c>
    </row>
    <row r="179" spans="19:27" x14ac:dyDescent="0.35">
      <c r="S179">
        <v>2022</v>
      </c>
      <c r="T179">
        <v>41</v>
      </c>
      <c r="U179" s="40">
        <v>44837</v>
      </c>
      <c r="V179">
        <v>5</v>
      </c>
      <c r="W179" s="4">
        <v>30</v>
      </c>
      <c r="X179">
        <v>82</v>
      </c>
      <c r="Y179" s="11">
        <v>9.8132000000000001</v>
      </c>
      <c r="Z179" s="11">
        <v>807.76</v>
      </c>
      <c r="AA179" s="11">
        <v>28.903099999999998</v>
      </c>
    </row>
    <row r="180" spans="19:27" x14ac:dyDescent="0.35">
      <c r="S180">
        <v>2022</v>
      </c>
      <c r="T180">
        <v>40</v>
      </c>
      <c r="U180" s="40">
        <v>44830</v>
      </c>
      <c r="V180">
        <v>5</v>
      </c>
      <c r="W180" s="4">
        <v>29</v>
      </c>
      <c r="X180">
        <v>50</v>
      </c>
      <c r="Y180" s="11">
        <v>10.188499999999999</v>
      </c>
      <c r="Z180" s="11">
        <v>486.73</v>
      </c>
      <c r="AA180" s="11">
        <v>16.5869</v>
      </c>
    </row>
    <row r="181" spans="19:27" x14ac:dyDescent="0.35">
      <c r="S181">
        <v>2022</v>
      </c>
      <c r="T181">
        <v>39</v>
      </c>
      <c r="U181" s="40">
        <v>44823</v>
      </c>
      <c r="V181">
        <v>5</v>
      </c>
      <c r="W181" s="4">
        <v>19</v>
      </c>
      <c r="X181">
        <v>40</v>
      </c>
      <c r="Y181" s="11">
        <v>8.8383000000000003</v>
      </c>
      <c r="Z181" s="11">
        <v>318.56</v>
      </c>
      <c r="AA181" s="11">
        <v>18.516500000000001</v>
      </c>
    </row>
    <row r="182" spans="19:27" x14ac:dyDescent="0.35">
      <c r="S182">
        <v>2022</v>
      </c>
      <c r="T182">
        <v>38</v>
      </c>
      <c r="U182" s="40">
        <v>44816</v>
      </c>
      <c r="V182">
        <v>4</v>
      </c>
      <c r="W182" s="4">
        <v>29</v>
      </c>
      <c r="X182">
        <v>45</v>
      </c>
      <c r="Y182" s="11">
        <v>11.2658</v>
      </c>
      <c r="Z182" s="11">
        <v>502.42</v>
      </c>
      <c r="AA182" s="11">
        <v>17.075700000000001</v>
      </c>
    </row>
    <row r="183" spans="19:27" x14ac:dyDescent="0.35">
      <c r="S183">
        <v>2022</v>
      </c>
      <c r="T183">
        <v>37</v>
      </c>
      <c r="U183" s="40">
        <v>44809</v>
      </c>
      <c r="V183">
        <v>7</v>
      </c>
      <c r="W183" s="4">
        <v>35</v>
      </c>
      <c r="X183">
        <v>86</v>
      </c>
      <c r="Y183" s="11">
        <v>9.3347999999999995</v>
      </c>
      <c r="Z183" s="11">
        <v>790.39</v>
      </c>
      <c r="AA183" s="11">
        <v>26.263999999999999</v>
      </c>
    </row>
    <row r="184" spans="19:27" x14ac:dyDescent="0.35">
      <c r="S184">
        <v>2022</v>
      </c>
      <c r="T184">
        <v>36</v>
      </c>
      <c r="U184" s="40">
        <v>44802</v>
      </c>
      <c r="V184">
        <v>6</v>
      </c>
      <c r="W184" s="4">
        <v>36</v>
      </c>
      <c r="X184">
        <v>68</v>
      </c>
      <c r="Y184" s="11">
        <v>10.7079</v>
      </c>
      <c r="Z184" s="11">
        <v>724.08</v>
      </c>
      <c r="AA184" s="11">
        <v>21.019500000000001</v>
      </c>
    </row>
    <row r="185" spans="19:27" x14ac:dyDescent="0.35">
      <c r="S185">
        <v>2022</v>
      </c>
      <c r="T185">
        <v>35</v>
      </c>
      <c r="U185" s="40">
        <v>44795</v>
      </c>
      <c r="V185">
        <v>2</v>
      </c>
      <c r="W185" s="4">
        <v>12</v>
      </c>
      <c r="X185">
        <v>18</v>
      </c>
      <c r="Y185" s="11">
        <v>12.3789</v>
      </c>
      <c r="Z185" s="11">
        <v>222.82</v>
      </c>
      <c r="AA185" s="11">
        <v>18.9864</v>
      </c>
    </row>
    <row r="186" spans="19:27" x14ac:dyDescent="0.35">
      <c r="S186">
        <v>2022</v>
      </c>
      <c r="T186">
        <v>34</v>
      </c>
      <c r="U186" s="40">
        <v>44788</v>
      </c>
      <c r="V186">
        <v>4</v>
      </c>
      <c r="W186" s="4">
        <v>21</v>
      </c>
      <c r="X186">
        <v>39</v>
      </c>
      <c r="Y186" s="11">
        <v>11.0426</v>
      </c>
      <c r="Z186" s="11">
        <v>428.44</v>
      </c>
      <c r="AA186" s="11">
        <v>20.826699999999999</v>
      </c>
    </row>
    <row r="187" spans="19:27" x14ac:dyDescent="0.35">
      <c r="S187">
        <v>2022</v>
      </c>
      <c r="T187">
        <v>33</v>
      </c>
      <c r="U187" s="40">
        <v>44781</v>
      </c>
      <c r="V187">
        <v>3</v>
      </c>
      <c r="W187" s="4">
        <v>16</v>
      </c>
      <c r="X187">
        <v>34</v>
      </c>
      <c r="Y187" s="11">
        <v>7.8463000000000003</v>
      </c>
      <c r="Z187" s="11">
        <v>271.14999999999998</v>
      </c>
      <c r="AA187" s="11">
        <v>17.359100000000002</v>
      </c>
    </row>
    <row r="188" spans="19:27" x14ac:dyDescent="0.35">
      <c r="S188">
        <v>2022</v>
      </c>
      <c r="T188">
        <v>30</v>
      </c>
      <c r="U188" s="40">
        <v>44760</v>
      </c>
      <c r="V188">
        <v>2</v>
      </c>
      <c r="W188" s="4">
        <v>10</v>
      </c>
      <c r="X188">
        <v>24</v>
      </c>
      <c r="Y188" s="11">
        <v>10.4533</v>
      </c>
      <c r="Z188" s="11">
        <v>250.88</v>
      </c>
      <c r="AA188" s="11">
        <v>24.927700000000002</v>
      </c>
    </row>
    <row r="189" spans="19:27" x14ac:dyDescent="0.35">
      <c r="S189">
        <v>2022</v>
      </c>
      <c r="T189">
        <v>29</v>
      </c>
      <c r="U189" s="40">
        <v>44753</v>
      </c>
      <c r="V189">
        <v>4</v>
      </c>
      <c r="W189" s="4">
        <v>20</v>
      </c>
      <c r="X189">
        <v>43</v>
      </c>
      <c r="Y189" s="11">
        <v>11.6982</v>
      </c>
      <c r="Z189" s="11">
        <v>481.86</v>
      </c>
      <c r="AA189" s="11">
        <v>25.175599999999999</v>
      </c>
    </row>
    <row r="190" spans="19:27" x14ac:dyDescent="0.35">
      <c r="S190">
        <v>2022</v>
      </c>
      <c r="T190">
        <v>28</v>
      </c>
      <c r="U190" s="40">
        <v>44746</v>
      </c>
      <c r="V190">
        <v>4</v>
      </c>
      <c r="W190" s="4">
        <v>19</v>
      </c>
      <c r="X190">
        <v>45</v>
      </c>
      <c r="Y190" s="11">
        <v>8.4736999999999991</v>
      </c>
      <c r="Z190" s="11">
        <v>364.63</v>
      </c>
      <c r="AA190" s="11">
        <v>20.782499999999999</v>
      </c>
    </row>
    <row r="191" spans="19:27" x14ac:dyDescent="0.35">
      <c r="S191">
        <v>2022</v>
      </c>
      <c r="T191">
        <v>27</v>
      </c>
      <c r="U191" s="40">
        <v>44739</v>
      </c>
      <c r="V191">
        <v>3</v>
      </c>
      <c r="W191" s="4">
        <v>21</v>
      </c>
      <c r="X191">
        <v>37</v>
      </c>
      <c r="Y191" s="11">
        <v>10.267300000000001</v>
      </c>
      <c r="Z191" s="11">
        <v>359.52</v>
      </c>
      <c r="AA191" s="11">
        <v>17.681699999999999</v>
      </c>
    </row>
    <row r="192" spans="19:27" x14ac:dyDescent="0.35">
      <c r="S192">
        <v>2022</v>
      </c>
      <c r="T192">
        <v>26</v>
      </c>
      <c r="U192" s="40">
        <v>44732</v>
      </c>
      <c r="V192">
        <v>4</v>
      </c>
      <c r="W192" s="4">
        <v>21</v>
      </c>
      <c r="X192">
        <v>46</v>
      </c>
      <c r="Y192" s="11">
        <v>8.6188000000000002</v>
      </c>
      <c r="Z192" s="11">
        <v>394.08</v>
      </c>
      <c r="AA192" s="11">
        <v>19.678000000000001</v>
      </c>
    </row>
    <row r="193" spans="19:27" x14ac:dyDescent="0.35">
      <c r="S193">
        <v>2022</v>
      </c>
      <c r="T193">
        <v>25</v>
      </c>
      <c r="U193" s="40">
        <v>44725</v>
      </c>
      <c r="V193">
        <v>2</v>
      </c>
      <c r="W193" s="4">
        <v>14</v>
      </c>
      <c r="X193">
        <v>27</v>
      </c>
      <c r="Y193" s="11">
        <v>10.9628</v>
      </c>
      <c r="Z193" s="11">
        <v>286.13</v>
      </c>
      <c r="AA193" s="11">
        <v>21.039000000000001</v>
      </c>
    </row>
    <row r="194" spans="19:27" x14ac:dyDescent="0.35">
      <c r="S194">
        <v>2022</v>
      </c>
      <c r="T194">
        <v>24</v>
      </c>
      <c r="U194" s="40">
        <v>44718</v>
      </c>
      <c r="V194">
        <v>3</v>
      </c>
      <c r="W194" s="4">
        <v>22</v>
      </c>
      <c r="X194">
        <v>40</v>
      </c>
      <c r="Y194" s="11">
        <v>9.6132000000000009</v>
      </c>
      <c r="Z194" s="11">
        <v>387.77</v>
      </c>
      <c r="AA194" s="11">
        <v>17.7361</v>
      </c>
    </row>
    <row r="195" spans="19:27" x14ac:dyDescent="0.35">
      <c r="S195">
        <v>2022</v>
      </c>
      <c r="T195">
        <v>23</v>
      </c>
      <c r="U195" s="40">
        <v>44711</v>
      </c>
      <c r="V195">
        <v>2</v>
      </c>
      <c r="W195" s="4">
        <v>6</v>
      </c>
      <c r="X195">
        <v>10</v>
      </c>
      <c r="Y195" s="11">
        <v>12.7692</v>
      </c>
      <c r="Z195" s="11">
        <v>132.62</v>
      </c>
      <c r="AA195" s="11">
        <v>27.046500000000002</v>
      </c>
    </row>
    <row r="196" spans="19:27" x14ac:dyDescent="0.35">
      <c r="S196">
        <v>2022</v>
      </c>
      <c r="T196">
        <v>22</v>
      </c>
      <c r="U196" s="40">
        <v>44704</v>
      </c>
      <c r="V196">
        <v>1</v>
      </c>
      <c r="W196" s="4">
        <v>6</v>
      </c>
      <c r="X196">
        <v>13</v>
      </c>
      <c r="Y196" s="11">
        <v>8.4154</v>
      </c>
      <c r="Z196" s="11">
        <v>109.4</v>
      </c>
      <c r="AA196" s="11">
        <v>19.193000000000001</v>
      </c>
    </row>
    <row r="197" spans="19:27" x14ac:dyDescent="0.35">
      <c r="S197">
        <v>2022</v>
      </c>
      <c r="T197">
        <v>21</v>
      </c>
      <c r="U197" s="40">
        <v>44697</v>
      </c>
      <c r="V197">
        <v>2</v>
      </c>
      <c r="W197" s="4">
        <v>6</v>
      </c>
      <c r="X197">
        <v>12</v>
      </c>
      <c r="Y197" s="11">
        <v>6.6414</v>
      </c>
      <c r="Z197" s="11">
        <v>83.68</v>
      </c>
      <c r="AA197" s="11">
        <v>14.5905</v>
      </c>
    </row>
    <row r="198" spans="19:27" x14ac:dyDescent="0.35">
      <c r="S198">
        <v>2022</v>
      </c>
      <c r="T198">
        <v>20</v>
      </c>
      <c r="U198" s="40">
        <v>44690</v>
      </c>
      <c r="V198">
        <v>3</v>
      </c>
      <c r="W198" s="4">
        <v>12</v>
      </c>
      <c r="X198">
        <v>26</v>
      </c>
      <c r="Y198" s="11">
        <v>8.3806999999999992</v>
      </c>
      <c r="Z198" s="11">
        <v>229.35</v>
      </c>
      <c r="AA198" s="11">
        <v>18.921500000000002</v>
      </c>
    </row>
    <row r="199" spans="19:27" x14ac:dyDescent="0.35">
      <c r="S199">
        <v>2022</v>
      </c>
      <c r="T199">
        <v>19</v>
      </c>
      <c r="U199" s="40">
        <v>44683</v>
      </c>
      <c r="V199">
        <v>3</v>
      </c>
      <c r="W199" s="4">
        <v>15</v>
      </c>
      <c r="X199">
        <v>35</v>
      </c>
      <c r="Y199" s="11">
        <v>8.4543999999999997</v>
      </c>
      <c r="Z199" s="11">
        <v>310.7</v>
      </c>
      <c r="AA199" s="11">
        <v>20.101900000000001</v>
      </c>
    </row>
    <row r="200" spans="19:27" x14ac:dyDescent="0.35">
      <c r="S200">
        <v>2022</v>
      </c>
      <c r="T200">
        <v>17</v>
      </c>
      <c r="U200" s="40">
        <v>44669</v>
      </c>
      <c r="V200">
        <v>1</v>
      </c>
      <c r="W200" s="4">
        <v>8</v>
      </c>
      <c r="X200">
        <v>18</v>
      </c>
      <c r="Y200" s="11">
        <v>10.873900000000001</v>
      </c>
      <c r="Z200" s="11">
        <v>195.73</v>
      </c>
      <c r="AA200" s="11">
        <v>23.301200000000001</v>
      </c>
    </row>
    <row r="201" spans="19:27" x14ac:dyDescent="0.35">
      <c r="S201">
        <v>2022</v>
      </c>
      <c r="T201">
        <v>15</v>
      </c>
      <c r="U201" s="40">
        <v>44655</v>
      </c>
      <c r="V201">
        <v>1</v>
      </c>
      <c r="W201" s="4">
        <v>2</v>
      </c>
      <c r="X201">
        <v>8</v>
      </c>
      <c r="Y201" s="11">
        <v>8.7899999999999991</v>
      </c>
      <c r="Z201" s="11">
        <v>70.319999999999993</v>
      </c>
      <c r="AA201" s="11">
        <v>37.0105</v>
      </c>
    </row>
    <row r="202" spans="19:27" x14ac:dyDescent="0.35">
      <c r="S202">
        <v>2022</v>
      </c>
      <c r="T202">
        <v>14</v>
      </c>
      <c r="U202" s="40">
        <v>44648</v>
      </c>
      <c r="V202">
        <v>3</v>
      </c>
      <c r="W202" s="4">
        <v>9</v>
      </c>
      <c r="X202">
        <v>21</v>
      </c>
      <c r="Y202" s="11">
        <v>10.6698</v>
      </c>
      <c r="Z202" s="11">
        <v>202.96</v>
      </c>
      <c r="AA202" s="11">
        <v>25.0411</v>
      </c>
    </row>
    <row r="203" spans="19:27" x14ac:dyDescent="0.35">
      <c r="S203">
        <v>2022</v>
      </c>
      <c r="T203">
        <v>13</v>
      </c>
      <c r="U203" s="40">
        <v>44641</v>
      </c>
      <c r="V203">
        <v>3</v>
      </c>
      <c r="W203" s="4">
        <v>11</v>
      </c>
      <c r="X203">
        <v>26</v>
      </c>
      <c r="Y203" s="11">
        <v>11.468</v>
      </c>
      <c r="Z203" s="11">
        <v>258.79000000000002</v>
      </c>
      <c r="AA203" s="11">
        <v>23.9726</v>
      </c>
    </row>
    <row r="204" spans="19:27" x14ac:dyDescent="0.35">
      <c r="S204">
        <v>2022</v>
      </c>
      <c r="T204">
        <v>12</v>
      </c>
      <c r="U204" s="40">
        <v>44634</v>
      </c>
      <c r="V204">
        <v>3</v>
      </c>
      <c r="W204" s="4">
        <v>18</v>
      </c>
      <c r="X204">
        <v>47</v>
      </c>
      <c r="Y204" s="11">
        <v>8.7491000000000003</v>
      </c>
      <c r="Z204" s="11">
        <v>421.8</v>
      </c>
      <c r="AA204" s="11">
        <v>23.808</v>
      </c>
    </row>
    <row r="205" spans="19:27" x14ac:dyDescent="0.35">
      <c r="S205">
        <v>2022</v>
      </c>
      <c r="T205">
        <v>11</v>
      </c>
      <c r="U205" s="40">
        <v>44627</v>
      </c>
      <c r="V205">
        <v>2</v>
      </c>
      <c r="W205" s="4">
        <v>7</v>
      </c>
      <c r="X205">
        <v>17</v>
      </c>
      <c r="Y205" s="11">
        <v>12.6089</v>
      </c>
      <c r="Z205" s="11">
        <v>217.28</v>
      </c>
      <c r="AA205" s="11">
        <v>31.809200000000001</v>
      </c>
    </row>
    <row r="206" spans="19:27" x14ac:dyDescent="0.35">
      <c r="S206">
        <v>2022</v>
      </c>
      <c r="T206">
        <v>10</v>
      </c>
      <c r="U206" s="40">
        <v>44620</v>
      </c>
      <c r="V206">
        <v>1</v>
      </c>
      <c r="W206" s="4">
        <v>5</v>
      </c>
      <c r="X206">
        <v>11</v>
      </c>
      <c r="Y206" s="11">
        <v>11.1227</v>
      </c>
      <c r="Z206" s="11">
        <v>122.35</v>
      </c>
      <c r="AA206" s="11">
        <v>23.084900000000001</v>
      </c>
    </row>
    <row r="207" spans="19:27" x14ac:dyDescent="0.35">
      <c r="S207">
        <v>2022</v>
      </c>
      <c r="T207">
        <v>9</v>
      </c>
      <c r="U207" s="40">
        <v>44613</v>
      </c>
      <c r="V207">
        <v>2</v>
      </c>
      <c r="W207" s="4">
        <v>10</v>
      </c>
      <c r="X207">
        <v>26</v>
      </c>
      <c r="Y207" s="11">
        <v>8.1808999999999994</v>
      </c>
      <c r="Z207" s="11">
        <v>218.03</v>
      </c>
      <c r="AA207" s="11">
        <v>22.307200000000002</v>
      </c>
    </row>
    <row r="208" spans="19:27" x14ac:dyDescent="0.35">
      <c r="S208">
        <v>2022</v>
      </c>
      <c r="T208">
        <v>8</v>
      </c>
      <c r="U208" s="40">
        <v>44606</v>
      </c>
      <c r="V208">
        <v>1</v>
      </c>
      <c r="W208" s="4">
        <v>1</v>
      </c>
      <c r="X208">
        <v>2</v>
      </c>
      <c r="Y208" s="11">
        <v>10.875</v>
      </c>
      <c r="Z208" s="11">
        <v>21.75</v>
      </c>
      <c r="AA208" s="11">
        <v>27.1875</v>
      </c>
    </row>
    <row r="209" spans="19:27" x14ac:dyDescent="0.35">
      <c r="S209">
        <v>2022</v>
      </c>
      <c r="T209">
        <v>7</v>
      </c>
      <c r="U209" s="40">
        <v>44599</v>
      </c>
      <c r="V209">
        <v>2</v>
      </c>
      <c r="W209" s="4">
        <v>9</v>
      </c>
      <c r="X209">
        <v>20</v>
      </c>
      <c r="Y209" s="11">
        <v>12.8908</v>
      </c>
      <c r="Z209" s="11">
        <v>213.29</v>
      </c>
      <c r="AA209" s="11">
        <v>26.101600000000001</v>
      </c>
    </row>
    <row r="210" spans="19:27" x14ac:dyDescent="0.35">
      <c r="S210">
        <v>2022</v>
      </c>
      <c r="T210">
        <v>6</v>
      </c>
      <c r="U210" s="40">
        <v>44592</v>
      </c>
      <c r="V210">
        <v>1</v>
      </c>
      <c r="W210" s="4">
        <v>2</v>
      </c>
      <c r="X210">
        <v>8</v>
      </c>
      <c r="Y210" s="11">
        <v>6.9862000000000002</v>
      </c>
      <c r="Z210" s="11">
        <v>55.89</v>
      </c>
      <c r="AA210" s="11">
        <v>22.356000000000002</v>
      </c>
    </row>
    <row r="211" spans="19:27" x14ac:dyDescent="0.35">
      <c r="S211">
        <v>2022</v>
      </c>
      <c r="T211">
        <v>5</v>
      </c>
      <c r="U211" s="40">
        <v>44585</v>
      </c>
      <c r="V211">
        <v>1</v>
      </c>
      <c r="W211" s="4">
        <v>2</v>
      </c>
      <c r="X211">
        <v>4</v>
      </c>
      <c r="Y211" s="11">
        <v>9.6074999999999999</v>
      </c>
      <c r="Z211" s="11">
        <v>38.43</v>
      </c>
      <c r="AA211" s="11">
        <v>21.35</v>
      </c>
    </row>
    <row r="212" spans="19:27" x14ac:dyDescent="0.35">
      <c r="S212">
        <v>2022</v>
      </c>
      <c r="T212">
        <v>3</v>
      </c>
      <c r="U212" s="40">
        <v>44571</v>
      </c>
      <c r="V212">
        <v>2</v>
      </c>
      <c r="W212" s="4">
        <v>10</v>
      </c>
      <c r="X212">
        <v>22</v>
      </c>
      <c r="Y212" s="11">
        <v>8.5459999999999994</v>
      </c>
      <c r="Z212" s="11">
        <v>179.7</v>
      </c>
      <c r="AA212" s="11">
        <v>19.136800000000001</v>
      </c>
    </row>
    <row r="213" spans="19:27" x14ac:dyDescent="0.35">
      <c r="S213">
        <v>2022</v>
      </c>
      <c r="T213">
        <v>1</v>
      </c>
      <c r="U213" s="40">
        <v>44921</v>
      </c>
      <c r="V213">
        <v>3</v>
      </c>
      <c r="W213" s="4">
        <v>17</v>
      </c>
      <c r="X213">
        <v>27</v>
      </c>
      <c r="Y213" s="11">
        <v>10.4811</v>
      </c>
      <c r="Z213" s="11">
        <v>279.52999999999997</v>
      </c>
      <c r="AA213" s="11">
        <v>16.5901</v>
      </c>
    </row>
    <row r="214" spans="19:27" x14ac:dyDescent="0.35">
      <c r="S214">
        <v>2021</v>
      </c>
      <c r="T214">
        <v>51</v>
      </c>
      <c r="U214" s="40">
        <v>44543</v>
      </c>
      <c r="V214">
        <v>1</v>
      </c>
      <c r="W214" s="4">
        <v>4</v>
      </c>
      <c r="X214">
        <v>8</v>
      </c>
      <c r="Y214" s="11">
        <v>9.9437999999999995</v>
      </c>
      <c r="Z214" s="11">
        <v>79.55</v>
      </c>
      <c r="AA214" s="11">
        <v>22.7286</v>
      </c>
    </row>
    <row r="215" spans="19:27" x14ac:dyDescent="0.35">
      <c r="S215">
        <v>2021</v>
      </c>
      <c r="T215">
        <v>50</v>
      </c>
      <c r="U215" s="40">
        <v>44536</v>
      </c>
      <c r="V215">
        <v>3</v>
      </c>
      <c r="W215" s="4">
        <v>13</v>
      </c>
      <c r="X215">
        <v>28</v>
      </c>
      <c r="Y215" s="11">
        <v>10.3416</v>
      </c>
      <c r="Z215" s="11">
        <v>289.13</v>
      </c>
      <c r="AA215" s="11">
        <v>23.595300000000002</v>
      </c>
    </row>
    <row r="216" spans="19:27" x14ac:dyDescent="0.35">
      <c r="S216">
        <v>2021</v>
      </c>
      <c r="T216">
        <v>49</v>
      </c>
      <c r="U216" s="40">
        <v>44529</v>
      </c>
      <c r="V216">
        <v>2</v>
      </c>
      <c r="W216" s="4">
        <v>11</v>
      </c>
      <c r="X216">
        <v>25</v>
      </c>
      <c r="Y216" s="11">
        <v>9.2929999999999993</v>
      </c>
      <c r="Z216" s="11">
        <v>228.66</v>
      </c>
      <c r="AA216" s="11">
        <v>20.666399999999999</v>
      </c>
    </row>
    <row r="217" spans="19:27" x14ac:dyDescent="0.35">
      <c r="S217">
        <v>2021</v>
      </c>
      <c r="T217">
        <v>48</v>
      </c>
      <c r="U217" s="40">
        <v>44522</v>
      </c>
      <c r="V217">
        <v>2</v>
      </c>
      <c r="W217" s="4">
        <v>16</v>
      </c>
      <c r="X217">
        <v>37</v>
      </c>
      <c r="Y217" s="11">
        <v>10.847799999999999</v>
      </c>
      <c r="Z217" s="11">
        <v>400.45</v>
      </c>
      <c r="AA217" s="11">
        <v>26.479199999999999</v>
      </c>
    </row>
    <row r="218" spans="19:27" x14ac:dyDescent="0.35">
      <c r="S218">
        <v>2021</v>
      </c>
      <c r="T218">
        <v>47</v>
      </c>
      <c r="U218" s="40">
        <v>44515</v>
      </c>
      <c r="V218">
        <v>5</v>
      </c>
      <c r="W218" s="4">
        <v>19</v>
      </c>
      <c r="X218">
        <v>40</v>
      </c>
      <c r="Y218" s="11">
        <v>8.6478000000000002</v>
      </c>
      <c r="Z218" s="11">
        <v>353.88</v>
      </c>
      <c r="AA218" s="11">
        <v>17.386299999999999</v>
      </c>
    </row>
    <row r="219" spans="19:27" x14ac:dyDescent="0.35">
      <c r="S219">
        <v>2021</v>
      </c>
      <c r="T219">
        <v>46</v>
      </c>
      <c r="U219" s="40">
        <v>44508</v>
      </c>
      <c r="V219">
        <v>3</v>
      </c>
      <c r="W219" s="4">
        <v>11</v>
      </c>
      <c r="X219">
        <v>30</v>
      </c>
      <c r="Y219" s="11">
        <v>10.363200000000001</v>
      </c>
      <c r="Z219" s="11">
        <v>305.42</v>
      </c>
      <c r="AA219" s="11">
        <v>27.8033</v>
      </c>
    </row>
    <row r="220" spans="19:27" x14ac:dyDescent="0.35">
      <c r="S220">
        <v>2021</v>
      </c>
      <c r="T220">
        <v>45</v>
      </c>
      <c r="U220" s="40">
        <v>44501</v>
      </c>
      <c r="V220">
        <v>3</v>
      </c>
      <c r="W220" s="4">
        <v>6</v>
      </c>
      <c r="X220">
        <v>15</v>
      </c>
      <c r="Y220" s="11">
        <v>9.2683</v>
      </c>
      <c r="Z220" s="11">
        <v>145</v>
      </c>
      <c r="AA220" s="11">
        <v>24.6112</v>
      </c>
    </row>
    <row r="221" spans="19:27" x14ac:dyDescent="0.35">
      <c r="S221">
        <v>2021</v>
      </c>
      <c r="T221">
        <v>44</v>
      </c>
      <c r="U221" s="40">
        <v>44494</v>
      </c>
      <c r="V221">
        <v>1</v>
      </c>
      <c r="W221" s="4">
        <v>4</v>
      </c>
      <c r="X221">
        <v>9</v>
      </c>
      <c r="Y221" s="11">
        <v>8.9122000000000003</v>
      </c>
      <c r="Z221" s="11">
        <v>80.209999999999994</v>
      </c>
      <c r="AA221" s="11">
        <v>20.566700000000001</v>
      </c>
    </row>
    <row r="222" spans="19:27" x14ac:dyDescent="0.35">
      <c r="S222">
        <v>2021</v>
      </c>
      <c r="T222">
        <v>43</v>
      </c>
      <c r="U222" s="40">
        <v>44487</v>
      </c>
      <c r="V222">
        <v>1</v>
      </c>
      <c r="W222" s="4">
        <v>5</v>
      </c>
      <c r="X222">
        <v>14</v>
      </c>
      <c r="Y222" s="11">
        <v>9.8221000000000007</v>
      </c>
      <c r="Z222" s="11">
        <v>137.51</v>
      </c>
      <c r="AA222" s="11">
        <v>25.4648</v>
      </c>
    </row>
    <row r="223" spans="19:27" x14ac:dyDescent="0.35">
      <c r="S223">
        <v>2021</v>
      </c>
      <c r="T223">
        <v>42</v>
      </c>
      <c r="U223" s="40">
        <v>44480</v>
      </c>
      <c r="V223">
        <v>1</v>
      </c>
      <c r="W223" s="4">
        <v>2</v>
      </c>
      <c r="X223">
        <v>3</v>
      </c>
      <c r="Y223" s="11">
        <v>14.583299999999999</v>
      </c>
      <c r="Z223" s="11">
        <v>43.75</v>
      </c>
      <c r="AA223" s="11">
        <v>19.021699999999999</v>
      </c>
    </row>
    <row r="224" spans="19:27" x14ac:dyDescent="0.35">
      <c r="S224">
        <v>2021</v>
      </c>
      <c r="T224">
        <v>41</v>
      </c>
      <c r="U224" s="40">
        <v>44473</v>
      </c>
      <c r="V224">
        <v>1</v>
      </c>
      <c r="W224" s="4">
        <v>1</v>
      </c>
      <c r="X224">
        <v>2</v>
      </c>
      <c r="Y224" s="11">
        <v>11.25</v>
      </c>
      <c r="Z224" s="11">
        <v>22.5</v>
      </c>
      <c r="AA224" s="11">
        <v>18.75</v>
      </c>
    </row>
    <row r="225" spans="19:27" x14ac:dyDescent="0.35">
      <c r="S225">
        <v>2021</v>
      </c>
      <c r="T225">
        <v>40</v>
      </c>
      <c r="U225" s="40">
        <v>44466</v>
      </c>
      <c r="V225">
        <v>1</v>
      </c>
      <c r="W225" s="4">
        <v>2</v>
      </c>
      <c r="X225">
        <v>5</v>
      </c>
      <c r="Y225" s="11">
        <v>7.15</v>
      </c>
      <c r="Z225" s="11">
        <v>35.75</v>
      </c>
      <c r="AA225" s="11">
        <v>17.023800000000001</v>
      </c>
    </row>
    <row r="226" spans="19:27" x14ac:dyDescent="0.35">
      <c r="S226">
        <v>2021</v>
      </c>
      <c r="T226">
        <v>39</v>
      </c>
      <c r="U226" s="40">
        <v>44459</v>
      </c>
      <c r="V226">
        <v>1</v>
      </c>
      <c r="W226" s="4">
        <v>7</v>
      </c>
      <c r="X226">
        <v>16</v>
      </c>
      <c r="Y226" s="11">
        <v>11.2125</v>
      </c>
      <c r="Z226" s="11">
        <v>179.4</v>
      </c>
      <c r="AA226" s="11">
        <v>24.575299999999999</v>
      </c>
    </row>
    <row r="227" spans="19:27" x14ac:dyDescent="0.35">
      <c r="S227">
        <v>2021</v>
      </c>
      <c r="T227">
        <v>38</v>
      </c>
      <c r="U227" s="40">
        <v>44452</v>
      </c>
      <c r="V227">
        <v>1</v>
      </c>
      <c r="W227" s="4">
        <v>3</v>
      </c>
      <c r="X227">
        <v>4</v>
      </c>
      <c r="Y227" s="11">
        <v>9.875</v>
      </c>
      <c r="Z227" s="11">
        <v>39.5</v>
      </c>
      <c r="AA227" s="11">
        <v>12.741899999999999</v>
      </c>
    </row>
    <row r="228" spans="19:27" x14ac:dyDescent="0.35">
      <c r="S228">
        <v>2021</v>
      </c>
      <c r="T228">
        <v>37</v>
      </c>
      <c r="U228" s="40">
        <v>44445</v>
      </c>
      <c r="V228">
        <v>2</v>
      </c>
      <c r="W228" s="4">
        <v>4</v>
      </c>
      <c r="X228">
        <v>12</v>
      </c>
      <c r="Y228" s="11">
        <v>9.2055000000000007</v>
      </c>
      <c r="Z228" s="11">
        <v>103.51</v>
      </c>
      <c r="AA228" s="11">
        <v>33.595199999999998</v>
      </c>
    </row>
    <row r="229" spans="19:27" x14ac:dyDescent="0.35">
      <c r="S229">
        <v>2021</v>
      </c>
      <c r="T229">
        <v>36</v>
      </c>
      <c r="U229" s="40">
        <v>44438</v>
      </c>
      <c r="V229">
        <v>2</v>
      </c>
      <c r="W229" s="4">
        <v>3</v>
      </c>
      <c r="X229">
        <v>8</v>
      </c>
      <c r="Y229" s="11">
        <v>8.4717000000000002</v>
      </c>
      <c r="Z229" s="11">
        <v>69.66</v>
      </c>
      <c r="AA229" s="11">
        <v>18.937999999999999</v>
      </c>
    </row>
    <row r="230" spans="19:27" x14ac:dyDescent="0.35">
      <c r="S230">
        <v>2021</v>
      </c>
      <c r="T230">
        <v>31</v>
      </c>
      <c r="U230" s="40">
        <v>44403</v>
      </c>
      <c r="V230">
        <v>2</v>
      </c>
      <c r="W230" s="4">
        <v>3</v>
      </c>
      <c r="X230">
        <v>5</v>
      </c>
      <c r="Y230" s="11">
        <v>11.65</v>
      </c>
      <c r="Z230" s="11">
        <v>56</v>
      </c>
      <c r="AA230" s="11">
        <v>19.065799999999999</v>
      </c>
    </row>
    <row r="231" spans="19:27" x14ac:dyDescent="0.35">
      <c r="S231">
        <v>2021</v>
      </c>
      <c r="T231">
        <v>30</v>
      </c>
      <c r="U231" s="40">
        <v>44396</v>
      </c>
      <c r="V231">
        <v>1</v>
      </c>
      <c r="W231" s="4">
        <v>2</v>
      </c>
      <c r="X231">
        <v>3</v>
      </c>
      <c r="Y231" s="11">
        <v>8</v>
      </c>
      <c r="Z231" s="11">
        <v>24</v>
      </c>
      <c r="AA231" s="11">
        <v>11.428599999999999</v>
      </c>
    </row>
    <row r="232" spans="19:27" x14ac:dyDescent="0.35">
      <c r="S232">
        <v>2021</v>
      </c>
      <c r="T232">
        <v>27</v>
      </c>
      <c r="U232" s="40">
        <v>44375</v>
      </c>
      <c r="V232">
        <v>3</v>
      </c>
      <c r="W232" s="4">
        <v>13</v>
      </c>
      <c r="X232">
        <v>23</v>
      </c>
      <c r="Y232" s="11">
        <v>8.5172000000000008</v>
      </c>
      <c r="Z232" s="11">
        <v>200.68</v>
      </c>
      <c r="AA232" s="11">
        <v>16.431699999999999</v>
      </c>
    </row>
    <row r="233" spans="19:27" x14ac:dyDescent="0.35">
      <c r="S233">
        <v>2021</v>
      </c>
      <c r="T233">
        <v>26</v>
      </c>
      <c r="U233" s="40">
        <v>44368</v>
      </c>
      <c r="V233">
        <v>3</v>
      </c>
      <c r="W233" s="4">
        <v>11</v>
      </c>
      <c r="X233">
        <v>28</v>
      </c>
      <c r="Y233" s="11">
        <v>10.840199999999999</v>
      </c>
      <c r="Z233" s="11">
        <v>236.08</v>
      </c>
      <c r="AA233" s="11">
        <v>21.283999999999999</v>
      </c>
    </row>
    <row r="234" spans="19:27" x14ac:dyDescent="0.35">
      <c r="S234">
        <v>2021</v>
      </c>
      <c r="T234">
        <v>25</v>
      </c>
      <c r="U234" s="40">
        <v>44361</v>
      </c>
      <c r="V234">
        <v>3</v>
      </c>
      <c r="W234" s="4">
        <v>13</v>
      </c>
      <c r="X234">
        <v>24</v>
      </c>
      <c r="Y234" s="11">
        <v>13.549200000000001</v>
      </c>
      <c r="Z234" s="11">
        <v>289.62</v>
      </c>
      <c r="AA234" s="11">
        <v>23.9681</v>
      </c>
    </row>
    <row r="235" spans="19:27" x14ac:dyDescent="0.35">
      <c r="S235">
        <v>2021</v>
      </c>
      <c r="T235">
        <v>24</v>
      </c>
      <c r="U235" s="40">
        <v>44354</v>
      </c>
      <c r="V235">
        <v>2</v>
      </c>
      <c r="W235" s="4">
        <v>4</v>
      </c>
      <c r="X235">
        <v>7</v>
      </c>
      <c r="Y235" s="11">
        <v>9.06</v>
      </c>
      <c r="Z235" s="11">
        <v>51.09</v>
      </c>
      <c r="AA235" s="11">
        <v>12.2666</v>
      </c>
    </row>
    <row r="236" spans="19:27" x14ac:dyDescent="0.35">
      <c r="S236">
        <v>2021</v>
      </c>
      <c r="T236">
        <v>23</v>
      </c>
      <c r="U236" s="40">
        <v>44347</v>
      </c>
      <c r="V236">
        <v>3</v>
      </c>
      <c r="W236" s="4">
        <v>10</v>
      </c>
      <c r="X236">
        <v>25</v>
      </c>
      <c r="Y236" s="11">
        <v>9.3163</v>
      </c>
      <c r="Z236" s="11">
        <v>231.75</v>
      </c>
      <c r="AA236" s="11">
        <v>23.071899999999999</v>
      </c>
    </row>
    <row r="237" spans="19:27" x14ac:dyDescent="0.35">
      <c r="S237">
        <v>2021</v>
      </c>
      <c r="T237">
        <v>22</v>
      </c>
      <c r="U237" s="40">
        <v>44340</v>
      </c>
      <c r="V237">
        <v>2</v>
      </c>
      <c r="W237" s="4">
        <v>7</v>
      </c>
      <c r="X237">
        <v>20</v>
      </c>
      <c r="Y237" s="11">
        <v>8.7058</v>
      </c>
      <c r="Z237" s="11">
        <v>169.35</v>
      </c>
      <c r="AA237" s="11">
        <v>24.651399999999999</v>
      </c>
    </row>
    <row r="238" spans="19:27" x14ac:dyDescent="0.35">
      <c r="S238">
        <v>2021</v>
      </c>
      <c r="T238">
        <v>21</v>
      </c>
      <c r="U238" s="40">
        <v>44333</v>
      </c>
      <c r="V238">
        <v>4</v>
      </c>
      <c r="W238" s="4">
        <v>14</v>
      </c>
      <c r="X238">
        <v>28</v>
      </c>
      <c r="Y238" s="11">
        <v>11.7111</v>
      </c>
      <c r="Z238" s="11">
        <v>333.01</v>
      </c>
      <c r="AA238" s="11">
        <v>22.65</v>
      </c>
    </row>
    <row r="239" spans="19:27" x14ac:dyDescent="0.35">
      <c r="S239">
        <v>2021</v>
      </c>
      <c r="T239">
        <v>20</v>
      </c>
      <c r="U239" s="40">
        <v>44326</v>
      </c>
      <c r="V239">
        <v>2</v>
      </c>
      <c r="W239" s="4">
        <v>6</v>
      </c>
      <c r="X239">
        <v>15</v>
      </c>
      <c r="Y239" s="11">
        <v>17.420000000000002</v>
      </c>
      <c r="Z239" s="11">
        <v>232.32</v>
      </c>
      <c r="AA239" s="11">
        <v>39.680799999999998</v>
      </c>
    </row>
    <row r="240" spans="19:27" x14ac:dyDescent="0.35">
      <c r="S240">
        <v>2021</v>
      </c>
      <c r="T240">
        <v>19</v>
      </c>
      <c r="U240" s="40">
        <v>44319</v>
      </c>
      <c r="V240">
        <v>5</v>
      </c>
      <c r="W240" s="4">
        <v>17</v>
      </c>
      <c r="X240">
        <v>34</v>
      </c>
      <c r="Y240" s="11">
        <v>10.656000000000001</v>
      </c>
      <c r="Z240" s="11">
        <v>358.61</v>
      </c>
      <c r="AA240" s="11">
        <v>22.464500000000001</v>
      </c>
    </row>
    <row r="241" spans="19:27" x14ac:dyDescent="0.35">
      <c r="S241">
        <v>2021</v>
      </c>
      <c r="T241">
        <v>18</v>
      </c>
      <c r="U241" s="40">
        <v>44312</v>
      </c>
      <c r="V241">
        <v>1</v>
      </c>
      <c r="W241" s="4">
        <v>4</v>
      </c>
      <c r="X241">
        <v>6</v>
      </c>
      <c r="Y241" s="11">
        <v>6.8333000000000004</v>
      </c>
      <c r="Z241" s="11">
        <v>41</v>
      </c>
      <c r="AA241" s="11">
        <v>11.7143</v>
      </c>
    </row>
    <row r="242" spans="19:27" x14ac:dyDescent="0.35">
      <c r="S242">
        <v>2021</v>
      </c>
      <c r="T242">
        <v>17</v>
      </c>
      <c r="U242" s="40">
        <v>44305</v>
      </c>
      <c r="V242">
        <v>1</v>
      </c>
      <c r="W242" s="4">
        <v>2</v>
      </c>
      <c r="X242">
        <v>5</v>
      </c>
      <c r="Y242" s="11">
        <v>8.1999999999999993</v>
      </c>
      <c r="Z242" s="11">
        <v>41</v>
      </c>
      <c r="AA242" s="11">
        <v>21.578900000000001</v>
      </c>
    </row>
    <row r="243" spans="19:27" x14ac:dyDescent="0.35">
      <c r="S243">
        <v>2021</v>
      </c>
      <c r="T243">
        <v>16</v>
      </c>
      <c r="U243" s="40">
        <v>44298</v>
      </c>
      <c r="V243">
        <v>3</v>
      </c>
      <c r="W243" s="4">
        <v>12</v>
      </c>
      <c r="X243">
        <v>22</v>
      </c>
      <c r="Y243" s="11">
        <v>11.047499999999999</v>
      </c>
      <c r="Z243" s="11">
        <v>253.33</v>
      </c>
      <c r="AA243" s="11">
        <v>22.3323</v>
      </c>
    </row>
    <row r="244" spans="19:27" x14ac:dyDescent="0.35">
      <c r="S244">
        <v>2021</v>
      </c>
      <c r="T244">
        <v>14</v>
      </c>
      <c r="U244" s="40">
        <v>44284</v>
      </c>
      <c r="V244">
        <v>1</v>
      </c>
      <c r="W244" s="4">
        <v>1</v>
      </c>
      <c r="X244">
        <v>3</v>
      </c>
      <c r="Y244" s="11">
        <v>11.9133</v>
      </c>
      <c r="Z244" s="11">
        <v>35.74</v>
      </c>
      <c r="AA244" s="11">
        <v>29.783300000000001</v>
      </c>
    </row>
    <row r="245" spans="19:27" x14ac:dyDescent="0.35">
      <c r="S245">
        <v>2021</v>
      </c>
      <c r="T245">
        <v>13</v>
      </c>
      <c r="U245" s="40">
        <v>44277</v>
      </c>
      <c r="V245">
        <v>3</v>
      </c>
      <c r="W245" s="4">
        <v>12</v>
      </c>
      <c r="X245">
        <v>28</v>
      </c>
      <c r="Y245" s="11">
        <v>14.596299999999999</v>
      </c>
      <c r="Z245" s="11">
        <v>415.49</v>
      </c>
      <c r="AA245" s="11">
        <v>33.7684</v>
      </c>
    </row>
    <row r="246" spans="19:27" x14ac:dyDescent="0.35">
      <c r="S246">
        <v>2021</v>
      </c>
      <c r="T246">
        <v>12</v>
      </c>
      <c r="U246" s="40">
        <v>44270</v>
      </c>
      <c r="V246">
        <v>3</v>
      </c>
      <c r="W246" s="4">
        <v>8</v>
      </c>
      <c r="X246">
        <v>19</v>
      </c>
      <c r="Y246" s="11">
        <v>15.3711</v>
      </c>
      <c r="Z246" s="11">
        <v>288.64999999999998</v>
      </c>
      <c r="AA246" s="11">
        <v>35.81</v>
      </c>
    </row>
    <row r="247" spans="19:27" x14ac:dyDescent="0.35">
      <c r="S247">
        <v>2021</v>
      </c>
      <c r="T247">
        <v>11</v>
      </c>
      <c r="U247" s="40">
        <v>44263</v>
      </c>
      <c r="V247">
        <v>3</v>
      </c>
      <c r="W247" s="4">
        <v>6</v>
      </c>
      <c r="X247">
        <v>13</v>
      </c>
      <c r="Y247" s="11">
        <v>12.059799999999999</v>
      </c>
      <c r="Z247" s="11">
        <v>152.88999999999999</v>
      </c>
      <c r="AA247" s="11">
        <v>30.036999999999999</v>
      </c>
    </row>
    <row r="248" spans="19:27" x14ac:dyDescent="0.35">
      <c r="S248">
        <v>2021</v>
      </c>
      <c r="T248">
        <v>10</v>
      </c>
      <c r="U248" s="40">
        <v>44256</v>
      </c>
      <c r="V248">
        <v>4</v>
      </c>
      <c r="W248" s="4">
        <v>8</v>
      </c>
      <c r="X248">
        <v>17</v>
      </c>
      <c r="Y248" s="11">
        <v>13.1645</v>
      </c>
      <c r="Z248" s="11">
        <v>240.73</v>
      </c>
      <c r="AA248" s="11">
        <v>29.097799999999999</v>
      </c>
    </row>
    <row r="249" spans="19:27" x14ac:dyDescent="0.35">
      <c r="S249">
        <v>2021</v>
      </c>
      <c r="T249">
        <v>9</v>
      </c>
      <c r="U249" s="40">
        <v>44249</v>
      </c>
      <c r="V249">
        <v>1</v>
      </c>
      <c r="W249" s="4">
        <v>4</v>
      </c>
      <c r="X249">
        <v>8</v>
      </c>
      <c r="Y249" s="11">
        <v>6.9874999999999998</v>
      </c>
      <c r="Z249" s="11">
        <v>55.9</v>
      </c>
      <c r="AA249" s="11">
        <v>15.0404</v>
      </c>
    </row>
    <row r="250" spans="19:27" x14ac:dyDescent="0.35">
      <c r="S250">
        <v>2021</v>
      </c>
      <c r="T250">
        <v>8</v>
      </c>
      <c r="U250" s="40">
        <v>44242</v>
      </c>
      <c r="V250">
        <v>2</v>
      </c>
      <c r="W250" s="4">
        <v>10</v>
      </c>
      <c r="X250">
        <v>22</v>
      </c>
      <c r="Y250" s="11">
        <v>8.2777999999999992</v>
      </c>
      <c r="Z250" s="11">
        <v>180.68</v>
      </c>
      <c r="AA250" s="11">
        <v>18.483599999999999</v>
      </c>
    </row>
    <row r="251" spans="19:27" x14ac:dyDescent="0.35">
      <c r="S251">
        <v>2021</v>
      </c>
      <c r="T251">
        <v>7</v>
      </c>
      <c r="U251" s="40">
        <v>44235</v>
      </c>
      <c r="V251">
        <v>1</v>
      </c>
      <c r="W251" s="4">
        <v>6</v>
      </c>
      <c r="X251">
        <v>8</v>
      </c>
      <c r="Y251" s="11">
        <v>21.86</v>
      </c>
      <c r="Z251" s="11">
        <v>174.88</v>
      </c>
      <c r="AA251" s="11">
        <v>27.980799999999999</v>
      </c>
    </row>
    <row r="252" spans="19:27" x14ac:dyDescent="0.35">
      <c r="S252">
        <v>2021</v>
      </c>
      <c r="T252">
        <v>6</v>
      </c>
      <c r="U252" s="40">
        <v>44228</v>
      </c>
      <c r="V252">
        <v>3</v>
      </c>
      <c r="W252" s="4">
        <v>13</v>
      </c>
      <c r="X252">
        <v>13</v>
      </c>
      <c r="Y252" s="11">
        <v>11.881600000000001</v>
      </c>
      <c r="Z252" s="11">
        <v>153.4</v>
      </c>
      <c r="AA252" s="11">
        <v>12.0779</v>
      </c>
    </row>
    <row r="253" spans="19:27" x14ac:dyDescent="0.35">
      <c r="S253">
        <v>2021</v>
      </c>
      <c r="T253">
        <v>5</v>
      </c>
      <c r="U253" s="40">
        <v>44221</v>
      </c>
      <c r="V253">
        <v>2</v>
      </c>
      <c r="W253" s="4">
        <v>10</v>
      </c>
      <c r="X253">
        <v>8</v>
      </c>
      <c r="Y253" s="11">
        <v>11.519299999999999</v>
      </c>
      <c r="Z253" s="11">
        <v>109.19</v>
      </c>
      <c r="AA253" s="11">
        <v>8.8591999999999995</v>
      </c>
    </row>
    <row r="254" spans="19:27" x14ac:dyDescent="0.35">
      <c r="S254">
        <v>2021</v>
      </c>
      <c r="T254">
        <v>3</v>
      </c>
      <c r="U254" s="40">
        <v>44207</v>
      </c>
      <c r="V254">
        <v>1</v>
      </c>
      <c r="W254" s="4">
        <v>4</v>
      </c>
      <c r="X254">
        <v>2</v>
      </c>
      <c r="Y254" s="11">
        <v>17.975000000000001</v>
      </c>
      <c r="Z254" s="11">
        <v>35.950000000000003</v>
      </c>
      <c r="AA254" s="11">
        <v>9.8045000000000009</v>
      </c>
    </row>
    <row r="255" spans="19:27" x14ac:dyDescent="0.35">
      <c r="S255">
        <v>2021</v>
      </c>
      <c r="T255">
        <v>2</v>
      </c>
      <c r="U255" s="40">
        <v>44200</v>
      </c>
      <c r="V255">
        <v>2</v>
      </c>
      <c r="W255" s="4">
        <v>9</v>
      </c>
      <c r="X255">
        <v>7</v>
      </c>
      <c r="Y255" s="11">
        <v>9.4030000000000005</v>
      </c>
      <c r="Z255" s="11">
        <v>75.97</v>
      </c>
      <c r="AA255" s="11">
        <v>7.7675999999999998</v>
      </c>
    </row>
    <row r="256" spans="19:27" x14ac:dyDescent="0.35">
      <c r="S256">
        <v>2021</v>
      </c>
      <c r="T256">
        <v>1</v>
      </c>
      <c r="U256" s="40">
        <v>44557</v>
      </c>
      <c r="V256">
        <v>4</v>
      </c>
      <c r="W256" s="4">
        <v>13</v>
      </c>
      <c r="X256">
        <v>17</v>
      </c>
      <c r="Y256" s="11">
        <v>19.134499999999999</v>
      </c>
      <c r="Z256" s="11">
        <v>271.58</v>
      </c>
      <c r="AA256" s="11">
        <v>20.9313</v>
      </c>
    </row>
  </sheetData>
  <mergeCells count="3">
    <mergeCell ref="J1:P1"/>
    <mergeCell ref="AD1:AJ1"/>
    <mergeCell ref="S1:Z1"/>
  </mergeCells>
  <phoneticPr fontId="3" type="noConversion"/>
  <conditionalFormatting pivot="1" sqref="K4:O15">
    <cfRule type="colorScale" priority="6">
      <colorScale>
        <cfvo type="min"/>
        <cfvo type="max"/>
        <color rgb="FFFCFCFF"/>
        <color rgb="FF63BE7B"/>
      </colorScale>
    </cfRule>
  </conditionalFormatting>
  <conditionalFormatting sqref="AI3:AI67">
    <cfRule type="colorScale" priority="132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K3:AK67">
    <cfRule type="colorScale" priority="13288">
      <colorScale>
        <cfvo type="min"/>
        <cfvo type="max"/>
        <color rgb="FFFCFCFF"/>
        <color rgb="FF63BE7B"/>
      </colorScale>
    </cfRule>
  </conditionalFormatting>
  <conditionalFormatting sqref="W3:W256">
    <cfRule type="colorScale" priority="132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3:Z256">
    <cfRule type="colorScale" priority="13298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C4DB-D402-42C4-B4A7-DAF5B7D4C347}">
  <sheetPr codeName="Sheet9">
    <tabColor rgb="FF00B0F0"/>
  </sheetPr>
  <dimension ref="B1:BG38"/>
  <sheetViews>
    <sheetView showGridLines="0" tabSelected="1" topLeftCell="G1" zoomScaleNormal="100" workbookViewId="0">
      <selection activeCell="I4" sqref="I4"/>
    </sheetView>
  </sheetViews>
  <sheetFormatPr defaultRowHeight="14.5" outlineLevelCol="1" x14ac:dyDescent="0.35"/>
  <cols>
    <col min="1" max="1" width="3.6328125" customWidth="1"/>
    <col min="2" max="2" width="8.90625" hidden="1" customWidth="1"/>
    <col min="3" max="3" width="11.6328125" hidden="1" customWidth="1"/>
    <col min="4" max="4" width="23.90625" bestFit="1" customWidth="1"/>
    <col min="5" max="6" width="10.453125" bestFit="1" customWidth="1"/>
    <col min="7" max="7" width="11.54296875" bestFit="1" customWidth="1"/>
    <col min="8" max="11" width="10.453125" bestFit="1" customWidth="1"/>
    <col min="12" max="12" width="3.6328125" customWidth="1"/>
    <col min="13" max="13" width="10" hidden="1" customWidth="1"/>
    <col min="14" max="14" width="4.36328125" bestFit="1" customWidth="1"/>
    <col min="15" max="15" width="11.453125" bestFit="1" customWidth="1"/>
    <col min="16" max="16" width="12.08984375" hidden="1" customWidth="1"/>
    <col min="17" max="17" width="22.36328125" bestFit="1" customWidth="1"/>
    <col min="18" max="18" width="10.08984375" bestFit="1" customWidth="1"/>
    <col min="19" max="19" width="10" bestFit="1" customWidth="1"/>
    <col min="20" max="20" width="11.54296875" bestFit="1" customWidth="1"/>
    <col min="21" max="21" width="5" bestFit="1" customWidth="1"/>
    <col min="22" max="22" width="10.08984375" hidden="1" customWidth="1" outlineLevel="1"/>
    <col min="23" max="23" width="10.54296875" hidden="1" customWidth="1" outlineLevel="1"/>
    <col min="24" max="24" width="5.36328125" hidden="1" customWidth="1" outlineLevel="1"/>
    <col min="25" max="25" width="7.453125" hidden="1" customWidth="1" outlineLevel="1"/>
    <col min="26" max="26" width="14" hidden="1" customWidth="1" outlineLevel="1"/>
    <col min="27" max="27" width="13.453125" hidden="1" customWidth="1" outlineLevel="1"/>
    <col min="28" max="28" width="15" hidden="1" customWidth="1" outlineLevel="1"/>
    <col min="29" max="29" width="9.08984375" hidden="1" customWidth="1" outlineLevel="1"/>
    <col min="30" max="30" width="12.08984375" hidden="1" customWidth="1" outlineLevel="1"/>
    <col min="31" max="31" width="16" hidden="1" customWidth="1" outlineLevel="1"/>
    <col min="32" max="32" width="12" hidden="1" customWidth="1" outlineLevel="1"/>
    <col min="33" max="33" width="11.6328125" hidden="1" customWidth="1" outlineLevel="1"/>
    <col min="34" max="34" width="17.6328125" hidden="1" customWidth="1" outlineLevel="1"/>
    <col min="35" max="35" width="8.54296875" bestFit="1" customWidth="1" collapsed="1"/>
    <col min="36" max="36" width="2.08984375" bestFit="1" customWidth="1"/>
    <col min="37" max="37" width="14" hidden="1" customWidth="1" outlineLevel="1"/>
    <col min="38" max="38" width="13.453125" hidden="1" customWidth="1" outlineLevel="1"/>
    <col min="39" max="39" width="15" hidden="1" customWidth="1" outlineLevel="1"/>
    <col min="40" max="40" width="9.36328125" hidden="1" customWidth="1" outlineLevel="1"/>
    <col min="41" max="41" width="12.08984375" hidden="1" customWidth="1" outlineLevel="1"/>
    <col min="42" max="42" width="16" hidden="1" customWidth="1" outlineLevel="1"/>
    <col min="43" max="43" width="11.6328125" hidden="1" customWidth="1" outlineLevel="1"/>
    <col min="44" max="44" width="17.6328125" hidden="1" customWidth="1" outlineLevel="1"/>
    <col min="45" max="45" width="5" bestFit="1" customWidth="1" collapsed="1"/>
    <col min="46" max="46" width="8.54296875" bestFit="1" customWidth="1"/>
    <col min="47" max="47" width="36" bestFit="1" customWidth="1"/>
    <col min="50" max="50" width="4.453125" bestFit="1" customWidth="1"/>
    <col min="51" max="51" width="11.453125" bestFit="1" customWidth="1"/>
    <col min="52" max="52" width="23.90625" bestFit="1" customWidth="1"/>
    <col min="53" max="53" width="9.6328125" bestFit="1" customWidth="1"/>
    <col min="54" max="54" width="8.54296875" bestFit="1" customWidth="1"/>
    <col min="55" max="55" width="11.36328125" bestFit="1" customWidth="1"/>
    <col min="56" max="56" width="5" bestFit="1" customWidth="1"/>
    <col min="57" max="57" width="6.08984375" bestFit="1" customWidth="1"/>
    <col min="58" max="58" width="5" bestFit="1" customWidth="1"/>
    <col min="59" max="59" width="6.08984375" bestFit="1" customWidth="1"/>
  </cols>
  <sheetData>
    <row r="1" spans="2:59" ht="15" thickBot="1" x14ac:dyDescent="0.4">
      <c r="D1" s="52" t="s">
        <v>258</v>
      </c>
      <c r="AE1">
        <f ca="1">MAX(0, SUM(Z:Z) - SUM(AA:AA))</f>
        <v>0.19999999999999929</v>
      </c>
      <c r="AF1" s="40">
        <f ca="1">IF(TODAY()="","",TODAY()-WEEKDAY(TODAY(),2)+1)</f>
        <v>46181</v>
      </c>
      <c r="AJ1" s="474"/>
      <c r="AP1" s="4">
        <f ca="1">MAX(0, SUM(AK:AK) - SUM(AL:AL))</f>
        <v>6.2999999999999989</v>
      </c>
    </row>
    <row r="2" spans="2:59" ht="15" thickBot="1" x14ac:dyDescent="0.4">
      <c r="E2" s="13" t="s">
        <v>46</v>
      </c>
      <c r="F2" s="13" t="s">
        <v>47</v>
      </c>
      <c r="G2" s="13" t="s">
        <v>48</v>
      </c>
      <c r="H2" s="13" t="s">
        <v>49</v>
      </c>
      <c r="I2" s="13" t="s">
        <v>50</v>
      </c>
      <c r="J2" s="13" t="s">
        <v>51</v>
      </c>
      <c r="K2" s="13" t="s">
        <v>45</v>
      </c>
      <c r="N2" s="376" t="s">
        <v>337</v>
      </c>
      <c r="O2" s="377" t="s">
        <v>99</v>
      </c>
      <c r="P2" s="377"/>
      <c r="Q2" s="377" t="s">
        <v>336</v>
      </c>
      <c r="R2" s="377" t="s">
        <v>334</v>
      </c>
      <c r="S2" s="377" t="s">
        <v>335</v>
      </c>
      <c r="T2" s="377" t="s">
        <v>173</v>
      </c>
      <c r="U2" s="377" t="s">
        <v>40</v>
      </c>
      <c r="V2" s="391" t="s">
        <v>381</v>
      </c>
      <c r="W2" s="319" t="s">
        <v>367</v>
      </c>
      <c r="X2" s="319" t="s">
        <v>87</v>
      </c>
      <c r="Y2" s="319" t="s">
        <v>368</v>
      </c>
      <c r="Z2" s="319" t="s">
        <v>369</v>
      </c>
      <c r="AA2" s="319" t="s">
        <v>370</v>
      </c>
      <c r="AB2" s="319" t="s">
        <v>371</v>
      </c>
      <c r="AC2" s="319" t="s">
        <v>372</v>
      </c>
      <c r="AD2" s="319" t="s">
        <v>373</v>
      </c>
      <c r="AE2" s="378" t="s">
        <v>378</v>
      </c>
      <c r="AF2" s="388" t="s">
        <v>375</v>
      </c>
      <c r="AG2" s="381" t="s">
        <v>376</v>
      </c>
      <c r="AH2" s="381" t="s">
        <v>377</v>
      </c>
      <c r="AI2" s="378" t="s">
        <v>43</v>
      </c>
      <c r="AJ2" s="384"/>
      <c r="AK2" s="319" t="s">
        <v>369</v>
      </c>
      <c r="AL2" s="319" t="s">
        <v>370</v>
      </c>
      <c r="AM2" s="319" t="s">
        <v>371</v>
      </c>
      <c r="AN2" s="319" t="s">
        <v>372</v>
      </c>
      <c r="AO2" s="319" t="s">
        <v>373</v>
      </c>
      <c r="AP2" s="378" t="s">
        <v>378</v>
      </c>
      <c r="AQ2" s="381" t="s">
        <v>376</v>
      </c>
      <c r="AR2" s="381" t="s">
        <v>377</v>
      </c>
      <c r="AS2" s="377" t="s">
        <v>41</v>
      </c>
      <c r="AT2" s="378" t="s">
        <v>43</v>
      </c>
      <c r="AX2" s="376" t="str">
        <f t="shared" ref="AX2:AY9" si="0">N2</f>
        <v>LOB</v>
      </c>
      <c r="AY2" s="377" t="str">
        <f t="shared" si="0"/>
        <v>DOW</v>
      </c>
      <c r="AZ2" s="377" t="str">
        <f t="shared" ref="AZ2:BD9" si="1">Q2</f>
        <v>Area</v>
      </c>
      <c r="BA2" s="377" t="str">
        <f t="shared" si="1"/>
        <v>Earliest</v>
      </c>
      <c r="BB2" s="377" t="str">
        <f t="shared" si="1"/>
        <v>Lastest</v>
      </c>
      <c r="BC2" s="377" t="str">
        <f t="shared" si="1"/>
        <v>Type</v>
      </c>
      <c r="BD2" s="377" t="str">
        <f t="shared" si="1"/>
        <v>Min</v>
      </c>
      <c r="BE2" s="378" t="str">
        <f t="shared" ref="BE2:BE9" si="2">AI2</f>
        <v>Hours</v>
      </c>
      <c r="BF2" s="377" t="str">
        <f t="shared" ref="BF2:BG9" si="3">AS2</f>
        <v>Max</v>
      </c>
      <c r="BG2" s="378" t="str">
        <f t="shared" si="3"/>
        <v>Hours</v>
      </c>
    </row>
    <row r="3" spans="2:59" ht="15" thickBot="1" x14ac:dyDescent="0.4">
      <c r="C3" t="b">
        <f ca="1">IF(E4="Yes",FALSE,COUNTA($E$3:$K$3)&gt;ROUND(AVERAGE(Metrics!$C$4:$F$4),0))</f>
        <v>1</v>
      </c>
      <c r="D3" s="52" t="s">
        <v>205</v>
      </c>
      <c r="E3" s="213"/>
      <c r="F3" s="214"/>
      <c r="G3" s="214"/>
      <c r="H3" s="214" t="s">
        <v>437</v>
      </c>
      <c r="I3" s="214" t="s">
        <v>437</v>
      </c>
      <c r="J3" s="214" t="s">
        <v>437</v>
      </c>
      <c r="K3" s="215" t="s">
        <v>437</v>
      </c>
      <c r="M3" cm="1">
        <f t="array" ref="M3:M9">TRANSPOSE(KPIs!D113:J113)</f>
        <v>5</v>
      </c>
      <c r="N3" s="90">
        <f t="shared" ref="N3:N8" si="4">M4</f>
        <v>7</v>
      </c>
      <c r="O3" s="56" t="s">
        <v>46</v>
      </c>
      <c r="P3" s="56" t="str" cm="1">
        <f t="array" aca="1" ref="P3:P9" ca="1">TRANSPOSE(E37:K37)</f>
        <v/>
      </c>
      <c r="Q3" s="56" t="str">
        <f t="shared" ref="Q3:Q9" ca="1" si="5">IFERROR(VLOOKUP(P3,$B$8:$D$11,3,FALSE),"")</f>
        <v/>
      </c>
      <c r="R3" s="338" t="str">
        <f ca="1">IF(_xlfn.MINIFS(Profitable_Start_Time_Data__New[Start Time],Profitable_Start_Time_Data__New[QTR],RIGHT(pivotable6,1),Profitable_Start_Time_Data__New[DOW],$O3,Profitable_Start_Time_Data__New[Primary Area],$Q3)=0,"",_xlfn.MINIFS(Profitable_Start_Time_Data__New[Start Time],Profitable_Start_Time_Data__New[QTR],RIGHT(pivotable6,1),Profitable_Start_Time_Data__New[DOW],$O3,Profitable_Start_Time_Data__New[Primary Area],$Q3))</f>
        <v/>
      </c>
      <c r="S3" s="338" t="str">
        <f ca="1">IF(_xlfn.MAXIFS(Profitable_Start_Time_Data__New[Start Time],Profitable_Start_Time_Data__New[QTR],RIGHT(pivotable6,1),Profitable_Start_Time_Data__New[DOW],$O3,Profitable_Start_Time_Data__New[Primary Area],$Q3)=0,"",_xlfn.MAXIFS(Profitable_Start_Time_Data__New[Start Time],Profitable_Start_Time_Data__New[QTR],RIGHT(pivotable6,1),Profitable_Start_Time_Data__New[DOW],$O3,Profitable_Start_Time_Data__New[Primary Area],$Q3))</f>
        <v/>
      </c>
      <c r="T3" s="107" t="str">
        <f ca="1">IFERROR(IF(Q3="","",IF(E15=TRUE,"Hourly-Test",INDEX('Pay Type Comparison'!$D$9:$J$12,MATCH(Scheduling!$Q3,'Pay Type Comparison'!$C$9:$C$12,0),MATCH(Scheduling!$O3,'Pay Type Comparison'!$D$8:$J$8,0)))),"Order")</f>
        <v/>
      </c>
      <c r="U3" s="354">
        <f ca="1">IFERROR(Metrics!$G$19*AI3,"")</f>
        <v>0</v>
      </c>
      <c r="V3" s="392">
        <v>3</v>
      </c>
      <c r="W3" s="56" t="str">
        <f t="shared" ref="W3:W9" ca="1" si="6">IF(Q3="","",ROW()-2)</f>
        <v/>
      </c>
      <c r="X3" s="181" t="str">
        <f t="shared" ref="X3:X9" ca="1" si="7">IFERROR(RANK(W3,$W$3:$W$9,0),"")</f>
        <v/>
      </c>
      <c r="Y3" s="180" t="str">
        <f t="shared" ref="Y3:Y9" ca="1" si="8">IFERROR(X3/SUM($X$3:$X$9),"")</f>
        <v/>
      </c>
      <c r="Z3" s="270" t="str">
        <f ca="1">IFERROR(ROUND(Y3*Scheduling!$R$22,1),"")</f>
        <v/>
      </c>
      <c r="AA3" s="181" t="str">
        <f ca="1">IF(Z3="", "", MIN(Z3, V3))</f>
        <v/>
      </c>
      <c r="AB3" s="181" t="str">
        <f ca="1">IF(AA3="", "", ROUNDDOWN(MAX(V3-AA3, 0),0))</f>
        <v/>
      </c>
      <c r="AC3" s="181" t="str">
        <f t="shared" ref="AC3:AC9" ca="1" si="9">IF(AA3="", "", MAX(AA3-V3, 0))</f>
        <v/>
      </c>
      <c r="AD3" s="56" t="str">
        <f t="shared" ref="AD3:AD9" ca="1" si="10">IF(AA3="", "", IF(AA3 &lt; V3, 1, 0))</f>
        <v/>
      </c>
      <c r="AE3" s="186" t="str">
        <f t="shared" ref="AE3:AE9" ca="1" si="11">IF(OR(Z3="", AA3=""), "", IF($AE$1=0, AA3, MIN(V3, AA3 + IF(SUMIFS(AB:AB, AA:AA, "&lt;&gt;")&gt;0, ($AE$1 / COUNTIFS(AA:AA, "&lt;&gt;", AB:AB, "&gt;0")), 0))))</f>
        <v/>
      </c>
      <c r="AF3" s="389">
        <f ca="1">IF(ISBLANK($AJ$1)=FALSE,"",IF(AND((SUMIFS(EarningsPerDay[Hours],EarningsPerDay[Week '#],WEEKNUM(TODAY(),2),EarningsPerDay[Year],YEAR(TODAY()),EarningsPerDay[DOW],Scheduling!O3))&lt;=0,(ROW()-3)+$AF$1&gt;=TODAY()),"",SUMIFS(EarningsPerDay[Hours],EarningsPerDay[Week '#],WEEKNUM(TODAY(),2),EarningsPerDay[Year],YEAR(TODAY()),EarningsPerDay[DOW],Scheduling!O3)))</f>
        <v>0</v>
      </c>
      <c r="AG3" s="382">
        <f ca="1">IF(OR(AF3="",AE3=""), 0, AE3 - AF3)</f>
        <v>0</v>
      </c>
      <c r="AH3" s="382">
        <f ca="1">SUM($AG$3:AG3)</f>
        <v>0</v>
      </c>
      <c r="AI3" s="387">
        <f t="shared" ref="AI3:AI8" ca="1" si="12">IF(AF3="",IF(AND(AF3="",AE3&lt;&gt;""),AE3+(AH3/(7-COUNT($AF$3:$AF$9))),AE3),AF3)</f>
        <v>0</v>
      </c>
      <c r="AJ3" s="385"/>
      <c r="AK3" s="270" t="str">
        <f ca="1">IFERROR(ROUNDUP(Y3*Scheduling!$S$22,1),"")</f>
        <v/>
      </c>
      <c r="AL3" s="181" t="str">
        <f ca="1">IF(AK3="", "", MIN(AK3, V3))</f>
        <v/>
      </c>
      <c r="AM3" s="181" t="str">
        <f ca="1">IF(AL3="", "", ROUNDDOWN(MAX(V3-AL3, 0),0))</f>
        <v/>
      </c>
      <c r="AN3" s="181" t="str">
        <f t="shared" ref="AN3:AN9" ca="1" si="13">IF(AL3="", "", MAX(AL3-V3, 0))</f>
        <v/>
      </c>
      <c r="AO3" s="56" t="str">
        <f t="shared" ref="AO3:AO9" ca="1" si="14">IF(AL3="", "", IF(AL3 &lt; V3, 1, 0))</f>
        <v/>
      </c>
      <c r="AP3" s="186" t="str">
        <f t="shared" ref="AP3:AP9" ca="1" si="15">IF(OR(AK3="",AL3=""),"",IF($AP$1=0,AL3,MIN(V3,AL3+IF(SUMIFS(AM:AM,AL:AL,"&lt;&gt;")&gt;0,($AP$1/COUNTIFS(AL:AL,"&lt;&gt;",AM:AM,"&gt;0")),0))))</f>
        <v/>
      </c>
      <c r="AQ3" s="382">
        <f t="shared" ref="AQ3:AQ9" ca="1" si="16">IF(OR(AF3="",AP3=""), 0, AP3 - AF3)</f>
        <v>0</v>
      </c>
      <c r="AR3" s="382">
        <f ca="1">SUM($AQ$3:AQ3)</f>
        <v>0</v>
      </c>
      <c r="AS3" s="354">
        <f ca="1">IFERROR(Metrics!$G$19*AT3,"")</f>
        <v>0</v>
      </c>
      <c r="AT3" s="387">
        <f t="shared" ref="AT3:AT9" ca="1" si="17">IF(AF3="",IF(AND(AF3="",AP3&lt;&gt;""),AP3+(AR3/(7-COUNT($AF$3:$AF$9))),AP3),AF3)</f>
        <v>0</v>
      </c>
      <c r="AX3" s="90">
        <f t="shared" si="0"/>
        <v>7</v>
      </c>
      <c r="AY3" s="56" t="str">
        <f t="shared" si="0"/>
        <v>Monday</v>
      </c>
      <c r="AZ3" s="56" t="str">
        <f ca="1">Q3</f>
        <v/>
      </c>
      <c r="BA3" s="338" t="str">
        <f t="shared" ca="1" si="1"/>
        <v/>
      </c>
      <c r="BB3" s="338" t="str">
        <f t="shared" ca="1" si="1"/>
        <v/>
      </c>
      <c r="BC3" s="107" t="str">
        <f t="shared" ca="1" si="1"/>
        <v/>
      </c>
      <c r="BD3" s="354">
        <f t="shared" ca="1" si="1"/>
        <v>0</v>
      </c>
      <c r="BE3" s="387">
        <f t="shared" ca="1" si="2"/>
        <v>0</v>
      </c>
      <c r="BF3" s="354">
        <f t="shared" ca="1" si="3"/>
        <v>0</v>
      </c>
      <c r="BG3" s="426">
        <f t="shared" ca="1" si="3"/>
        <v>0</v>
      </c>
    </row>
    <row r="4" spans="2:59" ht="15" thickBot="1" x14ac:dyDescent="0.4">
      <c r="D4" s="52" t="s">
        <v>301</v>
      </c>
      <c r="E4" s="285" t="s">
        <v>417</v>
      </c>
      <c r="F4" s="400"/>
      <c r="M4">
        <v>7</v>
      </c>
      <c r="N4" s="90">
        <f t="shared" si="4"/>
        <v>6</v>
      </c>
      <c r="O4" s="56" t="s">
        <v>47</v>
      </c>
      <c r="P4" s="56" t="str">
        <f ca="1"/>
        <v/>
      </c>
      <c r="Q4" s="56" t="str">
        <f t="shared" ca="1" si="5"/>
        <v/>
      </c>
      <c r="R4" s="338" t="str">
        <f ca="1">IF(_xlfn.MINIFS(Profitable_Start_Time_Data__New[Start Time],Profitable_Start_Time_Data__New[QTR],RIGHT(pivotable6,1),Profitable_Start_Time_Data__New[DOW],$O4,Profitable_Start_Time_Data__New[Primary Area],$Q4)=0,"",_xlfn.MINIFS(Profitable_Start_Time_Data__New[Start Time],Profitable_Start_Time_Data__New[QTR],RIGHT(pivotable6,1),Profitable_Start_Time_Data__New[DOW],$O4,Profitable_Start_Time_Data__New[Primary Area],$Q4))</f>
        <v/>
      </c>
      <c r="S4" s="338" t="str">
        <f ca="1">IF(_xlfn.MAXIFS(Profitable_Start_Time_Data__New[Start Time],Profitable_Start_Time_Data__New[QTR],RIGHT(pivotable6,1),Profitable_Start_Time_Data__New[DOW],$O4,Profitable_Start_Time_Data__New[Primary Area],$Q4)=0,"",_xlfn.MAXIFS(Profitable_Start_Time_Data__New[Start Time],Profitable_Start_Time_Data__New[QTR],RIGHT(pivotable6,1),Profitable_Start_Time_Data__New[DOW],$O4,Profitable_Start_Time_Data__New[Primary Area],$Q4))</f>
        <v/>
      </c>
      <c r="T4" s="107" t="str">
        <f ca="1">IFERROR(IF(Q4="","",IF(F15=TRUE,"Hourly-Test",INDEX('Pay Type Comparison'!$D$9:$J$12,MATCH(Scheduling!$Q4,'Pay Type Comparison'!$C$9:$C$12,0),MATCH(Scheduling!$O4,'Pay Type Comparison'!$D$8:$J$8,0)))),"Order")</f>
        <v/>
      </c>
      <c r="U4" s="354">
        <f ca="1">IFERROR(Metrics!$G$19*AI4,"")</f>
        <v>0</v>
      </c>
      <c r="V4" s="392">
        <v>3</v>
      </c>
      <c r="W4" s="56" t="str">
        <f t="shared" ca="1" si="6"/>
        <v/>
      </c>
      <c r="X4" s="181" t="str">
        <f t="shared" ca="1" si="7"/>
        <v/>
      </c>
      <c r="Y4" s="180" t="str">
        <f t="shared" ca="1" si="8"/>
        <v/>
      </c>
      <c r="Z4" s="270" t="str">
        <f ca="1">IFERROR(ROUND(Y4*Scheduling!$R$22,1),"")</f>
        <v/>
      </c>
      <c r="AA4" s="181" t="str">
        <f t="shared" ref="AA4:AA9" ca="1" si="18">IF(Z4="", "", MIN(Z4, V4))</f>
        <v/>
      </c>
      <c r="AB4" s="181" t="str">
        <f t="shared" ref="AB4:AB9" ca="1" si="19">IF(AA4="", "", ROUNDDOWN(MAX(V4-AA4, 0),0))</f>
        <v/>
      </c>
      <c r="AC4" s="181" t="str">
        <f t="shared" ca="1" si="9"/>
        <v/>
      </c>
      <c r="AD4" s="56" t="str">
        <f t="shared" ca="1" si="10"/>
        <v/>
      </c>
      <c r="AE4" s="186" t="str">
        <f t="shared" ca="1" si="11"/>
        <v/>
      </c>
      <c r="AF4" s="389">
        <f ca="1">IF(ISBLANK($AJ$1)=FALSE,"",IF(AND((SUMIFS(EarningsPerDay[Hours],EarningsPerDay[Week '#],WEEKNUM(TODAY(),2),EarningsPerDay[Year],YEAR(TODAY()),EarningsPerDay[DOW],Scheduling!O4))&lt;=0,(ROW()-3)+$AF$1&gt;=TODAY()),"",SUMIFS(EarningsPerDay[Hours],EarningsPerDay[Week '#],WEEKNUM(TODAY(),2),EarningsPerDay[Year],YEAR(TODAY()),EarningsPerDay[DOW],Scheduling!O4)))</f>
        <v>0</v>
      </c>
      <c r="AG4" s="382">
        <f t="shared" ref="AG4:AG9" ca="1" si="20">IF(OR(AF4="",AE4=""), 0, AE4 - AF4)</f>
        <v>0</v>
      </c>
      <c r="AH4" s="382">
        <f ca="1">SUM($AG$3:AG4)</f>
        <v>0</v>
      </c>
      <c r="AI4" s="387">
        <f t="shared" ca="1" si="12"/>
        <v>0</v>
      </c>
      <c r="AJ4" s="385"/>
      <c r="AK4" s="270" t="str">
        <f ca="1">IFERROR(ROUNDUP(Y4*Scheduling!$S$22,1),"")</f>
        <v/>
      </c>
      <c r="AL4" s="181" t="str">
        <f t="shared" ref="AL4:AL9" ca="1" si="21">IF(AK4="", "", MIN(AK4, V4))</f>
        <v/>
      </c>
      <c r="AM4" s="181" t="str">
        <f t="shared" ref="AM4:AM9" ca="1" si="22">IF(AL4="", "", ROUNDDOWN(MAX(V4-AL4, 0),0))</f>
        <v/>
      </c>
      <c r="AN4" s="181" t="str">
        <f t="shared" ca="1" si="13"/>
        <v/>
      </c>
      <c r="AO4" s="56" t="str">
        <f t="shared" ca="1" si="14"/>
        <v/>
      </c>
      <c r="AP4" s="186" t="str">
        <f t="shared" ca="1" si="15"/>
        <v/>
      </c>
      <c r="AQ4" s="382">
        <f t="shared" ca="1" si="16"/>
        <v>0</v>
      </c>
      <c r="AR4" s="382">
        <f ca="1">SUM($AQ$3:AQ4)</f>
        <v>0</v>
      </c>
      <c r="AS4" s="354">
        <f ca="1">IFERROR(Metrics!$G$19*AT4,"")</f>
        <v>0</v>
      </c>
      <c r="AT4" s="387">
        <f t="shared" ca="1" si="17"/>
        <v>0</v>
      </c>
      <c r="AX4" s="90">
        <f t="shared" si="0"/>
        <v>6</v>
      </c>
      <c r="AY4" s="56" t="str">
        <f t="shared" si="0"/>
        <v>Tuesday</v>
      </c>
      <c r="AZ4" s="56" t="str">
        <f t="shared" ca="1" si="1"/>
        <v/>
      </c>
      <c r="BA4" s="338" t="str">
        <f t="shared" ca="1" si="1"/>
        <v/>
      </c>
      <c r="BB4" s="338" t="str">
        <f t="shared" ca="1" si="1"/>
        <v/>
      </c>
      <c r="BC4" s="107" t="str">
        <f t="shared" ca="1" si="1"/>
        <v/>
      </c>
      <c r="BD4" s="354">
        <f t="shared" ca="1" si="1"/>
        <v>0</v>
      </c>
      <c r="BE4" s="387">
        <f t="shared" ca="1" si="2"/>
        <v>0</v>
      </c>
      <c r="BF4" s="354">
        <f t="shared" ca="1" si="3"/>
        <v>0</v>
      </c>
      <c r="BG4" s="426">
        <f t="shared" ca="1" si="3"/>
        <v>0</v>
      </c>
    </row>
    <row r="5" spans="2:59" x14ac:dyDescent="0.35">
      <c r="M5">
        <v>6</v>
      </c>
      <c r="N5" s="90">
        <f t="shared" si="4"/>
        <v>1</v>
      </c>
      <c r="O5" s="56" t="s">
        <v>48</v>
      </c>
      <c r="P5" s="56" t="str">
        <f ca="1"/>
        <v/>
      </c>
      <c r="Q5" s="56" t="str">
        <f t="shared" ca="1" si="5"/>
        <v/>
      </c>
      <c r="R5" s="338" t="str">
        <f ca="1">IF(_xlfn.MINIFS(Profitable_Start_Time_Data__New[Start Time],Profitable_Start_Time_Data__New[QTR],RIGHT(pivotable6,1),Profitable_Start_Time_Data__New[DOW],$O5,Profitable_Start_Time_Data__New[Primary Area],$Q5)=0,"",_xlfn.MINIFS(Profitable_Start_Time_Data__New[Start Time],Profitable_Start_Time_Data__New[QTR],RIGHT(pivotable6,1),Profitable_Start_Time_Data__New[DOW],$O5,Profitable_Start_Time_Data__New[Primary Area],$Q5))</f>
        <v/>
      </c>
      <c r="S5" s="338" t="str">
        <f ca="1">IF(_xlfn.MAXIFS(Profitable_Start_Time_Data__New[Start Time],Profitable_Start_Time_Data__New[QTR],RIGHT(pivotable6,1),Profitable_Start_Time_Data__New[DOW],$O5,Profitable_Start_Time_Data__New[Primary Area],$Q5)=0,"",_xlfn.MAXIFS(Profitable_Start_Time_Data__New[Start Time],Profitable_Start_Time_Data__New[QTR],RIGHT(pivotable6,1),Profitable_Start_Time_Data__New[DOW],$O5,Profitable_Start_Time_Data__New[Primary Area],$Q5))</f>
        <v/>
      </c>
      <c r="T5" s="107" t="str">
        <f ca="1">IFERROR(IF(Q5="","",IF(G15=TRUE,"Hourly-Test",INDEX('Pay Type Comparison'!$D$9:$J$12,MATCH(Scheduling!$Q5,'Pay Type Comparison'!$C$9:$C$12,0),MATCH(Scheduling!$O5,'Pay Type Comparison'!$D$8:$J$8,0)))),"Order")</f>
        <v/>
      </c>
      <c r="U5" s="354">
        <f ca="1">IFERROR(Metrics!$G$19*AI5,"")</f>
        <v>0</v>
      </c>
      <c r="V5" s="392">
        <v>6</v>
      </c>
      <c r="W5" s="56" t="str">
        <f t="shared" ca="1" si="6"/>
        <v/>
      </c>
      <c r="X5" s="181" t="str">
        <f t="shared" ca="1" si="7"/>
        <v/>
      </c>
      <c r="Y5" s="180" t="str">
        <f t="shared" ca="1" si="8"/>
        <v/>
      </c>
      <c r="Z5" s="270" t="str">
        <f ca="1">IFERROR(ROUND(Y5*Scheduling!$R$22,1),"")</f>
        <v/>
      </c>
      <c r="AA5" s="181" t="str">
        <f t="shared" ca="1" si="18"/>
        <v/>
      </c>
      <c r="AB5" s="181" t="str">
        <f t="shared" ca="1" si="19"/>
        <v/>
      </c>
      <c r="AC5" s="181" t="str">
        <f t="shared" ca="1" si="9"/>
        <v/>
      </c>
      <c r="AD5" s="56" t="str">
        <f t="shared" ca="1" si="10"/>
        <v/>
      </c>
      <c r="AE5" s="186" t="str">
        <f t="shared" ca="1" si="11"/>
        <v/>
      </c>
      <c r="AF5" s="389">
        <f ca="1">IF(ISBLANK($AJ$1)=FALSE,"",IF(AND((SUMIFS(EarningsPerDay[Hours],EarningsPerDay[Week '#],WEEKNUM(TODAY(),2),EarningsPerDay[Year],YEAR(TODAY()),EarningsPerDay[DOW],Scheduling!O5))&lt;=0,(ROW()-3)+$AF$1&gt;=TODAY()),"",SUMIFS(EarningsPerDay[Hours],EarningsPerDay[Week '#],WEEKNUM(TODAY(),2),EarningsPerDay[Year],YEAR(TODAY()),EarningsPerDay[DOW],Scheduling!O5)))</f>
        <v>0</v>
      </c>
      <c r="AG5" s="382">
        <f t="shared" ca="1" si="20"/>
        <v>0</v>
      </c>
      <c r="AH5" s="382">
        <f ca="1">SUM($AG$3:AG5)</f>
        <v>0</v>
      </c>
      <c r="AI5" s="387">
        <f t="shared" ca="1" si="12"/>
        <v>0</v>
      </c>
      <c r="AJ5" s="385"/>
      <c r="AK5" s="270" t="str">
        <f ca="1">IFERROR(ROUNDUP(Y5*Scheduling!$S$22,1),"")</f>
        <v/>
      </c>
      <c r="AL5" s="181" t="str">
        <f t="shared" ca="1" si="21"/>
        <v/>
      </c>
      <c r="AM5" s="181" t="str">
        <f t="shared" ca="1" si="22"/>
        <v/>
      </c>
      <c r="AN5" s="181" t="str">
        <f t="shared" ca="1" si="13"/>
        <v/>
      </c>
      <c r="AO5" s="56" t="str">
        <f t="shared" ca="1" si="14"/>
        <v/>
      </c>
      <c r="AP5" s="186" t="str">
        <f t="shared" ca="1" si="15"/>
        <v/>
      </c>
      <c r="AQ5" s="382">
        <f t="shared" ca="1" si="16"/>
        <v>0</v>
      </c>
      <c r="AR5" s="382">
        <f ca="1">SUM($AQ$3:AQ5)</f>
        <v>0</v>
      </c>
      <c r="AS5" s="354">
        <f ca="1">IFERROR(Metrics!$G$19*AT5,"")</f>
        <v>0</v>
      </c>
      <c r="AT5" s="387">
        <f t="shared" ca="1" si="17"/>
        <v>0</v>
      </c>
      <c r="AX5" s="90">
        <f t="shared" si="0"/>
        <v>1</v>
      </c>
      <c r="AY5" s="56" t="str">
        <f t="shared" si="0"/>
        <v>Wednesday</v>
      </c>
      <c r="AZ5" s="56" t="str">
        <f t="shared" ca="1" si="1"/>
        <v/>
      </c>
      <c r="BA5" s="338" t="str">
        <f t="shared" ca="1" si="1"/>
        <v/>
      </c>
      <c r="BB5" s="338" t="str">
        <f t="shared" ca="1" si="1"/>
        <v/>
      </c>
      <c r="BC5" s="107" t="str">
        <f t="shared" ca="1" si="1"/>
        <v/>
      </c>
      <c r="BD5" s="354">
        <f t="shared" ca="1" si="1"/>
        <v>0</v>
      </c>
      <c r="BE5" s="387">
        <f t="shared" ca="1" si="2"/>
        <v>0</v>
      </c>
      <c r="BF5" s="354">
        <f t="shared" ca="1" si="3"/>
        <v>0</v>
      </c>
      <c r="BG5" s="426">
        <f t="shared" ca="1" si="3"/>
        <v>0</v>
      </c>
    </row>
    <row r="6" spans="2:59" x14ac:dyDescent="0.35">
      <c r="D6" s="491"/>
      <c r="E6" s="491"/>
      <c r="F6" s="491"/>
      <c r="G6" s="491"/>
      <c r="H6" s="491"/>
      <c r="I6" s="491"/>
      <c r="J6" s="491"/>
      <c r="K6" s="491"/>
      <c r="M6">
        <v>1</v>
      </c>
      <c r="N6" s="90">
        <f t="shared" si="4"/>
        <v>4</v>
      </c>
      <c r="O6" s="56" t="s">
        <v>49</v>
      </c>
      <c r="P6" s="56">
        <f ca="1"/>
        <v>4</v>
      </c>
      <c r="Q6" s="56" t="str">
        <f t="shared" ca="1" si="5"/>
        <v>Portland</v>
      </c>
      <c r="R6" s="338">
        <f ca="1">IF(_xlfn.MINIFS(Profitable_Start_Time_Data__New[Start Time],Profitable_Start_Time_Data__New[QTR],RIGHT(pivotable6,1),Profitable_Start_Time_Data__New[DOW],$O6,Profitable_Start_Time_Data__New[Primary Area],$Q6)=0,"",_xlfn.MINIFS(Profitable_Start_Time_Data__New[Start Time],Profitable_Start_Time_Data__New[QTR],RIGHT(pivotable6,1),Profitable_Start_Time_Data__New[DOW],$O6,Profitable_Start_Time_Data__New[Primary Area],$Q6))</f>
        <v>0.70833333333333337</v>
      </c>
      <c r="S6" s="338">
        <f ca="1">IF(_xlfn.MAXIFS(Profitable_Start_Time_Data__New[Start Time],Profitable_Start_Time_Data__New[QTR],RIGHT(pivotable6,1),Profitable_Start_Time_Data__New[DOW],$O6,Profitable_Start_Time_Data__New[Primary Area],$Q6)=0,"",_xlfn.MAXIFS(Profitable_Start_Time_Data__New[Start Time],Profitable_Start_Time_Data__New[QTR],RIGHT(pivotable6,1),Profitable_Start_Time_Data__New[DOW],$O6,Profitable_Start_Time_Data__New[Primary Area],$Q6))</f>
        <v>0.72916666666666663</v>
      </c>
      <c r="T6" s="107" t="str">
        <f ca="1">IFERROR(IF(Q6="","",IF(H15=TRUE,"Hourly-Test",INDEX('Pay Type Comparison'!$D$9:$J$12,MATCH(Scheduling!$Q6,'Pay Type Comparison'!$C$9:$C$12,0),MATCH(Scheduling!$O6,'Pay Type Comparison'!$D$8:$J$8,0)))),"Order")</f>
        <v>Hourly-Test</v>
      </c>
      <c r="U6" s="354">
        <f ca="1">IFERROR(Metrics!$G$19*AI6,"")</f>
        <v>69.985091468501025</v>
      </c>
      <c r="V6" s="392">
        <v>3</v>
      </c>
      <c r="W6" s="56">
        <f t="shared" ca="1" si="6"/>
        <v>4</v>
      </c>
      <c r="X6" s="181">
        <f t="shared" ca="1" si="7"/>
        <v>4</v>
      </c>
      <c r="Y6" s="180">
        <f t="shared" ca="1" si="8"/>
        <v>0.4</v>
      </c>
      <c r="Z6" s="270">
        <f ca="1">IFERROR(ROUND(Y6*Scheduling!$R$22,1),"")</f>
        <v>3.2</v>
      </c>
      <c r="AA6" s="181">
        <f t="shared" ca="1" si="18"/>
        <v>3</v>
      </c>
      <c r="AB6" s="181">
        <f t="shared" ca="1" si="19"/>
        <v>0</v>
      </c>
      <c r="AC6" s="181">
        <f t="shared" ca="1" si="9"/>
        <v>0</v>
      </c>
      <c r="AD6" s="56">
        <f t="shared" ca="1" si="10"/>
        <v>0</v>
      </c>
      <c r="AE6" s="186">
        <f t="shared" ca="1" si="11"/>
        <v>3</v>
      </c>
      <c r="AF6" s="389" t="str">
        <f ca="1">IF(ISBLANK($AJ$1)=FALSE,"",IF(AND((SUMIFS(EarningsPerDay[Hours],EarningsPerDay[Week '#],WEEKNUM(TODAY(),2),EarningsPerDay[Year],YEAR(TODAY()),EarningsPerDay[DOW],Scheduling!O6))&lt;=0,(ROW()-3)+$AF$1&gt;=TODAY()),"",SUMIFS(EarningsPerDay[Hours],EarningsPerDay[Week '#],WEEKNUM(TODAY(),2),EarningsPerDay[Year],YEAR(TODAY()),EarningsPerDay[DOW],Scheduling!O6)))</f>
        <v/>
      </c>
      <c r="AG6" s="382">
        <f t="shared" ca="1" si="20"/>
        <v>0</v>
      </c>
      <c r="AH6" s="382">
        <f ca="1">SUM($AG$3:AG6)</f>
        <v>0</v>
      </c>
      <c r="AI6" s="387">
        <f t="shared" ca="1" si="12"/>
        <v>3</v>
      </c>
      <c r="AJ6" s="385"/>
      <c r="AK6" s="270">
        <f ca="1">IFERROR(ROUNDUP(Y6*Scheduling!$S$22,1),"")</f>
        <v>7.6</v>
      </c>
      <c r="AL6" s="181">
        <f t="shared" ca="1" si="21"/>
        <v>3</v>
      </c>
      <c r="AM6" s="181">
        <f t="shared" ca="1" si="22"/>
        <v>0</v>
      </c>
      <c r="AN6" s="181">
        <f t="shared" ca="1" si="13"/>
        <v>0</v>
      </c>
      <c r="AO6" s="56">
        <f t="shared" ca="1" si="14"/>
        <v>0</v>
      </c>
      <c r="AP6" s="186">
        <f t="shared" ca="1" si="15"/>
        <v>3</v>
      </c>
      <c r="AQ6" s="382">
        <f t="shared" ca="1" si="16"/>
        <v>0</v>
      </c>
      <c r="AR6" s="382">
        <f ca="1">SUM($AQ$3:AQ6)</f>
        <v>0</v>
      </c>
      <c r="AS6" s="354">
        <f ca="1">IFERROR(Metrics!$G$19*AT6,"")</f>
        <v>69.985091468501025</v>
      </c>
      <c r="AT6" s="387">
        <f t="shared" ca="1" si="17"/>
        <v>3</v>
      </c>
      <c r="AU6" s="4"/>
      <c r="AX6" s="90">
        <f t="shared" si="0"/>
        <v>4</v>
      </c>
      <c r="AY6" s="56" t="str">
        <f t="shared" si="0"/>
        <v>Thursday</v>
      </c>
      <c r="AZ6" s="56" t="str">
        <f t="shared" ca="1" si="1"/>
        <v>Portland</v>
      </c>
      <c r="BA6" s="338">
        <f t="shared" ca="1" si="1"/>
        <v>0.70833333333333337</v>
      </c>
      <c r="BB6" s="338">
        <f t="shared" ca="1" si="1"/>
        <v>0.72916666666666663</v>
      </c>
      <c r="BC6" s="107" t="str">
        <f t="shared" ca="1" si="1"/>
        <v>Hourly-Test</v>
      </c>
      <c r="BD6" s="354">
        <f t="shared" ca="1" si="1"/>
        <v>69.985091468501025</v>
      </c>
      <c r="BE6" s="387">
        <f t="shared" ca="1" si="2"/>
        <v>3</v>
      </c>
      <c r="BF6" s="354">
        <f t="shared" ca="1" si="3"/>
        <v>69.985091468501025</v>
      </c>
      <c r="BG6" s="426">
        <f t="shared" ca="1" si="3"/>
        <v>3</v>
      </c>
    </row>
    <row r="7" spans="2:59" x14ac:dyDescent="0.35">
      <c r="D7" s="301" t="s">
        <v>74</v>
      </c>
      <c r="E7" s="302" t="s">
        <v>46</v>
      </c>
      <c r="F7" s="302" t="s">
        <v>47</v>
      </c>
      <c r="G7" s="302" t="s">
        <v>48</v>
      </c>
      <c r="H7" s="302" t="s">
        <v>49</v>
      </c>
      <c r="I7" s="302" t="s">
        <v>50</v>
      </c>
      <c r="J7" s="302" t="s">
        <v>51</v>
      </c>
      <c r="K7" s="302" t="s">
        <v>45</v>
      </c>
      <c r="M7">
        <v>4</v>
      </c>
      <c r="N7" s="90">
        <f t="shared" si="4"/>
        <v>2</v>
      </c>
      <c r="O7" s="56" t="s">
        <v>50</v>
      </c>
      <c r="P7" s="56">
        <f ca="1"/>
        <v>3</v>
      </c>
      <c r="Q7" s="56" t="str">
        <f t="shared" ca="1" si="5"/>
        <v>Lewiston</v>
      </c>
      <c r="R7" s="338">
        <f ca="1">IF(_xlfn.MINIFS(Profitable_Start_Time_Data__New[Start Time],Profitable_Start_Time_Data__New[QTR],RIGHT(pivotable6,1),Profitable_Start_Time_Data__New[DOW],$O7,Profitable_Start_Time_Data__New[Primary Area],$Q7)=0,"",_xlfn.MINIFS(Profitable_Start_Time_Data__New[Start Time],Profitable_Start_Time_Data__New[QTR],RIGHT(pivotable6,1),Profitable_Start_Time_Data__New[DOW],$O7,Profitable_Start_Time_Data__New[Primary Area],$Q7))</f>
        <v>0.83333333333333337</v>
      </c>
      <c r="S7" s="338">
        <f ca="1">IF(_xlfn.MAXIFS(Profitable_Start_Time_Data__New[Start Time],Profitable_Start_Time_Data__New[QTR],RIGHT(pivotable6,1),Profitable_Start_Time_Data__New[DOW],$O7,Profitable_Start_Time_Data__New[Primary Area],$Q7)=0,"",_xlfn.MAXIFS(Profitable_Start_Time_Data__New[Start Time],Profitable_Start_Time_Data__New[QTR],RIGHT(pivotable6,1),Profitable_Start_Time_Data__New[DOW],$O7,Profitable_Start_Time_Data__New[Primary Area],$Q7))</f>
        <v>0.875</v>
      </c>
      <c r="T7" s="107" t="str">
        <f ca="1">IFERROR(IF(Q7="","",IF(I15=TRUE,"Hourly-Test",INDEX('Pay Type Comparison'!$D$9:$J$12,MATCH(Scheduling!$Q7,'Pay Type Comparison'!$C$9:$C$12,0),MATCH(Scheduling!$O7,'Pay Type Comparison'!$D$8:$J$8,0)))),"Order")</f>
        <v>Hourly</v>
      </c>
      <c r="U7" s="354">
        <f ca="1">IFERROR(Metrics!$G$19*AI7,"")</f>
        <v>57.543297429656384</v>
      </c>
      <c r="V7" s="394">
        <v>4</v>
      </c>
      <c r="W7" s="56">
        <f t="shared" ca="1" si="6"/>
        <v>5</v>
      </c>
      <c r="X7" s="181">
        <f t="shared" ca="1" si="7"/>
        <v>3</v>
      </c>
      <c r="Y7" s="180">
        <f t="shared" ca="1" si="8"/>
        <v>0.3</v>
      </c>
      <c r="Z7" s="270">
        <f ca="1">IFERROR(ROUND(Y7*Scheduling!$R$22,1),"")</f>
        <v>2.4</v>
      </c>
      <c r="AA7" s="181">
        <f t="shared" ca="1" si="18"/>
        <v>2.4</v>
      </c>
      <c r="AB7" s="181">
        <f t="shared" ca="1" si="19"/>
        <v>1</v>
      </c>
      <c r="AC7" s="181">
        <f t="shared" ca="1" si="9"/>
        <v>0</v>
      </c>
      <c r="AD7" s="56">
        <f t="shared" ca="1" si="10"/>
        <v>1</v>
      </c>
      <c r="AE7" s="186">
        <f t="shared" ca="1" si="11"/>
        <v>2.4666666666666663</v>
      </c>
      <c r="AF7" s="389" t="str">
        <f ca="1">IF(ISBLANK($AJ$1)=FALSE,"",IF(AND((SUMIFS(EarningsPerDay[Hours],EarningsPerDay[Week '#],WEEKNUM(TODAY(),2),EarningsPerDay[Year],YEAR(TODAY()),EarningsPerDay[DOW],Scheduling!O7))&lt;=0,(ROW()-3)+$AF$1&gt;=TODAY()),"",SUMIFS(EarningsPerDay[Hours],EarningsPerDay[Week '#],WEEKNUM(TODAY(),2),EarningsPerDay[Year],YEAR(TODAY()),EarningsPerDay[DOW],Scheduling!O7)))</f>
        <v/>
      </c>
      <c r="AG7" s="382">
        <f t="shared" ca="1" si="20"/>
        <v>0</v>
      </c>
      <c r="AH7" s="382">
        <f ca="1">SUM($AG$3:AG7)</f>
        <v>0</v>
      </c>
      <c r="AI7" s="387">
        <f t="shared" ca="1" si="12"/>
        <v>2.4666666666666663</v>
      </c>
      <c r="AJ7" s="385"/>
      <c r="AK7" s="270">
        <f ca="1">IFERROR(ROUNDUP(Y7*Scheduling!$S$22,1),"")</f>
        <v>5.7</v>
      </c>
      <c r="AL7" s="181">
        <f t="shared" ca="1" si="21"/>
        <v>4</v>
      </c>
      <c r="AM7" s="181">
        <f t="shared" ca="1" si="22"/>
        <v>0</v>
      </c>
      <c r="AN7" s="181">
        <f t="shared" ca="1" si="13"/>
        <v>0</v>
      </c>
      <c r="AO7" s="56">
        <f t="shared" ca="1" si="14"/>
        <v>0</v>
      </c>
      <c r="AP7" s="186">
        <f t="shared" ca="1" si="15"/>
        <v>4</v>
      </c>
      <c r="AQ7" s="382">
        <f t="shared" ca="1" si="16"/>
        <v>0</v>
      </c>
      <c r="AR7" s="382">
        <f ca="1">SUM($AQ$3:AQ7)</f>
        <v>0</v>
      </c>
      <c r="AS7" s="354">
        <f ca="1">IFERROR(Metrics!$G$19*AT7,"")</f>
        <v>93.313455291334691</v>
      </c>
      <c r="AT7" s="387">
        <f t="shared" ca="1" si="17"/>
        <v>4</v>
      </c>
      <c r="AU7" s="4"/>
      <c r="AX7" s="90">
        <f t="shared" si="0"/>
        <v>2</v>
      </c>
      <c r="AY7" s="56" t="str">
        <f t="shared" si="0"/>
        <v>Friday</v>
      </c>
      <c r="AZ7" s="56" t="str">
        <f t="shared" ca="1" si="1"/>
        <v>Lewiston</v>
      </c>
      <c r="BA7" s="338">
        <f t="shared" ca="1" si="1"/>
        <v>0.83333333333333337</v>
      </c>
      <c r="BB7" s="338">
        <f t="shared" ca="1" si="1"/>
        <v>0.875</v>
      </c>
      <c r="BC7" s="107" t="str">
        <f t="shared" ca="1" si="1"/>
        <v>Hourly</v>
      </c>
      <c r="BD7" s="354">
        <f t="shared" ca="1" si="1"/>
        <v>57.543297429656384</v>
      </c>
      <c r="BE7" s="387">
        <f t="shared" ca="1" si="2"/>
        <v>2.4666666666666663</v>
      </c>
      <c r="BF7" s="354">
        <f t="shared" ca="1" si="3"/>
        <v>93.313455291334691</v>
      </c>
      <c r="BG7" s="426">
        <f t="shared" ca="1" si="3"/>
        <v>4</v>
      </c>
    </row>
    <row r="8" spans="2:59" x14ac:dyDescent="0.35">
      <c r="B8">
        <v>1</v>
      </c>
      <c r="C8" t="s">
        <v>206</v>
      </c>
      <c r="D8" s="86" t="s">
        <v>174</v>
      </c>
      <c r="E8" s="220">
        <f>IF(KPIs!$L98=TRUE,"",KPIs!Y4)</f>
        <v>45439</v>
      </c>
      <c r="F8" s="220">
        <f>IF(KPIs!$L98=TRUE,"",KPIs!Z4)</f>
        <v>45755</v>
      </c>
      <c r="G8" s="220">
        <f>IF(KPIs!$L98=TRUE,"",KPIs!AA4)</f>
        <v>45798</v>
      </c>
      <c r="H8" s="220">
        <f>IF(KPIs!$L98=TRUE,"",KPIs!AB4)</f>
        <v>45827</v>
      </c>
      <c r="I8" s="220">
        <f>IF(KPIs!$L98=TRUE,"",KPIs!AC4)</f>
        <v>45758</v>
      </c>
      <c r="J8" s="220">
        <f>IF(KPIs!$L98=TRUE,"",KPIs!AD4)</f>
        <v>45773</v>
      </c>
      <c r="K8" s="220">
        <f>IF(KPIs!$L98=TRUE,"",KPIs!X4)</f>
        <v>45774</v>
      </c>
      <c r="M8">
        <v>2</v>
      </c>
      <c r="N8" s="90">
        <f t="shared" si="4"/>
        <v>3</v>
      </c>
      <c r="O8" s="56" t="s">
        <v>51</v>
      </c>
      <c r="P8" s="56">
        <f ca="1"/>
        <v>2</v>
      </c>
      <c r="Q8" s="56" t="str">
        <f t="shared" ca="1" si="5"/>
        <v>Brunswick/Bath/Freeport</v>
      </c>
      <c r="R8" s="338">
        <f ca="1">IF(_xlfn.MINIFS(Profitable_Start_Time_Data__New[Start Time],Profitable_Start_Time_Data__New[QTR],RIGHT(pivotable6,1),Profitable_Start_Time_Data__New[DOW],$O8,Profitable_Start_Time_Data__New[Primary Area],$Q8)=0,"",_xlfn.MINIFS(Profitable_Start_Time_Data__New[Start Time],Profitable_Start_Time_Data__New[QTR],RIGHT(pivotable6,1),Profitable_Start_Time_Data__New[DOW],$O8,Profitable_Start_Time_Data__New[Primary Area],$Q8))</f>
        <v>0.64583333333333337</v>
      </c>
      <c r="S8" s="338">
        <f ca="1">IF(_xlfn.MAXIFS(Profitable_Start_Time_Data__New[Start Time],Profitable_Start_Time_Data__New[QTR],RIGHT(pivotable6,1),Profitable_Start_Time_Data__New[DOW],$O8,Profitable_Start_Time_Data__New[Primary Area],$Q8)=0,"",_xlfn.MAXIFS(Profitable_Start_Time_Data__New[Start Time],Profitable_Start_Time_Data__New[QTR],RIGHT(pivotable6,1),Profitable_Start_Time_Data__New[DOW],$O8,Profitable_Start_Time_Data__New[Primary Area],$Q8))</f>
        <v>0.66666666666666663</v>
      </c>
      <c r="T8" s="107" t="str">
        <f ca="1">IFERROR(IF(Q8="","",IF(J15=TRUE,"Hourly-Test",INDEX('Pay Type Comparison'!$D$9:$J$12,MATCH(Scheduling!$Q8,'Pay Type Comparison'!$C$9:$C$12,0),MATCH(Scheduling!$O8,'Pay Type Comparison'!$D$8:$J$8,0)))),"Order")</f>
        <v>Order</v>
      </c>
      <c r="U8" s="354">
        <f ca="1">IFERROR(Metrics!$G$19*AI8,"")</f>
        <v>38.880606371389455</v>
      </c>
      <c r="V8" s="394">
        <v>8</v>
      </c>
      <c r="W8" s="56">
        <f t="shared" ca="1" si="6"/>
        <v>6</v>
      </c>
      <c r="X8" s="181">
        <f t="shared" ca="1" si="7"/>
        <v>2</v>
      </c>
      <c r="Y8" s="180">
        <f t="shared" ca="1" si="8"/>
        <v>0.2</v>
      </c>
      <c r="Z8" s="270">
        <f ca="1">IFERROR(ROUND(Y8*Scheduling!$R$22,1),"")</f>
        <v>1.6</v>
      </c>
      <c r="AA8" s="181">
        <f t="shared" ca="1" si="18"/>
        <v>1.6</v>
      </c>
      <c r="AB8" s="181">
        <f t="shared" ca="1" si="19"/>
        <v>6</v>
      </c>
      <c r="AC8" s="181">
        <f t="shared" ca="1" si="9"/>
        <v>0</v>
      </c>
      <c r="AD8" s="56">
        <f t="shared" ca="1" si="10"/>
        <v>1</v>
      </c>
      <c r="AE8" s="186">
        <f t="shared" ca="1" si="11"/>
        <v>1.6666666666666665</v>
      </c>
      <c r="AF8" s="389" t="str">
        <f ca="1">IF(ISBLANK($AJ$1)=FALSE,"",IF(AND((SUMIFS(EarningsPerDay[Hours],EarningsPerDay[Week '#],WEEKNUM(TODAY(),2),EarningsPerDay[Year],YEAR(TODAY()),EarningsPerDay[DOW],Scheduling!O8))&lt;=0,(ROW()-3)+$AF$1&gt;=TODAY()),"",SUMIFS(EarningsPerDay[Hours],EarningsPerDay[Week '#],WEEKNUM(TODAY(),2),EarningsPerDay[Year],YEAR(TODAY()),EarningsPerDay[DOW],Scheduling!O8)))</f>
        <v/>
      </c>
      <c r="AG8" s="382">
        <f t="shared" ca="1" si="20"/>
        <v>0</v>
      </c>
      <c r="AH8" s="382">
        <f ca="1">SUM($AG$3:AG8)</f>
        <v>0</v>
      </c>
      <c r="AI8" s="387">
        <f t="shared" ca="1" si="12"/>
        <v>1.6666666666666665</v>
      </c>
      <c r="AJ8" s="385"/>
      <c r="AK8" s="270">
        <f ca="1">IFERROR(ROUNDUP(Y8*Scheduling!$S$22,1),"")</f>
        <v>3.8</v>
      </c>
      <c r="AL8" s="181">
        <f t="shared" ca="1" si="21"/>
        <v>3.8</v>
      </c>
      <c r="AM8" s="181">
        <f t="shared" ca="1" si="22"/>
        <v>4</v>
      </c>
      <c r="AN8" s="181">
        <f t="shared" ca="1" si="13"/>
        <v>0</v>
      </c>
      <c r="AO8" s="56">
        <f t="shared" ca="1" si="14"/>
        <v>1</v>
      </c>
      <c r="AP8" s="186">
        <f t="shared" ca="1" si="15"/>
        <v>6.9499999999999993</v>
      </c>
      <c r="AQ8" s="382">
        <f t="shared" ca="1" si="16"/>
        <v>0</v>
      </c>
      <c r="AR8" s="382">
        <f ca="1">SUM($AQ$3:AQ8)</f>
        <v>0</v>
      </c>
      <c r="AS8" s="354">
        <f ca="1">IFERROR(Metrics!$G$19*AT8,"")</f>
        <v>162.13212856869401</v>
      </c>
      <c r="AT8" s="387">
        <f ca="1">IF(AF8="",IF(AND(AF8="",AP8&lt;&gt;""),AP8+(AR8/(7-COUNT($AF$3:$AF$9))),AP8),AF8)</f>
        <v>6.9499999999999993</v>
      </c>
      <c r="AU8" s="4"/>
      <c r="AX8" s="90">
        <f t="shared" si="0"/>
        <v>3</v>
      </c>
      <c r="AY8" s="56" t="str">
        <f t="shared" si="0"/>
        <v>Saturday</v>
      </c>
      <c r="AZ8" s="56" t="str">
        <f t="shared" ca="1" si="1"/>
        <v>Brunswick/Bath/Freeport</v>
      </c>
      <c r="BA8" s="338">
        <f t="shared" ca="1" si="1"/>
        <v>0.64583333333333337</v>
      </c>
      <c r="BB8" s="338">
        <f t="shared" ca="1" si="1"/>
        <v>0.66666666666666663</v>
      </c>
      <c r="BC8" s="107" t="str">
        <f t="shared" ca="1" si="1"/>
        <v>Order</v>
      </c>
      <c r="BD8" s="354">
        <f t="shared" ca="1" si="1"/>
        <v>38.880606371389455</v>
      </c>
      <c r="BE8" s="387">
        <f t="shared" ca="1" si="2"/>
        <v>1.6666666666666665</v>
      </c>
      <c r="BF8" s="354">
        <f t="shared" ca="1" si="3"/>
        <v>162.13212856869401</v>
      </c>
      <c r="BG8" s="426">
        <f t="shared" ca="1" si="3"/>
        <v>6.9499999999999993</v>
      </c>
    </row>
    <row r="9" spans="2:59" ht="15" thickBot="1" x14ac:dyDescent="0.4">
      <c r="B9">
        <v>2</v>
      </c>
      <c r="C9" t="s">
        <v>209</v>
      </c>
      <c r="D9" s="85" t="s">
        <v>80</v>
      </c>
      <c r="E9" s="220">
        <f>IF(KPIs!$L99=TRUE,"",KPIs!Y5)</f>
        <v>46153</v>
      </c>
      <c r="F9" s="220">
        <f>IF(KPIs!$L99=TRUE,"",KPIs!Z5)</f>
        <v>46154</v>
      </c>
      <c r="G9" s="220">
        <f>IF(KPIs!$L99=TRUE,"",KPIs!AA5)</f>
        <v>45791</v>
      </c>
      <c r="H9" s="220">
        <f>IF(KPIs!$L99=TRUE,"",KPIs!AB5)</f>
        <v>45820</v>
      </c>
      <c r="I9" s="220">
        <f>IF(KPIs!$L99=TRUE,"",KPIs!AC5)</f>
        <v>46150</v>
      </c>
      <c r="J9" s="220">
        <f>IF(KPIs!$L99=TRUE,"",KPIs!AD5)</f>
        <v>45829</v>
      </c>
      <c r="K9" s="220">
        <f>IF(KPIs!$L99=TRUE,"",KPIs!X5)</f>
        <v>45837</v>
      </c>
      <c r="M9">
        <v>3</v>
      </c>
      <c r="N9" s="91">
        <f>M3</f>
        <v>5</v>
      </c>
      <c r="O9" s="78" t="s">
        <v>45</v>
      </c>
      <c r="P9" s="78">
        <f ca="1"/>
        <v>3</v>
      </c>
      <c r="Q9" s="78" t="str">
        <f t="shared" ca="1" si="5"/>
        <v>Lewiston</v>
      </c>
      <c r="R9" s="339">
        <f ca="1">IF(_xlfn.MINIFS(Profitable_Start_Time_Data__New[Start Time],Profitable_Start_Time_Data__New[QTR],RIGHT(pivotable6,1),Profitable_Start_Time_Data__New[DOW],$O9,Profitable_Start_Time_Data__New[Primary Area],$Q9)=0,"",_xlfn.MINIFS(Profitable_Start_Time_Data__New[Start Time],Profitable_Start_Time_Data__New[QTR],RIGHT(pivotable6,1),Profitable_Start_Time_Data__New[DOW],$O9,Profitable_Start_Time_Data__New[Primary Area],$Q9))</f>
        <v>0.58333333333333337</v>
      </c>
      <c r="S9" s="339">
        <f ca="1">IF(_xlfn.MAXIFS(Profitable_Start_Time_Data__New[Start Time],Profitable_Start_Time_Data__New[QTR],RIGHT(pivotable6,1),Profitable_Start_Time_Data__New[DOW],$O9,Profitable_Start_Time_Data__New[Primary Area],$Q9)=0,"",_xlfn.MAXIFS(Profitable_Start_Time_Data__New[Start Time],Profitable_Start_Time_Data__New[QTR],RIGHT(pivotable6,1),Profitable_Start_Time_Data__New[DOW],$O9,Profitable_Start_Time_Data__New[Primary Area],$Q9))</f>
        <v>0.75</v>
      </c>
      <c r="T9" s="425" t="str">
        <f ca="1">IFERROR(IF(Q9="","",IF(K15=TRUE,"Hourly-Test",INDEX('Pay Type Comparison'!$D$9:$J$12,MATCH(Scheduling!$Q9,'Pay Type Comparison'!$C$9:$C$12,0),MATCH(Scheduling!$O9,'Pay Type Comparison'!$D$8:$J$8,0)))),"Order")</f>
        <v>Hourly-Test</v>
      </c>
      <c r="U9" s="364">
        <f ca="1">IFERROR(Metrics!$G$19*AI9,"")</f>
        <v>20.217915313122511</v>
      </c>
      <c r="V9" s="393">
        <v>7</v>
      </c>
      <c r="W9" s="78">
        <f t="shared" ca="1" si="6"/>
        <v>7</v>
      </c>
      <c r="X9" s="188">
        <f t="shared" ca="1" si="7"/>
        <v>1</v>
      </c>
      <c r="Y9" s="379">
        <f t="shared" ca="1" si="8"/>
        <v>0.1</v>
      </c>
      <c r="Z9" s="380">
        <f ca="1">IFERROR(ROUND(Y9*Scheduling!$R$22,1),"")</f>
        <v>0.8</v>
      </c>
      <c r="AA9" s="188">
        <f t="shared" ca="1" si="18"/>
        <v>0.8</v>
      </c>
      <c r="AB9" s="188">
        <f t="shared" ca="1" si="19"/>
        <v>6</v>
      </c>
      <c r="AC9" s="188">
        <f t="shared" ca="1" si="9"/>
        <v>0</v>
      </c>
      <c r="AD9" s="78">
        <f t="shared" ca="1" si="10"/>
        <v>1</v>
      </c>
      <c r="AE9" s="189">
        <f t="shared" ca="1" si="11"/>
        <v>0.86666666666666647</v>
      </c>
      <c r="AF9" s="390" t="str">
        <f ca="1">IF(ISBLANK($AJ$1)=FALSE,"",IF(AND((SUMIFS(EarningsPerDay[Hours],EarningsPerDay[Week '#],WEEKNUM(TODAY(),2),EarningsPerDay[Year],YEAR(TODAY()),EarningsPerDay[DOW],Scheduling!O9))&lt;=0,(ROW()-3)+$AF$1&gt;=TODAY()),"",SUMIFS(EarningsPerDay[Hours],EarningsPerDay[Week '#],WEEKNUM(TODAY(),2),EarningsPerDay[Year],YEAR(TODAY()),EarningsPerDay[DOW],Scheduling!O9)))</f>
        <v/>
      </c>
      <c r="AG9" s="382">
        <f t="shared" ca="1" si="20"/>
        <v>0</v>
      </c>
      <c r="AH9" s="383">
        <f ca="1">SUM($AG$3:AG9)</f>
        <v>0</v>
      </c>
      <c r="AI9" s="387">
        <f ca="1">IF(AF9="",IF(AND(AF9="",AE9&lt;&gt;""),AE9+(AH9/(7-COUNT($AF$3:$AF$9))),AE9),AF9)</f>
        <v>0.86666666666666647</v>
      </c>
      <c r="AJ9" s="386"/>
      <c r="AK9" s="380">
        <f ca="1">IFERROR(ROUNDUP(Y9*Scheduling!$S$22,1),"")</f>
        <v>1.9</v>
      </c>
      <c r="AL9" s="188">
        <f t="shared" ca="1" si="21"/>
        <v>1.9</v>
      </c>
      <c r="AM9" s="188">
        <f t="shared" ca="1" si="22"/>
        <v>5</v>
      </c>
      <c r="AN9" s="188">
        <f t="shared" ca="1" si="13"/>
        <v>0</v>
      </c>
      <c r="AO9" s="78">
        <f t="shared" ca="1" si="14"/>
        <v>1</v>
      </c>
      <c r="AP9" s="189">
        <f t="shared" ca="1" si="15"/>
        <v>5.0499999999999989</v>
      </c>
      <c r="AQ9" s="382">
        <f t="shared" ca="1" si="16"/>
        <v>0</v>
      </c>
      <c r="AR9" s="383">
        <f ca="1">SUM($AQ$3:AQ9)</f>
        <v>0</v>
      </c>
      <c r="AS9" s="364">
        <f ca="1">IFERROR(Metrics!$G$19*AT9,"")</f>
        <v>117.80823730531002</v>
      </c>
      <c r="AT9" s="387">
        <f t="shared" ca="1" si="17"/>
        <v>5.0499999999999989</v>
      </c>
      <c r="AU9" s="4"/>
      <c r="AX9" s="91">
        <f t="shared" si="0"/>
        <v>5</v>
      </c>
      <c r="AY9" s="78" t="str">
        <f t="shared" si="0"/>
        <v>Sunday</v>
      </c>
      <c r="AZ9" s="78" t="str">
        <f t="shared" ca="1" si="1"/>
        <v>Lewiston</v>
      </c>
      <c r="BA9" s="339">
        <f t="shared" ca="1" si="1"/>
        <v>0.58333333333333337</v>
      </c>
      <c r="BB9" s="339">
        <f t="shared" ca="1" si="1"/>
        <v>0.75</v>
      </c>
      <c r="BC9" s="425" t="str">
        <f t="shared" ca="1" si="1"/>
        <v>Hourly-Test</v>
      </c>
      <c r="BD9" s="364">
        <f t="shared" ca="1" si="1"/>
        <v>20.217915313122511</v>
      </c>
      <c r="BE9" s="427">
        <f t="shared" ca="1" si="2"/>
        <v>0.86666666666666647</v>
      </c>
      <c r="BF9" s="364">
        <f t="shared" ca="1" si="3"/>
        <v>117.80823730531002</v>
      </c>
      <c r="BG9" s="428">
        <f t="shared" ca="1" si="3"/>
        <v>5.0499999999999989</v>
      </c>
    </row>
    <row r="10" spans="2:59" x14ac:dyDescent="0.35">
      <c r="B10">
        <v>3</v>
      </c>
      <c r="C10" t="s">
        <v>207</v>
      </c>
      <c r="D10" s="86" t="s">
        <v>82</v>
      </c>
      <c r="E10" s="220">
        <f>IF(KPIs!$L100=TRUE,"",KPIs!Y6)</f>
        <v>45817</v>
      </c>
      <c r="F10" s="220">
        <f>IF(KPIs!$L100=TRUE,"",KPIs!Z6)</f>
        <v>45769</v>
      </c>
      <c r="G10" s="220">
        <f>IF(KPIs!$L100=TRUE,"",KPIs!AA6)</f>
        <v>46162</v>
      </c>
      <c r="H10" s="220">
        <f>IF(KPIs!$L100=TRUE,"",KPIs!AB6)</f>
        <v>45764</v>
      </c>
      <c r="I10" s="220">
        <f>IF(KPIs!$L100=TRUE,"",KPIs!AC6)</f>
        <v>46164</v>
      </c>
      <c r="J10" s="220">
        <f>IF(KPIs!$L100=TRUE,"",KPIs!AD6)</f>
        <v>45794</v>
      </c>
      <c r="K10" s="220">
        <f>IF(KPIs!$L100=TRUE,"",KPIs!X6)</f>
        <v>45445</v>
      </c>
      <c r="U10" s="340">
        <f ca="1">SUM(U3:U9)</f>
        <v>186.62691058266938</v>
      </c>
      <c r="V10" s="375">
        <f>SUM(V3:V9)</f>
        <v>34</v>
      </c>
      <c r="W10" s="375">
        <f ca="1">SUM(W3:W9)</f>
        <v>22</v>
      </c>
      <c r="X10" s="375">
        <f ca="1">SUM(X3:X9)</f>
        <v>10</v>
      </c>
      <c r="Y10" s="238">
        <f ca="1">SUM(Y3:Y9)</f>
        <v>0.99999999999999989</v>
      </c>
      <c r="Z10" s="375"/>
      <c r="AA10" s="375"/>
      <c r="AB10" s="375"/>
      <c r="AC10" s="375"/>
      <c r="AD10" s="375"/>
      <c r="AE10" s="375" t="str">
        <f>IF(OR(Z10="", AA10=""), "",
    IF($AE$1=0, AA10,
        MIN(5, AA10 + IF(SUMIFS(AB:AB, AA:AA, "&lt;&gt;")&gt;0, ($AE$1 / COUNTIFS(AA:AA, "&lt;&gt;", AB:AB, "&gt;0")), 0))))</f>
        <v/>
      </c>
      <c r="AG10" s="340"/>
      <c r="AH10" s="340"/>
      <c r="AI10" s="402">
        <f ca="1">SUM(AE3:AE9)</f>
        <v>7.9999999999999991</v>
      </c>
      <c r="AJ10" s="340"/>
      <c r="AK10" s="375"/>
      <c r="AL10" s="375"/>
      <c r="AM10" s="375"/>
      <c r="AN10" s="375"/>
      <c r="AO10" s="375"/>
      <c r="AS10" s="340">
        <f ca="1">SUM(AS3:AS9)</f>
        <v>443.23891263383973</v>
      </c>
      <c r="AT10" s="398">
        <f ca="1">SUM(AK3:AK9)</f>
        <v>19</v>
      </c>
      <c r="AU10" t="s">
        <v>389</v>
      </c>
    </row>
    <row r="11" spans="2:59" ht="15" thickBot="1" x14ac:dyDescent="0.4">
      <c r="B11">
        <v>4</v>
      </c>
      <c r="C11" t="s">
        <v>208</v>
      </c>
      <c r="D11" s="87" t="s">
        <v>85</v>
      </c>
      <c r="E11" s="220">
        <f>IF(KPIs!$L101=TRUE,"",KPIs!Y7)</f>
        <v>45782</v>
      </c>
      <c r="F11" s="220">
        <f>IF(KPIs!$L101=TRUE,"",KPIs!Z7)</f>
        <v>45832</v>
      </c>
      <c r="G11" s="220">
        <f>IF(KPIs!$L101=TRUE,"",KPIs!AA7)</f>
        <v>45805</v>
      </c>
      <c r="H11" s="220">
        <f>IF(KPIs!$L101=TRUE,"",KPIs!AB7)</f>
        <v>45449</v>
      </c>
      <c r="I11" s="220">
        <f>IF(KPIs!$L101=TRUE,"",KPIs!AC7)</f>
        <v>45835</v>
      </c>
      <c r="J11" s="220">
        <f>IF(KPIs!$L101=TRUE,"",KPIs!AD7)</f>
        <v>45836</v>
      </c>
      <c r="K11" s="220">
        <f>IF(KPIs!$L101=TRUE,"",KPIs!X7)</f>
        <v>46159</v>
      </c>
      <c r="AI11" s="399">
        <f ca="1">SUM(AI3:AI9)</f>
        <v>7.9999999999999991</v>
      </c>
      <c r="AP11" s="4"/>
      <c r="AT11" s="399">
        <f ca="1">SUM(AT3:AT9)</f>
        <v>19</v>
      </c>
      <c r="AU11" t="s">
        <v>382</v>
      </c>
    </row>
    <row r="12" spans="2:59" ht="15" thickBot="1" x14ac:dyDescent="0.4">
      <c r="D12" s="53" t="s">
        <v>62</v>
      </c>
      <c r="E12" s="221">
        <f>AVERAGE(E8:E11)</f>
        <v>45797.75</v>
      </c>
      <c r="F12" s="221">
        <f t="shared" ref="F12:K12" si="23">AVERAGE(F8:F11)</f>
        <v>45877.5</v>
      </c>
      <c r="G12" s="221">
        <f t="shared" si="23"/>
        <v>45889</v>
      </c>
      <c r="H12" s="221">
        <f t="shared" si="23"/>
        <v>45715</v>
      </c>
      <c r="I12" s="221">
        <f t="shared" si="23"/>
        <v>45976.75</v>
      </c>
      <c r="J12" s="221">
        <f t="shared" si="23"/>
        <v>45808</v>
      </c>
      <c r="K12" s="221">
        <f t="shared" si="23"/>
        <v>45803.75</v>
      </c>
    </row>
    <row r="13" spans="2:59" ht="15" hidden="1" customHeight="1" x14ac:dyDescent="0.35">
      <c r="D13" s="454"/>
      <c r="E13" s="455" t="str">
        <f>IF(ISBLANK(E3)=FALSE,E12,"")</f>
        <v/>
      </c>
      <c r="F13" s="455" t="str">
        <f t="shared" ref="F13:K13" si="24">IF(ISBLANK(F3)=FALSE,F12,"")</f>
        <v/>
      </c>
      <c r="G13" s="455" t="str">
        <f t="shared" si="24"/>
        <v/>
      </c>
      <c r="H13" s="455">
        <f t="shared" si="24"/>
        <v>45715</v>
      </c>
      <c r="I13" s="455">
        <f t="shared" si="24"/>
        <v>45976.75</v>
      </c>
      <c r="J13" s="455">
        <f t="shared" si="24"/>
        <v>45808</v>
      </c>
      <c r="K13" s="455">
        <f t="shared" si="24"/>
        <v>45803.75</v>
      </c>
    </row>
    <row r="14" spans="2:59" x14ac:dyDescent="0.35">
      <c r="D14" s="216" t="s">
        <v>97</v>
      </c>
      <c r="E14" t="str">
        <f t="shared" ref="E14:K14" si="25">IF(ISBLANK(E3)=TRUE,"",IFERROR(RANK(E13,$E$13:$K$13,1),""))</f>
        <v/>
      </c>
      <c r="F14" t="str">
        <f t="shared" si="25"/>
        <v/>
      </c>
      <c r="G14" t="str">
        <f t="shared" si="25"/>
        <v/>
      </c>
      <c r="H14">
        <f t="shared" si="25"/>
        <v>1</v>
      </c>
      <c r="I14">
        <f t="shared" si="25"/>
        <v>4</v>
      </c>
      <c r="J14">
        <f t="shared" si="25"/>
        <v>3</v>
      </c>
      <c r="K14">
        <f t="shared" si="25"/>
        <v>2</v>
      </c>
    </row>
    <row r="15" spans="2:59" ht="15" thickBot="1" x14ac:dyDescent="0.4">
      <c r="D15" s="217" t="s">
        <v>396</v>
      </c>
      <c r="E15" s="218" t="b">
        <f ca="1">IF($C$3=TRUE,E14&lt;=2,FALSE)</f>
        <v>0</v>
      </c>
      <c r="F15" s="218" t="b">
        <f t="shared" ref="F15:K15" ca="1" si="26">IF($C$3=TRUE,F14&lt;=2,FALSE)</f>
        <v>0</v>
      </c>
      <c r="G15" s="218" t="b">
        <f t="shared" ca="1" si="26"/>
        <v>0</v>
      </c>
      <c r="H15" s="218" t="b">
        <f t="shared" ca="1" si="26"/>
        <v>1</v>
      </c>
      <c r="I15" s="218" t="b">
        <f t="shared" ca="1" si="26"/>
        <v>0</v>
      </c>
      <c r="J15" s="218" t="b">
        <f t="shared" ca="1" si="26"/>
        <v>0</v>
      </c>
      <c r="K15" s="218" t="b">
        <f t="shared" ca="1" si="26"/>
        <v>1</v>
      </c>
      <c r="AP15" s="267"/>
    </row>
    <row r="16" spans="2:59" x14ac:dyDescent="0.35">
      <c r="AP16" s="71"/>
    </row>
    <row r="17" spans="4:42" ht="14.4" customHeight="1" thickBot="1" x14ac:dyDescent="0.4">
      <c r="Q17" s="96" t="s">
        <v>256</v>
      </c>
      <c r="R17" s="94" t="s">
        <v>101</v>
      </c>
    </row>
    <row r="18" spans="4:42" x14ac:dyDescent="0.35">
      <c r="D18" s="497" t="s">
        <v>410</v>
      </c>
      <c r="E18" s="498"/>
      <c r="F18" s="498"/>
      <c r="G18" s="498"/>
      <c r="H18" s="498"/>
      <c r="I18" s="498"/>
      <c r="J18" s="498"/>
      <c r="K18" s="499"/>
    </row>
    <row r="19" spans="4:42" x14ac:dyDescent="0.35">
      <c r="D19" s="182" t="s">
        <v>174</v>
      </c>
      <c r="E19" s="183">
        <f>IF(KPIs!$L98=TRUE,"",KPIs!E98)</f>
        <v>4</v>
      </c>
      <c r="F19" s="183">
        <f>IF(KPIs!$L98=TRUE,"",KPIs!F98)</f>
        <v>3</v>
      </c>
      <c r="G19" s="183">
        <f>IF(KPIs!$L98=TRUE,"",KPIs!G98)</f>
        <v>4</v>
      </c>
      <c r="H19" s="183">
        <f>IF(KPIs!$L98=TRUE,"",KPIs!H98)</f>
        <v>4</v>
      </c>
      <c r="I19" s="183">
        <f>IF(KPIs!$L98=TRUE,"",KPIs!I98)</f>
        <v>3</v>
      </c>
      <c r="J19" s="183">
        <f>IF(KPIs!$L98=TRUE,"",KPIs!J98)</f>
        <v>4</v>
      </c>
      <c r="K19" s="303">
        <f>IF(KPIs!$L98=TRUE,"",KPIs!D98)</f>
        <v>3</v>
      </c>
    </row>
    <row r="20" spans="4:42" x14ac:dyDescent="0.35">
      <c r="D20" s="182" t="s">
        <v>80</v>
      </c>
      <c r="E20" s="183">
        <f>IF(KPIs!$L99=TRUE,"",KPIs!E99)</f>
        <v>1</v>
      </c>
      <c r="F20" s="183">
        <f>IF(KPIs!$L99=TRUE,"",KPIs!F99)</f>
        <v>1</v>
      </c>
      <c r="G20" s="183">
        <f>IF(KPIs!$L99=TRUE,"",KPIs!G99)</f>
        <v>2</v>
      </c>
      <c r="H20" s="183">
        <f>IF(KPIs!$L99=TRUE,"",KPIs!H99)</f>
        <v>1</v>
      </c>
      <c r="I20" s="183">
        <f>IF(KPIs!$L99=TRUE,"",KPIs!I99)</f>
        <v>2</v>
      </c>
      <c r="J20" s="183">
        <f>IF(KPIs!$L99=TRUE,"",KPIs!J99)</f>
        <v>1</v>
      </c>
      <c r="K20" s="303">
        <f>IF(KPIs!$L99=TRUE,"",KPIs!D99)</f>
        <v>1</v>
      </c>
      <c r="U20" s="72"/>
      <c r="W20" s="72"/>
      <c r="AP20" s="267"/>
    </row>
    <row r="21" spans="4:42" ht="15" thickBot="1" x14ac:dyDescent="0.4">
      <c r="D21" s="185" t="s">
        <v>82</v>
      </c>
      <c r="E21" s="181">
        <f>IF(KPIs!$L100=TRUE,"",KPIs!E100)</f>
        <v>2</v>
      </c>
      <c r="F21" s="181">
        <f>IF(KPIs!$L100=TRUE,"",KPIs!F100)</f>
        <v>3</v>
      </c>
      <c r="G21" s="181">
        <f>IF(KPIs!$L100=TRUE,"",KPIs!G100)</f>
        <v>1</v>
      </c>
      <c r="H21" s="181">
        <f>IF(KPIs!$L100=TRUE,"",KPIs!H100)</f>
        <v>1</v>
      </c>
      <c r="I21" s="181">
        <f>IF(KPIs!$L100=TRUE,"",KPIs!I100)</f>
        <v>1</v>
      </c>
      <c r="J21" s="181">
        <f>IF(KPIs!$L100=TRUE,"",KPIs!J100)</f>
        <v>2</v>
      </c>
      <c r="K21" s="304">
        <f>IF(KPIs!$L100=TRUE,"",KPIs!D100)</f>
        <v>4</v>
      </c>
      <c r="N21" s="52"/>
      <c r="Q21" s="496" t="s">
        <v>436</v>
      </c>
      <c r="R21" s="496"/>
      <c r="S21" s="496"/>
      <c r="T21" s="496"/>
      <c r="U21" s="72"/>
      <c r="W21" s="72"/>
    </row>
    <row r="22" spans="4:42" ht="15" thickBot="1" x14ac:dyDescent="0.4">
      <c r="D22" s="187" t="s">
        <v>85</v>
      </c>
      <c r="E22" s="188">
        <f>IF(KPIs!$L101=TRUE,"",KPIs!E101)</f>
        <v>3</v>
      </c>
      <c r="F22" s="188">
        <f>IF(KPIs!$L101=TRUE,"",KPIs!F101)</f>
        <v>2</v>
      </c>
      <c r="G22" s="188">
        <f>IF(KPIs!$L101=TRUE,"",KPIs!G101)</f>
        <v>3</v>
      </c>
      <c r="H22" s="188">
        <f>IF(KPIs!$L101=TRUE,"",KPIs!H101)</f>
        <v>3</v>
      </c>
      <c r="I22" s="188">
        <f>IF(KPIs!$L101=TRUE,"",KPIs!I101)</f>
        <v>3</v>
      </c>
      <c r="J22" s="188">
        <f>IF(KPIs!$L101=TRUE,"",KPIs!J101)</f>
        <v>3</v>
      </c>
      <c r="K22" s="305">
        <f>IF(KPIs!$L101=TRUE,"",KPIs!D101)</f>
        <v>2</v>
      </c>
      <c r="Q22" s="420" t="s">
        <v>296</v>
      </c>
      <c r="R22" s="421">
        <f ca="1">ROUND(R23/Metrics!$G$19,0)</f>
        <v>8</v>
      </c>
      <c r="S22" s="421">
        <f ca="1">ROUND(S23/Metrics!$G$19,0)</f>
        <v>19</v>
      </c>
      <c r="T22" s="422" t="s">
        <v>392</v>
      </c>
      <c r="U22" s="72"/>
      <c r="W22" s="72"/>
    </row>
    <row r="23" spans="4:42" ht="15" thickBot="1" x14ac:dyDescent="0.4">
      <c r="D23" s="497" t="s">
        <v>343</v>
      </c>
      <c r="E23" s="498"/>
      <c r="F23" s="498"/>
      <c r="G23" s="498"/>
      <c r="H23" s="498"/>
      <c r="I23" s="498"/>
      <c r="J23" s="498"/>
      <c r="K23" s="499"/>
      <c r="Q23" s="420" t="s">
        <v>298</v>
      </c>
      <c r="R23" s="475">
        <v>176</v>
      </c>
      <c r="S23" s="475">
        <v>450</v>
      </c>
      <c r="T23" s="423">
        <v>46184</v>
      </c>
      <c r="W23" s="72"/>
    </row>
    <row r="24" spans="4:42" x14ac:dyDescent="0.35">
      <c r="D24" s="182" t="s">
        <v>174</v>
      </c>
      <c r="E24" s="183">
        <f t="shared" ref="E24:K27" si="27">IFERROR(_xlfn.RANK.EQ(E8,E$8:E$11,1),"")</f>
        <v>1</v>
      </c>
      <c r="F24" s="183">
        <f t="shared" si="27"/>
        <v>1</v>
      </c>
      <c r="G24" s="183">
        <f t="shared" si="27"/>
        <v>2</v>
      </c>
      <c r="H24" s="183">
        <f t="shared" si="27"/>
        <v>4</v>
      </c>
      <c r="I24" s="183">
        <f t="shared" si="27"/>
        <v>1</v>
      </c>
      <c r="J24" s="183">
        <f t="shared" si="27"/>
        <v>1</v>
      </c>
      <c r="K24" s="183">
        <f t="shared" si="27"/>
        <v>2</v>
      </c>
      <c r="U24" s="72"/>
      <c r="W24" s="72"/>
    </row>
    <row r="25" spans="4:42" x14ac:dyDescent="0.35">
      <c r="D25" s="182" t="s">
        <v>80</v>
      </c>
      <c r="E25" s="183">
        <f t="shared" si="27"/>
        <v>4</v>
      </c>
      <c r="F25" s="183">
        <f t="shared" si="27"/>
        <v>4</v>
      </c>
      <c r="G25" s="183">
        <f t="shared" si="27"/>
        <v>1</v>
      </c>
      <c r="H25" s="183">
        <f t="shared" si="27"/>
        <v>3</v>
      </c>
      <c r="I25" s="183">
        <f t="shared" si="27"/>
        <v>3</v>
      </c>
      <c r="J25" s="183">
        <f t="shared" si="27"/>
        <v>3</v>
      </c>
      <c r="K25" s="183">
        <f t="shared" si="27"/>
        <v>3</v>
      </c>
      <c r="U25" s="72"/>
      <c r="W25" s="72"/>
    </row>
    <row r="26" spans="4:42" x14ac:dyDescent="0.35">
      <c r="D26" s="185" t="s">
        <v>82</v>
      </c>
      <c r="E26" s="181">
        <f t="shared" si="27"/>
        <v>3</v>
      </c>
      <c r="F26" s="181">
        <f t="shared" si="27"/>
        <v>2</v>
      </c>
      <c r="G26" s="181">
        <f t="shared" si="27"/>
        <v>4</v>
      </c>
      <c r="H26" s="181">
        <f t="shared" si="27"/>
        <v>2</v>
      </c>
      <c r="I26" s="181">
        <f t="shared" si="27"/>
        <v>4</v>
      </c>
      <c r="J26" s="181">
        <f t="shared" si="27"/>
        <v>2</v>
      </c>
      <c r="K26" s="181">
        <f t="shared" si="27"/>
        <v>1</v>
      </c>
      <c r="U26" s="72"/>
      <c r="W26" s="72"/>
    </row>
    <row r="27" spans="4:42" ht="14.4" customHeight="1" thickBot="1" x14ac:dyDescent="0.4">
      <c r="D27" s="187" t="s">
        <v>85</v>
      </c>
      <c r="E27" s="188">
        <f t="shared" si="27"/>
        <v>2</v>
      </c>
      <c r="F27" s="188">
        <f t="shared" si="27"/>
        <v>3</v>
      </c>
      <c r="G27" s="188">
        <f t="shared" si="27"/>
        <v>3</v>
      </c>
      <c r="H27" s="188">
        <f t="shared" si="27"/>
        <v>1</v>
      </c>
      <c r="I27" s="188">
        <f t="shared" si="27"/>
        <v>2</v>
      </c>
      <c r="J27" s="188">
        <f t="shared" si="27"/>
        <v>4</v>
      </c>
      <c r="K27" s="188">
        <f t="shared" si="27"/>
        <v>4</v>
      </c>
      <c r="T27" s="72"/>
      <c r="U27" s="72"/>
      <c r="W27" s="72"/>
    </row>
    <row r="28" spans="4:42" x14ac:dyDescent="0.35">
      <c r="D28" s="497" t="s">
        <v>411</v>
      </c>
      <c r="E28" s="498"/>
      <c r="F28" s="498"/>
      <c r="G28" s="498"/>
      <c r="H28" s="498"/>
      <c r="I28" s="498"/>
      <c r="J28" s="498"/>
      <c r="K28" s="499"/>
      <c r="R28" s="72"/>
      <c r="T28" s="72"/>
      <c r="U28" s="72"/>
      <c r="W28" s="72"/>
    </row>
    <row r="29" spans="4:42" x14ac:dyDescent="0.35">
      <c r="D29" s="182" t="s">
        <v>174</v>
      </c>
      <c r="E29" s="183">
        <f>IF(KPIs!$L98=TRUE,"",KPIs!O59)</f>
        <v>3</v>
      </c>
      <c r="F29" s="183">
        <f>IF(KPIs!$L98=TRUE,"",KPIs!P59)</f>
        <v>2</v>
      </c>
      <c r="G29" s="183">
        <f>IF(KPIs!$L98=TRUE,"",KPIs!Q59)</f>
        <v>4</v>
      </c>
      <c r="H29" s="183">
        <f>IF(KPIs!$L98=TRUE,"",KPIs!R59)</f>
        <v>4</v>
      </c>
      <c r="I29" s="183">
        <f>IF(KPIs!$L98=TRUE,"",KPIs!S59)</f>
        <v>4</v>
      </c>
      <c r="J29" s="183">
        <f>IF(KPIs!$L98=TRUE,"",KPIs!T59)</f>
        <v>3</v>
      </c>
      <c r="K29" s="303">
        <f>IF(KPIs!$L98=TRUE,"",KPIs!N59)</f>
        <v>4</v>
      </c>
      <c r="R29" s="72"/>
      <c r="T29" s="72"/>
      <c r="U29" s="72"/>
      <c r="W29" s="72"/>
    </row>
    <row r="30" spans="4:42" x14ac:dyDescent="0.35">
      <c r="D30" s="182" t="s">
        <v>80</v>
      </c>
      <c r="E30" s="183">
        <f>IF(KPIs!$L99=TRUE,"",KPIs!O60)</f>
        <v>2</v>
      </c>
      <c r="F30" s="183">
        <f>IF(KPIs!$L99=TRUE,"",KPIs!P60)</f>
        <v>1</v>
      </c>
      <c r="G30" s="183">
        <f>IF(KPIs!$L99=TRUE,"",KPIs!Q60)</f>
        <v>1</v>
      </c>
      <c r="H30" s="183">
        <f>IF(KPIs!$L99=TRUE,"",KPIs!R60)</f>
        <v>1</v>
      </c>
      <c r="I30" s="183">
        <f>IF(KPIs!$L99=TRUE,"",KPIs!S60)</f>
        <v>1</v>
      </c>
      <c r="J30" s="183">
        <f>IF(KPIs!$L99=TRUE,"",KPIs!T60)</f>
        <v>1</v>
      </c>
      <c r="K30" s="303">
        <f>IF(KPIs!$L99=TRUE,"",KPIs!N60)</f>
        <v>2</v>
      </c>
      <c r="R30" s="72"/>
      <c r="S30" s="72"/>
      <c r="T30" s="72"/>
      <c r="U30" s="72"/>
      <c r="W30" s="72"/>
    </row>
    <row r="31" spans="4:42" x14ac:dyDescent="0.35">
      <c r="D31" s="185" t="s">
        <v>82</v>
      </c>
      <c r="E31" s="181">
        <f>IF(KPIs!$L100=TRUE,"",KPIs!O61)</f>
        <v>4</v>
      </c>
      <c r="F31" s="181">
        <f>IF(KPIs!$L100=TRUE,"",KPIs!P61)</f>
        <v>4</v>
      </c>
      <c r="G31" s="181">
        <f>IF(KPIs!$L100=TRUE,"",KPIs!Q61)</f>
        <v>2</v>
      </c>
      <c r="H31" s="181">
        <f>IF(KPIs!$L100=TRUE,"",KPIs!R61)</f>
        <v>3</v>
      </c>
      <c r="I31" s="181">
        <f>IF(KPIs!$L100=TRUE,"",KPIs!S61)</f>
        <v>3</v>
      </c>
      <c r="J31" s="181">
        <f>IF(KPIs!$L100=TRUE,"",KPIs!T61)</f>
        <v>1</v>
      </c>
      <c r="K31" s="304">
        <f>IF(KPIs!$L100=TRUE,"",KPIs!N61)</f>
        <v>3</v>
      </c>
      <c r="R31" s="72"/>
      <c r="S31" s="72"/>
      <c r="T31" s="72"/>
      <c r="U31" s="72"/>
      <c r="W31" s="72"/>
    </row>
    <row r="32" spans="4:42" ht="15" thickBot="1" x14ac:dyDescent="0.4">
      <c r="D32" s="187" t="s">
        <v>85</v>
      </c>
      <c r="E32" s="188">
        <f>IF(KPIs!$L101=TRUE,"",KPIs!O62)</f>
        <v>1</v>
      </c>
      <c r="F32" s="188">
        <f>IF(KPIs!$L101=TRUE,"",KPIs!P62)</f>
        <v>3</v>
      </c>
      <c r="G32" s="188">
        <f>IF(KPIs!$L101=TRUE,"",KPIs!Q62)</f>
        <v>3</v>
      </c>
      <c r="H32" s="188">
        <f>IF(KPIs!$L101=TRUE,"",KPIs!R62)</f>
        <v>2</v>
      </c>
      <c r="I32" s="188">
        <f>IF(KPIs!$L101=TRUE,"",KPIs!S62)</f>
        <v>1</v>
      </c>
      <c r="J32" s="188">
        <f>IF(KPIs!$L101=TRUE,"",KPIs!T62)</f>
        <v>4</v>
      </c>
      <c r="K32" s="305">
        <f>IF(KPIs!$L101=TRUE,"",KPIs!N62)</f>
        <v>1</v>
      </c>
      <c r="R32" s="72"/>
      <c r="S32" s="72"/>
      <c r="T32" s="72"/>
      <c r="U32" s="72"/>
      <c r="W32" s="72"/>
    </row>
    <row r="33" spans="4:23" x14ac:dyDescent="0.35">
      <c r="R33" s="72"/>
      <c r="S33" s="72"/>
      <c r="T33" s="72"/>
      <c r="U33" s="72"/>
      <c r="W33" s="72"/>
    </row>
    <row r="34" spans="4:23" x14ac:dyDescent="0.35">
      <c r="D34" s="52" t="s">
        <v>210</v>
      </c>
      <c r="E34" s="212">
        <f t="shared" ref="E34:K34" si="28">MATCH(MIN(E19:E22),E19:E22,0)</f>
        <v>2</v>
      </c>
      <c r="F34" s="212">
        <f t="shared" si="28"/>
        <v>2</v>
      </c>
      <c r="G34" s="212">
        <f t="shared" si="28"/>
        <v>3</v>
      </c>
      <c r="H34" s="212">
        <f t="shared" si="28"/>
        <v>2</v>
      </c>
      <c r="I34" s="212">
        <f t="shared" si="28"/>
        <v>3</v>
      </c>
      <c r="J34" s="212">
        <f t="shared" si="28"/>
        <v>2</v>
      </c>
      <c r="K34" s="212">
        <f t="shared" si="28"/>
        <v>2</v>
      </c>
      <c r="R34" s="72"/>
      <c r="S34" s="72"/>
      <c r="T34" s="72"/>
      <c r="U34" s="72"/>
      <c r="W34" s="72"/>
    </row>
    <row r="35" spans="4:23" x14ac:dyDescent="0.35">
      <c r="D35" s="52" t="s">
        <v>211</v>
      </c>
      <c r="E35" s="212">
        <f t="shared" ref="E35:K35" si="29">MATCH(MIN(E24:E27),E24:E27,0)</f>
        <v>1</v>
      </c>
      <c r="F35" s="212">
        <f t="shared" si="29"/>
        <v>1</v>
      </c>
      <c r="G35" s="212">
        <f t="shared" si="29"/>
        <v>2</v>
      </c>
      <c r="H35" s="212">
        <f t="shared" si="29"/>
        <v>4</v>
      </c>
      <c r="I35" s="212">
        <f t="shared" si="29"/>
        <v>1</v>
      </c>
      <c r="J35" s="212">
        <f t="shared" si="29"/>
        <v>1</v>
      </c>
      <c r="K35" s="212">
        <f t="shared" si="29"/>
        <v>3</v>
      </c>
      <c r="R35" s="72"/>
      <c r="S35" s="72"/>
      <c r="T35" s="72"/>
      <c r="U35" s="72"/>
      <c r="W35" s="72"/>
    </row>
    <row r="36" spans="4:23" ht="15" thickBot="1" x14ac:dyDescent="0.4">
      <c r="D36" s="68" t="s">
        <v>227</v>
      </c>
      <c r="E36" s="219">
        <f>MATCH(MIN(E29:E32),E29:E32,0)</f>
        <v>4</v>
      </c>
      <c r="F36" s="219">
        <f t="shared" ref="F36:K36" si="30">MATCH(MIN(F29:F32),F29:F32,0)</f>
        <v>2</v>
      </c>
      <c r="G36" s="219">
        <f t="shared" si="30"/>
        <v>2</v>
      </c>
      <c r="H36" s="219">
        <f t="shared" si="30"/>
        <v>2</v>
      </c>
      <c r="I36" s="219">
        <f t="shared" si="30"/>
        <v>2</v>
      </c>
      <c r="J36" s="219">
        <f t="shared" si="30"/>
        <v>2</v>
      </c>
      <c r="K36" s="219">
        <f t="shared" si="30"/>
        <v>4</v>
      </c>
    </row>
    <row r="37" spans="4:23" x14ac:dyDescent="0.35">
      <c r="D37" s="500" t="s">
        <v>212</v>
      </c>
      <c r="E37" s="212" t="str">
        <f t="shared" ref="E37:K37" si="31">IF(ISBLANK(E3)=TRUE,"",IF($C$3=FALSE,E36,IF(E15=TRUE,E35,E34)))</f>
        <v/>
      </c>
      <c r="F37" s="212" t="str">
        <f t="shared" si="31"/>
        <v/>
      </c>
      <c r="G37" s="212" t="str">
        <f t="shared" si="31"/>
        <v/>
      </c>
      <c r="H37" s="212">
        <f t="shared" ca="1" si="31"/>
        <v>4</v>
      </c>
      <c r="I37" s="212">
        <f t="shared" ca="1" si="31"/>
        <v>3</v>
      </c>
      <c r="J37" s="212">
        <f t="shared" ca="1" si="31"/>
        <v>2</v>
      </c>
      <c r="K37" s="212">
        <f t="shared" ca="1" si="31"/>
        <v>3</v>
      </c>
    </row>
    <row r="38" spans="4:23" x14ac:dyDescent="0.35">
      <c r="D38" s="501"/>
      <c r="E38" s="212" t="str">
        <f>IFERROR(VLOOKUP(E37,$B$8:$C$11,2,FALSE),"")</f>
        <v/>
      </c>
      <c r="F38" s="212" t="str">
        <f t="shared" ref="F38:K38" si="32">IFERROR(VLOOKUP(F37,$B$8:$C$11,2,FALSE),"")</f>
        <v/>
      </c>
      <c r="G38" s="212" t="str">
        <f t="shared" si="32"/>
        <v/>
      </c>
      <c r="H38" s="212" t="str">
        <f t="shared" ca="1" si="32"/>
        <v>POR</v>
      </c>
      <c r="I38" s="212" t="str">
        <f t="shared" ca="1" si="32"/>
        <v>LEW</v>
      </c>
      <c r="J38" s="212" t="str">
        <f t="shared" ca="1" si="32"/>
        <v>BBF</v>
      </c>
      <c r="K38" s="212" t="str">
        <f t="shared" ca="1" si="32"/>
        <v>LEW</v>
      </c>
    </row>
  </sheetData>
  <mergeCells count="6">
    <mergeCell ref="Q21:T21"/>
    <mergeCell ref="D23:K23"/>
    <mergeCell ref="D28:K28"/>
    <mergeCell ref="D37:D38"/>
    <mergeCell ref="D6:K6"/>
    <mergeCell ref="D18:K18"/>
  </mergeCells>
  <phoneticPr fontId="3" type="noConversion"/>
  <conditionalFormatting sqref="E8:K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4:K1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:K15">
    <cfRule type="containsText" dxfId="26" priority="21" operator="containsText" text="TRUE">
      <formula>NOT(ISERROR(SEARCH("TRUE",E15)))</formula>
    </cfRule>
  </conditionalFormatting>
  <conditionalFormatting sqref="N3:N9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4">
    <cfRule type="cellIs" dxfId="25" priority="15" operator="equal">
      <formula>"YES"</formula>
    </cfRule>
  </conditionalFormatting>
  <conditionalFormatting sqref="R3:S9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4:K27">
    <cfRule type="colorScale" priority="11">
      <colorScale>
        <cfvo type="min"/>
        <cfvo type="max"/>
        <color rgb="FFF8696B"/>
        <color rgb="FFFCFCFF"/>
      </colorScale>
    </cfRule>
  </conditionalFormatting>
  <conditionalFormatting sqref="T3:T9">
    <cfRule type="containsText" dxfId="24" priority="6" operator="containsText" text="Hourly-Test">
      <formula>NOT(ISERROR(SEARCH("Hourly-Test",T3)))</formula>
    </cfRule>
    <cfRule type="containsText" dxfId="23" priority="7" operator="containsText" text="Hourly">
      <formula>NOT(ISERROR(SEARCH("Hourly",T3)))</formula>
    </cfRule>
    <cfRule type="containsText" dxfId="22" priority="8" operator="containsText" text="Order">
      <formula>NOT(ISERROR(SEARCH("Order",T3)))</formula>
    </cfRule>
  </conditionalFormatting>
  <conditionalFormatting sqref="AX3:AX9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A3:BB9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3:BC9">
    <cfRule type="containsText" dxfId="21" priority="1" operator="containsText" text="Hourly-Test">
      <formula>NOT(ISERROR(SEARCH("Hourly-Test",BC3)))</formula>
    </cfRule>
    <cfRule type="containsText" dxfId="20" priority="2" operator="containsText" text="Hourly">
      <formula>NOT(ISERROR(SEARCH("Hourly",BC3)))</formula>
    </cfRule>
    <cfRule type="containsText" dxfId="19" priority="3" operator="containsText" text="Order">
      <formula>NOT(ISERROR(SEARCH("Order",BC3)))</formula>
    </cfRule>
  </conditionalFormatting>
  <dataValidations count="2">
    <dataValidation type="list" allowBlank="1" showInputMessage="1" showErrorMessage="1" sqref="R17" xr:uid="{610AF067-0FD1-4DF8-A003-2DB86C022E11}">
      <formula1>"Qtr1,Qtr2,Qtr3,Qtr4"</formula1>
    </dataValidation>
    <dataValidation type="list" allowBlank="1" showInputMessage="1" showErrorMessage="1" sqref="E4" xr:uid="{805DA46B-D6B4-47AD-B141-3F25DC3886D1}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A243-741F-45F9-891B-C42FD25FBCC2}">
  <sheetPr codeName="Sheet10">
    <tabColor rgb="FF7030A0"/>
  </sheetPr>
  <dimension ref="B2:Z2100"/>
  <sheetViews>
    <sheetView topLeftCell="A2084" workbookViewId="0">
      <selection activeCell="B2101" sqref="B2101:N2103"/>
    </sheetView>
  </sheetViews>
  <sheetFormatPr defaultRowHeight="14.5" x14ac:dyDescent="0.35"/>
  <cols>
    <col min="2" max="2" width="10.36328125" bestFit="1" customWidth="1"/>
    <col min="3" max="3" width="6.6328125" bestFit="1" customWidth="1"/>
    <col min="4" max="4" width="7.36328125" bestFit="1" customWidth="1"/>
    <col min="5" max="5" width="8.54296875" bestFit="1" customWidth="1"/>
    <col min="6" max="6" width="10.36328125" bestFit="1" customWidth="1"/>
    <col min="7" max="7" width="9.36328125" bestFit="1" customWidth="1"/>
    <col min="8" max="8" width="12" bestFit="1" customWidth="1"/>
    <col min="9" max="9" width="12.54296875" bestFit="1" customWidth="1"/>
    <col min="10" max="10" width="14.6328125" customWidth="1"/>
    <col min="11" max="11" width="17" hidden="1" customWidth="1"/>
    <col min="12" max="12" width="16.6328125" hidden="1" customWidth="1"/>
    <col min="13" max="13" width="9.36328125" bestFit="1" customWidth="1"/>
    <col min="14" max="14" width="23.90625" bestFit="1" customWidth="1"/>
    <col min="15" max="15" width="24.54296875" hidden="1" customWidth="1"/>
    <col min="16" max="16" width="20.453125" style="40" customWidth="1"/>
    <col min="17" max="17" width="10.6328125" style="40" bestFit="1" customWidth="1"/>
    <col min="18" max="18" width="10.54296875" bestFit="1" customWidth="1"/>
    <col min="19" max="19" width="10.453125" bestFit="1" customWidth="1"/>
    <col min="20" max="20" width="21" bestFit="1" customWidth="1"/>
    <col min="21" max="21" width="7.90625" bestFit="1" customWidth="1"/>
    <col min="22" max="22" width="23.90625" bestFit="1" customWidth="1"/>
    <col min="23" max="23" width="9.54296875" style="4" bestFit="1" customWidth="1"/>
    <col min="24" max="24" width="9.6328125" style="4" bestFit="1" customWidth="1"/>
    <col min="25" max="25" width="7.6328125" bestFit="1" customWidth="1"/>
  </cols>
  <sheetData>
    <row r="2" spans="2:26" x14ac:dyDescent="0.35">
      <c r="B2" t="s">
        <v>103</v>
      </c>
      <c r="C2" t="s">
        <v>84</v>
      </c>
      <c r="D2" t="s">
        <v>173</v>
      </c>
      <c r="E2" t="s">
        <v>104</v>
      </c>
      <c r="F2" t="s">
        <v>99</v>
      </c>
      <c r="G2" s="3" t="s">
        <v>8</v>
      </c>
      <c r="H2" s="3" t="s">
        <v>105</v>
      </c>
      <c r="I2" s="3" t="s">
        <v>78</v>
      </c>
      <c r="J2" s="3" t="s">
        <v>106</v>
      </c>
      <c r="K2" s="3" t="s">
        <v>107</v>
      </c>
      <c r="L2" s="3" t="s">
        <v>108</v>
      </c>
      <c r="M2" s="3" t="s">
        <v>109</v>
      </c>
      <c r="N2" s="3" t="s">
        <v>98</v>
      </c>
      <c r="O2" s="3" t="s">
        <v>110</v>
      </c>
      <c r="P2"/>
      <c r="Q2" s="40" t="s">
        <v>8</v>
      </c>
      <c r="R2" t="s">
        <v>8</v>
      </c>
      <c r="S2" t="s">
        <v>99</v>
      </c>
      <c r="T2" t="s">
        <v>228</v>
      </c>
      <c r="U2" t="s">
        <v>229</v>
      </c>
      <c r="V2" t="s">
        <v>98</v>
      </c>
      <c r="W2" t="s">
        <v>111</v>
      </c>
      <c r="X2" t="s">
        <v>42</v>
      </c>
      <c r="Y2" t="s">
        <v>112</v>
      </c>
      <c r="Z2" t="s">
        <v>330</v>
      </c>
    </row>
    <row r="3" spans="2:26" x14ac:dyDescent="0.35">
      <c r="B3">
        <f>ROW()-2</f>
        <v>1</v>
      </c>
      <c r="C3" t="s">
        <v>83</v>
      </c>
      <c r="D3" t="s">
        <v>176</v>
      </c>
      <c r="E3">
        <f>IF(WEEKNUM(Combined[[#This Row],[Date]], 1) = 53, 1, WEEKNUM(Combined[[#This Row],[Date]], 2))</f>
        <v>1</v>
      </c>
      <c r="F3" t="str">
        <f t="shared" ref="F3:F34" si="0">TEXT(WEEKDAY(G3,1),"DDDD")</f>
        <v>Friday</v>
      </c>
      <c r="G3" s="41">
        <v>44197</v>
      </c>
      <c r="H3">
        <v>1</v>
      </c>
      <c r="I3" s="1">
        <v>28.21</v>
      </c>
      <c r="J3" s="2">
        <v>0.18055555555555555</v>
      </c>
      <c r="K3" s="12">
        <f>Combined[[#This Row],[Time Spent]]*24</f>
        <v>4.333333333333333</v>
      </c>
      <c r="L3" s="12">
        <f>MROUND(Combined[[#This Row],[Time Spent 2]],0.25)</f>
        <v>4.25</v>
      </c>
      <c r="M3" s="2" t="s">
        <v>91</v>
      </c>
      <c r="N3" t="s">
        <v>80</v>
      </c>
      <c r="O3">
        <f>MATCH(Combined[[#This Row],[Primary Area]],KPIs!$C$4:$C$7,0)</f>
        <v>2</v>
      </c>
      <c r="P3"/>
      <c r="Q3" s="40" cm="1">
        <f t="array" ref="Q3:Q884">_xlfn.UNIQUE(Combined[Date],FALSE,FALSE)</f>
        <v>44197</v>
      </c>
      <c r="R3" s="40">
        <f t="shared" ref="R3:R66" si="1">Q3</f>
        <v>44197</v>
      </c>
      <c r="S3" s="4" t="str">
        <f>TEXT(Mileage[[#This Row],[Date]],"dddd")</f>
        <v>Friday</v>
      </c>
      <c r="T3" s="4" t="s">
        <v>235</v>
      </c>
      <c r="U3" s="4">
        <v>29.5</v>
      </c>
      <c r="V3" t="str" cm="1">
        <f t="array" ref="V3">IFERROR(VLOOKUP(MODE(IF(Combined[Date]=Mileage[[#This Row],[Date]],Combined[Area '#])),KPIs!$B$4:$C$7,2,FALSE),VLOOKUP(Mileage[[#This Row],[Date]],Combined[[Date]:[Primary Area]],8,FALSE))</f>
        <v>Brunswick/Bath/Freeport</v>
      </c>
      <c r="W3"/>
      <c r="X3" s="12">
        <v>4.333333333333333</v>
      </c>
      <c r="Y3" s="4">
        <v>10.341184263267598</v>
      </c>
      <c r="Z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" spans="2:26" x14ac:dyDescent="0.35">
      <c r="B4">
        <f t="shared" ref="B4:B66" si="2">ROW()-2</f>
        <v>2</v>
      </c>
      <c r="C4" t="s">
        <v>83</v>
      </c>
      <c r="D4" t="s">
        <v>176</v>
      </c>
      <c r="E4">
        <f>IF(WEEKNUM(Combined[[#This Row],[Date]], 1) = 53, 1, WEEKNUM(Combined[[#This Row],[Date]], 2))</f>
        <v>1</v>
      </c>
      <c r="F4" t="str">
        <f t="shared" si="0"/>
        <v>Saturday</v>
      </c>
      <c r="G4" s="41">
        <v>44198</v>
      </c>
      <c r="H4">
        <v>4</v>
      </c>
      <c r="I4" s="1">
        <v>53.14</v>
      </c>
      <c r="J4" s="2">
        <v>0.12916666666666668</v>
      </c>
      <c r="K4" s="12">
        <f>Combined[[#This Row],[Time Spent]]*24</f>
        <v>3.1000000000000005</v>
      </c>
      <c r="L4" s="12">
        <f>MROUND(Combined[[#This Row],[Time Spent 2]],0.25)</f>
        <v>3</v>
      </c>
      <c r="M4" s="2" t="s">
        <v>90</v>
      </c>
      <c r="N4" t="s">
        <v>85</v>
      </c>
      <c r="O4">
        <f>MATCH(Combined[[#This Row],[Primary Area]],KPIs!$C$4:$C$7,0)</f>
        <v>4</v>
      </c>
      <c r="P4"/>
      <c r="Q4" s="40">
        <v>44198</v>
      </c>
      <c r="R4" s="40">
        <f t="shared" si="1"/>
        <v>44198</v>
      </c>
      <c r="S4" s="4" t="str">
        <f>TEXT(Mileage[[#This Row],[Date]],"dddd")</f>
        <v>Saturday</v>
      </c>
      <c r="T4" s="4" t="s">
        <v>235</v>
      </c>
      <c r="U4" s="4">
        <v>32</v>
      </c>
      <c r="V4" t="str" cm="1">
        <f t="array" ref="V4">IFERROR(VLOOKUP(MODE(IF(Combined[Date]=Mileage[[#This Row],[Date]],Combined[Area '#])),KPIs!$B$4:$C$7,2,FALSE),VLOOKUP(Mileage[[#This Row],[Date]],Combined[[Date]:[Primary Area]],8,FALSE))</f>
        <v>Portland</v>
      </c>
      <c r="W4"/>
      <c r="X4" s="12">
        <v>3.1000000000000005</v>
      </c>
      <c r="Y4" s="4">
        <v>57.189545807727626</v>
      </c>
      <c r="Z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" spans="2:26" x14ac:dyDescent="0.35">
      <c r="B5">
        <f t="shared" si="2"/>
        <v>3</v>
      </c>
      <c r="C5" t="s">
        <v>83</v>
      </c>
      <c r="D5" t="s">
        <v>176</v>
      </c>
      <c r="E5">
        <f>IF(WEEKNUM(Combined[[#This Row],[Date]], 1) = 53, 1, WEEKNUM(Combined[[#This Row],[Date]], 2))</f>
        <v>2</v>
      </c>
      <c r="F5" t="str">
        <f t="shared" si="0"/>
        <v>Friday</v>
      </c>
      <c r="G5" s="41">
        <v>44204</v>
      </c>
      <c r="H5">
        <v>2</v>
      </c>
      <c r="I5" s="1">
        <v>12.04</v>
      </c>
      <c r="J5" s="2">
        <v>8.5416666666666655E-2</v>
      </c>
      <c r="K5" s="12">
        <f>Combined[[#This Row],[Time Spent]]*24</f>
        <v>2.0499999999999998</v>
      </c>
      <c r="L5" s="12">
        <f>MROUND(Combined[[#This Row],[Time Spent 2]],0.25)</f>
        <v>2</v>
      </c>
      <c r="M5" s="2" t="s">
        <v>91</v>
      </c>
      <c r="N5" t="s">
        <v>85</v>
      </c>
      <c r="O5">
        <f>MATCH(Combined[[#This Row],[Primary Area]],KPIs!$C$4:$C$7,0)</f>
        <v>4</v>
      </c>
      <c r="P5"/>
      <c r="Q5" s="40">
        <v>44204</v>
      </c>
      <c r="R5" s="40">
        <f t="shared" si="1"/>
        <v>44204</v>
      </c>
      <c r="S5" s="4" t="str">
        <f>TEXT(Mileage[[#This Row],[Date]],"dddd")</f>
        <v>Friday</v>
      </c>
      <c r="T5" s="4" t="s">
        <v>249</v>
      </c>
      <c r="U5" s="4">
        <v>26.6</v>
      </c>
      <c r="V5" t="str" cm="1">
        <f t="array" ref="V5">IFERROR(VLOOKUP(MODE(IF(Combined[Date]=Mileage[[#This Row],[Date]],Combined[Area '#])),KPIs!$B$4:$C$7,2,FALSE),VLOOKUP(Mileage[[#This Row],[Date]],Combined[[Date]:[Primary Area]],8,FALSE))</f>
        <v>Portland</v>
      </c>
      <c r="W5"/>
      <c r="X5" s="12">
        <v>2.0499999999999998</v>
      </c>
      <c r="Y5" s="4">
        <v>28.594772903863813</v>
      </c>
      <c r="Z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" spans="2:26" x14ac:dyDescent="0.35">
      <c r="B6">
        <f t="shared" si="2"/>
        <v>4</v>
      </c>
      <c r="C6" t="s">
        <v>83</v>
      </c>
      <c r="D6" t="s">
        <v>176</v>
      </c>
      <c r="E6">
        <f>IF(WEEKNUM(Combined[[#This Row],[Date]], 1) = 53, 1, WEEKNUM(Combined[[#This Row],[Date]], 2))</f>
        <v>2</v>
      </c>
      <c r="F6" t="str">
        <f t="shared" si="0"/>
        <v>Sunday</v>
      </c>
      <c r="G6" s="41">
        <v>44206</v>
      </c>
      <c r="H6">
        <v>5</v>
      </c>
      <c r="I6" s="1">
        <v>63.93</v>
      </c>
      <c r="J6" s="2">
        <f>TIME(6,37,)</f>
        <v>0.27569444444444446</v>
      </c>
      <c r="K6" s="12">
        <f>Combined[[#This Row],[Time Spent]]*24</f>
        <v>6.6166666666666671</v>
      </c>
      <c r="L6" s="12">
        <f>MROUND(Combined[[#This Row],[Time Spent 2]],0.25)</f>
        <v>6.5</v>
      </c>
      <c r="M6" s="2" t="s">
        <v>91</v>
      </c>
      <c r="N6" t="s">
        <v>85</v>
      </c>
      <c r="O6">
        <f>MATCH(Combined[[#This Row],[Primary Area]],KPIs!$C$4:$C$7,0)</f>
        <v>4</v>
      </c>
      <c r="P6"/>
      <c r="Q6" s="40">
        <v>44206</v>
      </c>
      <c r="R6" s="40">
        <f t="shared" si="1"/>
        <v>44206</v>
      </c>
      <c r="S6" s="4" t="str">
        <f>TEXT(Mileage[[#This Row],[Date]],"dddd")</f>
        <v>Sunday</v>
      </c>
      <c r="T6" s="4" t="s">
        <v>249</v>
      </c>
      <c r="U6" s="4">
        <v>34.200000000000003</v>
      </c>
      <c r="V6" t="str" cm="1">
        <f t="array" ref="V6">IFERROR(VLOOKUP(MODE(IF(Combined[Date]=Mileage[[#This Row],[Date]],Combined[Area '#])),KPIs!$B$4:$C$7,2,FALSE),VLOOKUP(Mileage[[#This Row],[Date]],Combined[[Date]:[Primary Area]],8,FALSE))</f>
        <v>Portland</v>
      </c>
      <c r="W6"/>
      <c r="X6" s="12">
        <v>6.6166666666666671</v>
      </c>
      <c r="Y6" s="4">
        <v>71.48693225965954</v>
      </c>
      <c r="Z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" spans="2:26" x14ac:dyDescent="0.35">
      <c r="B7">
        <f t="shared" si="2"/>
        <v>5</v>
      </c>
      <c r="C7" t="s">
        <v>83</v>
      </c>
      <c r="D7" t="s">
        <v>176</v>
      </c>
      <c r="E7">
        <f>IF(WEEKNUM(Combined[[#This Row],[Date]], 1) = 53, 1, WEEKNUM(Combined[[#This Row],[Date]], 2))</f>
        <v>3</v>
      </c>
      <c r="F7" t="str">
        <f t="shared" si="0"/>
        <v>Sunday</v>
      </c>
      <c r="G7" s="41">
        <v>44213</v>
      </c>
      <c r="H7">
        <v>2</v>
      </c>
      <c r="I7" s="1">
        <v>35.950000000000003</v>
      </c>
      <c r="J7" s="2">
        <v>0.15277777777777776</v>
      </c>
      <c r="K7" s="12">
        <f>Combined[[#This Row],[Time Spent]]*24</f>
        <v>3.6666666666666661</v>
      </c>
      <c r="L7" s="12">
        <f>MROUND(Combined[[#This Row],[Time Spent 2]],0.25)</f>
        <v>3.75</v>
      </c>
      <c r="M7" s="2" t="s">
        <v>91</v>
      </c>
      <c r="N7" t="s">
        <v>85</v>
      </c>
      <c r="O7">
        <f>MATCH(Combined[[#This Row],[Primary Area]],KPIs!$C$4:$C$7,0)</f>
        <v>4</v>
      </c>
      <c r="P7"/>
      <c r="Q7" s="40">
        <v>44213</v>
      </c>
      <c r="R7" s="40">
        <f t="shared" si="1"/>
        <v>44213</v>
      </c>
      <c r="S7" s="4" t="str">
        <f>TEXT(Mileage[[#This Row],[Date]],"dddd")</f>
        <v>Sunday</v>
      </c>
      <c r="T7" s="4" t="s">
        <v>249</v>
      </c>
      <c r="U7" s="4">
        <v>32.4</v>
      </c>
      <c r="V7" t="str" cm="1">
        <f t="array" ref="V7">IFERROR(VLOOKUP(MODE(IF(Combined[Date]=Mileage[[#This Row],[Date]],Combined[Area '#])),KPIs!$B$4:$C$7,2,FALSE),VLOOKUP(Mileage[[#This Row],[Date]],Combined[[Date]:[Primary Area]],8,FALSE))</f>
        <v>Portland</v>
      </c>
      <c r="W7"/>
      <c r="X7" s="12">
        <v>3.6666666666666661</v>
      </c>
      <c r="Y7" s="4">
        <v>28.594772903863813</v>
      </c>
      <c r="Z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" spans="2:26" x14ac:dyDescent="0.35">
      <c r="B8">
        <f t="shared" si="2"/>
        <v>6</v>
      </c>
      <c r="C8" t="s">
        <v>83</v>
      </c>
      <c r="D8" t="s">
        <v>176</v>
      </c>
      <c r="E8">
        <f>IF(WEEKNUM(Combined[[#This Row],[Date]], 1) = 53, 1, WEEKNUM(Combined[[#This Row],[Date]], 2))</f>
        <v>5</v>
      </c>
      <c r="F8" t="str">
        <f t="shared" si="0"/>
        <v>Saturday</v>
      </c>
      <c r="G8" s="41">
        <v>44226</v>
      </c>
      <c r="H8">
        <v>7</v>
      </c>
      <c r="I8" s="1">
        <v>100.51</v>
      </c>
      <c r="J8" s="2">
        <v>0.2986111111111111</v>
      </c>
      <c r="K8" s="12">
        <f>Combined[[#This Row],[Time Spent]]*24</f>
        <v>7.1666666666666661</v>
      </c>
      <c r="L8" s="12">
        <f>MROUND(Combined[[#This Row],[Time Spent 2]],0.25)</f>
        <v>7.25</v>
      </c>
      <c r="M8" s="2" t="s">
        <v>91</v>
      </c>
      <c r="N8" t="s">
        <v>85</v>
      </c>
      <c r="O8">
        <f>MATCH(Combined[[#This Row],[Primary Area]],KPIs!$C$4:$C$7,0)</f>
        <v>4</v>
      </c>
      <c r="P8"/>
      <c r="Q8" s="40">
        <v>44226</v>
      </c>
      <c r="R8" s="40">
        <f t="shared" si="1"/>
        <v>44226</v>
      </c>
      <c r="S8" s="4" t="str">
        <f>TEXT(Mileage[[#This Row],[Date]],"dddd")</f>
        <v>Saturday</v>
      </c>
      <c r="T8" s="4" t="s">
        <v>230</v>
      </c>
      <c r="U8" s="4">
        <v>29.1</v>
      </c>
      <c r="V8" t="str" cm="1">
        <f t="array" ref="V8">IFERROR(VLOOKUP(MODE(IF(Combined[Date]=Mileage[[#This Row],[Date]],Combined[Area '#])),KPIs!$B$4:$C$7,2,FALSE),VLOOKUP(Mileage[[#This Row],[Date]],Combined[[Date]:[Primary Area]],8,FALSE))</f>
        <v>Portland</v>
      </c>
      <c r="W8"/>
      <c r="X8" s="12">
        <v>7.1666666666666661</v>
      </c>
      <c r="Y8" s="4">
        <v>100.08170516352334</v>
      </c>
      <c r="Z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9" spans="2:26" x14ac:dyDescent="0.35">
      <c r="B9">
        <f t="shared" si="2"/>
        <v>7</v>
      </c>
      <c r="C9" t="s">
        <v>83</v>
      </c>
      <c r="D9" t="s">
        <v>176</v>
      </c>
      <c r="E9">
        <f>IF(WEEKNUM(Combined[[#This Row],[Date]], 1) = 53, 1, WEEKNUM(Combined[[#This Row],[Date]], 2))</f>
        <v>5</v>
      </c>
      <c r="F9" t="str">
        <f t="shared" si="0"/>
        <v>Sunday</v>
      </c>
      <c r="G9" s="41">
        <v>44227</v>
      </c>
      <c r="H9">
        <v>1</v>
      </c>
      <c r="I9" s="1">
        <v>8.68</v>
      </c>
      <c r="J9" s="2">
        <v>9.7916666666666666E-2</v>
      </c>
      <c r="K9" s="12">
        <f>Combined[[#This Row],[Time Spent]]*24</f>
        <v>2.35</v>
      </c>
      <c r="L9" s="12">
        <f>MROUND(Combined[[#This Row],[Time Spent 2]],0.25)</f>
        <v>2.25</v>
      </c>
      <c r="M9" s="2" t="s">
        <v>91</v>
      </c>
      <c r="N9" t="s">
        <v>82</v>
      </c>
      <c r="O9">
        <f>MATCH(Combined[[#This Row],[Primary Area]],KPIs!$C$4:$C$7,0)</f>
        <v>3</v>
      </c>
      <c r="P9"/>
      <c r="Q9" s="40">
        <v>44227</v>
      </c>
      <c r="R9" s="40">
        <f t="shared" si="1"/>
        <v>44227</v>
      </c>
      <c r="S9" s="4" t="str">
        <f>TEXT(Mileage[[#This Row],[Date]],"dddd")</f>
        <v>Sunday</v>
      </c>
      <c r="T9" s="4" t="s">
        <v>249</v>
      </c>
      <c r="U9" s="4">
        <v>17.600000000000001</v>
      </c>
      <c r="V9" t="str" cm="1">
        <f t="array" ref="V9">IFERROR(VLOOKUP(MODE(IF(Combined[Date]=Mileage[[#This Row],[Date]],Combined[Area '#])),KPIs!$B$4:$C$7,2,FALSE),VLOOKUP(Mileage[[#This Row],[Date]],Combined[[Date]:[Primary Area]],8,FALSE))</f>
        <v>Lewiston</v>
      </c>
      <c r="W9"/>
      <c r="X9" s="12">
        <v>2.35</v>
      </c>
      <c r="Y9" s="4">
        <v>7.89235576923077</v>
      </c>
      <c r="Z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" spans="2:26" x14ac:dyDescent="0.35">
      <c r="B10">
        <f t="shared" si="2"/>
        <v>8</v>
      </c>
      <c r="C10" t="s">
        <v>83</v>
      </c>
      <c r="D10" t="s">
        <v>176</v>
      </c>
      <c r="E10">
        <f>IF(WEEKNUM(Combined[[#This Row],[Date]], 1) = 53, 1, WEEKNUM(Combined[[#This Row],[Date]], 2))</f>
        <v>6</v>
      </c>
      <c r="F10" t="str">
        <f t="shared" si="0"/>
        <v>Monday</v>
      </c>
      <c r="G10" s="41">
        <v>44228</v>
      </c>
      <c r="H10">
        <v>2</v>
      </c>
      <c r="I10" s="1">
        <v>24.85</v>
      </c>
      <c r="J10" s="2">
        <v>8.9583333333333334E-2</v>
      </c>
      <c r="K10" s="12">
        <f>Combined[[#This Row],[Time Spent]]*24</f>
        <v>2.15</v>
      </c>
      <c r="L10" s="12">
        <f>MROUND(Combined[[#This Row],[Time Spent 2]],0.25)</f>
        <v>2.25</v>
      </c>
      <c r="M10" s="2" t="s">
        <v>90</v>
      </c>
      <c r="N10" t="s">
        <v>85</v>
      </c>
      <c r="O10">
        <f>MATCH(Combined[[#This Row],[Primary Area]],KPIs!$C$4:$C$7,0)</f>
        <v>4</v>
      </c>
      <c r="P10"/>
      <c r="Q10" s="40">
        <v>44228</v>
      </c>
      <c r="R10" s="40">
        <f t="shared" si="1"/>
        <v>44228</v>
      </c>
      <c r="S10" s="4" t="str">
        <f>TEXT(Mileage[[#This Row],[Date]],"dddd")</f>
        <v>Monday</v>
      </c>
      <c r="T10" s="4" t="s">
        <v>235</v>
      </c>
      <c r="U10" s="4">
        <v>21.2</v>
      </c>
      <c r="V10" t="str" cm="1">
        <f t="array" ref="V10">IFERROR(VLOOKUP(MODE(IF(Combined[Date]=Mileage[[#This Row],[Date]],Combined[Area '#])),KPIs!$B$4:$C$7,2,FALSE),VLOOKUP(Mileage[[#This Row],[Date]],Combined[[Date]:[Primary Area]],8,FALSE))</f>
        <v>Portland</v>
      </c>
      <c r="W10"/>
      <c r="X10" s="12">
        <v>2.15</v>
      </c>
      <c r="Y10" s="4">
        <v>28.594772903863813</v>
      </c>
      <c r="Z1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1" spans="2:26" x14ac:dyDescent="0.35">
      <c r="B11">
        <f t="shared" si="2"/>
        <v>9</v>
      </c>
      <c r="C11" t="s">
        <v>83</v>
      </c>
      <c r="D11" t="s">
        <v>176</v>
      </c>
      <c r="E11">
        <f>IF(WEEKNUM(Combined[[#This Row],[Date]], 1) = 53, 1, WEEKNUM(Combined[[#This Row],[Date]], 2))</f>
        <v>6</v>
      </c>
      <c r="F11" t="str">
        <f t="shared" si="0"/>
        <v>Tuesday</v>
      </c>
      <c r="G11" s="41">
        <v>44229</v>
      </c>
      <c r="H11">
        <v>5</v>
      </c>
      <c r="I11" s="1">
        <v>53.84</v>
      </c>
      <c r="J11" s="2">
        <v>0.20694444444444446</v>
      </c>
      <c r="K11" s="12">
        <f>Combined[[#This Row],[Time Spent]]*24</f>
        <v>4.9666666666666668</v>
      </c>
      <c r="L11" s="12">
        <f>MROUND(Combined[[#This Row],[Time Spent 2]],0.25)</f>
        <v>5</v>
      </c>
      <c r="M11" s="2" t="s">
        <v>90</v>
      </c>
      <c r="N11" t="s">
        <v>85</v>
      </c>
      <c r="O11">
        <f>MATCH(Combined[[#This Row],[Primary Area]],KPIs!$C$4:$C$7,0)</f>
        <v>4</v>
      </c>
      <c r="P11"/>
      <c r="Q11" s="40">
        <v>44229</v>
      </c>
      <c r="R11" s="40">
        <f t="shared" si="1"/>
        <v>44229</v>
      </c>
      <c r="S11" s="4" t="str">
        <f>TEXT(Mileage[[#This Row],[Date]],"dddd")</f>
        <v>Tuesday</v>
      </c>
      <c r="T11" s="4" t="s">
        <v>235</v>
      </c>
      <c r="U11" s="4">
        <v>31.9</v>
      </c>
      <c r="V11" t="str" cm="1">
        <f t="array" ref="V11">IFERROR(VLOOKUP(MODE(IF(Combined[Date]=Mileage[[#This Row],[Date]],Combined[Area '#])),KPIs!$B$4:$C$7,2,FALSE),VLOOKUP(Mileage[[#This Row],[Date]],Combined[[Date]:[Primary Area]],8,FALSE))</f>
        <v>Portland</v>
      </c>
      <c r="W11"/>
      <c r="X11" s="12">
        <v>4.9666666666666668</v>
      </c>
      <c r="Y11" s="4">
        <v>71.48693225965954</v>
      </c>
      <c r="Z1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" spans="2:26" x14ac:dyDescent="0.35">
      <c r="B12">
        <f t="shared" si="2"/>
        <v>10</v>
      </c>
      <c r="C12" t="s">
        <v>83</v>
      </c>
      <c r="D12" t="s">
        <v>176</v>
      </c>
      <c r="E12">
        <f>IF(WEEKNUM(Combined[[#This Row],[Date]], 1) = 53, 1, WEEKNUM(Combined[[#This Row],[Date]], 2))</f>
        <v>6</v>
      </c>
      <c r="F12" t="str">
        <f t="shared" si="0"/>
        <v>Sunday</v>
      </c>
      <c r="G12" s="41">
        <v>44234</v>
      </c>
      <c r="H12">
        <v>6</v>
      </c>
      <c r="I12" s="1">
        <v>74.709999999999994</v>
      </c>
      <c r="J12" s="2">
        <v>0.22500000000000001</v>
      </c>
      <c r="K12" s="12">
        <f>Combined[[#This Row],[Time Spent]]*24</f>
        <v>5.4</v>
      </c>
      <c r="L12" s="12">
        <f>MROUND(Combined[[#This Row],[Time Spent 2]],0.25)</f>
        <v>5.5</v>
      </c>
      <c r="M12" s="2" t="s">
        <v>91</v>
      </c>
      <c r="N12" t="s">
        <v>85</v>
      </c>
      <c r="O12">
        <f>MATCH(Combined[[#This Row],[Primary Area]],KPIs!$C$4:$C$7,0)</f>
        <v>4</v>
      </c>
      <c r="P12"/>
      <c r="Q12" s="40">
        <v>44234</v>
      </c>
      <c r="R12" s="40">
        <f t="shared" si="1"/>
        <v>44234</v>
      </c>
      <c r="S12" s="4" t="str">
        <f>TEXT(Mileage[[#This Row],[Date]],"dddd")</f>
        <v>Sunday</v>
      </c>
      <c r="T12" s="4" t="s">
        <v>234</v>
      </c>
      <c r="U12" s="4">
        <v>16.3</v>
      </c>
      <c r="V12" t="str" cm="1">
        <f t="array" ref="V12">IFERROR(VLOOKUP(MODE(IF(Combined[Date]=Mileage[[#This Row],[Date]],Combined[Area '#])),KPIs!$B$4:$C$7,2,FALSE),VLOOKUP(Mileage[[#This Row],[Date]],Combined[[Date]:[Primary Area]],8,FALSE))</f>
        <v>Portland</v>
      </c>
      <c r="W12"/>
      <c r="X12" s="12">
        <v>5.4</v>
      </c>
      <c r="Y12" s="4">
        <v>85.784318711591439</v>
      </c>
      <c r="Z1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3" spans="2:26" x14ac:dyDescent="0.35">
      <c r="B13">
        <f t="shared" si="2"/>
        <v>11</v>
      </c>
      <c r="C13" t="s">
        <v>83</v>
      </c>
      <c r="D13" t="s">
        <v>176</v>
      </c>
      <c r="E13">
        <f>IF(WEEKNUM(Combined[[#This Row],[Date]], 1) = 53, 1, WEEKNUM(Combined[[#This Row],[Date]], 2))</f>
        <v>7</v>
      </c>
      <c r="F13" t="str">
        <f t="shared" si="0"/>
        <v>Sunday</v>
      </c>
      <c r="G13" s="41">
        <v>44241</v>
      </c>
      <c r="H13">
        <v>8</v>
      </c>
      <c r="I13" s="1">
        <v>174.88</v>
      </c>
      <c r="J13" s="2">
        <v>0.26041666666666669</v>
      </c>
      <c r="K13" s="12">
        <f>Combined[[#This Row],[Time Spent]]*24</f>
        <v>6.25</v>
      </c>
      <c r="L13" s="12">
        <f>MROUND(Combined[[#This Row],[Time Spent 2]],0.25)</f>
        <v>6.25</v>
      </c>
      <c r="M13" s="2" t="s">
        <v>91</v>
      </c>
      <c r="N13" t="s">
        <v>80</v>
      </c>
      <c r="O13">
        <f>MATCH(Combined[[#This Row],[Primary Area]],KPIs!$C$4:$C$7,0)</f>
        <v>2</v>
      </c>
      <c r="P13"/>
      <c r="Q13" s="40">
        <v>44241</v>
      </c>
      <c r="R13" s="40">
        <f t="shared" si="1"/>
        <v>44241</v>
      </c>
      <c r="S13" s="4" t="str">
        <f>TEXT(Mileage[[#This Row],[Date]],"dddd")</f>
        <v>Sunday</v>
      </c>
      <c r="T13" s="4" t="s">
        <v>249</v>
      </c>
      <c r="U13" s="4">
        <v>29.5</v>
      </c>
      <c r="V13" t="str" cm="1">
        <f t="array" ref="V13">IFERROR(VLOOKUP(MODE(IF(Combined[Date]=Mileage[[#This Row],[Date]],Combined[Area '#])),KPIs!$B$4:$C$7,2,FALSE),VLOOKUP(Mileage[[#This Row],[Date]],Combined[[Date]:[Primary Area]],8,FALSE))</f>
        <v>Brunswick/Bath/Freeport</v>
      </c>
      <c r="W13"/>
      <c r="X13" s="12">
        <v>6.25</v>
      </c>
      <c r="Y13" s="4">
        <v>82.729474106140785</v>
      </c>
      <c r="Z1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4" spans="2:26" x14ac:dyDescent="0.35">
      <c r="B14">
        <f t="shared" si="2"/>
        <v>12</v>
      </c>
      <c r="C14" t="s">
        <v>86</v>
      </c>
      <c r="D14" t="s">
        <v>176</v>
      </c>
      <c r="E14">
        <f>IF(WEEKNUM(Combined[[#This Row],[Date]], 1) = 53, 1, WEEKNUM(Combined[[#This Row],[Date]], 2))</f>
        <v>8</v>
      </c>
      <c r="F14" t="str">
        <f t="shared" si="0"/>
        <v>Saturday</v>
      </c>
      <c r="G14" s="41">
        <v>44247</v>
      </c>
      <c r="H14">
        <v>10</v>
      </c>
      <c r="I14" s="1">
        <f>52.93+37</f>
        <v>89.93</v>
      </c>
      <c r="J14" s="2">
        <v>0.21736111111111112</v>
      </c>
      <c r="K14" s="12">
        <f>Combined[[#This Row],[Time Spent]]*24</f>
        <v>5.2166666666666668</v>
      </c>
      <c r="L14" s="12">
        <f>MROUND(Combined[[#This Row],[Time Spent 2]],0.25)</f>
        <v>5.25</v>
      </c>
      <c r="M14" s="2" t="s">
        <v>91</v>
      </c>
      <c r="N14" t="s">
        <v>80</v>
      </c>
      <c r="O14">
        <f>MATCH(Combined[[#This Row],[Primary Area]],KPIs!$C$4:$C$7,0)</f>
        <v>2</v>
      </c>
      <c r="P14"/>
      <c r="Q14" s="40">
        <v>44247</v>
      </c>
      <c r="R14" s="40">
        <f t="shared" si="1"/>
        <v>44247</v>
      </c>
      <c r="S14" s="4" t="str">
        <f>TEXT(Mileage[[#This Row],[Date]],"dddd")</f>
        <v>Saturday</v>
      </c>
      <c r="T14" s="4" t="s">
        <v>230</v>
      </c>
      <c r="U14" s="4">
        <v>26.4</v>
      </c>
      <c r="V14" t="str" cm="1">
        <f t="array" ref="V14">IFERROR(VLOOKUP(MODE(IF(Combined[Date]=Mileage[[#This Row],[Date]],Combined[Area '#])),KPIs!$B$4:$C$7,2,FALSE),VLOOKUP(Mileage[[#This Row],[Date]],Combined[[Date]:[Primary Area]],8,FALSE))</f>
        <v>Brunswick/Bath/Freeport</v>
      </c>
      <c r="W14"/>
      <c r="X14" s="12">
        <v>5.2166666666666668</v>
      </c>
      <c r="Y14" s="4">
        <v>103.41184263267598</v>
      </c>
      <c r="Z1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5" spans="2:26" x14ac:dyDescent="0.35">
      <c r="B15">
        <f t="shared" si="2"/>
        <v>13</v>
      </c>
      <c r="C15" t="s">
        <v>86</v>
      </c>
      <c r="D15" t="s">
        <v>176</v>
      </c>
      <c r="E15">
        <f>IF(WEEKNUM(Combined[[#This Row],[Date]], 1) = 53, 1, WEEKNUM(Combined[[#This Row],[Date]], 2))</f>
        <v>8</v>
      </c>
      <c r="F15" t="str">
        <f t="shared" si="0"/>
        <v>Sunday</v>
      </c>
      <c r="G15" s="41">
        <v>44248</v>
      </c>
      <c r="H15">
        <v>12</v>
      </c>
      <c r="I15" s="1">
        <f>46.75+44</f>
        <v>90.75</v>
      </c>
      <c r="J15" s="2">
        <v>0.19166666666666665</v>
      </c>
      <c r="K15" s="12">
        <f>Combined[[#This Row],[Time Spent]]*24</f>
        <v>4.5999999999999996</v>
      </c>
      <c r="L15" s="12">
        <f>MROUND(Combined[[#This Row],[Time Spent 2]],0.25)</f>
        <v>4.5</v>
      </c>
      <c r="M15" s="2" t="s">
        <v>90</v>
      </c>
      <c r="N15" t="s">
        <v>80</v>
      </c>
      <c r="O15">
        <f>MATCH(Combined[[#This Row],[Primary Area]],KPIs!$C$4:$C$7,0)</f>
        <v>2</v>
      </c>
      <c r="P15"/>
      <c r="Q15" s="40">
        <v>44248</v>
      </c>
      <c r="R15" s="40">
        <f t="shared" si="1"/>
        <v>44248</v>
      </c>
      <c r="S15" s="4" t="str">
        <f>TEXT(Mileage[[#This Row],[Date]],"dddd")</f>
        <v>Sunday</v>
      </c>
      <c r="T15" s="4" t="s">
        <v>235</v>
      </c>
      <c r="U15" s="4">
        <v>36.1</v>
      </c>
      <c r="V15" t="str" cm="1">
        <f t="array" ref="V15">IFERROR(VLOOKUP(MODE(IF(Combined[Date]=Mileage[[#This Row],[Date]],Combined[Area '#])),KPIs!$B$4:$C$7,2,FALSE),VLOOKUP(Mileage[[#This Row],[Date]],Combined[[Date]:[Primary Area]],8,FALSE))</f>
        <v>Brunswick/Bath/Freeport</v>
      </c>
      <c r="W15"/>
      <c r="X15" s="12">
        <v>4.5999999999999996</v>
      </c>
      <c r="Y15" s="4">
        <v>124.09421115921117</v>
      </c>
      <c r="Z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" spans="2:26" x14ac:dyDescent="0.35">
      <c r="B16">
        <f t="shared" si="2"/>
        <v>14</v>
      </c>
      <c r="C16" t="s">
        <v>86</v>
      </c>
      <c r="D16" t="s">
        <v>176</v>
      </c>
      <c r="E16">
        <f>IF(WEEKNUM(Combined[[#This Row],[Date]], 1) = 53, 1, WEEKNUM(Combined[[#This Row],[Date]], 2))</f>
        <v>9</v>
      </c>
      <c r="F16" t="str">
        <f t="shared" si="0"/>
        <v>Saturday</v>
      </c>
      <c r="G16" s="41">
        <v>44254</v>
      </c>
      <c r="H16">
        <v>8</v>
      </c>
      <c r="I16" s="1">
        <v>55.9</v>
      </c>
      <c r="J16" s="2">
        <v>0.15486111111111112</v>
      </c>
      <c r="K16" s="12">
        <f>Combined[[#This Row],[Time Spent]]*24</f>
        <v>3.7166666666666668</v>
      </c>
      <c r="L16" s="12">
        <f>MROUND(Combined[[#This Row],[Time Spent 2]],0.25)</f>
        <v>3.75</v>
      </c>
      <c r="M16" s="2" t="s">
        <v>91</v>
      </c>
      <c r="N16" t="s">
        <v>82</v>
      </c>
      <c r="O16">
        <f>MATCH(Combined[[#This Row],[Primary Area]],KPIs!$C$4:$C$7,0)</f>
        <v>3</v>
      </c>
      <c r="P16"/>
      <c r="Q16" s="40">
        <v>44254</v>
      </c>
      <c r="R16" s="40">
        <f t="shared" si="1"/>
        <v>44254</v>
      </c>
      <c r="S16" s="4" t="str">
        <f>TEXT(Mileage[[#This Row],[Date]],"dddd")</f>
        <v>Saturday</v>
      </c>
      <c r="T16" s="4" t="s">
        <v>230</v>
      </c>
      <c r="U16" s="4">
        <v>41.8</v>
      </c>
      <c r="V16" t="str" cm="1">
        <f t="array" ref="V16">IFERROR(VLOOKUP(MODE(IF(Combined[Date]=Mileage[[#This Row],[Date]],Combined[Area '#])),KPIs!$B$4:$C$7,2,FALSE),VLOOKUP(Mileage[[#This Row],[Date]],Combined[[Date]:[Primary Area]],8,FALSE))</f>
        <v>Lewiston</v>
      </c>
      <c r="W16"/>
      <c r="X16" s="12">
        <v>3.7166666666666668</v>
      </c>
      <c r="Y16" s="4">
        <v>63.13884615384616</v>
      </c>
      <c r="Z1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7" spans="2:26" x14ac:dyDescent="0.35">
      <c r="B17">
        <f t="shared" si="2"/>
        <v>15</v>
      </c>
      <c r="C17" t="s">
        <v>86</v>
      </c>
      <c r="D17" t="s">
        <v>176</v>
      </c>
      <c r="E17">
        <f>IF(WEEKNUM(Combined[[#This Row],[Date]], 1) = 53, 1, WEEKNUM(Combined[[#This Row],[Date]], 2))</f>
        <v>10</v>
      </c>
      <c r="F17" t="str">
        <f t="shared" si="0"/>
        <v>Monday</v>
      </c>
      <c r="G17" s="41">
        <v>44256</v>
      </c>
      <c r="H17">
        <v>4</v>
      </c>
      <c r="I17" s="1">
        <v>37.5</v>
      </c>
      <c r="J17" s="2">
        <v>7.7777777777777779E-2</v>
      </c>
      <c r="K17" s="12">
        <f>Combined[[#This Row],[Time Spent]]*24</f>
        <v>1.8666666666666667</v>
      </c>
      <c r="L17" s="12">
        <f>MROUND(Combined[[#This Row],[Time Spent 2]],0.25)</f>
        <v>1.75</v>
      </c>
      <c r="M17" s="2" t="s">
        <v>91</v>
      </c>
      <c r="N17" t="s">
        <v>80</v>
      </c>
      <c r="O17">
        <f>MATCH(Combined[[#This Row],[Primary Area]],KPIs!$C$4:$C$7,0)</f>
        <v>2</v>
      </c>
      <c r="P17"/>
      <c r="Q17" s="40">
        <v>44256</v>
      </c>
      <c r="R17" s="40">
        <f t="shared" si="1"/>
        <v>44256</v>
      </c>
      <c r="S17" s="4" t="str">
        <f>TEXT(Mileage[[#This Row],[Date]],"dddd")</f>
        <v>Monday</v>
      </c>
      <c r="T17" s="4" t="s">
        <v>249</v>
      </c>
      <c r="U17" s="4">
        <v>5.5</v>
      </c>
      <c r="V17" t="str" cm="1">
        <f t="array" ref="V17">IFERROR(VLOOKUP(MODE(IF(Combined[Date]=Mileage[[#This Row],[Date]],Combined[Area '#])),KPIs!$B$4:$C$7,2,FALSE),VLOOKUP(Mileage[[#This Row],[Date]],Combined[[Date]:[Primary Area]],8,FALSE))</f>
        <v>Brunswick/Bath/Freeport</v>
      </c>
      <c r="W17"/>
      <c r="X17" s="12">
        <v>1.8666666666666667</v>
      </c>
      <c r="Y17" s="4">
        <v>41.364737053070392</v>
      </c>
      <c r="Z1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" spans="2:26" x14ac:dyDescent="0.35">
      <c r="B18">
        <f t="shared" si="2"/>
        <v>16</v>
      </c>
      <c r="C18" t="s">
        <v>86</v>
      </c>
      <c r="D18" t="s">
        <v>176</v>
      </c>
      <c r="E18">
        <f>IF(WEEKNUM(Combined[[#This Row],[Date]], 1) = 53, 1, WEEKNUM(Combined[[#This Row],[Date]], 2))</f>
        <v>10</v>
      </c>
      <c r="F18" t="str">
        <f t="shared" si="0"/>
        <v>Tuesday</v>
      </c>
      <c r="G18" s="41">
        <v>44257</v>
      </c>
      <c r="H18">
        <v>4</v>
      </c>
      <c r="I18" s="1">
        <v>29.5</v>
      </c>
      <c r="J18" s="2">
        <v>6.25E-2</v>
      </c>
      <c r="K18" s="12">
        <f>Combined[[#This Row],[Time Spent]]*24</f>
        <v>1.5</v>
      </c>
      <c r="L18" s="12">
        <f>MROUND(Combined[[#This Row],[Time Spent 2]],0.25)</f>
        <v>1.5</v>
      </c>
      <c r="M18" s="2" t="s">
        <v>91</v>
      </c>
      <c r="N18" t="s">
        <v>82</v>
      </c>
      <c r="O18">
        <f>MATCH(Combined[[#This Row],[Primary Area]],KPIs!$C$4:$C$7,0)</f>
        <v>3</v>
      </c>
      <c r="P18"/>
      <c r="Q18" s="40">
        <v>44257</v>
      </c>
      <c r="R18" s="40">
        <f t="shared" si="1"/>
        <v>44257</v>
      </c>
      <c r="S18" s="4" t="str">
        <f>TEXT(Mileage[[#This Row],[Date]],"dddd")</f>
        <v>Tuesday</v>
      </c>
      <c r="T18" s="4" t="s">
        <v>249</v>
      </c>
      <c r="U18" s="4">
        <v>28.6</v>
      </c>
      <c r="V18" t="str" cm="1">
        <f t="array" ref="V18">IFERROR(VLOOKUP(MODE(IF(Combined[Date]=Mileage[[#This Row],[Date]],Combined[Area '#])),KPIs!$B$4:$C$7,2,FALSE),VLOOKUP(Mileage[[#This Row],[Date]],Combined[[Date]:[Primary Area]],8,FALSE))</f>
        <v>Lewiston</v>
      </c>
      <c r="W18"/>
      <c r="X18" s="12">
        <v>1.5</v>
      </c>
      <c r="Y18" s="4">
        <v>31.56942307692308</v>
      </c>
      <c r="Z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" spans="2:26" x14ac:dyDescent="0.35">
      <c r="B19">
        <f t="shared" si="2"/>
        <v>17</v>
      </c>
      <c r="C19" t="s">
        <v>83</v>
      </c>
      <c r="D19" t="s">
        <v>176</v>
      </c>
      <c r="E19">
        <f>IF(WEEKNUM(Combined[[#This Row],[Date]], 1) = 53, 1, WEEKNUM(Combined[[#This Row],[Date]], 2))</f>
        <v>10</v>
      </c>
      <c r="F19" t="str">
        <f t="shared" si="0"/>
        <v>Friday</v>
      </c>
      <c r="G19" s="41">
        <v>44260</v>
      </c>
      <c r="H19">
        <v>7</v>
      </c>
      <c r="I19" s="1">
        <v>142.68</v>
      </c>
      <c r="J19" s="2">
        <v>0.18124999999999999</v>
      </c>
      <c r="K19" s="12">
        <f>Combined[[#This Row],[Time Spent]]*24</f>
        <v>4.3499999999999996</v>
      </c>
      <c r="L19" s="12">
        <f>MROUND(Combined[[#This Row],[Time Spent 2]],0.25)</f>
        <v>4.25</v>
      </c>
      <c r="M19" s="2" t="s">
        <v>91</v>
      </c>
      <c r="N19" t="s">
        <v>85</v>
      </c>
      <c r="O19">
        <f>MATCH(Combined[[#This Row],[Primary Area]],KPIs!$C$4:$C$7,0)</f>
        <v>4</v>
      </c>
      <c r="P19"/>
      <c r="Q19" s="40">
        <v>44260</v>
      </c>
      <c r="R19" s="40">
        <f t="shared" si="1"/>
        <v>44260</v>
      </c>
      <c r="S19" s="4" t="str">
        <f>TEXT(Mileage[[#This Row],[Date]],"dddd")</f>
        <v>Friday</v>
      </c>
      <c r="T19" s="4" t="s">
        <v>249</v>
      </c>
      <c r="U19" s="4">
        <v>20.6</v>
      </c>
      <c r="V19" t="str" cm="1">
        <f t="array" ref="V19">IFERROR(VLOOKUP(MODE(IF(Combined[Date]=Mileage[[#This Row],[Date]],Combined[Area '#])),KPIs!$B$4:$C$7,2,FALSE),VLOOKUP(Mileage[[#This Row],[Date]],Combined[[Date]:[Primary Area]],8,FALSE))</f>
        <v>Portland</v>
      </c>
      <c r="W19"/>
      <c r="X19" s="12">
        <v>4.3499999999999996</v>
      </c>
      <c r="Y19" s="4">
        <v>100.08170516352334</v>
      </c>
      <c r="Z1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" spans="2:26" x14ac:dyDescent="0.35">
      <c r="B20">
        <f t="shared" si="2"/>
        <v>18</v>
      </c>
      <c r="C20" t="s">
        <v>86</v>
      </c>
      <c r="D20" t="s">
        <v>176</v>
      </c>
      <c r="E20">
        <f>IF(WEEKNUM(Combined[[#This Row],[Date]], 1) = 53, 1, WEEKNUM(Combined[[#This Row],[Date]], 2))</f>
        <v>10</v>
      </c>
      <c r="F20" t="str">
        <f t="shared" si="0"/>
        <v>Saturday</v>
      </c>
      <c r="G20" s="41">
        <v>44261</v>
      </c>
      <c r="H20">
        <v>1</v>
      </c>
      <c r="I20" s="1">
        <v>8.75</v>
      </c>
      <c r="J20" s="2">
        <v>2.6388888888888889E-2</v>
      </c>
      <c r="K20" s="12">
        <f>Combined[[#This Row],[Time Spent]]*24</f>
        <v>0.6333333333333333</v>
      </c>
      <c r="L20" s="12">
        <f>MROUND(Combined[[#This Row],[Time Spent 2]],0.25)</f>
        <v>0.75</v>
      </c>
      <c r="M20" s="2" t="s">
        <v>91</v>
      </c>
      <c r="N20" t="s">
        <v>80</v>
      </c>
      <c r="O20">
        <f>MATCH(Combined[[#This Row],[Primary Area]],KPIs!$C$4:$C$7,0)</f>
        <v>2</v>
      </c>
      <c r="P20"/>
      <c r="Q20" s="40">
        <v>44261</v>
      </c>
      <c r="R20" s="40">
        <f t="shared" si="1"/>
        <v>44261</v>
      </c>
      <c r="S20" s="4" t="str">
        <f>TEXT(Mileage[[#This Row],[Date]],"dddd")</f>
        <v>Saturday</v>
      </c>
      <c r="T20" s="4" t="s">
        <v>230</v>
      </c>
      <c r="U20" s="4">
        <v>25.3</v>
      </c>
      <c r="V20" t="str" cm="1">
        <f t="array" ref="V20">IFERROR(VLOOKUP(MODE(IF(Combined[Date]=Mileage[[#This Row],[Date]],Combined[Area '#])),KPIs!$B$4:$C$7,2,FALSE),VLOOKUP(Mileage[[#This Row],[Date]],Combined[[Date]:[Primary Area]],8,FALSE))</f>
        <v>Brunswick/Bath/Freeport</v>
      </c>
      <c r="W20"/>
      <c r="X20" s="12">
        <v>0.70833333333333326</v>
      </c>
      <c r="Y20" s="4">
        <v>20.682368526535196</v>
      </c>
      <c r="Z2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" spans="2:26" x14ac:dyDescent="0.35">
      <c r="B21">
        <f t="shared" si="2"/>
        <v>19</v>
      </c>
      <c r="C21" t="s">
        <v>83</v>
      </c>
      <c r="D21" t="s">
        <v>176</v>
      </c>
      <c r="E21">
        <f>IF(WEEKNUM(Combined[[#This Row],[Date]], 1) = 53, 1, WEEKNUM(Combined[[#This Row],[Date]], 2))</f>
        <v>10</v>
      </c>
      <c r="F21" t="str">
        <f t="shared" si="0"/>
        <v>Saturday</v>
      </c>
      <c r="G21" s="41">
        <v>44261</v>
      </c>
      <c r="H21">
        <v>1</v>
      </c>
      <c r="I21" s="1">
        <v>22.3</v>
      </c>
      <c r="J21" s="2">
        <v>2.013888888888889E-2</v>
      </c>
      <c r="K21" s="12">
        <f>Combined[[#This Row],[Time Spent]]*24</f>
        <v>0.48333333333333339</v>
      </c>
      <c r="L21" s="12">
        <f>MROUND(Combined[[#This Row],[Time Spent 2]],0.25)</f>
        <v>0.5</v>
      </c>
      <c r="M21" s="2" t="s">
        <v>91</v>
      </c>
      <c r="N21" t="s">
        <v>80</v>
      </c>
      <c r="O21">
        <f>MATCH(Combined[[#This Row],[Primary Area]],KPIs!$C$4:$C$7,0)</f>
        <v>2</v>
      </c>
      <c r="P21"/>
      <c r="Q21" s="40">
        <v>44264</v>
      </c>
      <c r="R21" s="40">
        <f t="shared" si="1"/>
        <v>44264</v>
      </c>
      <c r="S21" s="4" t="str">
        <f>TEXT(Mileage[[#This Row],[Date]],"dddd")</f>
        <v>Tuesday</v>
      </c>
      <c r="T21" s="4" t="s">
        <v>230</v>
      </c>
      <c r="U21" s="4">
        <v>40</v>
      </c>
      <c r="V21" t="str" cm="1">
        <f t="array" ref="V21">IFERROR(VLOOKUP(MODE(IF(Combined[Date]=Mileage[[#This Row],[Date]],Combined[Area '#])),KPIs!$B$4:$C$7,2,FALSE),VLOOKUP(Mileage[[#This Row],[Date]],Combined[[Date]:[Primary Area]],8,FALSE))</f>
        <v>Brunswick/Bath/Freeport</v>
      </c>
      <c r="W21"/>
      <c r="X21" s="12">
        <v>1.4416666666666664</v>
      </c>
      <c r="Y21" s="4">
        <v>41.364737053070392</v>
      </c>
      <c r="Z2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2" spans="2:26" x14ac:dyDescent="0.35">
      <c r="B22">
        <f t="shared" si="2"/>
        <v>20</v>
      </c>
      <c r="C22" t="s">
        <v>86</v>
      </c>
      <c r="D22" t="s">
        <v>176</v>
      </c>
      <c r="E22">
        <f>IF(WEEKNUM(Combined[[#This Row],[Date]], 1) = 53, 1, WEEKNUM(Combined[[#This Row],[Date]], 2))</f>
        <v>11</v>
      </c>
      <c r="F22" t="str">
        <f t="shared" si="0"/>
        <v>Tuesday</v>
      </c>
      <c r="G22" s="41">
        <v>44264</v>
      </c>
      <c r="H22">
        <v>3</v>
      </c>
      <c r="I22" s="1">
        <v>30.52</v>
      </c>
      <c r="J22" s="2">
        <v>4.027777777777778E-2</v>
      </c>
      <c r="K22" s="12">
        <f>Combined[[#This Row],[Time Spent]]*24</f>
        <v>0.96666666666666679</v>
      </c>
      <c r="L22" s="12">
        <f>MROUND(Combined[[#This Row],[Time Spent 2]],0.25)</f>
        <v>1</v>
      </c>
      <c r="M22" s="2" t="s">
        <v>91</v>
      </c>
      <c r="N22" t="s">
        <v>80</v>
      </c>
      <c r="O22">
        <f>MATCH(Combined[[#This Row],[Primary Area]],KPIs!$C$4:$C$7,0)</f>
        <v>2</v>
      </c>
      <c r="P22"/>
      <c r="Q22" s="40">
        <v>44265</v>
      </c>
      <c r="R22" s="40">
        <f t="shared" si="1"/>
        <v>44265</v>
      </c>
      <c r="S22" s="4" t="str">
        <f>TEXT(Mileage[[#This Row],[Date]],"dddd")</f>
        <v>Wednesday</v>
      </c>
      <c r="T22" s="4" t="s">
        <v>230</v>
      </c>
      <c r="U22" s="4">
        <v>56.3</v>
      </c>
      <c r="V22" t="str" cm="1">
        <f t="array" ref="V22">IFERROR(VLOOKUP(MODE(IF(Combined[Date]=Mileage[[#This Row],[Date]],Combined[Area '#])),KPIs!$B$4:$C$7,2,FALSE),VLOOKUP(Mileage[[#This Row],[Date]],Combined[[Date]:[Primary Area]],8,FALSE))</f>
        <v>Brunswick/Bath/Freeport</v>
      </c>
      <c r="W22"/>
      <c r="X22" s="12">
        <v>1.6416666666666666</v>
      </c>
      <c r="Y22" s="4">
        <v>41.364737053070392</v>
      </c>
      <c r="Z2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" spans="2:26" x14ac:dyDescent="0.35">
      <c r="B23">
        <f t="shared" si="2"/>
        <v>21</v>
      </c>
      <c r="C23" t="s">
        <v>83</v>
      </c>
      <c r="D23" t="s">
        <v>176</v>
      </c>
      <c r="E23">
        <f>IF(WEEKNUM(Combined[[#This Row],[Date]], 1) = 53, 1, WEEKNUM(Combined[[#This Row],[Date]], 2))</f>
        <v>11</v>
      </c>
      <c r="F23" t="str">
        <f t="shared" si="0"/>
        <v>Tuesday</v>
      </c>
      <c r="G23" s="41">
        <v>44264</v>
      </c>
      <c r="H23">
        <v>1</v>
      </c>
      <c r="I23" s="1">
        <v>39.89</v>
      </c>
      <c r="J23" s="2">
        <v>5.347222222222222E-2</v>
      </c>
      <c r="K23" s="12">
        <f>Combined[[#This Row],[Time Spent]]*24</f>
        <v>1.2833333333333332</v>
      </c>
      <c r="L23" s="12">
        <f>MROUND(Combined[[#This Row],[Time Spent 2]],0.25)</f>
        <v>1.25</v>
      </c>
      <c r="M23" s="2" t="s">
        <v>91</v>
      </c>
      <c r="N23" t="s">
        <v>80</v>
      </c>
      <c r="O23">
        <f>MATCH(Combined[[#This Row],[Primary Area]],KPIs!$C$4:$C$7,0)</f>
        <v>2</v>
      </c>
      <c r="P23"/>
      <c r="Q23" s="40">
        <v>44267</v>
      </c>
      <c r="R23" s="40">
        <f t="shared" si="1"/>
        <v>44267</v>
      </c>
      <c r="S23" s="4" t="str">
        <f>TEXT(Mileage[[#This Row],[Date]],"dddd")</f>
        <v>Friday</v>
      </c>
      <c r="T23" s="4" t="s">
        <v>249</v>
      </c>
      <c r="U23" s="4">
        <v>32.299999999999997</v>
      </c>
      <c r="V23" t="str" cm="1">
        <f t="array" ref="V23">IFERROR(VLOOKUP(MODE(IF(Combined[Date]=Mileage[[#This Row],[Date]],Combined[Area '#])),KPIs!$B$4:$C$7,2,FALSE),VLOOKUP(Mileage[[#This Row],[Date]],Combined[[Date]:[Primary Area]],8,FALSE))</f>
        <v>Brunswick/Bath/Freeport</v>
      </c>
      <c r="W23"/>
      <c r="X23" s="12">
        <v>2.5666666666666664</v>
      </c>
      <c r="Y23" s="4">
        <v>51.705921316337992</v>
      </c>
      <c r="Z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4" spans="2:26" x14ac:dyDescent="0.35">
      <c r="B24">
        <f t="shared" si="2"/>
        <v>22</v>
      </c>
      <c r="C24" t="s">
        <v>86</v>
      </c>
      <c r="D24" t="s">
        <v>176</v>
      </c>
      <c r="E24">
        <f>IF(WEEKNUM(Combined[[#This Row],[Date]], 1) = 53, 1, WEEKNUM(Combined[[#This Row],[Date]], 2))</f>
        <v>11</v>
      </c>
      <c r="F24" t="str">
        <f t="shared" si="0"/>
        <v>Wednesday</v>
      </c>
      <c r="G24" s="41">
        <v>44265</v>
      </c>
      <c r="H24">
        <v>3</v>
      </c>
      <c r="I24" s="1">
        <v>24</v>
      </c>
      <c r="J24" s="2">
        <v>5.9027777777777783E-2</v>
      </c>
      <c r="K24" s="12">
        <f>Combined[[#This Row],[Time Spent]]*24</f>
        <v>1.4166666666666667</v>
      </c>
      <c r="L24" s="12">
        <f>MROUND(Combined[[#This Row],[Time Spent 2]],0.25)</f>
        <v>1.5</v>
      </c>
      <c r="M24" s="2" t="s">
        <v>91</v>
      </c>
      <c r="N24" t="s">
        <v>80</v>
      </c>
      <c r="O24">
        <f>MATCH(Combined[[#This Row],[Primary Area]],KPIs!$C$4:$C$7,0)</f>
        <v>2</v>
      </c>
      <c r="P24"/>
      <c r="Q24" s="40">
        <v>44270</v>
      </c>
      <c r="R24" s="40">
        <f t="shared" si="1"/>
        <v>44270</v>
      </c>
      <c r="S24" s="4" t="str">
        <f>TEXT(Mileage[[#This Row],[Date]],"dddd")</f>
        <v>Monday</v>
      </c>
      <c r="T24" s="4" t="s">
        <v>230</v>
      </c>
      <c r="U24" s="4">
        <v>29.3</v>
      </c>
      <c r="V24" t="str" cm="1">
        <f t="array" ref="V24">IFERROR(VLOOKUP(MODE(IF(Combined[Date]=Mileage[[#This Row],[Date]],Combined[Area '#])),KPIs!$B$4:$C$7,2,FALSE),VLOOKUP(Mileage[[#This Row],[Date]],Combined[[Date]:[Primary Area]],8,FALSE))</f>
        <v>Brunswick/Bath/Freeport</v>
      </c>
      <c r="W24"/>
      <c r="X24" s="12">
        <v>2.541666666666667</v>
      </c>
      <c r="Y24" s="4">
        <v>62.047105579605585</v>
      </c>
      <c r="Z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" spans="2:26" x14ac:dyDescent="0.35">
      <c r="B25">
        <f t="shared" si="2"/>
        <v>23</v>
      </c>
      <c r="C25" t="s">
        <v>83</v>
      </c>
      <c r="D25" t="s">
        <v>176</v>
      </c>
      <c r="E25">
        <f>IF(WEEKNUM(Combined[[#This Row],[Date]], 1) = 53, 1, WEEKNUM(Combined[[#This Row],[Date]], 2))</f>
        <v>11</v>
      </c>
      <c r="F25" t="str">
        <f t="shared" si="0"/>
        <v>Wednesday</v>
      </c>
      <c r="G25" s="41">
        <v>44265</v>
      </c>
      <c r="H25">
        <v>1</v>
      </c>
      <c r="I25" s="1">
        <v>17.62</v>
      </c>
      <c r="J25" s="2">
        <v>4.027777777777778E-2</v>
      </c>
      <c r="K25" s="12">
        <f>Combined[[#This Row],[Time Spent]]*24</f>
        <v>0.96666666666666679</v>
      </c>
      <c r="L25" s="12">
        <f>MROUND(Combined[[#This Row],[Time Spent 2]],0.25)</f>
        <v>1</v>
      </c>
      <c r="M25" s="2" t="s">
        <v>91</v>
      </c>
      <c r="N25" t="s">
        <v>80</v>
      </c>
      <c r="O25">
        <f>MATCH(Combined[[#This Row],[Primary Area]],KPIs!$C$4:$C$7,0)</f>
        <v>2</v>
      </c>
      <c r="P25"/>
      <c r="Q25" s="40">
        <v>44272</v>
      </c>
      <c r="R25" s="40">
        <f t="shared" si="1"/>
        <v>44272</v>
      </c>
      <c r="S25" s="4" t="str">
        <f>TEXT(Mileage[[#This Row],[Date]],"dddd")</f>
        <v>Wednesday</v>
      </c>
      <c r="T25" s="4" t="s">
        <v>236</v>
      </c>
      <c r="U25" s="4">
        <v>42.3</v>
      </c>
      <c r="V25" t="str" cm="1">
        <f t="array" ref="V25">IFERROR(VLOOKUP(MODE(IF(Combined[Date]=Mileage[[#This Row],[Date]],Combined[Area '#])),KPIs!$B$4:$C$7,2,FALSE),VLOOKUP(Mileage[[#This Row],[Date]],Combined[[Date]:[Primary Area]],8,FALSE))</f>
        <v>Brunswick/Bath/Freeport</v>
      </c>
      <c r="W25"/>
      <c r="X25" s="12">
        <v>2.041666666666667</v>
      </c>
      <c r="Y25" s="4">
        <v>72.388289842873192</v>
      </c>
      <c r="Z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" spans="2:26" x14ac:dyDescent="0.35">
      <c r="B26">
        <f t="shared" si="2"/>
        <v>24</v>
      </c>
      <c r="C26" t="s">
        <v>86</v>
      </c>
      <c r="D26" t="s">
        <v>176</v>
      </c>
      <c r="E26">
        <f>IF(WEEKNUM(Combined[[#This Row],[Date]], 1) = 53, 1, WEEKNUM(Combined[[#This Row],[Date]], 2))</f>
        <v>11</v>
      </c>
      <c r="F26" t="str">
        <f t="shared" si="0"/>
        <v>Friday</v>
      </c>
      <c r="G26" s="41">
        <v>44267</v>
      </c>
      <c r="H26">
        <v>4</v>
      </c>
      <c r="I26" s="1">
        <v>20.25</v>
      </c>
      <c r="J26" s="2">
        <v>7.8472222222222221E-2</v>
      </c>
      <c r="K26" s="12">
        <f>Combined[[#This Row],[Time Spent]]*24</f>
        <v>1.8833333333333333</v>
      </c>
      <c r="L26" s="12">
        <f>MROUND(Combined[[#This Row],[Time Spent 2]],0.25)</f>
        <v>2</v>
      </c>
      <c r="M26" s="2" t="s">
        <v>91</v>
      </c>
      <c r="N26" t="s">
        <v>80</v>
      </c>
      <c r="O26">
        <f>MATCH(Combined[[#This Row],[Primary Area]],KPIs!$C$4:$C$7,0)</f>
        <v>2</v>
      </c>
      <c r="P26"/>
      <c r="Q26" s="40">
        <v>44274</v>
      </c>
      <c r="R26" s="40">
        <f t="shared" si="1"/>
        <v>44274</v>
      </c>
      <c r="S26" s="4" t="str">
        <f>TEXT(Mileage[[#This Row],[Date]],"dddd")</f>
        <v>Friday</v>
      </c>
      <c r="T26" s="4" t="s">
        <v>230</v>
      </c>
      <c r="U26" s="4">
        <v>54.2</v>
      </c>
      <c r="V26" t="str" cm="1">
        <f t="array" ref="V26">IFERROR(VLOOKUP(MODE(IF(Combined[Date]=Mileage[[#This Row],[Date]],Combined[Area '#])),KPIs!$B$4:$C$7,2,FALSE),VLOOKUP(Mileage[[#This Row],[Date]],Combined[[Date]:[Primary Area]],8,FALSE))</f>
        <v>Portland</v>
      </c>
      <c r="W26"/>
      <c r="X26" s="12">
        <v>3.5999999999999996</v>
      </c>
      <c r="Y26" s="4">
        <v>85.784318711591439</v>
      </c>
      <c r="Z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7" spans="2:26" x14ac:dyDescent="0.35">
      <c r="B27">
        <f t="shared" si="2"/>
        <v>25</v>
      </c>
      <c r="C27" t="s">
        <v>83</v>
      </c>
      <c r="D27" t="s">
        <v>176</v>
      </c>
      <c r="E27">
        <f>IF(WEEKNUM(Combined[[#This Row],[Date]], 1) = 53, 1, WEEKNUM(Combined[[#This Row],[Date]], 2))</f>
        <v>11</v>
      </c>
      <c r="F27" t="str">
        <f t="shared" si="0"/>
        <v>Friday</v>
      </c>
      <c r="G27" s="41">
        <v>44267</v>
      </c>
      <c r="H27">
        <v>1</v>
      </c>
      <c r="I27" s="1">
        <v>20.61</v>
      </c>
      <c r="J27" s="2">
        <v>2.1527777777777781E-2</v>
      </c>
      <c r="K27" s="12">
        <f>Combined[[#This Row],[Time Spent]]*24</f>
        <v>0.51666666666666672</v>
      </c>
      <c r="L27" s="12">
        <f>MROUND(Combined[[#This Row],[Time Spent 2]],0.25)</f>
        <v>0.5</v>
      </c>
      <c r="M27" s="2" t="s">
        <v>91</v>
      </c>
      <c r="N27" t="s">
        <v>80</v>
      </c>
      <c r="O27">
        <f>MATCH(Combined[[#This Row],[Primary Area]],KPIs!$C$4:$C$7,0)</f>
        <v>2</v>
      </c>
      <c r="P27"/>
      <c r="Q27" s="40">
        <v>44277</v>
      </c>
      <c r="R27" s="40">
        <f t="shared" si="1"/>
        <v>44277</v>
      </c>
      <c r="S27" s="4" t="str">
        <f>TEXT(Mileage[[#This Row],[Date]],"dddd")</f>
        <v>Monday</v>
      </c>
      <c r="T27" s="4" t="s">
        <v>249</v>
      </c>
      <c r="U27" s="4">
        <v>64.3</v>
      </c>
      <c r="V27" t="str" cm="1">
        <f t="array" ref="V27">IFERROR(VLOOKUP(MODE(IF(Combined[Date]=Mileage[[#This Row],[Date]],Combined[Area '#])),KPIs!$B$4:$C$7,2,FALSE),VLOOKUP(Mileage[[#This Row],[Date]],Combined[[Date]:[Primary Area]],8,FALSE))</f>
        <v>Brunswick/Bath/Freeport</v>
      </c>
      <c r="W27" s="106">
        <v>0.74236111111111114</v>
      </c>
      <c r="X27" s="12">
        <v>2</v>
      </c>
      <c r="Y27" s="4">
        <v>51.705921316337992</v>
      </c>
      <c r="Z2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8" spans="2:26" x14ac:dyDescent="0.35">
      <c r="B28">
        <f t="shared" si="2"/>
        <v>26</v>
      </c>
      <c r="C28" t="s">
        <v>86</v>
      </c>
      <c r="D28" t="s">
        <v>176</v>
      </c>
      <c r="E28">
        <f>IF(WEEKNUM(Combined[[#This Row],[Date]], 1) = 53, 1, WEEKNUM(Combined[[#This Row],[Date]], 2))</f>
        <v>12</v>
      </c>
      <c r="F28" t="str">
        <f t="shared" si="0"/>
        <v>Monday</v>
      </c>
      <c r="G28" s="41">
        <v>44270</v>
      </c>
      <c r="H28">
        <v>5</v>
      </c>
      <c r="I28" s="1">
        <v>61.5</v>
      </c>
      <c r="J28" s="2">
        <v>8.2638888888888887E-2</v>
      </c>
      <c r="K28" s="12">
        <f>Combined[[#This Row],[Time Spent]]*24</f>
        <v>1.9833333333333334</v>
      </c>
      <c r="L28" s="12">
        <f>MROUND(Combined[[#This Row],[Time Spent 2]],0.25)</f>
        <v>2</v>
      </c>
      <c r="M28" s="2" t="s">
        <v>91</v>
      </c>
      <c r="N28" t="s">
        <v>80</v>
      </c>
      <c r="O28">
        <f>MATCH(Combined[[#This Row],[Primary Area]],KPIs!$C$4:$C$7,0)</f>
        <v>2</v>
      </c>
      <c r="P28"/>
      <c r="Q28" s="40">
        <v>44279</v>
      </c>
      <c r="R28" s="40">
        <f t="shared" si="1"/>
        <v>44279</v>
      </c>
      <c r="S28" s="4" t="str">
        <f>TEXT(Mileage[[#This Row],[Date]],"dddd")</f>
        <v>Wednesday</v>
      </c>
      <c r="T28" s="4" t="s">
        <v>236</v>
      </c>
      <c r="U28" s="4">
        <v>53.6</v>
      </c>
      <c r="V28" t="str" cm="1">
        <f t="array" ref="V28">IFERROR(VLOOKUP(MODE(IF(Combined[Date]=Mileage[[#This Row],[Date]],Combined[Area '#])),KPIs!$B$4:$C$7,2,FALSE),VLOOKUP(Mileage[[#This Row],[Date]],Combined[[Date]:[Primary Area]],8,FALSE))</f>
        <v>Brunswick/Bath/Freeport</v>
      </c>
      <c r="W28" s="106">
        <v>0.73055555555555562</v>
      </c>
      <c r="X28" s="12">
        <v>2.5999999999999996</v>
      </c>
      <c r="Y28" s="4">
        <v>62.047105579605585</v>
      </c>
      <c r="Z2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9" spans="2:26" x14ac:dyDescent="0.35">
      <c r="B29">
        <f t="shared" si="2"/>
        <v>27</v>
      </c>
      <c r="C29" t="s">
        <v>83</v>
      </c>
      <c r="D29" t="s">
        <v>176</v>
      </c>
      <c r="E29">
        <f>IF(WEEKNUM(Combined[[#This Row],[Date]], 1) = 53, 1, WEEKNUM(Combined[[#This Row],[Date]], 2))</f>
        <v>12</v>
      </c>
      <c r="F29" t="str">
        <f t="shared" si="0"/>
        <v>Monday</v>
      </c>
      <c r="G29" s="41">
        <v>44270</v>
      </c>
      <c r="H29">
        <v>1</v>
      </c>
      <c r="I29" s="1">
        <v>20.5</v>
      </c>
      <c r="J29" s="2">
        <v>3.6111111111111115E-2</v>
      </c>
      <c r="K29" s="12">
        <f>Combined[[#This Row],[Time Spent]]*24</f>
        <v>0.8666666666666667</v>
      </c>
      <c r="L29" s="12">
        <f>MROUND(Combined[[#This Row],[Time Spent 2]],0.25)</f>
        <v>0.75</v>
      </c>
      <c r="M29" s="2" t="s">
        <v>91</v>
      </c>
      <c r="N29" t="s">
        <v>80</v>
      </c>
      <c r="O29">
        <f>MATCH(Combined[[#This Row],[Primary Area]],KPIs!$C$4:$C$7,0)</f>
        <v>2</v>
      </c>
      <c r="P29"/>
      <c r="Q29" s="40">
        <v>44282</v>
      </c>
      <c r="R29" s="40">
        <f t="shared" si="1"/>
        <v>44282</v>
      </c>
      <c r="S29" s="4" t="str">
        <f>TEXT(Mileage[[#This Row],[Date]],"dddd")</f>
        <v>Saturday</v>
      </c>
      <c r="T29" s="4" t="s">
        <v>236</v>
      </c>
      <c r="U29" s="4">
        <v>38.9</v>
      </c>
      <c r="V29" t="str" cm="1">
        <f t="array" ref="V29">IFERROR(VLOOKUP(MODE(IF(Combined[Date]=Mileage[[#This Row],[Date]],Combined[Area '#])),KPIs!$B$4:$C$7,2,FALSE),VLOOKUP(Mileage[[#This Row],[Date]],Combined[[Date]:[Primary Area]],8,FALSE))</f>
        <v>Brunswick/Bath/Freeport</v>
      </c>
      <c r="W29" s="106">
        <v>0.65555555555555556</v>
      </c>
      <c r="X29" s="12">
        <v>7.8999999999999995</v>
      </c>
      <c r="Y29" s="4">
        <v>175.80013247554916</v>
      </c>
      <c r="Z2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" spans="2:26" x14ac:dyDescent="0.35">
      <c r="B30">
        <f t="shared" si="2"/>
        <v>28</v>
      </c>
      <c r="C30" t="s">
        <v>86</v>
      </c>
      <c r="D30" t="s">
        <v>176</v>
      </c>
      <c r="E30">
        <f>IF(WEEKNUM(Combined[[#This Row],[Date]], 1) = 53, 1, WEEKNUM(Combined[[#This Row],[Date]], 2))</f>
        <v>12</v>
      </c>
      <c r="F30" t="str">
        <f t="shared" si="0"/>
        <v>Wednesday</v>
      </c>
      <c r="G30" s="41">
        <v>44272</v>
      </c>
      <c r="H30">
        <f>1+3+1</f>
        <v>5</v>
      </c>
      <c r="I30" s="1">
        <f>6.12+9+22.5+6</f>
        <v>43.620000000000005</v>
      </c>
      <c r="J30" s="2">
        <v>7.7083333333333337E-2</v>
      </c>
      <c r="K30" s="12">
        <f>Combined[[#This Row],[Time Spent]]*24</f>
        <v>1.85</v>
      </c>
      <c r="L30" s="12">
        <f>MROUND(Combined[[#This Row],[Time Spent 2]],0.25)</f>
        <v>1.75</v>
      </c>
      <c r="M30" s="2" t="s">
        <v>91</v>
      </c>
      <c r="N30" t="s">
        <v>80</v>
      </c>
      <c r="O30">
        <f>MATCH(Combined[[#This Row],[Primary Area]],KPIs!$C$4:$C$7,0)</f>
        <v>2</v>
      </c>
      <c r="P30"/>
      <c r="Q30" s="40">
        <v>44289</v>
      </c>
      <c r="R30" s="40">
        <f t="shared" si="1"/>
        <v>44289</v>
      </c>
      <c r="S30" s="4" t="str">
        <f>TEXT(Mileage[[#This Row],[Date]],"dddd")</f>
        <v>Saturday</v>
      </c>
      <c r="T30" s="4" t="s">
        <v>230</v>
      </c>
      <c r="U30" s="4">
        <v>56.4</v>
      </c>
      <c r="V30" t="str" cm="1">
        <f t="array" ref="V30">IFERROR(VLOOKUP(MODE(IF(Combined[Date]=Mileage[[#This Row],[Date]],Combined[Area '#])),KPIs!$B$4:$C$7,2,FALSE),VLOOKUP(Mileage[[#This Row],[Date]],Combined[[Date]:[Primary Area]],8,FALSE))</f>
        <v>Brunswick/Bath/Freeport</v>
      </c>
      <c r="W30" s="106">
        <v>0.54791666666666672</v>
      </c>
      <c r="X30" s="12">
        <v>1.2</v>
      </c>
      <c r="Y30" s="4">
        <v>31.023552789802793</v>
      </c>
      <c r="Z3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" spans="2:26" x14ac:dyDescent="0.35">
      <c r="B31">
        <f t="shared" si="2"/>
        <v>29</v>
      </c>
      <c r="C31" t="s">
        <v>83</v>
      </c>
      <c r="D31" t="s">
        <v>176</v>
      </c>
      <c r="E31">
        <f>IF(WEEKNUM(Combined[[#This Row],[Date]], 1) = 53, 1, WEEKNUM(Combined[[#This Row],[Date]], 2))</f>
        <v>12</v>
      </c>
      <c r="F31" t="str">
        <f t="shared" si="0"/>
        <v>Wednesday</v>
      </c>
      <c r="G31" s="41">
        <v>44272</v>
      </c>
      <c r="H31">
        <v>2</v>
      </c>
      <c r="I31" s="1">
        <v>40.17</v>
      </c>
      <c r="J31" s="2">
        <v>6.1111111111111116E-2</v>
      </c>
      <c r="K31" s="12">
        <f>Combined[[#This Row],[Time Spent]]*24</f>
        <v>1.4666666666666668</v>
      </c>
      <c r="L31" s="12">
        <f>MROUND(Combined[[#This Row],[Time Spent 2]],0.25)</f>
        <v>1.5</v>
      </c>
      <c r="M31" s="2" t="s">
        <v>91</v>
      </c>
      <c r="N31" t="s">
        <v>80</v>
      </c>
      <c r="O31">
        <f>MATCH(Combined[[#This Row],[Primary Area]],KPIs!$C$4:$C$7,0)</f>
        <v>2</v>
      </c>
      <c r="P31"/>
      <c r="Q31" s="40">
        <v>44302</v>
      </c>
      <c r="R31" s="40">
        <f t="shared" si="1"/>
        <v>44302</v>
      </c>
      <c r="S31" s="4" t="str">
        <f>TEXT(Mileage[[#This Row],[Date]],"dddd")</f>
        <v>Friday</v>
      </c>
      <c r="T31" s="4" t="s">
        <v>235</v>
      </c>
      <c r="U31" s="4">
        <v>40.799999999999997</v>
      </c>
      <c r="V31" t="str" cm="1">
        <f t="array" ref="V31">IFERROR(VLOOKUP(MODE(IF(Combined[Date]=Mileage[[#This Row],[Date]],Combined[Area '#])),KPIs!$B$4:$C$7,2,FALSE),VLOOKUP(Mileage[[#This Row],[Date]],Combined[[Date]:[Primary Area]],8,FALSE))</f>
        <v>Portland</v>
      </c>
      <c r="W31" s="106">
        <v>0.73611111111111116</v>
      </c>
      <c r="X31" s="12">
        <v>7.13</v>
      </c>
      <c r="Y31" s="4">
        <v>188</v>
      </c>
      <c r="Z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" spans="2:26" x14ac:dyDescent="0.35">
      <c r="B32">
        <f t="shared" si="2"/>
        <v>30</v>
      </c>
      <c r="C32" t="s">
        <v>83</v>
      </c>
      <c r="D32" t="s">
        <v>176</v>
      </c>
      <c r="E32">
        <f>IF(WEEKNUM(Combined[[#This Row],[Date]], 1) = 53, 1, WEEKNUM(Combined[[#This Row],[Date]], 2))</f>
        <v>12</v>
      </c>
      <c r="F32" t="str">
        <f t="shared" si="0"/>
        <v>Friday</v>
      </c>
      <c r="G32" s="41">
        <v>44274</v>
      </c>
      <c r="H32">
        <v>6</v>
      </c>
      <c r="I32" s="1">
        <v>122.86</v>
      </c>
      <c r="J32" s="2">
        <v>0.15</v>
      </c>
      <c r="K32" s="12">
        <f>Combined[[#This Row],[Time Spent]]*24</f>
        <v>3.5999999999999996</v>
      </c>
      <c r="L32" s="12">
        <f>MROUND(Combined[[#This Row],[Time Spent 2]],0.25)</f>
        <v>3.5</v>
      </c>
      <c r="M32" s="2" t="s">
        <v>91</v>
      </c>
      <c r="N32" t="s">
        <v>85</v>
      </c>
      <c r="O32">
        <f>MATCH(Combined[[#This Row],[Primary Area]],KPIs!$C$4:$C$7,0)</f>
        <v>4</v>
      </c>
      <c r="P32"/>
      <c r="Q32" s="40">
        <v>44303</v>
      </c>
      <c r="R32" s="40">
        <f t="shared" si="1"/>
        <v>44303</v>
      </c>
      <c r="S32" s="4" t="str">
        <f>TEXT(Mileage[[#This Row],[Date]],"dddd")</f>
        <v>Saturday</v>
      </c>
      <c r="T32" s="4" t="s">
        <v>249</v>
      </c>
      <c r="U32" s="4">
        <v>50.9</v>
      </c>
      <c r="V32" t="str" cm="1">
        <f t="array" ref="V32">IFERROR(VLOOKUP(MODE(IF(Combined[Date]=Mileage[[#This Row],[Date]],Combined[Area '#])),KPIs!$B$4:$C$7,2,FALSE),VLOOKUP(Mileage[[#This Row],[Date]],Combined[[Date]:[Primary Area]],8,FALSE))</f>
        <v>Brunswick/Bath/Freeport</v>
      </c>
      <c r="W32" s="106">
        <v>0.75694444444444442</v>
      </c>
      <c r="X32" s="12">
        <v>2.67</v>
      </c>
      <c r="Y32" s="4">
        <v>73</v>
      </c>
      <c r="Z3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" spans="2:26" x14ac:dyDescent="0.35">
      <c r="B33">
        <f t="shared" si="2"/>
        <v>31</v>
      </c>
      <c r="C33" t="s">
        <v>83</v>
      </c>
      <c r="D33" t="s">
        <v>176</v>
      </c>
      <c r="E33">
        <f>IF(WEEKNUM(Combined[[#This Row],[Date]], 1) = 53, 1, WEEKNUM(Combined[[#This Row],[Date]], 2))</f>
        <v>13</v>
      </c>
      <c r="F33" t="str">
        <f t="shared" si="0"/>
        <v>Monday</v>
      </c>
      <c r="G33" s="41">
        <v>44277</v>
      </c>
      <c r="H33">
        <v>2</v>
      </c>
      <c r="I33" s="1">
        <v>35.35</v>
      </c>
      <c r="J33" s="2">
        <v>3.4722222222222224E-2</v>
      </c>
      <c r="K33" s="12">
        <f>Combined[[#This Row],[Time Spent]]*24</f>
        <v>0.83333333333333337</v>
      </c>
      <c r="L33" s="12">
        <f>MROUND(Combined[[#This Row],[Time Spent 2]],0.25)</f>
        <v>0.75</v>
      </c>
      <c r="M33" s="2" t="s">
        <v>91</v>
      </c>
      <c r="N33" t="s">
        <v>80</v>
      </c>
      <c r="O33">
        <f>MATCH(Combined[[#This Row],[Primary Area]],KPIs!$C$4:$C$7,0)</f>
        <v>2</v>
      </c>
      <c r="P33"/>
      <c r="Q33" s="40">
        <v>44304</v>
      </c>
      <c r="R33" s="40">
        <f t="shared" si="1"/>
        <v>44304</v>
      </c>
      <c r="S33" s="4" t="str">
        <f>TEXT(Mileage[[#This Row],[Date]],"dddd")</f>
        <v>Sunday</v>
      </c>
      <c r="T33" s="4" t="s">
        <v>236</v>
      </c>
      <c r="U33" s="4">
        <v>61.9</v>
      </c>
      <c r="V33" t="str" cm="1">
        <f t="array" ref="V33">IFERROR(VLOOKUP(MODE(IF(Combined[Date]=Mileage[[#This Row],[Date]],Combined[Area '#])),KPIs!$B$4:$C$7,2,FALSE),VLOOKUP(Mileage[[#This Row],[Date]],Combined[[Date]:[Primary Area]],8,FALSE))</f>
        <v>Portland</v>
      </c>
      <c r="W33" s="106">
        <v>0.4513888888888889</v>
      </c>
      <c r="X33" s="12">
        <v>1.88</v>
      </c>
      <c r="Y33" s="4">
        <v>19</v>
      </c>
      <c r="Z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" spans="2:26" x14ac:dyDescent="0.35">
      <c r="B34">
        <f t="shared" si="2"/>
        <v>32</v>
      </c>
      <c r="C34" t="s">
        <v>86</v>
      </c>
      <c r="D34" t="s">
        <v>176</v>
      </c>
      <c r="E34">
        <f>IF(WEEKNUM(Combined[[#This Row],[Date]], 1) = 53, 1, WEEKNUM(Combined[[#This Row],[Date]], 2))</f>
        <v>13</v>
      </c>
      <c r="F34" t="str">
        <f t="shared" si="0"/>
        <v>Monday</v>
      </c>
      <c r="G34" s="41">
        <v>44277</v>
      </c>
      <c r="H34">
        <v>3</v>
      </c>
      <c r="I34" s="1">
        <v>32.5</v>
      </c>
      <c r="J34" s="2">
        <v>6.1805555555555558E-2</v>
      </c>
      <c r="K34" s="12">
        <f>Combined[[#This Row],[Time Spent]]*24</f>
        <v>1.4833333333333334</v>
      </c>
      <c r="L34" s="12">
        <f>MROUND(Combined[[#This Row],[Time Spent 2]],0.25)</f>
        <v>1.5</v>
      </c>
      <c r="M34" s="2" t="s">
        <v>91</v>
      </c>
      <c r="N34" t="s">
        <v>80</v>
      </c>
      <c r="O34">
        <f>MATCH(Combined[[#This Row],[Primary Area]],KPIs!$C$4:$C$7,0)</f>
        <v>2</v>
      </c>
      <c r="P34"/>
      <c r="Q34" s="40">
        <v>44311</v>
      </c>
      <c r="R34" s="40">
        <f t="shared" si="1"/>
        <v>44311</v>
      </c>
      <c r="S34" s="4" t="str">
        <f>TEXT(Mileage[[#This Row],[Date]],"dddd")</f>
        <v>Sunday</v>
      </c>
      <c r="T34" s="4" t="s">
        <v>236</v>
      </c>
      <c r="U34" s="4">
        <v>44.4</v>
      </c>
      <c r="V34" t="str" cm="1">
        <f t="array" ref="V34">IFERROR(VLOOKUP(MODE(IF(Combined[Date]=Mileage[[#This Row],[Date]],Combined[Area '#])),KPIs!$B$4:$C$7,2,FALSE),VLOOKUP(Mileage[[#This Row],[Date]],Combined[[Date]:[Primary Area]],8,FALSE))</f>
        <v>Brunswick/Bath/Freeport</v>
      </c>
      <c r="W34" s="106">
        <v>0.53055555555555556</v>
      </c>
      <c r="X34" s="12">
        <v>1.9</v>
      </c>
      <c r="Y34" s="4">
        <v>51.705921316337992</v>
      </c>
      <c r="Z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5" spans="2:26" x14ac:dyDescent="0.35">
      <c r="B35">
        <f t="shared" si="2"/>
        <v>33</v>
      </c>
      <c r="C35" t="s">
        <v>83</v>
      </c>
      <c r="D35" t="s">
        <v>176</v>
      </c>
      <c r="E35">
        <f>IF(WEEKNUM(Combined[[#This Row],[Date]], 1) = 53, 1, WEEKNUM(Combined[[#This Row],[Date]], 2))</f>
        <v>13</v>
      </c>
      <c r="F35" t="str">
        <f t="shared" ref="F35:F65" si="3">TEXT(WEEKDAY(G35,1),"DDDD")</f>
        <v>Wednesday</v>
      </c>
      <c r="G35" s="41">
        <v>44279</v>
      </c>
      <c r="H35">
        <v>2</v>
      </c>
      <c r="I35" s="1">
        <v>50.59</v>
      </c>
      <c r="J35" s="2">
        <v>6.8749999999999992E-2</v>
      </c>
      <c r="K35" s="12">
        <f>Combined[[#This Row],[Time Spent]]*24</f>
        <v>1.65</v>
      </c>
      <c r="L35" s="12">
        <f>MROUND(Combined[[#This Row],[Time Spent 2]],0.25)</f>
        <v>1.75</v>
      </c>
      <c r="M35" s="2" t="s">
        <v>91</v>
      </c>
      <c r="N35" t="s">
        <v>80</v>
      </c>
      <c r="O35">
        <f>MATCH(Combined[[#This Row],[Primary Area]],KPIs!$C$4:$C$7,0)</f>
        <v>2</v>
      </c>
      <c r="P35"/>
      <c r="Q35" s="40">
        <v>44318</v>
      </c>
      <c r="R35" s="40">
        <f t="shared" si="1"/>
        <v>44318</v>
      </c>
      <c r="S35" s="4" t="str">
        <f>TEXT(Mileage[[#This Row],[Date]],"dddd")</f>
        <v>Sunday</v>
      </c>
      <c r="T35" s="4" t="s">
        <v>249</v>
      </c>
      <c r="U35" s="4">
        <v>56.8</v>
      </c>
      <c r="V35" t="str" cm="1">
        <f t="array" ref="V35">IFERROR(VLOOKUP(MODE(IF(Combined[Date]=Mileage[[#This Row],[Date]],Combined[Area '#])),KPIs!$B$4:$C$7,2,FALSE),VLOOKUP(Mileage[[#This Row],[Date]],Combined[[Date]:[Primary Area]],8,FALSE))</f>
        <v>Brunswick/Bath/Freeport</v>
      </c>
      <c r="W35" s="106">
        <v>0.66180555555555554</v>
      </c>
      <c r="X35" s="12">
        <v>3.4999999999999996</v>
      </c>
      <c r="Y35" s="4">
        <v>62.047105579605585</v>
      </c>
      <c r="Z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" spans="2:26" x14ac:dyDescent="0.35">
      <c r="B36">
        <f t="shared" si="2"/>
        <v>34</v>
      </c>
      <c r="C36" t="s">
        <v>86</v>
      </c>
      <c r="D36" t="s">
        <v>176</v>
      </c>
      <c r="E36">
        <f>IF(WEEKNUM(Combined[[#This Row],[Date]], 1) = 53, 1, WEEKNUM(Combined[[#This Row],[Date]], 2))</f>
        <v>13</v>
      </c>
      <c r="F36" t="str">
        <f t="shared" si="3"/>
        <v>Wednesday</v>
      </c>
      <c r="G36" s="41">
        <v>44279</v>
      </c>
      <c r="H36">
        <v>4</v>
      </c>
      <c r="I36" s="1">
        <v>40</v>
      </c>
      <c r="J36" s="2">
        <v>6.7361111111111108E-2</v>
      </c>
      <c r="K36" s="12">
        <f>Combined[[#This Row],[Time Spent]]*24</f>
        <v>1.6166666666666667</v>
      </c>
      <c r="L36" s="12">
        <f>MROUND(Combined[[#This Row],[Time Spent 2]],0.25)</f>
        <v>1.5</v>
      </c>
      <c r="M36" s="2" t="s">
        <v>91</v>
      </c>
      <c r="N36" t="s">
        <v>80</v>
      </c>
      <c r="O36">
        <f>MATCH(Combined[[#This Row],[Primary Area]],KPIs!$C$4:$C$7,0)</f>
        <v>2</v>
      </c>
      <c r="P36"/>
      <c r="Q36" s="40">
        <v>44319</v>
      </c>
      <c r="R36" s="40">
        <f t="shared" si="1"/>
        <v>44319</v>
      </c>
      <c r="S36" s="4" t="str">
        <f>TEXT(Mileage[[#This Row],[Date]],"dddd")</f>
        <v>Monday</v>
      </c>
      <c r="T36" s="4" t="s">
        <v>231</v>
      </c>
      <c r="U36" s="4">
        <v>61.1</v>
      </c>
      <c r="V36" t="str" cm="1">
        <f t="array" ref="V36">IFERROR(VLOOKUP(MODE(IF(Combined[Date]=Mileage[[#This Row],[Date]],Combined[Area '#])),KPIs!$B$4:$C$7,2,FALSE),VLOOKUP(Mileage[[#This Row],[Date]],Combined[[Date]:[Primary Area]],8,FALSE))</f>
        <v>Brunswick/Bath/Freeport</v>
      </c>
      <c r="W36" s="106">
        <v>0.74097222222222225</v>
      </c>
      <c r="X36" s="12">
        <v>3.1</v>
      </c>
      <c r="Y36" s="4">
        <v>72.388289842873192</v>
      </c>
      <c r="Z3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" spans="2:26" x14ac:dyDescent="0.35">
      <c r="B37">
        <f t="shared" si="2"/>
        <v>35</v>
      </c>
      <c r="C37" t="s">
        <v>83</v>
      </c>
      <c r="D37" t="s">
        <v>176</v>
      </c>
      <c r="E37">
        <f>IF(WEEKNUM(Combined[[#This Row],[Date]], 1) = 53, 1, WEEKNUM(Combined[[#This Row],[Date]], 2))</f>
        <v>13</v>
      </c>
      <c r="F37" t="str">
        <f t="shared" si="3"/>
        <v>Saturday</v>
      </c>
      <c r="G37" s="41">
        <v>44282</v>
      </c>
      <c r="H37">
        <v>8</v>
      </c>
      <c r="I37" s="1">
        <v>157.85</v>
      </c>
      <c r="J37" s="2">
        <v>0.25</v>
      </c>
      <c r="K37" s="12">
        <f>Combined[[#This Row],[Time Spent]]*24</f>
        <v>6</v>
      </c>
      <c r="L37" s="12">
        <f>MROUND(Combined[[#This Row],[Time Spent 2]],0.25)</f>
        <v>6</v>
      </c>
      <c r="M37" s="2" t="s">
        <v>91</v>
      </c>
      <c r="N37" t="s">
        <v>80</v>
      </c>
      <c r="O37">
        <f>MATCH(Combined[[#This Row],[Primary Area]],KPIs!$C$4:$C$7,0)</f>
        <v>2</v>
      </c>
      <c r="P37"/>
      <c r="Q37" s="40">
        <v>44320</v>
      </c>
      <c r="R37" s="40">
        <f t="shared" si="1"/>
        <v>44320</v>
      </c>
      <c r="S37" s="4" t="str">
        <f>TEXT(Mileage[[#This Row],[Date]],"dddd")</f>
        <v>Tuesday</v>
      </c>
      <c r="T37" s="4" t="s">
        <v>236</v>
      </c>
      <c r="U37" s="4">
        <v>50</v>
      </c>
      <c r="V37" t="str" cm="1">
        <f t="array" ref="V37">IFERROR(VLOOKUP(MODE(IF(Combined[Date]=Mileage[[#This Row],[Date]],Combined[Area '#])),KPIs!$B$4:$C$7,2,FALSE),VLOOKUP(Mileage[[#This Row],[Date]],Combined[[Date]:[Primary Area]],8,FALSE))</f>
        <v>Brunswick/Bath/Freeport</v>
      </c>
      <c r="W37" s="106">
        <v>0.81388888888888899</v>
      </c>
      <c r="X37" s="12">
        <v>1.4000000000000001</v>
      </c>
      <c r="Y37" s="4">
        <v>31.023552789802793</v>
      </c>
      <c r="Z3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" spans="2:26" x14ac:dyDescent="0.35">
      <c r="B38">
        <f t="shared" si="2"/>
        <v>36</v>
      </c>
      <c r="C38" t="s">
        <v>86</v>
      </c>
      <c r="D38" t="s">
        <v>176</v>
      </c>
      <c r="E38">
        <f>IF(WEEKNUM(Combined[[#This Row],[Date]], 1) = 53, 1, WEEKNUM(Combined[[#This Row],[Date]], 2))</f>
        <v>13</v>
      </c>
      <c r="F38" t="str">
        <f t="shared" si="3"/>
        <v>Saturday</v>
      </c>
      <c r="G38" s="41">
        <v>44282</v>
      </c>
      <c r="H38">
        <f>5+3+1</f>
        <v>9</v>
      </c>
      <c r="I38" s="1">
        <f>44.7+32.75+12.25+9.5</f>
        <v>99.2</v>
      </c>
      <c r="J38" s="2">
        <v>0.17986111111111111</v>
      </c>
      <c r="K38" s="12">
        <f>Combined[[#This Row],[Time Spent]]*24</f>
        <v>4.3166666666666664</v>
      </c>
      <c r="L38" s="12">
        <f>MROUND(Combined[[#This Row],[Time Spent 2]],0.25)</f>
        <v>4.25</v>
      </c>
      <c r="M38" s="2" t="s">
        <v>91</v>
      </c>
      <c r="N38" t="s">
        <v>80</v>
      </c>
      <c r="O38">
        <f>MATCH(Combined[[#This Row],[Primary Area]],KPIs!$C$4:$C$7,0)</f>
        <v>2</v>
      </c>
      <c r="P38"/>
      <c r="Q38" s="40">
        <v>44321</v>
      </c>
      <c r="R38" s="40">
        <f t="shared" si="1"/>
        <v>44321</v>
      </c>
      <c r="S38" s="4" t="str">
        <f>TEXT(Mileage[[#This Row],[Date]],"dddd")</f>
        <v>Wednesday</v>
      </c>
      <c r="T38" s="4" t="s">
        <v>236</v>
      </c>
      <c r="U38" s="4">
        <v>58.7</v>
      </c>
      <c r="V38" t="str" cm="1">
        <f t="array" ref="V38">IFERROR(VLOOKUP(MODE(IF(Combined[Date]=Mileage[[#This Row],[Date]],Combined[Area '#])),KPIs!$B$4:$C$7,2,FALSE),VLOOKUP(Mileage[[#This Row],[Date]],Combined[[Date]:[Primary Area]],8,FALSE))</f>
        <v>Brunswick/Bath/Freeport</v>
      </c>
      <c r="W38" s="106">
        <v>0.73402777777777783</v>
      </c>
      <c r="X38" s="12">
        <v>2.8</v>
      </c>
      <c r="Y38" s="4">
        <v>72.388289842873192</v>
      </c>
      <c r="Z3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9" spans="2:26" x14ac:dyDescent="0.35">
      <c r="B39">
        <f t="shared" si="2"/>
        <v>37</v>
      </c>
      <c r="C39" t="s">
        <v>83</v>
      </c>
      <c r="D39" t="s">
        <v>176</v>
      </c>
      <c r="E39">
        <f>IF(WEEKNUM(Combined[[#This Row],[Date]], 1) = 53, 1, WEEKNUM(Combined[[#This Row],[Date]], 2))</f>
        <v>14</v>
      </c>
      <c r="F39" t="str">
        <f t="shared" si="3"/>
        <v>Saturday</v>
      </c>
      <c r="G39" s="41">
        <v>44289</v>
      </c>
      <c r="H39">
        <v>1</v>
      </c>
      <c r="I39" s="1">
        <v>17.739999999999998</v>
      </c>
      <c r="J39" s="2">
        <v>3.5416666666666666E-2</v>
      </c>
      <c r="K39" s="12">
        <f>Combined[[#This Row],[Time Spent]]*24</f>
        <v>0.85</v>
      </c>
      <c r="L39" s="12">
        <f>MROUND(Combined[[#This Row],[Time Spent 2]],0.25)</f>
        <v>0.75</v>
      </c>
      <c r="M39" s="2" t="s">
        <v>90</v>
      </c>
      <c r="N39" t="s">
        <v>80</v>
      </c>
      <c r="O39">
        <f>MATCH(Combined[[#This Row],[Primary Area]],KPIs!$C$4:$C$7,0)</f>
        <v>2</v>
      </c>
      <c r="P39"/>
      <c r="Q39" s="40">
        <v>44322</v>
      </c>
      <c r="R39" s="40">
        <f t="shared" si="1"/>
        <v>44322</v>
      </c>
      <c r="S39" s="4" t="str">
        <f>TEXT(Mileage[[#This Row],[Date]],"dddd")</f>
        <v>Thursday</v>
      </c>
      <c r="T39" s="4" t="s">
        <v>230</v>
      </c>
      <c r="U39" s="4">
        <v>59.6</v>
      </c>
      <c r="V39" t="str" cm="1">
        <f t="array" ref="V39">IFERROR(VLOOKUP(MODE(IF(Combined[Date]=Mileage[[#This Row],[Date]],Combined[Area '#])),KPIs!$B$4:$C$7,2,FALSE),VLOOKUP(Mileage[[#This Row],[Date]],Combined[[Date]:[Primary Area]],8,FALSE))</f>
        <v>Portland</v>
      </c>
      <c r="W39" s="106">
        <v>0.77986111111111101</v>
      </c>
      <c r="X39" s="12">
        <v>3.9000000000000004</v>
      </c>
      <c r="Y39" s="4">
        <v>85.784318711591439</v>
      </c>
      <c r="Z3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" spans="2:26" x14ac:dyDescent="0.35">
      <c r="B40">
        <f t="shared" si="2"/>
        <v>38</v>
      </c>
      <c r="C40" t="s">
        <v>86</v>
      </c>
      <c r="D40" t="s">
        <v>176</v>
      </c>
      <c r="E40">
        <f>IF(WEEKNUM(Combined[[#This Row],[Date]], 1) = 53, 1, WEEKNUM(Combined[[#This Row],[Date]], 2))</f>
        <v>14</v>
      </c>
      <c r="F40" t="str">
        <f t="shared" si="3"/>
        <v>Saturday</v>
      </c>
      <c r="G40" s="41">
        <v>44289</v>
      </c>
      <c r="H40">
        <v>2</v>
      </c>
      <c r="I40" s="1">
        <v>18</v>
      </c>
      <c r="J40" s="2">
        <v>3.125E-2</v>
      </c>
      <c r="K40" s="12">
        <f>Combined[[#This Row],[Time Spent]]*24</f>
        <v>0.75</v>
      </c>
      <c r="L40" s="12">
        <f>MROUND(Combined[[#This Row],[Time Spent 2]],0.25)</f>
        <v>0.75</v>
      </c>
      <c r="M40" s="2" t="s">
        <v>90</v>
      </c>
      <c r="N40" t="s">
        <v>80</v>
      </c>
      <c r="O40">
        <f>MATCH(Combined[[#This Row],[Primary Area]],KPIs!$C$4:$C$7,0)</f>
        <v>2</v>
      </c>
      <c r="P40"/>
      <c r="Q40" s="40">
        <v>44323</v>
      </c>
      <c r="R40" s="40">
        <f t="shared" si="1"/>
        <v>44323</v>
      </c>
      <c r="S40" s="4" t="str">
        <f>TEXT(Mileage[[#This Row],[Date]],"dddd")</f>
        <v>Friday</v>
      </c>
      <c r="T40" s="4" t="s">
        <v>249</v>
      </c>
      <c r="U40" s="4">
        <v>53.8</v>
      </c>
      <c r="V40" t="str" cm="1">
        <f t="array" ref="V40">IFERROR(VLOOKUP(MODE(IF(Combined[Date]=Mileage[[#This Row],[Date]],Combined[Area '#])),KPIs!$B$4:$C$7,2,FALSE),VLOOKUP(Mileage[[#This Row],[Date]],Combined[[Date]:[Primary Area]],8,FALSE))</f>
        <v>Portland</v>
      </c>
      <c r="W40" s="106">
        <v>0.72013888888888899</v>
      </c>
      <c r="X40" s="12">
        <v>5.7</v>
      </c>
      <c r="Y40" s="4">
        <v>157.27125097125096</v>
      </c>
      <c r="Z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1" spans="2:26" x14ac:dyDescent="0.35">
      <c r="B41">
        <f t="shared" si="2"/>
        <v>39</v>
      </c>
      <c r="C41" t="s">
        <v>86</v>
      </c>
      <c r="D41" t="s">
        <v>176</v>
      </c>
      <c r="E41">
        <f>IF(WEEKNUM(Combined[[#This Row],[Date]], 1) = 53, 1, WEEKNUM(Combined[[#This Row],[Date]], 2))</f>
        <v>16</v>
      </c>
      <c r="F41" t="str">
        <f t="shared" si="3"/>
        <v>Friday</v>
      </c>
      <c r="G41" s="41">
        <v>44302</v>
      </c>
      <c r="H41">
        <v>8</v>
      </c>
      <c r="I41" s="1">
        <v>81</v>
      </c>
      <c r="J41" s="2">
        <v>0.23055555555555554</v>
      </c>
      <c r="K41" s="12">
        <f>Combined[[#This Row],[Time Spent]]*24</f>
        <v>5.5333333333333332</v>
      </c>
      <c r="L41" s="12">
        <f>MROUND(Combined[[#This Row],[Time Spent 2]],0.25)</f>
        <v>5.5</v>
      </c>
      <c r="M41" s="2" t="s">
        <v>91</v>
      </c>
      <c r="N41" t="s">
        <v>85</v>
      </c>
      <c r="O41">
        <f>MATCH(Combined[[#This Row],[Primary Area]],KPIs!$C$4:$C$7,0)</f>
        <v>4</v>
      </c>
      <c r="P41"/>
      <c r="Q41" s="40">
        <v>44328</v>
      </c>
      <c r="R41" s="40">
        <f t="shared" si="1"/>
        <v>44328</v>
      </c>
      <c r="S41" s="4" t="str">
        <f>TEXT(Mileage[[#This Row],[Date]],"dddd")</f>
        <v>Wednesday</v>
      </c>
      <c r="T41" s="4" t="s">
        <v>249</v>
      </c>
      <c r="U41" s="4">
        <v>67</v>
      </c>
      <c r="V41" t="str" cm="1">
        <f t="array" ref="V41">IFERROR(VLOOKUP(MODE(IF(Combined[Date]=Mileage[[#This Row],[Date]],Combined[Area '#])),KPIs!$B$4:$C$7,2,FALSE),VLOOKUP(Mileage[[#This Row],[Date]],Combined[[Date]:[Primary Area]],8,FALSE))</f>
        <v>Brunswick/Bath/Freeport</v>
      </c>
      <c r="W41" s="106">
        <v>0.70486111111111116</v>
      </c>
      <c r="X41" s="12">
        <v>4.3000000000000007</v>
      </c>
      <c r="Y41" s="4">
        <v>113.75302689594358</v>
      </c>
      <c r="Z4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2" spans="2:26" x14ac:dyDescent="0.35">
      <c r="B42">
        <f t="shared" si="2"/>
        <v>40</v>
      </c>
      <c r="C42" t="s">
        <v>83</v>
      </c>
      <c r="D42" t="s">
        <v>176</v>
      </c>
      <c r="E42">
        <f>IF(WEEKNUM(Combined[[#This Row],[Date]], 1) = 53, 1, WEEKNUM(Combined[[#This Row],[Date]], 2))</f>
        <v>16</v>
      </c>
      <c r="F42" t="str">
        <f t="shared" si="3"/>
        <v>Friday</v>
      </c>
      <c r="G42" s="41">
        <v>44302</v>
      </c>
      <c r="H42">
        <v>4</v>
      </c>
      <c r="I42" s="1">
        <v>58.62</v>
      </c>
      <c r="J42" s="2">
        <v>0.17986111111111111</v>
      </c>
      <c r="K42" s="12">
        <f>Combined[[#This Row],[Time Spent]]*24</f>
        <v>4.3166666666666664</v>
      </c>
      <c r="L42" s="12">
        <f>MROUND(Combined[[#This Row],[Time Spent 2]],0.25)</f>
        <v>4.25</v>
      </c>
      <c r="M42" s="2" t="s">
        <v>91</v>
      </c>
      <c r="N42" t="s">
        <v>85</v>
      </c>
      <c r="O42">
        <f>MATCH(Combined[[#This Row],[Primary Area]],KPIs!$C$4:$C$7,0)</f>
        <v>4</v>
      </c>
      <c r="P42"/>
      <c r="Q42" s="40">
        <v>44330</v>
      </c>
      <c r="R42" s="40">
        <f t="shared" si="1"/>
        <v>44330</v>
      </c>
      <c r="S42" s="4" t="str">
        <f>TEXT(Mileage[[#This Row],[Date]],"dddd")</f>
        <v>Friday</v>
      </c>
      <c r="T42" s="4" t="s">
        <v>236</v>
      </c>
      <c r="U42" s="4">
        <v>73.8</v>
      </c>
      <c r="V42" t="str" cm="1">
        <f t="array" ref="V42">IFERROR(VLOOKUP(MODE(IF(Combined[Date]=Mileage[[#This Row],[Date]],Combined[Area '#])),KPIs!$B$4:$C$7,2,FALSE),VLOOKUP(Mileage[[#This Row],[Date]],Combined[[Date]:[Primary Area]],8,FALSE))</f>
        <v>Portland</v>
      </c>
      <c r="W42" s="106">
        <v>0.75138888888888899</v>
      </c>
      <c r="X42" s="12">
        <v>1.9</v>
      </c>
      <c r="Y42" s="4">
        <v>57.189545807727626</v>
      </c>
      <c r="Z4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3" spans="2:26" x14ac:dyDescent="0.35">
      <c r="B43">
        <f t="shared" si="2"/>
        <v>41</v>
      </c>
      <c r="C43" t="s">
        <v>86</v>
      </c>
      <c r="D43" t="s">
        <v>176</v>
      </c>
      <c r="E43">
        <f>IF(WEEKNUM(Combined[[#This Row],[Date]], 1) = 53, 1, WEEKNUM(Combined[[#This Row],[Date]], 2))</f>
        <v>16</v>
      </c>
      <c r="F43" t="str">
        <f t="shared" si="3"/>
        <v>Saturday</v>
      </c>
      <c r="G43" s="41">
        <v>44303</v>
      </c>
      <c r="H43">
        <v>3</v>
      </c>
      <c r="I43" s="1">
        <v>24</v>
      </c>
      <c r="J43" s="2">
        <v>8.3333333333333329E-2</v>
      </c>
      <c r="K43" s="12">
        <f>Combined[[#This Row],[Time Spent]]*24</f>
        <v>2</v>
      </c>
      <c r="L43" s="12">
        <f>MROUND(Combined[[#This Row],[Time Spent 2]],0.25)</f>
        <v>2</v>
      </c>
      <c r="M43" s="2" t="s">
        <v>91</v>
      </c>
      <c r="N43" t="s">
        <v>80</v>
      </c>
      <c r="O43">
        <f>MATCH(Combined[[#This Row],[Primary Area]],KPIs!$C$4:$C$7,0)</f>
        <v>2</v>
      </c>
      <c r="P43"/>
      <c r="Q43" s="40">
        <v>44333</v>
      </c>
      <c r="R43" s="40">
        <f t="shared" si="1"/>
        <v>44333</v>
      </c>
      <c r="S43" s="4" t="str">
        <f>TEXT(Mileage[[#This Row],[Date]],"dddd")</f>
        <v>Monday</v>
      </c>
      <c r="T43" s="4" t="s">
        <v>249</v>
      </c>
      <c r="U43" s="4">
        <v>77.400000000000006</v>
      </c>
      <c r="V43" t="str" cm="1">
        <f t="array" ref="V43">IFERROR(VLOOKUP(MODE(IF(Combined[Date]=Mileage[[#This Row],[Date]],Combined[Area '#])),KPIs!$B$4:$C$7,2,FALSE),VLOOKUP(Mileage[[#This Row],[Date]],Combined[[Date]:[Primary Area]],8,FALSE))</f>
        <v>Brunswick/Bath/Freeport</v>
      </c>
      <c r="W43" s="106">
        <v>0.73472222222222217</v>
      </c>
      <c r="X43" s="12">
        <v>4.6999999999999993</v>
      </c>
      <c r="Y43" s="4">
        <v>93.070658369408378</v>
      </c>
      <c r="Z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" spans="2:26" x14ac:dyDescent="0.35">
      <c r="B44">
        <f t="shared" si="2"/>
        <v>42</v>
      </c>
      <c r="C44" t="s">
        <v>83</v>
      </c>
      <c r="D44" t="s">
        <v>176</v>
      </c>
      <c r="E44">
        <f>IF(WEEKNUM(Combined[[#This Row],[Date]], 1) = 53, 1, WEEKNUM(Combined[[#This Row],[Date]], 2))</f>
        <v>16</v>
      </c>
      <c r="F44" t="str">
        <f t="shared" si="3"/>
        <v>Saturday</v>
      </c>
      <c r="G44" s="41">
        <v>44303</v>
      </c>
      <c r="H44">
        <v>3</v>
      </c>
      <c r="I44" s="1">
        <v>59.04</v>
      </c>
      <c r="J44" s="2">
        <v>7.3611111111111113E-2</v>
      </c>
      <c r="K44" s="12">
        <f>Combined[[#This Row],[Time Spent]]*24</f>
        <v>1.7666666666666666</v>
      </c>
      <c r="L44" s="12">
        <f>MROUND(Combined[[#This Row],[Time Spent 2]],0.25)</f>
        <v>1.75</v>
      </c>
      <c r="M44" s="2" t="s">
        <v>91</v>
      </c>
      <c r="N44" t="s">
        <v>80</v>
      </c>
      <c r="O44">
        <f>MATCH(Combined[[#This Row],[Primary Area]],KPIs!$C$4:$C$7,0)</f>
        <v>2</v>
      </c>
      <c r="P44"/>
      <c r="Q44" s="40">
        <v>44336</v>
      </c>
      <c r="R44" s="40">
        <f t="shared" si="1"/>
        <v>44336</v>
      </c>
      <c r="S44" s="4" t="str">
        <f>TEXT(Mileage[[#This Row],[Date]],"dddd")</f>
        <v>Thursday</v>
      </c>
      <c r="T44" s="4" t="s">
        <v>236</v>
      </c>
      <c r="U44" s="4">
        <v>73.400000000000006</v>
      </c>
      <c r="V44" t="str" cm="1">
        <f t="array" ref="V44">IFERROR(VLOOKUP(MODE(IF(Combined[Date]=Mileage[[#This Row],[Date]],Combined[Area '#])),KPIs!$B$4:$C$7,2,FALSE),VLOOKUP(Mileage[[#This Row],[Date]],Combined[[Date]:[Primary Area]],8,FALSE))</f>
        <v>Brunswick/Bath/Freeport</v>
      </c>
      <c r="W44" s="106">
        <v>0.7597222222222223</v>
      </c>
      <c r="X44" s="12">
        <v>0.89999999999999991</v>
      </c>
      <c r="Y44" s="4">
        <v>22</v>
      </c>
      <c r="Z4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5" spans="2:26" x14ac:dyDescent="0.35">
      <c r="B45">
        <f t="shared" si="2"/>
        <v>43</v>
      </c>
      <c r="C45" t="s">
        <v>86</v>
      </c>
      <c r="D45" t="s">
        <v>176</v>
      </c>
      <c r="E45">
        <f>IF(WEEKNUM(Combined[[#This Row],[Date]], 1) = 53, 1, WEEKNUM(Combined[[#This Row],[Date]], 2))</f>
        <v>16</v>
      </c>
      <c r="F45" t="str">
        <f t="shared" si="3"/>
        <v>Sunday</v>
      </c>
      <c r="G45" s="41">
        <v>44304</v>
      </c>
      <c r="H45">
        <v>4</v>
      </c>
      <c r="I45" s="1">
        <v>30.67</v>
      </c>
      <c r="J45" s="2">
        <v>6.5277777777777782E-2</v>
      </c>
      <c r="K45" s="12">
        <f>Combined[[#This Row],[Time Spent]]*24</f>
        <v>1.5666666666666669</v>
      </c>
      <c r="L45" s="12">
        <f>MROUND(Combined[[#This Row],[Time Spent 2]],0.25)</f>
        <v>1.5</v>
      </c>
      <c r="M45" s="2" t="s">
        <v>90</v>
      </c>
      <c r="N45" t="s">
        <v>85</v>
      </c>
      <c r="O45">
        <f>MATCH(Combined[[#This Row],[Primary Area]],KPIs!$C$4:$C$7,0)</f>
        <v>4</v>
      </c>
      <c r="P45"/>
      <c r="Q45" s="40">
        <v>44337</v>
      </c>
      <c r="R45" s="40">
        <f t="shared" si="1"/>
        <v>44337</v>
      </c>
      <c r="S45" s="4" t="str">
        <f>TEXT(Mileage[[#This Row],[Date]],"dddd")</f>
        <v>Friday</v>
      </c>
      <c r="T45" s="4" t="s">
        <v>249</v>
      </c>
      <c r="U45" s="4">
        <v>77.900000000000006</v>
      </c>
      <c r="V45" t="str" cm="1">
        <f t="array" ref="V45">IFERROR(VLOOKUP(MODE(IF(Combined[Date]=Mileage[[#This Row],[Date]],Combined[Area '#])),KPIs!$B$4:$C$7,2,FALSE),VLOOKUP(Mileage[[#This Row],[Date]],Combined[[Date]:[Primary Area]],8,FALSE))</f>
        <v>Portland</v>
      </c>
      <c r="W45" s="106">
        <v>0.8041666666666667</v>
      </c>
      <c r="X45" s="12">
        <v>1.9</v>
      </c>
      <c r="Y45" s="4">
        <v>63.9</v>
      </c>
      <c r="Z4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" spans="2:26" x14ac:dyDescent="0.35">
      <c r="B46">
        <f t="shared" si="2"/>
        <v>44</v>
      </c>
      <c r="C46" t="s">
        <v>86</v>
      </c>
      <c r="D46" t="s">
        <v>176</v>
      </c>
      <c r="E46">
        <f>IF(WEEKNUM(Combined[[#This Row],[Date]], 1) = 53, 1, WEEKNUM(Combined[[#This Row],[Date]], 2))</f>
        <v>17</v>
      </c>
      <c r="F46" t="str">
        <f t="shared" si="3"/>
        <v>Sunday</v>
      </c>
      <c r="G46" s="41">
        <v>44311</v>
      </c>
      <c r="H46">
        <v>5</v>
      </c>
      <c r="I46" s="1">
        <v>41</v>
      </c>
      <c r="J46" s="2">
        <v>7.013888888888889E-2</v>
      </c>
      <c r="K46" s="12">
        <f>Combined[[#This Row],[Time Spent]]*24</f>
        <v>1.6833333333333333</v>
      </c>
      <c r="L46" s="12">
        <f>MROUND(Combined[[#This Row],[Time Spent 2]],0.25)</f>
        <v>1.75</v>
      </c>
      <c r="M46" s="2" t="s">
        <v>90</v>
      </c>
      <c r="N46" t="s">
        <v>80</v>
      </c>
      <c r="O46">
        <f>MATCH(Combined[[#This Row],[Primary Area]],KPIs!$C$4:$C$7,0)</f>
        <v>2</v>
      </c>
      <c r="P46"/>
      <c r="Q46" s="40">
        <v>44339</v>
      </c>
      <c r="R46" s="40">
        <f t="shared" si="1"/>
        <v>44339</v>
      </c>
      <c r="S46" s="4" t="str">
        <f>TEXT(Mileage[[#This Row],[Date]],"dddd")</f>
        <v>Sunday</v>
      </c>
      <c r="T46" s="4" t="s">
        <v>230</v>
      </c>
      <c r="U46" s="4">
        <v>62.2</v>
      </c>
      <c r="V46" t="str" cm="1">
        <f t="array" ref="V46">IFERROR(VLOOKUP(MODE(IF(Combined[Date]=Mileage[[#This Row],[Date]],Combined[Area '#])),KPIs!$B$4:$C$7,2,FALSE),VLOOKUP(Mileage[[#This Row],[Date]],Combined[[Date]:[Primary Area]],8,FALSE))</f>
        <v>Portland</v>
      </c>
      <c r="W46" s="106">
        <v>0.52777777777777779</v>
      </c>
      <c r="X46" s="12">
        <v>6.6000000000000014</v>
      </c>
      <c r="Y46" s="4">
        <v>142</v>
      </c>
      <c r="Z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" spans="2:26" x14ac:dyDescent="0.35">
      <c r="B47">
        <f t="shared" si="2"/>
        <v>45</v>
      </c>
      <c r="C47" t="s">
        <v>83</v>
      </c>
      <c r="D47" t="s">
        <v>176</v>
      </c>
      <c r="E47">
        <f>IF(WEEKNUM(Combined[[#This Row],[Date]], 1) = 53, 1, WEEKNUM(Combined[[#This Row],[Date]], 2))</f>
        <v>17</v>
      </c>
      <c r="F47" t="str">
        <f t="shared" si="3"/>
        <v>Sunday</v>
      </c>
      <c r="G47" s="41">
        <v>44311</v>
      </c>
      <c r="H47">
        <v>0</v>
      </c>
      <c r="I47" s="1">
        <v>0</v>
      </c>
      <c r="J47" s="2">
        <v>3.2638888888888891E-2</v>
      </c>
      <c r="K47" s="12">
        <f>Combined[[#This Row],[Time Spent]]*24</f>
        <v>0.78333333333333344</v>
      </c>
      <c r="L47" s="12">
        <f>MROUND(Combined[[#This Row],[Time Spent 2]],0.25)</f>
        <v>0.75</v>
      </c>
      <c r="M47" s="2" t="s">
        <v>90</v>
      </c>
      <c r="N47" t="s">
        <v>80</v>
      </c>
      <c r="O47">
        <f>MATCH(Combined[[#This Row],[Primary Area]],KPIs!$C$4:$C$7,0)</f>
        <v>2</v>
      </c>
      <c r="P47"/>
      <c r="Q47" s="40">
        <v>44342</v>
      </c>
      <c r="R47" s="40">
        <f t="shared" si="1"/>
        <v>44342</v>
      </c>
      <c r="S47" s="4" t="str">
        <f>TEXT(Mileage[[#This Row],[Date]],"dddd")</f>
        <v>Wednesday</v>
      </c>
      <c r="T47" s="4" t="s">
        <v>236</v>
      </c>
      <c r="U47" s="4">
        <v>71.3</v>
      </c>
      <c r="V47" t="str" cm="1">
        <f t="array" ref="V47">IFERROR(VLOOKUP(MODE(IF(Combined[Date]=Mileage[[#This Row],[Date]],Combined[Area '#])),KPIs!$B$4:$C$7,2,FALSE),VLOOKUP(Mileage[[#This Row],[Date]],Combined[[Date]:[Primary Area]],8,FALSE))</f>
        <v>Lewiston</v>
      </c>
      <c r="W47" s="106">
        <v>0.71736111111111101</v>
      </c>
      <c r="X47" s="12">
        <v>3.9000000000000004</v>
      </c>
      <c r="Y47" s="4">
        <v>54</v>
      </c>
      <c r="Z4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" spans="2:26" x14ac:dyDescent="0.35">
      <c r="B48">
        <f t="shared" si="2"/>
        <v>46</v>
      </c>
      <c r="C48" t="s">
        <v>86</v>
      </c>
      <c r="D48" t="s">
        <v>176</v>
      </c>
      <c r="E48">
        <f>IF(WEEKNUM(Combined[[#This Row],[Date]], 1) = 53, 1, WEEKNUM(Combined[[#This Row],[Date]], 2))</f>
        <v>18</v>
      </c>
      <c r="F48" t="str">
        <f t="shared" si="3"/>
        <v>Sunday</v>
      </c>
      <c r="G48" s="41">
        <v>44318</v>
      </c>
      <c r="H48">
        <v>6</v>
      </c>
      <c r="I48" s="1">
        <v>41</v>
      </c>
      <c r="J48" s="2">
        <v>0.11527777777777777</v>
      </c>
      <c r="K48" s="12">
        <f>Combined[[#This Row],[Time Spent]]*24</f>
        <v>2.7666666666666666</v>
      </c>
      <c r="L48" s="12">
        <f>MROUND(Combined[[#This Row],[Time Spent 2]],0.25)</f>
        <v>2.75</v>
      </c>
      <c r="M48" s="2" t="s">
        <v>91</v>
      </c>
      <c r="N48" t="s">
        <v>80</v>
      </c>
      <c r="O48">
        <f>MATCH(Combined[[#This Row],[Primary Area]],KPIs!$C$4:$C$7,0)</f>
        <v>2</v>
      </c>
      <c r="P48"/>
      <c r="Q48" s="40">
        <v>44345</v>
      </c>
      <c r="R48" s="40">
        <f t="shared" si="1"/>
        <v>44345</v>
      </c>
      <c r="S48" s="4" t="str">
        <f>TEXT(Mileage[[#This Row],[Date]],"dddd")</f>
        <v>Saturday</v>
      </c>
      <c r="T48" s="4" t="s">
        <v>236</v>
      </c>
      <c r="U48" s="4">
        <v>54.1</v>
      </c>
      <c r="V48" t="str" cm="1">
        <f t="array" ref="V48">IFERROR(VLOOKUP(MODE(IF(Combined[Date]=Mileage[[#This Row],[Date]],Combined[Area '#])),KPIs!$B$4:$C$7,2,FALSE),VLOOKUP(Mileage[[#This Row],[Date]],Combined[[Date]:[Primary Area]],8,FALSE))</f>
        <v>Brunswick/Bath/Freeport</v>
      </c>
      <c r="W48" s="106">
        <v>0.70277777777777783</v>
      </c>
      <c r="X48" s="12">
        <v>2.9000000000000004</v>
      </c>
      <c r="Y48" s="4">
        <v>60</v>
      </c>
      <c r="Z4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" spans="2:26" x14ac:dyDescent="0.35">
      <c r="B49">
        <f t="shared" si="2"/>
        <v>47</v>
      </c>
      <c r="C49" t="s">
        <v>83</v>
      </c>
      <c r="D49" t="s">
        <v>176</v>
      </c>
      <c r="E49">
        <f>IF(WEEKNUM(Combined[[#This Row],[Date]], 1) = 53, 1, WEEKNUM(Combined[[#This Row],[Date]], 2))</f>
        <v>18</v>
      </c>
      <c r="F49" t="str">
        <f t="shared" si="3"/>
        <v>Sunday</v>
      </c>
      <c r="G49" s="41">
        <v>44318</v>
      </c>
      <c r="H49">
        <v>0</v>
      </c>
      <c r="I49" s="1">
        <v>0</v>
      </c>
      <c r="J49" s="2">
        <v>4.7222222222222221E-2</v>
      </c>
      <c r="K49" s="12">
        <f>Combined[[#This Row],[Time Spent]]*24</f>
        <v>1.1333333333333333</v>
      </c>
      <c r="L49" s="12">
        <f>MROUND(Combined[[#This Row],[Time Spent 2]],0.25)</f>
        <v>1.25</v>
      </c>
      <c r="M49" s="2" t="s">
        <v>91</v>
      </c>
      <c r="N49" t="s">
        <v>80</v>
      </c>
      <c r="O49">
        <f>MATCH(Combined[[#This Row],[Primary Area]],KPIs!$C$4:$C$7,0)</f>
        <v>2</v>
      </c>
      <c r="P49"/>
      <c r="Q49" s="40">
        <v>44347</v>
      </c>
      <c r="R49" s="40">
        <f t="shared" si="1"/>
        <v>44347</v>
      </c>
      <c r="S49" s="4" t="str">
        <f>TEXT(Mileage[[#This Row],[Date]],"dddd")</f>
        <v>Monday</v>
      </c>
      <c r="T49" s="4" t="s">
        <v>230</v>
      </c>
      <c r="U49" s="4">
        <v>74.5</v>
      </c>
      <c r="V49" t="str" cm="1">
        <f t="array" ref="V49">IFERROR(VLOOKUP(MODE(IF(Combined[Date]=Mileage[[#This Row],[Date]],Combined[Area '#])),KPIs!$B$4:$C$7,2,FALSE),VLOOKUP(Mileage[[#This Row],[Date]],Combined[[Date]:[Primary Area]],8,FALSE))</f>
        <v>Brunswick/Bath/Freeport</v>
      </c>
      <c r="W49" s="106">
        <v>0.59027777777777779</v>
      </c>
      <c r="X49" s="12">
        <v>4.2</v>
      </c>
      <c r="Y49" s="4">
        <v>89</v>
      </c>
      <c r="Z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0" spans="2:26" x14ac:dyDescent="0.35">
      <c r="B50">
        <f t="shared" si="2"/>
        <v>48</v>
      </c>
      <c r="C50" t="s">
        <v>83</v>
      </c>
      <c r="D50" t="s">
        <v>176</v>
      </c>
      <c r="E50">
        <f>IF(WEEKNUM(Combined[[#This Row],[Date]], 1) = 53, 1, WEEKNUM(Combined[[#This Row],[Date]], 2))</f>
        <v>19</v>
      </c>
      <c r="F50" t="str">
        <f t="shared" si="3"/>
        <v>Monday</v>
      </c>
      <c r="G50" s="41">
        <v>44319</v>
      </c>
      <c r="H50">
        <v>2</v>
      </c>
      <c r="I50" s="1">
        <v>36.549999999999997</v>
      </c>
      <c r="J50" s="2">
        <v>6.5972222222222224E-2</v>
      </c>
      <c r="K50" s="12">
        <f>Combined[[#This Row],[Time Spent]]*24</f>
        <v>1.5833333333333335</v>
      </c>
      <c r="L50" s="12">
        <f>MROUND(Combined[[#This Row],[Time Spent 2]],0.25)</f>
        <v>1.5</v>
      </c>
      <c r="M50" s="2" t="s">
        <v>91</v>
      </c>
      <c r="N50" t="s">
        <v>80</v>
      </c>
      <c r="O50">
        <f>MATCH(Combined[[#This Row],[Primary Area]],KPIs!$C$4:$C$7,0)</f>
        <v>2</v>
      </c>
      <c r="P50"/>
      <c r="Q50" s="40">
        <v>44350</v>
      </c>
      <c r="R50" s="40">
        <f t="shared" si="1"/>
        <v>44350</v>
      </c>
      <c r="S50" s="4" t="str">
        <f>TEXT(Mileage[[#This Row],[Date]],"dddd")</f>
        <v>Thursday</v>
      </c>
      <c r="T50" s="4" t="s">
        <v>236</v>
      </c>
      <c r="U50" s="4">
        <v>77</v>
      </c>
      <c r="V50" t="str" cm="1">
        <f t="array" ref="V50">IFERROR(VLOOKUP(MODE(IF(Combined[Date]=Mileage[[#This Row],[Date]],Combined[Area '#])),KPIs!$B$4:$C$7,2,FALSE),VLOOKUP(Mileage[[#This Row],[Date]],Combined[[Date]:[Primary Area]],8,FALSE))</f>
        <v>Lewiston</v>
      </c>
      <c r="W50" s="106">
        <v>0.72083333333333333</v>
      </c>
      <c r="X50" s="12">
        <v>2.8</v>
      </c>
      <c r="Y50" s="4">
        <v>42</v>
      </c>
      <c r="Z5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" spans="2:26" x14ac:dyDescent="0.35">
      <c r="B51">
        <f t="shared" si="2"/>
        <v>49</v>
      </c>
      <c r="C51" t="s">
        <v>86</v>
      </c>
      <c r="D51" t="s">
        <v>176</v>
      </c>
      <c r="E51">
        <f>IF(WEEKNUM(Combined[[#This Row],[Date]], 1) = 53, 1, WEEKNUM(Combined[[#This Row],[Date]], 2))</f>
        <v>19</v>
      </c>
      <c r="F51" t="str">
        <f t="shared" si="3"/>
        <v>Monday</v>
      </c>
      <c r="G51" s="41">
        <v>44319</v>
      </c>
      <c r="H51">
        <v>5</v>
      </c>
      <c r="I51" s="1">
        <v>37.58</v>
      </c>
      <c r="J51" s="2">
        <v>0.11944444444444445</v>
      </c>
      <c r="K51" s="12">
        <f>Combined[[#This Row],[Time Spent]]*24</f>
        <v>2.8666666666666667</v>
      </c>
      <c r="L51" s="12">
        <f>MROUND(Combined[[#This Row],[Time Spent 2]],0.25)</f>
        <v>2.75</v>
      </c>
      <c r="M51" s="2" t="s">
        <v>91</v>
      </c>
      <c r="N51" t="s">
        <v>80</v>
      </c>
      <c r="O51">
        <f>MATCH(Combined[[#This Row],[Primary Area]],KPIs!$C$4:$C$7,0)</f>
        <v>2</v>
      </c>
      <c r="P51"/>
      <c r="Q51" s="40">
        <v>44351</v>
      </c>
      <c r="R51" s="40">
        <f t="shared" si="1"/>
        <v>44351</v>
      </c>
      <c r="S51" s="4" t="str">
        <f>TEXT(Mileage[[#This Row],[Date]],"dddd")</f>
        <v>Friday</v>
      </c>
      <c r="T51" s="4" t="s">
        <v>230</v>
      </c>
      <c r="U51" s="4">
        <v>85</v>
      </c>
      <c r="V51" t="str" cm="1">
        <f t="array" ref="V51">IFERROR(VLOOKUP(MODE(IF(Combined[Date]=Mileage[[#This Row],[Date]],Combined[Area '#])),KPIs!$B$4:$C$7,2,FALSE),VLOOKUP(Mileage[[#This Row],[Date]],Combined[[Date]:[Primary Area]],8,FALSE))</f>
        <v>Lewiston</v>
      </c>
      <c r="W51" s="106">
        <v>0.75486111111111109</v>
      </c>
      <c r="X51" s="12">
        <v>3</v>
      </c>
      <c r="Y51" s="4">
        <v>52</v>
      </c>
      <c r="Z5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" spans="2:26" x14ac:dyDescent="0.35">
      <c r="B52">
        <f t="shared" si="2"/>
        <v>50</v>
      </c>
      <c r="C52" t="s">
        <v>86</v>
      </c>
      <c r="D52" t="s">
        <v>176</v>
      </c>
      <c r="E52">
        <f>IF(WEEKNUM(Combined[[#This Row],[Date]], 1) = 53, 1, WEEKNUM(Combined[[#This Row],[Date]], 2))</f>
        <v>19</v>
      </c>
      <c r="F52" t="str">
        <f t="shared" si="3"/>
        <v>Tuesday</v>
      </c>
      <c r="G52" s="41">
        <v>44320</v>
      </c>
      <c r="H52">
        <v>3</v>
      </c>
      <c r="I52" s="1">
        <v>26</v>
      </c>
      <c r="J52" s="2">
        <v>5.7638888888888885E-2</v>
      </c>
      <c r="K52" s="12">
        <f>Combined[[#This Row],[Time Spent]]*24</f>
        <v>1.3833333333333333</v>
      </c>
      <c r="L52" s="12">
        <f>MROUND(Combined[[#This Row],[Time Spent 2]],0.25)</f>
        <v>1.5</v>
      </c>
      <c r="M52" s="2" t="s">
        <v>91</v>
      </c>
      <c r="N52" t="s">
        <v>80</v>
      </c>
      <c r="O52">
        <f>MATCH(Combined[[#This Row],[Primary Area]],KPIs!$C$4:$C$7,0)</f>
        <v>2</v>
      </c>
      <c r="P52"/>
      <c r="Q52" s="40">
        <v>44354</v>
      </c>
      <c r="R52" s="40">
        <f t="shared" si="1"/>
        <v>44354</v>
      </c>
      <c r="S52" s="4" t="str">
        <f>TEXT(Mileage[[#This Row],[Date]],"dddd")</f>
        <v>Monday</v>
      </c>
      <c r="T52" s="4" t="s">
        <v>230</v>
      </c>
      <c r="U52" s="4">
        <v>90.1</v>
      </c>
      <c r="V52" t="str" cm="1">
        <f t="array" ref="V52">IFERROR(VLOOKUP(MODE(IF(Combined[Date]=Mileage[[#This Row],[Date]],Combined[Area '#])),KPIs!$B$4:$C$7,2,FALSE),VLOOKUP(Mileage[[#This Row],[Date]],Combined[[Date]:[Primary Area]],8,FALSE))</f>
        <v>Lewiston</v>
      </c>
      <c r="W52" s="106">
        <v>0.76527777777777783</v>
      </c>
      <c r="X52" s="12">
        <v>2.5</v>
      </c>
      <c r="Y52" s="4">
        <v>45</v>
      </c>
      <c r="Z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" spans="2:26" x14ac:dyDescent="0.35">
      <c r="B53">
        <f t="shared" si="2"/>
        <v>51</v>
      </c>
      <c r="C53" t="s">
        <v>83</v>
      </c>
      <c r="D53" t="s">
        <v>176</v>
      </c>
      <c r="E53">
        <f>IF(WEEKNUM(Combined[[#This Row],[Date]], 1) = 53, 1, WEEKNUM(Combined[[#This Row],[Date]], 2))</f>
        <v>19</v>
      </c>
      <c r="F53" t="str">
        <f t="shared" si="3"/>
        <v>Tuesday</v>
      </c>
      <c r="G53" s="41">
        <v>44320</v>
      </c>
      <c r="H53">
        <v>0</v>
      </c>
      <c r="I53" s="1">
        <v>0</v>
      </c>
      <c r="J53" s="2">
        <v>6.7361111111111108E-2</v>
      </c>
      <c r="K53" s="12">
        <f>Combined[[#This Row],[Time Spent]]*24</f>
        <v>1.6166666666666667</v>
      </c>
      <c r="L53" s="12">
        <f>MROUND(Combined[[#This Row],[Time Spent 2]],0.25)</f>
        <v>1.5</v>
      </c>
      <c r="M53" s="2" t="s">
        <v>91</v>
      </c>
      <c r="N53" t="s">
        <v>80</v>
      </c>
      <c r="O53">
        <f>MATCH(Combined[[#This Row],[Primary Area]],KPIs!$C$4:$C$7,0)</f>
        <v>2</v>
      </c>
      <c r="P53"/>
      <c r="Q53" s="40">
        <v>44359</v>
      </c>
      <c r="R53" s="40">
        <f t="shared" si="1"/>
        <v>44359</v>
      </c>
      <c r="S53" s="4" t="str">
        <f>TEXT(Mileage[[#This Row],[Date]],"dddd")</f>
        <v>Saturday</v>
      </c>
      <c r="T53" s="4" t="s">
        <v>230</v>
      </c>
      <c r="U53" s="4">
        <v>80.099999999999994</v>
      </c>
      <c r="V53" t="str" cm="1">
        <f t="array" ref="V53">IFERROR(VLOOKUP(MODE(IF(Combined[Date]=Mileage[[#This Row],[Date]],Combined[Area '#])),KPIs!$B$4:$C$7,2,FALSE),VLOOKUP(Mileage[[#This Row],[Date]],Combined[[Date]:[Primary Area]],8,FALSE))</f>
        <v>Portland</v>
      </c>
      <c r="W53" s="106">
        <v>0.60972222222222217</v>
      </c>
      <c r="X53" s="12">
        <v>1.8</v>
      </c>
      <c r="Y53" s="4">
        <v>31</v>
      </c>
      <c r="Z5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" spans="2:26" x14ac:dyDescent="0.35">
      <c r="B54">
        <f t="shared" si="2"/>
        <v>52</v>
      </c>
      <c r="C54" t="s">
        <v>83</v>
      </c>
      <c r="D54" t="s">
        <v>176</v>
      </c>
      <c r="E54">
        <f>IF(WEEKNUM(Combined[[#This Row],[Date]], 1) = 53, 1, WEEKNUM(Combined[[#This Row],[Date]], 2))</f>
        <v>19</v>
      </c>
      <c r="F54" t="str">
        <f t="shared" si="3"/>
        <v>Wednesday</v>
      </c>
      <c r="G54" s="41">
        <v>44321</v>
      </c>
      <c r="H54">
        <v>7</v>
      </c>
      <c r="I54" s="1">
        <v>104.94</v>
      </c>
      <c r="J54" s="2">
        <v>0.17013888888888887</v>
      </c>
      <c r="K54" s="12">
        <f>Combined[[#This Row],[Time Spent]]*24</f>
        <v>4.083333333333333</v>
      </c>
      <c r="L54" s="12">
        <f>MROUND(Combined[[#This Row],[Time Spent 2]],0.25)</f>
        <v>4</v>
      </c>
      <c r="M54" s="2" t="s">
        <v>91</v>
      </c>
      <c r="N54" t="s">
        <v>80</v>
      </c>
      <c r="O54">
        <f>MATCH(Combined[[#This Row],[Primary Area]],KPIs!$C$4:$C$7,0)</f>
        <v>2</v>
      </c>
      <c r="P54"/>
      <c r="Q54" s="40">
        <v>44361</v>
      </c>
      <c r="R54" s="40">
        <f t="shared" si="1"/>
        <v>44361</v>
      </c>
      <c r="S54" s="4" t="str">
        <f>TEXT(Mileage[[#This Row],[Date]],"dddd")</f>
        <v>Monday</v>
      </c>
      <c r="T54" s="4" t="s">
        <v>236</v>
      </c>
      <c r="U54" s="4">
        <v>67.2</v>
      </c>
      <c r="V54" t="str" cm="1">
        <f t="array" ref="V54">IFERROR(VLOOKUP(MODE(IF(Combined[Date]=Mileage[[#This Row],[Date]],Combined[Area '#])),KPIs!$B$4:$C$7,2,FALSE),VLOOKUP(Mileage[[#This Row],[Date]],Combined[[Date]:[Primary Area]],8,FALSE))</f>
        <v>Brunswick/Bath/Freeport</v>
      </c>
      <c r="W54" s="106">
        <v>0.8208333333333333</v>
      </c>
      <c r="X54" s="12">
        <v>2.7</v>
      </c>
      <c r="Y54" s="4">
        <v>57</v>
      </c>
      <c r="Z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" spans="2:26" x14ac:dyDescent="0.35">
      <c r="B55">
        <f t="shared" si="2"/>
        <v>53</v>
      </c>
      <c r="C55" t="s">
        <v>83</v>
      </c>
      <c r="D55" t="s">
        <v>176</v>
      </c>
      <c r="E55">
        <f>IF(WEEKNUM(Combined[[#This Row],[Date]], 1) = 53, 1, WEEKNUM(Combined[[#This Row],[Date]], 2))</f>
        <v>19</v>
      </c>
      <c r="F55" t="str">
        <f t="shared" si="3"/>
        <v>Thursday</v>
      </c>
      <c r="G55" s="41">
        <v>44322</v>
      </c>
      <c r="H55">
        <v>3</v>
      </c>
      <c r="I55" s="1">
        <v>30.47</v>
      </c>
      <c r="J55" s="2">
        <v>0.11666666666666665</v>
      </c>
      <c r="K55" s="12">
        <f>Combined[[#This Row],[Time Spent]]*24</f>
        <v>2.8</v>
      </c>
      <c r="L55" s="12">
        <f>MROUND(Combined[[#This Row],[Time Spent 2]],0.25)</f>
        <v>2.75</v>
      </c>
      <c r="M55" s="2" t="s">
        <v>91</v>
      </c>
      <c r="N55" t="s">
        <v>85</v>
      </c>
      <c r="O55">
        <f>MATCH(Combined[[#This Row],[Primary Area]],KPIs!$C$4:$C$7,0)</f>
        <v>4</v>
      </c>
      <c r="P55"/>
      <c r="Q55" s="40">
        <v>44366</v>
      </c>
      <c r="R55" s="40">
        <f t="shared" si="1"/>
        <v>44366</v>
      </c>
      <c r="S55" s="4" t="str">
        <f>TEXT(Mileage[[#This Row],[Date]],"dddd")</f>
        <v>Saturday</v>
      </c>
      <c r="T55" s="4" t="s">
        <v>249</v>
      </c>
      <c r="U55" s="4">
        <v>83</v>
      </c>
      <c r="V55" t="str" cm="1">
        <f t="array" ref="V55">IFERROR(VLOOKUP(MODE(IF(Combined[Date]=Mileage[[#This Row],[Date]],Combined[Area '#])),KPIs!$B$4:$C$7,2,FALSE),VLOOKUP(Mileage[[#This Row],[Date]],Combined[[Date]:[Primary Area]],8,FALSE))</f>
        <v>Portland</v>
      </c>
      <c r="W55" s="106">
        <v>0.58611111111111114</v>
      </c>
      <c r="X55" s="12">
        <v>7</v>
      </c>
      <c r="Y55" s="4">
        <v>171</v>
      </c>
      <c r="Z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6" spans="2:26" x14ac:dyDescent="0.35">
      <c r="B56">
        <f t="shared" si="2"/>
        <v>54</v>
      </c>
      <c r="C56" t="s">
        <v>86</v>
      </c>
      <c r="D56" t="s">
        <v>176</v>
      </c>
      <c r="E56">
        <f>IF(WEEKNUM(Combined[[#This Row],[Date]], 1) = 53, 1, WEEKNUM(Combined[[#This Row],[Date]], 2))</f>
        <v>19</v>
      </c>
      <c r="F56" t="str">
        <f t="shared" si="3"/>
        <v>Thursday</v>
      </c>
      <c r="G56" s="41">
        <v>44322</v>
      </c>
      <c r="H56">
        <v>3</v>
      </c>
      <c r="I56" s="1">
        <f>19+17.5</f>
        <v>36.5</v>
      </c>
      <c r="J56" s="2">
        <v>0.10833333333333334</v>
      </c>
      <c r="K56" s="12">
        <f>Combined[[#This Row],[Time Spent]]*24</f>
        <v>2.6</v>
      </c>
      <c r="L56" s="12">
        <f>MROUND(Combined[[#This Row],[Time Spent 2]],0.25)</f>
        <v>2.5</v>
      </c>
      <c r="M56" s="2" t="s">
        <v>91</v>
      </c>
      <c r="N56" t="s">
        <v>85</v>
      </c>
      <c r="O56">
        <f>MATCH(Combined[[#This Row],[Primary Area]],KPIs!$C$4:$C$7,0)</f>
        <v>4</v>
      </c>
      <c r="P56"/>
      <c r="Q56" s="40">
        <v>44367</v>
      </c>
      <c r="R56" s="40">
        <f t="shared" si="1"/>
        <v>44367</v>
      </c>
      <c r="S56" s="4" t="str">
        <f>TEXT(Mileage[[#This Row],[Date]],"dddd")</f>
        <v>Sunday</v>
      </c>
      <c r="T56" s="4" t="s">
        <v>249</v>
      </c>
      <c r="U56" s="4">
        <v>83.8</v>
      </c>
      <c r="V56" t="str" cm="1">
        <f t="array" ref="V56">IFERROR(VLOOKUP(MODE(IF(Combined[Date]=Mileage[[#This Row],[Date]],Combined[Area '#])),KPIs!$B$4:$C$7,2,FALSE),VLOOKUP(Mileage[[#This Row],[Date]],Combined[[Date]:[Primary Area]],8,FALSE))</f>
        <v>Portland</v>
      </c>
      <c r="W56" s="106">
        <v>0.6694444444444444</v>
      </c>
      <c r="X56" s="12">
        <v>2.9000000000000004</v>
      </c>
      <c r="Y56" s="4">
        <v>69</v>
      </c>
      <c r="Z5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" spans="2:26" x14ac:dyDescent="0.35">
      <c r="B57">
        <f t="shared" si="2"/>
        <v>55</v>
      </c>
      <c r="C57" t="s">
        <v>83</v>
      </c>
      <c r="D57" t="s">
        <v>176</v>
      </c>
      <c r="E57">
        <f>IF(WEEKNUM(Combined[[#This Row],[Date]], 1) = 53, 1, WEEKNUM(Combined[[#This Row],[Date]], 2))</f>
        <v>19</v>
      </c>
      <c r="F57" t="str">
        <f t="shared" si="3"/>
        <v>Friday</v>
      </c>
      <c r="G57" s="41">
        <v>44323</v>
      </c>
      <c r="H57">
        <v>2</v>
      </c>
      <c r="I57" s="1">
        <v>31.57</v>
      </c>
      <c r="J57" s="2">
        <v>9.4444444444444442E-2</v>
      </c>
      <c r="K57" s="12">
        <f>Combined[[#This Row],[Time Spent]]*24</f>
        <v>2.2666666666666666</v>
      </c>
      <c r="L57" s="12">
        <f>MROUND(Combined[[#This Row],[Time Spent 2]],0.25)</f>
        <v>2.25</v>
      </c>
      <c r="M57" s="2" t="s">
        <v>91</v>
      </c>
      <c r="N57" t="s">
        <v>85</v>
      </c>
      <c r="O57">
        <f>MATCH(Combined[[#This Row],[Primary Area]],KPIs!$C$4:$C$7,0)</f>
        <v>4</v>
      </c>
      <c r="P57"/>
      <c r="Q57" s="40">
        <v>44369</v>
      </c>
      <c r="R57" s="40">
        <f t="shared" si="1"/>
        <v>44369</v>
      </c>
      <c r="S57" s="4" t="str">
        <f>TEXT(Mileage[[#This Row],[Date]],"dddd")</f>
        <v>Tuesday</v>
      </c>
      <c r="T57" s="4" t="s">
        <v>236</v>
      </c>
      <c r="U57" s="4">
        <v>70.2</v>
      </c>
      <c r="V57" t="str" cm="1">
        <f t="array" ref="V57">IFERROR(VLOOKUP(MODE(IF(Combined[Date]=Mileage[[#This Row],[Date]],Combined[Area '#])),KPIs!$B$4:$C$7,2,FALSE),VLOOKUP(Mileage[[#This Row],[Date]],Combined[[Date]:[Primary Area]],8,FALSE))</f>
        <v>Brunswick/Bath/Freeport</v>
      </c>
      <c r="W57" s="106">
        <v>0.86041666666666661</v>
      </c>
      <c r="X57" s="12">
        <v>1.8</v>
      </c>
      <c r="Y57" s="4">
        <v>40</v>
      </c>
      <c r="Z5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8" spans="2:26" x14ac:dyDescent="0.35">
      <c r="B58">
        <f t="shared" si="2"/>
        <v>56</v>
      </c>
      <c r="C58" t="s">
        <v>86</v>
      </c>
      <c r="D58" t="s">
        <v>176</v>
      </c>
      <c r="E58">
        <f>IF(WEEKNUM(Combined[[#This Row],[Date]], 1) = 53, 1, WEEKNUM(Combined[[#This Row],[Date]], 2))</f>
        <v>19</v>
      </c>
      <c r="F58" t="str">
        <f t="shared" si="3"/>
        <v>Friday</v>
      </c>
      <c r="G58" s="41">
        <v>44323</v>
      </c>
      <c r="H58">
        <v>9</v>
      </c>
      <c r="I58" s="1">
        <f>4.5+50.5</f>
        <v>55</v>
      </c>
      <c r="J58" s="2">
        <f>TIME(3,41,)+TIME(1,35,)</f>
        <v>0.21944444444444444</v>
      </c>
      <c r="K58" s="12">
        <f>Combined[[#This Row],[Time Spent]]*24</f>
        <v>5.2666666666666666</v>
      </c>
      <c r="L58" s="12">
        <f>MROUND(Combined[[#This Row],[Time Spent 2]],0.25)</f>
        <v>5.25</v>
      </c>
      <c r="M58" s="2" t="s">
        <v>91</v>
      </c>
      <c r="N58" t="s">
        <v>85</v>
      </c>
      <c r="O58">
        <f>MATCH(Combined[[#This Row],[Primary Area]],KPIs!$C$4:$C$7,0)</f>
        <v>4</v>
      </c>
      <c r="P58"/>
      <c r="Q58" s="40">
        <v>44371</v>
      </c>
      <c r="R58" s="40">
        <f t="shared" si="1"/>
        <v>44371</v>
      </c>
      <c r="S58" s="4" t="str">
        <f>TEXT(Mileage[[#This Row],[Date]],"dddd")</f>
        <v>Thursday</v>
      </c>
      <c r="T58" s="4" t="s">
        <v>236</v>
      </c>
      <c r="U58" s="4">
        <v>67.900000000000006</v>
      </c>
      <c r="V58" t="str" cm="1">
        <f t="array" ref="V58">IFERROR(VLOOKUP(MODE(IF(Combined[Date]=Mileage[[#This Row],[Date]],Combined[Area '#])),KPIs!$B$4:$C$7,2,FALSE),VLOOKUP(Mileage[[#This Row],[Date]],Combined[[Date]:[Primary Area]],8,FALSE))</f>
        <v>Brunswick/Bath/Freeport</v>
      </c>
      <c r="W58" s="106">
        <v>0.75486111111111109</v>
      </c>
      <c r="X58" s="12">
        <v>2.8</v>
      </c>
      <c r="Y58" s="4">
        <v>45</v>
      </c>
      <c r="Z5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" spans="2:26" x14ac:dyDescent="0.35">
      <c r="B59">
        <f t="shared" si="2"/>
        <v>57</v>
      </c>
      <c r="C59" t="s">
        <v>83</v>
      </c>
      <c r="D59" t="s">
        <v>176</v>
      </c>
      <c r="E59">
        <f>IF(WEEKNUM(Combined[[#This Row],[Date]], 1) = 53, 1, WEEKNUM(Combined[[#This Row],[Date]], 2))</f>
        <v>20</v>
      </c>
      <c r="F59" t="str">
        <f t="shared" si="3"/>
        <v>Wednesday</v>
      </c>
      <c r="G59" s="41">
        <v>44328</v>
      </c>
      <c r="H59">
        <v>7</v>
      </c>
      <c r="I59" s="1">
        <v>115.58</v>
      </c>
      <c r="J59" s="2">
        <v>0.16458333333333333</v>
      </c>
      <c r="K59" s="12">
        <f>Combined[[#This Row],[Time Spent]]*24</f>
        <v>3.95</v>
      </c>
      <c r="L59" s="12">
        <f>MROUND(Combined[[#This Row],[Time Spent 2]],0.25)</f>
        <v>4</v>
      </c>
      <c r="M59" s="2" t="s">
        <v>91</v>
      </c>
      <c r="N59" t="s">
        <v>80</v>
      </c>
      <c r="O59">
        <f>MATCH(Combined[[#This Row],[Primary Area]],KPIs!$C$4:$C$7,0)</f>
        <v>2</v>
      </c>
      <c r="P59"/>
      <c r="Q59" s="40">
        <v>44373</v>
      </c>
      <c r="R59" s="40">
        <f t="shared" si="1"/>
        <v>44373</v>
      </c>
      <c r="S59" s="4" t="str">
        <f>TEXT(Mileage[[#This Row],[Date]],"dddd")</f>
        <v>Saturday</v>
      </c>
      <c r="T59" s="4" t="s">
        <v>230</v>
      </c>
      <c r="U59" s="4">
        <v>93.1</v>
      </c>
      <c r="V59" t="str" cm="1">
        <f t="array" ref="V59">IFERROR(VLOOKUP(MODE(IF(Combined[Date]=Mileage[[#This Row],[Date]],Combined[Area '#])),KPIs!$B$4:$C$7,2,FALSE),VLOOKUP(Mileage[[#This Row],[Date]],Combined[[Date]:[Primary Area]],8,FALSE))</f>
        <v>Portland</v>
      </c>
      <c r="W59" s="106">
        <v>0.67291666666666661</v>
      </c>
      <c r="X59" s="12">
        <v>6.4</v>
      </c>
      <c r="Y59" s="4">
        <v>112.99999999999999</v>
      </c>
      <c r="Z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" spans="2:26" x14ac:dyDescent="0.35">
      <c r="B60">
        <f t="shared" si="2"/>
        <v>58</v>
      </c>
      <c r="C60" t="s">
        <v>86</v>
      </c>
      <c r="D60" t="s">
        <v>176</v>
      </c>
      <c r="E60">
        <f>IF(WEEKNUM(Combined[[#This Row],[Date]], 1) = 53, 1, WEEKNUM(Combined[[#This Row],[Date]], 2))</f>
        <v>20</v>
      </c>
      <c r="F60" t="str">
        <f t="shared" si="3"/>
        <v>Wednesday</v>
      </c>
      <c r="G60" s="41">
        <v>44328</v>
      </c>
      <c r="H60">
        <v>4</v>
      </c>
      <c r="I60" s="1">
        <v>30.5</v>
      </c>
      <c r="J60" s="2">
        <v>9.0972222222222218E-2</v>
      </c>
      <c r="K60" s="12">
        <f>Combined[[#This Row],[Time Spent]]*24</f>
        <v>2.1833333333333331</v>
      </c>
      <c r="L60" s="12">
        <f>MROUND(Combined[[#This Row],[Time Spent 2]],0.25)</f>
        <v>2.25</v>
      </c>
      <c r="M60" s="2" t="s">
        <v>91</v>
      </c>
      <c r="N60" t="s">
        <v>80</v>
      </c>
      <c r="O60">
        <f>MATCH(Combined[[#This Row],[Primary Area]],KPIs!$C$4:$C$7,0)</f>
        <v>2</v>
      </c>
      <c r="P60"/>
      <c r="Q60" s="40">
        <v>44376</v>
      </c>
      <c r="R60" s="40">
        <f t="shared" si="1"/>
        <v>44376</v>
      </c>
      <c r="S60" s="4" t="str">
        <f>TEXT(Mileage[[#This Row],[Date]],"dddd")</f>
        <v>Tuesday</v>
      </c>
      <c r="T60" s="4" t="s">
        <v>236</v>
      </c>
      <c r="U60" s="4">
        <v>95.3</v>
      </c>
      <c r="V60" t="str" cm="1">
        <f t="array" ref="V60">IFERROR(VLOOKUP(MODE(IF(Combined[Date]=Mileage[[#This Row],[Date]],Combined[Area '#])),KPIs!$B$4:$C$7,2,FALSE),VLOOKUP(Mileage[[#This Row],[Date]],Combined[[Date]:[Primary Area]],8,FALSE))</f>
        <v>Brunswick/Bath/Freeport</v>
      </c>
      <c r="W60" s="106">
        <v>0.72430555555555554</v>
      </c>
      <c r="X60" s="12">
        <v>3.8</v>
      </c>
      <c r="Y60" s="4">
        <v>72</v>
      </c>
      <c r="Z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" spans="2:26" x14ac:dyDescent="0.35">
      <c r="B61">
        <f t="shared" si="2"/>
        <v>59</v>
      </c>
      <c r="C61" t="s">
        <v>83</v>
      </c>
      <c r="D61" t="s">
        <v>176</v>
      </c>
      <c r="E61">
        <f>IF(WEEKNUM(Combined[[#This Row],[Date]], 1) = 53, 1, WEEKNUM(Combined[[#This Row],[Date]], 2))</f>
        <v>20</v>
      </c>
      <c r="F61" t="str">
        <f t="shared" si="3"/>
        <v>Friday</v>
      </c>
      <c r="G61" s="41">
        <v>44330</v>
      </c>
      <c r="H61">
        <v>4</v>
      </c>
      <c r="I61" s="1">
        <v>86.24</v>
      </c>
      <c r="J61" s="2">
        <v>7.013888888888889E-2</v>
      </c>
      <c r="K61" s="12">
        <f>Combined[[#This Row],[Time Spent]]*24</f>
        <v>1.6833333333333333</v>
      </c>
      <c r="L61" s="12">
        <f>MROUND(Combined[[#This Row],[Time Spent 2]],0.25)</f>
        <v>1.75</v>
      </c>
      <c r="M61" s="2" t="s">
        <v>91</v>
      </c>
      <c r="N61" t="s">
        <v>85</v>
      </c>
      <c r="O61">
        <f>MATCH(Combined[[#This Row],[Primary Area]],KPIs!$C$4:$C$7,0)</f>
        <v>4</v>
      </c>
      <c r="P61"/>
      <c r="Q61" s="40">
        <v>44379</v>
      </c>
      <c r="R61" s="40">
        <f t="shared" si="1"/>
        <v>44379</v>
      </c>
      <c r="S61" s="4" t="str">
        <f>TEXT(Mileage[[#This Row],[Date]],"dddd")</f>
        <v>Friday</v>
      </c>
      <c r="T61" s="4" t="s">
        <v>236</v>
      </c>
      <c r="U61" s="4">
        <v>58.1</v>
      </c>
      <c r="V61" t="str" cm="1">
        <f t="array" ref="V61">IFERROR(VLOOKUP(MODE(IF(Combined[Date]=Mileage[[#This Row],[Date]],Combined[Area '#])),KPIs!$B$4:$C$7,2,FALSE),VLOOKUP(Mileage[[#This Row],[Date]],Combined[[Date]:[Primary Area]],8,FALSE))</f>
        <v>Portland</v>
      </c>
      <c r="W61" s="106">
        <v>0.78333333333333333</v>
      </c>
      <c r="X61" s="12">
        <v>4</v>
      </c>
      <c r="Y61" s="4">
        <v>95.6</v>
      </c>
      <c r="Z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" spans="2:26" x14ac:dyDescent="0.35">
      <c r="B62">
        <f t="shared" si="2"/>
        <v>60</v>
      </c>
      <c r="C62" t="s">
        <v>86</v>
      </c>
      <c r="D62" t="s">
        <v>176</v>
      </c>
      <c r="E62">
        <f>IF(WEEKNUM(Combined[[#This Row],[Date]], 1) = 53, 1, WEEKNUM(Combined[[#This Row],[Date]], 2))</f>
        <v>21</v>
      </c>
      <c r="F62" t="str">
        <f t="shared" si="3"/>
        <v>Monday</v>
      </c>
      <c r="G62" s="41">
        <v>44333</v>
      </c>
      <c r="H62">
        <v>6</v>
      </c>
      <c r="I62" s="1">
        <v>42</v>
      </c>
      <c r="J62" s="2">
        <v>0.13472222222222222</v>
      </c>
      <c r="K62" s="12">
        <f>Combined[[#This Row],[Time Spent]]*24</f>
        <v>3.2333333333333334</v>
      </c>
      <c r="L62" s="12">
        <f>MROUND(Combined[[#This Row],[Time Spent 2]],0.25)</f>
        <v>3.25</v>
      </c>
      <c r="M62" s="2" t="s">
        <v>91</v>
      </c>
      <c r="N62" t="s">
        <v>80</v>
      </c>
      <c r="O62">
        <f>MATCH(Combined[[#This Row],[Primary Area]],KPIs!$C$4:$C$7,0)</f>
        <v>2</v>
      </c>
      <c r="P62"/>
      <c r="Q62" s="40">
        <v>44380</v>
      </c>
      <c r="R62" s="40">
        <f t="shared" si="1"/>
        <v>44380</v>
      </c>
      <c r="S62" s="4" t="str">
        <f>TEXT(Mileage[[#This Row],[Date]],"dddd")</f>
        <v>Saturday</v>
      </c>
      <c r="T62" s="4" t="s">
        <v>236</v>
      </c>
      <c r="U62" s="4">
        <v>58.2</v>
      </c>
      <c r="V62" t="str" cm="1">
        <f t="array" ref="V62">IFERROR(VLOOKUP(MODE(IF(Combined[Date]=Mileage[[#This Row],[Date]],Combined[Area '#])),KPIs!$B$4:$C$7,2,FALSE),VLOOKUP(Mileage[[#This Row],[Date]],Combined[[Date]:[Primary Area]],8,FALSE))</f>
        <v>Brunswick/Bath/Freeport</v>
      </c>
      <c r="W62" s="106">
        <v>0.54166666666666663</v>
      </c>
      <c r="X62" s="12">
        <v>4.8000000000000007</v>
      </c>
      <c r="Y62" s="4">
        <v>52.5</v>
      </c>
      <c r="Z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" spans="2:26" x14ac:dyDescent="0.35">
      <c r="B63">
        <f t="shared" si="2"/>
        <v>61</v>
      </c>
      <c r="C63" t="s">
        <v>83</v>
      </c>
      <c r="D63" t="s">
        <v>176</v>
      </c>
      <c r="E63">
        <f>IF(WEEKNUM(Combined[[#This Row],[Date]], 1) = 53, 1, WEEKNUM(Combined[[#This Row],[Date]], 2))</f>
        <v>21</v>
      </c>
      <c r="F63" t="str">
        <f t="shared" si="3"/>
        <v>Monday</v>
      </c>
      <c r="G63" s="41">
        <v>44333</v>
      </c>
      <c r="H63">
        <v>3</v>
      </c>
      <c r="I63" s="1">
        <v>37.729999999999997</v>
      </c>
      <c r="J63" s="2">
        <v>8.1944444444444445E-2</v>
      </c>
      <c r="K63" s="12">
        <f>Combined[[#This Row],[Time Spent]]*24</f>
        <v>1.9666666666666668</v>
      </c>
      <c r="L63" s="12">
        <f>MROUND(Combined[[#This Row],[Time Spent 2]],0.25)</f>
        <v>2</v>
      </c>
      <c r="M63" s="2" t="s">
        <v>91</v>
      </c>
      <c r="N63" t="s">
        <v>80</v>
      </c>
      <c r="O63">
        <f>MATCH(Combined[[#This Row],[Primary Area]],KPIs!$C$4:$C$7,0)</f>
        <v>2</v>
      </c>
      <c r="P63"/>
      <c r="Q63" s="40">
        <v>44401</v>
      </c>
      <c r="R63" s="40">
        <f t="shared" si="1"/>
        <v>44401</v>
      </c>
      <c r="S63" s="4" t="str">
        <f>TEXT(Mileage[[#This Row],[Date]],"dddd")</f>
        <v>Saturday</v>
      </c>
      <c r="T63" s="4" t="s">
        <v>236</v>
      </c>
      <c r="U63" s="4">
        <v>69.599999999999994</v>
      </c>
      <c r="V63" t="str" cm="1">
        <f t="array" ref="V63">IFERROR(VLOOKUP(MODE(IF(Combined[Date]=Mileage[[#This Row],[Date]],Combined[Area '#])),KPIs!$B$4:$C$7,2,FALSE),VLOOKUP(Mileage[[#This Row],[Date]],Combined[[Date]:[Primary Area]],8,FALSE))</f>
        <v>Brunswick/Bath/Freeport</v>
      </c>
      <c r="W63" s="106">
        <v>0.70694444444444438</v>
      </c>
      <c r="X63" s="12">
        <v>2.1</v>
      </c>
      <c r="Y63" s="4">
        <v>58</v>
      </c>
      <c r="Z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4" spans="2:26" x14ac:dyDescent="0.35">
      <c r="B64">
        <f t="shared" si="2"/>
        <v>62</v>
      </c>
      <c r="C64" t="s">
        <v>83</v>
      </c>
      <c r="D64" t="s">
        <v>176</v>
      </c>
      <c r="E64">
        <f>IF(WEEKNUM(Combined[[#This Row],[Date]], 1) = 53, 1, WEEKNUM(Combined[[#This Row],[Date]], 2))</f>
        <v>21</v>
      </c>
      <c r="F64" t="str">
        <f t="shared" si="3"/>
        <v>Thursday</v>
      </c>
      <c r="G64" s="41">
        <v>44336</v>
      </c>
      <c r="H64">
        <v>2</v>
      </c>
      <c r="I64" s="1">
        <v>19.61</v>
      </c>
      <c r="J64" s="2">
        <v>4.027777777777778E-2</v>
      </c>
      <c r="K64" s="12">
        <f>Combined[[#This Row],[Time Spent]]*24</f>
        <v>0.96666666666666679</v>
      </c>
      <c r="L64" s="12">
        <f>MROUND(Combined[[#This Row],[Time Spent 2]],0.25)</f>
        <v>1</v>
      </c>
      <c r="M64" s="2" t="s">
        <v>91</v>
      </c>
      <c r="N64" t="s">
        <v>80</v>
      </c>
      <c r="O64">
        <f>MATCH(Combined[[#This Row],[Primary Area]],KPIs!$C$4:$C$7,0)</f>
        <v>2</v>
      </c>
      <c r="P64"/>
      <c r="Q64" s="40">
        <v>44408</v>
      </c>
      <c r="R64" s="40">
        <f t="shared" si="1"/>
        <v>44408</v>
      </c>
      <c r="S64" s="4" t="str">
        <f>TEXT(Mileage[[#This Row],[Date]],"dddd")</f>
        <v>Saturday</v>
      </c>
      <c r="T64" s="4" t="s">
        <v>249</v>
      </c>
      <c r="U64" s="4">
        <v>74.3</v>
      </c>
      <c r="V64" t="str" cm="1">
        <f t="array" ref="V64">IFERROR(VLOOKUP(MODE(IF(Combined[Date]=Mileage[[#This Row],[Date]],Combined[Area '#])),KPIs!$B$4:$C$7,2,FALSE),VLOOKUP(Mileage[[#This Row],[Date]],Combined[[Date]:[Primary Area]],8,FALSE))</f>
        <v>Brunswick/Bath/Freeport</v>
      </c>
      <c r="W64" s="106">
        <v>0.57916666666666672</v>
      </c>
      <c r="X64" s="12">
        <v>1.2</v>
      </c>
      <c r="Y64" s="4">
        <v>16.5</v>
      </c>
      <c r="Z6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" spans="2:26" x14ac:dyDescent="0.35">
      <c r="B65">
        <f t="shared" si="2"/>
        <v>63</v>
      </c>
      <c r="C65" t="s">
        <v>83</v>
      </c>
      <c r="D65" t="s">
        <v>176</v>
      </c>
      <c r="E65">
        <f>IF(WEEKNUM(Combined[[#This Row],[Date]], 1) = 53, 1, WEEKNUM(Combined[[#This Row],[Date]], 2))</f>
        <v>21</v>
      </c>
      <c r="F65" t="str">
        <f t="shared" si="3"/>
        <v>Friday</v>
      </c>
      <c r="G65" s="41">
        <v>44337</v>
      </c>
      <c r="H65">
        <v>3</v>
      </c>
      <c r="I65" s="1">
        <v>43.87</v>
      </c>
      <c r="J65" s="2">
        <v>6.6666666666666666E-2</v>
      </c>
      <c r="K65" s="12">
        <f>Combined[[#This Row],[Time Spent]]*24</f>
        <v>1.6</v>
      </c>
      <c r="L65" s="12">
        <f>MROUND(Combined[[#This Row],[Time Spent 2]],0.25)</f>
        <v>1.5</v>
      </c>
      <c r="M65" s="2" t="s">
        <v>91</v>
      </c>
      <c r="N65" t="s">
        <v>85</v>
      </c>
      <c r="O65">
        <f>MATCH(Combined[[#This Row],[Primary Area]],KPIs!$C$4:$C$7,0)</f>
        <v>4</v>
      </c>
      <c r="P65"/>
      <c r="Q65" s="40">
        <v>44409</v>
      </c>
      <c r="R65" s="40">
        <f t="shared" si="1"/>
        <v>44409</v>
      </c>
      <c r="S65" s="4" t="str">
        <f>TEXT(Mileage[[#This Row],[Date]],"dddd")</f>
        <v>Sunday</v>
      </c>
      <c r="T65" s="4" t="s">
        <v>236</v>
      </c>
      <c r="U65" s="4">
        <v>74.2</v>
      </c>
      <c r="V65" t="str" cm="1">
        <f t="array" ref="V65">IFERROR(VLOOKUP(MODE(IF(Combined[Date]=Mileage[[#This Row],[Date]],Combined[Area '#])),KPIs!$B$4:$C$7,2,FALSE),VLOOKUP(Mileage[[#This Row],[Date]],Combined[[Date]:[Primary Area]],8,FALSE))</f>
        <v>Brunswick/Bath/Freeport</v>
      </c>
      <c r="W65" s="106">
        <v>0.71111111111111114</v>
      </c>
      <c r="X65" s="12">
        <v>1.9</v>
      </c>
      <c r="Y65" s="4">
        <v>47.4</v>
      </c>
      <c r="Z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6" spans="2:26" x14ac:dyDescent="0.35">
      <c r="B66">
        <f t="shared" si="2"/>
        <v>64</v>
      </c>
      <c r="C66" t="s">
        <v>86</v>
      </c>
      <c r="D66" t="s">
        <v>176</v>
      </c>
      <c r="E66">
        <f>IF(WEEKNUM(Combined[[#This Row],[Date]], 1) = 53, 1, WEEKNUM(Combined[[#This Row],[Date]], 2))</f>
        <v>21</v>
      </c>
      <c r="F66" t="str">
        <f t="shared" ref="F66:F97" si="4">TEXT(WEEKDAY(G66,1),"DDDD")</f>
        <v>Sunday</v>
      </c>
      <c r="G66" s="41">
        <v>44339</v>
      </c>
      <c r="H66">
        <v>9</v>
      </c>
      <c r="I66" s="1">
        <f>9+79.75+9</f>
        <v>97.75</v>
      </c>
      <c r="J66" s="2">
        <f>TIME(1,12,)+TIME(4,27,)</f>
        <v>0.23541666666666666</v>
      </c>
      <c r="K66" s="12">
        <f>Combined[[#This Row],[Time Spent]]*24</f>
        <v>5.65</v>
      </c>
      <c r="L66" s="12">
        <f>MROUND(Combined[[#This Row],[Time Spent 2]],0.25)</f>
        <v>5.75</v>
      </c>
      <c r="M66" s="2" t="s">
        <v>91</v>
      </c>
      <c r="N66" t="s">
        <v>85</v>
      </c>
      <c r="O66">
        <f>MATCH(Combined[[#This Row],[Primary Area]],KPIs!$C$4:$C$7,0)</f>
        <v>4</v>
      </c>
      <c r="P66"/>
      <c r="Q66" s="40">
        <v>44438</v>
      </c>
      <c r="R66" s="40">
        <f t="shared" si="1"/>
        <v>44438</v>
      </c>
      <c r="S66" s="4" t="str">
        <f>TEXT(Mileage[[#This Row],[Date]],"dddd")</f>
        <v>Monday</v>
      </c>
      <c r="T66" s="4" t="s">
        <v>236</v>
      </c>
      <c r="U66" s="4">
        <v>82.2</v>
      </c>
      <c r="V66" t="str" cm="1">
        <f t="array" ref="V66">IFERROR(VLOOKUP(MODE(IF(Combined[Date]=Mileage[[#This Row],[Date]],Combined[Area '#])),KPIs!$B$4:$C$7,2,FALSE),VLOOKUP(Mileage[[#This Row],[Date]],Combined[[Date]:[Primary Area]],8,FALSE))</f>
        <v>Brunswick/Bath/Freeport</v>
      </c>
      <c r="W66" s="106">
        <v>0.71736111111111101</v>
      </c>
      <c r="X66" s="12">
        <v>1.1000000000000001</v>
      </c>
      <c r="Y66" s="4">
        <v>13.5</v>
      </c>
      <c r="Z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" spans="2:26" x14ac:dyDescent="0.35">
      <c r="B67">
        <f t="shared" ref="B67:B130" si="5">ROW()-2</f>
        <v>65</v>
      </c>
      <c r="C67" t="s">
        <v>83</v>
      </c>
      <c r="D67" t="s">
        <v>176</v>
      </c>
      <c r="E67">
        <f>IF(WEEKNUM(Combined[[#This Row],[Date]], 1) = 53, 1, WEEKNUM(Combined[[#This Row],[Date]], 2))</f>
        <v>21</v>
      </c>
      <c r="F67" t="str">
        <f t="shared" si="4"/>
        <v>Sunday</v>
      </c>
      <c r="G67" s="41">
        <v>44339</v>
      </c>
      <c r="H67">
        <v>5</v>
      </c>
      <c r="I67" s="1">
        <f>89.05+3</f>
        <v>92.05</v>
      </c>
      <c r="J67" s="2">
        <v>0.15625</v>
      </c>
      <c r="K67" s="12">
        <f>Combined[[#This Row],[Time Spent]]*24</f>
        <v>3.75</v>
      </c>
      <c r="L67" s="12">
        <f>MROUND(Combined[[#This Row],[Time Spent 2]],0.25)</f>
        <v>3.75</v>
      </c>
      <c r="M67" s="2" t="s">
        <v>90</v>
      </c>
      <c r="N67" t="s">
        <v>85</v>
      </c>
      <c r="O67">
        <f>MATCH(Combined[[#This Row],[Primary Area]],KPIs!$C$4:$C$7,0)</f>
        <v>4</v>
      </c>
      <c r="P67"/>
      <c r="Q67" s="40">
        <v>44439</v>
      </c>
      <c r="R67" s="40">
        <f t="shared" ref="R67:R130" si="6">Q67</f>
        <v>44439</v>
      </c>
      <c r="S67" s="4" t="str">
        <f>TEXT(Mileage[[#This Row],[Date]],"dddd")</f>
        <v>Tuesday</v>
      </c>
      <c r="T67" s="4" t="s">
        <v>236</v>
      </c>
      <c r="U67" s="4">
        <v>73.400000000000006</v>
      </c>
      <c r="V67" t="str" cm="1">
        <f t="array" ref="V67">IFERROR(VLOOKUP(MODE(IF(Combined[Date]=Mileage[[#This Row],[Date]],Combined[Area '#])),KPIs!$B$4:$C$7,2,FALSE),VLOOKUP(Mileage[[#This Row],[Date]],Combined[[Date]:[Primary Area]],8,FALSE))</f>
        <v>Brunswick/Bath/Freeport</v>
      </c>
      <c r="W67" s="106">
        <v>0.81736111111111109</v>
      </c>
      <c r="X67" s="12">
        <v>2.3000000000000003</v>
      </c>
      <c r="Y67" s="4">
        <v>37.1</v>
      </c>
      <c r="Z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8" spans="2:26" x14ac:dyDescent="0.35">
      <c r="B68">
        <f t="shared" si="5"/>
        <v>66</v>
      </c>
      <c r="C68" t="s">
        <v>83</v>
      </c>
      <c r="D68" t="s">
        <v>176</v>
      </c>
      <c r="E68">
        <f>IF(WEEKNUM(Combined[[#This Row],[Date]], 1) = 53, 1, WEEKNUM(Combined[[#This Row],[Date]], 2))</f>
        <v>22</v>
      </c>
      <c r="F68" t="str">
        <f t="shared" si="4"/>
        <v>Wednesday</v>
      </c>
      <c r="G68" s="41">
        <v>44342</v>
      </c>
      <c r="H68">
        <v>3</v>
      </c>
      <c r="I68" s="1">
        <v>23.91</v>
      </c>
      <c r="J68" s="2">
        <v>5.486111111111111E-2</v>
      </c>
      <c r="K68" s="12">
        <f>Combined[[#This Row],[Time Spent]]*24</f>
        <v>1.3166666666666667</v>
      </c>
      <c r="L68" s="12">
        <f>MROUND(Combined[[#This Row],[Time Spent 2]],0.25)</f>
        <v>1.25</v>
      </c>
      <c r="M68" s="2" t="s">
        <v>91</v>
      </c>
      <c r="N68" t="s">
        <v>82</v>
      </c>
      <c r="O68">
        <f>MATCH(Combined[[#This Row],[Primary Area]],KPIs!$C$4:$C$7,0)</f>
        <v>3</v>
      </c>
      <c r="P68"/>
      <c r="Q68" s="40">
        <v>44449</v>
      </c>
      <c r="R68" s="40">
        <f t="shared" si="6"/>
        <v>44449</v>
      </c>
      <c r="S68" s="4" t="str">
        <f>TEXT(Mileage[[#This Row],[Date]],"dddd")</f>
        <v>Friday</v>
      </c>
      <c r="T68" s="4" t="s">
        <v>230</v>
      </c>
      <c r="U68" s="4">
        <v>73.099999999999994</v>
      </c>
      <c r="V68" t="str" cm="1">
        <f t="array" ref="V68">IFERROR(VLOOKUP(MODE(IF(Combined[Date]=Mileage[[#This Row],[Date]],Combined[Area '#])),KPIs!$B$4:$C$7,2,FALSE),VLOOKUP(Mileage[[#This Row],[Date]],Combined[[Date]:[Primary Area]],8,FALSE))</f>
        <v>Brunswick/Bath/Freeport</v>
      </c>
      <c r="W68" s="106">
        <v>0.77708333333333324</v>
      </c>
      <c r="X68" s="12">
        <v>3.1</v>
      </c>
      <c r="Y68" s="4">
        <v>50.099999999999994</v>
      </c>
      <c r="Z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" spans="2:26" x14ac:dyDescent="0.35">
      <c r="B69">
        <f t="shared" si="5"/>
        <v>67</v>
      </c>
      <c r="C69" t="s">
        <v>86</v>
      </c>
      <c r="D69" t="s">
        <v>176</v>
      </c>
      <c r="E69">
        <f>IF(WEEKNUM(Combined[[#This Row],[Date]], 1) = 53, 1, WEEKNUM(Combined[[#This Row],[Date]], 2))</f>
        <v>22</v>
      </c>
      <c r="F69" t="str">
        <f t="shared" si="4"/>
        <v>Wednesday</v>
      </c>
      <c r="G69" s="41">
        <v>44342</v>
      </c>
      <c r="H69">
        <v>10</v>
      </c>
      <c r="I69" s="1">
        <v>78.94</v>
      </c>
      <c r="J69" s="2">
        <v>0.16458333333333333</v>
      </c>
      <c r="K69" s="12">
        <f>Combined[[#This Row],[Time Spent]]*24</f>
        <v>3.95</v>
      </c>
      <c r="L69" s="12">
        <f>MROUND(Combined[[#This Row],[Time Spent 2]],0.25)</f>
        <v>4</v>
      </c>
      <c r="M69" s="2" t="s">
        <v>91</v>
      </c>
      <c r="N69" t="s">
        <v>82</v>
      </c>
      <c r="O69">
        <f>MATCH(Combined[[#This Row],[Primary Area]],KPIs!$C$4:$C$7,0)</f>
        <v>3</v>
      </c>
      <c r="P69"/>
      <c r="Q69" s="40">
        <v>44451</v>
      </c>
      <c r="R69" s="40">
        <f t="shared" si="6"/>
        <v>44451</v>
      </c>
      <c r="S69" s="4" t="str">
        <f>TEXT(Mileage[[#This Row],[Date]],"dddd")</f>
        <v>Sunday</v>
      </c>
      <c r="T69" s="4" t="s">
        <v>230</v>
      </c>
      <c r="U69" s="4">
        <v>74.3</v>
      </c>
      <c r="V69" t="str" cm="1">
        <f t="array" ref="V69">IFERROR(VLOOKUP(MODE(IF(Combined[Date]=Mileage[[#This Row],[Date]],Combined[Area '#])),KPIs!$B$4:$C$7,2,FALSE),VLOOKUP(Mileage[[#This Row],[Date]],Combined[[Date]:[Primary Area]],8,FALSE))</f>
        <v>Brunswick/Bath/Freeport</v>
      </c>
      <c r="W69" s="106">
        <v>0.65138888888888891</v>
      </c>
      <c r="X69" s="12">
        <v>0.5</v>
      </c>
      <c r="Y69" s="4">
        <v>13.3</v>
      </c>
      <c r="Z6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" spans="2:26" x14ac:dyDescent="0.35">
      <c r="B70">
        <f t="shared" si="5"/>
        <v>68</v>
      </c>
      <c r="C70" t="s">
        <v>83</v>
      </c>
      <c r="D70" t="s">
        <v>176</v>
      </c>
      <c r="E70">
        <f>IF(WEEKNUM(Combined[[#This Row],[Date]], 1) = 53, 1, WEEKNUM(Combined[[#This Row],[Date]], 2))</f>
        <v>22</v>
      </c>
      <c r="F70" t="str">
        <f t="shared" si="4"/>
        <v>Saturday</v>
      </c>
      <c r="G70" s="41">
        <v>44345</v>
      </c>
      <c r="H70">
        <v>1</v>
      </c>
      <c r="I70" s="1">
        <v>12.75</v>
      </c>
      <c r="J70" s="2">
        <v>7.013888888888889E-2</v>
      </c>
      <c r="K70" s="12">
        <f>Combined[[#This Row],[Time Spent]]*24</f>
        <v>1.6833333333333333</v>
      </c>
      <c r="L70" s="12">
        <f>MROUND(Combined[[#This Row],[Time Spent 2]],0.25)</f>
        <v>1.75</v>
      </c>
      <c r="M70" s="2" t="s">
        <v>91</v>
      </c>
      <c r="N70" t="s">
        <v>80</v>
      </c>
      <c r="O70">
        <f>MATCH(Combined[[#This Row],[Primary Area]],KPIs!$C$4:$C$7,0)</f>
        <v>2</v>
      </c>
      <c r="P70"/>
      <c r="Q70" s="40">
        <v>44455</v>
      </c>
      <c r="R70" s="40">
        <f t="shared" si="6"/>
        <v>44455</v>
      </c>
      <c r="S70" s="4" t="str">
        <f>TEXT(Mileage[[#This Row],[Date]],"dddd")</f>
        <v>Thursday</v>
      </c>
      <c r="T70" s="4" t="s">
        <v>249</v>
      </c>
      <c r="U70" s="4">
        <v>72</v>
      </c>
      <c r="V70" t="str" cm="1">
        <f t="array" ref="V70">IFERROR(VLOOKUP(MODE(IF(Combined[Date]=Mileage[[#This Row],[Date]],Combined[Area '#])),KPIs!$B$4:$C$7,2,FALSE),VLOOKUP(Mileage[[#This Row],[Date]],Combined[[Date]:[Primary Area]],8,FALSE))</f>
        <v>Brunswick/Bath/Freeport</v>
      </c>
      <c r="W70" s="106">
        <v>0.75694444444444453</v>
      </c>
      <c r="X70" s="12">
        <v>3.1</v>
      </c>
      <c r="Y70" s="4">
        <v>76.8</v>
      </c>
      <c r="Z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" spans="2:26" x14ac:dyDescent="0.35">
      <c r="B71">
        <f t="shared" si="5"/>
        <v>69</v>
      </c>
      <c r="C71" t="s">
        <v>86</v>
      </c>
      <c r="D71" t="s">
        <v>176</v>
      </c>
      <c r="E71">
        <f>IF(WEEKNUM(Combined[[#This Row],[Date]], 1) = 53, 1, WEEKNUM(Combined[[#This Row],[Date]], 2))</f>
        <v>22</v>
      </c>
      <c r="F71" t="str">
        <f t="shared" si="4"/>
        <v>Saturday</v>
      </c>
      <c r="G71" s="41">
        <v>44345</v>
      </c>
      <c r="H71">
        <v>6</v>
      </c>
      <c r="I71" s="1">
        <f>33.75+20</f>
        <v>53.75</v>
      </c>
      <c r="J71" s="2">
        <f>TIME(2,45,)+TIME(2,12,)</f>
        <v>0.20624999999999999</v>
      </c>
      <c r="K71" s="12">
        <f>Combined[[#This Row],[Time Spent]]*24</f>
        <v>4.9499999999999993</v>
      </c>
      <c r="L71" s="12">
        <f>MROUND(Combined[[#This Row],[Time Spent 2]],0.25)</f>
        <v>5</v>
      </c>
      <c r="M71" s="2" t="s">
        <v>91</v>
      </c>
      <c r="N71" t="s">
        <v>80</v>
      </c>
      <c r="O71">
        <f>MATCH(Combined[[#This Row],[Primary Area]],KPIs!$C$4:$C$7,0)</f>
        <v>2</v>
      </c>
      <c r="P71"/>
      <c r="Q71" s="40">
        <v>44464</v>
      </c>
      <c r="R71" s="40">
        <f t="shared" si="6"/>
        <v>44464</v>
      </c>
      <c r="S71" s="4" t="str">
        <f>TEXT(Mileage[[#This Row],[Date]],"dddd")</f>
        <v>Saturday</v>
      </c>
      <c r="T71" s="4" t="s">
        <v>236</v>
      </c>
      <c r="U71" s="4">
        <v>69.7</v>
      </c>
      <c r="V71" t="str" cm="1">
        <f t="array" ref="V71">IFERROR(VLOOKUP(MODE(IF(Combined[Date]=Mileage[[#This Row],[Date]],Combined[Area '#])),KPIs!$B$4:$C$7,2,FALSE),VLOOKUP(Mileage[[#This Row],[Date]],Combined[[Date]:[Primary Area]],8,FALSE))</f>
        <v>Brunswick/Bath/Freeport</v>
      </c>
      <c r="W71" s="106">
        <v>0.5756944444444444</v>
      </c>
      <c r="X71" s="12">
        <v>7.3000000000000016</v>
      </c>
      <c r="Y71" s="4">
        <v>152.30000000000001</v>
      </c>
      <c r="Z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" spans="2:26" x14ac:dyDescent="0.35">
      <c r="B72">
        <f t="shared" si="5"/>
        <v>70</v>
      </c>
      <c r="C72" t="s">
        <v>83</v>
      </c>
      <c r="D72" t="s">
        <v>176</v>
      </c>
      <c r="E72">
        <f>IF(WEEKNUM(Combined[[#This Row],[Date]], 1) = 53, 1, WEEKNUM(Combined[[#This Row],[Date]], 2))</f>
        <v>23</v>
      </c>
      <c r="F72" t="str">
        <f t="shared" si="4"/>
        <v>Monday</v>
      </c>
      <c r="G72" s="41">
        <v>44347</v>
      </c>
      <c r="H72">
        <v>1</v>
      </c>
      <c r="I72" s="1">
        <v>24.82</v>
      </c>
      <c r="J72" s="2">
        <v>6.7361111111111108E-2</v>
      </c>
      <c r="K72" s="12">
        <f>Combined[[#This Row],[Time Spent]]*24</f>
        <v>1.6166666666666667</v>
      </c>
      <c r="L72" s="12">
        <f>MROUND(Combined[[#This Row],[Time Spent 2]],0.25)</f>
        <v>1.5</v>
      </c>
      <c r="M72" s="2" t="s">
        <v>91</v>
      </c>
      <c r="N72" t="s">
        <v>80</v>
      </c>
      <c r="O72">
        <f>MATCH(Combined[[#This Row],[Primary Area]],KPIs!$C$4:$C$7,0)</f>
        <v>2</v>
      </c>
      <c r="P72"/>
      <c r="Q72" s="40">
        <v>44471</v>
      </c>
      <c r="R72" s="40">
        <f t="shared" si="6"/>
        <v>44471</v>
      </c>
      <c r="S72" s="4" t="str">
        <f>TEXT(Mileage[[#This Row],[Date]],"dddd")</f>
        <v>Saturday</v>
      </c>
      <c r="T72" s="4" t="s">
        <v>236</v>
      </c>
      <c r="U72" s="4">
        <v>55.4</v>
      </c>
      <c r="V72" t="str" cm="1">
        <f t="array" ref="V72">IFERROR(VLOOKUP(MODE(IF(Combined[Date]=Mileage[[#This Row],[Date]],Combined[Area '#])),KPIs!$B$4:$C$7,2,FALSE),VLOOKUP(Mileage[[#This Row],[Date]],Combined[[Date]:[Primary Area]],8,FALSE))</f>
        <v>Brunswick/Bath/Freeport</v>
      </c>
      <c r="W72" s="106">
        <v>0.7631944444444444</v>
      </c>
      <c r="X72" s="12">
        <v>2.0999999999999996</v>
      </c>
      <c r="Y72" s="4">
        <v>40</v>
      </c>
      <c r="Z7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" spans="2:26" x14ac:dyDescent="0.35">
      <c r="B73">
        <f t="shared" si="5"/>
        <v>71</v>
      </c>
      <c r="C73" t="s">
        <v>86</v>
      </c>
      <c r="D73" t="s">
        <v>176</v>
      </c>
      <c r="E73">
        <f>IF(WEEKNUM(Combined[[#This Row],[Date]], 1) = 53, 1, WEEKNUM(Combined[[#This Row],[Date]], 2))</f>
        <v>23</v>
      </c>
      <c r="F73" t="str">
        <f t="shared" si="4"/>
        <v>Monday</v>
      </c>
      <c r="G73" s="41">
        <v>44347</v>
      </c>
      <c r="H73">
        <v>10</v>
      </c>
      <c r="I73" s="1">
        <v>73.540000000000006</v>
      </c>
      <c r="J73" s="2">
        <v>0.15763888888888888</v>
      </c>
      <c r="K73" s="12">
        <f>Combined[[#This Row],[Time Spent]]*24</f>
        <v>3.7833333333333332</v>
      </c>
      <c r="L73" s="12">
        <f>MROUND(Combined[[#This Row],[Time Spent 2]],0.25)</f>
        <v>3.75</v>
      </c>
      <c r="M73" s="2" t="s">
        <v>91</v>
      </c>
      <c r="N73" t="s">
        <v>80</v>
      </c>
      <c r="O73">
        <f>MATCH(Combined[[#This Row],[Primary Area]],KPIs!$C$4:$C$7,0)</f>
        <v>2</v>
      </c>
      <c r="P73"/>
      <c r="Q73" s="40">
        <v>44479</v>
      </c>
      <c r="R73" s="40">
        <f t="shared" si="6"/>
        <v>44479</v>
      </c>
      <c r="S73" s="4" t="str">
        <f>TEXT(Mileage[[#This Row],[Date]],"dddd")</f>
        <v>Sunday</v>
      </c>
      <c r="T73" s="4" t="s">
        <v>249</v>
      </c>
      <c r="U73" s="4">
        <v>67.599999999999994</v>
      </c>
      <c r="V73" t="str" cm="1">
        <f t="array" ref="V73">IFERROR(VLOOKUP(MODE(IF(Combined[Date]=Mileage[[#This Row],[Date]],Combined[Area '#])),KPIs!$B$4:$C$7,2,FALSE),VLOOKUP(Mileage[[#This Row],[Date]],Combined[[Date]:[Primary Area]],8,FALSE))</f>
        <v>Brunswick/Bath/Freeport</v>
      </c>
      <c r="W73" s="106">
        <v>0.71319444444444446</v>
      </c>
      <c r="X73" s="12">
        <v>1.2</v>
      </c>
      <c r="Y73" s="4">
        <v>35</v>
      </c>
      <c r="Z7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" spans="2:26" x14ac:dyDescent="0.35">
      <c r="B74">
        <f t="shared" si="5"/>
        <v>72</v>
      </c>
      <c r="C74" t="s">
        <v>83</v>
      </c>
      <c r="D74" t="s">
        <v>176</v>
      </c>
      <c r="E74">
        <f>IF(WEEKNUM(Combined[[#This Row],[Date]], 1) = 53, 1, WEEKNUM(Combined[[#This Row],[Date]], 2))</f>
        <v>23</v>
      </c>
      <c r="F74" t="str">
        <f t="shared" si="4"/>
        <v>Thursday</v>
      </c>
      <c r="G74" s="41">
        <v>44350</v>
      </c>
      <c r="H74">
        <v>0</v>
      </c>
      <c r="I74" s="1">
        <v>0</v>
      </c>
      <c r="J74" s="2">
        <v>4.4444444444444446E-2</v>
      </c>
      <c r="K74" s="12">
        <f>Combined[[#This Row],[Time Spent]]*24</f>
        <v>1.0666666666666667</v>
      </c>
      <c r="L74" s="12">
        <f>MROUND(Combined[[#This Row],[Time Spent 2]],0.25)</f>
        <v>1</v>
      </c>
      <c r="M74" s="2" t="s">
        <v>91</v>
      </c>
      <c r="N74" t="s">
        <v>82</v>
      </c>
      <c r="O74">
        <f>MATCH(Combined[[#This Row],[Primary Area]],KPIs!$C$4:$C$7,0)</f>
        <v>3</v>
      </c>
      <c r="P74"/>
      <c r="Q74" s="40">
        <v>44480</v>
      </c>
      <c r="R74" s="40">
        <f t="shared" si="6"/>
        <v>44480</v>
      </c>
      <c r="S74" s="4" t="str">
        <f>TEXT(Mileage[[#This Row],[Date]],"dddd")</f>
        <v>Monday</v>
      </c>
      <c r="T74" s="4" t="s">
        <v>249</v>
      </c>
      <c r="U74" s="4">
        <v>74.599999999999994</v>
      </c>
      <c r="V74" t="str" cm="1">
        <f t="array" ref="V74">IFERROR(VLOOKUP(MODE(IF(Combined[Date]=Mileage[[#This Row],[Date]],Combined[Area '#])),KPIs!$B$4:$C$7,2,FALSE),VLOOKUP(Mileage[[#This Row],[Date]],Combined[[Date]:[Primary Area]],8,FALSE))</f>
        <v>Brunswick/Bath/Freeport</v>
      </c>
      <c r="W74" s="106">
        <v>0.74930555555555556</v>
      </c>
      <c r="X74" s="12">
        <v>2.2999999999999998</v>
      </c>
      <c r="Y74" s="4">
        <v>43.199999999999996</v>
      </c>
      <c r="Z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" spans="2:26" x14ac:dyDescent="0.35">
      <c r="B75">
        <f t="shared" si="5"/>
        <v>73</v>
      </c>
      <c r="C75" t="s">
        <v>86</v>
      </c>
      <c r="D75" t="s">
        <v>176</v>
      </c>
      <c r="E75">
        <f>IF(WEEKNUM(Combined[[#This Row],[Date]], 1) = 53, 1, WEEKNUM(Combined[[#This Row],[Date]], 2))</f>
        <v>23</v>
      </c>
      <c r="F75" t="str">
        <f t="shared" si="4"/>
        <v>Thursday</v>
      </c>
      <c r="G75" s="41">
        <v>44350</v>
      </c>
      <c r="H75">
        <v>6</v>
      </c>
      <c r="I75" s="1">
        <v>56</v>
      </c>
      <c r="J75" s="2">
        <v>0.11458333333333333</v>
      </c>
      <c r="K75" s="12">
        <f>Combined[[#This Row],[Time Spent]]*24</f>
        <v>2.75</v>
      </c>
      <c r="L75" s="12">
        <f>MROUND(Combined[[#This Row],[Time Spent 2]],0.25)</f>
        <v>2.75</v>
      </c>
      <c r="M75" s="2" t="s">
        <v>91</v>
      </c>
      <c r="N75" t="s">
        <v>82</v>
      </c>
      <c r="O75">
        <f>MATCH(Combined[[#This Row],[Primary Area]],KPIs!$C$4:$C$7,0)</f>
        <v>3</v>
      </c>
      <c r="P75"/>
      <c r="Q75" s="40">
        <v>44493</v>
      </c>
      <c r="R75" s="40">
        <f t="shared" si="6"/>
        <v>44493</v>
      </c>
      <c r="S75" s="4" t="str">
        <f>TEXT(Mileage[[#This Row],[Date]],"dddd")</f>
        <v>Sunday</v>
      </c>
      <c r="T75" s="4" t="s">
        <v>236</v>
      </c>
      <c r="U75" s="4">
        <v>42.9</v>
      </c>
      <c r="V75" t="str" cm="1">
        <f t="array" ref="V75">IFERROR(VLOOKUP(MODE(IF(Combined[Date]=Mileage[[#This Row],[Date]],Combined[Area '#])),KPIs!$B$4:$C$7,2,FALSE),VLOOKUP(Mileage[[#This Row],[Date]],Combined[[Date]:[Primary Area]],8,FALSE))</f>
        <v>Brunswick/Bath/Freeport</v>
      </c>
      <c r="W75" s="106">
        <v>0.68888888888888899</v>
      </c>
      <c r="X75" s="12">
        <v>5.3999999999999995</v>
      </c>
      <c r="Y75" s="4">
        <v>100</v>
      </c>
      <c r="Z7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" spans="2:26" x14ac:dyDescent="0.35">
      <c r="B76">
        <f t="shared" si="5"/>
        <v>74</v>
      </c>
      <c r="C76" t="s">
        <v>83</v>
      </c>
      <c r="D76" t="s">
        <v>176</v>
      </c>
      <c r="E76">
        <f>IF(WEEKNUM(Combined[[#This Row],[Date]], 1) = 53, 1, WEEKNUM(Combined[[#This Row],[Date]], 2))</f>
        <v>23</v>
      </c>
      <c r="F76" t="str">
        <f t="shared" si="4"/>
        <v>Friday</v>
      </c>
      <c r="G76" s="41">
        <v>44351</v>
      </c>
      <c r="H76">
        <v>4</v>
      </c>
      <c r="I76" s="1">
        <v>47.64</v>
      </c>
      <c r="J76" s="2">
        <v>9.0277777777777776E-2</v>
      </c>
      <c r="K76" s="12">
        <f>Combined[[#This Row],[Time Spent]]*24</f>
        <v>2.1666666666666665</v>
      </c>
      <c r="L76" s="12">
        <f>MROUND(Combined[[#This Row],[Time Spent 2]],0.25)</f>
        <v>2.25</v>
      </c>
      <c r="M76" s="2" t="s">
        <v>91</v>
      </c>
      <c r="N76" t="s">
        <v>82</v>
      </c>
      <c r="O76">
        <f>MATCH(Combined[[#This Row],[Primary Area]],KPIs!$C$4:$C$7,0)</f>
        <v>3</v>
      </c>
      <c r="P76"/>
      <c r="Q76" s="40">
        <v>44494</v>
      </c>
      <c r="R76" s="40">
        <f t="shared" si="6"/>
        <v>44494</v>
      </c>
      <c r="S76" s="4" t="str">
        <f>TEXT(Mileage[[#This Row],[Date]],"dddd")</f>
        <v>Monday</v>
      </c>
      <c r="T76" s="4" t="s">
        <v>236</v>
      </c>
      <c r="U76" s="4">
        <v>43.9</v>
      </c>
      <c r="V76" t="str" cm="1">
        <f t="array" ref="V76">IFERROR(VLOOKUP(MODE(IF(Combined[Date]=Mileage[[#This Row],[Date]],Combined[Area '#])),KPIs!$B$4:$C$7,2,FALSE),VLOOKUP(Mileage[[#This Row],[Date]],Combined[[Date]:[Primary Area]],8,FALSE))</f>
        <v>Brunswick/Bath/Freeport</v>
      </c>
      <c r="W76" s="106">
        <v>0.75208333333333333</v>
      </c>
      <c r="X76" s="12">
        <v>3.9</v>
      </c>
      <c r="Y76" s="4">
        <v>72.400000000000006</v>
      </c>
      <c r="Z7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7" spans="2:26" x14ac:dyDescent="0.35">
      <c r="B77">
        <f t="shared" si="5"/>
        <v>75</v>
      </c>
      <c r="C77" t="s">
        <v>86</v>
      </c>
      <c r="D77" t="s">
        <v>176</v>
      </c>
      <c r="E77">
        <f>IF(WEEKNUM(Combined[[#This Row],[Date]], 1) = 53, 1, WEEKNUM(Combined[[#This Row],[Date]], 2))</f>
        <v>23</v>
      </c>
      <c r="F77" t="str">
        <f t="shared" si="4"/>
        <v>Friday</v>
      </c>
      <c r="G77" s="41">
        <v>44351</v>
      </c>
      <c r="H77">
        <f>2+2</f>
        <v>4</v>
      </c>
      <c r="I77" s="1">
        <f>8+21.75</f>
        <v>29.75</v>
      </c>
      <c r="J77" s="2">
        <f>TIME(1,33,)+TIME(2,15,)</f>
        <v>0.15833333333333333</v>
      </c>
      <c r="K77" s="12">
        <f>Combined[[#This Row],[Time Spent]]*24</f>
        <v>3.8</v>
      </c>
      <c r="L77" s="12">
        <f>MROUND(Combined[[#This Row],[Time Spent 2]],0.25)</f>
        <v>3.75</v>
      </c>
      <c r="M77" s="2" t="s">
        <v>91</v>
      </c>
      <c r="N77" t="s">
        <v>82</v>
      </c>
      <c r="O77">
        <f>MATCH(Combined[[#This Row],[Primary Area]],KPIs!$C$4:$C$7,0)</f>
        <v>3</v>
      </c>
      <c r="P77"/>
      <c r="Q77" s="40">
        <v>44502</v>
      </c>
      <c r="R77" s="40">
        <f t="shared" si="6"/>
        <v>44502</v>
      </c>
      <c r="S77" s="4" t="str">
        <f>TEXT(Mileage[[#This Row],[Date]],"dddd")</f>
        <v>Tuesday</v>
      </c>
      <c r="T77" s="4" t="s">
        <v>249</v>
      </c>
      <c r="U77" s="4">
        <v>47.5</v>
      </c>
      <c r="V77" t="str" cm="1">
        <f t="array" ref="V77">IFERROR(VLOOKUP(MODE(IF(Combined[Date]=Mileage[[#This Row],[Date]],Combined[Area '#])),KPIs!$B$4:$C$7,2,FALSE),VLOOKUP(Mileage[[#This Row],[Date]],Combined[[Date]:[Primary Area]],8,FALSE))</f>
        <v>Brunswick/Bath/Freeport</v>
      </c>
      <c r="W77" s="106">
        <v>0.7284722222222223</v>
      </c>
      <c r="X77" s="12">
        <v>1.2</v>
      </c>
      <c r="Y77" s="4">
        <v>11</v>
      </c>
      <c r="Z7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8" spans="2:26" x14ac:dyDescent="0.35">
      <c r="B78">
        <f t="shared" si="5"/>
        <v>76</v>
      </c>
      <c r="C78" t="s">
        <v>83</v>
      </c>
      <c r="D78" t="s">
        <v>176</v>
      </c>
      <c r="E78">
        <f>IF(WEEKNUM(Combined[[#This Row],[Date]], 1) = 53, 1, WEEKNUM(Combined[[#This Row],[Date]], 2))</f>
        <v>24</v>
      </c>
      <c r="F78" t="str">
        <f t="shared" si="4"/>
        <v>Monday</v>
      </c>
      <c r="G78" s="41">
        <v>44354</v>
      </c>
      <c r="H78">
        <v>0</v>
      </c>
      <c r="I78" s="1">
        <v>0</v>
      </c>
      <c r="J78" s="2">
        <v>4.6527777777777779E-2</v>
      </c>
      <c r="K78" s="12">
        <f>Combined[[#This Row],[Time Spent]]*24</f>
        <v>1.1166666666666667</v>
      </c>
      <c r="L78" s="12">
        <f>MROUND(Combined[[#This Row],[Time Spent 2]],0.25)</f>
        <v>1</v>
      </c>
      <c r="M78" s="2" t="s">
        <v>91</v>
      </c>
      <c r="N78" t="s">
        <v>82</v>
      </c>
      <c r="O78">
        <f>MATCH(Combined[[#This Row],[Primary Area]],KPIs!$C$4:$C$7,0)</f>
        <v>3</v>
      </c>
      <c r="P78"/>
      <c r="Q78" s="40">
        <v>44505</v>
      </c>
      <c r="R78" s="40">
        <f t="shared" si="6"/>
        <v>44505</v>
      </c>
      <c r="S78" s="4" t="str">
        <f>TEXT(Mileage[[#This Row],[Date]],"dddd")</f>
        <v>Friday</v>
      </c>
      <c r="T78" s="4" t="s">
        <v>230</v>
      </c>
      <c r="U78" s="4">
        <v>48.2</v>
      </c>
      <c r="V78" t="str" cm="1">
        <f t="array" ref="V78">IFERROR(VLOOKUP(MODE(IF(Combined[Date]=Mileage[[#This Row],[Date]],Combined[Area '#])),KPIs!$B$4:$C$7,2,FALSE),VLOOKUP(Mileage[[#This Row],[Date]],Combined[[Date]:[Primary Area]],8,FALSE))</f>
        <v>Brunswick/Bath/Freeport</v>
      </c>
      <c r="W78" s="106">
        <v>0.74375000000000002</v>
      </c>
      <c r="X78" s="12">
        <v>2.6000000000000005</v>
      </c>
      <c r="Y78" s="4">
        <v>58</v>
      </c>
      <c r="Z7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" spans="2:26" x14ac:dyDescent="0.35">
      <c r="B79">
        <f t="shared" si="5"/>
        <v>77</v>
      </c>
      <c r="C79" t="s">
        <v>86</v>
      </c>
      <c r="D79" t="s">
        <v>176</v>
      </c>
      <c r="E79">
        <f>IF(WEEKNUM(Combined[[#This Row],[Date]], 1) = 53, 1, WEEKNUM(Combined[[#This Row],[Date]], 2))</f>
        <v>24</v>
      </c>
      <c r="F79" t="str">
        <f t="shared" si="4"/>
        <v>Monday</v>
      </c>
      <c r="G79" s="41">
        <v>44354</v>
      </c>
      <c r="H79">
        <v>5</v>
      </c>
      <c r="I79" s="1">
        <v>24.75</v>
      </c>
      <c r="J79" s="2">
        <v>7.8472222222222221E-2</v>
      </c>
      <c r="K79" s="12">
        <f>Combined[[#This Row],[Time Spent]]*24</f>
        <v>1.8833333333333333</v>
      </c>
      <c r="L79" s="12">
        <f>MROUND(Combined[[#This Row],[Time Spent 2]],0.25)</f>
        <v>2</v>
      </c>
      <c r="M79" s="2" t="s">
        <v>91</v>
      </c>
      <c r="N79" t="s">
        <v>82</v>
      </c>
      <c r="O79">
        <f>MATCH(Combined[[#This Row],[Primary Area]],KPIs!$C$4:$C$7,0)</f>
        <v>3</v>
      </c>
      <c r="P79"/>
      <c r="Q79" s="40">
        <v>44507</v>
      </c>
      <c r="R79" s="40">
        <f t="shared" si="6"/>
        <v>44507</v>
      </c>
      <c r="S79" s="4" t="str">
        <f>TEXT(Mileage[[#This Row],[Date]],"dddd")</f>
        <v>Sunday</v>
      </c>
      <c r="T79" s="4" t="s">
        <v>230</v>
      </c>
      <c r="U79" s="4">
        <v>60.5</v>
      </c>
      <c r="V79" t="str" cm="1">
        <f t="array" ref="V79">IFERROR(VLOOKUP(MODE(IF(Combined[Date]=Mileage[[#This Row],[Date]],Combined[Area '#])),KPIs!$B$4:$C$7,2,FALSE),VLOOKUP(Mileage[[#This Row],[Date]],Combined[[Date]:[Primary Area]],8,FALSE))</f>
        <v>Lewiston</v>
      </c>
      <c r="W79" s="106">
        <v>0.45069444444444445</v>
      </c>
      <c r="X79" s="12">
        <v>1.9000000000000001</v>
      </c>
      <c r="Y79" s="4">
        <v>19.299999999999997</v>
      </c>
      <c r="Z7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0" spans="2:26" x14ac:dyDescent="0.35">
      <c r="B80">
        <f t="shared" si="5"/>
        <v>78</v>
      </c>
      <c r="C80" t="s">
        <v>83</v>
      </c>
      <c r="D80" t="s">
        <v>176</v>
      </c>
      <c r="E80">
        <f>IF(WEEKNUM(Combined[[#This Row],[Date]], 1) = 53, 1, WEEKNUM(Combined[[#This Row],[Date]], 2))</f>
        <v>24</v>
      </c>
      <c r="F80" t="str">
        <f t="shared" si="4"/>
        <v>Saturday</v>
      </c>
      <c r="G80" s="41">
        <v>44359</v>
      </c>
      <c r="H80">
        <v>2</v>
      </c>
      <c r="I80" s="1">
        <v>26.34</v>
      </c>
      <c r="J80" s="2">
        <v>6.1111111111111116E-2</v>
      </c>
      <c r="K80" s="12">
        <f>Combined[[#This Row],[Time Spent]]*24</f>
        <v>1.4666666666666668</v>
      </c>
      <c r="L80" s="12">
        <f>MROUND(Combined[[#This Row],[Time Spent 2]],0.25)</f>
        <v>1.5</v>
      </c>
      <c r="M80" s="2" t="s">
        <v>90</v>
      </c>
      <c r="N80" t="s">
        <v>85</v>
      </c>
      <c r="O80">
        <f>MATCH(Combined[[#This Row],[Primary Area]],KPIs!$C$4:$C$7,0)</f>
        <v>4</v>
      </c>
      <c r="P80"/>
      <c r="Q80" s="40">
        <v>44509</v>
      </c>
      <c r="R80" s="40">
        <f t="shared" si="6"/>
        <v>44509</v>
      </c>
      <c r="S80" s="4" t="str">
        <f>TEXT(Mileage[[#This Row],[Date]],"dddd")</f>
        <v>Tuesday</v>
      </c>
      <c r="T80" s="4" t="s">
        <v>236</v>
      </c>
      <c r="U80" s="4">
        <v>54.9</v>
      </c>
      <c r="V80" t="str" cm="1">
        <f t="array" ref="V80">IFERROR(VLOOKUP(MODE(IF(Combined[Date]=Mileage[[#This Row],[Date]],Combined[Area '#])),KPIs!$B$4:$C$7,2,FALSE),VLOOKUP(Mileage[[#This Row],[Date]],Combined[[Date]:[Primary Area]],8,FALSE))</f>
        <v>Brunswick/Bath/Freeport</v>
      </c>
      <c r="W80" s="106">
        <v>0.72986111111111107</v>
      </c>
      <c r="X80" s="12">
        <v>3.3999999999999995</v>
      </c>
      <c r="Y80" s="4">
        <v>82</v>
      </c>
      <c r="Z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1" spans="2:26" x14ac:dyDescent="0.35">
      <c r="B81">
        <f t="shared" si="5"/>
        <v>79</v>
      </c>
      <c r="C81" t="s">
        <v>83</v>
      </c>
      <c r="D81" t="s">
        <v>176</v>
      </c>
      <c r="E81">
        <f>IF(WEEKNUM(Combined[[#This Row],[Date]], 1) = 53, 1, WEEKNUM(Combined[[#This Row],[Date]], 2))</f>
        <v>25</v>
      </c>
      <c r="F81" t="str">
        <f t="shared" si="4"/>
        <v>Monday</v>
      </c>
      <c r="G81" s="41">
        <v>44361</v>
      </c>
      <c r="H81">
        <v>0</v>
      </c>
      <c r="I81" s="1">
        <v>0</v>
      </c>
      <c r="J81" s="2">
        <v>4.7916666666666663E-2</v>
      </c>
      <c r="K81" s="12">
        <f>Combined[[#This Row],[Time Spent]]*24</f>
        <v>1.1499999999999999</v>
      </c>
      <c r="L81" s="12">
        <f>MROUND(Combined[[#This Row],[Time Spent 2]],0.25)</f>
        <v>1.25</v>
      </c>
      <c r="M81" s="2" t="s">
        <v>91</v>
      </c>
      <c r="N81" t="s">
        <v>80</v>
      </c>
      <c r="O81">
        <f>MATCH(Combined[[#This Row],[Primary Area]],KPIs!$C$4:$C$7,0)</f>
        <v>2</v>
      </c>
      <c r="P81"/>
      <c r="Q81" s="40">
        <v>44511</v>
      </c>
      <c r="R81" s="40">
        <f t="shared" si="6"/>
        <v>44511</v>
      </c>
      <c r="S81" s="4" t="str">
        <f>TEXT(Mileage[[#This Row],[Date]],"dddd")</f>
        <v>Thursday</v>
      </c>
      <c r="T81" s="4" t="s">
        <v>236</v>
      </c>
      <c r="U81" s="4">
        <v>57.1</v>
      </c>
      <c r="V81" t="str" cm="1">
        <f t="array" ref="V81">IFERROR(VLOOKUP(MODE(IF(Combined[Date]=Mileage[[#This Row],[Date]],Combined[Area '#])),KPIs!$B$4:$C$7,2,FALSE),VLOOKUP(Mileage[[#This Row],[Date]],Combined[[Date]:[Primary Area]],8,FALSE))</f>
        <v>Brunswick/Bath/Freeport</v>
      </c>
      <c r="W81" s="106">
        <v>0.73333333333333339</v>
      </c>
      <c r="X81" s="12">
        <v>3.1</v>
      </c>
      <c r="Y81" s="4">
        <v>90.7</v>
      </c>
      <c r="Z8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2" spans="2:26" x14ac:dyDescent="0.35">
      <c r="B82">
        <f t="shared" si="5"/>
        <v>80</v>
      </c>
      <c r="C82" t="s">
        <v>86</v>
      </c>
      <c r="D82" t="s">
        <v>176</v>
      </c>
      <c r="E82">
        <f>IF(WEEKNUM(Combined[[#This Row],[Date]], 1) = 53, 1, WEEKNUM(Combined[[#This Row],[Date]], 2))</f>
        <v>25</v>
      </c>
      <c r="F82" t="str">
        <f t="shared" si="4"/>
        <v>Monday</v>
      </c>
      <c r="G82" s="41">
        <v>44361</v>
      </c>
      <c r="H82">
        <v>4</v>
      </c>
      <c r="I82" s="1">
        <v>35.75</v>
      </c>
      <c r="J82" s="2">
        <v>0.10625</v>
      </c>
      <c r="K82" s="12">
        <f>Combined[[#This Row],[Time Spent]]*24</f>
        <v>2.5499999999999998</v>
      </c>
      <c r="L82" s="12">
        <f>MROUND(Combined[[#This Row],[Time Spent 2]],0.25)</f>
        <v>2.5</v>
      </c>
      <c r="M82" s="2" t="s">
        <v>91</v>
      </c>
      <c r="N82" t="s">
        <v>80</v>
      </c>
      <c r="O82">
        <f>MATCH(Combined[[#This Row],[Primary Area]],KPIs!$C$4:$C$7,0)</f>
        <v>2</v>
      </c>
      <c r="P82"/>
      <c r="Q82" s="40">
        <v>44514</v>
      </c>
      <c r="R82" s="40">
        <f t="shared" si="6"/>
        <v>44514</v>
      </c>
      <c r="S82" s="4" t="str">
        <f>TEXT(Mileage[[#This Row],[Date]],"dddd")</f>
        <v>Sunday</v>
      </c>
      <c r="T82" s="4" t="s">
        <v>236</v>
      </c>
      <c r="U82" s="4">
        <v>39.1</v>
      </c>
      <c r="V82" t="str" cm="1">
        <f t="array" ref="V82">IFERROR(VLOOKUP(MODE(IF(Combined[Date]=Mileage[[#This Row],[Date]],Combined[Area '#])),KPIs!$B$4:$C$7,2,FALSE),VLOOKUP(Mileage[[#This Row],[Date]],Combined[[Date]:[Primary Area]],8,FALSE))</f>
        <v>Lewiston</v>
      </c>
      <c r="W82" s="106">
        <v>0.72083333333333333</v>
      </c>
      <c r="X82" s="12">
        <v>4.8000000000000007</v>
      </c>
      <c r="Y82" s="4">
        <f>29.6+10.1+3.7+10.5+4.4+1.7+11.9</f>
        <v>71.900000000000006</v>
      </c>
      <c r="Z8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" spans="2:26" x14ac:dyDescent="0.35">
      <c r="B83">
        <f t="shared" si="5"/>
        <v>81</v>
      </c>
      <c r="C83" t="s">
        <v>83</v>
      </c>
      <c r="D83" t="s">
        <v>176</v>
      </c>
      <c r="E83">
        <f>IF(WEEKNUM(Combined[[#This Row],[Date]], 1) = 53, 1, WEEKNUM(Combined[[#This Row],[Date]], 2))</f>
        <v>25</v>
      </c>
      <c r="F83" t="str">
        <f t="shared" si="4"/>
        <v>Saturday</v>
      </c>
      <c r="G83" s="41">
        <v>44366</v>
      </c>
      <c r="H83">
        <v>7</v>
      </c>
      <c r="I83" s="1">
        <v>87.73</v>
      </c>
      <c r="J83" s="2">
        <v>0.18124999999999999</v>
      </c>
      <c r="K83" s="12">
        <f>Combined[[#This Row],[Time Spent]]*24</f>
        <v>4.3499999999999996</v>
      </c>
      <c r="L83" s="12">
        <f>MROUND(Combined[[#This Row],[Time Spent 2]],0.25)</f>
        <v>4.25</v>
      </c>
      <c r="M83" s="2" t="s">
        <v>91</v>
      </c>
      <c r="N83" t="s">
        <v>85</v>
      </c>
      <c r="O83">
        <f>MATCH(Combined[[#This Row],[Primary Area]],KPIs!$C$4:$C$7,0)</f>
        <v>4</v>
      </c>
      <c r="P83"/>
      <c r="Q83" s="40">
        <v>44515</v>
      </c>
      <c r="R83" s="40">
        <f t="shared" si="6"/>
        <v>44515</v>
      </c>
      <c r="S83" s="4" t="str">
        <f>TEXT(Mileage[[#This Row],[Date]],"dddd")</f>
        <v>Monday</v>
      </c>
      <c r="T83" s="4" t="s">
        <v>249</v>
      </c>
      <c r="U83" s="4">
        <v>37.1</v>
      </c>
      <c r="V83" t="str" cm="1">
        <f t="array" ref="V83">IFERROR(VLOOKUP(MODE(IF(Combined[Date]=Mileage[[#This Row],[Date]],Combined[Area '#])),KPIs!$B$4:$C$7,2,FALSE),VLOOKUP(Mileage[[#This Row],[Date]],Combined[[Date]:[Primary Area]],8,FALSE))</f>
        <v>Portland</v>
      </c>
      <c r="W83" s="106">
        <v>0.72013888888888899</v>
      </c>
      <c r="X83" s="12">
        <v>6</v>
      </c>
      <c r="Y83" s="4">
        <f>61.3+4.5+0.7+12.1+11.4+5.1+37.1</f>
        <v>132.19999999999999</v>
      </c>
      <c r="Z8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" spans="2:26" x14ac:dyDescent="0.35">
      <c r="B84">
        <f t="shared" si="5"/>
        <v>82</v>
      </c>
      <c r="C84" t="s">
        <v>86</v>
      </c>
      <c r="D84" t="s">
        <v>176</v>
      </c>
      <c r="E84">
        <f>IF(WEEKNUM(Combined[[#This Row],[Date]], 1) = 53, 1, WEEKNUM(Combined[[#This Row],[Date]], 2))</f>
        <v>25</v>
      </c>
      <c r="F84" t="str">
        <f t="shared" si="4"/>
        <v>Saturday</v>
      </c>
      <c r="G84" s="41">
        <v>44366</v>
      </c>
      <c r="H84">
        <v>8</v>
      </c>
      <c r="I84" s="1">
        <v>55.25</v>
      </c>
      <c r="J84" s="2">
        <v>0.18055555555555555</v>
      </c>
      <c r="K84" s="12">
        <f>Combined[[#This Row],[Time Spent]]*24</f>
        <v>4.333333333333333</v>
      </c>
      <c r="L84" s="12">
        <f>MROUND(Combined[[#This Row],[Time Spent 2]],0.25)</f>
        <v>4.25</v>
      </c>
      <c r="M84" s="2" t="s">
        <v>91</v>
      </c>
      <c r="N84" t="s">
        <v>85</v>
      </c>
      <c r="O84">
        <f>MATCH(Combined[[#This Row],[Primary Area]],KPIs!$C$4:$C$7,0)</f>
        <v>4</v>
      </c>
      <c r="P84"/>
      <c r="Q84" s="40">
        <v>44516</v>
      </c>
      <c r="R84" s="40">
        <f t="shared" si="6"/>
        <v>44516</v>
      </c>
      <c r="S84" s="4" t="str">
        <f>TEXT(Mileage[[#This Row],[Date]],"dddd")</f>
        <v>Tuesday</v>
      </c>
      <c r="T84" s="4" t="s">
        <v>249</v>
      </c>
      <c r="U84" s="4">
        <v>38.700000000000003</v>
      </c>
      <c r="V84" t="str" cm="1">
        <f t="array" ref="V84">IFERROR(VLOOKUP(MODE(IF(Combined[Date]=Mileage[[#This Row],[Date]],Combined[Area '#])),KPIs!$B$4:$C$7,2,FALSE),VLOOKUP(Mileage[[#This Row],[Date]],Combined[[Date]:[Primary Area]],8,FALSE))</f>
        <v>Portland</v>
      </c>
      <c r="W84" s="106">
        <v>0.74305555555555547</v>
      </c>
      <c r="X84" s="12">
        <v>5</v>
      </c>
      <c r="Y84" s="4">
        <f>6.2+2.3+12.1+76.1</f>
        <v>96.699999999999989</v>
      </c>
      <c r="Z8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" spans="2:26" x14ac:dyDescent="0.35">
      <c r="B85">
        <f t="shared" si="5"/>
        <v>83</v>
      </c>
      <c r="C85" t="s">
        <v>83</v>
      </c>
      <c r="D85" t="s">
        <v>176</v>
      </c>
      <c r="E85">
        <f>IF(WEEKNUM(Combined[[#This Row],[Date]], 1) = 53, 1, WEEKNUM(Combined[[#This Row],[Date]], 2))</f>
        <v>25</v>
      </c>
      <c r="F85" t="str">
        <f t="shared" si="4"/>
        <v>Sunday</v>
      </c>
      <c r="G85" s="41">
        <v>44367</v>
      </c>
      <c r="H85">
        <v>4</v>
      </c>
      <c r="I85" s="1">
        <v>102.39</v>
      </c>
      <c r="J85" s="2">
        <v>0.16666666666666666</v>
      </c>
      <c r="K85" s="12">
        <f>Combined[[#This Row],[Time Spent]]*24</f>
        <v>4</v>
      </c>
      <c r="L85" s="12">
        <f>MROUND(Combined[[#This Row],[Time Spent 2]],0.25)</f>
        <v>4</v>
      </c>
      <c r="M85" s="2" t="s">
        <v>91</v>
      </c>
      <c r="N85" t="s">
        <v>85</v>
      </c>
      <c r="O85">
        <f>MATCH(Combined[[#This Row],[Primary Area]],KPIs!$C$4:$C$7,0)</f>
        <v>4</v>
      </c>
      <c r="P85"/>
      <c r="Q85" s="40">
        <v>44517</v>
      </c>
      <c r="R85" s="40">
        <f t="shared" si="6"/>
        <v>44517</v>
      </c>
      <c r="S85" s="4" t="str">
        <f>TEXT(Mileage[[#This Row],[Date]],"dddd")</f>
        <v>Wednesday</v>
      </c>
      <c r="T85" s="4" t="s">
        <v>236</v>
      </c>
      <c r="U85" s="4">
        <v>58.6</v>
      </c>
      <c r="V85" t="str" cm="1">
        <f t="array" ref="V85">IFERROR(VLOOKUP(MODE(IF(Combined[Date]=Mileage[[#This Row],[Date]],Combined[Area '#])),KPIs!$B$4:$C$7,2,FALSE),VLOOKUP(Mileage[[#This Row],[Date]],Combined[[Date]:[Primary Area]],8,FALSE))</f>
        <v>Portland</v>
      </c>
      <c r="W85" s="106">
        <v>0.74513888888888891</v>
      </c>
      <c r="X85" s="12">
        <v>1.7</v>
      </c>
      <c r="Y85" s="4">
        <v>52</v>
      </c>
      <c r="Z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" spans="2:26" x14ac:dyDescent="0.35">
      <c r="B86">
        <f t="shared" si="5"/>
        <v>84</v>
      </c>
      <c r="C86" t="s">
        <v>86</v>
      </c>
      <c r="D86" t="s">
        <v>176</v>
      </c>
      <c r="E86">
        <f>IF(WEEKNUM(Combined[[#This Row],[Date]], 1) = 53, 1, WEEKNUM(Combined[[#This Row],[Date]], 2))</f>
        <v>25</v>
      </c>
      <c r="F86" t="str">
        <f t="shared" si="4"/>
        <v>Sunday</v>
      </c>
      <c r="G86" s="41">
        <v>44367</v>
      </c>
      <c r="H86">
        <v>1</v>
      </c>
      <c r="I86" s="1">
        <v>8.5</v>
      </c>
      <c r="J86" s="2">
        <v>6.1805555555555558E-2</v>
      </c>
      <c r="K86" s="12">
        <f>Combined[[#This Row],[Time Spent]]*24</f>
        <v>1.4833333333333334</v>
      </c>
      <c r="L86" s="12">
        <f>MROUND(Combined[[#This Row],[Time Spent 2]],0.25)</f>
        <v>1.5</v>
      </c>
      <c r="M86" s="2" t="s">
        <v>91</v>
      </c>
      <c r="N86" t="s">
        <v>85</v>
      </c>
      <c r="O86">
        <f>MATCH(Combined[[#This Row],[Primary Area]],KPIs!$C$4:$C$7,0)</f>
        <v>4</v>
      </c>
      <c r="P86"/>
      <c r="Q86" s="40">
        <v>44519</v>
      </c>
      <c r="R86" s="40">
        <f t="shared" si="6"/>
        <v>44519</v>
      </c>
      <c r="S86" s="4" t="str">
        <f>TEXT(Mileage[[#This Row],[Date]],"dddd")</f>
        <v>Friday</v>
      </c>
      <c r="T86" s="4" t="s">
        <v>230</v>
      </c>
      <c r="U86" s="4">
        <v>42.4</v>
      </c>
      <c r="V86" t="str" cm="1">
        <f t="array" ref="V86">IFERROR(VLOOKUP(MODE(IF(Combined[Date]=Mileage[[#This Row],[Date]],Combined[Area '#])),KPIs!$B$4:$C$7,2,FALSE),VLOOKUP(Mileage[[#This Row],[Date]],Combined[[Date]:[Primary Area]],8,FALSE))</f>
        <v>Lewiston</v>
      </c>
      <c r="W86" s="106">
        <v>0.9145833333333333</v>
      </c>
      <c r="X86" s="12">
        <v>3.1</v>
      </c>
      <c r="Y86" s="4">
        <f>64.5+9.5</f>
        <v>74</v>
      </c>
      <c r="Z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" spans="2:26" x14ac:dyDescent="0.35">
      <c r="B87">
        <f t="shared" si="5"/>
        <v>85</v>
      </c>
      <c r="C87" t="s">
        <v>83</v>
      </c>
      <c r="D87" t="s">
        <v>176</v>
      </c>
      <c r="E87">
        <f>IF(WEEKNUM(Combined[[#This Row],[Date]], 1) = 53, 1, WEEKNUM(Combined[[#This Row],[Date]], 2))</f>
        <v>26</v>
      </c>
      <c r="F87" t="str">
        <f t="shared" si="4"/>
        <v>Tuesday</v>
      </c>
      <c r="G87" s="41">
        <v>44369</v>
      </c>
      <c r="H87">
        <v>1</v>
      </c>
      <c r="I87" s="1">
        <v>30.28</v>
      </c>
      <c r="J87" s="2">
        <v>6.3194444444444442E-2</v>
      </c>
      <c r="K87" s="12">
        <f>Combined[[#This Row],[Time Spent]]*24</f>
        <v>1.5166666666666666</v>
      </c>
      <c r="L87" s="12">
        <f>MROUND(Combined[[#This Row],[Time Spent 2]],0.25)</f>
        <v>1.5</v>
      </c>
      <c r="M87" s="2" t="s">
        <v>91</v>
      </c>
      <c r="N87" t="s">
        <v>80</v>
      </c>
      <c r="O87">
        <f>MATCH(Combined[[#This Row],[Primary Area]],KPIs!$C$4:$C$7,0)</f>
        <v>2</v>
      </c>
      <c r="P87"/>
      <c r="Q87" s="40">
        <v>44521</v>
      </c>
      <c r="R87" s="40">
        <f t="shared" si="6"/>
        <v>44521</v>
      </c>
      <c r="S87" s="4" t="str">
        <f>TEXT(Mileage[[#This Row],[Date]],"dddd")</f>
        <v>Sunday</v>
      </c>
      <c r="T87" s="4" t="s">
        <v>236</v>
      </c>
      <c r="U87" s="4">
        <v>52</v>
      </c>
      <c r="V87" t="str" cm="1">
        <f t="array" ref="V87">IFERROR(VLOOKUP(MODE(IF(Combined[Date]=Mileage[[#This Row],[Date]],Combined[Area '#])),KPIs!$B$4:$C$7,2,FALSE),VLOOKUP(Mileage[[#This Row],[Date]],Combined[[Date]:[Primary Area]],8,FALSE))</f>
        <v>Lewiston</v>
      </c>
      <c r="W87" s="106">
        <v>0.77083333333333337</v>
      </c>
      <c r="X87" s="12">
        <v>3.4000000000000004</v>
      </c>
      <c r="Y87" s="4">
        <f>17.9+34.6+18.5</f>
        <v>71</v>
      </c>
      <c r="Z8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" spans="2:26" x14ac:dyDescent="0.35">
      <c r="B88">
        <f t="shared" si="5"/>
        <v>86</v>
      </c>
      <c r="C88" t="s">
        <v>86</v>
      </c>
      <c r="D88" t="s">
        <v>176</v>
      </c>
      <c r="E88">
        <f>IF(WEEKNUM(Combined[[#This Row],[Date]], 1) = 53, 1, WEEKNUM(Combined[[#This Row],[Date]], 2))</f>
        <v>26</v>
      </c>
      <c r="F88" t="str">
        <f t="shared" si="4"/>
        <v>Tuesday</v>
      </c>
      <c r="G88" s="41">
        <v>44369</v>
      </c>
      <c r="H88">
        <v>1</v>
      </c>
      <c r="I88" s="1">
        <v>2.63</v>
      </c>
      <c r="J88" s="2">
        <v>7.1527777777777787E-2</v>
      </c>
      <c r="K88" s="12">
        <f>Combined[[#This Row],[Time Spent]]*24</f>
        <v>1.7166666666666668</v>
      </c>
      <c r="L88" s="12">
        <f>MROUND(Combined[[#This Row],[Time Spent 2]],0.25)</f>
        <v>1.75</v>
      </c>
      <c r="M88" s="2" t="s">
        <v>91</v>
      </c>
      <c r="N88" t="s">
        <v>80</v>
      </c>
      <c r="O88">
        <f>MATCH(Combined[[#This Row],[Primary Area]],KPIs!$C$4:$C$7,0)</f>
        <v>2</v>
      </c>
      <c r="P88"/>
      <c r="Q88" s="40">
        <v>44522</v>
      </c>
      <c r="R88" s="40">
        <f t="shared" si="6"/>
        <v>44522</v>
      </c>
      <c r="S88" s="4" t="str">
        <f>TEXT(Mileage[[#This Row],[Date]],"dddd")</f>
        <v>Monday</v>
      </c>
      <c r="T88" s="4" t="s">
        <v>230</v>
      </c>
      <c r="U88" s="4">
        <v>30.7</v>
      </c>
      <c r="V88" t="str" cm="1">
        <f t="array" ref="V88">IFERROR(VLOOKUP(MODE(IF(Combined[Date]=Mileage[[#This Row],[Date]],Combined[Area '#])),KPIs!$B$4:$C$7,2,FALSE),VLOOKUP(Mileage[[#This Row],[Date]],Combined[[Date]:[Primary Area]],8,FALSE))</f>
        <v>Brunswick/Bath/Freeport</v>
      </c>
      <c r="W88" s="106">
        <v>0.71458333333333324</v>
      </c>
      <c r="X88" s="12">
        <v>4.2</v>
      </c>
      <c r="Y88" s="4">
        <v>84</v>
      </c>
      <c r="Z8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9" spans="2:26" x14ac:dyDescent="0.35">
      <c r="B89">
        <f t="shared" si="5"/>
        <v>87</v>
      </c>
      <c r="C89" t="s">
        <v>83</v>
      </c>
      <c r="D89" t="s">
        <v>176</v>
      </c>
      <c r="E89">
        <f>IF(WEEKNUM(Combined[[#This Row],[Date]], 1) = 53, 1, WEEKNUM(Combined[[#This Row],[Date]], 2))</f>
        <v>26</v>
      </c>
      <c r="F89" t="str">
        <f t="shared" si="4"/>
        <v>Thursday</v>
      </c>
      <c r="G89" s="41">
        <v>44371</v>
      </c>
      <c r="H89">
        <v>1</v>
      </c>
      <c r="I89" s="1">
        <v>15.25</v>
      </c>
      <c r="J89" s="2">
        <v>4.5138888888888888E-2</v>
      </c>
      <c r="K89" s="12">
        <f>Combined[[#This Row],[Time Spent]]*24</f>
        <v>1.0833333333333333</v>
      </c>
      <c r="L89" s="12">
        <f>MROUND(Combined[[#This Row],[Time Spent 2]],0.25)</f>
        <v>1</v>
      </c>
      <c r="M89" s="2" t="s">
        <v>91</v>
      </c>
      <c r="N89" t="s">
        <v>80</v>
      </c>
      <c r="O89">
        <f>MATCH(Combined[[#This Row],[Primary Area]],KPIs!$C$4:$C$7,0)</f>
        <v>2</v>
      </c>
      <c r="P89"/>
      <c r="Q89" s="40">
        <v>44527</v>
      </c>
      <c r="R89" s="40">
        <f t="shared" si="6"/>
        <v>44527</v>
      </c>
      <c r="S89" s="4" t="str">
        <f>TEXT(Mileage[[#This Row],[Date]],"dddd")</f>
        <v>Saturday</v>
      </c>
      <c r="T89" s="4" t="s">
        <v>249</v>
      </c>
      <c r="U89" s="4">
        <v>30.6</v>
      </c>
      <c r="V89" t="str" cm="1">
        <f t="array" ref="V89">IFERROR(VLOOKUP(MODE(IF(Combined[Date]=Mileage[[#This Row],[Date]],Combined[Area '#])),KPIs!$B$4:$C$7,2,FALSE),VLOOKUP(Mileage[[#This Row],[Date]],Combined[[Date]:[Primary Area]],8,FALSE))</f>
        <v>Portland</v>
      </c>
      <c r="W89" s="106">
        <v>0.55208333333333337</v>
      </c>
      <c r="X89" s="12">
        <v>11.5</v>
      </c>
      <c r="Y89" s="4">
        <v>247</v>
      </c>
      <c r="Z8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0" spans="2:26" x14ac:dyDescent="0.35">
      <c r="B90">
        <f t="shared" si="5"/>
        <v>88</v>
      </c>
      <c r="C90" t="s">
        <v>86</v>
      </c>
      <c r="D90" t="s">
        <v>176</v>
      </c>
      <c r="E90">
        <f>IF(WEEKNUM(Combined[[#This Row],[Date]], 1) = 53, 1, WEEKNUM(Combined[[#This Row],[Date]], 2))</f>
        <v>26</v>
      </c>
      <c r="F90" t="str">
        <f t="shared" si="4"/>
        <v>Thursday</v>
      </c>
      <c r="G90" s="41">
        <v>44371</v>
      </c>
      <c r="H90">
        <v>7</v>
      </c>
      <c r="I90" s="1">
        <v>53.56</v>
      </c>
      <c r="J90" s="2">
        <v>0.12430555555555556</v>
      </c>
      <c r="K90" s="12">
        <f>Combined[[#This Row],[Time Spent]]*24</f>
        <v>2.9833333333333334</v>
      </c>
      <c r="L90" s="12">
        <f>MROUND(Combined[[#This Row],[Time Spent 2]],0.25)</f>
        <v>3</v>
      </c>
      <c r="M90" s="2" t="s">
        <v>91</v>
      </c>
      <c r="N90" t="s">
        <v>80</v>
      </c>
      <c r="O90">
        <f>MATCH(Combined[[#This Row],[Primary Area]],KPIs!$C$4:$C$7,0)</f>
        <v>2</v>
      </c>
      <c r="P90"/>
      <c r="Q90" s="40">
        <v>44529</v>
      </c>
      <c r="R90" s="40">
        <f t="shared" si="6"/>
        <v>44529</v>
      </c>
      <c r="S90" s="4" t="str">
        <f>TEXT(Mileage[[#This Row],[Date]],"dddd")</f>
        <v>Monday</v>
      </c>
      <c r="T90" s="4" t="s">
        <v>249</v>
      </c>
      <c r="U90" s="4">
        <v>31.7</v>
      </c>
      <c r="V90" t="str" cm="1">
        <f t="array" ref="V90">IFERROR(VLOOKUP(MODE(IF(Combined[Date]=Mileage[[#This Row],[Date]],Combined[Area '#])),KPIs!$B$4:$C$7,2,FALSE),VLOOKUP(Mileage[[#This Row],[Date]],Combined[[Date]:[Primary Area]],8,FALSE))</f>
        <v>Lewiston</v>
      </c>
      <c r="W90" s="106">
        <v>0.70277777777777783</v>
      </c>
      <c r="X90" s="12">
        <v>4.9000000000000004</v>
      </c>
      <c r="Y90" s="4">
        <f>SUM(15,1.4,3.3,27.4,28.9,10.8)</f>
        <v>86.8</v>
      </c>
      <c r="Z9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91" spans="2:26" x14ac:dyDescent="0.35">
      <c r="B91">
        <f t="shared" si="5"/>
        <v>89</v>
      </c>
      <c r="C91" t="s">
        <v>83</v>
      </c>
      <c r="D91" t="s">
        <v>176</v>
      </c>
      <c r="E91">
        <f>IF(WEEKNUM(Combined[[#This Row],[Date]], 1) = 53, 1, WEEKNUM(Combined[[#This Row],[Date]], 2))</f>
        <v>26</v>
      </c>
      <c r="F91" t="str">
        <f t="shared" si="4"/>
        <v>Saturday</v>
      </c>
      <c r="G91" s="41">
        <v>44373</v>
      </c>
      <c r="H91">
        <v>5</v>
      </c>
      <c r="I91" s="1">
        <v>51.54</v>
      </c>
      <c r="J91" s="2">
        <v>0.14722222222222223</v>
      </c>
      <c r="K91" s="12">
        <f>Combined[[#This Row],[Time Spent]]*24</f>
        <v>3.5333333333333332</v>
      </c>
      <c r="L91" s="12">
        <f>MROUND(Combined[[#This Row],[Time Spent 2]],0.25)</f>
        <v>3.5</v>
      </c>
      <c r="M91" s="2" t="s">
        <v>91</v>
      </c>
      <c r="N91" t="s">
        <v>85</v>
      </c>
      <c r="O91">
        <f>MATCH(Combined[[#This Row],[Primary Area]],KPIs!$C$4:$C$7,0)</f>
        <v>4</v>
      </c>
      <c r="P91"/>
      <c r="Q91" s="40">
        <v>44533</v>
      </c>
      <c r="R91" s="40">
        <f t="shared" si="6"/>
        <v>44533</v>
      </c>
      <c r="S91" s="4" t="str">
        <f>TEXT(Mileage[[#This Row],[Date]],"dddd")</f>
        <v>Friday</v>
      </c>
      <c r="T91" s="4" t="s">
        <v>230</v>
      </c>
      <c r="U91" s="4">
        <v>31.5</v>
      </c>
      <c r="V91" t="str" cm="1">
        <f t="array" ref="V91">IFERROR(VLOOKUP(MODE(IF(Combined[Date]=Mileage[[#This Row],[Date]],Combined[Area '#])),KPIs!$B$4:$C$7,2,FALSE),VLOOKUP(Mileage[[#This Row],[Date]],Combined[[Date]:[Primary Area]],8,FALSE))</f>
        <v>Portland</v>
      </c>
      <c r="W91" s="106">
        <v>0.78125</v>
      </c>
      <c r="X91" s="12">
        <v>6.33</v>
      </c>
      <c r="Y91" s="4">
        <v>143</v>
      </c>
      <c r="Z9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2" spans="2:26" x14ac:dyDescent="0.35">
      <c r="B92">
        <f t="shared" si="5"/>
        <v>90</v>
      </c>
      <c r="C92" t="s">
        <v>86</v>
      </c>
      <c r="D92" t="s">
        <v>176</v>
      </c>
      <c r="E92">
        <f>IF(WEEKNUM(Combined[[#This Row],[Date]], 1) = 53, 1, WEEKNUM(Combined[[#This Row],[Date]], 2))</f>
        <v>26</v>
      </c>
      <c r="F92" t="str">
        <f t="shared" si="4"/>
        <v>Saturday</v>
      </c>
      <c r="G92" s="41">
        <v>44373</v>
      </c>
      <c r="H92">
        <f>6+3+4</f>
        <v>13</v>
      </c>
      <c r="I92" s="1">
        <f>42.47+17+23.35</f>
        <v>82.82</v>
      </c>
      <c r="J92" s="2">
        <f>TIME(1,43,)+TIME(1,55,)+TIME(2,5,)</f>
        <v>0.23819444444444443</v>
      </c>
      <c r="K92" s="12">
        <f>Combined[[#This Row],[Time Spent]]*24</f>
        <v>5.7166666666666668</v>
      </c>
      <c r="L92" s="12">
        <f>MROUND(Combined[[#This Row],[Time Spent 2]],0.25)</f>
        <v>5.75</v>
      </c>
      <c r="M92" s="2" t="s">
        <v>91</v>
      </c>
      <c r="N92" t="s">
        <v>85</v>
      </c>
      <c r="O92">
        <f>MATCH(Combined[[#This Row],[Primary Area]],KPIs!$C$4:$C$7,0)</f>
        <v>4</v>
      </c>
      <c r="P92"/>
      <c r="Q92" s="40">
        <v>44536</v>
      </c>
      <c r="R92" s="40">
        <f t="shared" si="6"/>
        <v>44536</v>
      </c>
      <c r="S92" s="4" t="str">
        <f>TEXT(Mileage[[#This Row],[Date]],"dddd")</f>
        <v>Monday</v>
      </c>
      <c r="T92" s="4" t="s">
        <v>236</v>
      </c>
      <c r="U92" s="4">
        <v>38.9</v>
      </c>
      <c r="V92" t="str" cm="1">
        <f t="array" ref="V92">IFERROR(VLOOKUP(MODE(IF(Combined[Date]=Mileage[[#This Row],[Date]],Combined[Area '#])),KPIs!$B$4:$C$7,2,FALSE),VLOOKUP(Mileage[[#This Row],[Date]],Combined[[Date]:[Primary Area]],8,FALSE))</f>
        <v>Brunswick/Bath/Freeport</v>
      </c>
      <c r="W92" s="106">
        <v>0.72916666666666663</v>
      </c>
      <c r="X92" s="12">
        <v>4.8</v>
      </c>
      <c r="Y92" s="4">
        <f>18.3+28.9+7.4+5+20.4+13.2+36.9</f>
        <v>130.1</v>
      </c>
      <c r="Z9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3" spans="2:26" x14ac:dyDescent="0.35">
      <c r="B93">
        <f t="shared" si="5"/>
        <v>91</v>
      </c>
      <c r="C93" t="s">
        <v>83</v>
      </c>
      <c r="D93" t="s">
        <v>176</v>
      </c>
      <c r="E93">
        <f>IF(WEEKNUM(Combined[[#This Row],[Date]], 1) = 53, 1, WEEKNUM(Combined[[#This Row],[Date]], 2))</f>
        <v>27</v>
      </c>
      <c r="F93" t="str">
        <f t="shared" si="4"/>
        <v>Tuesday</v>
      </c>
      <c r="G93" s="41">
        <v>44376</v>
      </c>
      <c r="H93">
        <v>2</v>
      </c>
      <c r="I93" s="1">
        <v>37.43</v>
      </c>
      <c r="J93" s="2">
        <v>5.486111111111111E-2</v>
      </c>
      <c r="K93" s="12">
        <f>Combined[[#This Row],[Time Spent]]*24</f>
        <v>1.3166666666666667</v>
      </c>
      <c r="L93" s="12">
        <f>MROUND(Combined[[#This Row],[Time Spent 2]],0.25)</f>
        <v>1.25</v>
      </c>
      <c r="M93" s="2" t="s">
        <v>91</v>
      </c>
      <c r="N93" t="s">
        <v>80</v>
      </c>
      <c r="O93">
        <f>MATCH(Combined[[#This Row],[Primary Area]],KPIs!$C$4:$C$7,0)</f>
        <v>2</v>
      </c>
      <c r="P93"/>
      <c r="Q93" s="40">
        <v>44537</v>
      </c>
      <c r="R93" s="40">
        <f t="shared" si="6"/>
        <v>44537</v>
      </c>
      <c r="S93" s="4" t="str">
        <f>TEXT(Mileage[[#This Row],[Date]],"dddd")</f>
        <v>Tuesday</v>
      </c>
      <c r="T93" s="4" t="s">
        <v>234</v>
      </c>
      <c r="U93" s="4">
        <v>23</v>
      </c>
      <c r="V93" t="str" cm="1">
        <f t="array" ref="V93">IFERROR(VLOOKUP(MODE(IF(Combined[Date]=Mileage[[#This Row],[Date]],Combined[Area '#])),KPIs!$B$4:$C$7,2,FALSE),VLOOKUP(Mileage[[#This Row],[Date]],Combined[[Date]:[Primary Area]],8,FALSE))</f>
        <v>Lewiston</v>
      </c>
      <c r="W93" s="106">
        <v>0.7284722222222223</v>
      </c>
      <c r="X93" s="12">
        <v>2.2000000000000002</v>
      </c>
      <c r="Y93" s="4">
        <f>20.1+6.1+11.9</f>
        <v>38.1</v>
      </c>
      <c r="Z9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4" spans="2:26" x14ac:dyDescent="0.35">
      <c r="B94">
        <f t="shared" si="5"/>
        <v>92</v>
      </c>
      <c r="C94" t="s">
        <v>86</v>
      </c>
      <c r="D94" t="s">
        <v>176</v>
      </c>
      <c r="E94">
        <f>IF(WEEKNUM(Combined[[#This Row],[Date]], 1) = 53, 1, WEEKNUM(Combined[[#This Row],[Date]], 2))</f>
        <v>27</v>
      </c>
      <c r="F94" t="str">
        <f t="shared" si="4"/>
        <v>Tuesday</v>
      </c>
      <c r="G94" s="41">
        <v>44376</v>
      </c>
      <c r="H94">
        <v>7</v>
      </c>
      <c r="I94" s="1">
        <v>60.75</v>
      </c>
      <c r="J94" s="2">
        <v>0.14861111111111111</v>
      </c>
      <c r="K94" s="12">
        <f>Combined[[#This Row],[Time Spent]]*24</f>
        <v>3.5666666666666664</v>
      </c>
      <c r="L94" s="12">
        <f>MROUND(Combined[[#This Row],[Time Spent 2]],0.25)</f>
        <v>3.5</v>
      </c>
      <c r="M94" s="2" t="s">
        <v>91</v>
      </c>
      <c r="N94" t="s">
        <v>80</v>
      </c>
      <c r="O94">
        <f>MATCH(Combined[[#This Row],[Primary Area]],KPIs!$C$4:$C$7,0)</f>
        <v>2</v>
      </c>
      <c r="P94"/>
      <c r="Q94" s="40">
        <v>44540</v>
      </c>
      <c r="R94" s="40">
        <f t="shared" si="6"/>
        <v>44540</v>
      </c>
      <c r="S94" s="4" t="str">
        <f>TEXT(Mileage[[#This Row],[Date]],"dddd")</f>
        <v>Friday</v>
      </c>
      <c r="T94" s="4" t="s">
        <v>235</v>
      </c>
      <c r="U94" s="4">
        <v>44.2</v>
      </c>
      <c r="V94" t="str" cm="1">
        <f t="array" ref="V94">IFERROR(VLOOKUP(MODE(IF(Combined[Date]=Mileage[[#This Row],[Date]],Combined[Area '#])),KPIs!$B$4:$C$7,2,FALSE),VLOOKUP(Mileage[[#This Row],[Date]],Combined[[Date]:[Primary Area]],8,FALSE))</f>
        <v>Portland</v>
      </c>
      <c r="W94" s="106">
        <v>0.75</v>
      </c>
      <c r="X94" s="12">
        <v>6.1</v>
      </c>
      <c r="Y94" s="4">
        <f>71.2+12.3+14.1+31.3</f>
        <v>128.9</v>
      </c>
      <c r="Z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5" spans="2:26" x14ac:dyDescent="0.35">
      <c r="B95">
        <f t="shared" si="5"/>
        <v>93</v>
      </c>
      <c r="C95" t="s">
        <v>83</v>
      </c>
      <c r="D95" t="s">
        <v>176</v>
      </c>
      <c r="E95">
        <f>IF(WEEKNUM(Combined[[#This Row],[Date]], 1) = 53, 1, WEEKNUM(Combined[[#This Row],[Date]], 2))</f>
        <v>27</v>
      </c>
      <c r="F95" t="str">
        <f t="shared" si="4"/>
        <v>Friday</v>
      </c>
      <c r="G95" s="41">
        <v>44379</v>
      </c>
      <c r="H95">
        <v>0</v>
      </c>
      <c r="I95" s="1">
        <v>0</v>
      </c>
      <c r="J95" s="2">
        <v>6.0416666666666667E-2</v>
      </c>
      <c r="K95" s="12">
        <f>Combined[[#This Row],[Time Spent]]*24</f>
        <v>1.45</v>
      </c>
      <c r="L95" s="12">
        <f>MROUND(Combined[[#This Row],[Time Spent 2]],0.25)</f>
        <v>1.5</v>
      </c>
      <c r="M95" s="2" t="s">
        <v>91</v>
      </c>
      <c r="N95" t="s">
        <v>85</v>
      </c>
      <c r="O95">
        <f>MATCH(Combined[[#This Row],[Primary Area]],KPIs!$C$4:$C$7,0)</f>
        <v>4</v>
      </c>
      <c r="P95"/>
      <c r="Q95" s="40">
        <v>44545</v>
      </c>
      <c r="R95" s="40">
        <f t="shared" si="6"/>
        <v>44545</v>
      </c>
      <c r="S95" s="4" t="str">
        <f>TEXT(Mileage[[#This Row],[Date]],"dddd")</f>
        <v>Wednesday</v>
      </c>
      <c r="T95" s="4" t="s">
        <v>235</v>
      </c>
      <c r="U95" s="4">
        <v>41.1</v>
      </c>
      <c r="V95" t="str" cm="1">
        <f t="array" ref="V95">IFERROR(VLOOKUP(MODE(IF(Combined[Date]=Mileage[[#This Row],[Date]],Combined[Area '#])),KPIs!$B$4:$C$7,2,FALSE),VLOOKUP(Mileage[[#This Row],[Date]],Combined[[Date]:[Primary Area]],8,FALSE))</f>
        <v>Brunswick/Bath/Freeport</v>
      </c>
      <c r="W95" s="106">
        <v>0.72916666666666663</v>
      </c>
      <c r="X95" s="12">
        <v>3.5</v>
      </c>
      <c r="Y95" s="4">
        <f>SUM(2.7,1.6,1.4,6,10.8,10,34.5,5.5)</f>
        <v>72.5</v>
      </c>
      <c r="Z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6" spans="2:26" x14ac:dyDescent="0.35">
      <c r="B96">
        <f t="shared" si="5"/>
        <v>94</v>
      </c>
      <c r="C96" t="s">
        <v>86</v>
      </c>
      <c r="D96" t="s">
        <v>176</v>
      </c>
      <c r="E96">
        <f>IF(WEEKNUM(Combined[[#This Row],[Date]], 1) = 53, 1, WEEKNUM(Combined[[#This Row],[Date]], 2))</f>
        <v>27</v>
      </c>
      <c r="F96" t="str">
        <f t="shared" si="4"/>
        <v>Friday</v>
      </c>
      <c r="G96" s="41">
        <v>44379</v>
      </c>
      <c r="H96">
        <v>7</v>
      </c>
      <c r="I96" s="1">
        <v>50.5</v>
      </c>
      <c r="J96" s="2">
        <v>0.13472222222222222</v>
      </c>
      <c r="K96" s="12">
        <f>Combined[[#This Row],[Time Spent]]*24</f>
        <v>3.2333333333333334</v>
      </c>
      <c r="L96" s="12">
        <f>MROUND(Combined[[#This Row],[Time Spent 2]],0.25)</f>
        <v>3.25</v>
      </c>
      <c r="M96" s="2" t="s">
        <v>91</v>
      </c>
      <c r="N96" t="s">
        <v>85</v>
      </c>
      <c r="O96">
        <f>MATCH(Combined[[#This Row],[Primary Area]],KPIs!$C$4:$C$7,0)</f>
        <v>4</v>
      </c>
      <c r="P96"/>
      <c r="Q96" s="40">
        <v>44557</v>
      </c>
      <c r="R96" s="40">
        <f t="shared" si="6"/>
        <v>44557</v>
      </c>
      <c r="S96" s="4" t="str">
        <f>TEXT(Mileage[[#This Row],[Date]],"dddd")</f>
        <v>Monday</v>
      </c>
      <c r="T96" s="4" t="s">
        <v>235</v>
      </c>
      <c r="U96" s="4">
        <v>32.799999999999997</v>
      </c>
      <c r="V96" t="str" cm="1">
        <f t="array" ref="V96">IFERROR(VLOOKUP(MODE(IF(Combined[Date]=Mileage[[#This Row],[Date]],Combined[Area '#])),KPIs!$B$4:$C$7,2,FALSE),VLOOKUP(Mileage[[#This Row],[Date]],Combined[[Date]:[Primary Area]],8,FALSE))</f>
        <v>Brunswick/Bath/Freeport</v>
      </c>
      <c r="W96" s="106">
        <v>0.82430555555555562</v>
      </c>
      <c r="X96" s="12">
        <v>1.5</v>
      </c>
      <c r="Y96" s="4">
        <f>3.1+6.2+25</f>
        <v>34.299999999999997</v>
      </c>
      <c r="Z9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97" spans="2:26" x14ac:dyDescent="0.35">
      <c r="B97">
        <f t="shared" si="5"/>
        <v>95</v>
      </c>
      <c r="C97" t="s">
        <v>83</v>
      </c>
      <c r="D97" t="s">
        <v>176</v>
      </c>
      <c r="E97">
        <f>IF(WEEKNUM(Combined[[#This Row],[Date]], 1) = 53, 1, WEEKNUM(Combined[[#This Row],[Date]], 2))</f>
        <v>27</v>
      </c>
      <c r="F97" t="str">
        <f t="shared" si="4"/>
        <v>Saturday</v>
      </c>
      <c r="G97" s="41">
        <v>44380</v>
      </c>
      <c r="H97">
        <v>0</v>
      </c>
      <c r="I97" s="1">
        <v>0</v>
      </c>
      <c r="J97" s="2">
        <v>9.0277777777777776E-2</v>
      </c>
      <c r="K97" s="12">
        <f>Combined[[#This Row],[Time Spent]]*24</f>
        <v>2.1666666666666665</v>
      </c>
      <c r="L97" s="12">
        <f>MROUND(Combined[[#This Row],[Time Spent 2]],0.25)</f>
        <v>2.25</v>
      </c>
      <c r="M97" s="2" t="s">
        <v>90</v>
      </c>
      <c r="N97" t="s">
        <v>80</v>
      </c>
      <c r="O97">
        <f>MATCH(Combined[[#This Row],[Primary Area]],KPIs!$C$4:$C$7,0)</f>
        <v>2</v>
      </c>
      <c r="P97"/>
      <c r="Q97" s="40">
        <v>44561</v>
      </c>
      <c r="R97" s="40">
        <f t="shared" si="6"/>
        <v>44561</v>
      </c>
      <c r="S97" s="4" t="str">
        <f>TEXT(Mileage[[#This Row],[Date]],"dddd")</f>
        <v>Friday</v>
      </c>
      <c r="T97" s="4" t="s">
        <v>235</v>
      </c>
      <c r="U97" s="4">
        <v>37.799999999999997</v>
      </c>
      <c r="V97" t="str" cm="1">
        <f t="array" ref="V97">IFERROR(VLOOKUP(MODE(IF(Combined[Date]=Mileage[[#This Row],[Date]],Combined[Area '#])),KPIs!$B$4:$C$7,2,FALSE),VLOOKUP(Mileage[[#This Row],[Date]],Combined[[Date]:[Primary Area]],8,FALSE))</f>
        <v>Brunswick/Bath/Freeport</v>
      </c>
      <c r="W97" s="106">
        <v>0.69513888888888886</v>
      </c>
      <c r="X97" s="12">
        <v>4.5</v>
      </c>
      <c r="Y97" s="4">
        <f>30+4.3+25.4+42.8+6.7</f>
        <v>109.2</v>
      </c>
      <c r="Z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98" spans="2:26" x14ac:dyDescent="0.35">
      <c r="B98">
        <f t="shared" si="5"/>
        <v>96</v>
      </c>
      <c r="C98" t="s">
        <v>86</v>
      </c>
      <c r="D98" t="s">
        <v>176</v>
      </c>
      <c r="E98">
        <f>IF(WEEKNUM(Combined[[#This Row],[Date]], 1) = 53, 1, WEEKNUM(Combined[[#This Row],[Date]], 2))</f>
        <v>27</v>
      </c>
      <c r="F98" t="str">
        <f t="shared" ref="F98:F129" si="7">TEXT(WEEKDAY(G98,1),"DDDD")</f>
        <v>Saturday</v>
      </c>
      <c r="G98" s="41">
        <v>44380</v>
      </c>
      <c r="H98">
        <v>7</v>
      </c>
      <c r="I98" s="1">
        <f>32+15+5</f>
        <v>52</v>
      </c>
      <c r="J98" s="2">
        <f>TIME(0,41,)+TIME(1,15,)+TIME(2,24,)</f>
        <v>0.18055555555555558</v>
      </c>
      <c r="K98" s="12">
        <f>Combined[[#This Row],[Time Spent]]*24</f>
        <v>4.3333333333333339</v>
      </c>
      <c r="L98" s="12">
        <f>MROUND(Combined[[#This Row],[Time Spent 2]],0.25)</f>
        <v>4.25</v>
      </c>
      <c r="M98" s="2" t="s">
        <v>90</v>
      </c>
      <c r="N98" t="s">
        <v>80</v>
      </c>
      <c r="O98">
        <f>MATCH(Combined[[#This Row],[Primary Area]],KPIs!$C$4:$C$7,0)</f>
        <v>2</v>
      </c>
      <c r="P98"/>
      <c r="Q98" s="40">
        <v>44572</v>
      </c>
      <c r="R98" s="40">
        <f t="shared" si="6"/>
        <v>44572</v>
      </c>
      <c r="S98" s="4" t="str">
        <f>TEXT(Mileage[[#This Row],[Date]],"dddd")</f>
        <v>Tuesday</v>
      </c>
      <c r="T98" s="4" t="s">
        <v>249</v>
      </c>
      <c r="U98" s="4">
        <v>24.1</v>
      </c>
      <c r="V98" t="str" cm="1">
        <f t="array" ref="V98">IFERROR(VLOOKUP(MODE(IF(Combined[Date]=Mileage[[#This Row],[Date]],Combined[Area '#])),KPIs!$B$4:$C$7,2,FALSE),VLOOKUP(Mileage[[#This Row],[Date]],Combined[[Date]:[Primary Area]],8,FALSE))</f>
        <v>Brunswick/Bath/Freeport</v>
      </c>
      <c r="W98" s="106">
        <v>0.73611111111111116</v>
      </c>
      <c r="X98" s="12">
        <v>3.9000000000000004</v>
      </c>
      <c r="Y98" s="4">
        <f>8+58.1+15.2</f>
        <v>81.3</v>
      </c>
      <c r="Z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99" spans="2:26" x14ac:dyDescent="0.35">
      <c r="B99">
        <f t="shared" si="5"/>
        <v>97</v>
      </c>
      <c r="C99" t="s">
        <v>83</v>
      </c>
      <c r="D99" t="s">
        <v>176</v>
      </c>
      <c r="E99">
        <f>IF(WEEKNUM(Combined[[#This Row],[Date]], 1) = 53, 1, WEEKNUM(Combined[[#This Row],[Date]], 2))</f>
        <v>30</v>
      </c>
      <c r="F99" t="str">
        <f t="shared" si="7"/>
        <v>Saturday</v>
      </c>
      <c r="G99" s="41">
        <v>44401</v>
      </c>
      <c r="H99">
        <v>0</v>
      </c>
      <c r="I99" s="1">
        <v>0</v>
      </c>
      <c r="J99" s="2">
        <v>2.6388888888888889E-2</v>
      </c>
      <c r="K99" s="12">
        <f>Combined[[#This Row],[Time Spent]]*24</f>
        <v>0.6333333333333333</v>
      </c>
      <c r="L99" s="12">
        <f>MROUND(Combined[[#This Row],[Time Spent 2]],0.25)</f>
        <v>0.75</v>
      </c>
      <c r="M99" s="2" t="s">
        <v>91</v>
      </c>
      <c r="N99" t="s">
        <v>80</v>
      </c>
      <c r="O99">
        <f>MATCH(Combined[[#This Row],[Primary Area]],KPIs!$C$4:$C$7,0)</f>
        <v>2</v>
      </c>
      <c r="P99"/>
      <c r="Q99" s="40">
        <v>44576</v>
      </c>
      <c r="R99" s="40">
        <f t="shared" si="6"/>
        <v>44576</v>
      </c>
      <c r="S99" s="4" t="str">
        <f>TEXT(Mileage[[#This Row],[Date]],"dddd")</f>
        <v>Saturday</v>
      </c>
      <c r="T99" s="4" t="s">
        <v>230</v>
      </c>
      <c r="U99" s="4">
        <v>19.7</v>
      </c>
      <c r="V99" t="str" cm="1">
        <f t="array" ref="V99">IFERROR(VLOOKUP(MODE(IF(Combined[Date]=Mileage[[#This Row],[Date]],Combined[Area '#])),KPIs!$B$4:$C$7,2,FALSE),VLOOKUP(Mileage[[#This Row],[Date]],Combined[[Date]:[Primary Area]],8,FALSE))</f>
        <v>Lewiston</v>
      </c>
      <c r="W99" s="106">
        <v>0.48194444444444445</v>
      </c>
      <c r="X99" s="12">
        <v>5.6</v>
      </c>
      <c r="Y99" s="4">
        <f>44.6+1.5+8+3.6+6.5+6.1+8.8+37.8</f>
        <v>116.89999999999999</v>
      </c>
      <c r="Z9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00" spans="2:26" x14ac:dyDescent="0.35">
      <c r="B100">
        <f t="shared" si="5"/>
        <v>98</v>
      </c>
      <c r="C100" t="s">
        <v>86</v>
      </c>
      <c r="D100" t="s">
        <v>176</v>
      </c>
      <c r="E100">
        <f>IF(WEEKNUM(Combined[[#This Row],[Date]], 1) = 53, 1, WEEKNUM(Combined[[#This Row],[Date]], 2))</f>
        <v>30</v>
      </c>
      <c r="F100" t="str">
        <f t="shared" si="7"/>
        <v>Saturday</v>
      </c>
      <c r="G100" s="41">
        <v>44401</v>
      </c>
      <c r="H100">
        <v>3</v>
      </c>
      <c r="I100" s="1">
        <v>24</v>
      </c>
      <c r="J100" s="2">
        <v>6.5277777777777782E-2</v>
      </c>
      <c r="K100" s="12">
        <f>Combined[[#This Row],[Time Spent]]*24</f>
        <v>1.5666666666666669</v>
      </c>
      <c r="L100" s="12">
        <f>MROUND(Combined[[#This Row],[Time Spent 2]],0.25)</f>
        <v>1.5</v>
      </c>
      <c r="M100" s="2" t="s">
        <v>91</v>
      </c>
      <c r="N100" t="s">
        <v>80</v>
      </c>
      <c r="O100">
        <f>MATCH(Combined[[#This Row],[Primary Area]],KPIs!$C$4:$C$7,0)</f>
        <v>2</v>
      </c>
      <c r="P100"/>
      <c r="Q100" s="40">
        <v>44585</v>
      </c>
      <c r="R100" s="40">
        <f t="shared" si="6"/>
        <v>44585</v>
      </c>
      <c r="S100" s="4" t="str">
        <f>TEXT(Mileage[[#This Row],[Date]],"dddd")</f>
        <v>Monday</v>
      </c>
      <c r="T100" s="4" t="s">
        <v>234</v>
      </c>
      <c r="U100" s="4">
        <v>29.7</v>
      </c>
      <c r="V100" t="str" cm="1">
        <f t="array" ref="V100">IFERROR(VLOOKUP(MODE(IF(Combined[Date]=Mileage[[#This Row],[Date]],Combined[Area '#])),KPIs!$B$4:$C$7,2,FALSE),VLOOKUP(Mileage[[#This Row],[Date]],Combined[[Date]:[Primary Area]],8,FALSE))</f>
        <v>Brunswick/Bath/Freeport</v>
      </c>
      <c r="W100" s="106">
        <v>0.73402777777777783</v>
      </c>
      <c r="X100" s="12">
        <v>1.8</v>
      </c>
      <c r="Y100" s="4">
        <f>3+43.4</f>
        <v>46.4</v>
      </c>
      <c r="Z1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1" spans="2:26" x14ac:dyDescent="0.35">
      <c r="B101">
        <f t="shared" si="5"/>
        <v>99</v>
      </c>
      <c r="C101" t="s">
        <v>83</v>
      </c>
      <c r="D101" t="s">
        <v>176</v>
      </c>
      <c r="E101">
        <f>IF(WEEKNUM(Combined[[#This Row],[Date]], 1) = 53, 1, WEEKNUM(Combined[[#This Row],[Date]], 2))</f>
        <v>31</v>
      </c>
      <c r="F101" t="str">
        <f t="shared" si="7"/>
        <v>Saturday</v>
      </c>
      <c r="G101" s="41">
        <v>44408</v>
      </c>
      <c r="H101">
        <v>1</v>
      </c>
      <c r="I101" s="1">
        <v>14.2</v>
      </c>
      <c r="J101" s="2">
        <v>2.7777777777777776E-2</v>
      </c>
      <c r="K101" s="12">
        <f>Combined[[#This Row],[Time Spent]]*24</f>
        <v>0.66666666666666663</v>
      </c>
      <c r="L101" s="12">
        <f>MROUND(Combined[[#This Row],[Time Spent 2]],0.25)</f>
        <v>0.75</v>
      </c>
      <c r="M101" s="2" t="s">
        <v>90</v>
      </c>
      <c r="N101" t="s">
        <v>80</v>
      </c>
      <c r="O101">
        <f>MATCH(Combined[[#This Row],[Primary Area]],KPIs!$C$4:$C$7,0)</f>
        <v>2</v>
      </c>
      <c r="P101"/>
      <c r="Q101" s="40">
        <v>44595</v>
      </c>
      <c r="R101" s="40">
        <f t="shared" si="6"/>
        <v>44595</v>
      </c>
      <c r="S101" s="4" t="str">
        <f>TEXT(Mileage[[#This Row],[Date]],"dddd")</f>
        <v>Thursday</v>
      </c>
      <c r="T101" s="4" t="s">
        <v>232</v>
      </c>
      <c r="U101" s="4">
        <v>24.4</v>
      </c>
      <c r="V101" t="str" cm="1">
        <f t="array" ref="V101">IFERROR(VLOOKUP(MODE(IF(Combined[Date]=Mileage[[#This Row],[Date]],Combined[Area '#])),KPIs!$B$4:$C$7,2,FALSE),VLOOKUP(Mileage[[#This Row],[Date]],Combined[[Date]:[Primary Area]],8,FALSE))</f>
        <v>Brunswick/Bath/Freeport</v>
      </c>
      <c r="W101" s="106">
        <v>0.74583333333333324</v>
      </c>
      <c r="X101" s="12">
        <v>2.5</v>
      </c>
      <c r="Y101" s="4">
        <f>12.6+12.6+5.9+18.7</f>
        <v>49.8</v>
      </c>
      <c r="Z10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02" spans="2:26" x14ac:dyDescent="0.35">
      <c r="B102">
        <f t="shared" si="5"/>
        <v>100</v>
      </c>
      <c r="C102" t="s">
        <v>86</v>
      </c>
      <c r="D102" t="s">
        <v>176</v>
      </c>
      <c r="E102">
        <f>IF(WEEKNUM(Combined[[#This Row],[Date]], 1) = 53, 1, WEEKNUM(Combined[[#This Row],[Date]], 2))</f>
        <v>31</v>
      </c>
      <c r="F102" t="str">
        <f t="shared" si="7"/>
        <v>Saturday</v>
      </c>
      <c r="G102" s="41">
        <v>44408</v>
      </c>
      <c r="H102">
        <v>2</v>
      </c>
      <c r="I102" s="1">
        <v>14</v>
      </c>
      <c r="J102" s="2">
        <v>3.3333333333333333E-2</v>
      </c>
      <c r="K102" s="12">
        <f>Combined[[#This Row],[Time Spent]]*24</f>
        <v>0.8</v>
      </c>
      <c r="L102" s="12">
        <f>MROUND(Combined[[#This Row],[Time Spent 2]],0.25)</f>
        <v>0.75</v>
      </c>
      <c r="M102" s="2" t="s">
        <v>90</v>
      </c>
      <c r="N102" t="s">
        <v>80</v>
      </c>
      <c r="O102">
        <f>MATCH(Combined[[#This Row],[Primary Area]],KPIs!$C$4:$C$7,0)</f>
        <v>2</v>
      </c>
      <c r="P102"/>
      <c r="Q102" s="40">
        <v>44600</v>
      </c>
      <c r="R102" s="40">
        <f t="shared" si="6"/>
        <v>44600</v>
      </c>
      <c r="S102" s="4" t="str">
        <f>TEXT(Mileage[[#This Row],[Date]],"dddd")</f>
        <v>Tuesday</v>
      </c>
      <c r="T102" s="4" t="s">
        <v>230</v>
      </c>
      <c r="U102" s="4">
        <v>38.700000000000003</v>
      </c>
      <c r="V102" t="str" cm="1">
        <f t="array" ref="V102">IFERROR(VLOOKUP(MODE(IF(Combined[Date]=Mileage[[#This Row],[Date]],Combined[Area '#])),KPIs!$B$4:$C$7,2,FALSE),VLOOKUP(Mileage[[#This Row],[Date]],Combined[[Date]:[Primary Area]],8,FALSE))</f>
        <v>Brunswick/Bath/Freeport</v>
      </c>
      <c r="W102" s="106">
        <v>0.76388888888888884</v>
      </c>
      <c r="X102" s="12">
        <v>3.3</v>
      </c>
      <c r="Y102" s="4">
        <f>7.2+68.1+0.7</f>
        <v>76</v>
      </c>
      <c r="Z10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3" spans="2:26" x14ac:dyDescent="0.35">
      <c r="B103">
        <f t="shared" si="5"/>
        <v>101</v>
      </c>
      <c r="C103" t="s">
        <v>83</v>
      </c>
      <c r="D103" t="s">
        <v>176</v>
      </c>
      <c r="E103">
        <f>IF(WEEKNUM(Combined[[#This Row],[Date]], 1) = 53, 1, WEEKNUM(Combined[[#This Row],[Date]], 2))</f>
        <v>31</v>
      </c>
      <c r="F103" t="str">
        <f t="shared" si="7"/>
        <v>Sunday</v>
      </c>
      <c r="G103" s="41">
        <v>44409</v>
      </c>
      <c r="H103">
        <v>2</v>
      </c>
      <c r="I103" s="1">
        <v>27.8</v>
      </c>
      <c r="J103" s="2">
        <v>3.4722222222222224E-2</v>
      </c>
      <c r="K103" s="12">
        <f>Combined[[#This Row],[Time Spent]]*24</f>
        <v>0.83333333333333337</v>
      </c>
      <c r="L103" s="12">
        <f>MROUND(Combined[[#This Row],[Time Spent 2]],0.25)</f>
        <v>0.75</v>
      </c>
      <c r="M103" s="2" t="s">
        <v>91</v>
      </c>
      <c r="N103" t="s">
        <v>80</v>
      </c>
      <c r="O103">
        <f>MATCH(Combined[[#This Row],[Primary Area]],KPIs!$C$4:$C$7,0)</f>
        <v>2</v>
      </c>
      <c r="P103"/>
      <c r="Q103" s="40">
        <v>44604</v>
      </c>
      <c r="R103" s="40">
        <f t="shared" si="6"/>
        <v>44604</v>
      </c>
      <c r="S103" s="4" t="str">
        <f>TEXT(Mileage[[#This Row],[Date]],"dddd")</f>
        <v>Saturday</v>
      </c>
      <c r="T103" s="4" t="s">
        <v>234</v>
      </c>
      <c r="U103" s="4">
        <v>23.6</v>
      </c>
      <c r="V103" t="str" cm="1">
        <f t="array" ref="V103">IFERROR(VLOOKUP(MODE(IF(Combined[Date]=Mileage[[#This Row],[Date]],Combined[Area '#])),KPIs!$B$4:$C$7,2,FALSE),VLOOKUP(Mileage[[#This Row],[Date]],Combined[[Date]:[Primary Area]],8,FALSE))</f>
        <v>Brunswick/Bath/Freeport</v>
      </c>
      <c r="W103" s="106">
        <v>0.6381944444444444</v>
      </c>
      <c r="X103" s="12">
        <v>5.5</v>
      </c>
      <c r="Y103" s="4">
        <f>18.4+6.2+1+17.6+3.7+40.5</f>
        <v>87.4</v>
      </c>
      <c r="Z10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04" spans="2:26" x14ac:dyDescent="0.35">
      <c r="B104">
        <f t="shared" si="5"/>
        <v>102</v>
      </c>
      <c r="C104" t="s">
        <v>86</v>
      </c>
      <c r="D104" t="s">
        <v>176</v>
      </c>
      <c r="E104">
        <f>IF(WEEKNUM(Combined[[#This Row],[Date]], 1) = 53, 1, WEEKNUM(Combined[[#This Row],[Date]], 2))</f>
        <v>36</v>
      </c>
      <c r="F104" t="str">
        <f t="shared" si="7"/>
        <v>Monday</v>
      </c>
      <c r="G104" s="41">
        <v>44438</v>
      </c>
      <c r="H104">
        <v>2</v>
      </c>
      <c r="I104" s="1">
        <v>16</v>
      </c>
      <c r="J104" s="2">
        <v>3.7499999999999999E-2</v>
      </c>
      <c r="K104" s="12">
        <f>Combined[[#This Row],[Time Spent]]*24</f>
        <v>0.89999999999999991</v>
      </c>
      <c r="L104" s="12">
        <f>MROUND(Combined[[#This Row],[Time Spent 2]],0.25)</f>
        <v>1</v>
      </c>
      <c r="M104" s="2" t="s">
        <v>91</v>
      </c>
      <c r="N104" t="s">
        <v>80</v>
      </c>
      <c r="O104">
        <f>MATCH(Combined[[#This Row],[Primary Area]],KPIs!$C$4:$C$7,0)</f>
        <v>2</v>
      </c>
      <c r="P104"/>
      <c r="Q104" s="40">
        <v>44606</v>
      </c>
      <c r="R104" s="40">
        <f t="shared" si="6"/>
        <v>44606</v>
      </c>
      <c r="S104" s="4" t="str">
        <f>TEXT(Mileage[[#This Row],[Date]],"dddd")</f>
        <v>Monday</v>
      </c>
      <c r="T104" s="4" t="s">
        <v>230</v>
      </c>
      <c r="U104" s="4">
        <v>16.7</v>
      </c>
      <c r="V104" t="str" cm="1">
        <f t="array" ref="V104">IFERROR(VLOOKUP(MODE(IF(Combined[Date]=Mileage[[#This Row],[Date]],Combined[Area '#])),KPIs!$B$4:$C$7,2,FALSE),VLOOKUP(Mileage[[#This Row],[Date]],Combined[[Date]:[Primary Area]],8,FALSE))</f>
        <v>Brunswick/Bath/Freeport</v>
      </c>
      <c r="W104" s="106">
        <v>0.75763888888888886</v>
      </c>
      <c r="X104" s="12">
        <v>0.8</v>
      </c>
      <c r="Y104" s="4">
        <v>19.3</v>
      </c>
      <c r="Z10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05" spans="2:26" x14ac:dyDescent="0.35">
      <c r="B105">
        <f t="shared" si="5"/>
        <v>103</v>
      </c>
      <c r="C105" t="s">
        <v>86</v>
      </c>
      <c r="D105" t="s">
        <v>176</v>
      </c>
      <c r="E105">
        <f>IF(WEEKNUM(Combined[[#This Row],[Date]], 1) = 53, 1, WEEKNUM(Combined[[#This Row],[Date]], 2))</f>
        <v>36</v>
      </c>
      <c r="F105" t="str">
        <f t="shared" si="7"/>
        <v>Tuesday</v>
      </c>
      <c r="G105" s="41">
        <v>44439</v>
      </c>
      <c r="H105">
        <v>4</v>
      </c>
      <c r="I105" s="1">
        <v>23.25</v>
      </c>
      <c r="J105" s="2">
        <v>6.0416666666666667E-2</v>
      </c>
      <c r="K105" s="12">
        <f>Combined[[#This Row],[Time Spent]]*24</f>
        <v>1.45</v>
      </c>
      <c r="L105" s="12">
        <f>MROUND(Combined[[#This Row],[Time Spent 2]],0.25)</f>
        <v>1.5</v>
      </c>
      <c r="M105" s="2" t="s">
        <v>91</v>
      </c>
      <c r="N105" t="s">
        <v>80</v>
      </c>
      <c r="O105">
        <f>MATCH(Combined[[#This Row],[Primary Area]],KPIs!$C$4:$C$7,0)</f>
        <v>2</v>
      </c>
      <c r="P105"/>
      <c r="Q105" s="40">
        <v>44616</v>
      </c>
      <c r="R105" s="40">
        <f t="shared" si="6"/>
        <v>44616</v>
      </c>
      <c r="S105" s="4" t="str">
        <f>TEXT(Mileage[[#This Row],[Date]],"dddd")</f>
        <v>Thursday</v>
      </c>
      <c r="T105" s="4" t="s">
        <v>232</v>
      </c>
      <c r="U105" s="4">
        <v>17.3</v>
      </c>
      <c r="V105" t="str" cm="1">
        <f t="array" ref="V105">IFERROR(VLOOKUP(MODE(IF(Combined[Date]=Mileage[[#This Row],[Date]],Combined[Area '#])),KPIs!$B$4:$C$7,2,FALSE),VLOOKUP(Mileage[[#This Row],[Date]],Combined[[Date]:[Primary Area]],8,FALSE))</f>
        <v>Lewiston</v>
      </c>
      <c r="W105" s="106">
        <v>0.72777777777777775</v>
      </c>
      <c r="X105" s="12">
        <v>4</v>
      </c>
      <c r="Y105" s="4">
        <f>9.9+19.6+2.5+24.2+2.8</f>
        <v>59</v>
      </c>
      <c r="Z10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06" spans="2:26" x14ac:dyDescent="0.35">
      <c r="B106">
        <f t="shared" si="5"/>
        <v>104</v>
      </c>
      <c r="C106" t="s">
        <v>83</v>
      </c>
      <c r="D106" t="s">
        <v>176</v>
      </c>
      <c r="E106">
        <f>IF(WEEKNUM(Combined[[#This Row],[Date]], 1) = 53, 1, WEEKNUM(Combined[[#This Row],[Date]], 2))</f>
        <v>36</v>
      </c>
      <c r="F106" t="str">
        <f t="shared" si="7"/>
        <v>Tuesday</v>
      </c>
      <c r="G106" s="41">
        <v>44439</v>
      </c>
      <c r="H106">
        <v>2</v>
      </c>
      <c r="I106" s="1">
        <v>30.41</v>
      </c>
      <c r="J106" s="2">
        <v>5.0694444444444452E-2</v>
      </c>
      <c r="K106" s="12">
        <f>Combined[[#This Row],[Time Spent]]*24</f>
        <v>1.2166666666666668</v>
      </c>
      <c r="L106" s="12">
        <f>MROUND(Combined[[#This Row],[Time Spent 2]],0.25)</f>
        <v>1.25</v>
      </c>
      <c r="M106" s="2" t="s">
        <v>91</v>
      </c>
      <c r="N106" t="s">
        <v>80</v>
      </c>
      <c r="O106">
        <f>MATCH(Combined[[#This Row],[Primary Area]],KPIs!$C$4:$C$7,0)</f>
        <v>2</v>
      </c>
      <c r="P106"/>
      <c r="Q106" s="40">
        <v>44619</v>
      </c>
      <c r="R106" s="40">
        <f t="shared" si="6"/>
        <v>44619</v>
      </c>
      <c r="S106" s="4" t="str">
        <f>TEXT(Mileage[[#This Row],[Date]],"dddd")</f>
        <v>Sunday</v>
      </c>
      <c r="T106" s="4" t="s">
        <v>230</v>
      </c>
      <c r="U106" s="4">
        <v>11</v>
      </c>
      <c r="V106" t="str" cm="1">
        <f t="array" ref="V106">IFERROR(VLOOKUP(MODE(IF(Combined[Date]=Mileage[[#This Row],[Date]],Combined[Area '#])),KPIs!$B$4:$C$7,2,FALSE),VLOOKUP(Mileage[[#This Row],[Date]],Combined[[Date]:[Primary Area]],8,FALSE))</f>
        <v>Portland</v>
      </c>
      <c r="W106" s="106">
        <v>0.70000000000000007</v>
      </c>
      <c r="X106" s="12">
        <v>5.5</v>
      </c>
      <c r="Y106" s="4">
        <f>0.6+23.4+21.3+2.7+42.6</f>
        <v>90.6</v>
      </c>
      <c r="Z10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7" spans="2:26" x14ac:dyDescent="0.35">
      <c r="B107">
        <f t="shared" si="5"/>
        <v>105</v>
      </c>
      <c r="C107" t="s">
        <v>86</v>
      </c>
      <c r="D107" t="s">
        <v>176</v>
      </c>
      <c r="E107">
        <f>IF(WEEKNUM(Combined[[#This Row],[Date]], 1) = 53, 1, WEEKNUM(Combined[[#This Row],[Date]], 2))</f>
        <v>37</v>
      </c>
      <c r="F107" t="str">
        <f t="shared" si="7"/>
        <v>Friday</v>
      </c>
      <c r="G107" s="41">
        <v>44449</v>
      </c>
      <c r="H107">
        <v>10</v>
      </c>
      <c r="I107" s="1">
        <v>83.36</v>
      </c>
      <c r="J107" s="2">
        <v>0.15486111111111112</v>
      </c>
      <c r="K107" s="12">
        <f>Combined[[#This Row],[Time Spent]]*24</f>
        <v>3.7166666666666668</v>
      </c>
      <c r="L107" s="12">
        <f>MROUND(Combined[[#This Row],[Time Spent 2]],0.25)</f>
        <v>3.75</v>
      </c>
      <c r="M107" s="2" t="s">
        <v>91</v>
      </c>
      <c r="N107" t="s">
        <v>80</v>
      </c>
      <c r="O107">
        <f>MATCH(Combined[[#This Row],[Primary Area]],KPIs!$C$4:$C$7,0)</f>
        <v>2</v>
      </c>
      <c r="P107"/>
      <c r="Q107" s="40">
        <v>44620</v>
      </c>
      <c r="R107" s="40">
        <f t="shared" si="6"/>
        <v>44620</v>
      </c>
      <c r="S107" s="4" t="str">
        <f>TEXT(Mileage[[#This Row],[Date]],"dddd")</f>
        <v>Monday</v>
      </c>
      <c r="T107" s="4" t="s">
        <v>234</v>
      </c>
      <c r="U107" s="4">
        <v>27.8</v>
      </c>
      <c r="V107" t="str" cm="1">
        <f t="array" ref="V107">IFERROR(VLOOKUP(MODE(IF(Combined[Date]=Mileage[[#This Row],[Date]],Combined[Area '#])),KPIs!$B$4:$C$7,2,FALSE),VLOOKUP(Mileage[[#This Row],[Date]],Combined[[Date]:[Primary Area]],8,FALSE))</f>
        <v>Brunswick/Bath/Freeport</v>
      </c>
      <c r="W107" s="106">
        <v>0.75069444444444444</v>
      </c>
      <c r="X107" s="12">
        <v>5.3</v>
      </c>
      <c r="Y107" s="4">
        <f>40.4+78.8</f>
        <v>119.19999999999999</v>
      </c>
      <c r="Z10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8" spans="2:26" x14ac:dyDescent="0.35">
      <c r="B108">
        <f t="shared" si="5"/>
        <v>106</v>
      </c>
      <c r="C108" t="s">
        <v>86</v>
      </c>
      <c r="D108" t="s">
        <v>176</v>
      </c>
      <c r="E108">
        <f>IF(WEEKNUM(Combined[[#This Row],[Date]], 1) = 53, 1, WEEKNUM(Combined[[#This Row],[Date]], 2))</f>
        <v>37</v>
      </c>
      <c r="F108" t="str">
        <f t="shared" si="7"/>
        <v>Sunday</v>
      </c>
      <c r="G108" s="41">
        <v>44451</v>
      </c>
      <c r="H108">
        <v>2</v>
      </c>
      <c r="I108" s="1">
        <v>20.149999999999999</v>
      </c>
      <c r="J108" s="2">
        <v>2.9861111111111113E-2</v>
      </c>
      <c r="K108" s="12">
        <f>Combined[[#This Row],[Time Spent]]*24</f>
        <v>0.71666666666666667</v>
      </c>
      <c r="L108" s="12">
        <f>MROUND(Combined[[#This Row],[Time Spent 2]],0.25)</f>
        <v>0.75</v>
      </c>
      <c r="M108" s="2" t="s">
        <v>91</v>
      </c>
      <c r="N108" t="s">
        <v>80</v>
      </c>
      <c r="O108">
        <f>MATCH(Combined[[#This Row],[Primary Area]],KPIs!$C$4:$C$7,0)</f>
        <v>2</v>
      </c>
      <c r="P108"/>
      <c r="Q108" s="40">
        <v>44627</v>
      </c>
      <c r="R108" s="40">
        <f t="shared" si="6"/>
        <v>44627</v>
      </c>
      <c r="S108" s="4" t="str">
        <f>TEXT(Mileage[[#This Row],[Date]],"dddd")</f>
        <v>Monday</v>
      </c>
      <c r="T108" s="4" t="s">
        <v>236</v>
      </c>
      <c r="U108" s="4">
        <v>36.5</v>
      </c>
      <c r="V108" t="str" cm="1">
        <f t="array" ref="V108">IFERROR(VLOOKUP(MODE(IF(Combined[Date]=Mileage[[#This Row],[Date]],Combined[Area '#])),KPIs!$B$4:$C$7,2,FALSE),VLOOKUP(Mileage[[#This Row],[Date]],Combined[[Date]:[Primary Area]],8,FALSE))</f>
        <v>Brunswick/Bath/Freeport</v>
      </c>
      <c r="W108" s="106">
        <v>0.70208333333333339</v>
      </c>
      <c r="X108" s="12">
        <v>2.2999999999999998</v>
      </c>
      <c r="Y108" s="4">
        <f>22.5+31.8</f>
        <v>54.3</v>
      </c>
      <c r="Z10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09" spans="2:26" x14ac:dyDescent="0.35">
      <c r="B109">
        <f t="shared" si="5"/>
        <v>107</v>
      </c>
      <c r="C109" t="s">
        <v>86</v>
      </c>
      <c r="D109" t="s">
        <v>176</v>
      </c>
      <c r="E109">
        <f>IF(WEEKNUM(Combined[[#This Row],[Date]], 1) = 53, 1, WEEKNUM(Combined[[#This Row],[Date]], 2))</f>
        <v>38</v>
      </c>
      <c r="F109" t="str">
        <f t="shared" si="7"/>
        <v>Thursday</v>
      </c>
      <c r="G109" s="41">
        <v>44455</v>
      </c>
      <c r="H109">
        <v>4</v>
      </c>
      <c r="I109" s="1">
        <v>39.5</v>
      </c>
      <c r="J109" s="2">
        <v>9.375E-2</v>
      </c>
      <c r="K109" s="12">
        <f>Combined[[#This Row],[Time Spent]]*24</f>
        <v>2.25</v>
      </c>
      <c r="L109" s="12">
        <f>MROUND(Combined[[#This Row],[Time Spent 2]],0.25)</f>
        <v>2.25</v>
      </c>
      <c r="M109" s="2" t="s">
        <v>91</v>
      </c>
      <c r="N109" t="s">
        <v>80</v>
      </c>
      <c r="O109">
        <f>MATCH(Combined[[#This Row],[Primary Area]],KPIs!$C$4:$C$7,0)</f>
        <v>2</v>
      </c>
      <c r="P109"/>
      <c r="Q109" s="40">
        <v>44632</v>
      </c>
      <c r="R109" s="40">
        <f t="shared" si="6"/>
        <v>44632</v>
      </c>
      <c r="S109" s="4" t="str">
        <f>TEXT(Mileage[[#This Row],[Date]],"dddd")</f>
        <v>Saturday</v>
      </c>
      <c r="T109" s="4" t="s">
        <v>249</v>
      </c>
      <c r="U109" s="4">
        <v>22.8</v>
      </c>
      <c r="V109" t="str" cm="1">
        <f t="array" ref="V109">IFERROR(VLOOKUP(MODE(IF(Combined[Date]=Mileage[[#This Row],[Date]],Combined[Area '#])),KPIs!$B$4:$C$7,2,FALSE),VLOOKUP(Mileage[[#This Row],[Date]],Combined[[Date]:[Primary Area]],8,FALSE))</f>
        <v>Brunswick/Bath/Freeport</v>
      </c>
      <c r="W109" s="106">
        <v>0.55069444444444449</v>
      </c>
      <c r="X109" s="12">
        <v>4.5</v>
      </c>
      <c r="Y109" s="4">
        <f>13.3+17+20.4+10.2+16.8+5.4+32.5</f>
        <v>115.60000000000001</v>
      </c>
      <c r="Z1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0" spans="2:26" x14ac:dyDescent="0.35">
      <c r="B110">
        <f t="shared" si="5"/>
        <v>108</v>
      </c>
      <c r="C110" t="s">
        <v>86</v>
      </c>
      <c r="D110" t="s">
        <v>176</v>
      </c>
      <c r="E110">
        <f>IF(WEEKNUM(Combined[[#This Row],[Date]], 1) = 53, 1, WEEKNUM(Combined[[#This Row],[Date]], 2))</f>
        <v>39</v>
      </c>
      <c r="F110" t="str">
        <f t="shared" si="7"/>
        <v>Saturday</v>
      </c>
      <c r="G110" s="41">
        <v>44464</v>
      </c>
      <c r="H110">
        <v>14</v>
      </c>
      <c r="I110" s="1">
        <v>142.32</v>
      </c>
      <c r="J110" s="2">
        <v>0.36805555555555558</v>
      </c>
      <c r="K110" s="12">
        <f>Combined[[#This Row],[Time Spent]]*24</f>
        <v>8.8333333333333339</v>
      </c>
      <c r="L110" s="12">
        <f>MROUND(Combined[[#This Row],[Time Spent 2]],0.25)</f>
        <v>8.75</v>
      </c>
      <c r="M110" s="2" t="s">
        <v>91</v>
      </c>
      <c r="N110" t="s">
        <v>80</v>
      </c>
      <c r="O110">
        <f>MATCH(Combined[[#This Row],[Primary Area]],KPIs!$C$4:$C$7,0)</f>
        <v>2</v>
      </c>
      <c r="P110"/>
      <c r="Q110" s="40">
        <v>44634</v>
      </c>
      <c r="R110" s="40">
        <f t="shared" si="6"/>
        <v>44634</v>
      </c>
      <c r="S110" s="4" t="str">
        <f>TEXT(Mileage[[#This Row],[Date]],"dddd")</f>
        <v>Monday</v>
      </c>
      <c r="T110" s="4" t="s">
        <v>236</v>
      </c>
      <c r="U110" s="4">
        <v>49</v>
      </c>
      <c r="V110" t="str" cm="1">
        <f t="array" ref="V110">IFERROR(VLOOKUP(MODE(IF(Combined[Date]=Mileage[[#This Row],[Date]],Combined[Area '#])),KPIs!$B$4:$C$7,2,FALSE),VLOOKUP(Mileage[[#This Row],[Date]],Combined[[Date]:[Primary Area]],8,FALSE))</f>
        <v>Brunswick/Bath/Freeport</v>
      </c>
      <c r="W110" s="106">
        <v>0.72569444444444453</v>
      </c>
      <c r="X110" s="12">
        <v>4.8</v>
      </c>
      <c r="Y110" s="4">
        <v>86</v>
      </c>
      <c r="Z1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1" spans="2:26" x14ac:dyDescent="0.35">
      <c r="B111">
        <f t="shared" si="5"/>
        <v>109</v>
      </c>
      <c r="C111" t="s">
        <v>83</v>
      </c>
      <c r="D111" t="s">
        <v>176</v>
      </c>
      <c r="E111">
        <f>IF(WEEKNUM(Combined[[#This Row],[Date]], 1) = 53, 1, WEEKNUM(Combined[[#This Row],[Date]], 2))</f>
        <v>39</v>
      </c>
      <c r="F111" t="str">
        <f t="shared" si="7"/>
        <v>Saturday</v>
      </c>
      <c r="G111" s="41">
        <v>44464</v>
      </c>
      <c r="H111">
        <v>2</v>
      </c>
      <c r="I111" s="1">
        <v>37.08</v>
      </c>
      <c r="J111" s="2">
        <v>6.5277777777777782E-2</v>
      </c>
      <c r="K111" s="12">
        <f>Combined[[#This Row],[Time Spent]]*24</f>
        <v>1.5666666666666669</v>
      </c>
      <c r="L111" s="12">
        <f>MROUND(Combined[[#This Row],[Time Spent 2]],0.25)</f>
        <v>1.5</v>
      </c>
      <c r="M111" s="2" t="s">
        <v>91</v>
      </c>
      <c r="N111" t="s">
        <v>80</v>
      </c>
      <c r="O111">
        <f>MATCH(Combined[[#This Row],[Primary Area]],KPIs!$C$4:$C$7,0)</f>
        <v>2</v>
      </c>
      <c r="P111"/>
      <c r="Q111" s="40">
        <v>44639</v>
      </c>
      <c r="R111" s="40">
        <f t="shared" si="6"/>
        <v>44639</v>
      </c>
      <c r="S111" s="4" t="str">
        <f>TEXT(Mileage[[#This Row],[Date]],"dddd")</f>
        <v>Saturday</v>
      </c>
      <c r="T111" s="4" t="s">
        <v>236</v>
      </c>
      <c r="U111" s="4">
        <v>49.1</v>
      </c>
      <c r="V111" t="str" cm="1">
        <f t="array" ref="V111">IFERROR(VLOOKUP(MODE(IF(Combined[Date]=Mileage[[#This Row],[Date]],Combined[Area '#])),KPIs!$B$4:$C$7,2,FALSE),VLOOKUP(Mileage[[#This Row],[Date]],Combined[[Date]:[Primary Area]],8,FALSE))</f>
        <v>Brunswick/Bath/Freeport</v>
      </c>
      <c r="W111" s="106">
        <v>0.56666666666666665</v>
      </c>
      <c r="X111" s="12">
        <v>8.8000000000000007</v>
      </c>
      <c r="Y111" s="4">
        <f>SUM(26.6,6,47.6,14.8,1.7,4.7,22.3,5,4.3,32.6,3.5,6.1,0.4,0.4)</f>
        <v>176</v>
      </c>
      <c r="Z1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2" spans="2:26" x14ac:dyDescent="0.35">
      <c r="B112">
        <f t="shared" si="5"/>
        <v>110</v>
      </c>
      <c r="C112" t="s">
        <v>86</v>
      </c>
      <c r="D112" t="s">
        <v>176</v>
      </c>
      <c r="E112">
        <f>IF(WEEKNUM(Combined[[#This Row],[Date]], 1) = 53, 1, WEEKNUM(Combined[[#This Row],[Date]], 2))</f>
        <v>40</v>
      </c>
      <c r="F112" t="str">
        <f t="shared" si="7"/>
        <v>Saturday</v>
      </c>
      <c r="G112" s="41">
        <v>44471</v>
      </c>
      <c r="H112">
        <v>5</v>
      </c>
      <c r="I112" s="1">
        <v>35.75</v>
      </c>
      <c r="J112" s="2">
        <v>9.9999999999999992E-2</v>
      </c>
      <c r="K112" s="12">
        <f>Combined[[#This Row],[Time Spent]]*24</f>
        <v>2.4</v>
      </c>
      <c r="L112" s="12">
        <f>MROUND(Combined[[#This Row],[Time Spent 2]],0.25)</f>
        <v>2.5</v>
      </c>
      <c r="M112" s="2" t="s">
        <v>91</v>
      </c>
      <c r="N112" t="s">
        <v>80</v>
      </c>
      <c r="O112">
        <f>MATCH(Combined[[#This Row],[Primary Area]],KPIs!$C$4:$C$7,0)</f>
        <v>2</v>
      </c>
      <c r="P112"/>
      <c r="Q112" s="40">
        <v>44640</v>
      </c>
      <c r="R112" s="40">
        <f t="shared" si="6"/>
        <v>44640</v>
      </c>
      <c r="S112" s="4" t="str">
        <f>TEXT(Mileage[[#This Row],[Date]],"dddd")</f>
        <v>Sunday</v>
      </c>
      <c r="T112" s="4" t="s">
        <v>236</v>
      </c>
      <c r="U112" s="4">
        <v>43.1</v>
      </c>
      <c r="V112" t="str" cm="1">
        <f t="array" ref="V112">IFERROR(VLOOKUP(MODE(IF(Combined[Date]=Mileage[[#This Row],[Date]],Combined[Area '#])),KPIs!$B$4:$C$7,2,FALSE),VLOOKUP(Mileage[[#This Row],[Date]],Combined[[Date]:[Primary Area]],8,FALSE))</f>
        <v>Brunswick/Bath/Freeport</v>
      </c>
      <c r="W112" s="106">
        <v>0.6777777777777777</v>
      </c>
      <c r="X112" s="12">
        <v>4</v>
      </c>
      <c r="Y112" s="4">
        <v>80</v>
      </c>
      <c r="Z11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13" spans="2:26" x14ac:dyDescent="0.35">
      <c r="B113">
        <f t="shared" si="5"/>
        <v>111</v>
      </c>
      <c r="C113" t="s">
        <v>86</v>
      </c>
      <c r="D113" t="s">
        <v>176</v>
      </c>
      <c r="E113">
        <f>IF(WEEKNUM(Combined[[#This Row],[Date]], 1) = 53, 1, WEEKNUM(Combined[[#This Row],[Date]], 2))</f>
        <v>41</v>
      </c>
      <c r="F113" t="str">
        <f t="shared" si="7"/>
        <v>Sunday</v>
      </c>
      <c r="G113" s="41">
        <v>44479</v>
      </c>
      <c r="H113">
        <v>2</v>
      </c>
      <c r="I113" s="1">
        <v>22.5</v>
      </c>
      <c r="J113" s="2">
        <v>4.3055555555555562E-2</v>
      </c>
      <c r="K113" s="12">
        <f>Combined[[#This Row],[Time Spent]]*24</f>
        <v>1.0333333333333334</v>
      </c>
      <c r="L113" s="12">
        <f>MROUND(Combined[[#This Row],[Time Spent 2]],0.25)</f>
        <v>1</v>
      </c>
      <c r="M113" s="2" t="s">
        <v>91</v>
      </c>
      <c r="N113" t="s">
        <v>80</v>
      </c>
      <c r="O113">
        <f>MATCH(Combined[[#This Row],[Primary Area]],KPIs!$C$4:$C$7,0)</f>
        <v>2</v>
      </c>
      <c r="P113"/>
      <c r="Q113" s="40">
        <v>44644</v>
      </c>
      <c r="R113" s="40">
        <f t="shared" si="6"/>
        <v>44644</v>
      </c>
      <c r="S113" s="4" t="str">
        <f>TEXT(Mileage[[#This Row],[Date]],"dddd")</f>
        <v>Thursday</v>
      </c>
      <c r="T113" s="4" t="s">
        <v>236</v>
      </c>
      <c r="U113" s="4">
        <v>53</v>
      </c>
      <c r="V113" t="str" cm="1">
        <f t="array" ref="V113">IFERROR(VLOOKUP(MODE(IF(Combined[Date]=Mileage[[#This Row],[Date]],Combined[Area '#])),KPIs!$B$4:$C$7,2,FALSE),VLOOKUP(Mileage[[#This Row],[Date]],Combined[[Date]:[Primary Area]],8,FALSE))</f>
        <v>Brunswick/Bath/Freeport</v>
      </c>
      <c r="W113" s="106">
        <v>0.8041666666666667</v>
      </c>
      <c r="X113" s="12">
        <v>1.1000000000000001</v>
      </c>
      <c r="Y113" s="4">
        <f>6.3+30.2</f>
        <v>36.5</v>
      </c>
      <c r="Z1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4" spans="2:26" x14ac:dyDescent="0.35">
      <c r="B114">
        <f t="shared" si="5"/>
        <v>112</v>
      </c>
      <c r="C114" t="s">
        <v>86</v>
      </c>
      <c r="D114" t="s">
        <v>176</v>
      </c>
      <c r="E114">
        <f>IF(WEEKNUM(Combined[[#This Row],[Date]], 1) = 53, 1, WEEKNUM(Combined[[#This Row],[Date]], 2))</f>
        <v>42</v>
      </c>
      <c r="F114" t="str">
        <f t="shared" si="7"/>
        <v>Monday</v>
      </c>
      <c r="G114" s="41">
        <v>44480</v>
      </c>
      <c r="H114">
        <v>3</v>
      </c>
      <c r="I114" s="1">
        <v>43.75</v>
      </c>
      <c r="J114" s="2">
        <v>0.11458333333333333</v>
      </c>
      <c r="K114" s="12">
        <f>Combined[[#This Row],[Time Spent]]*24</f>
        <v>2.75</v>
      </c>
      <c r="L114" s="12">
        <f>MROUND(Combined[[#This Row],[Time Spent 2]],0.25)</f>
        <v>2.75</v>
      </c>
      <c r="M114" s="2" t="s">
        <v>91</v>
      </c>
      <c r="N114" t="s">
        <v>80</v>
      </c>
      <c r="O114">
        <f>MATCH(Combined[[#This Row],[Primary Area]],KPIs!$C$4:$C$7,0)</f>
        <v>2</v>
      </c>
      <c r="P114"/>
      <c r="Q114" s="40">
        <v>44645</v>
      </c>
      <c r="R114" s="40">
        <f t="shared" si="6"/>
        <v>44645</v>
      </c>
      <c r="S114" s="4" t="str">
        <f>TEXT(Mileage[[#This Row],[Date]],"dddd")</f>
        <v>Friday</v>
      </c>
      <c r="T114" s="4" t="s">
        <v>236</v>
      </c>
      <c r="U114" s="4">
        <v>48.4</v>
      </c>
      <c r="V114" t="str" cm="1">
        <f t="array" ref="V114">IFERROR(VLOOKUP(MODE(IF(Combined[Date]=Mileage[[#This Row],[Date]],Combined[Area '#])),KPIs!$B$4:$C$7,2,FALSE),VLOOKUP(Mileage[[#This Row],[Date]],Combined[[Date]:[Primary Area]],8,FALSE))</f>
        <v>Portland</v>
      </c>
      <c r="W114" s="106">
        <v>0.78125</v>
      </c>
      <c r="X114" s="12">
        <v>5.5</v>
      </c>
      <c r="Y114" s="4">
        <f>4.9+19.2+29.6+42.1</f>
        <v>95.800000000000011</v>
      </c>
      <c r="Z11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5" spans="2:26" x14ac:dyDescent="0.35">
      <c r="B115">
        <f t="shared" si="5"/>
        <v>113</v>
      </c>
      <c r="C115" t="s">
        <v>86</v>
      </c>
      <c r="D115" t="s">
        <v>176</v>
      </c>
      <c r="E115">
        <f>IF(WEEKNUM(Combined[[#This Row],[Date]], 1) = 53, 1, WEEKNUM(Combined[[#This Row],[Date]], 2))</f>
        <v>43</v>
      </c>
      <c r="F115" t="str">
        <f t="shared" si="7"/>
        <v>Sunday</v>
      </c>
      <c r="G115" s="41">
        <v>44493</v>
      </c>
      <c r="H115">
        <v>12</v>
      </c>
      <c r="I115" s="1">
        <v>99.44</v>
      </c>
      <c r="J115" s="2">
        <v>0.20277777777777781</v>
      </c>
      <c r="K115" s="12">
        <f>Combined[[#This Row],[Time Spent]]*24</f>
        <v>4.8666666666666671</v>
      </c>
      <c r="L115" s="12">
        <f>MROUND(Combined[[#This Row],[Time Spent 2]],0.25)</f>
        <v>4.75</v>
      </c>
      <c r="M115" s="2" t="s">
        <v>91</v>
      </c>
      <c r="N115" t="s">
        <v>80</v>
      </c>
      <c r="O115">
        <f>MATCH(Combined[[#This Row],[Primary Area]],KPIs!$C$4:$C$7,0)</f>
        <v>2</v>
      </c>
      <c r="P115"/>
      <c r="Q115" s="40">
        <v>44646</v>
      </c>
      <c r="R115" s="40">
        <f t="shared" si="6"/>
        <v>44646</v>
      </c>
      <c r="S115" s="4" t="str">
        <f>TEXT(Mileage[[#This Row],[Date]],"dddd")</f>
        <v>Saturday</v>
      </c>
      <c r="T115" s="4" t="s">
        <v>235</v>
      </c>
      <c r="U115" s="4">
        <v>46.8</v>
      </c>
      <c r="V115" t="str" cm="1">
        <f t="array" ref="V115">IFERROR(VLOOKUP(MODE(IF(Combined[Date]=Mileage[[#This Row],[Date]],Combined[Area '#])),KPIs!$B$4:$C$7,2,FALSE),VLOOKUP(Mileage[[#This Row],[Date]],Combined[[Date]:[Primary Area]],8,FALSE))</f>
        <v>Brunswick/Bath/Freeport</v>
      </c>
      <c r="W115" s="106">
        <v>0.56944444444444442</v>
      </c>
      <c r="X115" s="12">
        <v>4.42</v>
      </c>
      <c r="Y115" s="4">
        <v>111</v>
      </c>
      <c r="Z11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16" spans="2:26" x14ac:dyDescent="0.35">
      <c r="B116">
        <f t="shared" si="5"/>
        <v>114</v>
      </c>
      <c r="C116" t="s">
        <v>83</v>
      </c>
      <c r="D116" t="s">
        <v>176</v>
      </c>
      <c r="E116">
        <f>IF(WEEKNUM(Combined[[#This Row],[Date]], 1) = 53, 1, WEEKNUM(Combined[[#This Row],[Date]], 2))</f>
        <v>43</v>
      </c>
      <c r="F116" t="str">
        <f t="shared" si="7"/>
        <v>Sunday</v>
      </c>
      <c r="G116" s="41">
        <v>44493</v>
      </c>
      <c r="H116">
        <v>2</v>
      </c>
      <c r="I116" s="1">
        <v>38.07</v>
      </c>
      <c r="J116" s="2">
        <v>6.805555555555555E-2</v>
      </c>
      <c r="K116" s="12">
        <f>Combined[[#This Row],[Time Spent]]*24</f>
        <v>1.6333333333333333</v>
      </c>
      <c r="L116" s="12">
        <f>MROUND(Combined[[#This Row],[Time Spent 2]],0.25)</f>
        <v>1.75</v>
      </c>
      <c r="M116" s="2" t="s">
        <v>91</v>
      </c>
      <c r="N116" t="s">
        <v>80</v>
      </c>
      <c r="O116">
        <f>MATCH(Combined[[#This Row],[Primary Area]],KPIs!$C$4:$C$7,0)</f>
        <v>2</v>
      </c>
      <c r="P116"/>
      <c r="Q116" s="40">
        <v>44649</v>
      </c>
      <c r="R116" s="40">
        <f t="shared" si="6"/>
        <v>44649</v>
      </c>
      <c r="S116" s="4" t="str">
        <f>TEXT(Mileage[[#This Row],[Date]],"dddd")</f>
        <v>Tuesday</v>
      </c>
      <c r="T116" s="4" t="s">
        <v>230</v>
      </c>
      <c r="U116" s="4">
        <v>44.5</v>
      </c>
      <c r="V116" t="str" cm="1">
        <f t="array" ref="V116">IFERROR(VLOOKUP(MODE(IF(Combined[Date]=Mileage[[#This Row],[Date]],Combined[Area '#])),KPIs!$B$4:$C$7,2,FALSE),VLOOKUP(Mileage[[#This Row],[Date]],Combined[[Date]:[Primary Area]],8,FALSE))</f>
        <v>Brunswick/Bath/Freeport</v>
      </c>
      <c r="W116" s="106">
        <v>0.70000000000000007</v>
      </c>
      <c r="X116" s="12">
        <v>1.7000000000000002</v>
      </c>
      <c r="Y116" s="4">
        <f>10.7+27.1</f>
        <v>37.799999999999997</v>
      </c>
      <c r="Z1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17" spans="2:26" x14ac:dyDescent="0.35">
      <c r="B117">
        <f t="shared" si="5"/>
        <v>115</v>
      </c>
      <c r="C117" t="s">
        <v>86</v>
      </c>
      <c r="D117" t="s">
        <v>176</v>
      </c>
      <c r="E117">
        <f>IF(WEEKNUM(Combined[[#This Row],[Date]], 1) = 53, 1, WEEKNUM(Combined[[#This Row],[Date]], 2))</f>
        <v>44</v>
      </c>
      <c r="F117" t="str">
        <f t="shared" si="7"/>
        <v>Monday</v>
      </c>
      <c r="G117" s="41">
        <v>44494</v>
      </c>
      <c r="H117">
        <v>8</v>
      </c>
      <c r="I117" s="1">
        <f>60.5+6.87</f>
        <v>67.37</v>
      </c>
      <c r="J117" s="2">
        <v>0.14097222222222222</v>
      </c>
      <c r="K117" s="12">
        <f>Combined[[#This Row],[Time Spent]]*24</f>
        <v>3.3833333333333333</v>
      </c>
      <c r="L117" s="12">
        <f>MROUND(Combined[[#This Row],[Time Spent 2]],0.25)</f>
        <v>3.5</v>
      </c>
      <c r="M117" s="2" t="s">
        <v>91</v>
      </c>
      <c r="N117" t="s">
        <v>80</v>
      </c>
      <c r="O117">
        <f>MATCH(Combined[[#This Row],[Primary Area]],KPIs!$C$4:$C$7,0)</f>
        <v>2</v>
      </c>
      <c r="P117"/>
      <c r="Q117" s="40">
        <v>44651</v>
      </c>
      <c r="R117" s="40">
        <f t="shared" si="6"/>
        <v>44651</v>
      </c>
      <c r="S117" s="4" t="str">
        <f>TEXT(Mileage[[#This Row],[Date]],"dddd")</f>
        <v>Thursday</v>
      </c>
      <c r="T117" s="4" t="s">
        <v>236</v>
      </c>
      <c r="U117" s="4">
        <v>50.8</v>
      </c>
      <c r="V117" t="str" cm="1">
        <f t="array" ref="V117">IFERROR(VLOOKUP(MODE(IF(Combined[Date]=Mileage[[#This Row],[Date]],Combined[Area '#])),KPIs!$B$4:$C$7,2,FALSE),VLOOKUP(Mileage[[#This Row],[Date]],Combined[[Date]:[Primary Area]],8,FALSE))</f>
        <v>Brunswick/Bath/Freeport</v>
      </c>
      <c r="W117" s="106">
        <v>0.75555555555555554</v>
      </c>
      <c r="X117" s="12">
        <v>3.5</v>
      </c>
      <c r="Y117" s="4">
        <v>68</v>
      </c>
      <c r="Z11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8" spans="2:26" x14ac:dyDescent="0.35">
      <c r="B118">
        <f t="shared" si="5"/>
        <v>116</v>
      </c>
      <c r="C118" t="s">
        <v>83</v>
      </c>
      <c r="D118" t="s">
        <v>176</v>
      </c>
      <c r="E118">
        <f>IF(WEEKNUM(Combined[[#This Row],[Date]], 1) = 53, 1, WEEKNUM(Combined[[#This Row],[Date]], 2))</f>
        <v>44</v>
      </c>
      <c r="F118" t="str">
        <f t="shared" si="7"/>
        <v>Monday</v>
      </c>
      <c r="G118" s="41">
        <v>44494</v>
      </c>
      <c r="H118">
        <v>1</v>
      </c>
      <c r="I118" s="1">
        <v>12.84</v>
      </c>
      <c r="J118" s="2">
        <v>5.4166666666666669E-2</v>
      </c>
      <c r="K118" s="12">
        <f>Combined[[#This Row],[Time Spent]]*24</f>
        <v>1.3</v>
      </c>
      <c r="L118" s="12">
        <f>MROUND(Combined[[#This Row],[Time Spent 2]],0.25)</f>
        <v>1.25</v>
      </c>
      <c r="M118" s="2" t="s">
        <v>91</v>
      </c>
      <c r="N118" t="s">
        <v>80</v>
      </c>
      <c r="O118">
        <f>MATCH(Combined[[#This Row],[Primary Area]],KPIs!$C$4:$C$7,0)</f>
        <v>2</v>
      </c>
      <c r="P118"/>
      <c r="Q118" s="40">
        <v>44653</v>
      </c>
      <c r="R118" s="40">
        <f t="shared" si="6"/>
        <v>44653</v>
      </c>
      <c r="S118" s="4" t="str">
        <f>TEXT(Mileage[[#This Row],[Date]],"dddd")</f>
        <v>Saturday</v>
      </c>
      <c r="T118" s="4" t="s">
        <v>234</v>
      </c>
      <c r="U118" s="4">
        <v>45.2</v>
      </c>
      <c r="V118" t="str" cm="1">
        <f t="array" ref="V118">IFERROR(VLOOKUP(MODE(IF(Combined[Date]=Mileage[[#This Row],[Date]],Combined[Area '#])),KPIs!$B$4:$C$7,2,FALSE),VLOOKUP(Mileage[[#This Row],[Date]],Combined[[Date]:[Primary Area]],8,FALSE))</f>
        <v>Brunswick/Bath/Freeport</v>
      </c>
      <c r="W118" s="106">
        <v>0.44444444444444442</v>
      </c>
      <c r="X118" s="12">
        <v>3.5</v>
      </c>
      <c r="Y118" s="4">
        <v>68</v>
      </c>
      <c r="Z1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19" spans="2:26" x14ac:dyDescent="0.35">
      <c r="B119">
        <f t="shared" si="5"/>
        <v>117</v>
      </c>
      <c r="C119" t="s">
        <v>86</v>
      </c>
      <c r="D119" t="s">
        <v>176</v>
      </c>
      <c r="E119">
        <f>IF(WEEKNUM(Combined[[#This Row],[Date]], 1) = 53, 1, WEEKNUM(Combined[[#This Row],[Date]], 2))</f>
        <v>45</v>
      </c>
      <c r="F119" t="str">
        <f t="shared" si="7"/>
        <v>Tuesday</v>
      </c>
      <c r="G119" s="41">
        <v>44502</v>
      </c>
      <c r="H119">
        <v>4</v>
      </c>
      <c r="I119" s="1">
        <v>27.5</v>
      </c>
      <c r="J119" s="2">
        <v>4.5833333333333337E-2</v>
      </c>
      <c r="K119" s="12">
        <f>Combined[[#This Row],[Time Spent]]*24</f>
        <v>1.1000000000000001</v>
      </c>
      <c r="L119" s="12">
        <f>MROUND(Combined[[#This Row],[Time Spent 2]],0.25)</f>
        <v>1</v>
      </c>
      <c r="M119" s="2" t="s">
        <v>91</v>
      </c>
      <c r="N119" t="s">
        <v>80</v>
      </c>
      <c r="O119">
        <f>MATCH(Combined[[#This Row],[Primary Area]],KPIs!$C$4:$C$7,0)</f>
        <v>2</v>
      </c>
      <c r="P119"/>
      <c r="Q119" s="40">
        <v>44660</v>
      </c>
      <c r="R119" s="40">
        <f t="shared" si="6"/>
        <v>44660</v>
      </c>
      <c r="S119" s="4" t="str">
        <f>TEXT(Mileage[[#This Row],[Date]],"dddd")</f>
        <v>Saturday</v>
      </c>
      <c r="T119" s="4" t="s">
        <v>236</v>
      </c>
      <c r="U119" s="4">
        <v>54.5</v>
      </c>
      <c r="V119" t="str" cm="1">
        <f t="array" ref="V119">IFERROR(VLOOKUP(MODE(IF(Combined[Date]=Mileage[[#This Row],[Date]],Combined[Area '#])),KPIs!$B$4:$C$7,2,FALSE),VLOOKUP(Mileage[[#This Row],[Date]],Combined[[Date]:[Primary Area]],8,FALSE))</f>
        <v>Brunswick/Bath/Freeport</v>
      </c>
      <c r="W119" s="106">
        <v>0.73611111111111116</v>
      </c>
      <c r="X119" s="12">
        <v>1.9</v>
      </c>
      <c r="Y119" s="4">
        <v>49.5</v>
      </c>
      <c r="Z1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20" spans="2:26" x14ac:dyDescent="0.35">
      <c r="B120">
        <f t="shared" si="5"/>
        <v>118</v>
      </c>
      <c r="C120" t="s">
        <v>86</v>
      </c>
      <c r="D120" t="s">
        <v>176</v>
      </c>
      <c r="E120">
        <f>IF(WEEKNUM(Combined[[#This Row],[Date]], 1) = 53, 1, WEEKNUM(Combined[[#This Row],[Date]], 2))</f>
        <v>45</v>
      </c>
      <c r="F120" t="str">
        <f t="shared" si="7"/>
        <v>Friday</v>
      </c>
      <c r="G120" s="41">
        <v>44505</v>
      </c>
      <c r="H120">
        <v>3</v>
      </c>
      <c r="I120" s="1">
        <f>24.25+8.25</f>
        <v>32.5</v>
      </c>
      <c r="J120" s="2">
        <f>SUM(TIME(1,56,),TIME(0,36,))</f>
        <v>0.10555555555555557</v>
      </c>
      <c r="K120" s="12">
        <f>Combined[[#This Row],[Time Spent]]*24</f>
        <v>2.5333333333333337</v>
      </c>
      <c r="L120" s="12">
        <f>MROUND(Combined[[#This Row],[Time Spent 2]],0.25)</f>
        <v>2.5</v>
      </c>
      <c r="M120" s="2" t="s">
        <v>91</v>
      </c>
      <c r="N120" t="s">
        <v>80</v>
      </c>
      <c r="O120">
        <f>MATCH(Combined[[#This Row],[Primary Area]],KPIs!$C$4:$C$7,0)</f>
        <v>2</v>
      </c>
      <c r="P120"/>
      <c r="Q120" s="40">
        <v>44673</v>
      </c>
      <c r="R120" s="40">
        <f t="shared" si="6"/>
        <v>44673</v>
      </c>
      <c r="S120" s="4" t="str">
        <f>TEXT(Mileage[[#This Row],[Date]],"dddd")</f>
        <v>Friday</v>
      </c>
      <c r="T120" s="4" t="s">
        <v>230</v>
      </c>
      <c r="U120" s="4">
        <v>58.3</v>
      </c>
      <c r="V120" t="str" cm="1">
        <f t="array" ref="V120">IFERROR(VLOOKUP(MODE(IF(Combined[Date]=Mileage[[#This Row],[Date]],Combined[Area '#])),KPIs!$B$4:$C$7,2,FALSE),VLOOKUP(Mileage[[#This Row],[Date]],Combined[[Date]:[Primary Area]],8,FALSE))</f>
        <v>Portland</v>
      </c>
      <c r="W120" s="106">
        <v>0.71250000000000002</v>
      </c>
      <c r="X120" s="12">
        <v>8.4</v>
      </c>
      <c r="Y120" s="4">
        <f>127.4+20.1+65.7</f>
        <v>213.2</v>
      </c>
      <c r="Z12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1" spans="2:26" x14ac:dyDescent="0.35">
      <c r="B121">
        <f t="shared" si="5"/>
        <v>119</v>
      </c>
      <c r="C121" t="s">
        <v>83</v>
      </c>
      <c r="D121" t="s">
        <v>176</v>
      </c>
      <c r="E121">
        <f>IF(WEEKNUM(Combined[[#This Row],[Date]], 1) = 53, 1, WEEKNUM(Combined[[#This Row],[Date]], 2))</f>
        <v>45</v>
      </c>
      <c r="F121" t="str">
        <f t="shared" si="7"/>
        <v>Friday</v>
      </c>
      <c r="G121" s="41">
        <v>44505</v>
      </c>
      <c r="H121">
        <v>3</v>
      </c>
      <c r="I121" s="1">
        <v>44.6</v>
      </c>
      <c r="J121" s="2">
        <v>0.13402777777777777</v>
      </c>
      <c r="K121" s="12">
        <f>Combined[[#This Row],[Time Spent]]*24</f>
        <v>3.2166666666666668</v>
      </c>
      <c r="L121" s="12">
        <f>MROUND(Combined[[#This Row],[Time Spent 2]],0.25)</f>
        <v>3.25</v>
      </c>
      <c r="M121" s="2" t="s">
        <v>91</v>
      </c>
      <c r="N121" t="s">
        <v>80</v>
      </c>
      <c r="O121">
        <f>MATCH(Combined[[#This Row],[Primary Area]],KPIs!$C$4:$C$7,0)</f>
        <v>2</v>
      </c>
      <c r="P121"/>
      <c r="Q121" s="40">
        <v>44684</v>
      </c>
      <c r="R121" s="40">
        <f t="shared" si="6"/>
        <v>44684</v>
      </c>
      <c r="S121" s="4" t="str">
        <f>TEXT(Mileage[[#This Row],[Date]],"dddd")</f>
        <v>Tuesday</v>
      </c>
      <c r="T121" s="4" t="s">
        <v>236</v>
      </c>
      <c r="U121" s="4">
        <v>48.9</v>
      </c>
      <c r="V121" t="str" cm="1">
        <f t="array" ref="V121">IFERROR(VLOOKUP(MODE(IF(Combined[Date]=Mileage[[#This Row],[Date]],Combined[Area '#])),KPIs!$B$4:$C$7,2,FALSE),VLOOKUP(Mileage[[#This Row],[Date]],Combined[[Date]:[Primary Area]],8,FALSE))</f>
        <v>Lewiston</v>
      </c>
      <c r="W121" s="106">
        <v>0.72569444444444453</v>
      </c>
      <c r="X121" s="12">
        <v>3.2</v>
      </c>
      <c r="Y121" s="4">
        <v>72.3</v>
      </c>
      <c r="Z1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22" spans="2:26" x14ac:dyDescent="0.35">
      <c r="B122">
        <f t="shared" si="5"/>
        <v>120</v>
      </c>
      <c r="C122" t="s">
        <v>86</v>
      </c>
      <c r="D122" t="s">
        <v>176</v>
      </c>
      <c r="E122">
        <f>IF(WEEKNUM(Combined[[#This Row],[Date]], 1) = 53, 1, WEEKNUM(Combined[[#This Row],[Date]], 2))</f>
        <v>45</v>
      </c>
      <c r="F122" t="str">
        <f t="shared" si="7"/>
        <v>Sunday</v>
      </c>
      <c r="G122" s="41">
        <v>44507</v>
      </c>
      <c r="H122">
        <v>4</v>
      </c>
      <c r="I122" s="1">
        <f>24.19+3.9+2.37</f>
        <v>30.46</v>
      </c>
      <c r="J122" s="2">
        <v>9.0972222222222218E-2</v>
      </c>
      <c r="K122" s="12">
        <f>Combined[[#This Row],[Time Spent]]*24</f>
        <v>2.1833333333333331</v>
      </c>
      <c r="L122" s="12">
        <f>MROUND(Combined[[#This Row],[Time Spent 2]],0.25)</f>
        <v>2.25</v>
      </c>
      <c r="M122" s="2" t="s">
        <v>90</v>
      </c>
      <c r="N122" t="s">
        <v>82</v>
      </c>
      <c r="O122">
        <f>MATCH(Combined[[#This Row],[Primary Area]],KPIs!$C$4:$C$7,0)</f>
        <v>3</v>
      </c>
      <c r="P122"/>
      <c r="Q122" s="40">
        <v>44685</v>
      </c>
      <c r="R122" s="40">
        <f t="shared" si="6"/>
        <v>44685</v>
      </c>
      <c r="S122" s="4" t="str">
        <f>TEXT(Mileage[[#This Row],[Date]],"dddd")</f>
        <v>Wednesday</v>
      </c>
      <c r="T122" s="4" t="s">
        <v>236</v>
      </c>
      <c r="U122" s="4">
        <v>65.5</v>
      </c>
      <c r="V122" t="str" cm="1">
        <f t="array" ref="V122">IFERROR(VLOOKUP(MODE(IF(Combined[Date]=Mileage[[#This Row],[Date]],Combined[Area '#])),KPIs!$B$4:$C$7,2,FALSE),VLOOKUP(Mileage[[#This Row],[Date]],Combined[[Date]:[Primary Area]],8,FALSE))</f>
        <v>Portland</v>
      </c>
      <c r="W122" s="106">
        <v>0.70763888888888893</v>
      </c>
      <c r="X122" s="12">
        <v>3.8</v>
      </c>
      <c r="Y122" s="4">
        <v>62</v>
      </c>
      <c r="Z12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3" spans="2:26" x14ac:dyDescent="0.35">
      <c r="B123">
        <f t="shared" si="5"/>
        <v>121</v>
      </c>
      <c r="C123" t="s">
        <v>83</v>
      </c>
      <c r="D123" t="s">
        <v>176</v>
      </c>
      <c r="E123">
        <f>IF(WEEKNUM(Combined[[#This Row],[Date]], 1) = 53, 1, WEEKNUM(Combined[[#This Row],[Date]], 2))</f>
        <v>45</v>
      </c>
      <c r="F123" t="str">
        <f t="shared" si="7"/>
        <v>Sunday</v>
      </c>
      <c r="G123" s="41">
        <v>44507</v>
      </c>
      <c r="H123">
        <v>1</v>
      </c>
      <c r="I123" s="1">
        <v>9.94</v>
      </c>
      <c r="J123" s="2">
        <v>1.1805555555555555E-2</v>
      </c>
      <c r="K123" s="12">
        <f>Combined[[#This Row],[Time Spent]]*24</f>
        <v>0.28333333333333333</v>
      </c>
      <c r="L123" s="12">
        <f>MROUND(Combined[[#This Row],[Time Spent 2]],0.25)</f>
        <v>0.25</v>
      </c>
      <c r="M123" s="2" t="s">
        <v>90</v>
      </c>
      <c r="N123" t="s">
        <v>82</v>
      </c>
      <c r="O123">
        <f>MATCH(Combined[[#This Row],[Primary Area]],KPIs!$C$4:$C$7,0)</f>
        <v>3</v>
      </c>
      <c r="P123"/>
      <c r="Q123" s="40">
        <v>44688</v>
      </c>
      <c r="R123" s="40">
        <f t="shared" si="6"/>
        <v>44688</v>
      </c>
      <c r="S123" s="4" t="str">
        <f>TEXT(Mileage[[#This Row],[Date]],"dddd")</f>
        <v>Saturday</v>
      </c>
      <c r="T123" s="4" t="s">
        <v>230</v>
      </c>
      <c r="U123" s="4">
        <v>57.8</v>
      </c>
      <c r="V123" t="str" cm="1">
        <f t="array" ref="V123">IFERROR(VLOOKUP(MODE(IF(Combined[Date]=Mileage[[#This Row],[Date]],Combined[Area '#])),KPIs!$B$4:$C$7,2,FALSE),VLOOKUP(Mileage[[#This Row],[Date]],Combined[[Date]:[Primary Area]],8,FALSE))</f>
        <v>Brunswick/Bath/Freeport</v>
      </c>
      <c r="W123" s="106">
        <v>0.65</v>
      </c>
      <c r="X123" s="12">
        <v>7.8000000000000007</v>
      </c>
      <c r="Y123" s="4">
        <f>76.5+6.6+53.6</f>
        <v>136.69999999999999</v>
      </c>
      <c r="Z1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4" spans="2:26" x14ac:dyDescent="0.35">
      <c r="B124">
        <f t="shared" si="5"/>
        <v>122</v>
      </c>
      <c r="C124" t="s">
        <v>83</v>
      </c>
      <c r="D124" t="s">
        <v>176</v>
      </c>
      <c r="E124">
        <f>IF(WEEKNUM(Combined[[#This Row],[Date]], 1) = 53, 1, WEEKNUM(Combined[[#This Row],[Date]], 2))</f>
        <v>46</v>
      </c>
      <c r="F124" t="str">
        <f t="shared" si="7"/>
        <v>Tuesday</v>
      </c>
      <c r="G124" s="41">
        <v>44509</v>
      </c>
      <c r="H124">
        <v>6</v>
      </c>
      <c r="I124" s="1">
        <v>97.49</v>
      </c>
      <c r="J124" s="2">
        <v>0.12916666666666668</v>
      </c>
      <c r="K124" s="12">
        <f>Combined[[#This Row],[Time Spent]]*24</f>
        <v>3.1000000000000005</v>
      </c>
      <c r="L124" s="12">
        <f>MROUND(Combined[[#This Row],[Time Spent 2]],0.25)</f>
        <v>3</v>
      </c>
      <c r="M124" s="2" t="s">
        <v>91</v>
      </c>
      <c r="N124" t="s">
        <v>80</v>
      </c>
      <c r="O124">
        <f>MATCH(Combined[[#This Row],[Primary Area]],KPIs!$C$4:$C$7,0)</f>
        <v>2</v>
      </c>
      <c r="P124"/>
      <c r="Q124" s="40">
        <v>44692</v>
      </c>
      <c r="R124" s="40">
        <f t="shared" si="6"/>
        <v>44692</v>
      </c>
      <c r="S124" s="4" t="str">
        <f>TEXT(Mileage[[#This Row],[Date]],"dddd")</f>
        <v>Wednesday</v>
      </c>
      <c r="T124" s="4" t="s">
        <v>230</v>
      </c>
      <c r="U124" s="4">
        <v>78.599999999999994</v>
      </c>
      <c r="V124" t="str" cm="1">
        <f t="array" ref="V124">IFERROR(VLOOKUP(MODE(IF(Combined[Date]=Mileage[[#This Row],[Date]],Combined[Area '#])),KPIs!$B$4:$C$7,2,FALSE),VLOOKUP(Mileage[[#This Row],[Date]],Combined[[Date]:[Primary Area]],8,FALSE))</f>
        <v>Brunswick/Bath/Freeport</v>
      </c>
      <c r="W124" s="106">
        <v>0.7416666666666667</v>
      </c>
      <c r="X124" s="12">
        <v>3</v>
      </c>
      <c r="Y124" s="4">
        <v>52</v>
      </c>
      <c r="Z1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25" spans="2:26" x14ac:dyDescent="0.35">
      <c r="B125">
        <f t="shared" si="5"/>
        <v>123</v>
      </c>
      <c r="C125" t="s">
        <v>86</v>
      </c>
      <c r="D125" t="s">
        <v>176</v>
      </c>
      <c r="E125">
        <f>IF(WEEKNUM(Combined[[#This Row],[Date]], 1) = 53, 1, WEEKNUM(Combined[[#This Row],[Date]], 2))</f>
        <v>46</v>
      </c>
      <c r="F125" t="str">
        <f t="shared" si="7"/>
        <v>Tuesday</v>
      </c>
      <c r="G125" s="41">
        <v>44509</v>
      </c>
      <c r="H125">
        <v>3</v>
      </c>
      <c r="I125" s="1">
        <v>22.25</v>
      </c>
      <c r="J125" s="2">
        <v>0.1013888888888889</v>
      </c>
      <c r="K125" s="12">
        <f>Combined[[#This Row],[Time Spent]]*24</f>
        <v>2.4333333333333336</v>
      </c>
      <c r="L125" s="12">
        <f>MROUND(Combined[[#This Row],[Time Spent 2]],0.25)</f>
        <v>2.5</v>
      </c>
      <c r="M125" s="2" t="s">
        <v>91</v>
      </c>
      <c r="N125" t="s">
        <v>80</v>
      </c>
      <c r="O125">
        <f>MATCH(Combined[[#This Row],[Primary Area]],KPIs!$C$4:$C$7,0)</f>
        <v>2</v>
      </c>
      <c r="P125"/>
      <c r="Q125" s="40">
        <v>44693</v>
      </c>
      <c r="R125" s="40">
        <f t="shared" si="6"/>
        <v>44693</v>
      </c>
      <c r="S125" s="4" t="str">
        <f>TEXT(Mileage[[#This Row],[Date]],"dddd")</f>
        <v>Thursday</v>
      </c>
      <c r="T125" s="4" t="s">
        <v>236</v>
      </c>
      <c r="U125" s="4">
        <v>77.5</v>
      </c>
      <c r="V125" t="str" cm="1">
        <f t="array" ref="V125">IFERROR(VLOOKUP(MODE(IF(Combined[Date]=Mileage[[#This Row],[Date]],Combined[Area '#])),KPIs!$B$4:$C$7,2,FALSE),VLOOKUP(Mileage[[#This Row],[Date]],Combined[[Date]:[Primary Area]],8,FALSE))</f>
        <v>Lewiston</v>
      </c>
      <c r="W125" s="106">
        <v>0.71597222222222223</v>
      </c>
      <c r="X125" s="12">
        <v>2.6</v>
      </c>
      <c r="Y125" s="4">
        <v>42</v>
      </c>
      <c r="Z1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26" spans="2:26" x14ac:dyDescent="0.35">
      <c r="B126">
        <f t="shared" si="5"/>
        <v>124</v>
      </c>
      <c r="C126" t="s">
        <v>83</v>
      </c>
      <c r="D126" t="s">
        <v>176</v>
      </c>
      <c r="E126">
        <f>IF(WEEKNUM(Combined[[#This Row],[Date]], 1) = 53, 1, WEEKNUM(Combined[[#This Row],[Date]], 2))</f>
        <v>46</v>
      </c>
      <c r="F126" t="str">
        <f t="shared" si="7"/>
        <v>Thursday</v>
      </c>
      <c r="G126" s="41">
        <v>44511</v>
      </c>
      <c r="H126">
        <v>3</v>
      </c>
      <c r="I126" s="1">
        <v>47.14</v>
      </c>
      <c r="J126" s="2">
        <v>0.10902777777777778</v>
      </c>
      <c r="K126" s="12">
        <f>Combined[[#This Row],[Time Spent]]*24</f>
        <v>2.6166666666666667</v>
      </c>
      <c r="L126" s="12">
        <f>MROUND(Combined[[#This Row],[Time Spent 2]],0.25)</f>
        <v>2.5</v>
      </c>
      <c r="M126" s="2" t="s">
        <v>91</v>
      </c>
      <c r="N126" t="s">
        <v>80</v>
      </c>
      <c r="O126">
        <f>MATCH(Combined[[#This Row],[Primary Area]],KPIs!$C$4:$C$7,0)</f>
        <v>2</v>
      </c>
      <c r="P126"/>
      <c r="Q126" s="40">
        <v>44694</v>
      </c>
      <c r="R126" s="40">
        <f t="shared" si="6"/>
        <v>44694</v>
      </c>
      <c r="S126" s="4" t="str">
        <f>TEXT(Mileage[[#This Row],[Date]],"dddd")</f>
        <v>Friday</v>
      </c>
      <c r="T126" s="4" t="s">
        <v>236</v>
      </c>
      <c r="U126" s="4">
        <v>86.8</v>
      </c>
      <c r="V126" t="str" cm="1">
        <f t="array" ref="V126">IFERROR(VLOOKUP(MODE(IF(Combined[Date]=Mileage[[#This Row],[Date]],Combined[Area '#])),KPIs!$B$4:$C$7,2,FALSE),VLOOKUP(Mileage[[#This Row],[Date]],Combined[[Date]:[Primary Area]],8,FALSE))</f>
        <v>Brunswick/Bath/Freeport</v>
      </c>
      <c r="W126" s="106">
        <v>0.72916666666666663</v>
      </c>
      <c r="X126" s="12">
        <v>6.3000000000000007</v>
      </c>
      <c r="Y126" s="4">
        <f>88+74.4</f>
        <v>162.4</v>
      </c>
      <c r="Z1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7" spans="2:26" x14ac:dyDescent="0.35">
      <c r="B127">
        <f t="shared" si="5"/>
        <v>125</v>
      </c>
      <c r="C127" t="s">
        <v>86</v>
      </c>
      <c r="D127" t="s">
        <v>176</v>
      </c>
      <c r="E127">
        <f>IF(WEEKNUM(Combined[[#This Row],[Date]], 1) = 53, 1, WEEKNUM(Combined[[#This Row],[Date]], 2))</f>
        <v>46</v>
      </c>
      <c r="F127" t="str">
        <f t="shared" si="7"/>
        <v>Thursday</v>
      </c>
      <c r="G127" s="41">
        <v>44511</v>
      </c>
      <c r="H127">
        <v>2</v>
      </c>
      <c r="I127" s="1">
        <v>13.84</v>
      </c>
      <c r="J127" s="2">
        <v>4.5833333333333337E-2</v>
      </c>
      <c r="K127" s="12">
        <f>Combined[[#This Row],[Time Spent]]*24</f>
        <v>1.1000000000000001</v>
      </c>
      <c r="L127" s="12">
        <f>MROUND(Combined[[#This Row],[Time Spent 2]],0.25)</f>
        <v>1</v>
      </c>
      <c r="M127" s="2" t="s">
        <v>91</v>
      </c>
      <c r="N127" t="s">
        <v>80</v>
      </c>
      <c r="O127">
        <f>MATCH(Combined[[#This Row],[Primary Area]],KPIs!$C$4:$C$7,0)</f>
        <v>2</v>
      </c>
      <c r="P127"/>
      <c r="Q127" s="40">
        <v>44700</v>
      </c>
      <c r="R127" s="40">
        <f t="shared" si="6"/>
        <v>44700</v>
      </c>
      <c r="S127" s="4" t="str">
        <f>TEXT(Mileage[[#This Row],[Date]],"dddd")</f>
        <v>Thursday</v>
      </c>
      <c r="T127" s="4" t="s">
        <v>236</v>
      </c>
      <c r="U127" s="4">
        <v>58.6</v>
      </c>
      <c r="V127" t="str" cm="1">
        <f t="array" ref="V127">IFERROR(VLOOKUP(MODE(IF(Combined[Date]=Mileage[[#This Row],[Date]],Combined[Area '#])),KPIs!$B$4:$C$7,2,FALSE),VLOOKUP(Mileage[[#This Row],[Date]],Combined[[Date]:[Primary Area]],8,FALSE))</f>
        <v>Brunswick/Bath/Freeport</v>
      </c>
      <c r="W127" s="106">
        <v>0.73263888888888884</v>
      </c>
      <c r="X127" s="12">
        <v>3.1</v>
      </c>
      <c r="Y127" s="4">
        <v>62</v>
      </c>
      <c r="Z12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28" spans="2:26" x14ac:dyDescent="0.35">
      <c r="B128">
        <f t="shared" si="5"/>
        <v>126</v>
      </c>
      <c r="C128" t="s">
        <v>86</v>
      </c>
      <c r="D128" t="s">
        <v>176</v>
      </c>
      <c r="E128">
        <f>IF(WEEKNUM(Combined[[#This Row],[Date]], 1) = 53, 1, WEEKNUM(Combined[[#This Row],[Date]], 2))</f>
        <v>46</v>
      </c>
      <c r="F128" t="str">
        <f t="shared" si="7"/>
        <v>Thursday</v>
      </c>
      <c r="G128" s="41">
        <v>44511</v>
      </c>
      <c r="H128">
        <v>4</v>
      </c>
      <c r="I128" s="1">
        <v>22.25</v>
      </c>
      <c r="J128" s="2">
        <v>6.1805555555555558E-2</v>
      </c>
      <c r="K128" s="12">
        <f>Combined[[#This Row],[Time Spent]]*24</f>
        <v>1.4833333333333334</v>
      </c>
      <c r="L128" s="12">
        <f>MROUND(Combined[[#This Row],[Time Spent 2]],0.25)</f>
        <v>1.5</v>
      </c>
      <c r="M128" s="2" t="s">
        <v>91</v>
      </c>
      <c r="N128" t="s">
        <v>85</v>
      </c>
      <c r="O128">
        <f>MATCH(Combined[[#This Row],[Primary Area]],KPIs!$C$4:$C$7,0)</f>
        <v>4</v>
      </c>
      <c r="P128"/>
      <c r="Q128" s="40">
        <v>44701</v>
      </c>
      <c r="R128" s="40">
        <f t="shared" si="6"/>
        <v>44701</v>
      </c>
      <c r="S128" s="4" t="str">
        <f>TEXT(Mileage[[#This Row],[Date]],"dddd")</f>
        <v>Friday</v>
      </c>
      <c r="T128" s="4" t="s">
        <v>236</v>
      </c>
      <c r="U128" s="4">
        <v>69.900000000000006</v>
      </c>
      <c r="V128" t="str" cm="1">
        <f t="array" ref="V128">IFERROR(VLOOKUP(MODE(IF(Combined[Date]=Mileage[[#This Row],[Date]],Combined[Area '#])),KPIs!$B$4:$C$7,2,FALSE),VLOOKUP(Mileage[[#This Row],[Date]],Combined[[Date]:[Primary Area]],8,FALSE))</f>
        <v>Lewiston</v>
      </c>
      <c r="W128" s="106">
        <v>0.76041666666666663</v>
      </c>
      <c r="X128" s="12">
        <v>2.4</v>
      </c>
      <c r="Y128" s="4">
        <v>33</v>
      </c>
      <c r="Z12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29" spans="2:26" x14ac:dyDescent="0.35">
      <c r="B129">
        <f t="shared" si="5"/>
        <v>127</v>
      </c>
      <c r="C129" t="s">
        <v>86</v>
      </c>
      <c r="D129" t="s">
        <v>176</v>
      </c>
      <c r="E129">
        <f>IF(WEEKNUM(Combined[[#This Row],[Date]], 1) = 53, 1, WEEKNUM(Combined[[#This Row],[Date]], 2))</f>
        <v>46</v>
      </c>
      <c r="F129" t="str">
        <f t="shared" si="7"/>
        <v>Sunday</v>
      </c>
      <c r="G129" s="41">
        <v>44514</v>
      </c>
      <c r="H129">
        <v>6</v>
      </c>
      <c r="I129" s="1">
        <v>44.5</v>
      </c>
      <c r="J129" s="2">
        <v>0.14444444444444443</v>
      </c>
      <c r="K129" s="12">
        <f>Combined[[#This Row],[Time Spent]]*24</f>
        <v>3.4666666666666663</v>
      </c>
      <c r="L129" s="12">
        <f>MROUND(Combined[[#This Row],[Time Spent 2]],0.25)</f>
        <v>3.5</v>
      </c>
      <c r="M129" s="2" t="s">
        <v>91</v>
      </c>
      <c r="N129" t="s">
        <v>82</v>
      </c>
      <c r="O129">
        <f>MATCH(Combined[[#This Row],[Primary Area]],KPIs!$C$4:$C$7,0)</f>
        <v>3</v>
      </c>
      <c r="P129"/>
      <c r="Q129" s="40">
        <v>44704</v>
      </c>
      <c r="R129" s="40">
        <f t="shared" si="6"/>
        <v>44704</v>
      </c>
      <c r="S129" s="4" t="str">
        <f>TEXT(Mileage[[#This Row],[Date]],"dddd")</f>
        <v>Monday</v>
      </c>
      <c r="T129" s="4" t="s">
        <v>230</v>
      </c>
      <c r="U129" s="4">
        <v>62.6</v>
      </c>
      <c r="V129" t="str" cm="1">
        <f t="array" ref="V129">IFERROR(VLOOKUP(MODE(IF(Combined[Date]=Mileage[[#This Row],[Date]],Combined[Area '#])),KPIs!$B$4:$C$7,2,FALSE),VLOOKUP(Mileage[[#This Row],[Date]],Combined[[Date]:[Primary Area]],8,FALSE))</f>
        <v>Portland</v>
      </c>
      <c r="W129" s="106">
        <v>0.72638888888888886</v>
      </c>
      <c r="X129" s="12">
        <v>5.7</v>
      </c>
      <c r="Y129" s="4">
        <v>113.6</v>
      </c>
      <c r="Z1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0" spans="2:26" x14ac:dyDescent="0.35">
      <c r="B130">
        <f t="shared" si="5"/>
        <v>128</v>
      </c>
      <c r="C130" t="s">
        <v>83</v>
      </c>
      <c r="D130" t="s">
        <v>176</v>
      </c>
      <c r="E130">
        <f>IF(WEEKNUM(Combined[[#This Row],[Date]], 1) = 53, 1, WEEKNUM(Combined[[#This Row],[Date]], 2))</f>
        <v>46</v>
      </c>
      <c r="F130" t="str">
        <f t="shared" ref="F130:F160" si="8">TEXT(WEEKDAY(G130,1),"DDDD")</f>
        <v>Sunday</v>
      </c>
      <c r="G130" s="41">
        <v>44514</v>
      </c>
      <c r="H130">
        <v>6</v>
      </c>
      <c r="I130" s="1">
        <f>6.01+4.59+8.32+10.72+13.16+15.15</f>
        <v>57.949999999999996</v>
      </c>
      <c r="J130" s="2">
        <v>6.5972222222222224E-2</v>
      </c>
      <c r="K130" s="12">
        <f>Combined[[#This Row],[Time Spent]]*24</f>
        <v>1.5833333333333335</v>
      </c>
      <c r="L130" s="12">
        <f>MROUND(Combined[[#This Row],[Time Spent 2]],0.25)</f>
        <v>1.5</v>
      </c>
      <c r="M130" s="2" t="s">
        <v>91</v>
      </c>
      <c r="N130" t="s">
        <v>82</v>
      </c>
      <c r="O130">
        <f>MATCH(Combined[[#This Row],[Primary Area]],KPIs!$C$4:$C$7,0)</f>
        <v>3</v>
      </c>
      <c r="P130"/>
      <c r="Q130" s="40">
        <v>44714</v>
      </c>
      <c r="R130" s="40">
        <f t="shared" si="6"/>
        <v>44714</v>
      </c>
      <c r="S130" s="4" t="str">
        <f>TEXT(Mileage[[#This Row],[Date]],"dddd")</f>
        <v>Thursday</v>
      </c>
      <c r="T130" s="4" t="s">
        <v>236</v>
      </c>
      <c r="U130" s="4">
        <v>55.3</v>
      </c>
      <c r="V130" t="str" cm="1">
        <f t="array" ref="V130">IFERROR(VLOOKUP(MODE(IF(Combined[Date]=Mileage[[#This Row],[Date]],Combined[Area '#])),KPIs!$B$4:$C$7,2,FALSE),VLOOKUP(Mileage[[#This Row],[Date]],Combined[[Date]:[Primary Area]],8,FALSE))</f>
        <v>Brunswick/Bath/Freeport</v>
      </c>
      <c r="W130" s="106">
        <v>0.75486111111111109</v>
      </c>
      <c r="X130" s="12">
        <v>2.1</v>
      </c>
      <c r="Y130" s="4">
        <v>51</v>
      </c>
      <c r="Z13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31" spans="2:26" x14ac:dyDescent="0.35">
      <c r="B131">
        <f t="shared" ref="B131:B194" si="9">ROW()-2</f>
        <v>129</v>
      </c>
      <c r="C131" t="s">
        <v>86</v>
      </c>
      <c r="D131" t="s">
        <v>176</v>
      </c>
      <c r="E131">
        <f>IF(WEEKNUM(Combined[[#This Row],[Date]], 1) = 53, 1, WEEKNUM(Combined[[#This Row],[Date]], 2))</f>
        <v>47</v>
      </c>
      <c r="F131" t="str">
        <f t="shared" si="8"/>
        <v>Monday</v>
      </c>
      <c r="G131" s="41">
        <v>44515</v>
      </c>
      <c r="H131">
        <v>7</v>
      </c>
      <c r="I131" s="1">
        <v>55.69</v>
      </c>
      <c r="J131" s="2">
        <v>0.1763888888888889</v>
      </c>
      <c r="K131" s="12">
        <f>Combined[[#This Row],[Time Spent]]*24</f>
        <v>4.2333333333333334</v>
      </c>
      <c r="L131" s="12">
        <f>MROUND(Combined[[#This Row],[Time Spent 2]],0.25)</f>
        <v>4.25</v>
      </c>
      <c r="M131" s="2" t="s">
        <v>91</v>
      </c>
      <c r="N131" t="s">
        <v>85</v>
      </c>
      <c r="O131">
        <f>MATCH(Combined[[#This Row],[Primary Area]],KPIs!$C$4:$C$7,0)</f>
        <v>4</v>
      </c>
      <c r="P131"/>
      <c r="Q131" s="40">
        <v>44715</v>
      </c>
      <c r="R131" s="40">
        <f t="shared" ref="R131:R194" si="10">Q131</f>
        <v>44715</v>
      </c>
      <c r="S131" s="4" t="str">
        <f>TEXT(Mileage[[#This Row],[Date]],"dddd")</f>
        <v>Friday</v>
      </c>
      <c r="T131" s="4" t="s">
        <v>236</v>
      </c>
      <c r="U131" s="4">
        <v>62.7</v>
      </c>
      <c r="V131" t="str" cm="1">
        <f t="array" ref="V131">IFERROR(VLOOKUP(MODE(IF(Combined[Date]=Mileage[[#This Row],[Date]],Combined[Area '#])),KPIs!$B$4:$C$7,2,FALSE),VLOOKUP(Mileage[[#This Row],[Date]],Combined[[Date]:[Primary Area]],8,FALSE))</f>
        <v>Portland</v>
      </c>
      <c r="W131" s="106">
        <v>0.73958333333333337</v>
      </c>
      <c r="X131" s="12">
        <v>3.9</v>
      </c>
      <c r="Y131" s="4">
        <f>55+26.4+0.08</f>
        <v>81.48</v>
      </c>
      <c r="Z1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2" spans="2:26" x14ac:dyDescent="0.35">
      <c r="B132">
        <f t="shared" si="9"/>
        <v>130</v>
      </c>
      <c r="C132" t="s">
        <v>83</v>
      </c>
      <c r="D132" t="s">
        <v>176</v>
      </c>
      <c r="E132">
        <f>IF(WEEKNUM(Combined[[#This Row],[Date]], 1) = 53, 1, WEEKNUM(Combined[[#This Row],[Date]], 2))</f>
        <v>47</v>
      </c>
      <c r="F132" t="str">
        <f t="shared" si="8"/>
        <v>Monday</v>
      </c>
      <c r="G132" s="41">
        <v>44515</v>
      </c>
      <c r="H132">
        <v>6</v>
      </c>
      <c r="I132" s="1">
        <v>61.12</v>
      </c>
      <c r="J132" s="2">
        <v>0.11944444444444445</v>
      </c>
      <c r="K132" s="12">
        <f>Combined[[#This Row],[Time Spent]]*24</f>
        <v>2.8666666666666667</v>
      </c>
      <c r="L132" s="12">
        <f>MROUND(Combined[[#This Row],[Time Spent 2]],0.25)</f>
        <v>2.75</v>
      </c>
      <c r="M132" s="2" t="s">
        <v>91</v>
      </c>
      <c r="N132" t="s">
        <v>85</v>
      </c>
      <c r="O132">
        <f>MATCH(Combined[[#This Row],[Primary Area]],KPIs!$C$4:$C$7,0)</f>
        <v>4</v>
      </c>
      <c r="P132"/>
      <c r="Q132" s="40">
        <v>44721</v>
      </c>
      <c r="R132" s="40">
        <f t="shared" si="10"/>
        <v>44721</v>
      </c>
      <c r="S132" s="4" t="str">
        <f>TEXT(Mileage[[#This Row],[Date]],"dddd")</f>
        <v>Thursday</v>
      </c>
      <c r="T132" s="4" t="s">
        <v>230</v>
      </c>
      <c r="U132" s="4">
        <v>73.5</v>
      </c>
      <c r="V132" t="str" cm="1">
        <f t="array" ref="V132">IFERROR(VLOOKUP(MODE(IF(Combined[Date]=Mileage[[#This Row],[Date]],Combined[Area '#])),KPIs!$B$4:$C$7,2,FALSE),VLOOKUP(Mileage[[#This Row],[Date]],Combined[[Date]:[Primary Area]],8,FALSE))</f>
        <v>Brunswick/Bath/Freeport</v>
      </c>
      <c r="W132" s="106">
        <v>0.70624999999999993</v>
      </c>
      <c r="X132" s="12">
        <v>5.9</v>
      </c>
      <c r="Y132" s="4">
        <v>101.4</v>
      </c>
      <c r="Z1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3" spans="2:26" x14ac:dyDescent="0.35">
      <c r="B133">
        <f t="shared" si="9"/>
        <v>131</v>
      </c>
      <c r="C133" t="s">
        <v>86</v>
      </c>
      <c r="D133" t="s">
        <v>176</v>
      </c>
      <c r="E133">
        <f>IF(WEEKNUM(Combined[[#This Row],[Date]], 1) = 53, 1, WEEKNUM(Combined[[#This Row],[Date]], 2))</f>
        <v>47</v>
      </c>
      <c r="F133" t="str">
        <f t="shared" si="8"/>
        <v>Tuesday</v>
      </c>
      <c r="G133" s="41">
        <v>44516</v>
      </c>
      <c r="H133">
        <v>6</v>
      </c>
      <c r="I133" s="1">
        <f>SUM(3.5+17.5+19)</f>
        <v>40</v>
      </c>
      <c r="J133" s="2">
        <f>TIME(1,39,)+TIME(1,51,)</f>
        <v>0.14583333333333334</v>
      </c>
      <c r="K133" s="12">
        <f>Combined[[#This Row],[Time Spent]]*24</f>
        <v>3.5</v>
      </c>
      <c r="L133" s="12">
        <f>MROUND(Combined[[#This Row],[Time Spent 2]],0.25)</f>
        <v>3.5</v>
      </c>
      <c r="M133" s="2" t="s">
        <v>91</v>
      </c>
      <c r="N133" t="s">
        <v>85</v>
      </c>
      <c r="O133">
        <f>MATCH(Combined[[#This Row],[Primary Area]],KPIs!$C$4:$C$7,0)</f>
        <v>4</v>
      </c>
      <c r="P133"/>
      <c r="Q133" s="40">
        <v>44722</v>
      </c>
      <c r="R133" s="40">
        <f t="shared" si="10"/>
        <v>44722</v>
      </c>
      <c r="S133" s="4" t="str">
        <f>TEXT(Mileage[[#This Row],[Date]],"dddd")</f>
        <v>Friday</v>
      </c>
      <c r="T133" s="4" t="s">
        <v>230</v>
      </c>
      <c r="U133" s="4">
        <v>74</v>
      </c>
      <c r="V133" t="str" cm="1">
        <f t="array" ref="V133">IFERROR(VLOOKUP(MODE(IF(Combined[Date]=Mileage[[#This Row],[Date]],Combined[Area '#])),KPIs!$B$4:$C$7,2,FALSE),VLOOKUP(Mileage[[#This Row],[Date]],Combined[[Date]:[Primary Area]],8,FALSE))</f>
        <v>Portland</v>
      </c>
      <c r="W133" s="106">
        <v>0.75347222222222221</v>
      </c>
      <c r="X133" s="12">
        <v>9.1000000000000014</v>
      </c>
      <c r="Y133" s="4">
        <f>59.1+107.3</f>
        <v>166.4</v>
      </c>
      <c r="Z1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4" spans="2:26" x14ac:dyDescent="0.35">
      <c r="B134">
        <f t="shared" si="9"/>
        <v>132</v>
      </c>
      <c r="C134" t="s">
        <v>83</v>
      </c>
      <c r="D134" t="s">
        <v>176</v>
      </c>
      <c r="E134">
        <f>IF(WEEKNUM(Combined[[#This Row],[Date]], 1) = 53, 1, WEEKNUM(Combined[[#This Row],[Date]], 2))</f>
        <v>47</v>
      </c>
      <c r="F134" t="str">
        <f t="shared" si="8"/>
        <v>Tuesday</v>
      </c>
      <c r="G134" s="41">
        <v>44516</v>
      </c>
      <c r="H134">
        <v>5</v>
      </c>
      <c r="I134" s="1">
        <v>47.54</v>
      </c>
      <c r="J134" s="2">
        <v>0.12638888888888888</v>
      </c>
      <c r="K134" s="12">
        <f>Combined[[#This Row],[Time Spent]]*24</f>
        <v>3.0333333333333332</v>
      </c>
      <c r="L134" s="12">
        <f>MROUND(Combined[[#This Row],[Time Spent 2]],0.25)</f>
        <v>3</v>
      </c>
      <c r="M134" s="2" t="s">
        <v>91</v>
      </c>
      <c r="N134" t="s">
        <v>85</v>
      </c>
      <c r="O134">
        <f>MATCH(Combined[[#This Row],[Primary Area]],KPIs!$C$4:$C$7,0)</f>
        <v>4</v>
      </c>
      <c r="P134"/>
      <c r="Q134" s="40">
        <v>44724</v>
      </c>
      <c r="R134" s="40">
        <f t="shared" si="10"/>
        <v>44724</v>
      </c>
      <c r="S134" s="4" t="str">
        <f>TEXT(Mileage[[#This Row],[Date]],"dddd")</f>
        <v>Sunday</v>
      </c>
      <c r="T134" s="4" t="s">
        <v>236</v>
      </c>
      <c r="U134" s="4">
        <v>76.3</v>
      </c>
      <c r="V134" t="str" cm="1">
        <f t="array" ref="V134">IFERROR(VLOOKUP(MODE(IF(Combined[Date]=Mileage[[#This Row],[Date]],Combined[Area '#])),KPIs!$B$4:$C$7,2,FALSE),VLOOKUP(Mileage[[#This Row],[Date]],Combined[[Date]:[Primary Area]],8,FALSE))</f>
        <v>Portland</v>
      </c>
      <c r="W134" s="106">
        <v>0.69791666666666663</v>
      </c>
      <c r="X134" s="12">
        <v>6.82</v>
      </c>
      <c r="Y134" s="4">
        <v>182</v>
      </c>
      <c r="Z1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5" spans="2:26" x14ac:dyDescent="0.35">
      <c r="B135">
        <f t="shared" si="9"/>
        <v>133</v>
      </c>
      <c r="C135" t="s">
        <v>86</v>
      </c>
      <c r="D135" t="s">
        <v>176</v>
      </c>
      <c r="E135">
        <f>IF(WEEKNUM(Combined[[#This Row],[Date]], 1) = 53, 1, WEEKNUM(Combined[[#This Row],[Date]], 2))</f>
        <v>47</v>
      </c>
      <c r="F135" t="str">
        <f t="shared" si="8"/>
        <v>Wednesday</v>
      </c>
      <c r="G135" s="41">
        <v>44517</v>
      </c>
      <c r="H135">
        <v>2</v>
      </c>
      <c r="I135" s="1">
        <v>13.25</v>
      </c>
      <c r="J135" s="2">
        <v>6.3888888888888884E-2</v>
      </c>
      <c r="K135" s="12">
        <f>Combined[[#This Row],[Time Spent]]*24</f>
        <v>1.5333333333333332</v>
      </c>
      <c r="L135" s="12">
        <f>MROUND(Combined[[#This Row],[Time Spent 2]],0.25)</f>
        <v>1.5</v>
      </c>
      <c r="M135" s="2" t="s">
        <v>91</v>
      </c>
      <c r="N135" t="s">
        <v>85</v>
      </c>
      <c r="O135">
        <f>MATCH(Combined[[#This Row],[Primary Area]],KPIs!$C$4:$C$7,0)</f>
        <v>4</v>
      </c>
      <c r="P135"/>
      <c r="Q135" s="40">
        <v>44728</v>
      </c>
      <c r="R135" s="40">
        <f t="shared" si="10"/>
        <v>44728</v>
      </c>
      <c r="S135" s="4" t="str">
        <f>TEXT(Mileage[[#This Row],[Date]],"dddd")</f>
        <v>Thursday</v>
      </c>
      <c r="T135" s="4" t="s">
        <v>236</v>
      </c>
      <c r="U135" s="4">
        <v>78.2</v>
      </c>
      <c r="V135" t="str" cm="1">
        <f t="array" ref="V135">IFERROR(VLOOKUP(MODE(IF(Combined[Date]=Mileage[[#This Row],[Date]],Combined[Area '#])),KPIs!$B$4:$C$7,2,FALSE),VLOOKUP(Mileage[[#This Row],[Date]],Combined[[Date]:[Primary Area]],8,FALSE))</f>
        <v>Portland</v>
      </c>
      <c r="W135" s="106">
        <v>0.73611111111111116</v>
      </c>
      <c r="X135" s="12">
        <v>6.8</v>
      </c>
      <c r="Y135" s="4">
        <v>163.1</v>
      </c>
      <c r="Z13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36" spans="2:26" x14ac:dyDescent="0.35">
      <c r="B136">
        <f t="shared" si="9"/>
        <v>134</v>
      </c>
      <c r="C136" t="s">
        <v>83</v>
      </c>
      <c r="D136" t="s">
        <v>176</v>
      </c>
      <c r="E136">
        <f>IF(WEEKNUM(Combined[[#This Row],[Date]], 1) = 53, 1, WEEKNUM(Combined[[#This Row],[Date]], 2))</f>
        <v>47</v>
      </c>
      <c r="F136" t="str">
        <f t="shared" si="8"/>
        <v>Friday</v>
      </c>
      <c r="G136" s="41">
        <v>44519</v>
      </c>
      <c r="H136">
        <v>4</v>
      </c>
      <c r="I136" s="1">
        <f>14.25+9.2+3.41+9.42</f>
        <v>36.28</v>
      </c>
      <c r="J136" s="2">
        <v>0.15625</v>
      </c>
      <c r="K136" s="12">
        <f>Combined[[#This Row],[Time Spent]]*24</f>
        <v>3.75</v>
      </c>
      <c r="L136" s="12">
        <f>MROUND(Combined[[#This Row],[Time Spent 2]],0.25)</f>
        <v>3.75</v>
      </c>
      <c r="M136" s="2" t="s">
        <v>92</v>
      </c>
      <c r="N136" t="s">
        <v>82</v>
      </c>
      <c r="O136">
        <f>MATCH(Combined[[#This Row],[Primary Area]],KPIs!$C$4:$C$7,0)</f>
        <v>3</v>
      </c>
      <c r="P136"/>
      <c r="Q136" s="40">
        <v>44730</v>
      </c>
      <c r="R136" s="40">
        <f t="shared" si="10"/>
        <v>44730</v>
      </c>
      <c r="S136" s="4" t="str">
        <f>TEXT(Mileage[[#This Row],[Date]],"dddd")</f>
        <v>Saturday</v>
      </c>
      <c r="T136" s="4" t="s">
        <v>236</v>
      </c>
      <c r="U136" s="4">
        <v>54.9</v>
      </c>
      <c r="V136" t="str" cm="1">
        <f t="array" ref="V136">IFERROR(VLOOKUP(MODE(IF(Combined[Date]=Mileage[[#This Row],[Date]],Combined[Area '#])),KPIs!$B$4:$C$7,2,FALSE),VLOOKUP(Mileage[[#This Row],[Date]],Combined[[Date]:[Primary Area]],8,FALSE))</f>
        <v>Lewiston</v>
      </c>
      <c r="W136" s="106">
        <v>0.71527777777777779</v>
      </c>
      <c r="X136" s="12">
        <v>6.8</v>
      </c>
      <c r="Y136" s="4">
        <f>73.9+54.4</f>
        <v>128.30000000000001</v>
      </c>
      <c r="Z13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37" spans="2:26" x14ac:dyDescent="0.35">
      <c r="B137">
        <f t="shared" si="9"/>
        <v>135</v>
      </c>
      <c r="C137" t="s">
        <v>86</v>
      </c>
      <c r="D137" t="s">
        <v>176</v>
      </c>
      <c r="E137">
        <f>IF(WEEKNUM(Combined[[#This Row],[Date]], 1) = 53, 1, WEEKNUM(Combined[[#This Row],[Date]], 2))</f>
        <v>47</v>
      </c>
      <c r="F137" t="str">
        <f t="shared" si="8"/>
        <v>Friday</v>
      </c>
      <c r="G137" s="41">
        <v>44519</v>
      </c>
      <c r="H137">
        <v>1</v>
      </c>
      <c r="I137" s="1">
        <v>12.5</v>
      </c>
      <c r="J137" s="2">
        <v>6.1111111111111116E-2</v>
      </c>
      <c r="K137" s="12">
        <f>Combined[[#This Row],[Time Spent]]*24</f>
        <v>1.4666666666666668</v>
      </c>
      <c r="L137" s="12">
        <f>MROUND(Combined[[#This Row],[Time Spent 2]],0.25)</f>
        <v>1.5</v>
      </c>
      <c r="M137" s="2" t="s">
        <v>92</v>
      </c>
      <c r="N137" t="s">
        <v>82</v>
      </c>
      <c r="O137">
        <f>MATCH(Combined[[#This Row],[Primary Area]],KPIs!$C$4:$C$7,0)</f>
        <v>3</v>
      </c>
      <c r="P137"/>
      <c r="Q137" s="40">
        <v>44734</v>
      </c>
      <c r="R137" s="40">
        <f t="shared" si="10"/>
        <v>44734</v>
      </c>
      <c r="S137" s="4" t="str">
        <f>TEXT(Mileage[[#This Row],[Date]],"dddd")</f>
        <v>Wednesday</v>
      </c>
      <c r="T137" s="4" t="s">
        <v>236</v>
      </c>
      <c r="U137" s="4">
        <v>71.2</v>
      </c>
      <c r="V137" t="str" cm="1">
        <f t="array" ref="V137">IFERROR(VLOOKUP(MODE(IF(Combined[Date]=Mileage[[#This Row],[Date]],Combined[Area '#])),KPIs!$B$4:$C$7,2,FALSE),VLOOKUP(Mileage[[#This Row],[Date]],Combined[[Date]:[Primary Area]],8,FALSE))</f>
        <v>Lewiston</v>
      </c>
      <c r="W137" s="106">
        <v>0.77916666666666667</v>
      </c>
      <c r="X137" s="12">
        <v>3.53</v>
      </c>
      <c r="Y137" s="4">
        <v>63</v>
      </c>
      <c r="Z13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38" spans="2:26" x14ac:dyDescent="0.35">
      <c r="B138">
        <f t="shared" si="9"/>
        <v>136</v>
      </c>
      <c r="C138" t="s">
        <v>86</v>
      </c>
      <c r="D138" t="s">
        <v>176</v>
      </c>
      <c r="E138">
        <f>IF(WEEKNUM(Combined[[#This Row],[Date]], 1) = 53, 1, WEEKNUM(Combined[[#This Row],[Date]], 2))</f>
        <v>47</v>
      </c>
      <c r="F138" t="str">
        <f t="shared" si="8"/>
        <v>Friday</v>
      </c>
      <c r="G138" s="41">
        <v>44519</v>
      </c>
      <c r="H138">
        <v>3</v>
      </c>
      <c r="I138" s="1">
        <v>24.25</v>
      </c>
      <c r="J138" s="2">
        <v>7.2916666666666671E-2</v>
      </c>
      <c r="K138" s="12">
        <f>Combined[[#This Row],[Time Spent]]*24</f>
        <v>1.75</v>
      </c>
      <c r="L138" s="12">
        <f>MROUND(Combined[[#This Row],[Time Spent 2]],0.25)</f>
        <v>1.75</v>
      </c>
      <c r="M138" s="2" t="s">
        <v>92</v>
      </c>
      <c r="N138" t="s">
        <v>85</v>
      </c>
      <c r="O138">
        <f>MATCH(Combined[[#This Row],[Primary Area]],KPIs!$C$4:$C$7,0)</f>
        <v>4</v>
      </c>
      <c r="P138"/>
      <c r="Q138" s="40">
        <v>44736</v>
      </c>
      <c r="R138" s="40">
        <f t="shared" si="10"/>
        <v>44736</v>
      </c>
      <c r="S138" s="4" t="str">
        <f>TEXT(Mileage[[#This Row],[Date]],"dddd")</f>
        <v>Friday</v>
      </c>
      <c r="T138" s="4" t="s">
        <v>230</v>
      </c>
      <c r="U138" s="4">
        <v>87.6</v>
      </c>
      <c r="V138" t="str" cm="1">
        <f t="array" ref="V138">IFERROR(VLOOKUP(MODE(IF(Combined[Date]=Mileage[[#This Row],[Date]],Combined[Area '#])),KPIs!$B$4:$C$7,2,FALSE),VLOOKUP(Mileage[[#This Row],[Date]],Combined[[Date]:[Primary Area]],8,FALSE))</f>
        <v>Brunswick/Bath/Freeport</v>
      </c>
      <c r="W138" s="106">
        <v>0.75694444444444453</v>
      </c>
      <c r="X138" s="12">
        <v>3.5</v>
      </c>
      <c r="Y138" s="4">
        <f>62.5+75.1</f>
        <v>137.6</v>
      </c>
      <c r="Z13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39" spans="2:26" x14ac:dyDescent="0.35">
      <c r="B139">
        <f t="shared" si="9"/>
        <v>137</v>
      </c>
      <c r="C139" t="s">
        <v>86</v>
      </c>
      <c r="D139" t="s">
        <v>176</v>
      </c>
      <c r="E139">
        <f>IF(WEEKNUM(Combined[[#This Row],[Date]], 1) = 53, 1, WEEKNUM(Combined[[#This Row],[Date]], 2))</f>
        <v>47</v>
      </c>
      <c r="F139" t="str">
        <f t="shared" si="8"/>
        <v>Sunday</v>
      </c>
      <c r="G139" s="41">
        <v>44521</v>
      </c>
      <c r="H139">
        <v>3</v>
      </c>
      <c r="I139" s="1">
        <f>12.5+7.25</f>
        <v>19.75</v>
      </c>
      <c r="J139" s="2">
        <f>TIME(1,35,)+TIME(1,15,)</f>
        <v>0.11805555555555555</v>
      </c>
      <c r="K139" s="12">
        <f>Combined[[#This Row],[Time Spent]]*24</f>
        <v>2.833333333333333</v>
      </c>
      <c r="L139" s="12">
        <f>MROUND(Combined[[#This Row],[Time Spent 2]],0.25)</f>
        <v>2.75</v>
      </c>
      <c r="M139" s="2" t="s">
        <v>91</v>
      </c>
      <c r="N139" t="s">
        <v>82</v>
      </c>
      <c r="O139">
        <f>MATCH(Combined[[#This Row],[Primary Area]],KPIs!$C$4:$C$7,0)</f>
        <v>3</v>
      </c>
      <c r="P139"/>
      <c r="Q139" s="40">
        <v>44737</v>
      </c>
      <c r="R139" s="40">
        <f t="shared" si="10"/>
        <v>44737</v>
      </c>
      <c r="S139" s="4" t="str">
        <f>TEXT(Mileage[[#This Row],[Date]],"dddd")</f>
        <v>Saturday</v>
      </c>
      <c r="T139" s="4" t="s">
        <v>230</v>
      </c>
      <c r="U139" s="4">
        <v>88.2</v>
      </c>
      <c r="V139" t="str" cm="1">
        <f t="array" ref="V139">IFERROR(VLOOKUP(MODE(IF(Combined[Date]=Mileage[[#This Row],[Date]],Combined[Area '#])),KPIs!$B$4:$C$7,2,FALSE),VLOOKUP(Mileage[[#This Row],[Date]],Combined[[Date]:[Primary Area]],8,FALSE))</f>
        <v>Lewiston</v>
      </c>
      <c r="W139" s="106">
        <v>0.74305555555555547</v>
      </c>
      <c r="X139" s="12">
        <v>6.1999999999999993</v>
      </c>
      <c r="Y139" s="4">
        <v>134</v>
      </c>
      <c r="Z13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0" spans="2:26" x14ac:dyDescent="0.35">
      <c r="B140">
        <f t="shared" si="9"/>
        <v>138</v>
      </c>
      <c r="C140" t="s">
        <v>83</v>
      </c>
      <c r="D140" t="s">
        <v>176</v>
      </c>
      <c r="E140">
        <f>IF(WEEKNUM(Combined[[#This Row],[Date]], 1) = 53, 1, WEEKNUM(Combined[[#This Row],[Date]], 2))</f>
        <v>47</v>
      </c>
      <c r="F140" t="str">
        <f t="shared" si="8"/>
        <v>Sunday</v>
      </c>
      <c r="G140" s="41">
        <v>44521</v>
      </c>
      <c r="H140">
        <v>3</v>
      </c>
      <c r="I140" s="1">
        <v>43.5</v>
      </c>
      <c r="J140" s="2">
        <v>7.7777777777777779E-2</v>
      </c>
      <c r="K140" s="12">
        <f>Combined[[#This Row],[Time Spent]]*24</f>
        <v>1.8666666666666667</v>
      </c>
      <c r="L140" s="12">
        <f>MROUND(Combined[[#This Row],[Time Spent 2]],0.25)</f>
        <v>1.75</v>
      </c>
      <c r="M140" s="2" t="s">
        <v>91</v>
      </c>
      <c r="N140" t="s">
        <v>82</v>
      </c>
      <c r="O140">
        <f>MATCH(Combined[[#This Row],[Primary Area]],KPIs!$C$4:$C$7,0)</f>
        <v>3</v>
      </c>
      <c r="P140"/>
      <c r="Q140" s="40">
        <v>44738</v>
      </c>
      <c r="R140" s="40">
        <f t="shared" si="10"/>
        <v>44738</v>
      </c>
      <c r="S140" s="4" t="str">
        <f>TEXT(Mileage[[#This Row],[Date]],"dddd")</f>
        <v>Sunday</v>
      </c>
      <c r="T140" s="4" t="s">
        <v>236</v>
      </c>
      <c r="U140" s="4">
        <v>76.5</v>
      </c>
      <c r="V140" t="str" cm="1">
        <f t="array" ref="V140">IFERROR(VLOOKUP(MODE(IF(Combined[Date]=Mileage[[#This Row],[Date]],Combined[Area '#])),KPIs!$B$4:$C$7,2,FALSE),VLOOKUP(Mileage[[#This Row],[Date]],Combined[[Date]:[Primary Area]],8,FALSE))</f>
        <v>Lewiston</v>
      </c>
      <c r="W140" s="106">
        <v>0.59305555555555556</v>
      </c>
      <c r="X140" s="12">
        <v>7.6</v>
      </c>
      <c r="Y140" s="4">
        <f>67.7+74.8</f>
        <v>142.5</v>
      </c>
      <c r="Z1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1" spans="2:26" x14ac:dyDescent="0.35">
      <c r="B141">
        <f t="shared" si="9"/>
        <v>139</v>
      </c>
      <c r="C141" t="s">
        <v>86</v>
      </c>
      <c r="D141" t="s">
        <v>176</v>
      </c>
      <c r="E141">
        <f>IF(WEEKNUM(Combined[[#This Row],[Date]], 1) = 53, 1, WEEKNUM(Combined[[#This Row],[Date]], 2))</f>
        <v>48</v>
      </c>
      <c r="F141" t="str">
        <f t="shared" si="8"/>
        <v>Monday</v>
      </c>
      <c r="G141" s="41">
        <v>44522</v>
      </c>
      <c r="H141">
        <v>7</v>
      </c>
      <c r="I141" s="1">
        <v>61.57</v>
      </c>
      <c r="J141" s="2">
        <v>0.14583333333333334</v>
      </c>
      <c r="K141" s="12">
        <f>Combined[[#This Row],[Time Spent]]*24</f>
        <v>3.5</v>
      </c>
      <c r="L141" s="12">
        <f>MROUND(Combined[[#This Row],[Time Spent 2]],0.25)</f>
        <v>3.5</v>
      </c>
      <c r="M141" s="2" t="s">
        <v>91</v>
      </c>
      <c r="N141" t="s">
        <v>80</v>
      </c>
      <c r="O141">
        <f>MATCH(Combined[[#This Row],[Primary Area]],KPIs!$C$4:$C$7,0)</f>
        <v>2</v>
      </c>
      <c r="P141"/>
      <c r="Q141" s="40">
        <v>44740</v>
      </c>
      <c r="R141" s="40">
        <f t="shared" si="10"/>
        <v>44740</v>
      </c>
      <c r="S141" s="4" t="str">
        <f>TEXT(Mileage[[#This Row],[Date]],"dddd")</f>
        <v>Tuesday</v>
      </c>
      <c r="T141" s="4" t="s">
        <v>236</v>
      </c>
      <c r="U141" s="4">
        <v>78.3</v>
      </c>
      <c r="V141" t="str" cm="1">
        <f t="array" ref="V141">IFERROR(VLOOKUP(MODE(IF(Combined[Date]=Mileage[[#This Row],[Date]],Combined[Area '#])),KPIs!$B$4:$C$7,2,FALSE),VLOOKUP(Mileage[[#This Row],[Date]],Combined[[Date]:[Primary Area]],8,FALSE))</f>
        <v>Portland</v>
      </c>
      <c r="W141" s="106">
        <v>0.72222222222222221</v>
      </c>
      <c r="X141" s="12">
        <v>7.9</v>
      </c>
      <c r="Y141" s="4">
        <v>92.2</v>
      </c>
      <c r="Z14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2" spans="2:26" x14ac:dyDescent="0.35">
      <c r="B142">
        <f t="shared" si="9"/>
        <v>140</v>
      </c>
      <c r="C142" t="s">
        <v>83</v>
      </c>
      <c r="D142" t="s">
        <v>176</v>
      </c>
      <c r="E142">
        <f>IF(WEEKNUM(Combined[[#This Row],[Date]], 1) = 53, 1, WEEKNUM(Combined[[#This Row],[Date]], 2))</f>
        <v>48</v>
      </c>
      <c r="F142" t="str">
        <f t="shared" si="8"/>
        <v>Monday</v>
      </c>
      <c r="G142" s="41">
        <v>44522</v>
      </c>
      <c r="H142">
        <v>4</v>
      </c>
      <c r="I142" s="1">
        <v>58.43</v>
      </c>
      <c r="J142" s="2">
        <v>0.1125</v>
      </c>
      <c r="K142" s="12">
        <f>Combined[[#This Row],[Time Spent]]*24</f>
        <v>2.7</v>
      </c>
      <c r="L142" s="12">
        <f>MROUND(Combined[[#This Row],[Time Spent 2]],0.25)</f>
        <v>2.75</v>
      </c>
      <c r="M142" s="2" t="s">
        <v>91</v>
      </c>
      <c r="N142" t="s">
        <v>80</v>
      </c>
      <c r="O142">
        <f>MATCH(Combined[[#This Row],[Primary Area]],KPIs!$C$4:$C$7,0)</f>
        <v>2</v>
      </c>
      <c r="P142"/>
      <c r="Q142" s="40">
        <v>44743</v>
      </c>
      <c r="R142" s="40">
        <f t="shared" si="10"/>
        <v>44743</v>
      </c>
      <c r="S142" s="4" t="str">
        <f>TEXT(Mileage[[#This Row],[Date]],"dddd")</f>
        <v>Friday</v>
      </c>
      <c r="T142" s="4" t="s">
        <v>236</v>
      </c>
      <c r="U142" s="4">
        <v>83.9</v>
      </c>
      <c r="V142" t="str" cm="1">
        <f t="array" ref="V142">IFERROR(VLOOKUP(MODE(IF(Combined[Date]=Mileage[[#This Row],[Date]],Combined[Area '#])),KPIs!$B$4:$C$7,2,FALSE),VLOOKUP(Mileage[[#This Row],[Date]],Combined[[Date]:[Primary Area]],8,FALSE))</f>
        <v>Lewiston</v>
      </c>
      <c r="W142" s="106">
        <v>0.75</v>
      </c>
      <c r="X142" s="12">
        <v>4.5</v>
      </c>
      <c r="Y142" s="4">
        <v>143</v>
      </c>
      <c r="Z14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43" spans="2:26" x14ac:dyDescent="0.35">
      <c r="B143">
        <f t="shared" si="9"/>
        <v>141</v>
      </c>
      <c r="C143" t="s">
        <v>83</v>
      </c>
      <c r="D143" t="s">
        <v>176</v>
      </c>
      <c r="E143">
        <f>IF(WEEKNUM(Combined[[#This Row],[Date]], 1) = 53, 1, WEEKNUM(Combined[[#This Row],[Date]], 2))</f>
        <v>48</v>
      </c>
      <c r="F143" t="str">
        <f t="shared" si="8"/>
        <v>Saturday</v>
      </c>
      <c r="G143" s="41">
        <v>44527</v>
      </c>
      <c r="H143">
        <v>9</v>
      </c>
      <c r="I143" s="1">
        <v>126.7</v>
      </c>
      <c r="J143" s="2">
        <v>0.26041666666666669</v>
      </c>
      <c r="K143" s="12">
        <f>Combined[[#This Row],[Time Spent]]*24</f>
        <v>6.25</v>
      </c>
      <c r="L143" s="12">
        <f>MROUND(Combined[[#This Row],[Time Spent 2]],0.25)</f>
        <v>6.25</v>
      </c>
      <c r="M143" s="2" t="s">
        <v>91</v>
      </c>
      <c r="N143" t="s">
        <v>85</v>
      </c>
      <c r="O143">
        <f>MATCH(Combined[[#This Row],[Primary Area]],KPIs!$C$4:$C$7,0)</f>
        <v>4</v>
      </c>
      <c r="P143"/>
      <c r="Q143" s="40">
        <v>44744</v>
      </c>
      <c r="R143" s="40">
        <f t="shared" si="10"/>
        <v>44744</v>
      </c>
      <c r="S143" s="4" t="str">
        <f>TEXT(Mileage[[#This Row],[Date]],"dddd")</f>
        <v>Saturday</v>
      </c>
      <c r="T143" s="4" t="s">
        <v>230</v>
      </c>
      <c r="U143" s="4">
        <v>80.3</v>
      </c>
      <c r="V143" t="str" cm="1">
        <f t="array" ref="V143">IFERROR(VLOOKUP(MODE(IF(Combined[Date]=Mileage[[#This Row],[Date]],Combined[Area '#])),KPIs!$B$4:$C$7,2,FALSE),VLOOKUP(Mileage[[#This Row],[Date]],Combined[[Date]:[Primary Area]],8,FALSE))</f>
        <v>Lewiston</v>
      </c>
      <c r="W143" s="106">
        <v>0.67083333333333328</v>
      </c>
      <c r="X143" s="12">
        <v>9.07</v>
      </c>
      <c r="Y143" s="4">
        <v>166</v>
      </c>
      <c r="Z1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4" spans="2:26" x14ac:dyDescent="0.35">
      <c r="B144">
        <f t="shared" si="9"/>
        <v>142</v>
      </c>
      <c r="C144" t="s">
        <v>86</v>
      </c>
      <c r="D144" t="s">
        <v>176</v>
      </c>
      <c r="E144">
        <f>IF(WEEKNUM(Combined[[#This Row],[Date]], 1) = 53, 1, WEEKNUM(Combined[[#This Row],[Date]], 2))</f>
        <v>48</v>
      </c>
      <c r="F144" t="str">
        <f t="shared" si="8"/>
        <v>Saturday</v>
      </c>
      <c r="G144" s="41">
        <v>44527</v>
      </c>
      <c r="H144">
        <f>SUM(2,4,5,4)</f>
        <v>15</v>
      </c>
      <c r="I144" s="1">
        <f>SUM(27.5,29.25,45.25,33.25)</f>
        <v>135.25</v>
      </c>
      <c r="J144" s="2">
        <f>SUM(TIME(1,20,),TIME(1,21,),TIME(2,10,),TIME(1,46,))</f>
        <v>0.27569444444444446</v>
      </c>
      <c r="K144" s="12">
        <f>Combined[[#This Row],[Time Spent]]*24</f>
        <v>6.6166666666666671</v>
      </c>
      <c r="L144" s="12">
        <f>MROUND(Combined[[#This Row],[Time Spent 2]],0.25)</f>
        <v>6.5</v>
      </c>
      <c r="M144" s="2" t="s">
        <v>91</v>
      </c>
      <c r="N144" t="s">
        <v>85</v>
      </c>
      <c r="O144">
        <f>MATCH(Combined[[#This Row],[Primary Area]],KPIs!$C$4:$C$7,0)</f>
        <v>4</v>
      </c>
      <c r="P144"/>
      <c r="Q144" s="40">
        <v>44747</v>
      </c>
      <c r="R144" s="40">
        <f t="shared" si="10"/>
        <v>44747</v>
      </c>
      <c r="S144" s="4" t="str">
        <f>TEXT(Mileage[[#This Row],[Date]],"dddd")</f>
        <v>Tuesday</v>
      </c>
      <c r="T144" s="4" t="s">
        <v>236</v>
      </c>
      <c r="U144" s="4">
        <v>76</v>
      </c>
      <c r="V144" t="str" cm="1">
        <f t="array" ref="V144">IFERROR(VLOOKUP(MODE(IF(Combined[Date]=Mileage[[#This Row],[Date]],Combined[Area '#])),KPIs!$B$4:$C$7,2,FALSE),VLOOKUP(Mileage[[#This Row],[Date]],Combined[[Date]:[Primary Area]],8,FALSE))</f>
        <v>Lewiston</v>
      </c>
      <c r="W144" s="106">
        <v>0.73611111111111116</v>
      </c>
      <c r="X144" s="12">
        <v>3.28</v>
      </c>
      <c r="Y144" s="4">
        <v>46.1</v>
      </c>
      <c r="Z1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5" spans="2:26" x14ac:dyDescent="0.35">
      <c r="B145">
        <f t="shared" si="9"/>
        <v>143</v>
      </c>
      <c r="C145" t="s">
        <v>86</v>
      </c>
      <c r="D145" t="s">
        <v>176</v>
      </c>
      <c r="E145">
        <f>IF(WEEKNUM(Combined[[#This Row],[Date]], 1) = 53, 1, WEEKNUM(Combined[[#This Row],[Date]], 2))</f>
        <v>48</v>
      </c>
      <c r="F145" t="str">
        <f t="shared" si="8"/>
        <v>Saturday</v>
      </c>
      <c r="G145" s="41">
        <v>44527</v>
      </c>
      <c r="H145">
        <v>2</v>
      </c>
      <c r="I145" s="1">
        <v>18.5</v>
      </c>
      <c r="J145" s="2">
        <v>8.5416666666666655E-2</v>
      </c>
      <c r="K145" s="12">
        <f>Combined[[#This Row],[Time Spent]]*24</f>
        <v>2.0499999999999998</v>
      </c>
      <c r="L145" s="12">
        <f>MROUND(Combined[[#This Row],[Time Spent 2]],0.25)</f>
        <v>2</v>
      </c>
      <c r="M145" s="2" t="s">
        <v>92</v>
      </c>
      <c r="N145" t="s">
        <v>85</v>
      </c>
      <c r="O145">
        <f>MATCH(Combined[[#This Row],[Primary Area]],KPIs!$C$4:$C$7,0)</f>
        <v>4</v>
      </c>
      <c r="P145"/>
      <c r="Q145" s="40">
        <v>44748</v>
      </c>
      <c r="R145" s="40">
        <f t="shared" si="10"/>
        <v>44748</v>
      </c>
      <c r="S145" s="4" t="str">
        <f>TEXT(Mileage[[#This Row],[Date]],"dddd")</f>
        <v>Wednesday</v>
      </c>
      <c r="T145" s="4" t="s">
        <v>249</v>
      </c>
      <c r="U145" s="4">
        <v>76.7</v>
      </c>
      <c r="V145" t="str" cm="1">
        <f t="array" ref="V145">IFERROR(VLOOKUP(MODE(IF(Combined[Date]=Mileage[[#This Row],[Date]],Combined[Area '#])),KPIs!$B$4:$C$7,2,FALSE),VLOOKUP(Mileage[[#This Row],[Date]],Combined[[Date]:[Primary Area]],8,FALSE))</f>
        <v>Brunswick/Bath/Freeport</v>
      </c>
      <c r="W145" s="106">
        <v>0.75</v>
      </c>
      <c r="X145" s="12">
        <v>3.3</v>
      </c>
      <c r="Y145" s="4">
        <v>48.2</v>
      </c>
      <c r="Z14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46" spans="2:26" x14ac:dyDescent="0.35">
      <c r="B146">
        <f t="shared" si="9"/>
        <v>144</v>
      </c>
      <c r="C146" t="s">
        <v>83</v>
      </c>
      <c r="D146" t="s">
        <v>176</v>
      </c>
      <c r="E146">
        <f>IF(WEEKNUM(Combined[[#This Row],[Date]], 1) = 53, 1, WEEKNUM(Combined[[#This Row],[Date]], 2))</f>
        <v>49</v>
      </c>
      <c r="F146" t="str">
        <f t="shared" si="8"/>
        <v>Monday</v>
      </c>
      <c r="G146" s="41">
        <v>44529</v>
      </c>
      <c r="H146">
        <v>10</v>
      </c>
      <c r="I146" s="1">
        <v>80</v>
      </c>
      <c r="J146" s="2">
        <v>0.15833333333333333</v>
      </c>
      <c r="K146" s="12">
        <f>Combined[[#This Row],[Time Spent]]*24</f>
        <v>3.8</v>
      </c>
      <c r="L146" s="12">
        <f>MROUND(Combined[[#This Row],[Time Spent 2]],0.25)</f>
        <v>3.75</v>
      </c>
      <c r="M146" s="2" t="s">
        <v>91</v>
      </c>
      <c r="N146" t="s">
        <v>82</v>
      </c>
      <c r="O146">
        <f>MATCH(Combined[[#This Row],[Primary Area]],KPIs!$C$4:$C$7,0)</f>
        <v>3</v>
      </c>
      <c r="P146"/>
      <c r="Q146" s="40">
        <v>44749</v>
      </c>
      <c r="R146" s="40">
        <f t="shared" si="10"/>
        <v>44749</v>
      </c>
      <c r="S146" s="4" t="str">
        <f>TEXT(Mileage[[#This Row],[Date]],"dddd")</f>
        <v>Thursday</v>
      </c>
      <c r="T146" s="4" t="s">
        <v>236</v>
      </c>
      <c r="U146" s="4">
        <v>81.599999999999994</v>
      </c>
      <c r="V146" t="str" cm="1">
        <f t="array" ref="V146">IFERROR(VLOOKUP(MODE(IF(Combined[Date]=Mileage[[#This Row],[Date]],Combined[Area '#])),KPIs!$B$4:$C$7,2,FALSE),VLOOKUP(Mileage[[#This Row],[Date]],Combined[[Date]:[Primary Area]],8,FALSE))</f>
        <v>Portland</v>
      </c>
      <c r="W146" s="106">
        <v>0.75694444444444453</v>
      </c>
      <c r="X146" s="12">
        <v>3.3</v>
      </c>
      <c r="Y146" s="4">
        <f>57.2+19.6</f>
        <v>76.800000000000011</v>
      </c>
      <c r="Z1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7" spans="2:26" x14ac:dyDescent="0.35">
      <c r="B147">
        <f t="shared" si="9"/>
        <v>145</v>
      </c>
      <c r="C147" t="s">
        <v>86</v>
      </c>
      <c r="D147" t="s">
        <v>176</v>
      </c>
      <c r="E147">
        <f>IF(WEEKNUM(Combined[[#This Row],[Date]], 1) = 53, 1, WEEKNUM(Combined[[#This Row],[Date]], 2))</f>
        <v>49</v>
      </c>
      <c r="F147" t="str">
        <f t="shared" si="8"/>
        <v>Monday</v>
      </c>
      <c r="G147" s="41">
        <v>44529</v>
      </c>
      <c r="H147">
        <v>4</v>
      </c>
      <c r="I147" s="1">
        <v>33</v>
      </c>
      <c r="J147" s="2">
        <v>0.14027777777777778</v>
      </c>
      <c r="K147" s="12">
        <f>Combined[[#This Row],[Time Spent]]*24</f>
        <v>3.3666666666666667</v>
      </c>
      <c r="L147" s="12">
        <f>MROUND(Combined[[#This Row],[Time Spent 2]],0.25)</f>
        <v>3.25</v>
      </c>
      <c r="M147" s="2" t="s">
        <v>91</v>
      </c>
      <c r="N147" t="s">
        <v>82</v>
      </c>
      <c r="O147">
        <f>MATCH(Combined[[#This Row],[Primary Area]],KPIs!$C$4:$C$7,0)</f>
        <v>3</v>
      </c>
      <c r="P147"/>
      <c r="Q147" s="40">
        <v>44750</v>
      </c>
      <c r="R147" s="40">
        <f t="shared" si="10"/>
        <v>44750</v>
      </c>
      <c r="S147" s="4" t="str">
        <f>TEXT(Mileage[[#This Row],[Date]],"dddd")</f>
        <v>Friday</v>
      </c>
      <c r="T147" s="4" t="s">
        <v>230</v>
      </c>
      <c r="U147" s="4">
        <v>77.5</v>
      </c>
      <c r="V147" t="str" cm="1">
        <f t="array" ref="V147">IFERROR(VLOOKUP(MODE(IF(Combined[Date]=Mileage[[#This Row],[Date]],Combined[Area '#])),KPIs!$B$4:$C$7,2,FALSE),VLOOKUP(Mileage[[#This Row],[Date]],Combined[[Date]:[Primary Area]],8,FALSE))</f>
        <v>Portland</v>
      </c>
      <c r="W147" s="106">
        <v>0.78819444444444453</v>
      </c>
      <c r="X147" s="12">
        <v>8.75</v>
      </c>
      <c r="Y147" s="4">
        <v>169</v>
      </c>
      <c r="Z14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48" spans="2:26" x14ac:dyDescent="0.35">
      <c r="B148">
        <f t="shared" si="9"/>
        <v>146</v>
      </c>
      <c r="C148" t="s">
        <v>83</v>
      </c>
      <c r="D148" t="s">
        <v>176</v>
      </c>
      <c r="E148">
        <f>IF(WEEKNUM(Combined[[#This Row],[Date]], 1) = 53, 1, WEEKNUM(Combined[[#This Row],[Date]], 2))</f>
        <v>49</v>
      </c>
      <c r="F148" t="str">
        <f t="shared" si="8"/>
        <v>Friday</v>
      </c>
      <c r="G148" s="41">
        <v>44533</v>
      </c>
      <c r="H148">
        <v>4</v>
      </c>
      <c r="I148" s="1">
        <v>40.909999999999997</v>
      </c>
      <c r="J148" s="2">
        <v>0.12291666666666667</v>
      </c>
      <c r="K148" s="12">
        <f>Combined[[#This Row],[Time Spent]]*24</f>
        <v>2.95</v>
      </c>
      <c r="L148" s="12">
        <f>MROUND(Combined[[#This Row],[Time Spent 2]],0.25)</f>
        <v>3</v>
      </c>
      <c r="M148" s="2" t="s">
        <v>91</v>
      </c>
      <c r="N148" t="s">
        <v>85</v>
      </c>
      <c r="O148">
        <f>MATCH(Combined[[#This Row],[Primary Area]],KPIs!$C$4:$C$7,0)</f>
        <v>4</v>
      </c>
      <c r="P148"/>
      <c r="Q148" s="40">
        <v>44753</v>
      </c>
      <c r="R148" s="40">
        <f t="shared" si="10"/>
        <v>44753</v>
      </c>
      <c r="S148" s="4" t="str">
        <f>TEXT(Mileage[[#This Row],[Date]],"dddd")</f>
        <v>Monday</v>
      </c>
      <c r="T148" s="4" t="s">
        <v>236</v>
      </c>
      <c r="U148" s="4">
        <v>84</v>
      </c>
      <c r="V148" t="str" cm="1">
        <f t="array" ref="V148">IFERROR(VLOOKUP(MODE(IF(Combined[Date]=Mileage[[#This Row],[Date]],Combined[Area '#])),KPIs!$B$4:$C$7,2,FALSE),VLOOKUP(Mileage[[#This Row],[Date]],Combined[[Date]:[Primary Area]],8,FALSE))</f>
        <v>Portland</v>
      </c>
      <c r="W148" s="106">
        <v>0.73958333333333337</v>
      </c>
      <c r="X148" s="12">
        <v>3.6</v>
      </c>
      <c r="Y148" s="4">
        <f>46.9+24.5</f>
        <v>71.400000000000006</v>
      </c>
      <c r="Z14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49" spans="2:26" x14ac:dyDescent="0.35">
      <c r="B149">
        <f t="shared" si="9"/>
        <v>147</v>
      </c>
      <c r="C149" t="s">
        <v>86</v>
      </c>
      <c r="D149" t="s">
        <v>176</v>
      </c>
      <c r="E149">
        <f>IF(WEEKNUM(Combined[[#This Row],[Date]], 1) = 53, 1, WEEKNUM(Combined[[#This Row],[Date]], 2))</f>
        <v>49</v>
      </c>
      <c r="F149" t="str">
        <f t="shared" si="8"/>
        <v>Friday</v>
      </c>
      <c r="G149" s="41">
        <v>44533</v>
      </c>
      <c r="H149">
        <f>2+3</f>
        <v>5</v>
      </c>
      <c r="I149" s="1">
        <f>28.75+17.5</f>
        <v>46.25</v>
      </c>
      <c r="J149" s="2">
        <f>TIME(1,7,)+TIME(1,55,)</f>
        <v>0.12638888888888888</v>
      </c>
      <c r="K149" s="12">
        <f>Combined[[#This Row],[Time Spent]]*24</f>
        <v>3.0333333333333332</v>
      </c>
      <c r="L149" s="12">
        <f>MROUND(Combined[[#This Row],[Time Spent 2]],0.25)</f>
        <v>3</v>
      </c>
      <c r="M149" s="2" t="s">
        <v>91</v>
      </c>
      <c r="N149" t="s">
        <v>85</v>
      </c>
      <c r="O149">
        <f>MATCH(Combined[[#This Row],[Primary Area]],KPIs!$C$4:$C$7,0)</f>
        <v>4</v>
      </c>
      <c r="P149"/>
      <c r="Q149" s="40">
        <v>44755</v>
      </c>
      <c r="R149" s="40">
        <f t="shared" si="10"/>
        <v>44755</v>
      </c>
      <c r="S149" s="4" t="str">
        <f>TEXT(Mileage[[#This Row],[Date]],"dddd")</f>
        <v>Wednesday</v>
      </c>
      <c r="T149" s="4" t="s">
        <v>236</v>
      </c>
      <c r="U149" s="4">
        <v>81.7</v>
      </c>
      <c r="V149" t="str" cm="1">
        <f t="array" ref="V149">IFERROR(VLOOKUP(MODE(IF(Combined[Date]=Mileage[[#This Row],[Date]],Combined[Area '#])),KPIs!$B$4:$C$7,2,FALSE),VLOOKUP(Mileage[[#This Row],[Date]],Combined[[Date]:[Primary Area]],8,FALSE))</f>
        <v>Portland</v>
      </c>
      <c r="W149" s="106">
        <v>0.75347222222222221</v>
      </c>
      <c r="X149" s="12">
        <v>4.7</v>
      </c>
      <c r="Y149" s="4">
        <f>19.9+87.4</f>
        <v>107.30000000000001</v>
      </c>
      <c r="Z14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0" spans="2:26" x14ac:dyDescent="0.35">
      <c r="B150">
        <f t="shared" si="9"/>
        <v>148</v>
      </c>
      <c r="C150" t="s">
        <v>86</v>
      </c>
      <c r="D150" t="s">
        <v>176</v>
      </c>
      <c r="E150">
        <f>IF(WEEKNUM(Combined[[#This Row],[Date]], 1) = 53, 1, WEEKNUM(Combined[[#This Row],[Date]], 2))</f>
        <v>49</v>
      </c>
      <c r="F150" t="str">
        <f t="shared" si="8"/>
        <v>Friday</v>
      </c>
      <c r="G150" s="41">
        <v>44533</v>
      </c>
      <c r="H150">
        <v>2</v>
      </c>
      <c r="I150" s="1">
        <v>28.5</v>
      </c>
      <c r="J150" s="2">
        <f>TIME(1,45,)</f>
        <v>7.2916666666666671E-2</v>
      </c>
      <c r="K150" s="12">
        <f>Combined[[#This Row],[Time Spent]]*24</f>
        <v>1.75</v>
      </c>
      <c r="L150" s="12">
        <f>MROUND(Combined[[#This Row],[Time Spent 2]],0.25)</f>
        <v>1.75</v>
      </c>
      <c r="M150" s="2" t="s">
        <v>92</v>
      </c>
      <c r="N150" t="s">
        <v>85</v>
      </c>
      <c r="O150">
        <f>MATCH(Combined[[#This Row],[Primary Area]],KPIs!$C$4:$C$7,0)</f>
        <v>4</v>
      </c>
      <c r="P150"/>
      <c r="Q150" s="40">
        <v>44757</v>
      </c>
      <c r="R150" s="40">
        <f t="shared" si="10"/>
        <v>44757</v>
      </c>
      <c r="S150" s="4" t="str">
        <f>TEXT(Mileage[[#This Row],[Date]],"dddd")</f>
        <v>Friday</v>
      </c>
      <c r="T150" s="4" t="s">
        <v>230</v>
      </c>
      <c r="U150" s="4">
        <v>81.8</v>
      </c>
      <c r="V150" t="str" cm="1">
        <f t="array" ref="V150">IFERROR(VLOOKUP(MODE(IF(Combined[Date]=Mileage[[#This Row],[Date]],Combined[Area '#])),KPIs!$B$4:$C$7,2,FALSE),VLOOKUP(Mileage[[#This Row],[Date]],Combined[[Date]:[Primary Area]],8,FALSE))</f>
        <v>Brunswick/Bath/Freeport</v>
      </c>
      <c r="W150" s="106">
        <v>0.73055555555555562</v>
      </c>
      <c r="X150" s="12">
        <v>5.5</v>
      </c>
      <c r="Y150" s="4">
        <f>11.5+26+107.2</f>
        <v>144.69999999999999</v>
      </c>
      <c r="Z15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1" spans="2:26" x14ac:dyDescent="0.35">
      <c r="B151">
        <f t="shared" si="9"/>
        <v>149</v>
      </c>
      <c r="C151" t="s">
        <v>83</v>
      </c>
      <c r="D151" t="s">
        <v>176</v>
      </c>
      <c r="E151">
        <f>IF(WEEKNUM(Combined[[#This Row],[Date]], 1) = 53, 1, WEEKNUM(Combined[[#This Row],[Date]], 2))</f>
        <v>50</v>
      </c>
      <c r="F151" t="str">
        <f t="shared" si="8"/>
        <v>Monday</v>
      </c>
      <c r="G151" s="41">
        <v>44536</v>
      </c>
      <c r="H151">
        <v>2</v>
      </c>
      <c r="I151" s="1">
        <v>30.71</v>
      </c>
      <c r="J151" s="2">
        <v>8.4722222222222213E-2</v>
      </c>
      <c r="K151" s="12">
        <f>Combined[[#This Row],[Time Spent]]*24</f>
        <v>2.0333333333333332</v>
      </c>
      <c r="L151" s="12">
        <f>MROUND(Combined[[#This Row],[Time Spent 2]],0.25)</f>
        <v>2</v>
      </c>
      <c r="M151" s="2" t="s">
        <v>91</v>
      </c>
      <c r="N151" t="s">
        <v>80</v>
      </c>
      <c r="O151">
        <f>MATCH(Combined[[#This Row],[Primary Area]],KPIs!$C$4:$C$7,0)</f>
        <v>2</v>
      </c>
      <c r="P151"/>
      <c r="Q151" s="40">
        <v>44758</v>
      </c>
      <c r="R151" s="40">
        <f t="shared" si="10"/>
        <v>44758</v>
      </c>
      <c r="S151" s="4" t="str">
        <f>TEXT(Mileage[[#This Row],[Date]],"dddd")</f>
        <v>Saturday</v>
      </c>
      <c r="T151" s="4" t="s">
        <v>236</v>
      </c>
      <c r="U151" s="4">
        <v>85.2</v>
      </c>
      <c r="V151" t="str" cm="1">
        <f t="array" ref="V151">IFERROR(VLOOKUP(MODE(IF(Combined[Date]=Mileage[[#This Row],[Date]],Combined[Area '#])),KPIs!$B$4:$C$7,2,FALSE),VLOOKUP(Mileage[[#This Row],[Date]],Combined[[Date]:[Primary Area]],8,FALSE))</f>
        <v>Portland</v>
      </c>
      <c r="W151" s="106">
        <v>0.79513888888888884</v>
      </c>
      <c r="X151" s="12">
        <v>6.2</v>
      </c>
      <c r="Y151" s="4">
        <f>38.5+88.1+42.9</f>
        <v>169.5</v>
      </c>
      <c r="Z15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52" spans="2:26" x14ac:dyDescent="0.35">
      <c r="B152">
        <f t="shared" si="9"/>
        <v>150</v>
      </c>
      <c r="C152" t="s">
        <v>86</v>
      </c>
      <c r="D152" t="s">
        <v>176</v>
      </c>
      <c r="E152">
        <f>IF(WEEKNUM(Combined[[#This Row],[Date]], 1) = 53, 1, WEEKNUM(Combined[[#This Row],[Date]], 2))</f>
        <v>50</v>
      </c>
      <c r="F152" t="str">
        <f t="shared" si="8"/>
        <v>Monday</v>
      </c>
      <c r="G152" s="41">
        <v>44536</v>
      </c>
      <c r="H152">
        <v>8</v>
      </c>
      <c r="I152" s="1">
        <f>9+67.75</f>
        <v>76.75</v>
      </c>
      <c r="J152" s="2">
        <f>TIME(3,6,)+TIME(0,45,)</f>
        <v>0.16041666666666668</v>
      </c>
      <c r="K152" s="12">
        <f>Combined[[#This Row],[Time Spent]]*24</f>
        <v>3.8500000000000005</v>
      </c>
      <c r="L152" s="12">
        <f>MROUND(Combined[[#This Row],[Time Spent 2]],0.25)</f>
        <v>3.75</v>
      </c>
      <c r="M152" s="2" t="s">
        <v>91</v>
      </c>
      <c r="N152" t="s">
        <v>80</v>
      </c>
      <c r="O152">
        <f>MATCH(Combined[[#This Row],[Primary Area]],KPIs!$C$4:$C$7,0)</f>
        <v>2</v>
      </c>
      <c r="P152"/>
      <c r="Q152" s="40">
        <v>44762</v>
      </c>
      <c r="R152" s="40">
        <f t="shared" si="10"/>
        <v>44762</v>
      </c>
      <c r="S152" s="4" t="str">
        <f>TEXT(Mileage[[#This Row],[Date]],"dddd")</f>
        <v>Wednesday</v>
      </c>
      <c r="T152" s="4" t="s">
        <v>236</v>
      </c>
      <c r="U152" s="4">
        <v>90.7</v>
      </c>
      <c r="V152" t="str" cm="1">
        <f t="array" ref="V152">IFERROR(VLOOKUP(MODE(IF(Combined[Date]=Mileage[[#This Row],[Date]],Combined[Area '#])),KPIs!$B$4:$C$7,2,FALSE),VLOOKUP(Mileage[[#This Row],[Date]],Combined[[Date]:[Primary Area]],8,FALSE))</f>
        <v>Portland</v>
      </c>
      <c r="W152" s="106">
        <v>0.73611111111111116</v>
      </c>
      <c r="X152" s="12">
        <v>4.5999999999999996</v>
      </c>
      <c r="Y152" s="4">
        <f>72.3+41.4</f>
        <v>113.69999999999999</v>
      </c>
      <c r="Z15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3" spans="2:26" x14ac:dyDescent="0.35">
      <c r="B153">
        <f t="shared" si="9"/>
        <v>151</v>
      </c>
      <c r="C153" t="s">
        <v>86</v>
      </c>
      <c r="D153" t="s">
        <v>176</v>
      </c>
      <c r="E153">
        <f>IF(WEEKNUM(Combined[[#This Row],[Date]], 1) = 53, 1, WEEKNUM(Combined[[#This Row],[Date]], 2))</f>
        <v>50</v>
      </c>
      <c r="F153" t="str">
        <f t="shared" si="8"/>
        <v>Monday</v>
      </c>
      <c r="G153" s="41">
        <v>44536</v>
      </c>
      <c r="H153">
        <v>1</v>
      </c>
      <c r="I153" s="1">
        <v>9.75</v>
      </c>
      <c r="J153" s="2">
        <v>5.7638888888888885E-2</v>
      </c>
      <c r="K153" s="12">
        <f>Combined[[#This Row],[Time Spent]]*24</f>
        <v>1.3833333333333333</v>
      </c>
      <c r="L153" s="12">
        <f>MROUND(Combined[[#This Row],[Time Spent 2]],0.25)</f>
        <v>1.5</v>
      </c>
      <c r="M153" s="2" t="s">
        <v>92</v>
      </c>
      <c r="N153" t="s">
        <v>85</v>
      </c>
      <c r="O153">
        <f>MATCH(Combined[[#This Row],[Primary Area]],KPIs!$C$4:$C$7,0)</f>
        <v>4</v>
      </c>
      <c r="P153"/>
      <c r="Q153" s="40">
        <v>44763</v>
      </c>
      <c r="R153" s="40">
        <f t="shared" si="10"/>
        <v>44763</v>
      </c>
      <c r="S153" s="4" t="str">
        <f>TEXT(Mileage[[#This Row],[Date]],"dddd")</f>
        <v>Thursday</v>
      </c>
      <c r="T153" s="4" t="s">
        <v>236</v>
      </c>
      <c r="U153" s="4">
        <v>89.9</v>
      </c>
      <c r="V153" t="str" cm="1">
        <f t="array" ref="V153">IFERROR(VLOOKUP(MODE(IF(Combined[Date]=Mileage[[#This Row],[Date]],Combined[Area '#])),KPIs!$B$4:$C$7,2,FALSE),VLOOKUP(Mileage[[#This Row],[Date]],Combined[[Date]:[Primary Area]],8,FALSE))</f>
        <v>Brunswick/Bath/Freeport</v>
      </c>
      <c r="W153" s="106">
        <v>0.72222222222222221</v>
      </c>
      <c r="X153" s="12">
        <v>5.67</v>
      </c>
      <c r="Y153" s="4">
        <f>85.1+27.4+12.5</f>
        <v>125</v>
      </c>
      <c r="Z15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4" spans="2:26" x14ac:dyDescent="0.35">
      <c r="B154">
        <f t="shared" si="9"/>
        <v>152</v>
      </c>
      <c r="C154" t="s">
        <v>83</v>
      </c>
      <c r="D154" t="s">
        <v>176</v>
      </c>
      <c r="E154">
        <f>IF(WEEKNUM(Combined[[#This Row],[Date]], 1) = 53, 1, WEEKNUM(Combined[[#This Row],[Date]], 2))</f>
        <v>50</v>
      </c>
      <c r="F154" t="str">
        <f t="shared" si="8"/>
        <v>Tuesday</v>
      </c>
      <c r="G154" s="41">
        <v>44537</v>
      </c>
      <c r="H154">
        <v>1</v>
      </c>
      <c r="I154" s="1">
        <v>25.57</v>
      </c>
      <c r="J154" s="2">
        <v>6.1805555555555558E-2</v>
      </c>
      <c r="K154" s="12">
        <f>Combined[[#This Row],[Time Spent]]*24</f>
        <v>1.4833333333333334</v>
      </c>
      <c r="L154" s="12">
        <f>MROUND(Combined[[#This Row],[Time Spent 2]],0.25)</f>
        <v>1.5</v>
      </c>
      <c r="M154" s="2" t="s">
        <v>91</v>
      </c>
      <c r="N154" t="s">
        <v>82</v>
      </c>
      <c r="O154">
        <f>MATCH(Combined[[#This Row],[Primary Area]],KPIs!$C$4:$C$7,0)</f>
        <v>3</v>
      </c>
      <c r="P154"/>
      <c r="Q154" s="40">
        <v>44781</v>
      </c>
      <c r="R154" s="40">
        <f t="shared" si="10"/>
        <v>44781</v>
      </c>
      <c r="S154" s="4" t="str">
        <f>TEXT(Mileage[[#This Row],[Date]],"dddd")</f>
        <v>Monday</v>
      </c>
      <c r="T154" s="4" t="s">
        <v>236</v>
      </c>
      <c r="U154" s="4">
        <v>73.2</v>
      </c>
      <c r="V154" t="str" cm="1">
        <f t="array" ref="V154">IFERROR(VLOOKUP(MODE(IF(Combined[Date]=Mileage[[#This Row],[Date]],Combined[Area '#])),KPIs!$B$4:$C$7,2,FALSE),VLOOKUP(Mileage[[#This Row],[Date]],Combined[[Date]:[Primary Area]],8,FALSE))</f>
        <v>Lewiston</v>
      </c>
      <c r="W154" s="106">
        <v>0.73958333333333337</v>
      </c>
      <c r="X154" s="12">
        <v>5.8</v>
      </c>
      <c r="Y154" s="4">
        <v>81.099999999999994</v>
      </c>
      <c r="Z1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55" spans="2:26" x14ac:dyDescent="0.35">
      <c r="B155">
        <f t="shared" si="9"/>
        <v>153</v>
      </c>
      <c r="C155" t="s">
        <v>86</v>
      </c>
      <c r="D155" t="s">
        <v>176</v>
      </c>
      <c r="E155">
        <f>IF(WEEKNUM(Combined[[#This Row],[Date]], 1) = 53, 1, WEEKNUM(Combined[[#This Row],[Date]], 2))</f>
        <v>50</v>
      </c>
      <c r="F155" t="str">
        <f t="shared" si="8"/>
        <v>Tuesday</v>
      </c>
      <c r="G155" s="41">
        <v>44537</v>
      </c>
      <c r="H155">
        <v>5</v>
      </c>
      <c r="I155" s="1">
        <v>37</v>
      </c>
      <c r="J155" s="2">
        <v>6.805555555555555E-2</v>
      </c>
      <c r="K155" s="12">
        <f>Combined[[#This Row],[Time Spent]]*24</f>
        <v>1.6333333333333333</v>
      </c>
      <c r="L155" s="12">
        <f>MROUND(Combined[[#This Row],[Time Spent 2]],0.25)</f>
        <v>1.75</v>
      </c>
      <c r="M155" s="2" t="s">
        <v>91</v>
      </c>
      <c r="N155" t="s">
        <v>82</v>
      </c>
      <c r="O155">
        <f>MATCH(Combined[[#This Row],[Primary Area]],KPIs!$C$4:$C$7,0)</f>
        <v>3</v>
      </c>
      <c r="P155"/>
      <c r="Q155" s="40">
        <v>44782</v>
      </c>
      <c r="R155" s="40">
        <f t="shared" si="10"/>
        <v>44782</v>
      </c>
      <c r="S155" s="4" t="str">
        <f>TEXT(Mileage[[#This Row],[Date]],"dddd")</f>
        <v>Tuesday</v>
      </c>
      <c r="T155" s="4" t="s">
        <v>236</v>
      </c>
      <c r="U155" s="4">
        <v>70.7</v>
      </c>
      <c r="V155" t="str" cm="1">
        <f t="array" ref="V155">IFERROR(VLOOKUP(MODE(IF(Combined[Date]=Mileage[[#This Row],[Date]],Combined[Area '#])),KPIs!$B$4:$C$7,2,FALSE),VLOOKUP(Mileage[[#This Row],[Date]],Combined[[Date]:[Primary Area]],8,FALSE))</f>
        <v>Portland</v>
      </c>
      <c r="W155" s="106">
        <v>0.72569444444444453</v>
      </c>
      <c r="X155" s="12">
        <v>5.6999999999999993</v>
      </c>
      <c r="Y155" s="4">
        <v>77.7</v>
      </c>
      <c r="Z1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6" spans="2:26" x14ac:dyDescent="0.35">
      <c r="B156">
        <f t="shared" si="9"/>
        <v>154</v>
      </c>
      <c r="C156" t="s">
        <v>83</v>
      </c>
      <c r="D156" t="s">
        <v>176</v>
      </c>
      <c r="E156">
        <f>IF(WEEKNUM(Combined[[#This Row],[Date]], 1) = 53, 1, WEEKNUM(Combined[[#This Row],[Date]], 2))</f>
        <v>50</v>
      </c>
      <c r="F156" t="str">
        <f t="shared" si="8"/>
        <v>Friday</v>
      </c>
      <c r="G156" s="41">
        <v>44540</v>
      </c>
      <c r="H156">
        <v>3</v>
      </c>
      <c r="I156" s="1">
        <v>37.729999999999997</v>
      </c>
      <c r="J156" s="2">
        <v>0.15972222222222224</v>
      </c>
      <c r="K156" s="12">
        <f>Combined[[#This Row],[Time Spent]]*24</f>
        <v>3.8333333333333339</v>
      </c>
      <c r="L156" s="12">
        <f>MROUND(Combined[[#This Row],[Time Spent 2]],0.25)</f>
        <v>3.75</v>
      </c>
      <c r="M156" s="2" t="s">
        <v>92</v>
      </c>
      <c r="N156" t="s">
        <v>85</v>
      </c>
      <c r="O156">
        <f>MATCH(Combined[[#This Row],[Primary Area]],KPIs!$C$4:$C$7,0)</f>
        <v>4</v>
      </c>
      <c r="P156"/>
      <c r="Q156" s="40">
        <v>44783</v>
      </c>
      <c r="R156" s="40">
        <f t="shared" si="10"/>
        <v>44783</v>
      </c>
      <c r="S156" s="4" t="str">
        <f>TEXT(Mileage[[#This Row],[Date]],"dddd")</f>
        <v>Wednesday</v>
      </c>
      <c r="T156" s="4" t="s">
        <v>236</v>
      </c>
      <c r="U156" s="4">
        <v>74.400000000000006</v>
      </c>
      <c r="V156" t="str" cm="1">
        <f t="array" ref="V156">IFERROR(VLOOKUP(MODE(IF(Combined[Date]=Mileage[[#This Row],[Date]],Combined[Area '#])),KPIs!$B$4:$C$7,2,FALSE),VLOOKUP(Mileage[[#This Row],[Date]],Combined[[Date]:[Primary Area]],8,FALSE))</f>
        <v>Lewiston</v>
      </c>
      <c r="W156" s="106">
        <v>0.78125</v>
      </c>
      <c r="X156" s="12">
        <v>4.5</v>
      </c>
      <c r="Y156" s="4">
        <v>73</v>
      </c>
      <c r="Z15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57" spans="2:26" x14ac:dyDescent="0.35">
      <c r="B157">
        <f t="shared" si="9"/>
        <v>155</v>
      </c>
      <c r="C157" t="s">
        <v>86</v>
      </c>
      <c r="D157" t="s">
        <v>176</v>
      </c>
      <c r="E157">
        <f>IF(WEEKNUM(Combined[[#This Row],[Date]], 1) = 53, 1, WEEKNUM(Combined[[#This Row],[Date]], 2))</f>
        <v>50</v>
      </c>
      <c r="F157" t="str">
        <f t="shared" si="8"/>
        <v>Friday</v>
      </c>
      <c r="G157" s="41">
        <v>44540</v>
      </c>
      <c r="H157">
        <v>5</v>
      </c>
      <c r="I157" s="1">
        <v>48.62</v>
      </c>
      <c r="J157" s="2">
        <f>TIME(2,31,)</f>
        <v>0.10486111111111111</v>
      </c>
      <c r="K157" s="12">
        <f>Combined[[#This Row],[Time Spent]]*24</f>
        <v>2.5166666666666666</v>
      </c>
      <c r="L157" s="12">
        <f>MROUND(Combined[[#This Row],[Time Spent 2]],0.25)</f>
        <v>2.5</v>
      </c>
      <c r="M157" s="2" t="s">
        <v>91</v>
      </c>
      <c r="N157" t="s">
        <v>85</v>
      </c>
      <c r="O157">
        <f>MATCH(Combined[[#This Row],[Primary Area]],KPIs!$C$4:$C$7,0)</f>
        <v>4</v>
      </c>
      <c r="P157"/>
      <c r="Q157" s="40">
        <v>44789</v>
      </c>
      <c r="R157" s="40">
        <f t="shared" si="10"/>
        <v>44789</v>
      </c>
      <c r="S157" s="4" t="str">
        <f>TEXT(Mileage[[#This Row],[Date]],"dddd")</f>
        <v>Tuesday</v>
      </c>
      <c r="T157" s="4" t="s">
        <v>236</v>
      </c>
      <c r="U157" s="4">
        <v>68</v>
      </c>
      <c r="V157" t="str" cm="1">
        <f t="array" ref="V157">IFERROR(VLOOKUP(MODE(IF(Combined[Date]=Mileage[[#This Row],[Date]],Combined[Area '#])),KPIs!$B$4:$C$7,2,FALSE),VLOOKUP(Mileage[[#This Row],[Date]],Combined[[Date]:[Primary Area]],8,FALSE))</f>
        <v>Brunswick/Bath/Freeport</v>
      </c>
      <c r="W157" s="106">
        <v>0.75</v>
      </c>
      <c r="X157" s="12">
        <v>4.7</v>
      </c>
      <c r="Y157" s="4">
        <f>104.2+10.7</f>
        <v>114.9</v>
      </c>
      <c r="Z15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58" spans="2:26" x14ac:dyDescent="0.35">
      <c r="B158">
        <f t="shared" si="9"/>
        <v>156</v>
      </c>
      <c r="C158" t="s">
        <v>86</v>
      </c>
      <c r="D158" t="s">
        <v>176</v>
      </c>
      <c r="E158">
        <f>IF(WEEKNUM(Combined[[#This Row],[Date]], 1) = 53, 1, WEEKNUM(Combined[[#This Row],[Date]], 2))</f>
        <v>50</v>
      </c>
      <c r="F158" t="str">
        <f t="shared" si="8"/>
        <v>Friday</v>
      </c>
      <c r="G158" s="41">
        <v>44540</v>
      </c>
      <c r="H158">
        <v>3</v>
      </c>
      <c r="I158" s="1">
        <v>23</v>
      </c>
      <c r="J158" s="2">
        <v>0.10416666666666667</v>
      </c>
      <c r="K158" s="12">
        <f>Combined[[#This Row],[Time Spent]]*24</f>
        <v>2.5</v>
      </c>
      <c r="L158" s="12">
        <f>MROUND(Combined[[#This Row],[Time Spent 2]],0.25)</f>
        <v>2.5</v>
      </c>
      <c r="M158" s="2" t="s">
        <v>92</v>
      </c>
      <c r="N158" t="s">
        <v>85</v>
      </c>
      <c r="O158">
        <f>MATCH(Combined[[#This Row],[Primary Area]],KPIs!$C$4:$C$7,0)</f>
        <v>4</v>
      </c>
      <c r="P158"/>
      <c r="Q158" s="40">
        <v>44790</v>
      </c>
      <c r="R158" s="40">
        <f t="shared" si="10"/>
        <v>44790</v>
      </c>
      <c r="S158" s="4" t="str">
        <f>TEXT(Mileage[[#This Row],[Date]],"dddd")</f>
        <v>Wednesday</v>
      </c>
      <c r="T158" s="4" t="s">
        <v>236</v>
      </c>
      <c r="U158" s="4">
        <v>69</v>
      </c>
      <c r="V158" t="str" cm="1">
        <f t="array" ref="V158">IFERROR(VLOOKUP(MODE(IF(Combined[Date]=Mileage[[#This Row],[Date]],Combined[Area '#])),KPIs!$B$4:$C$7,2,FALSE),VLOOKUP(Mileage[[#This Row],[Date]],Combined[[Date]:[Primary Area]],8,FALSE))</f>
        <v>Portland</v>
      </c>
      <c r="W158" s="106">
        <v>0.75</v>
      </c>
      <c r="X158" s="12">
        <v>4.5999999999999996</v>
      </c>
      <c r="Y158" s="4">
        <f>52+73</f>
        <v>125</v>
      </c>
      <c r="Z15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59" spans="2:26" x14ac:dyDescent="0.35">
      <c r="B159">
        <f t="shared" si="9"/>
        <v>157</v>
      </c>
      <c r="C159" t="s">
        <v>83</v>
      </c>
      <c r="D159" t="s">
        <v>176</v>
      </c>
      <c r="E159">
        <f>IF(WEEKNUM(Combined[[#This Row],[Date]], 1) = 53, 1, WEEKNUM(Combined[[#This Row],[Date]], 2))</f>
        <v>51</v>
      </c>
      <c r="F159" t="str">
        <f t="shared" si="8"/>
        <v>Wednesday</v>
      </c>
      <c r="G159" s="41">
        <v>44545</v>
      </c>
      <c r="H159">
        <v>1</v>
      </c>
      <c r="I159" s="1">
        <v>12.63</v>
      </c>
      <c r="J159" s="2">
        <v>4.7916666666666663E-2</v>
      </c>
      <c r="K159" s="12">
        <f>Combined[[#This Row],[Time Spent]]*24</f>
        <v>1.1499999999999999</v>
      </c>
      <c r="L159" s="12">
        <f>MROUND(Combined[[#This Row],[Time Spent 2]],0.25)</f>
        <v>1.25</v>
      </c>
      <c r="M159" s="2" t="s">
        <v>91</v>
      </c>
      <c r="N159" t="s">
        <v>80</v>
      </c>
      <c r="O159">
        <f>MATCH(Combined[[#This Row],[Primary Area]],KPIs!$C$4:$C$7,0)</f>
        <v>2</v>
      </c>
      <c r="P159"/>
      <c r="Q159" s="40">
        <v>44791</v>
      </c>
      <c r="R159" s="40">
        <f t="shared" si="10"/>
        <v>44791</v>
      </c>
      <c r="S159" s="4" t="str">
        <f>TEXT(Mileage[[#This Row],[Date]],"dddd")</f>
        <v>Thursday</v>
      </c>
      <c r="T159" s="4" t="s">
        <v>236</v>
      </c>
      <c r="U159" s="4">
        <v>83.3</v>
      </c>
      <c r="V159" t="str" cm="1">
        <f t="array" ref="V159">IFERROR(VLOOKUP(MODE(IF(Combined[Date]=Mileage[[#This Row],[Date]],Combined[Area '#])),KPIs!$B$4:$C$7,2,FALSE),VLOOKUP(Mileage[[#This Row],[Date]],Combined[[Date]:[Primary Area]],8,FALSE))</f>
        <v>Portland</v>
      </c>
      <c r="W159" s="106">
        <v>0.73263888888888884</v>
      </c>
      <c r="X159" s="12">
        <v>4.8</v>
      </c>
      <c r="Y159" s="4">
        <f>68.3+39.8</f>
        <v>108.1</v>
      </c>
      <c r="Z1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0" spans="2:26" x14ac:dyDescent="0.35">
      <c r="B160">
        <f t="shared" si="9"/>
        <v>158</v>
      </c>
      <c r="C160" t="s">
        <v>86</v>
      </c>
      <c r="D160" t="s">
        <v>176</v>
      </c>
      <c r="E160">
        <f>IF(WEEKNUM(Combined[[#This Row],[Date]], 1) = 53, 1, WEEKNUM(Combined[[#This Row],[Date]], 2))</f>
        <v>51</v>
      </c>
      <c r="F160" t="str">
        <f t="shared" si="8"/>
        <v>Wednesday</v>
      </c>
      <c r="G160" s="41">
        <v>44545</v>
      </c>
      <c r="H160">
        <v>7</v>
      </c>
      <c r="I160" s="1">
        <v>66.92</v>
      </c>
      <c r="J160" s="2">
        <v>0.13680555555555554</v>
      </c>
      <c r="K160" s="12">
        <f>Combined[[#This Row],[Time Spent]]*24</f>
        <v>3.2833333333333332</v>
      </c>
      <c r="L160" s="12">
        <f>MROUND(Combined[[#This Row],[Time Spent 2]],0.25)</f>
        <v>3.25</v>
      </c>
      <c r="M160" s="2" t="s">
        <v>91</v>
      </c>
      <c r="N160" t="s">
        <v>80</v>
      </c>
      <c r="O160">
        <f>MATCH(Combined[[#This Row],[Primary Area]],KPIs!$C$4:$C$7,0)</f>
        <v>2</v>
      </c>
      <c r="P160"/>
      <c r="Q160" s="40">
        <v>44793</v>
      </c>
      <c r="R160" s="40">
        <f t="shared" si="10"/>
        <v>44793</v>
      </c>
      <c r="S160" s="4" t="str">
        <f>TEXT(Mileage[[#This Row],[Date]],"dddd")</f>
        <v>Saturday</v>
      </c>
      <c r="T160" s="4" t="s">
        <v>230</v>
      </c>
      <c r="U160" s="4">
        <v>85.9</v>
      </c>
      <c r="V160" t="str" cm="1">
        <f t="array" ref="V160">IFERROR(VLOOKUP(MODE(IF(Combined[Date]=Mileage[[#This Row],[Date]],Combined[Area '#])),KPIs!$B$4:$C$7,2,FALSE),VLOOKUP(Mileage[[#This Row],[Date]],Combined[[Date]:[Primary Area]],8,FALSE))</f>
        <v>Brunswick/Bath/Freeport</v>
      </c>
      <c r="W160" s="106">
        <v>0.58333333333333337</v>
      </c>
      <c r="X160" s="12">
        <v>6.6999999999999993</v>
      </c>
      <c r="Y160" s="4">
        <f>89.8+49.2</f>
        <v>139</v>
      </c>
      <c r="Z16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61" spans="2:26" x14ac:dyDescent="0.35">
      <c r="B161">
        <f t="shared" si="9"/>
        <v>159</v>
      </c>
      <c r="C161" t="s">
        <v>83</v>
      </c>
      <c r="D161" t="s">
        <v>176</v>
      </c>
      <c r="E161">
        <f>IF(WEEKNUM(Combined[[#This Row],[Date]], 1) = 53, 1, WEEKNUM(Combined[[#This Row],[Date]], 2))</f>
        <v>1</v>
      </c>
      <c r="F161" t="str">
        <f t="shared" ref="F161:F168" si="11">TEXT(WEEKDAY(G161,1),"DDDD")</f>
        <v>Monday</v>
      </c>
      <c r="G161" s="41">
        <v>44557</v>
      </c>
      <c r="H161">
        <v>2</v>
      </c>
      <c r="I161" s="1">
        <v>40.049999999999997</v>
      </c>
      <c r="J161" s="2">
        <v>6.7361111111111108E-2</v>
      </c>
      <c r="K161" s="12">
        <f>Combined[[#This Row],[Time Spent]]*24</f>
        <v>1.6166666666666667</v>
      </c>
      <c r="L161" s="12">
        <f>MROUND(Combined[[#This Row],[Time Spent 2]],0.25)</f>
        <v>1.5</v>
      </c>
      <c r="M161" s="2" t="s">
        <v>91</v>
      </c>
      <c r="N161" t="s">
        <v>80</v>
      </c>
      <c r="O161">
        <f>MATCH(Combined[[#This Row],[Primary Area]],KPIs!$C$4:$C$7,0)</f>
        <v>2</v>
      </c>
      <c r="P161"/>
      <c r="Q161" s="40">
        <v>44795</v>
      </c>
      <c r="R161" s="40">
        <f t="shared" si="10"/>
        <v>44795</v>
      </c>
      <c r="S161" s="4" t="str">
        <f>TEXT(Mileage[[#This Row],[Date]],"dddd")</f>
        <v>Monday</v>
      </c>
      <c r="T161" s="4" t="s">
        <v>236</v>
      </c>
      <c r="U161" s="4">
        <v>77.900000000000006</v>
      </c>
      <c r="V161" t="str" cm="1">
        <f t="array" ref="V161">IFERROR(VLOOKUP(MODE(IF(Combined[Date]=Mileage[[#This Row],[Date]],Combined[Area '#])),KPIs!$B$4:$C$7,2,FALSE),VLOOKUP(Mileage[[#This Row],[Date]],Combined[[Date]:[Primary Area]],8,FALSE))</f>
        <v>Portland</v>
      </c>
      <c r="W161" s="106">
        <v>0.73958333333333337</v>
      </c>
      <c r="X161" s="12">
        <v>5.0999999999999996</v>
      </c>
      <c r="Y161" s="4">
        <f>89.6+34.6</f>
        <v>124.19999999999999</v>
      </c>
      <c r="Z1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2" spans="2:26" x14ac:dyDescent="0.35">
      <c r="B162">
        <f t="shared" si="9"/>
        <v>160</v>
      </c>
      <c r="C162" t="s">
        <v>83</v>
      </c>
      <c r="D162" t="s">
        <v>176</v>
      </c>
      <c r="E162">
        <f>IF(WEEKNUM(Combined[[#This Row],[Date]], 1) = 53, 1, WEEKNUM(Combined[[#This Row],[Date]], 2))</f>
        <v>1</v>
      </c>
      <c r="F162" t="str">
        <f t="shared" si="11"/>
        <v>Friday</v>
      </c>
      <c r="G162" s="41">
        <v>44561</v>
      </c>
      <c r="H162">
        <v>3</v>
      </c>
      <c r="I162" s="1">
        <v>77.58</v>
      </c>
      <c r="J162" s="2">
        <v>0.11527777777777777</v>
      </c>
      <c r="K162" s="12">
        <f>Combined[[#This Row],[Time Spent]]*24</f>
        <v>2.7666666666666666</v>
      </c>
      <c r="L162" s="12">
        <f>MROUND(Combined[[#This Row],[Time Spent 2]],0.25)</f>
        <v>2.75</v>
      </c>
      <c r="M162" s="2" t="s">
        <v>91</v>
      </c>
      <c r="N162" t="s">
        <v>80</v>
      </c>
      <c r="O162">
        <f>MATCH(Combined[[#This Row],[Primary Area]],KPIs!$C$4:$C$7,0)</f>
        <v>2</v>
      </c>
      <c r="P162"/>
      <c r="Q162" s="40">
        <v>44800</v>
      </c>
      <c r="R162" s="40">
        <f t="shared" si="10"/>
        <v>44800</v>
      </c>
      <c r="S162" s="4" t="str">
        <f>TEXT(Mileage[[#This Row],[Date]],"dddd")</f>
        <v>Saturday</v>
      </c>
      <c r="T162" s="4" t="s">
        <v>236</v>
      </c>
      <c r="U162" s="4">
        <v>76.900000000000006</v>
      </c>
      <c r="V162" t="str" cm="1">
        <f t="array" ref="V162">IFERROR(VLOOKUP(MODE(IF(Combined[Date]=Mileage[[#This Row],[Date]],Combined[Area '#])),KPIs!$B$4:$C$7,2,FALSE),VLOOKUP(Mileage[[#This Row],[Date]],Combined[[Date]:[Primary Area]],8,FALSE))</f>
        <v>Brunswick/Bath/Freeport</v>
      </c>
      <c r="W162" s="106">
        <v>0.74652777777777779</v>
      </c>
      <c r="X162" s="12">
        <v>6.6999999999999993</v>
      </c>
      <c r="Y162" s="4">
        <f>58.3+50.9+0.08+35.5</f>
        <v>144.77999999999997</v>
      </c>
      <c r="Z16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63" spans="2:26" x14ac:dyDescent="0.35">
      <c r="B163">
        <f t="shared" si="9"/>
        <v>161</v>
      </c>
      <c r="C163" t="s">
        <v>86</v>
      </c>
      <c r="D163" t="s">
        <v>176</v>
      </c>
      <c r="E163">
        <f>IF(WEEKNUM(Combined[[#This Row],[Date]], 1) = 53, 1, WEEKNUM(Combined[[#This Row],[Date]], 2))</f>
        <v>1</v>
      </c>
      <c r="F163" t="str">
        <f t="shared" si="11"/>
        <v>Friday</v>
      </c>
      <c r="G163" s="41">
        <v>44561</v>
      </c>
      <c r="H163">
        <v>7</v>
      </c>
      <c r="I163" s="1">
        <v>72.599999999999994</v>
      </c>
      <c r="J163" s="2">
        <v>0.14930555555555555</v>
      </c>
      <c r="K163" s="12">
        <f>Combined[[#This Row],[Time Spent]]*24</f>
        <v>3.583333333333333</v>
      </c>
      <c r="L163" s="12">
        <f>MROUND(Combined[[#This Row],[Time Spent 2]],0.25)</f>
        <v>3.5</v>
      </c>
      <c r="M163" s="2" t="s">
        <v>91</v>
      </c>
      <c r="N163" t="s">
        <v>80</v>
      </c>
      <c r="O163">
        <f>MATCH(Combined[[#This Row],[Primary Area]],KPIs!$C$4:$C$7,0)</f>
        <v>2</v>
      </c>
      <c r="P163"/>
      <c r="Q163" s="40">
        <v>44802</v>
      </c>
      <c r="R163" s="40">
        <f t="shared" si="10"/>
        <v>44802</v>
      </c>
      <c r="S163" s="4" t="str">
        <f>TEXT(Mileage[[#This Row],[Date]],"dddd")</f>
        <v>Monday</v>
      </c>
      <c r="T163" s="4" t="s">
        <v>230</v>
      </c>
      <c r="U163" s="4">
        <v>91.7</v>
      </c>
      <c r="V163" t="str" cm="1">
        <f t="array" ref="V163">IFERROR(VLOOKUP(MODE(IF(Combined[Date]=Mileage[[#This Row],[Date]],Combined[Area '#])),KPIs!$B$4:$C$7,2,FALSE),VLOOKUP(Mileage[[#This Row],[Date]],Combined[[Date]:[Primary Area]],8,FALSE))</f>
        <v>Brunswick/Bath/Freeport</v>
      </c>
      <c r="W163" s="106">
        <v>0.72222222222222221</v>
      </c>
      <c r="X163" s="12">
        <v>6.7</v>
      </c>
      <c r="Y163" s="4">
        <f>29.9+43.4+28.4</f>
        <v>101.69999999999999</v>
      </c>
      <c r="Z1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4" spans="2:26" x14ac:dyDescent="0.35">
      <c r="B164">
        <f t="shared" si="9"/>
        <v>162</v>
      </c>
      <c r="C164" t="s">
        <v>83</v>
      </c>
      <c r="D164" t="s">
        <v>176</v>
      </c>
      <c r="E164">
        <f>IF(WEEKNUM(Combined[[#This Row],[Date]], 1) = 53, 1, WEEKNUM(Combined[[#This Row],[Date]], 2))</f>
        <v>3</v>
      </c>
      <c r="F164" t="str">
        <f t="shared" si="11"/>
        <v>Tuesday</v>
      </c>
      <c r="G164" s="41">
        <v>44572</v>
      </c>
      <c r="H164">
        <v>2</v>
      </c>
      <c r="I164" s="1">
        <v>27.95</v>
      </c>
      <c r="J164" s="2">
        <v>7.013888888888889E-2</v>
      </c>
      <c r="K164" s="12">
        <f>Combined[[#This Row],[Time Spent]]*24</f>
        <v>1.6833333333333333</v>
      </c>
      <c r="L164" s="12">
        <f>MROUND(Combined[[#This Row],[Time Spent 2]],0.25)</f>
        <v>1.75</v>
      </c>
      <c r="M164" s="2" t="s">
        <v>91</v>
      </c>
      <c r="N164" t="s">
        <v>80</v>
      </c>
      <c r="O164">
        <f>MATCH(Combined[[#This Row],[Primary Area]],KPIs!$C$4:$C$7,0)</f>
        <v>2</v>
      </c>
      <c r="P164"/>
      <c r="Q164" s="40">
        <v>44803</v>
      </c>
      <c r="R164" s="40">
        <f t="shared" si="10"/>
        <v>44803</v>
      </c>
      <c r="S164" s="4" t="str">
        <f>TEXT(Mileage[[#This Row],[Date]],"dddd")</f>
        <v>Tuesday</v>
      </c>
      <c r="T164" s="4" t="s">
        <v>236</v>
      </c>
      <c r="U164" s="4">
        <v>79.8</v>
      </c>
      <c r="V164" t="str" cm="1">
        <f t="array" ref="V164">IFERROR(VLOOKUP(MODE(IF(Combined[Date]=Mileage[[#This Row],[Date]],Combined[Area '#])),KPIs!$B$4:$C$7,2,FALSE),VLOOKUP(Mileage[[#This Row],[Date]],Combined[[Date]:[Primary Area]],8,FALSE))</f>
        <v>Portland</v>
      </c>
      <c r="W164" s="106">
        <v>0.72222222222222221</v>
      </c>
      <c r="X164" s="12">
        <v>6.1</v>
      </c>
      <c r="Y164" s="4">
        <f>47+53.8</f>
        <v>100.8</v>
      </c>
      <c r="Z16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65" spans="2:26" x14ac:dyDescent="0.35">
      <c r="B165">
        <f t="shared" si="9"/>
        <v>163</v>
      </c>
      <c r="C165" t="s">
        <v>86</v>
      </c>
      <c r="D165" t="s">
        <v>176</v>
      </c>
      <c r="E165">
        <f>IF(WEEKNUM(Combined[[#This Row],[Date]], 1) = 53, 1, WEEKNUM(Combined[[#This Row],[Date]], 2))</f>
        <v>3</v>
      </c>
      <c r="F165" t="str">
        <f t="shared" si="11"/>
        <v>Tuesday</v>
      </c>
      <c r="G165" s="41">
        <v>44572</v>
      </c>
      <c r="H165">
        <v>6</v>
      </c>
      <c r="I165" s="1">
        <v>51.5</v>
      </c>
      <c r="J165" s="2">
        <v>0.13333333333333333</v>
      </c>
      <c r="K165" s="12">
        <f>Combined[[#This Row],[Time Spent]]*24</f>
        <v>3.2</v>
      </c>
      <c r="L165" s="12">
        <f>MROUND(Combined[[#This Row],[Time Spent 2]],0.25)</f>
        <v>3.25</v>
      </c>
      <c r="M165" s="2" t="s">
        <v>91</v>
      </c>
      <c r="N165" t="s">
        <v>80</v>
      </c>
      <c r="O165">
        <f>MATCH(Combined[[#This Row],[Primary Area]],KPIs!$C$4:$C$7,0)</f>
        <v>2</v>
      </c>
      <c r="P165"/>
      <c r="Q165" s="40">
        <v>44804</v>
      </c>
      <c r="R165" s="40">
        <f t="shared" si="10"/>
        <v>44804</v>
      </c>
      <c r="S165" s="4" t="str">
        <f>TEXT(Mileage[[#This Row],[Date]],"dddd")</f>
        <v>Wednesday</v>
      </c>
      <c r="T165" s="4" t="s">
        <v>236</v>
      </c>
      <c r="U165" s="4">
        <v>71</v>
      </c>
      <c r="V165" t="str" cm="1">
        <f t="array" ref="V165">IFERROR(VLOOKUP(MODE(IF(Combined[Date]=Mileage[[#This Row],[Date]],Combined[Area '#])),KPIs!$B$4:$C$7,2,FALSE),VLOOKUP(Mileage[[#This Row],[Date]],Combined[[Date]:[Primary Area]],8,FALSE))</f>
        <v>Portland</v>
      </c>
      <c r="W165" s="106">
        <v>0.72569444444444453</v>
      </c>
      <c r="X165" s="12">
        <v>4.0999999999999996</v>
      </c>
      <c r="Y165" s="4">
        <f>59.3+19.9+35.9</f>
        <v>115.1</v>
      </c>
      <c r="Z1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66" spans="2:26" x14ac:dyDescent="0.35">
      <c r="B166">
        <f t="shared" si="9"/>
        <v>164</v>
      </c>
      <c r="C166" t="s">
        <v>83</v>
      </c>
      <c r="D166" t="s">
        <v>176</v>
      </c>
      <c r="E166">
        <f>IF(WEEKNUM(Combined[[#This Row],[Date]], 1) = 53, 1, WEEKNUM(Combined[[#This Row],[Date]], 2))</f>
        <v>3</v>
      </c>
      <c r="F166" t="str">
        <f t="shared" si="11"/>
        <v>Saturday</v>
      </c>
      <c r="G166" s="41">
        <v>44576</v>
      </c>
      <c r="H166">
        <v>1</v>
      </c>
      <c r="I166" s="1">
        <v>11.25</v>
      </c>
      <c r="J166" s="2">
        <v>5.1388888888888894E-2</v>
      </c>
      <c r="K166" s="12">
        <f>Combined[[#This Row],[Time Spent]]*24</f>
        <v>1.2333333333333334</v>
      </c>
      <c r="L166" s="12">
        <f>MROUND(Combined[[#This Row],[Time Spent 2]],0.25)</f>
        <v>1.25</v>
      </c>
      <c r="M166" s="2" t="s">
        <v>91</v>
      </c>
      <c r="N166" t="s">
        <v>82</v>
      </c>
      <c r="O166">
        <f>MATCH(Combined[[#This Row],[Primary Area]],KPIs!$C$4:$C$7,0)</f>
        <v>3</v>
      </c>
      <c r="P166"/>
      <c r="Q166" s="40">
        <v>44805</v>
      </c>
      <c r="R166" s="40">
        <f t="shared" si="10"/>
        <v>44805</v>
      </c>
      <c r="S166" s="4" t="str">
        <f>TEXT(Mileage[[#This Row],[Date]],"dddd")</f>
        <v>Thursday</v>
      </c>
      <c r="T166" s="4" t="s">
        <v>230</v>
      </c>
      <c r="U166" s="4">
        <v>71.3</v>
      </c>
      <c r="V166" t="str" cm="1">
        <f t="array" ref="V166">IFERROR(VLOOKUP(MODE(IF(Combined[Date]=Mileage[[#This Row],[Date]],Combined[Area '#])),KPIs!$B$4:$C$7,2,FALSE),VLOOKUP(Mileage[[#This Row],[Date]],Combined[[Date]:[Primary Area]],8,FALSE))</f>
        <v>Lewiston</v>
      </c>
      <c r="W166" s="106">
        <v>0.73611111111111116</v>
      </c>
      <c r="X166" s="12">
        <v>5</v>
      </c>
      <c r="Y166" s="4">
        <v>78</v>
      </c>
      <c r="Z1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7" spans="2:26" x14ac:dyDescent="0.35">
      <c r="B167">
        <f t="shared" si="9"/>
        <v>165</v>
      </c>
      <c r="C167" t="s">
        <v>86</v>
      </c>
      <c r="D167" t="s">
        <v>176</v>
      </c>
      <c r="E167">
        <f>IF(WEEKNUM(Combined[[#This Row],[Date]], 1) = 53, 1, WEEKNUM(Combined[[#This Row],[Date]], 2))</f>
        <v>3</v>
      </c>
      <c r="F167" t="str">
        <f t="shared" si="11"/>
        <v>Saturday</v>
      </c>
      <c r="G167" s="41">
        <v>44576</v>
      </c>
      <c r="H167">
        <v>7</v>
      </c>
      <c r="I167" s="1">
        <v>56.5</v>
      </c>
      <c r="J167" s="2">
        <v>0.12083333333333333</v>
      </c>
      <c r="K167" s="12">
        <f>Combined[[#This Row],[Time Spent]]*24</f>
        <v>2.9</v>
      </c>
      <c r="L167" s="12">
        <f>MROUND(Combined[[#This Row],[Time Spent 2]],0.25)</f>
        <v>3</v>
      </c>
      <c r="M167" s="2" t="s">
        <v>91</v>
      </c>
      <c r="N167" t="s">
        <v>82</v>
      </c>
      <c r="O167">
        <f>MATCH(Combined[[#This Row],[Primary Area]],KPIs!$C$4:$C$7,0)</f>
        <v>3</v>
      </c>
      <c r="P167"/>
      <c r="Q167" s="40">
        <v>44806</v>
      </c>
      <c r="R167" s="40">
        <f t="shared" si="10"/>
        <v>44806</v>
      </c>
      <c r="S167" s="4" t="str">
        <f>TEXT(Mileage[[#This Row],[Date]],"dddd")</f>
        <v>Friday</v>
      </c>
      <c r="T167" s="4" t="s">
        <v>230</v>
      </c>
      <c r="U167" s="4">
        <v>74</v>
      </c>
      <c r="V167" t="str" cm="1">
        <f t="array" ref="V167">IFERROR(VLOOKUP(MODE(IF(Combined[Date]=Mileage[[#This Row],[Date]],Combined[Area '#])),KPIs!$B$4:$C$7,2,FALSE),VLOOKUP(Mileage[[#This Row],[Date]],Combined[[Date]:[Primary Area]],8,FALSE))</f>
        <v>Brunswick/Bath/Freeport</v>
      </c>
      <c r="W167" s="106">
        <v>0.47569444444444442</v>
      </c>
      <c r="X167" s="12">
        <v>5</v>
      </c>
      <c r="Y167" s="4">
        <f>51.7+44</f>
        <v>95.7</v>
      </c>
      <c r="Z16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8" spans="2:26" x14ac:dyDescent="0.35">
      <c r="B168">
        <f t="shared" si="9"/>
        <v>166</v>
      </c>
      <c r="C168" t="s">
        <v>86</v>
      </c>
      <c r="D168" t="s">
        <v>176</v>
      </c>
      <c r="E168">
        <f>IF(WEEKNUM(Combined[[#This Row],[Date]], 1) = 53, 1, WEEKNUM(Combined[[#This Row],[Date]], 2))</f>
        <v>3</v>
      </c>
      <c r="F168" t="str">
        <f t="shared" si="11"/>
        <v>Saturday</v>
      </c>
      <c r="G168" s="41">
        <v>44576</v>
      </c>
      <c r="H168">
        <v>6</v>
      </c>
      <c r="I168" s="1">
        <v>32.5</v>
      </c>
      <c r="J168" s="2">
        <v>0.14930555555555555</v>
      </c>
      <c r="K168" s="12">
        <f>Combined[[#This Row],[Time Spent]]*24</f>
        <v>3.583333333333333</v>
      </c>
      <c r="L168" s="12">
        <f>MROUND(Combined[[#This Row],[Time Spent 2]],0.25)</f>
        <v>3.5</v>
      </c>
      <c r="M168" s="2" t="s">
        <v>91</v>
      </c>
      <c r="N168" t="s">
        <v>82</v>
      </c>
      <c r="O168">
        <f>MATCH(Combined[[#This Row],[Primary Area]],KPIs!$C$4:$C$7,0)</f>
        <v>3</v>
      </c>
      <c r="P168"/>
      <c r="Q168" s="40">
        <v>44807</v>
      </c>
      <c r="R168" s="40">
        <f t="shared" si="10"/>
        <v>44807</v>
      </c>
      <c r="S168" s="4" t="str">
        <f>TEXT(Mileage[[#This Row],[Date]],"dddd")</f>
        <v>Saturday</v>
      </c>
      <c r="T168" s="4" t="s">
        <v>236</v>
      </c>
      <c r="U168" s="4">
        <v>83</v>
      </c>
      <c r="V168" t="str" cm="1">
        <f t="array" ref="V168">IFERROR(VLOOKUP(MODE(IF(Combined[Date]=Mileage[[#This Row],[Date]],Combined[Area '#])),KPIs!$B$4:$C$7,2,FALSE),VLOOKUP(Mileage[[#This Row],[Date]],Combined[[Date]:[Primary Area]],8,FALSE))</f>
        <v>Brunswick/Bath/Freeport</v>
      </c>
      <c r="W168" s="106">
        <v>0.71180555555555547</v>
      </c>
      <c r="X168" s="12">
        <v>8.73</v>
      </c>
      <c r="Y168" s="4">
        <v>162</v>
      </c>
      <c r="Z1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69" spans="2:26" x14ac:dyDescent="0.35">
      <c r="B169">
        <f t="shared" si="9"/>
        <v>167</v>
      </c>
      <c r="C169" t="s">
        <v>86</v>
      </c>
      <c r="D169" t="s">
        <v>176</v>
      </c>
      <c r="E169">
        <f>IF(WEEKNUM(Combined[[#This Row],[Date]], 1) = 53, 1, WEEKNUM(Combined[[#This Row],[Date]], 2))</f>
        <v>5</v>
      </c>
      <c r="F169" t="str">
        <f t="shared" ref="F169:F175" si="12">TEXT(WEEKDAY(G169,1),"DDDD")</f>
        <v>Monday</v>
      </c>
      <c r="G169" s="41">
        <v>44585</v>
      </c>
      <c r="H169">
        <v>2</v>
      </c>
      <c r="I169" s="1">
        <v>15.5</v>
      </c>
      <c r="J169" s="2">
        <v>5.5555555555555552E-2</v>
      </c>
      <c r="K169" s="12">
        <f>Combined[[#This Row],[Time Spent]]*24</f>
        <v>1.3333333333333333</v>
      </c>
      <c r="L169" s="12">
        <f>MROUND(Combined[[#This Row],[Time Spent 2]],0.25)</f>
        <v>1.25</v>
      </c>
      <c r="M169" s="2" t="s">
        <v>91</v>
      </c>
      <c r="N169" t="s">
        <v>80</v>
      </c>
      <c r="O169">
        <f>MATCH(Combined[[#This Row],[Primary Area]],KPIs!$C$4:$C$7,0)</f>
        <v>2</v>
      </c>
      <c r="P169"/>
      <c r="Q169" s="40">
        <v>44809</v>
      </c>
      <c r="R169" s="40">
        <f t="shared" si="10"/>
        <v>44809</v>
      </c>
      <c r="S169" s="4" t="str">
        <f>TEXT(Mileage[[#This Row],[Date]],"dddd")</f>
        <v>Monday</v>
      </c>
      <c r="T169" s="4" t="s">
        <v>236</v>
      </c>
      <c r="U169" s="4">
        <v>62.3</v>
      </c>
      <c r="V169" t="str" cm="1">
        <f t="array" ref="V169">IFERROR(VLOOKUP(MODE(IF(Combined[Date]=Mileage[[#This Row],[Date]],Combined[Area '#])),KPIs!$B$4:$C$7,2,FALSE),VLOOKUP(Mileage[[#This Row],[Date]],Combined[[Date]:[Primary Area]],8,FALSE))</f>
        <v>Portland</v>
      </c>
      <c r="W169" s="106">
        <v>0.73263888888888884</v>
      </c>
      <c r="X169" s="12">
        <v>6.3999999999999995</v>
      </c>
      <c r="Y169" s="4">
        <f>34.6+49.9+56.9</f>
        <v>141.4</v>
      </c>
      <c r="Z16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0" spans="2:26" x14ac:dyDescent="0.35">
      <c r="B170">
        <f t="shared" si="9"/>
        <v>168</v>
      </c>
      <c r="C170" t="s">
        <v>83</v>
      </c>
      <c r="D170" t="s">
        <v>176</v>
      </c>
      <c r="E170">
        <f>IF(WEEKNUM(Combined[[#This Row],[Date]], 1) = 53, 1, WEEKNUM(Combined[[#This Row],[Date]], 2))</f>
        <v>5</v>
      </c>
      <c r="F170" t="str">
        <f t="shared" si="12"/>
        <v>Monday</v>
      </c>
      <c r="G170" s="41">
        <v>44585</v>
      </c>
      <c r="H170">
        <v>2</v>
      </c>
      <c r="I170" s="1">
        <v>22.93</v>
      </c>
      <c r="J170" s="2">
        <v>5.6250000000000001E-2</v>
      </c>
      <c r="K170" s="12">
        <f>Combined[[#This Row],[Time Spent]]*24</f>
        <v>1.35</v>
      </c>
      <c r="L170" s="12">
        <f>MROUND(Combined[[#This Row],[Time Spent 2]],0.25)</f>
        <v>1.25</v>
      </c>
      <c r="M170" s="2" t="s">
        <v>91</v>
      </c>
      <c r="N170" t="s">
        <v>80</v>
      </c>
      <c r="O170">
        <f>MATCH(Combined[[#This Row],[Primary Area]],KPIs!$C$4:$C$7,0)</f>
        <v>2</v>
      </c>
      <c r="P170"/>
      <c r="Q170" s="40">
        <v>44810</v>
      </c>
      <c r="R170" s="40">
        <f t="shared" si="10"/>
        <v>44810</v>
      </c>
      <c r="S170" s="4" t="str">
        <f>TEXT(Mileage[[#This Row],[Date]],"dddd")</f>
        <v>Tuesday</v>
      </c>
      <c r="T170" s="4" t="s">
        <v>236</v>
      </c>
      <c r="U170" s="4">
        <v>70.7</v>
      </c>
      <c r="V170" t="str" cm="1">
        <f t="array" ref="V170">IFERROR(VLOOKUP(MODE(IF(Combined[Date]=Mileage[[#This Row],[Date]],Combined[Area '#])),KPIs!$B$4:$C$7,2,FALSE),VLOOKUP(Mileage[[#This Row],[Date]],Combined[[Date]:[Primary Area]],8,FALSE))</f>
        <v>Portland</v>
      </c>
      <c r="W170" s="106">
        <v>0.68055555555555547</v>
      </c>
      <c r="X170" s="12">
        <v>2.4</v>
      </c>
      <c r="Y170" s="4">
        <v>93</v>
      </c>
      <c r="Z17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1" spans="2:26" x14ac:dyDescent="0.35">
      <c r="B171">
        <f t="shared" si="9"/>
        <v>169</v>
      </c>
      <c r="C171" t="s">
        <v>86</v>
      </c>
      <c r="D171" t="s">
        <v>176</v>
      </c>
      <c r="E171">
        <f>IF(WEEKNUM(Combined[[#This Row],[Date]], 1) = 53, 1, WEEKNUM(Combined[[#This Row],[Date]], 2))</f>
        <v>6</v>
      </c>
      <c r="F171" t="str">
        <f t="shared" si="12"/>
        <v>Thursday</v>
      </c>
      <c r="G171" s="41">
        <v>44595</v>
      </c>
      <c r="H171">
        <v>8</v>
      </c>
      <c r="I171" s="1">
        <v>55.89</v>
      </c>
      <c r="J171" s="2">
        <v>0.12361111111111112</v>
      </c>
      <c r="K171" s="12">
        <f>Combined[[#This Row],[Time Spent]]*24</f>
        <v>2.9666666666666668</v>
      </c>
      <c r="L171" s="12">
        <f>MROUND(Combined[[#This Row],[Time Spent 2]],0.25)</f>
        <v>3</v>
      </c>
      <c r="M171" s="2" t="s">
        <v>91</v>
      </c>
      <c r="N171" t="s">
        <v>80</v>
      </c>
      <c r="O171">
        <f>MATCH(Combined[[#This Row],[Primary Area]],KPIs!$C$4:$C$7,0)</f>
        <v>2</v>
      </c>
      <c r="P171"/>
      <c r="Q171" s="40">
        <v>44811</v>
      </c>
      <c r="R171" s="40">
        <f t="shared" si="10"/>
        <v>44811</v>
      </c>
      <c r="S171" s="4" t="str">
        <f>TEXT(Mileage[[#This Row],[Date]],"dddd")</f>
        <v>Wednesday</v>
      </c>
      <c r="T171" s="4" t="s">
        <v>236</v>
      </c>
      <c r="U171" s="4">
        <v>73.7</v>
      </c>
      <c r="V171" t="str" cm="1">
        <f t="array" ref="V171">IFERROR(VLOOKUP(MODE(IF(Combined[Date]=Mileage[[#This Row],[Date]],Combined[Area '#])),KPIs!$B$4:$C$7,2,FALSE),VLOOKUP(Mileage[[#This Row],[Date]],Combined[[Date]:[Primary Area]],8,FALSE))</f>
        <v>Portland</v>
      </c>
      <c r="W171" s="106">
        <v>0.74305555555555547</v>
      </c>
      <c r="X171" s="12">
        <v>7</v>
      </c>
      <c r="Y171" s="4">
        <v>65.5</v>
      </c>
      <c r="Z17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2" spans="2:26" x14ac:dyDescent="0.35">
      <c r="B172">
        <f t="shared" si="9"/>
        <v>170</v>
      </c>
      <c r="C172" t="s">
        <v>83</v>
      </c>
      <c r="D172" t="s">
        <v>176</v>
      </c>
      <c r="E172">
        <f>IF(WEEKNUM(Combined[[#This Row],[Date]], 1) = 53, 1, WEEKNUM(Combined[[#This Row],[Date]], 2))</f>
        <v>7</v>
      </c>
      <c r="F172" t="str">
        <f t="shared" si="12"/>
        <v>Tuesday</v>
      </c>
      <c r="G172" s="41">
        <v>44600</v>
      </c>
      <c r="H172">
        <v>5</v>
      </c>
      <c r="I172" s="1">
        <v>90.74</v>
      </c>
      <c r="J172" s="2">
        <v>0.12361111111111112</v>
      </c>
      <c r="K172" s="12">
        <f>Combined[[#This Row],[Time Spent]]*24</f>
        <v>2.9666666666666668</v>
      </c>
      <c r="L172" s="12">
        <f>MROUND(Combined[[#This Row],[Time Spent 2]],0.25)</f>
        <v>3</v>
      </c>
      <c r="M172" s="2" t="s">
        <v>91</v>
      </c>
      <c r="N172" t="s">
        <v>80</v>
      </c>
      <c r="O172">
        <f>MATCH(Combined[[#This Row],[Primary Area]],KPIs!$C$4:$C$7,0)</f>
        <v>2</v>
      </c>
      <c r="P172"/>
      <c r="Q172" s="40">
        <v>44812</v>
      </c>
      <c r="R172" s="40">
        <f t="shared" si="10"/>
        <v>44812</v>
      </c>
      <c r="S172" s="4" t="str">
        <f>TEXT(Mileage[[#This Row],[Date]],"dddd")</f>
        <v>Thursday</v>
      </c>
      <c r="T172" s="4" t="s">
        <v>230</v>
      </c>
      <c r="U172" s="4">
        <v>79.3</v>
      </c>
      <c r="V172" t="str" cm="1">
        <f t="array" ref="V172">IFERROR(VLOOKUP(MODE(IF(Combined[Date]=Mileage[[#This Row],[Date]],Combined[Area '#])),KPIs!$B$4:$C$7,2,FALSE),VLOOKUP(Mileage[[#This Row],[Date]],Combined[[Date]:[Primary Area]],8,FALSE))</f>
        <v>Portland</v>
      </c>
      <c r="W172" s="106">
        <v>0.75694444444444453</v>
      </c>
      <c r="X172" s="12">
        <v>5.5</v>
      </c>
      <c r="Y172" s="4">
        <f>2.4+48+12.1</f>
        <v>62.5</v>
      </c>
      <c r="Z1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3" spans="2:26" x14ac:dyDescent="0.35">
      <c r="B173">
        <f t="shared" si="9"/>
        <v>171</v>
      </c>
      <c r="C173" t="s">
        <v>86</v>
      </c>
      <c r="D173" t="s">
        <v>176</v>
      </c>
      <c r="E173">
        <f>IF(WEEKNUM(Combined[[#This Row],[Date]], 1) = 53, 1, WEEKNUM(Combined[[#This Row],[Date]], 2))</f>
        <v>7</v>
      </c>
      <c r="F173" t="str">
        <f t="shared" si="12"/>
        <v>Tuesday</v>
      </c>
      <c r="G173" s="41">
        <v>44600</v>
      </c>
      <c r="H173">
        <v>1</v>
      </c>
      <c r="I173" s="1">
        <v>20</v>
      </c>
      <c r="J173" s="2">
        <v>2.2222222222222223E-2</v>
      </c>
      <c r="K173" s="12">
        <f>Combined[[#This Row],[Time Spent]]*24</f>
        <v>0.53333333333333333</v>
      </c>
      <c r="L173" s="12">
        <f>MROUND(Combined[[#This Row],[Time Spent 2]],0.25)</f>
        <v>0.5</v>
      </c>
      <c r="M173" s="2" t="s">
        <v>91</v>
      </c>
      <c r="N173" t="s">
        <v>80</v>
      </c>
      <c r="O173">
        <f>MATCH(Combined[[#This Row],[Primary Area]],KPIs!$C$4:$C$7,0)</f>
        <v>2</v>
      </c>
      <c r="P173"/>
      <c r="Q173" s="40">
        <v>44813</v>
      </c>
      <c r="R173" s="40">
        <f t="shared" si="10"/>
        <v>44813</v>
      </c>
      <c r="S173" s="4" t="str">
        <f>TEXT(Mileage[[#This Row],[Date]],"dddd")</f>
        <v>Friday</v>
      </c>
      <c r="T173" s="4" t="s">
        <v>230</v>
      </c>
      <c r="U173" s="4">
        <v>82.5</v>
      </c>
      <c r="V173" t="str" cm="1">
        <f t="array" ref="V173">IFERROR(VLOOKUP(MODE(IF(Combined[Date]=Mileage[[#This Row],[Date]],Combined[Area '#])),KPIs!$B$4:$C$7,2,FALSE),VLOOKUP(Mileage[[#This Row],[Date]],Combined[[Date]:[Primary Area]],8,FALSE))</f>
        <v>Portland</v>
      </c>
      <c r="W173" s="106">
        <v>0.74652777777777779</v>
      </c>
      <c r="X173" s="12">
        <v>2.9</v>
      </c>
      <c r="Y173" s="4">
        <f>15.7+33.7+106.8</f>
        <v>156.19999999999999</v>
      </c>
      <c r="Z17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74" spans="2:26" x14ac:dyDescent="0.35">
      <c r="B174">
        <f t="shared" si="9"/>
        <v>172</v>
      </c>
      <c r="C174" t="s">
        <v>86</v>
      </c>
      <c r="D174" t="s">
        <v>176</v>
      </c>
      <c r="E174">
        <f>IF(WEEKNUM(Combined[[#This Row],[Date]], 1) = 53, 1, WEEKNUM(Combined[[#This Row],[Date]], 2))</f>
        <v>7</v>
      </c>
      <c r="F174" t="str">
        <f t="shared" si="12"/>
        <v>Saturday</v>
      </c>
      <c r="G174" s="41">
        <v>44604</v>
      </c>
      <c r="H174">
        <f>4+4+6</f>
        <v>14</v>
      </c>
      <c r="I174" s="1">
        <f>33+29+40.55</f>
        <v>102.55</v>
      </c>
      <c r="J174" s="2">
        <f>TIME(2,33,)+TIME(1,25,)+TIME(2,20,)</f>
        <v>0.26250000000000001</v>
      </c>
      <c r="K174" s="12">
        <f>Combined[[#This Row],[Time Spent]]*24</f>
        <v>6.3000000000000007</v>
      </c>
      <c r="L174" s="12">
        <f>MROUND(Combined[[#This Row],[Time Spent 2]],0.25)</f>
        <v>6.25</v>
      </c>
      <c r="M174" s="2" t="s">
        <v>91</v>
      </c>
      <c r="N174" t="s">
        <v>80</v>
      </c>
      <c r="O174">
        <f>MATCH(Combined[[#This Row],[Primary Area]],KPIs!$C$4:$C$7,0)</f>
        <v>2</v>
      </c>
      <c r="P174"/>
      <c r="Q174" s="40">
        <v>44814</v>
      </c>
      <c r="R174" s="40">
        <f t="shared" si="10"/>
        <v>44814</v>
      </c>
      <c r="S174" s="4" t="str">
        <f>TEXT(Mileage[[#This Row],[Date]],"dddd")</f>
        <v>Saturday</v>
      </c>
      <c r="T174" s="4" t="s">
        <v>230</v>
      </c>
      <c r="U174" s="4">
        <v>79.5</v>
      </c>
      <c r="V174" t="str" cm="1">
        <f t="array" ref="V174">IFERROR(VLOOKUP(MODE(IF(Combined[Date]=Mileage[[#This Row],[Date]],Combined[Area '#])),KPIs!$B$4:$C$7,2,FALSE),VLOOKUP(Mileage[[#This Row],[Date]],Combined[[Date]:[Primary Area]],8,FALSE))</f>
        <v>Lewiston</v>
      </c>
      <c r="W174" s="106">
        <v>0.60069444444444442</v>
      </c>
      <c r="X174" s="12">
        <v>4.5</v>
      </c>
      <c r="Y174" s="4">
        <f>60.9+30.3+34.6</f>
        <v>125.80000000000001</v>
      </c>
      <c r="Z1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75" spans="2:26" x14ac:dyDescent="0.35">
      <c r="B175">
        <f t="shared" si="9"/>
        <v>173</v>
      </c>
      <c r="C175" t="s">
        <v>86</v>
      </c>
      <c r="D175" t="s">
        <v>176</v>
      </c>
      <c r="E175">
        <f>IF(WEEKNUM(Combined[[#This Row],[Date]], 1) = 53, 1, WEEKNUM(Combined[[#This Row],[Date]], 2))</f>
        <v>8</v>
      </c>
      <c r="F175" t="str">
        <f t="shared" si="12"/>
        <v>Monday</v>
      </c>
      <c r="G175" s="41">
        <v>44606</v>
      </c>
      <c r="H175">
        <v>2</v>
      </c>
      <c r="I175" s="1">
        <v>21.75</v>
      </c>
      <c r="J175" s="2">
        <v>3.4027777777777775E-2</v>
      </c>
      <c r="K175" s="12">
        <f>Combined[[#This Row],[Time Spent]]*24</f>
        <v>0.81666666666666665</v>
      </c>
      <c r="L175" s="12">
        <f>MROUND(Combined[[#This Row],[Time Spent 2]],0.25)</f>
        <v>0.75</v>
      </c>
      <c r="M175" s="2" t="s">
        <v>91</v>
      </c>
      <c r="N175" t="s">
        <v>80</v>
      </c>
      <c r="O175">
        <f>MATCH(Combined[[#This Row],[Primary Area]],KPIs!$C$4:$C$7,0)</f>
        <v>2</v>
      </c>
      <c r="P175"/>
      <c r="Q175" s="40">
        <v>44815</v>
      </c>
      <c r="R175" s="40">
        <f t="shared" si="10"/>
        <v>44815</v>
      </c>
      <c r="S175" s="4" t="str">
        <f>TEXT(Mileage[[#This Row],[Date]],"dddd")</f>
        <v>Sunday</v>
      </c>
      <c r="T175" s="4" t="s">
        <v>236</v>
      </c>
      <c r="U175" s="4">
        <v>81.7</v>
      </c>
      <c r="V175" t="str" cm="1">
        <f t="array" ref="V175">IFERROR(VLOOKUP(MODE(IF(Combined[Date]=Mileage[[#This Row],[Date]],Combined[Area '#])),KPIs!$B$4:$C$7,2,FALSE),VLOOKUP(Mileage[[#This Row],[Date]],Combined[[Date]:[Primary Area]],8,FALSE))</f>
        <v>Lewiston</v>
      </c>
      <c r="W175" s="106">
        <v>0.54513888888888895</v>
      </c>
      <c r="X175" s="12">
        <v>6.1999999999999993</v>
      </c>
      <c r="Y175" s="4">
        <f>111.1+41.5</f>
        <v>152.6</v>
      </c>
      <c r="Z17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76" spans="2:26" x14ac:dyDescent="0.35">
      <c r="B176">
        <f t="shared" si="9"/>
        <v>174</v>
      </c>
      <c r="C176" t="s">
        <v>83</v>
      </c>
      <c r="D176" t="s">
        <v>176</v>
      </c>
      <c r="E176">
        <f>IF(WEEKNUM(Combined[[#This Row],[Date]], 1) = 53, 1, WEEKNUM(Combined[[#This Row],[Date]], 2))</f>
        <v>9</v>
      </c>
      <c r="F176" t="str">
        <f t="shared" ref="F176:F181" si="13">TEXT(WEEKDAY(G176,1),"DDDD")</f>
        <v>Thursday</v>
      </c>
      <c r="G176" s="41">
        <v>44616</v>
      </c>
      <c r="H176">
        <v>2</v>
      </c>
      <c r="I176" s="1">
        <v>28.42</v>
      </c>
      <c r="J176" s="2">
        <v>6.5277777777777782E-2</v>
      </c>
      <c r="K176" s="12">
        <f>Combined[[#This Row],[Time Spent]]*24</f>
        <v>1.5666666666666669</v>
      </c>
      <c r="L176" s="12">
        <f>MROUND(Combined[[#This Row],[Time Spent 2]],0.25)</f>
        <v>1.5</v>
      </c>
      <c r="M176" s="2" t="s">
        <v>91</v>
      </c>
      <c r="N176" t="s">
        <v>82</v>
      </c>
      <c r="O176">
        <f>MATCH(Combined[[#This Row],[Primary Area]],KPIs!$C$4:$C$7,0)</f>
        <v>3</v>
      </c>
      <c r="P176"/>
      <c r="Q176" s="40">
        <v>44816</v>
      </c>
      <c r="R176" s="40">
        <f t="shared" si="10"/>
        <v>44816</v>
      </c>
      <c r="S176" s="4" t="str">
        <f>TEXT(Mileage[[#This Row],[Date]],"dddd")</f>
        <v>Monday</v>
      </c>
      <c r="T176" s="4" t="s">
        <v>236</v>
      </c>
      <c r="U176" s="4">
        <v>72.7</v>
      </c>
      <c r="V176" t="str" cm="1">
        <f t="array" ref="V176">IFERROR(VLOOKUP(MODE(IF(Combined[Date]=Mileage[[#This Row],[Date]],Combined[Area '#])),KPIs!$B$4:$C$7,2,FALSE),VLOOKUP(Mileage[[#This Row],[Date]],Combined[[Date]:[Primary Area]],8,FALSE))</f>
        <v>Portland</v>
      </c>
      <c r="W176" s="106">
        <v>0.73958333333333337</v>
      </c>
      <c r="X176" s="12">
        <v>6.9</v>
      </c>
      <c r="Y176" s="4">
        <v>82.5</v>
      </c>
      <c r="Z17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7" spans="2:26" x14ac:dyDescent="0.35">
      <c r="B177">
        <f t="shared" si="9"/>
        <v>175</v>
      </c>
      <c r="C177" t="s">
        <v>86</v>
      </c>
      <c r="D177" t="s">
        <v>176</v>
      </c>
      <c r="E177">
        <f>IF(WEEKNUM(Combined[[#This Row],[Date]], 1) = 53, 1, WEEKNUM(Combined[[#This Row],[Date]], 2))</f>
        <v>9</v>
      </c>
      <c r="F177" t="str">
        <f t="shared" si="13"/>
        <v>Thursday</v>
      </c>
      <c r="G177" s="41">
        <v>44616</v>
      </c>
      <c r="H177">
        <v>8</v>
      </c>
      <c r="I177" s="1">
        <v>44.51</v>
      </c>
      <c r="J177" s="2">
        <v>0.18402777777777779</v>
      </c>
      <c r="K177" s="12">
        <f>Combined[[#This Row],[Time Spent]]*24</f>
        <v>4.416666666666667</v>
      </c>
      <c r="L177" s="12">
        <f>MROUND(Combined[[#This Row],[Time Spent 2]],0.25)</f>
        <v>4.5</v>
      </c>
      <c r="M177" s="2" t="s">
        <v>91</v>
      </c>
      <c r="N177" t="s">
        <v>82</v>
      </c>
      <c r="O177">
        <f>MATCH(Combined[[#This Row],[Primary Area]],KPIs!$C$4:$C$7,0)</f>
        <v>3</v>
      </c>
      <c r="P177"/>
      <c r="Q177" s="40">
        <v>44819</v>
      </c>
      <c r="R177" s="40">
        <f t="shared" si="10"/>
        <v>44819</v>
      </c>
      <c r="S177" s="4" t="str">
        <f>TEXT(Mileage[[#This Row],[Date]],"dddd")</f>
        <v>Thursday</v>
      </c>
      <c r="T177" s="4" t="s">
        <v>230</v>
      </c>
      <c r="U177" s="4">
        <v>65.900000000000006</v>
      </c>
      <c r="V177" t="str" cm="1">
        <f t="array" ref="V177">IFERROR(VLOOKUP(MODE(IF(Combined[Date]=Mileage[[#This Row],[Date]],Combined[Area '#])),KPIs!$B$4:$C$7,2,FALSE),VLOOKUP(Mileage[[#This Row],[Date]],Combined[[Date]:[Primary Area]],8,FALSE))</f>
        <v>Lewiston</v>
      </c>
      <c r="W177" s="106">
        <v>0.73263888888888884</v>
      </c>
      <c r="X177" s="12">
        <v>9.4</v>
      </c>
      <c r="Y177" s="4">
        <f>45+23</f>
        <v>68</v>
      </c>
      <c r="Z17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8" spans="2:26" x14ac:dyDescent="0.35">
      <c r="B178">
        <f t="shared" si="9"/>
        <v>176</v>
      </c>
      <c r="C178" t="s">
        <v>83</v>
      </c>
      <c r="D178" t="s">
        <v>176</v>
      </c>
      <c r="E178">
        <f>IF(WEEKNUM(Combined[[#This Row],[Date]], 1) = 53, 1, WEEKNUM(Combined[[#This Row],[Date]], 2))</f>
        <v>9</v>
      </c>
      <c r="F178" t="str">
        <f t="shared" si="13"/>
        <v>Sunday</v>
      </c>
      <c r="G178" s="41">
        <v>44619</v>
      </c>
      <c r="H178">
        <v>11</v>
      </c>
      <c r="I178" s="1">
        <v>106.85</v>
      </c>
      <c r="J178" s="2">
        <f>TIME(5,52,)-TIME(1,34,)</f>
        <v>0.17916666666666664</v>
      </c>
      <c r="K178" s="12">
        <f>Combined[[#This Row],[Time Spent]]*24</f>
        <v>4.2999999999999989</v>
      </c>
      <c r="L178" s="12">
        <f>MROUND(Combined[[#This Row],[Time Spent 2]],0.25)</f>
        <v>4.25</v>
      </c>
      <c r="M178" s="2" t="s">
        <v>91</v>
      </c>
      <c r="N178" t="s">
        <v>85</v>
      </c>
      <c r="O178">
        <f>MATCH(Combined[[#This Row],[Primary Area]],KPIs!$C$4:$C$7,0)</f>
        <v>4</v>
      </c>
      <c r="P178"/>
      <c r="Q178" s="40">
        <v>44820</v>
      </c>
      <c r="R178" s="40">
        <f t="shared" si="10"/>
        <v>44820</v>
      </c>
      <c r="S178" s="4" t="str">
        <f>TEXT(Mileage[[#This Row],[Date]],"dddd")</f>
        <v>Friday</v>
      </c>
      <c r="T178" s="4" t="s">
        <v>230</v>
      </c>
      <c r="U178" s="4">
        <v>66.900000000000006</v>
      </c>
      <c r="V178" t="str" cm="1">
        <f t="array" ref="V178">IFERROR(VLOOKUP(MODE(IF(Combined[Date]=Mileage[[#This Row],[Date]],Combined[Area '#])),KPIs!$B$4:$C$7,2,FALSE),VLOOKUP(Mileage[[#This Row],[Date]],Combined[[Date]:[Primary Area]],8,FALSE))</f>
        <v>Brunswick/Bath/Freeport</v>
      </c>
      <c r="W178" s="106">
        <v>0.72569444444444453</v>
      </c>
      <c r="X178" s="12">
        <v>5.4</v>
      </c>
      <c r="Y178" s="4">
        <v>71.599999999999994</v>
      </c>
      <c r="Z17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79" spans="2:26" x14ac:dyDescent="0.35">
      <c r="B179">
        <f t="shared" si="9"/>
        <v>177</v>
      </c>
      <c r="C179" t="s">
        <v>86</v>
      </c>
      <c r="D179" t="s">
        <v>176</v>
      </c>
      <c r="E179">
        <f>IF(WEEKNUM(Combined[[#This Row],[Date]], 1) = 53, 1, WEEKNUM(Combined[[#This Row],[Date]], 2))</f>
        <v>9</v>
      </c>
      <c r="F179" t="str">
        <f t="shared" si="13"/>
        <v>Sunday</v>
      </c>
      <c r="G179" s="41">
        <v>44619</v>
      </c>
      <c r="H179">
        <v>5</v>
      </c>
      <c r="I179" s="1">
        <f>20.5+17.75</f>
        <v>38.25</v>
      </c>
      <c r="J179" s="2">
        <f>TIME(1,17,)+TIME(0,50,0)</f>
        <v>8.8194444444444436E-2</v>
      </c>
      <c r="K179" s="12">
        <f>Combined[[#This Row],[Time Spent]]*24</f>
        <v>2.1166666666666663</v>
      </c>
      <c r="L179" s="12">
        <f>MROUND(Combined[[#This Row],[Time Spent 2]],0.25)</f>
        <v>2</v>
      </c>
      <c r="M179" s="2" t="s">
        <v>91</v>
      </c>
      <c r="N179" t="s">
        <v>85</v>
      </c>
      <c r="O179">
        <f>MATCH(Combined[[#This Row],[Primary Area]],KPIs!$C$4:$C$7,0)</f>
        <v>4</v>
      </c>
      <c r="P179"/>
      <c r="Q179" s="40">
        <v>44822</v>
      </c>
      <c r="R179" s="40">
        <f t="shared" si="10"/>
        <v>44822</v>
      </c>
      <c r="S179" s="4" t="str">
        <f>TEXT(Mileage[[#This Row],[Date]],"dddd")</f>
        <v>Sunday</v>
      </c>
      <c r="T179" s="4" t="s">
        <v>236</v>
      </c>
      <c r="U179" s="4">
        <v>58.3</v>
      </c>
      <c r="V179" t="str" cm="1">
        <f t="array" ref="V179">IFERROR(VLOOKUP(MODE(IF(Combined[Date]=Mileage[[#This Row],[Date]],Combined[Area '#])),KPIs!$B$4:$C$7,2,FALSE),VLOOKUP(Mileage[[#This Row],[Date]],Combined[[Date]:[Primary Area]],8,FALSE))</f>
        <v>Brunswick/Bath/Freeport</v>
      </c>
      <c r="W179" s="106">
        <v>0.73611111111111116</v>
      </c>
      <c r="X179" s="12">
        <v>7.1</v>
      </c>
      <c r="Y179" s="4">
        <v>124.2</v>
      </c>
      <c r="Z17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0" spans="2:26" x14ac:dyDescent="0.35">
      <c r="B180">
        <f t="shared" si="9"/>
        <v>178</v>
      </c>
      <c r="C180" t="s">
        <v>83</v>
      </c>
      <c r="D180" t="s">
        <v>176</v>
      </c>
      <c r="E180">
        <f>IF(WEEKNUM(Combined[[#This Row],[Date]], 1) = 53, 1, WEEKNUM(Combined[[#This Row],[Date]], 2))</f>
        <v>10</v>
      </c>
      <c r="F180" t="str">
        <f t="shared" si="13"/>
        <v>Monday</v>
      </c>
      <c r="G180" s="41">
        <v>44620</v>
      </c>
      <c r="H180">
        <v>6</v>
      </c>
      <c r="I180" s="1">
        <v>74.23</v>
      </c>
      <c r="J180" s="2">
        <v>0.1277777777777778</v>
      </c>
      <c r="K180" s="12">
        <f>Combined[[#This Row],[Time Spent]]*24</f>
        <v>3.0666666666666673</v>
      </c>
      <c r="L180" s="12">
        <f>MROUND(Combined[[#This Row],[Time Spent 2]],0.25)</f>
        <v>3</v>
      </c>
      <c r="M180" s="2" t="s">
        <v>91</v>
      </c>
      <c r="N180" t="s">
        <v>80</v>
      </c>
      <c r="O180">
        <f>MATCH(Combined[[#This Row],[Primary Area]],KPIs!$C$4:$C$7,0)</f>
        <v>2</v>
      </c>
      <c r="P180"/>
      <c r="Q180" s="40">
        <v>44823</v>
      </c>
      <c r="R180" s="40">
        <f t="shared" si="10"/>
        <v>44823</v>
      </c>
      <c r="S180" s="4" t="str">
        <f>TEXT(Mileage[[#This Row],[Date]],"dddd")</f>
        <v>Monday</v>
      </c>
      <c r="T180" s="4" t="s">
        <v>236</v>
      </c>
      <c r="U180" s="4">
        <v>56.8</v>
      </c>
      <c r="V180" t="str" cm="1">
        <f t="array" ref="V180">IFERROR(VLOOKUP(MODE(IF(Combined[Date]=Mileage[[#This Row],[Date]],Combined[Area '#])),KPIs!$B$4:$C$7,2,FALSE),VLOOKUP(Mileage[[#This Row],[Date]],Combined[[Date]:[Primary Area]],8,FALSE))</f>
        <v>Portland</v>
      </c>
      <c r="W180" s="106">
        <v>0.72916666666666663</v>
      </c>
      <c r="X180" s="12">
        <v>6.6</v>
      </c>
      <c r="Y180" s="4">
        <f>39.2+25.9+11+4.1</f>
        <v>80.199999999999989</v>
      </c>
      <c r="Z1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81" spans="2:26" x14ac:dyDescent="0.35">
      <c r="B181">
        <f t="shared" si="9"/>
        <v>179</v>
      </c>
      <c r="C181" t="s">
        <v>86</v>
      </c>
      <c r="D181" t="s">
        <v>176</v>
      </c>
      <c r="E181">
        <f>IF(WEEKNUM(Combined[[#This Row],[Date]], 1) = 53, 1, WEEKNUM(Combined[[#This Row],[Date]], 2))</f>
        <v>10</v>
      </c>
      <c r="F181" t="str">
        <f t="shared" si="13"/>
        <v>Monday</v>
      </c>
      <c r="G181" s="41">
        <v>44620</v>
      </c>
      <c r="H181">
        <v>5</v>
      </c>
      <c r="I181" s="1">
        <f>26.75+15.25+6.12</f>
        <v>48.12</v>
      </c>
      <c r="J181" s="2">
        <v>0.13194444444444445</v>
      </c>
      <c r="K181" s="12">
        <f>Combined[[#This Row],[Time Spent]]*24</f>
        <v>3.166666666666667</v>
      </c>
      <c r="L181" s="12">
        <f>MROUND(Combined[[#This Row],[Time Spent 2]],0.25)</f>
        <v>3.25</v>
      </c>
      <c r="M181" s="2" t="s">
        <v>91</v>
      </c>
      <c r="N181" t="s">
        <v>80</v>
      </c>
      <c r="O181">
        <f>MATCH(Combined[[#This Row],[Primary Area]],KPIs!$C$4:$C$7,0)</f>
        <v>2</v>
      </c>
      <c r="P181"/>
      <c r="Q181" s="40">
        <v>44824</v>
      </c>
      <c r="R181" s="40">
        <f t="shared" si="10"/>
        <v>44824</v>
      </c>
      <c r="S181" s="4" t="str">
        <f>TEXT(Mileage[[#This Row],[Date]],"dddd")</f>
        <v>Tuesday</v>
      </c>
      <c r="T181" s="4" t="s">
        <v>236</v>
      </c>
      <c r="U181" s="4">
        <v>66.8</v>
      </c>
      <c r="V181" t="str" cm="1">
        <f t="array" ref="V181">IFERROR(VLOOKUP(MODE(IF(Combined[Date]=Mileage[[#This Row],[Date]],Combined[Area '#])),KPIs!$B$4:$C$7,2,FALSE),VLOOKUP(Mileage[[#This Row],[Date]],Combined[[Date]:[Primary Area]],8,FALSE))</f>
        <v>Lewiston</v>
      </c>
      <c r="W181" s="106">
        <v>0.73402777777777783</v>
      </c>
      <c r="X181" s="12">
        <v>2.4500000000000002</v>
      </c>
      <c r="Y181" s="4">
        <v>28.6</v>
      </c>
      <c r="Z18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82" spans="2:26" x14ac:dyDescent="0.35">
      <c r="B182">
        <f t="shared" si="9"/>
        <v>180</v>
      </c>
      <c r="C182" t="s">
        <v>86</v>
      </c>
      <c r="D182" t="s">
        <v>176</v>
      </c>
      <c r="E182">
        <f>IF(WEEKNUM(Combined[[#This Row],[Date]], 1) = 53, 1, WEEKNUM(Combined[[#This Row],[Date]], 2))</f>
        <v>11</v>
      </c>
      <c r="F182" t="str">
        <f>TEXT(WEEKDAY(G182,1),"DDDD")</f>
        <v>Monday</v>
      </c>
      <c r="G182" s="41">
        <v>44627</v>
      </c>
      <c r="H182">
        <v>3</v>
      </c>
      <c r="I182" s="1">
        <v>20</v>
      </c>
      <c r="J182" s="2">
        <v>6.3194444444444442E-2</v>
      </c>
      <c r="K182" s="12">
        <f>Combined[[#This Row],[Time Spent]]*24</f>
        <v>1.5166666666666666</v>
      </c>
      <c r="L182" s="12">
        <f>MROUND(Combined[[#This Row],[Time Spent 2]],0.25)</f>
        <v>1.5</v>
      </c>
      <c r="M182" s="2" t="s">
        <v>91</v>
      </c>
      <c r="N182" t="s">
        <v>80</v>
      </c>
      <c r="O182">
        <f>MATCH(Combined[[#This Row],[Primary Area]],KPIs!$C$4:$C$7,0)</f>
        <v>2</v>
      </c>
      <c r="P182"/>
      <c r="Q182" s="40">
        <v>44825</v>
      </c>
      <c r="R182" s="40">
        <f t="shared" si="10"/>
        <v>44825</v>
      </c>
      <c r="S182" s="4" t="str">
        <f>TEXT(Mileage[[#This Row],[Date]],"dddd")</f>
        <v>Wednesday</v>
      </c>
      <c r="T182" s="4" t="s">
        <v>236</v>
      </c>
      <c r="U182" s="4">
        <v>63.5</v>
      </c>
      <c r="V182" t="str" cm="1">
        <f t="array" ref="V182">IFERROR(VLOOKUP(MODE(IF(Combined[Date]=Mileage[[#This Row],[Date]],Combined[Area '#])),KPIs!$B$4:$C$7,2,FALSE),VLOOKUP(Mileage[[#This Row],[Date]],Combined[[Date]:[Primary Area]],8,FALSE))</f>
        <v>Lewiston</v>
      </c>
      <c r="W182" s="106">
        <v>0.73611111111111116</v>
      </c>
      <c r="X182" s="12">
        <v>4.3000000000000007</v>
      </c>
      <c r="Y182" s="4">
        <f>32.2+16</f>
        <v>48.2</v>
      </c>
      <c r="Z18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3" spans="2:26" x14ac:dyDescent="0.35">
      <c r="B183">
        <f t="shared" si="9"/>
        <v>181</v>
      </c>
      <c r="C183" t="s">
        <v>83</v>
      </c>
      <c r="D183" t="s">
        <v>176</v>
      </c>
      <c r="E183">
        <f>IF(WEEKNUM(Combined[[#This Row],[Date]], 1) = 53, 1, WEEKNUM(Combined[[#This Row],[Date]], 2))</f>
        <v>11</v>
      </c>
      <c r="F183" t="str">
        <f>TEXT(WEEKDAY(G183,1),"DDDD")</f>
        <v>Monday</v>
      </c>
      <c r="G183" s="41">
        <v>44627</v>
      </c>
      <c r="H183">
        <v>3</v>
      </c>
      <c r="I183" s="1">
        <v>52.14</v>
      </c>
      <c r="J183" s="2">
        <v>4.5833333333333337E-2</v>
      </c>
      <c r="K183" s="12">
        <f>Combined[[#This Row],[Time Spent]]*24</f>
        <v>1.1000000000000001</v>
      </c>
      <c r="L183" s="12">
        <f>MROUND(Combined[[#This Row],[Time Spent 2]],0.25)</f>
        <v>1</v>
      </c>
      <c r="M183" s="2" t="s">
        <v>91</v>
      </c>
      <c r="N183" t="s">
        <v>80</v>
      </c>
      <c r="O183">
        <f>MATCH(Combined[[#This Row],[Primary Area]],KPIs!$C$4:$C$7,0)</f>
        <v>2</v>
      </c>
      <c r="P183"/>
      <c r="Q183" s="40">
        <v>44827</v>
      </c>
      <c r="R183" s="40">
        <f t="shared" si="10"/>
        <v>44827</v>
      </c>
      <c r="S183" s="4" t="str">
        <f>TEXT(Mileage[[#This Row],[Date]],"dddd")</f>
        <v>Friday</v>
      </c>
      <c r="T183" s="4" t="s">
        <v>230</v>
      </c>
      <c r="U183" s="4">
        <v>64.599999999999994</v>
      </c>
      <c r="V183" t="str" cm="1">
        <f t="array" ref="V183">IFERROR(VLOOKUP(MODE(IF(Combined[Date]=Mileage[[#This Row],[Date]],Combined[Area '#])),KPIs!$B$4:$C$7,2,FALSE),VLOOKUP(Mileage[[#This Row],[Date]],Combined[[Date]:[Primary Area]],8,FALSE))</f>
        <v>Brunswick/Bath/Freeport</v>
      </c>
      <c r="W183" s="106">
        <v>0.73541666666666661</v>
      </c>
      <c r="X183" s="12">
        <v>2.5</v>
      </c>
      <c r="Y183" s="4">
        <v>113.8</v>
      </c>
      <c r="Z1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4" spans="2:26" x14ac:dyDescent="0.35">
      <c r="B184">
        <f t="shared" si="9"/>
        <v>182</v>
      </c>
      <c r="C184" t="s">
        <v>86</v>
      </c>
      <c r="D184" t="s">
        <v>176</v>
      </c>
      <c r="E184">
        <f>IF(WEEKNUM(Combined[[#This Row],[Date]], 1) = 53, 1, WEEKNUM(Combined[[#This Row],[Date]], 2))</f>
        <v>11</v>
      </c>
      <c r="F184" t="str">
        <f>TEXT(WEEKDAY(G184,1),"DDDD")</f>
        <v>Saturday</v>
      </c>
      <c r="G184" s="41">
        <v>44632</v>
      </c>
      <c r="H184">
        <v>7</v>
      </c>
      <c r="I184" s="1">
        <v>87.78</v>
      </c>
      <c r="J184" s="2">
        <v>0.20902777777777778</v>
      </c>
      <c r="K184" s="12">
        <f>Combined[[#This Row],[Time Spent]]*24</f>
        <v>5.0166666666666666</v>
      </c>
      <c r="L184" s="12">
        <f>MROUND(Combined[[#This Row],[Time Spent 2]],0.25)</f>
        <v>5</v>
      </c>
      <c r="M184" s="2" t="s">
        <v>91</v>
      </c>
      <c r="N184" t="s">
        <v>80</v>
      </c>
      <c r="O184">
        <f>MATCH(Combined[[#This Row],[Primary Area]],KPIs!$C$4:$C$7,0)</f>
        <v>2</v>
      </c>
      <c r="P184"/>
      <c r="Q184" s="40">
        <v>44829</v>
      </c>
      <c r="R184" s="40">
        <f t="shared" si="10"/>
        <v>44829</v>
      </c>
      <c r="S184" s="4" t="str">
        <f>TEXT(Mileage[[#This Row],[Date]],"dddd")</f>
        <v>Sunday</v>
      </c>
      <c r="T184" s="4" t="s">
        <v>236</v>
      </c>
      <c r="U184" s="4">
        <v>71.099999999999994</v>
      </c>
      <c r="V184" t="str" cm="1">
        <f t="array" ref="V184">IFERROR(VLOOKUP(MODE(IF(Combined[Date]=Mileage[[#This Row],[Date]],Combined[Area '#])),KPIs!$B$4:$C$7,2,FALSE),VLOOKUP(Mileage[[#This Row],[Date]],Combined[[Date]:[Primary Area]],8,FALSE))</f>
        <v>Brunswick/Bath/Freeport</v>
      </c>
      <c r="W184" s="106">
        <v>0.76527777777777783</v>
      </c>
      <c r="X184" s="12">
        <v>3.5999999999999996</v>
      </c>
      <c r="Y184" s="4">
        <f>75.1+13.4</f>
        <v>88.5</v>
      </c>
      <c r="Z18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5" spans="2:26" x14ac:dyDescent="0.35">
      <c r="B185">
        <f t="shared" si="9"/>
        <v>183</v>
      </c>
      <c r="C185" t="s">
        <v>83</v>
      </c>
      <c r="D185" t="s">
        <v>176</v>
      </c>
      <c r="E185">
        <f>IF(WEEKNUM(Combined[[#This Row],[Date]], 1) = 53, 1, WEEKNUM(Combined[[#This Row],[Date]], 2))</f>
        <v>11</v>
      </c>
      <c r="F185" t="str">
        <f>TEXT(WEEKDAY(G185,1),"DDDD")</f>
        <v>Saturday</v>
      </c>
      <c r="G185" s="41">
        <v>44632</v>
      </c>
      <c r="H185">
        <v>4</v>
      </c>
      <c r="I185" s="1">
        <v>57.36</v>
      </c>
      <c r="J185" s="2">
        <v>8.4027777777777771E-2</v>
      </c>
      <c r="K185" s="12">
        <f>Combined[[#This Row],[Time Spent]]*24</f>
        <v>2.0166666666666666</v>
      </c>
      <c r="L185" s="12">
        <f>MROUND(Combined[[#This Row],[Time Spent 2]],0.25)</f>
        <v>2</v>
      </c>
      <c r="M185" s="2" t="s">
        <v>90</v>
      </c>
      <c r="N185" t="s">
        <v>80</v>
      </c>
      <c r="O185">
        <f>MATCH(Combined[[#This Row],[Primary Area]],KPIs!$C$4:$C$7,0)</f>
        <v>2</v>
      </c>
      <c r="P185"/>
      <c r="Q185" s="40">
        <v>44830</v>
      </c>
      <c r="R185" s="40">
        <f t="shared" si="10"/>
        <v>44830</v>
      </c>
      <c r="S185" s="4" t="str">
        <f>TEXT(Mileage[[#This Row],[Date]],"dddd")</f>
        <v>Monday</v>
      </c>
      <c r="T185" s="4" t="s">
        <v>236</v>
      </c>
      <c r="U185" s="4">
        <v>70.5</v>
      </c>
      <c r="V185" t="str" cm="1">
        <f t="array" ref="V185">IFERROR(VLOOKUP(MODE(IF(Combined[Date]=Mileage[[#This Row],[Date]],Combined[Area '#])),KPIs!$B$4:$C$7,2,FALSE),VLOOKUP(Mileage[[#This Row],[Date]],Combined[[Date]:[Primary Area]],8,FALSE))</f>
        <v>Portland</v>
      </c>
      <c r="W185" s="106">
        <v>0.71666666666666667</v>
      </c>
      <c r="X185" s="12">
        <v>6.8</v>
      </c>
      <c r="Y185" s="4">
        <f>25.1+10.8+8.8+59.4</f>
        <v>104.1</v>
      </c>
      <c r="Z1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6" spans="2:26" x14ac:dyDescent="0.35">
      <c r="B186">
        <f t="shared" si="9"/>
        <v>184</v>
      </c>
      <c r="C186" t="s">
        <v>86</v>
      </c>
      <c r="D186" t="s">
        <v>176</v>
      </c>
      <c r="E186">
        <f>IF(WEEKNUM(Combined[[#This Row],[Date]], 1) = 53, 1, WEEKNUM(Combined[[#This Row],[Date]], 2))</f>
        <v>12</v>
      </c>
      <c r="F186" t="str">
        <f t="shared" ref="F186:F187" si="14">TEXT(WEEKDAY(G186,1),"DDDD")</f>
        <v>Monday</v>
      </c>
      <c r="G186" s="41">
        <v>44634</v>
      </c>
      <c r="H186">
        <v>10</v>
      </c>
      <c r="I186" s="1">
        <v>73.62</v>
      </c>
      <c r="J186" s="2">
        <v>0.22361111111111109</v>
      </c>
      <c r="K186" s="12">
        <f>Combined[[#This Row],[Time Spent]]*24</f>
        <v>5.3666666666666663</v>
      </c>
      <c r="L186" s="12">
        <f>MROUND(Combined[[#This Row],[Time Spent 2]],0.25)</f>
        <v>5.25</v>
      </c>
      <c r="M186" s="2" t="s">
        <v>91</v>
      </c>
      <c r="N186" t="s">
        <v>80</v>
      </c>
      <c r="O186">
        <f>MATCH(Combined[[#This Row],[Primary Area]],KPIs!$C$4:$C$7,0)</f>
        <v>2</v>
      </c>
      <c r="P186"/>
      <c r="Q186" s="40">
        <v>44831</v>
      </c>
      <c r="R186" s="40">
        <f t="shared" si="10"/>
        <v>44831</v>
      </c>
      <c r="S186" s="4" t="str">
        <f>TEXT(Mileage[[#This Row],[Date]],"dddd")</f>
        <v>Tuesday</v>
      </c>
      <c r="T186" s="4" t="s">
        <v>236</v>
      </c>
      <c r="U186" s="4">
        <v>67.7</v>
      </c>
      <c r="V186" t="str" cm="1">
        <f t="array" ref="V186">IFERROR(VLOOKUP(MODE(IF(Combined[Date]=Mileage[[#This Row],[Date]],Combined[Area '#])),KPIs!$B$4:$C$7,2,FALSE),VLOOKUP(Mileage[[#This Row],[Date]],Combined[[Date]:[Primary Area]],8,FALSE))</f>
        <v>Portland</v>
      </c>
      <c r="W186" s="106">
        <v>0.75</v>
      </c>
      <c r="X186" s="12">
        <v>4.3999999999999995</v>
      </c>
      <c r="Y186" s="4">
        <f>43.8+94.2</f>
        <v>138</v>
      </c>
      <c r="Z1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87" spans="2:26" x14ac:dyDescent="0.35">
      <c r="B187">
        <f t="shared" si="9"/>
        <v>185</v>
      </c>
      <c r="C187" t="s">
        <v>83</v>
      </c>
      <c r="D187" t="s">
        <v>176</v>
      </c>
      <c r="E187">
        <f>IF(WEEKNUM(Combined[[#This Row],[Date]], 1) = 53, 1, WEEKNUM(Combined[[#This Row],[Date]], 2))</f>
        <v>12</v>
      </c>
      <c r="F187" t="str">
        <f t="shared" si="14"/>
        <v>Monday</v>
      </c>
      <c r="G187" s="41">
        <v>44634</v>
      </c>
      <c r="H187">
        <v>1</v>
      </c>
      <c r="I187" s="1">
        <v>15.05</v>
      </c>
      <c r="J187" s="2">
        <v>9.375E-2</v>
      </c>
      <c r="K187" s="12">
        <f>Combined[[#This Row],[Time Spent]]*24</f>
        <v>2.25</v>
      </c>
      <c r="L187" s="12">
        <f>MROUND(Combined[[#This Row],[Time Spent 2]],0.25)</f>
        <v>2.25</v>
      </c>
      <c r="M187" s="2" t="s">
        <v>91</v>
      </c>
      <c r="N187" t="s">
        <v>80</v>
      </c>
      <c r="O187">
        <f>MATCH(Combined[[#This Row],[Primary Area]],KPIs!$C$4:$C$7,0)</f>
        <v>2</v>
      </c>
      <c r="P187"/>
      <c r="Q187" s="40">
        <v>44833</v>
      </c>
      <c r="R187" s="40">
        <f t="shared" si="10"/>
        <v>44833</v>
      </c>
      <c r="S187" s="4" t="str">
        <f>TEXT(Mileage[[#This Row],[Date]],"dddd")</f>
        <v>Thursday</v>
      </c>
      <c r="T187" s="4" t="s">
        <v>230</v>
      </c>
      <c r="U187" s="4">
        <v>61.1</v>
      </c>
      <c r="V187" t="str" cm="1">
        <f t="array" ref="V187">IFERROR(VLOOKUP(MODE(IF(Combined[Date]=Mileage[[#This Row],[Date]],Combined[Area '#])),KPIs!$B$4:$C$7,2,FALSE),VLOOKUP(Mileage[[#This Row],[Date]],Combined[[Date]:[Primary Area]],8,FALSE))</f>
        <v>Portland</v>
      </c>
      <c r="W187" s="106">
        <v>0.75555555555555554</v>
      </c>
      <c r="X187" s="12">
        <v>6.7</v>
      </c>
      <c r="Y187" s="4">
        <v>108.9</v>
      </c>
      <c r="Z18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88" spans="2:26" x14ac:dyDescent="0.35">
      <c r="B188">
        <f t="shared" si="9"/>
        <v>186</v>
      </c>
      <c r="C188" t="s">
        <v>83</v>
      </c>
      <c r="D188" t="s">
        <v>176</v>
      </c>
      <c r="E188">
        <f>IF(WEEKNUM(Combined[[#This Row],[Date]], 1) = 53, 1, WEEKNUM(Combined[[#This Row],[Date]], 2))</f>
        <v>12</v>
      </c>
      <c r="F188" t="str">
        <f t="shared" ref="F188:F193" si="15">TEXT(WEEKDAY(G188,1),"DDDD")</f>
        <v>Saturday</v>
      </c>
      <c r="G188" s="41">
        <v>44639</v>
      </c>
      <c r="H188">
        <v>3</v>
      </c>
      <c r="I188" s="1">
        <v>51.91</v>
      </c>
      <c r="J188" s="2">
        <v>0.14444444444444446</v>
      </c>
      <c r="K188" s="12">
        <f>Combined[[#This Row],[Time Spent]]*24</f>
        <v>3.4666666666666668</v>
      </c>
      <c r="L188" s="12">
        <f>MROUND(Combined[[#This Row],[Time Spent 2]],0.25)</f>
        <v>3.5</v>
      </c>
      <c r="M188" s="2" t="s">
        <v>91</v>
      </c>
      <c r="N188" t="s">
        <v>80</v>
      </c>
      <c r="O188">
        <f>MATCH(Combined[[#This Row],[Primary Area]],KPIs!$C$4:$C$7,0)</f>
        <v>2</v>
      </c>
      <c r="P188"/>
      <c r="Q188" s="40">
        <v>44834</v>
      </c>
      <c r="R188" s="40">
        <f t="shared" si="10"/>
        <v>44834</v>
      </c>
      <c r="S188" s="4" t="str">
        <f>TEXT(Mileage[[#This Row],[Date]],"dddd")</f>
        <v>Friday</v>
      </c>
      <c r="T188" s="4" t="s">
        <v>230</v>
      </c>
      <c r="U188" s="4">
        <v>63.1</v>
      </c>
      <c r="V188" t="str" cm="1">
        <f t="array" ref="V188">IFERROR(VLOOKUP(MODE(IF(Combined[Date]=Mileage[[#This Row],[Date]],Combined[Area '#])),KPIs!$B$4:$C$7,2,FALSE),VLOOKUP(Mileage[[#This Row],[Date]],Combined[[Date]:[Primary Area]],8,FALSE))</f>
        <v>Brunswick/Bath/Freeport</v>
      </c>
      <c r="W188" s="106">
        <v>0.72638888888888886</v>
      </c>
      <c r="X188" s="12">
        <v>5.8</v>
      </c>
      <c r="Y188" s="4">
        <v>36.5</v>
      </c>
      <c r="Z18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89" spans="2:26" x14ac:dyDescent="0.35">
      <c r="B189">
        <f t="shared" si="9"/>
        <v>187</v>
      </c>
      <c r="C189" t="s">
        <v>86</v>
      </c>
      <c r="D189" t="s">
        <v>176</v>
      </c>
      <c r="E189">
        <f>IF(WEEKNUM(Combined[[#This Row],[Date]], 1) = 53, 1, WEEKNUM(Combined[[#This Row],[Date]], 2))</f>
        <v>12</v>
      </c>
      <c r="F189" t="str">
        <f t="shared" si="15"/>
        <v>Saturday</v>
      </c>
      <c r="G189" s="41">
        <v>44639</v>
      </c>
      <c r="H189">
        <v>11</v>
      </c>
      <c r="I189" s="1">
        <v>103.52</v>
      </c>
      <c r="J189" s="2">
        <v>0.19583333333333333</v>
      </c>
      <c r="K189" s="12">
        <f>Combined[[#This Row],[Time Spent]]*24</f>
        <v>4.7</v>
      </c>
      <c r="L189" s="12">
        <f>MROUND(Combined[[#This Row],[Time Spent 2]],0.25)</f>
        <v>4.75</v>
      </c>
      <c r="M189" s="2" t="s">
        <v>90</v>
      </c>
      <c r="N189" t="s">
        <v>80</v>
      </c>
      <c r="O189">
        <f>MATCH(Combined[[#This Row],[Primary Area]],KPIs!$C$4:$C$7,0)</f>
        <v>2</v>
      </c>
      <c r="P189"/>
      <c r="Q189" s="40">
        <v>44836</v>
      </c>
      <c r="R189" s="40">
        <f t="shared" si="10"/>
        <v>44836</v>
      </c>
      <c r="S189" s="4" t="str">
        <f>TEXT(Mileage[[#This Row],[Date]],"dddd")</f>
        <v>Sunday</v>
      </c>
      <c r="T189" s="4" t="s">
        <v>230</v>
      </c>
      <c r="U189" s="4">
        <v>57.3</v>
      </c>
      <c r="V189" t="str" cm="1">
        <f t="array" ref="V189">IFERROR(VLOOKUP(MODE(IF(Combined[Date]=Mileage[[#This Row],[Date]],Combined[Area '#])),KPIs!$B$4:$C$7,2,FALSE),VLOOKUP(Mileage[[#This Row],[Date]],Combined[[Date]:[Primary Area]],8,FALSE))</f>
        <v>Brunswick/Bath/Freeport</v>
      </c>
      <c r="W189" s="106">
        <v>0.76874999999999993</v>
      </c>
      <c r="X189" s="12">
        <v>5.2</v>
      </c>
      <c r="Y189" s="4">
        <f>47.1+12.6</f>
        <v>59.7</v>
      </c>
      <c r="Z18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0" spans="2:26" x14ac:dyDescent="0.35">
      <c r="B190">
        <f t="shared" si="9"/>
        <v>188</v>
      </c>
      <c r="C190" t="s">
        <v>86</v>
      </c>
      <c r="D190" t="s">
        <v>176</v>
      </c>
      <c r="E190">
        <f>IF(WEEKNUM(Combined[[#This Row],[Date]], 1) = 53, 1, WEEKNUM(Combined[[#This Row],[Date]], 2))</f>
        <v>12</v>
      </c>
      <c r="F190" t="str">
        <f t="shared" si="15"/>
        <v>Saturday</v>
      </c>
      <c r="G190" s="41">
        <v>44639</v>
      </c>
      <c r="H190">
        <v>6</v>
      </c>
      <c r="I190" s="1">
        <v>47.5</v>
      </c>
      <c r="J190" s="2">
        <v>0.14166666666666666</v>
      </c>
      <c r="K190" s="12">
        <f>Combined[[#This Row],[Time Spent]]*24</f>
        <v>3.4</v>
      </c>
      <c r="L190" s="12">
        <f>MROUND(Combined[[#This Row],[Time Spent 2]],0.25)</f>
        <v>3.5</v>
      </c>
      <c r="M190" s="2" t="s">
        <v>91</v>
      </c>
      <c r="N190" t="s">
        <v>80</v>
      </c>
      <c r="O190">
        <f>MATCH(Combined[[#This Row],[Primary Area]],KPIs!$C$4:$C$7,0)</f>
        <v>2</v>
      </c>
      <c r="P190"/>
      <c r="Q190" s="40">
        <v>44837</v>
      </c>
      <c r="R190" s="40">
        <f t="shared" si="10"/>
        <v>44837</v>
      </c>
      <c r="S190" s="4" t="str">
        <f>TEXT(Mileage[[#This Row],[Date]],"dddd")</f>
        <v>Monday</v>
      </c>
      <c r="T190" s="4" t="s">
        <v>230</v>
      </c>
      <c r="U190" s="4">
        <v>62.6</v>
      </c>
      <c r="V190" t="str" cm="1">
        <f t="array" ref="V190">IFERROR(VLOOKUP(MODE(IF(Combined[Date]=Mileage[[#This Row],[Date]],Combined[Area '#])),KPIs!$B$4:$C$7,2,FALSE),VLOOKUP(Mileage[[#This Row],[Date]],Combined[[Date]:[Primary Area]],8,FALSE))</f>
        <v>Lewiston</v>
      </c>
      <c r="W190" s="106">
        <v>0.74652777777777779</v>
      </c>
      <c r="X190" s="12">
        <v>2.2999999999999998</v>
      </c>
      <c r="Y190" s="4">
        <v>87.3</v>
      </c>
      <c r="Z1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1" spans="2:26" x14ac:dyDescent="0.35">
      <c r="B191">
        <f t="shared" si="9"/>
        <v>189</v>
      </c>
      <c r="C191" t="s">
        <v>86</v>
      </c>
      <c r="D191" t="s">
        <v>176</v>
      </c>
      <c r="E191">
        <f>IF(WEEKNUM(Combined[[#This Row],[Date]], 1) = 53, 1, WEEKNUM(Combined[[#This Row],[Date]], 2))</f>
        <v>12</v>
      </c>
      <c r="F191" t="str">
        <f t="shared" si="15"/>
        <v>Saturday</v>
      </c>
      <c r="G191" s="41">
        <v>44639</v>
      </c>
      <c r="H191">
        <v>3</v>
      </c>
      <c r="I191" s="1">
        <v>19.5</v>
      </c>
      <c r="J191" s="2">
        <v>5.2083333333333336E-2</v>
      </c>
      <c r="K191" s="12">
        <f>Combined[[#This Row],[Time Spent]]*24</f>
        <v>1.25</v>
      </c>
      <c r="L191" s="12">
        <f>MROUND(Combined[[#This Row],[Time Spent 2]],0.25)</f>
        <v>1.25</v>
      </c>
      <c r="M191" s="2" t="s">
        <v>92</v>
      </c>
      <c r="N191" t="s">
        <v>82</v>
      </c>
      <c r="O191">
        <f>MATCH(Combined[[#This Row],[Primary Area]],KPIs!$C$4:$C$7,0)</f>
        <v>3</v>
      </c>
      <c r="P191"/>
      <c r="Q191" s="40">
        <v>44839</v>
      </c>
      <c r="R191" s="40">
        <f t="shared" si="10"/>
        <v>44839</v>
      </c>
      <c r="S191" s="4" t="str">
        <f>TEXT(Mileage[[#This Row],[Date]],"dddd")</f>
        <v>Wednesday</v>
      </c>
      <c r="T191" s="4" t="s">
        <v>236</v>
      </c>
      <c r="U191" s="4">
        <v>73.099999999999994</v>
      </c>
      <c r="V191" t="str" cm="1">
        <f t="array" ref="V191">IFERROR(VLOOKUP(MODE(IF(Combined[Date]=Mileage[[#This Row],[Date]],Combined[Area '#])),KPIs!$B$4:$C$7,2,FALSE),VLOOKUP(Mileage[[#This Row],[Date]],Combined[[Date]:[Primary Area]],8,FALSE))</f>
        <v>Portland</v>
      </c>
      <c r="W191" s="106">
        <v>0.72569444444444453</v>
      </c>
      <c r="X191" s="12">
        <v>7.6</v>
      </c>
      <c r="Y191" s="4">
        <f>57+86.2</f>
        <v>143.19999999999999</v>
      </c>
      <c r="Z19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92" spans="2:26" x14ac:dyDescent="0.35">
      <c r="B192">
        <f t="shared" si="9"/>
        <v>190</v>
      </c>
      <c r="C192" t="s">
        <v>83</v>
      </c>
      <c r="D192" t="s">
        <v>176</v>
      </c>
      <c r="E192">
        <f>IF(WEEKNUM(Combined[[#This Row],[Date]], 1) = 53, 1, WEEKNUM(Combined[[#This Row],[Date]], 2))</f>
        <v>12</v>
      </c>
      <c r="F192" t="str">
        <f t="shared" si="15"/>
        <v>Sunday</v>
      </c>
      <c r="G192" s="41">
        <v>44640</v>
      </c>
      <c r="H192">
        <v>11</v>
      </c>
      <c r="I192" s="1">
        <v>96.81</v>
      </c>
      <c r="J192" s="2">
        <v>0.19375000000000001</v>
      </c>
      <c r="K192" s="12">
        <f>Combined[[#This Row],[Time Spent]]*24</f>
        <v>4.6500000000000004</v>
      </c>
      <c r="L192" s="12">
        <f>MROUND(Combined[[#This Row],[Time Spent 2]],0.25)</f>
        <v>4.75</v>
      </c>
      <c r="M192" s="2" t="s">
        <v>91</v>
      </c>
      <c r="N192" t="s">
        <v>80</v>
      </c>
      <c r="O192">
        <f>MATCH(Combined[[#This Row],[Primary Area]],KPIs!$C$4:$C$7,0)</f>
        <v>2</v>
      </c>
      <c r="P192"/>
      <c r="Q192" s="40">
        <v>44840</v>
      </c>
      <c r="R192" s="40">
        <f t="shared" si="10"/>
        <v>44840</v>
      </c>
      <c r="S192" s="4" t="str">
        <f>TEXT(Mileage[[#This Row],[Date]],"dddd")</f>
        <v>Thursday</v>
      </c>
      <c r="T192" s="4" t="s">
        <v>236</v>
      </c>
      <c r="U192" s="4">
        <v>69.5</v>
      </c>
      <c r="V192" t="str" cm="1">
        <f t="array" ref="V192">IFERROR(VLOOKUP(MODE(IF(Combined[Date]=Mileage[[#This Row],[Date]],Combined[Area '#])),KPIs!$B$4:$C$7,2,FALSE),VLOOKUP(Mileage[[#This Row],[Date]],Combined[[Date]:[Primary Area]],8,FALSE))</f>
        <v>Brunswick/Bath/Freeport</v>
      </c>
      <c r="W192" s="106">
        <v>0.75</v>
      </c>
      <c r="X192" s="12">
        <v>6.2</v>
      </c>
      <c r="Y192" s="4">
        <f>109.3+16.1</f>
        <v>125.4</v>
      </c>
      <c r="Z19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93" spans="2:26" x14ac:dyDescent="0.35">
      <c r="B193">
        <f t="shared" si="9"/>
        <v>191</v>
      </c>
      <c r="C193" t="s">
        <v>86</v>
      </c>
      <c r="D193" t="s">
        <v>176</v>
      </c>
      <c r="E193">
        <f>IF(WEEKNUM(Combined[[#This Row],[Date]], 1) = 53, 1, WEEKNUM(Combined[[#This Row],[Date]], 2))</f>
        <v>12</v>
      </c>
      <c r="F193" t="str">
        <f t="shared" si="15"/>
        <v>Sunday</v>
      </c>
      <c r="G193" s="41">
        <v>44640</v>
      </c>
      <c r="H193">
        <v>2</v>
      </c>
      <c r="I193" s="1">
        <v>13.89</v>
      </c>
      <c r="J193" s="2">
        <v>5.2777777777777778E-2</v>
      </c>
      <c r="K193" s="12">
        <f>Combined[[#This Row],[Time Spent]]*24</f>
        <v>1.2666666666666666</v>
      </c>
      <c r="L193" s="12">
        <f>MROUND(Combined[[#This Row],[Time Spent 2]],0.25)</f>
        <v>1.25</v>
      </c>
      <c r="M193" s="2" t="s">
        <v>91</v>
      </c>
      <c r="N193" t="s">
        <v>80</v>
      </c>
      <c r="O193">
        <f>MATCH(Combined[[#This Row],[Primary Area]],KPIs!$C$4:$C$7,0)</f>
        <v>2</v>
      </c>
      <c r="P193"/>
      <c r="Q193" s="40">
        <v>44841</v>
      </c>
      <c r="R193" s="40">
        <f t="shared" si="10"/>
        <v>44841</v>
      </c>
      <c r="S193" s="4" t="str">
        <f>TEXT(Mileage[[#This Row],[Date]],"dddd")</f>
        <v>Friday</v>
      </c>
      <c r="T193" s="4" t="s">
        <v>230</v>
      </c>
      <c r="U193" s="4">
        <v>57.2</v>
      </c>
      <c r="V193" t="str" cm="1">
        <f t="array" ref="V193">IFERROR(VLOOKUP(MODE(IF(Combined[Date]=Mileage[[#This Row],[Date]],Combined[Area '#])),KPIs!$B$4:$C$7,2,FALSE),VLOOKUP(Mileage[[#This Row],[Date]],Combined[[Date]:[Primary Area]],8,FALSE))</f>
        <v>Brunswick/Bath/Freeport</v>
      </c>
      <c r="W193" s="106">
        <v>0.46527777777777773</v>
      </c>
      <c r="X193" s="12">
        <v>7.6</v>
      </c>
      <c r="Y193" s="4">
        <f>111.5+31.1+23.1+5</f>
        <v>170.7</v>
      </c>
      <c r="Z19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94" spans="2:26" x14ac:dyDescent="0.35">
      <c r="B194">
        <f t="shared" si="9"/>
        <v>192</v>
      </c>
      <c r="C194" t="s">
        <v>86</v>
      </c>
      <c r="D194" t="s">
        <v>176</v>
      </c>
      <c r="E194">
        <f>IF(WEEKNUM(Combined[[#This Row],[Date]], 1) = 53, 1, WEEKNUM(Combined[[#This Row],[Date]], 2))</f>
        <v>13</v>
      </c>
      <c r="F194" t="str">
        <f>TEXT(WEEKDAY(G194,1),"DDDD")</f>
        <v>Thursday</v>
      </c>
      <c r="G194" s="41">
        <v>44644</v>
      </c>
      <c r="H194">
        <v>2</v>
      </c>
      <c r="I194" s="1">
        <v>26.25</v>
      </c>
      <c r="J194" s="2">
        <v>4.9305555555555554E-2</v>
      </c>
      <c r="K194" s="12">
        <f>Combined[[#This Row],[Time Spent]]*24</f>
        <v>1.1833333333333333</v>
      </c>
      <c r="L194" s="12">
        <f>MROUND(Combined[[#This Row],[Time Spent 2]],0.25)</f>
        <v>1.25</v>
      </c>
      <c r="M194" s="2" t="s">
        <v>91</v>
      </c>
      <c r="N194" t="s">
        <v>80</v>
      </c>
      <c r="O194">
        <f>MATCH(Combined[[#This Row],[Primary Area]],KPIs!$C$4:$C$7,0)</f>
        <v>2</v>
      </c>
      <c r="P194"/>
      <c r="Q194" s="40">
        <v>44842</v>
      </c>
      <c r="R194" s="40">
        <f t="shared" si="10"/>
        <v>44842</v>
      </c>
      <c r="S194" s="4" t="str">
        <f>TEXT(Mileage[[#This Row],[Date]],"dddd")</f>
        <v>Saturday</v>
      </c>
      <c r="T194" s="4" t="s">
        <v>236</v>
      </c>
      <c r="U194" s="4">
        <v>57.2</v>
      </c>
      <c r="V194" t="str" cm="1">
        <f t="array" ref="V194">IFERROR(VLOOKUP(MODE(IF(Combined[Date]=Mileage[[#This Row],[Date]],Combined[Area '#])),KPIs!$B$4:$C$7,2,FALSE),VLOOKUP(Mileage[[#This Row],[Date]],Combined[[Date]:[Primary Area]],8,FALSE))</f>
        <v>Lewiston</v>
      </c>
      <c r="W194" s="106">
        <v>0.59375</v>
      </c>
      <c r="X194" s="12">
        <v>5.9</v>
      </c>
      <c r="Y194" s="4">
        <f>44.4+123.5</f>
        <v>167.9</v>
      </c>
      <c r="Z1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5" spans="2:26" x14ac:dyDescent="0.35">
      <c r="B195">
        <f t="shared" ref="B195:B258" si="16">ROW()-2</f>
        <v>193</v>
      </c>
      <c r="C195" t="s">
        <v>83</v>
      </c>
      <c r="D195" t="s">
        <v>176</v>
      </c>
      <c r="E195">
        <f>IF(WEEKNUM(Combined[[#This Row],[Date]], 1) = 53, 1, WEEKNUM(Combined[[#This Row],[Date]], 2))</f>
        <v>13</v>
      </c>
      <c r="F195" t="str">
        <f>TEXT(WEEKDAY(G195,1),"DDDD")</f>
        <v>Friday</v>
      </c>
      <c r="G195" s="41">
        <v>44645</v>
      </c>
      <c r="H195">
        <v>3</v>
      </c>
      <c r="I195" s="1">
        <v>19.649999999999999</v>
      </c>
      <c r="J195" s="2">
        <v>6.8749999999999992E-2</v>
      </c>
      <c r="K195" s="12">
        <f>Combined[[#This Row],[Time Spent]]*24</f>
        <v>1.65</v>
      </c>
      <c r="L195" s="12">
        <f>MROUND(Combined[[#This Row],[Time Spent 2]],0.25)</f>
        <v>1.75</v>
      </c>
      <c r="M195" s="2" t="s">
        <v>92</v>
      </c>
      <c r="N195" t="s">
        <v>85</v>
      </c>
      <c r="O195">
        <f>MATCH(Combined[[#This Row],[Primary Area]],KPIs!$C$4:$C$7,0)</f>
        <v>4</v>
      </c>
      <c r="P195"/>
      <c r="Q195" s="40">
        <v>44845</v>
      </c>
      <c r="R195" s="40">
        <f t="shared" ref="R195:R258" si="17">Q195</f>
        <v>44845</v>
      </c>
      <c r="S195" s="4" t="str">
        <f>TEXT(Mileage[[#This Row],[Date]],"dddd")</f>
        <v>Tuesday</v>
      </c>
      <c r="T195" s="4" t="s">
        <v>236</v>
      </c>
      <c r="U195" s="4">
        <v>69.5</v>
      </c>
      <c r="V195" t="str" cm="1">
        <f t="array" ref="V195">IFERROR(VLOOKUP(MODE(IF(Combined[Date]=Mileage[[#This Row],[Date]],Combined[Area '#])),KPIs!$B$4:$C$7,2,FALSE),VLOOKUP(Mileage[[#This Row],[Date]],Combined[[Date]:[Primary Area]],8,FALSE))</f>
        <v>Lewiston</v>
      </c>
      <c r="W195" s="106">
        <v>0.57291666666666663</v>
      </c>
      <c r="X195" s="12">
        <v>10.099999999999998</v>
      </c>
      <c r="Y195" s="4">
        <v>70.3</v>
      </c>
      <c r="Z1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6" spans="2:26" x14ac:dyDescent="0.35">
      <c r="B196">
        <f t="shared" si="16"/>
        <v>194</v>
      </c>
      <c r="C196" t="s">
        <v>86</v>
      </c>
      <c r="D196" t="s">
        <v>176</v>
      </c>
      <c r="E196">
        <f>IF(WEEKNUM(Combined[[#This Row],[Date]], 1) = 53, 1, WEEKNUM(Combined[[#This Row],[Date]], 2))</f>
        <v>13</v>
      </c>
      <c r="F196" t="str">
        <f>TEXT(WEEKDAY(G196,1),"DDDD")</f>
        <v>Friday</v>
      </c>
      <c r="G196" s="41">
        <v>44645</v>
      </c>
      <c r="H196">
        <v>12</v>
      </c>
      <c r="I196" s="1">
        <v>82.92</v>
      </c>
      <c r="J196" s="2">
        <v>0.19791666666666666</v>
      </c>
      <c r="K196" s="12">
        <f>Combined[[#This Row],[Time Spent]]*24</f>
        <v>4.75</v>
      </c>
      <c r="L196" s="12">
        <f>MROUND(Combined[[#This Row],[Time Spent 2]],0.25)</f>
        <v>4.75</v>
      </c>
      <c r="M196" s="2" t="s">
        <v>92</v>
      </c>
      <c r="N196" t="s">
        <v>85</v>
      </c>
      <c r="O196">
        <f>MATCH(Combined[[#This Row],[Primary Area]],KPIs!$C$4:$C$7,0)</f>
        <v>4</v>
      </c>
      <c r="P196"/>
      <c r="Q196" s="40">
        <v>44846</v>
      </c>
      <c r="R196" s="40">
        <f t="shared" si="17"/>
        <v>44846</v>
      </c>
      <c r="S196" s="4" t="str">
        <f>TEXT(Mileage[[#This Row],[Date]],"dddd")</f>
        <v>Wednesday</v>
      </c>
      <c r="T196" s="4" t="s">
        <v>236</v>
      </c>
      <c r="U196" s="4">
        <v>62.6</v>
      </c>
      <c r="V196" t="str" cm="1">
        <f t="array" ref="V196">IFERROR(VLOOKUP(MODE(IF(Combined[Date]=Mileage[[#This Row],[Date]],Combined[Area '#])),KPIs!$B$4:$C$7,2,FALSE),VLOOKUP(Mileage[[#This Row],[Date]],Combined[[Date]:[Primary Area]],8,FALSE))</f>
        <v>Brunswick/Bath/Freeport</v>
      </c>
      <c r="W196" s="106">
        <v>0.72916666666666663</v>
      </c>
      <c r="X196" s="12">
        <v>9.6000000000000014</v>
      </c>
      <c r="Y196" s="4">
        <f>53.8+18.6</f>
        <v>72.400000000000006</v>
      </c>
      <c r="Z1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7" spans="2:26" x14ac:dyDescent="0.35">
      <c r="B197">
        <f t="shared" si="16"/>
        <v>195</v>
      </c>
      <c r="C197" t="s">
        <v>83</v>
      </c>
      <c r="D197" t="s">
        <v>176</v>
      </c>
      <c r="E197">
        <f>IF(WEEKNUM(Combined[[#This Row],[Date]], 1) = 53, 1, WEEKNUM(Combined[[#This Row],[Date]], 2))</f>
        <v>13</v>
      </c>
      <c r="F197" t="str">
        <f>TEXT(WEEKDAY(G197,1),"DDDD")</f>
        <v>Saturday</v>
      </c>
      <c r="G197" s="41">
        <v>44646</v>
      </c>
      <c r="H197">
        <v>4</v>
      </c>
      <c r="I197" s="1">
        <v>84.47</v>
      </c>
      <c r="J197" s="2">
        <v>0.11527777777777777</v>
      </c>
      <c r="K197" s="12">
        <f>Combined[[#This Row],[Time Spent]]*24</f>
        <v>2.7666666666666666</v>
      </c>
      <c r="L197" s="12">
        <f>MROUND(Combined[[#This Row],[Time Spent 2]],0.25)</f>
        <v>2.75</v>
      </c>
      <c r="M197" s="2" t="s">
        <v>91</v>
      </c>
      <c r="N197" t="s">
        <v>80</v>
      </c>
      <c r="O197">
        <f>MATCH(Combined[[#This Row],[Primary Area]],KPIs!$C$4:$C$7,0)</f>
        <v>2</v>
      </c>
      <c r="P197"/>
      <c r="Q197" s="40">
        <v>44848</v>
      </c>
      <c r="R197" s="40">
        <f t="shared" si="17"/>
        <v>44848</v>
      </c>
      <c r="S197" s="4" t="str">
        <f>TEXT(Mileage[[#This Row],[Date]],"dddd")</f>
        <v>Friday</v>
      </c>
      <c r="T197" s="4" t="s">
        <v>236</v>
      </c>
      <c r="U197" s="4">
        <v>65.7</v>
      </c>
      <c r="V197" t="str" cm="1">
        <f t="array" ref="V197">IFERROR(VLOOKUP(MODE(IF(Combined[Date]=Mileage[[#This Row],[Date]],Combined[Area '#])),KPIs!$B$4:$C$7,2,FALSE),VLOOKUP(Mileage[[#This Row],[Date]],Combined[[Date]:[Primary Area]],8,FALSE))</f>
        <v>Brunswick/Bath/Freeport</v>
      </c>
      <c r="W197" s="106">
        <v>0.72916666666666663</v>
      </c>
      <c r="X197" s="12">
        <v>6.18</v>
      </c>
      <c r="Y197" s="4">
        <f>9.5+63.8+67.1</f>
        <v>140.39999999999998</v>
      </c>
      <c r="Z1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198" spans="2:26" x14ac:dyDescent="0.35">
      <c r="B198">
        <f t="shared" si="16"/>
        <v>196</v>
      </c>
      <c r="C198" t="s">
        <v>86</v>
      </c>
      <c r="D198" t="s">
        <v>176</v>
      </c>
      <c r="E198">
        <f>IF(WEEKNUM(Combined[[#This Row],[Date]], 1) = 53, 1, WEEKNUM(Combined[[#This Row],[Date]], 2))</f>
        <v>13</v>
      </c>
      <c r="F198" t="str">
        <f>TEXT(WEEKDAY(G198,1),"DDDD")</f>
        <v>Saturday</v>
      </c>
      <c r="G198" s="41">
        <v>44646</v>
      </c>
      <c r="H198">
        <f>5</f>
        <v>5</v>
      </c>
      <c r="I198" s="1">
        <f>24.75+20.75</f>
        <v>45.5</v>
      </c>
      <c r="J198" s="2">
        <f>TIME(1,27,)+TIME(1,45,)</f>
        <v>0.13333333333333333</v>
      </c>
      <c r="K198" s="12">
        <f>Combined[[#This Row],[Time Spent]]*24</f>
        <v>3.2</v>
      </c>
      <c r="L198" s="12">
        <f>MROUND(Combined[[#This Row],[Time Spent 2]],0.25)</f>
        <v>3.25</v>
      </c>
      <c r="M198" s="2" t="s">
        <v>90</v>
      </c>
      <c r="N198" t="s">
        <v>80</v>
      </c>
      <c r="O198">
        <f>MATCH(Combined[[#This Row],[Primary Area]],KPIs!$C$4:$C$7,0)</f>
        <v>2</v>
      </c>
      <c r="P198"/>
      <c r="Q198" s="40">
        <v>44869</v>
      </c>
      <c r="R198" s="40">
        <f t="shared" si="17"/>
        <v>44869</v>
      </c>
      <c r="S198" s="4" t="str">
        <f>TEXT(Mileage[[#This Row],[Date]],"dddd")</f>
        <v>Friday</v>
      </c>
      <c r="T198" s="4" t="s">
        <v>230</v>
      </c>
      <c r="U198" s="4">
        <v>73.400000000000006</v>
      </c>
      <c r="V198" t="str" cm="1">
        <f t="array" ref="V198">IFERROR(VLOOKUP(MODE(IF(Combined[Date]=Mileage[[#This Row],[Date]],Combined[Area '#])),KPIs!$B$4:$C$7,2,FALSE),VLOOKUP(Mileage[[#This Row],[Date]],Combined[[Date]:[Primary Area]],8,FALSE))</f>
        <v>Brunswick/Bath/Freeport</v>
      </c>
      <c r="W198" s="106">
        <v>0.75</v>
      </c>
      <c r="X198" s="12">
        <v>5.5</v>
      </c>
      <c r="Y198" s="4">
        <v>144</v>
      </c>
      <c r="Z1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199" spans="2:26" x14ac:dyDescent="0.35">
      <c r="B199">
        <f t="shared" si="16"/>
        <v>197</v>
      </c>
      <c r="C199" t="s">
        <v>86</v>
      </c>
      <c r="D199" t="s">
        <v>176</v>
      </c>
      <c r="E199">
        <f>IF(WEEKNUM(Combined[[#This Row],[Date]], 1) = 53, 1, WEEKNUM(Combined[[#This Row],[Date]], 2))</f>
        <v>14</v>
      </c>
      <c r="F199" t="str">
        <f t="shared" ref="F199:F200" si="18">TEXT(WEEKDAY(G199,1),"DDDD")</f>
        <v>Tuesday</v>
      </c>
      <c r="G199" s="41">
        <v>44649</v>
      </c>
      <c r="H199">
        <v>1</v>
      </c>
      <c r="I199" s="1">
        <v>15.75</v>
      </c>
      <c r="J199" s="2">
        <v>9.375E-2</v>
      </c>
      <c r="K199" s="12">
        <f>Combined[[#This Row],[Time Spent]]*24</f>
        <v>2.25</v>
      </c>
      <c r="L199" s="12">
        <f>MROUND(Combined[[#This Row],[Time Spent 2]],0.25)</f>
        <v>2.25</v>
      </c>
      <c r="M199" s="2" t="s">
        <v>91</v>
      </c>
      <c r="N199" t="s">
        <v>80</v>
      </c>
      <c r="O199">
        <f>MATCH(Combined[[#This Row],[Primary Area]],KPIs!$C$4:$C$7,0)</f>
        <v>2</v>
      </c>
      <c r="P199"/>
      <c r="Q199" s="40">
        <v>44872</v>
      </c>
      <c r="R199" s="40">
        <f t="shared" si="17"/>
        <v>44872</v>
      </c>
      <c r="S199" s="4" t="str">
        <f>TEXT(Mileage[[#This Row],[Date]],"dddd")</f>
        <v>Monday</v>
      </c>
      <c r="T199" s="4" t="s">
        <v>230</v>
      </c>
      <c r="U199" s="4">
        <v>44.9</v>
      </c>
      <c r="V199" t="str" cm="1">
        <f t="array" ref="V199">IFERROR(VLOOKUP(MODE(IF(Combined[Date]=Mileage[[#This Row],[Date]],Combined[Area '#])),KPIs!$B$4:$C$7,2,FALSE),VLOOKUP(Mileage[[#This Row],[Date]],Combined[[Date]:[Primary Area]],8,FALSE))</f>
        <v>Portland</v>
      </c>
      <c r="W199" s="106">
        <v>0.71527777777777779</v>
      </c>
      <c r="X199" s="12">
        <v>6.1999999999999993</v>
      </c>
      <c r="Y199" s="4">
        <f>86.1+26</f>
        <v>112.1</v>
      </c>
      <c r="Z19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0" spans="2:26" x14ac:dyDescent="0.35">
      <c r="B200">
        <f t="shared" si="16"/>
        <v>198</v>
      </c>
      <c r="C200" t="s">
        <v>83</v>
      </c>
      <c r="D200" t="s">
        <v>176</v>
      </c>
      <c r="E200">
        <f>IF(WEEKNUM(Combined[[#This Row],[Date]], 1) = 53, 1, WEEKNUM(Combined[[#This Row],[Date]], 2))</f>
        <v>14</v>
      </c>
      <c r="F200" t="str">
        <f t="shared" si="18"/>
        <v>Tuesday</v>
      </c>
      <c r="G200" s="41">
        <v>44649</v>
      </c>
      <c r="H200">
        <v>3</v>
      </c>
      <c r="I200" s="1">
        <v>40.89</v>
      </c>
      <c r="J200" s="2">
        <v>8.0555555555555561E-2</v>
      </c>
      <c r="K200" s="12">
        <f>Combined[[#This Row],[Time Spent]]*24</f>
        <v>1.9333333333333336</v>
      </c>
      <c r="L200" s="12">
        <f>MROUND(Combined[[#This Row],[Time Spent 2]],0.25)</f>
        <v>2</v>
      </c>
      <c r="M200" s="2" t="s">
        <v>91</v>
      </c>
      <c r="N200" t="s">
        <v>80</v>
      </c>
      <c r="O200">
        <f>MATCH(Combined[[#This Row],[Primary Area]],KPIs!$C$4:$C$7,0)</f>
        <v>2</v>
      </c>
      <c r="P200"/>
      <c r="Q200" s="40">
        <v>44874</v>
      </c>
      <c r="R200" s="40">
        <f t="shared" si="17"/>
        <v>44874</v>
      </c>
      <c r="S200" s="4" t="str">
        <f>TEXT(Mileage[[#This Row],[Date]],"dddd")</f>
        <v>Wednesday</v>
      </c>
      <c r="T200" s="4" t="s">
        <v>230</v>
      </c>
      <c r="U200" s="4">
        <v>65.099999999999994</v>
      </c>
      <c r="V200" t="str" cm="1">
        <f t="array" ref="V200">IFERROR(VLOOKUP(MODE(IF(Combined[Date]=Mileage[[#This Row],[Date]],Combined[Area '#])),KPIs!$B$4:$C$7,2,FALSE),VLOOKUP(Mileage[[#This Row],[Date]],Combined[[Date]:[Primary Area]],8,FALSE))</f>
        <v>Lewiston</v>
      </c>
      <c r="W200" s="106">
        <v>0.73263888888888884</v>
      </c>
      <c r="X200" s="12">
        <v>6.2</v>
      </c>
      <c r="Y200" s="4">
        <v>26.1</v>
      </c>
      <c r="Z20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01" spans="2:26" x14ac:dyDescent="0.35">
      <c r="B201">
        <f t="shared" si="16"/>
        <v>199</v>
      </c>
      <c r="C201" t="s">
        <v>86</v>
      </c>
      <c r="D201" t="s">
        <v>176</v>
      </c>
      <c r="E201">
        <f>IF(WEEKNUM(Combined[[#This Row],[Date]], 1) = 53, 1, WEEKNUM(Combined[[#This Row],[Date]], 2))</f>
        <v>14</v>
      </c>
      <c r="F201" t="str">
        <f t="shared" ref="F201:F210" si="19">TEXT(WEEKDAY(G201,1),"DDDD")</f>
        <v>Thursday</v>
      </c>
      <c r="G201" s="41">
        <v>44651</v>
      </c>
      <c r="H201">
        <v>10</v>
      </c>
      <c r="I201" s="1">
        <v>71.25</v>
      </c>
      <c r="J201" s="2">
        <v>0.18124999999999999</v>
      </c>
      <c r="K201" s="12">
        <f>Combined[[#This Row],[Time Spent]]*24</f>
        <v>4.3499999999999996</v>
      </c>
      <c r="L201" s="12">
        <f>MROUND(Combined[[#This Row],[Time Spent 2]],0.25)</f>
        <v>4.25</v>
      </c>
      <c r="M201" s="2" t="s">
        <v>91</v>
      </c>
      <c r="N201" t="s">
        <v>80</v>
      </c>
      <c r="O201">
        <f>MATCH(Combined[[#This Row],[Primary Area]],KPIs!$C$4:$C$7,0)</f>
        <v>2</v>
      </c>
      <c r="P201"/>
      <c r="Q201" s="40">
        <v>44875</v>
      </c>
      <c r="R201" s="40">
        <f t="shared" si="17"/>
        <v>44875</v>
      </c>
      <c r="S201" s="4" t="str">
        <f>TEXT(Mileage[[#This Row],[Date]],"dddd")</f>
        <v>Thursday</v>
      </c>
      <c r="T201" s="4" t="s">
        <v>236</v>
      </c>
      <c r="U201" s="4">
        <v>68.3</v>
      </c>
      <c r="V201" t="str" cm="1">
        <f t="array" ref="V201">IFERROR(VLOOKUP(MODE(IF(Combined[Date]=Mileage[[#This Row],[Date]],Combined[Area '#])),KPIs!$B$4:$C$7,2,FALSE),VLOOKUP(Mileage[[#This Row],[Date]],Combined[[Date]:[Primary Area]],8,FALSE))</f>
        <v>Portland</v>
      </c>
      <c r="W201" s="106">
        <v>0.74652777777777779</v>
      </c>
      <c r="X201" s="12">
        <v>5.5</v>
      </c>
      <c r="Y201" s="4">
        <f>47.5+65.4</f>
        <v>112.9</v>
      </c>
      <c r="Z20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2" spans="2:26" x14ac:dyDescent="0.35">
      <c r="B202">
        <f t="shared" si="16"/>
        <v>200</v>
      </c>
      <c r="C202" t="s">
        <v>83</v>
      </c>
      <c r="D202" t="s">
        <v>176</v>
      </c>
      <c r="E202">
        <f>IF(WEEKNUM(Combined[[#This Row],[Date]], 1) = 53, 1, WEEKNUM(Combined[[#This Row],[Date]], 2))</f>
        <v>14</v>
      </c>
      <c r="F202" t="str">
        <f t="shared" si="19"/>
        <v>Saturday</v>
      </c>
      <c r="G202" s="41">
        <v>44653</v>
      </c>
      <c r="H202">
        <v>2</v>
      </c>
      <c r="I202" s="1">
        <v>32.82</v>
      </c>
      <c r="J202" s="2">
        <v>8.6111111111111124E-2</v>
      </c>
      <c r="K202" s="12">
        <f>Combined[[#This Row],[Time Spent]]*24</f>
        <v>2.0666666666666669</v>
      </c>
      <c r="L202" s="12">
        <f>MROUND(Combined[[#This Row],[Time Spent 2]],0.25)</f>
        <v>2</v>
      </c>
      <c r="M202" s="2" t="s">
        <v>90</v>
      </c>
      <c r="N202" t="s">
        <v>80</v>
      </c>
      <c r="O202">
        <f>MATCH(Combined[[#This Row],[Primary Area]],KPIs!$C$4:$C$7,0)</f>
        <v>2</v>
      </c>
      <c r="P202"/>
      <c r="Q202" s="40">
        <v>44876</v>
      </c>
      <c r="R202" s="40">
        <f t="shared" si="17"/>
        <v>44876</v>
      </c>
      <c r="S202" s="4" t="str">
        <f>TEXT(Mileage[[#This Row],[Date]],"dddd")</f>
        <v>Friday</v>
      </c>
      <c r="T202" s="4" t="s">
        <v>236</v>
      </c>
      <c r="U202" s="4">
        <v>70</v>
      </c>
      <c r="V202" t="str" cm="1">
        <f t="array" ref="V202">IFERROR(VLOOKUP(MODE(IF(Combined[Date]=Mileage[[#This Row],[Date]],Combined[Area '#])),KPIs!$B$4:$C$7,2,FALSE),VLOOKUP(Mileage[[#This Row],[Date]],Combined[[Date]:[Primary Area]],8,FALSE))</f>
        <v>Brunswick/Bath/Freeport</v>
      </c>
      <c r="W202" s="106">
        <v>0.73958333333333337</v>
      </c>
      <c r="X202" s="12">
        <v>6.43</v>
      </c>
      <c r="Y202" s="4">
        <f>31.4+90.9</f>
        <v>122.30000000000001</v>
      </c>
      <c r="Z20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3" spans="2:26" x14ac:dyDescent="0.35">
      <c r="B203">
        <f t="shared" si="16"/>
        <v>201</v>
      </c>
      <c r="C203" t="s">
        <v>86</v>
      </c>
      <c r="D203" t="s">
        <v>176</v>
      </c>
      <c r="E203">
        <f>IF(WEEKNUM(Combined[[#This Row],[Date]], 1) = 53, 1, WEEKNUM(Combined[[#This Row],[Date]], 2))</f>
        <v>14</v>
      </c>
      <c r="F203" t="str">
        <f t="shared" si="19"/>
        <v>Saturday</v>
      </c>
      <c r="G203" s="41">
        <v>44653</v>
      </c>
      <c r="H203">
        <v>5</v>
      </c>
      <c r="I203" s="1">
        <v>42.25</v>
      </c>
      <c r="J203" s="2">
        <v>0.13402777777777777</v>
      </c>
      <c r="K203" s="12">
        <f>Combined[[#This Row],[Time Spent]]*24</f>
        <v>3.2166666666666668</v>
      </c>
      <c r="L203" s="12">
        <f>MROUND(Combined[[#This Row],[Time Spent 2]],0.25)</f>
        <v>3.25</v>
      </c>
      <c r="M203" s="2" t="s">
        <v>90</v>
      </c>
      <c r="N203" t="s">
        <v>80</v>
      </c>
      <c r="O203">
        <f>MATCH(Combined[[#This Row],[Primary Area]],KPIs!$C$4:$C$7,0)</f>
        <v>2</v>
      </c>
      <c r="P203"/>
      <c r="Q203" s="40">
        <v>44882</v>
      </c>
      <c r="R203" s="40">
        <f t="shared" si="17"/>
        <v>44882</v>
      </c>
      <c r="S203" s="4" t="str">
        <f>TEXT(Mileage[[#This Row],[Date]],"dddd")</f>
        <v>Thursday</v>
      </c>
      <c r="T203" s="4" t="s">
        <v>230</v>
      </c>
      <c r="U203" s="4">
        <v>33.6</v>
      </c>
      <c r="V203" t="str" cm="1">
        <f t="array" ref="V203">IFERROR(VLOOKUP(MODE(IF(Combined[Date]=Mileage[[#This Row],[Date]],Combined[Area '#])),KPIs!$B$4:$C$7,2,FALSE),VLOOKUP(Mileage[[#This Row],[Date]],Combined[[Date]:[Primary Area]],8,FALSE))</f>
        <v>Brunswick/Bath/Freeport</v>
      </c>
      <c r="W203" s="106">
        <v>0.71527777777777779</v>
      </c>
      <c r="X203" s="12">
        <v>5.2</v>
      </c>
      <c r="Y203" s="4">
        <f>10.9+77.7</f>
        <v>88.600000000000009</v>
      </c>
      <c r="Z20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4" spans="2:26" x14ac:dyDescent="0.35">
      <c r="B204">
        <f t="shared" si="16"/>
        <v>202</v>
      </c>
      <c r="C204" t="s">
        <v>86</v>
      </c>
      <c r="D204" t="s">
        <v>176</v>
      </c>
      <c r="E204">
        <f>IF(WEEKNUM(Combined[[#This Row],[Date]], 1) = 53, 1, WEEKNUM(Combined[[#This Row],[Date]], 2))</f>
        <v>15</v>
      </c>
      <c r="F204" t="str">
        <f t="shared" si="19"/>
        <v>Saturday</v>
      </c>
      <c r="G204" s="41">
        <v>44660</v>
      </c>
      <c r="H204">
        <v>5</v>
      </c>
      <c r="I204" s="1">
        <v>45.6</v>
      </c>
      <c r="J204" s="2">
        <v>0.11944444444444445</v>
      </c>
      <c r="K204" s="12">
        <f>Combined[[#This Row],[Time Spent]]*24</f>
        <v>2.8666666666666667</v>
      </c>
      <c r="L204" s="12">
        <f>MROUND(Combined[[#This Row],[Time Spent 2]],0.25)</f>
        <v>2.75</v>
      </c>
      <c r="M204" s="2" t="s">
        <v>91</v>
      </c>
      <c r="N204" t="s">
        <v>80</v>
      </c>
      <c r="O204">
        <f>MATCH(Combined[[#This Row],[Primary Area]],KPIs!$C$4:$C$7,0)</f>
        <v>2</v>
      </c>
      <c r="P204"/>
      <c r="Q204" s="40">
        <v>44883</v>
      </c>
      <c r="R204" s="40">
        <f t="shared" si="17"/>
        <v>44883</v>
      </c>
      <c r="S204" s="4" t="str">
        <f>TEXT(Mileage[[#This Row],[Date]],"dddd")</f>
        <v>Friday</v>
      </c>
      <c r="T204" s="4" t="s">
        <v>230</v>
      </c>
      <c r="U204" s="4">
        <v>37.6</v>
      </c>
      <c r="V204" t="str" cm="1">
        <f t="array" ref="V204">IFERROR(VLOOKUP(MODE(IF(Combined[Date]=Mileage[[#This Row],[Date]],Combined[Area '#])),KPIs!$B$4:$C$7,2,FALSE),VLOOKUP(Mileage[[#This Row],[Date]],Combined[[Date]:[Primary Area]],8,FALSE))</f>
        <v>Brunswick/Bath/Freeport</v>
      </c>
      <c r="W204" s="106">
        <v>0.73958333333333337</v>
      </c>
      <c r="X204" s="12">
        <v>8.32</v>
      </c>
      <c r="Y204" s="4">
        <v>212</v>
      </c>
      <c r="Z20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5" spans="2:26" x14ac:dyDescent="0.35">
      <c r="B205">
        <f t="shared" si="16"/>
        <v>203</v>
      </c>
      <c r="C205" t="s">
        <v>86</v>
      </c>
      <c r="D205" t="s">
        <v>176</v>
      </c>
      <c r="E205">
        <f>IF(WEEKNUM(Combined[[#This Row],[Date]], 1) = 53, 1, WEEKNUM(Combined[[#This Row],[Date]], 2))</f>
        <v>15</v>
      </c>
      <c r="F205" t="str">
        <f t="shared" si="19"/>
        <v>Saturday</v>
      </c>
      <c r="G205" s="41">
        <v>44660</v>
      </c>
      <c r="H205">
        <v>1</v>
      </c>
      <c r="I205" s="1">
        <v>5.25</v>
      </c>
      <c r="J205" s="2">
        <v>2.9861111111111113E-2</v>
      </c>
      <c r="K205" s="12">
        <f>Combined[[#This Row],[Time Spent]]*24</f>
        <v>0.71666666666666667</v>
      </c>
      <c r="L205" s="12">
        <f>MROUND(Combined[[#This Row],[Time Spent 2]],0.25)</f>
        <v>0.75</v>
      </c>
      <c r="M205" s="2" t="s">
        <v>92</v>
      </c>
      <c r="N205" t="s">
        <v>80</v>
      </c>
      <c r="O205">
        <f>MATCH(Combined[[#This Row],[Primary Area]],KPIs!$C$4:$C$7,0)</f>
        <v>2</v>
      </c>
      <c r="P205"/>
      <c r="Q205" s="40">
        <v>44886</v>
      </c>
      <c r="R205" s="40">
        <f t="shared" si="17"/>
        <v>44886</v>
      </c>
      <c r="S205" s="4" t="str">
        <f>TEXT(Mileage[[#This Row],[Date]],"dddd")</f>
        <v>Monday</v>
      </c>
      <c r="T205" s="4" t="s">
        <v>230</v>
      </c>
      <c r="U205" s="4">
        <v>42.5</v>
      </c>
      <c r="V205" t="str" cm="1">
        <f t="array" ref="V205">IFERROR(VLOOKUP(MODE(IF(Combined[Date]=Mileage[[#This Row],[Date]],Combined[Area '#])),KPIs!$B$4:$C$7,2,FALSE),VLOOKUP(Mileage[[#This Row],[Date]],Combined[[Date]:[Primary Area]],8,FALSE))</f>
        <v>Portland</v>
      </c>
      <c r="W205" s="106">
        <v>0.72569444444444453</v>
      </c>
      <c r="X205" s="12">
        <v>7.6</v>
      </c>
      <c r="Y205" s="4">
        <f>12.1+124.8</f>
        <v>136.9</v>
      </c>
      <c r="Z20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6" spans="2:26" x14ac:dyDescent="0.35">
      <c r="B206">
        <f t="shared" si="16"/>
        <v>204</v>
      </c>
      <c r="C206" t="s">
        <v>83</v>
      </c>
      <c r="D206" t="s">
        <v>176</v>
      </c>
      <c r="E206">
        <f>IF(WEEKNUM(Combined[[#This Row],[Date]], 1) = 53, 1, WEEKNUM(Combined[[#This Row],[Date]], 2))</f>
        <v>15</v>
      </c>
      <c r="F206" t="str">
        <f t="shared" si="19"/>
        <v>Saturday</v>
      </c>
      <c r="G206" s="41">
        <v>44660</v>
      </c>
      <c r="H206">
        <v>2</v>
      </c>
      <c r="I206" s="1">
        <v>19.47</v>
      </c>
      <c r="J206" s="2">
        <v>7.5694444444444439E-2</v>
      </c>
      <c r="K206" s="12">
        <f>Combined[[#This Row],[Time Spent]]*24</f>
        <v>1.8166666666666664</v>
      </c>
      <c r="L206" s="12">
        <f>MROUND(Combined[[#This Row],[Time Spent 2]],0.25)</f>
        <v>1.75</v>
      </c>
      <c r="M206" s="2" t="s">
        <v>91</v>
      </c>
      <c r="N206" t="s">
        <v>80</v>
      </c>
      <c r="O206">
        <f>MATCH(Combined[[#This Row],[Primary Area]],KPIs!$C$4:$C$7,0)</f>
        <v>2</v>
      </c>
      <c r="P206"/>
      <c r="Q206" s="40">
        <v>44888</v>
      </c>
      <c r="R206" s="40">
        <f t="shared" si="17"/>
        <v>44888</v>
      </c>
      <c r="S206" s="4" t="str">
        <f>TEXT(Mileage[[#This Row],[Date]],"dddd")</f>
        <v>Wednesday</v>
      </c>
      <c r="T206" s="4" t="s">
        <v>230</v>
      </c>
      <c r="U206" s="4">
        <v>34.799999999999997</v>
      </c>
      <c r="V206" t="str" cm="1">
        <f t="array" ref="V206">IFERROR(VLOOKUP(MODE(IF(Combined[Date]=Mileage[[#This Row],[Date]],Combined[Area '#])),KPIs!$B$4:$C$7,2,FALSE),VLOOKUP(Mileage[[#This Row],[Date]],Combined[[Date]:[Primary Area]],8,FALSE))</f>
        <v>Brunswick/Bath/Freeport</v>
      </c>
      <c r="W206" s="106">
        <v>0.75347222222222221</v>
      </c>
      <c r="X206" s="12">
        <v>5.2</v>
      </c>
      <c r="Y206" s="4">
        <f>69+40.2</f>
        <v>109.2</v>
      </c>
      <c r="Z20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7" spans="2:26" x14ac:dyDescent="0.35">
      <c r="B207">
        <f t="shared" si="16"/>
        <v>205</v>
      </c>
      <c r="C207" t="s">
        <v>86</v>
      </c>
      <c r="D207" t="s">
        <v>176</v>
      </c>
      <c r="E207">
        <f>IF(WEEKNUM(Combined[[#This Row],[Date]], 1) = 53, 1, WEEKNUM(Combined[[#This Row],[Date]], 2))</f>
        <v>17</v>
      </c>
      <c r="F207" t="str">
        <f t="shared" si="19"/>
        <v>Friday</v>
      </c>
      <c r="G207" s="41">
        <v>44673</v>
      </c>
      <c r="H207">
        <v>1</v>
      </c>
      <c r="I207" s="1">
        <v>7</v>
      </c>
      <c r="J207" s="2">
        <v>3.888888888888889E-2</v>
      </c>
      <c r="K207" s="12">
        <f>Combined[[#This Row],[Time Spent]]*24</f>
        <v>0.93333333333333335</v>
      </c>
      <c r="L207" s="12">
        <f>MROUND(Combined[[#This Row],[Time Spent 2]],0.25)</f>
        <v>1</v>
      </c>
      <c r="M207" s="2" t="s">
        <v>91</v>
      </c>
      <c r="N207" t="s">
        <v>85</v>
      </c>
      <c r="O207">
        <f>MATCH(Combined[[#This Row],[Primary Area]],KPIs!$C$4:$C$7,0)</f>
        <v>4</v>
      </c>
      <c r="P207"/>
      <c r="Q207" s="40">
        <v>44890</v>
      </c>
      <c r="R207" s="40">
        <f t="shared" si="17"/>
        <v>44890</v>
      </c>
      <c r="S207" s="4" t="str">
        <f>TEXT(Mileage[[#This Row],[Date]],"dddd")</f>
        <v>Friday</v>
      </c>
      <c r="T207" s="4" t="s">
        <v>249</v>
      </c>
      <c r="U207" s="4">
        <v>45.2</v>
      </c>
      <c r="V207" t="str" cm="1">
        <f t="array" ref="V207">IFERROR(VLOOKUP(MODE(IF(Combined[Date]=Mileage[[#This Row],[Date]],Combined[Area '#])),KPIs!$B$4:$C$7,2,FALSE),VLOOKUP(Mileage[[#This Row],[Date]],Combined[[Date]:[Primary Area]],8,FALSE))</f>
        <v>Brunswick/Bath/Freeport</v>
      </c>
      <c r="W207" s="106">
        <v>0.76736111111111116</v>
      </c>
      <c r="X207" s="12">
        <v>5.8999999999999995</v>
      </c>
      <c r="Y207" s="4">
        <v>78.900000000000006</v>
      </c>
      <c r="Z20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08" spans="2:26" x14ac:dyDescent="0.35">
      <c r="B208">
        <f t="shared" si="16"/>
        <v>206</v>
      </c>
      <c r="C208" t="s">
        <v>86</v>
      </c>
      <c r="D208" t="s">
        <v>176</v>
      </c>
      <c r="E208">
        <f>IF(WEEKNUM(Combined[[#This Row],[Date]], 1) = 53, 1, WEEKNUM(Combined[[#This Row],[Date]], 2))</f>
        <v>17</v>
      </c>
      <c r="F208" t="str">
        <f t="shared" si="19"/>
        <v>Friday</v>
      </c>
      <c r="G208" s="41">
        <v>44673</v>
      </c>
      <c r="H208">
        <v>3</v>
      </c>
      <c r="I208" s="1">
        <v>34.75</v>
      </c>
      <c r="J208" s="2">
        <v>5.6944444444444443E-2</v>
      </c>
      <c r="K208" s="12">
        <f>Combined[[#This Row],[Time Spent]]*24</f>
        <v>1.3666666666666667</v>
      </c>
      <c r="L208" s="12">
        <f>MROUND(Combined[[#This Row],[Time Spent 2]],0.25)</f>
        <v>1.25</v>
      </c>
      <c r="M208" s="2" t="s">
        <v>91</v>
      </c>
      <c r="N208" t="s">
        <v>85</v>
      </c>
      <c r="O208">
        <f>MATCH(Combined[[#This Row],[Primary Area]],KPIs!$C$4:$C$7,0)</f>
        <v>4</v>
      </c>
      <c r="P208"/>
      <c r="Q208" s="40">
        <v>44891</v>
      </c>
      <c r="R208" s="40">
        <f t="shared" si="17"/>
        <v>44891</v>
      </c>
      <c r="S208" s="4" t="str">
        <f>TEXT(Mileage[[#This Row],[Date]],"dddd")</f>
        <v>Saturday</v>
      </c>
      <c r="T208" s="4" t="s">
        <v>236</v>
      </c>
      <c r="U208" s="4">
        <v>53.7</v>
      </c>
      <c r="V208" t="str" cm="1">
        <f t="array" ref="V208">IFERROR(VLOOKUP(MODE(IF(Combined[Date]=Mileage[[#This Row],[Date]],Combined[Area '#])),KPIs!$B$4:$C$7,2,FALSE),VLOOKUP(Mileage[[#This Row],[Date]],Combined[[Date]:[Primary Area]],8,FALSE))</f>
        <v>Augusta</v>
      </c>
      <c r="W208" s="106">
        <v>0.6875</v>
      </c>
      <c r="X208" s="12">
        <v>5.1999999999999993</v>
      </c>
      <c r="Y208" s="4">
        <f>111.8+7.6+63.3</f>
        <v>182.7</v>
      </c>
      <c r="Z2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09" spans="2:26" x14ac:dyDescent="0.35">
      <c r="B209">
        <f t="shared" si="16"/>
        <v>207</v>
      </c>
      <c r="C209" t="s">
        <v>86</v>
      </c>
      <c r="D209" t="s">
        <v>176</v>
      </c>
      <c r="E209">
        <f>IF(WEEKNUM(Combined[[#This Row],[Date]], 1) = 53, 1, WEEKNUM(Combined[[#This Row],[Date]], 2))</f>
        <v>17</v>
      </c>
      <c r="F209" t="str">
        <f t="shared" si="19"/>
        <v>Friday</v>
      </c>
      <c r="G209" s="41">
        <v>44673</v>
      </c>
      <c r="H209">
        <v>7</v>
      </c>
      <c r="I209" s="1">
        <v>47.75</v>
      </c>
      <c r="J209" s="2">
        <v>0.1451388888888889</v>
      </c>
      <c r="K209" s="12">
        <f>Combined[[#This Row],[Time Spent]]*24</f>
        <v>3.4833333333333334</v>
      </c>
      <c r="L209" s="12">
        <f>MROUND(Combined[[#This Row],[Time Spent 2]],0.25)</f>
        <v>3.5</v>
      </c>
      <c r="M209" s="2" t="s">
        <v>92</v>
      </c>
      <c r="N209" t="s">
        <v>85</v>
      </c>
      <c r="O209">
        <f>MATCH(Combined[[#This Row],[Primary Area]],KPIs!$C$4:$C$7,0)</f>
        <v>4</v>
      </c>
      <c r="P209"/>
      <c r="Q209" s="40">
        <v>44892</v>
      </c>
      <c r="R209" s="40">
        <f t="shared" si="17"/>
        <v>44892</v>
      </c>
      <c r="S209" s="4" t="str">
        <f>TEXT(Mileage[[#This Row],[Date]],"dddd")</f>
        <v>Sunday</v>
      </c>
      <c r="T209" s="4" t="s">
        <v>236</v>
      </c>
      <c r="U209" s="4">
        <v>40.9</v>
      </c>
      <c r="V209" t="str" cm="1">
        <f t="array" ref="V209">IFERROR(VLOOKUP(MODE(IF(Combined[Date]=Mileage[[#This Row],[Date]],Combined[Area '#])),KPIs!$B$4:$C$7,2,FALSE),VLOOKUP(Mileage[[#This Row],[Date]],Combined[[Date]:[Primary Area]],8,FALSE))</f>
        <v>Brunswick/Bath/Freeport</v>
      </c>
      <c r="W209" s="106">
        <v>0.72569444444444453</v>
      </c>
      <c r="X209" s="12">
        <v>4.5999999999999996</v>
      </c>
      <c r="Y209" s="4">
        <f>22.8+87.8+12.6</f>
        <v>123.19999999999999</v>
      </c>
      <c r="Z2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10" spans="2:26" x14ac:dyDescent="0.35">
      <c r="B210">
        <f t="shared" si="16"/>
        <v>208</v>
      </c>
      <c r="C210" t="s">
        <v>83</v>
      </c>
      <c r="D210" t="s">
        <v>176</v>
      </c>
      <c r="E210">
        <f>IF(WEEKNUM(Combined[[#This Row],[Date]], 1) = 53, 1, WEEKNUM(Combined[[#This Row],[Date]], 2))</f>
        <v>17</v>
      </c>
      <c r="F210" t="str">
        <f t="shared" si="19"/>
        <v>Friday</v>
      </c>
      <c r="G210" s="41">
        <v>44673</v>
      </c>
      <c r="H210">
        <v>7</v>
      </c>
      <c r="I210" s="1">
        <v>106.23</v>
      </c>
      <c r="J210" s="2">
        <v>0.22083333333333333</v>
      </c>
      <c r="K210" s="12">
        <f>Combined[[#This Row],[Time Spent]]*24</f>
        <v>5.3</v>
      </c>
      <c r="L210" s="12">
        <f>MROUND(Combined[[#This Row],[Time Spent 2]],0.25)</f>
        <v>5.25</v>
      </c>
      <c r="M210" s="2" t="s">
        <v>91</v>
      </c>
      <c r="N210" t="s">
        <v>85</v>
      </c>
      <c r="O210">
        <f>MATCH(Combined[[#This Row],[Primary Area]],KPIs!$C$4:$C$7,0)</f>
        <v>4</v>
      </c>
      <c r="P210"/>
      <c r="Q210" s="40">
        <v>44893</v>
      </c>
      <c r="R210" s="40">
        <f t="shared" si="17"/>
        <v>44893</v>
      </c>
      <c r="S210" s="4" t="str">
        <f>TEXT(Mileage[[#This Row],[Date]],"dddd")</f>
        <v>Monday</v>
      </c>
      <c r="T210" s="4" t="s">
        <v>230</v>
      </c>
      <c r="U210" s="4">
        <v>36.4</v>
      </c>
      <c r="V210" t="str" cm="1">
        <f t="array" ref="V210">IFERROR(VLOOKUP(MODE(IF(Combined[Date]=Mileage[[#This Row],[Date]],Combined[Area '#])),KPIs!$B$4:$C$7,2,FALSE),VLOOKUP(Mileage[[#This Row],[Date]],Combined[[Date]:[Primary Area]],8,FALSE))</f>
        <v>Portland</v>
      </c>
      <c r="W210" s="106">
        <v>0.72569444444444453</v>
      </c>
      <c r="X210" s="12">
        <v>8.2000000000000011</v>
      </c>
      <c r="Y210" s="4">
        <v>64.400000000000006</v>
      </c>
      <c r="Z21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1" spans="2:26" x14ac:dyDescent="0.35">
      <c r="B211">
        <f t="shared" si="16"/>
        <v>209</v>
      </c>
      <c r="C211" t="s">
        <v>86</v>
      </c>
      <c r="D211" t="s">
        <v>176</v>
      </c>
      <c r="E211">
        <f>IF(WEEKNUM(Combined[[#This Row],[Date]], 1) = 53, 1, WEEKNUM(Combined[[#This Row],[Date]], 2))</f>
        <v>19</v>
      </c>
      <c r="F211" t="str">
        <f t="shared" ref="F211:F212" si="20">TEXT(WEEKDAY(G211,1),"DDDD")</f>
        <v>Tuesday</v>
      </c>
      <c r="G211" s="41">
        <v>44684</v>
      </c>
      <c r="H211">
        <v>7</v>
      </c>
      <c r="I211" s="1">
        <v>41.5</v>
      </c>
      <c r="J211" s="2">
        <v>0.1361111111111111</v>
      </c>
      <c r="K211" s="12">
        <f>Combined[[#This Row],[Time Spent]]*24</f>
        <v>3.2666666666666666</v>
      </c>
      <c r="L211" s="12">
        <f>MROUND(Combined[[#This Row],[Time Spent 2]],0.25)</f>
        <v>3.25</v>
      </c>
      <c r="M211" s="2" t="s">
        <v>91</v>
      </c>
      <c r="N211" t="s">
        <v>82</v>
      </c>
      <c r="O211">
        <f>MATCH(Combined[[#This Row],[Primary Area]],KPIs!$C$4:$C$7,0)</f>
        <v>3</v>
      </c>
      <c r="P211"/>
      <c r="Q211" s="40">
        <v>44896</v>
      </c>
      <c r="R211" s="40">
        <f t="shared" si="17"/>
        <v>44896</v>
      </c>
      <c r="S211" s="4" t="str">
        <f>TEXT(Mileage[[#This Row],[Date]],"dddd")</f>
        <v>Thursday</v>
      </c>
      <c r="T211" s="4" t="s">
        <v>230</v>
      </c>
      <c r="U211" s="4">
        <v>35.4</v>
      </c>
      <c r="V211" t="str" cm="1">
        <f t="array" ref="V211">IFERROR(VLOOKUP(MODE(IF(Combined[Date]=Mileage[[#This Row],[Date]],Combined[Area '#])),KPIs!$B$4:$C$7,2,FALSE),VLOOKUP(Mileage[[#This Row],[Date]],Combined[[Date]:[Primary Area]],8,FALSE))</f>
        <v>Brunswick/Bath/Freeport</v>
      </c>
      <c r="W211" s="106">
        <v>0.72569444444444453</v>
      </c>
      <c r="X211" s="12">
        <v>5.3000000000000007</v>
      </c>
      <c r="Y211" s="4">
        <v>103.7</v>
      </c>
      <c r="Z21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2" spans="2:26" x14ac:dyDescent="0.35">
      <c r="B212">
        <f t="shared" si="16"/>
        <v>210</v>
      </c>
      <c r="C212" t="s">
        <v>83</v>
      </c>
      <c r="D212" t="s">
        <v>176</v>
      </c>
      <c r="E212">
        <f>IF(WEEKNUM(Combined[[#This Row],[Date]], 1) = 53, 1, WEEKNUM(Combined[[#This Row],[Date]], 2))</f>
        <v>19</v>
      </c>
      <c r="F212" t="str">
        <f t="shared" si="20"/>
        <v>Tuesday</v>
      </c>
      <c r="G212" s="41">
        <v>44684</v>
      </c>
      <c r="H212">
        <v>1</v>
      </c>
      <c r="I212" s="1">
        <v>9.18</v>
      </c>
      <c r="J212" s="2">
        <v>4.7222222222222221E-2</v>
      </c>
      <c r="K212" s="12">
        <f>Combined[[#This Row],[Time Spent]]*24</f>
        <v>1.1333333333333333</v>
      </c>
      <c r="L212" s="12">
        <f>MROUND(Combined[[#This Row],[Time Spent 2]],0.25)</f>
        <v>1.25</v>
      </c>
      <c r="M212" s="2" t="s">
        <v>91</v>
      </c>
      <c r="N212" t="s">
        <v>82</v>
      </c>
      <c r="O212">
        <f>MATCH(Combined[[#This Row],[Primary Area]],KPIs!$C$4:$C$7,0)</f>
        <v>3</v>
      </c>
      <c r="P212"/>
      <c r="Q212" s="40">
        <v>44898</v>
      </c>
      <c r="R212" s="40">
        <f t="shared" si="17"/>
        <v>44898</v>
      </c>
      <c r="S212" s="4" t="str">
        <f>TEXT(Mileage[[#This Row],[Date]],"dddd")</f>
        <v>Saturday</v>
      </c>
      <c r="T212" s="4" t="s">
        <v>249</v>
      </c>
      <c r="U212" s="4">
        <v>38.1</v>
      </c>
      <c r="V212" t="str" cm="1">
        <f t="array" ref="V212">IFERROR(VLOOKUP(MODE(IF(Combined[Date]=Mileage[[#This Row],[Date]],Combined[Area '#])),KPIs!$B$4:$C$7,2,FALSE),VLOOKUP(Mileage[[#This Row],[Date]],Combined[[Date]:[Primary Area]],8,FALSE))</f>
        <v>Lewiston</v>
      </c>
      <c r="W212" s="106">
        <v>0.6743055555555556</v>
      </c>
      <c r="X212" s="12">
        <v>9.08</v>
      </c>
      <c r="Y212" s="4">
        <v>112</v>
      </c>
      <c r="Z2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13" spans="2:26" x14ac:dyDescent="0.35">
      <c r="B213">
        <f t="shared" si="16"/>
        <v>211</v>
      </c>
      <c r="C213" t="s">
        <v>83</v>
      </c>
      <c r="D213" t="s">
        <v>176</v>
      </c>
      <c r="E213">
        <f>IF(WEEKNUM(Combined[[#This Row],[Date]], 1) = 53, 1, WEEKNUM(Combined[[#This Row],[Date]], 2))</f>
        <v>19</v>
      </c>
      <c r="F213" t="str">
        <f>TEXT(WEEKDAY(G213,1),"DDDD")</f>
        <v>Wednesday</v>
      </c>
      <c r="G213" s="41">
        <v>44685</v>
      </c>
      <c r="H213">
        <v>9</v>
      </c>
      <c r="I213" s="1">
        <v>82.49</v>
      </c>
      <c r="J213" s="2">
        <v>0.17569444444444446</v>
      </c>
      <c r="K213" s="12">
        <f>Combined[[#This Row],[Time Spent]]*24</f>
        <v>4.2166666666666668</v>
      </c>
      <c r="L213" s="12">
        <f>MROUND(Combined[[#This Row],[Time Spent 2]],0.25)</f>
        <v>4.25</v>
      </c>
      <c r="M213" s="2" t="s">
        <v>91</v>
      </c>
      <c r="N213" t="s">
        <v>85</v>
      </c>
      <c r="O213">
        <f>MATCH(Combined[[#This Row],[Primary Area]],KPIs!$C$4:$C$7,0)</f>
        <v>4</v>
      </c>
      <c r="P213"/>
      <c r="Q213" s="40">
        <v>44900</v>
      </c>
      <c r="R213" s="40">
        <f t="shared" si="17"/>
        <v>44900</v>
      </c>
      <c r="S213" s="4" t="str">
        <f>TEXT(Mileage[[#This Row],[Date]],"dddd")</f>
        <v>Monday</v>
      </c>
      <c r="T213" s="4" t="s">
        <v>236</v>
      </c>
      <c r="U213" s="4">
        <v>51.3</v>
      </c>
      <c r="V213" t="str" cm="1">
        <f t="array" ref="V213">IFERROR(VLOOKUP(MODE(IF(Combined[Date]=Mileage[[#This Row],[Date]],Combined[Area '#])),KPIs!$B$4:$C$7,2,FALSE),VLOOKUP(Mileage[[#This Row],[Date]],Combined[[Date]:[Primary Area]],8,FALSE))</f>
        <v>Portland</v>
      </c>
      <c r="W213" s="106">
        <v>0.71180555555555547</v>
      </c>
      <c r="X213" s="12">
        <v>9.1</v>
      </c>
      <c r="Y213" s="4">
        <f>1.6+96.2</f>
        <v>97.8</v>
      </c>
      <c r="Z21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4" spans="2:26" x14ac:dyDescent="0.35">
      <c r="B214">
        <f t="shared" si="16"/>
        <v>212</v>
      </c>
      <c r="C214" t="s">
        <v>83</v>
      </c>
      <c r="D214" t="s">
        <v>176</v>
      </c>
      <c r="E214">
        <f>IF(WEEKNUM(Combined[[#This Row],[Date]], 1) = 53, 1, WEEKNUM(Combined[[#This Row],[Date]], 2))</f>
        <v>19</v>
      </c>
      <c r="F214" t="str">
        <f t="shared" ref="F214:F215" si="21">TEXT(WEEKDAY(G214,1),"DDDD")</f>
        <v>Saturday</v>
      </c>
      <c r="G214" s="41">
        <v>44688</v>
      </c>
      <c r="H214">
        <v>6</v>
      </c>
      <c r="I214" s="1">
        <v>91.28</v>
      </c>
      <c r="J214" s="2">
        <v>0.29236111111111113</v>
      </c>
      <c r="K214" s="12">
        <f>Combined[[#This Row],[Time Spent]]*24</f>
        <v>7.0166666666666675</v>
      </c>
      <c r="L214" s="12">
        <f>MROUND(Combined[[#This Row],[Time Spent 2]],0.25)</f>
        <v>7</v>
      </c>
      <c r="M214" s="2" t="s">
        <v>91</v>
      </c>
      <c r="N214" t="s">
        <v>80</v>
      </c>
      <c r="O214">
        <f>MATCH(Combined[[#This Row],[Primary Area]],KPIs!$C$4:$C$7,0)</f>
        <v>2</v>
      </c>
      <c r="P214"/>
      <c r="Q214" s="40">
        <v>44902</v>
      </c>
      <c r="R214" s="40">
        <f t="shared" si="17"/>
        <v>44902</v>
      </c>
      <c r="S214" s="4" t="str">
        <f>TEXT(Mileage[[#This Row],[Date]],"dddd")</f>
        <v>Wednesday</v>
      </c>
      <c r="T214" s="4" t="s">
        <v>236</v>
      </c>
      <c r="U214" s="4">
        <v>46.1</v>
      </c>
      <c r="V214" t="str" cm="1">
        <f t="array" ref="V214">IFERROR(VLOOKUP(MODE(IF(Combined[Date]=Mileage[[#This Row],[Date]],Combined[Area '#])),KPIs!$B$4:$C$7,2,FALSE),VLOOKUP(Mileage[[#This Row],[Date]],Combined[[Date]:[Primary Area]],8,FALSE))</f>
        <v>Brunswick/Bath/Freeport</v>
      </c>
      <c r="W214" s="106">
        <v>0.61805555555555558</v>
      </c>
      <c r="X214" s="12">
        <v>4.5</v>
      </c>
      <c r="Y214" s="4">
        <f>97.1+3.3+7.7+32.3+10</f>
        <v>150.39999999999998</v>
      </c>
      <c r="Z21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15" spans="2:26" x14ac:dyDescent="0.35">
      <c r="B215">
        <f t="shared" si="16"/>
        <v>213</v>
      </c>
      <c r="C215" t="s">
        <v>86</v>
      </c>
      <c r="D215" t="s">
        <v>176</v>
      </c>
      <c r="E215">
        <f>IF(WEEKNUM(Combined[[#This Row],[Date]], 1) = 53, 1, WEEKNUM(Combined[[#This Row],[Date]], 2))</f>
        <v>19</v>
      </c>
      <c r="F215" t="str">
        <f t="shared" si="21"/>
        <v>Saturday</v>
      </c>
      <c r="G215" s="41">
        <v>44688</v>
      </c>
      <c r="H215">
        <v>4</v>
      </c>
      <c r="I215" s="1">
        <v>28</v>
      </c>
      <c r="J215" s="2">
        <v>6.805555555555555E-2</v>
      </c>
      <c r="K215" s="12">
        <f>Combined[[#This Row],[Time Spent]]*24</f>
        <v>1.6333333333333333</v>
      </c>
      <c r="L215" s="12">
        <f>MROUND(Combined[[#This Row],[Time Spent 2]],0.25)</f>
        <v>1.75</v>
      </c>
      <c r="M215" s="2" t="s">
        <v>91</v>
      </c>
      <c r="N215" t="s">
        <v>80</v>
      </c>
      <c r="O215">
        <f>MATCH(Combined[[#This Row],[Primary Area]],KPIs!$C$4:$C$7,0)</f>
        <v>2</v>
      </c>
      <c r="P215"/>
      <c r="Q215" s="40">
        <v>44903</v>
      </c>
      <c r="R215" s="40">
        <f t="shared" si="17"/>
        <v>44903</v>
      </c>
      <c r="S215" s="4" t="str">
        <f>TEXT(Mileage[[#This Row],[Date]],"dddd")</f>
        <v>Thursday</v>
      </c>
      <c r="T215" s="4" t="s">
        <v>230</v>
      </c>
      <c r="U215" s="4">
        <v>34.9</v>
      </c>
      <c r="V215" t="str" cm="1">
        <f t="array" ref="V215">IFERROR(VLOOKUP(MODE(IF(Combined[Date]=Mileage[[#This Row],[Date]],Combined[Area '#])),KPIs!$B$4:$C$7,2,FALSE),VLOOKUP(Mileage[[#This Row],[Date]],Combined[[Date]:[Primary Area]],8,FALSE))</f>
        <v>Brunswick/Bath/Freeport</v>
      </c>
      <c r="W215" s="106">
        <v>0.72569444444444453</v>
      </c>
      <c r="X215" s="12">
        <v>7.2</v>
      </c>
      <c r="Y215" s="4">
        <f>94+19.3+6.8</f>
        <v>120.1</v>
      </c>
      <c r="Z2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16" spans="2:26" x14ac:dyDescent="0.35">
      <c r="B216">
        <f t="shared" si="16"/>
        <v>214</v>
      </c>
      <c r="C216" t="s">
        <v>86</v>
      </c>
      <c r="D216" t="s">
        <v>176</v>
      </c>
      <c r="E216">
        <f>IF(WEEKNUM(Combined[[#This Row],[Date]], 1) = 53, 1, WEEKNUM(Combined[[#This Row],[Date]], 2))</f>
        <v>19</v>
      </c>
      <c r="F216" t="str">
        <f>TEXT(WEEKDAY(G216,1),"DDDD")</f>
        <v>Saturday</v>
      </c>
      <c r="G216" s="41">
        <v>44688</v>
      </c>
      <c r="H216">
        <v>8</v>
      </c>
      <c r="I216" s="1">
        <v>58.25</v>
      </c>
      <c r="J216" s="2">
        <v>0.13958333333333334</v>
      </c>
      <c r="K216" s="12">
        <f>Combined[[#This Row],[Time Spent]]*24</f>
        <v>3.35</v>
      </c>
      <c r="L216" s="12">
        <f>MROUND(Combined[[#This Row],[Time Spent 2]],0.25)</f>
        <v>3.25</v>
      </c>
      <c r="M216" s="2" t="s">
        <v>92</v>
      </c>
      <c r="N216" t="s">
        <v>80</v>
      </c>
      <c r="O216">
        <f>MATCH(Combined[[#This Row],[Primary Area]],KPIs!$C$4:$C$7,0)</f>
        <v>2</v>
      </c>
      <c r="P216"/>
      <c r="Q216" s="40">
        <v>44904</v>
      </c>
      <c r="R216" s="40">
        <f t="shared" si="17"/>
        <v>44904</v>
      </c>
      <c r="S216" s="4" t="str">
        <f>TEXT(Mileage[[#This Row],[Date]],"dddd")</f>
        <v>Friday</v>
      </c>
      <c r="T216" s="4" t="s">
        <v>249</v>
      </c>
      <c r="U216" s="4">
        <v>21.2</v>
      </c>
      <c r="V216" t="str" cm="1">
        <f t="array" ref="V216">IFERROR(VLOOKUP(MODE(IF(Combined[Date]=Mileage[[#This Row],[Date]],Combined[Area '#])),KPIs!$B$4:$C$7,2,FALSE),VLOOKUP(Mileage[[#This Row],[Date]],Combined[[Date]:[Primary Area]],8,FALSE))</f>
        <v>Brunswick/Bath/Freeport</v>
      </c>
      <c r="W216" s="106">
        <v>0.72569444444444453</v>
      </c>
      <c r="X216" s="12">
        <v>4.5</v>
      </c>
      <c r="Y216" s="4">
        <f>21+75</f>
        <v>96</v>
      </c>
      <c r="Z2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7" spans="2:26" x14ac:dyDescent="0.35">
      <c r="B217">
        <f t="shared" si="16"/>
        <v>215</v>
      </c>
      <c r="C217" t="s">
        <v>83</v>
      </c>
      <c r="D217" t="s">
        <v>176</v>
      </c>
      <c r="E217">
        <f>IF(WEEKNUM(Combined[[#This Row],[Date]], 1) = 53, 1, WEEKNUM(Combined[[#This Row],[Date]], 2))</f>
        <v>20</v>
      </c>
      <c r="F217" t="str">
        <f t="shared" ref="F217:F218" si="22">TEXT(WEEKDAY(G217,1),"DDDD")</f>
        <v>Wednesday</v>
      </c>
      <c r="G217" s="41">
        <v>44692</v>
      </c>
      <c r="H217">
        <v>2</v>
      </c>
      <c r="I217" s="1">
        <v>16.27</v>
      </c>
      <c r="J217" s="2">
        <v>0.1173611111111111</v>
      </c>
      <c r="K217" s="12">
        <f>Combined[[#This Row],[Time Spent]]*24</f>
        <v>2.8166666666666664</v>
      </c>
      <c r="L217" s="12">
        <f>MROUND(Combined[[#This Row],[Time Spent 2]],0.25)</f>
        <v>2.75</v>
      </c>
      <c r="M217" s="2" t="s">
        <v>91</v>
      </c>
      <c r="N217" t="s">
        <v>80</v>
      </c>
      <c r="O217">
        <f>MATCH(Combined[[#This Row],[Primary Area]],KPIs!$C$4:$C$7,0)</f>
        <v>2</v>
      </c>
      <c r="P217"/>
      <c r="Q217" s="40">
        <v>44906</v>
      </c>
      <c r="R217" s="40">
        <f t="shared" si="17"/>
        <v>44906</v>
      </c>
      <c r="S217" s="4" t="str">
        <f>TEXT(Mileage[[#This Row],[Date]],"dddd")</f>
        <v>Sunday</v>
      </c>
      <c r="T217" s="4" t="s">
        <v>234</v>
      </c>
      <c r="U217" s="4">
        <v>26.7</v>
      </c>
      <c r="V217" t="str" cm="1">
        <f t="array" ref="V217">IFERROR(VLOOKUP(MODE(IF(Combined[Date]=Mileage[[#This Row],[Date]],Combined[Area '#])),KPIs!$B$4:$C$7,2,FALSE),VLOOKUP(Mileage[[#This Row],[Date]],Combined[[Date]:[Primary Area]],8,FALSE))</f>
        <v>Augusta</v>
      </c>
      <c r="W217" s="106">
        <v>0.77430555555555547</v>
      </c>
      <c r="X217" s="12">
        <v>3.1</v>
      </c>
      <c r="Y217" s="4">
        <f>52+40.1</f>
        <v>92.1</v>
      </c>
      <c r="Z21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8" spans="2:26" x14ac:dyDescent="0.35">
      <c r="B218">
        <f t="shared" si="16"/>
        <v>216</v>
      </c>
      <c r="C218" t="s">
        <v>86</v>
      </c>
      <c r="D218" t="s">
        <v>176</v>
      </c>
      <c r="E218">
        <f>IF(WEEKNUM(Combined[[#This Row],[Date]], 1) = 53, 1, WEEKNUM(Combined[[#This Row],[Date]], 2))</f>
        <v>20</v>
      </c>
      <c r="F218" t="str">
        <f t="shared" si="22"/>
        <v>Wednesday</v>
      </c>
      <c r="G218" s="41">
        <v>44692</v>
      </c>
      <c r="H218">
        <v>6</v>
      </c>
      <c r="I218" s="1">
        <v>48.07</v>
      </c>
      <c r="J218" s="2">
        <v>0.13819444444444443</v>
      </c>
      <c r="K218" s="12">
        <f>Combined[[#This Row],[Time Spent]]*24</f>
        <v>3.3166666666666664</v>
      </c>
      <c r="L218" s="12">
        <f>MROUND(Combined[[#This Row],[Time Spent 2]],0.25)</f>
        <v>3.25</v>
      </c>
      <c r="M218" s="2" t="s">
        <v>91</v>
      </c>
      <c r="N218" t="s">
        <v>80</v>
      </c>
      <c r="O218">
        <f>MATCH(Combined[[#This Row],[Primary Area]],KPIs!$C$4:$C$7,0)</f>
        <v>2</v>
      </c>
      <c r="P218"/>
      <c r="Q218" s="40">
        <v>44907</v>
      </c>
      <c r="R218" s="40">
        <f t="shared" si="17"/>
        <v>44907</v>
      </c>
      <c r="S218" s="4" t="str">
        <f>TEXT(Mileage[[#This Row],[Date]],"dddd")</f>
        <v>Monday</v>
      </c>
      <c r="T218" s="4" t="s">
        <v>234</v>
      </c>
      <c r="U218" s="4">
        <v>27.3</v>
      </c>
      <c r="V218" t="str" cm="1">
        <f t="array" ref="V218">IFERROR(VLOOKUP(MODE(IF(Combined[Date]=Mileage[[#This Row],[Date]],Combined[Area '#])),KPIs!$B$4:$C$7,2,FALSE),VLOOKUP(Mileage[[#This Row],[Date]],Combined[[Date]:[Primary Area]],8,FALSE))</f>
        <v>Lewiston</v>
      </c>
      <c r="W218" s="106">
        <v>0.70833333333333337</v>
      </c>
      <c r="X218" s="12">
        <v>4.8499999999999996</v>
      </c>
      <c r="Y218" s="4">
        <f>30.5+52.2</f>
        <v>82.7</v>
      </c>
      <c r="Z21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19" spans="2:26" x14ac:dyDescent="0.35">
      <c r="B219">
        <f t="shared" si="16"/>
        <v>217</v>
      </c>
      <c r="C219" t="s">
        <v>83</v>
      </c>
      <c r="D219" t="s">
        <v>176</v>
      </c>
      <c r="E219">
        <f>IF(WEEKNUM(Combined[[#This Row],[Date]], 1) = 53, 1, WEEKNUM(Combined[[#This Row],[Date]], 2))</f>
        <v>20</v>
      </c>
      <c r="F219" t="str">
        <f>TEXT(WEEKDAY(G219,1),"DDDD")</f>
        <v>Thursday</v>
      </c>
      <c r="G219" s="41">
        <v>44693</v>
      </c>
      <c r="H219">
        <v>2</v>
      </c>
      <c r="I219" s="1">
        <v>12.96</v>
      </c>
      <c r="J219" s="2">
        <v>0.11666666666666665</v>
      </c>
      <c r="K219" s="12">
        <f>Combined[[#This Row],[Time Spent]]*24</f>
        <v>2.8</v>
      </c>
      <c r="L219" s="12">
        <f>MROUND(Combined[[#This Row],[Time Spent 2]],0.25)</f>
        <v>2.75</v>
      </c>
      <c r="M219" s="2" t="s">
        <v>91</v>
      </c>
      <c r="N219" t="s">
        <v>82</v>
      </c>
      <c r="O219">
        <f>MATCH(Combined[[#This Row],[Primary Area]],KPIs!$C$4:$C$7,0)</f>
        <v>3</v>
      </c>
      <c r="P219"/>
      <c r="Q219" s="40">
        <v>44908</v>
      </c>
      <c r="R219" s="40">
        <f t="shared" si="17"/>
        <v>44908</v>
      </c>
      <c r="S219" s="4" t="str">
        <f>TEXT(Mileage[[#This Row],[Date]],"dddd")</f>
        <v>Tuesday</v>
      </c>
      <c r="T219" s="4" t="s">
        <v>234</v>
      </c>
      <c r="U219" s="4">
        <v>31.5</v>
      </c>
      <c r="V219" t="str" cm="1">
        <f t="array" ref="V219">IFERROR(VLOOKUP(MODE(IF(Combined[Date]=Mileage[[#This Row],[Date]],Combined[Area '#])),KPIs!$B$4:$C$7,2,FALSE),VLOOKUP(Mileage[[#This Row],[Date]],Combined[[Date]:[Primary Area]],8,FALSE))</f>
        <v>Brunswick/Bath/Freeport</v>
      </c>
      <c r="W219" s="106">
        <v>0.71875</v>
      </c>
      <c r="X219" s="12">
        <v>3.45</v>
      </c>
      <c r="Y219" s="4">
        <f>58.5+18.2</f>
        <v>76.7</v>
      </c>
      <c r="Z2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0" spans="2:26" x14ac:dyDescent="0.35">
      <c r="B220">
        <f t="shared" si="16"/>
        <v>218</v>
      </c>
      <c r="C220" t="s">
        <v>86</v>
      </c>
      <c r="D220" t="s">
        <v>176</v>
      </c>
      <c r="E220">
        <f>IF(WEEKNUM(Combined[[#This Row],[Date]], 1) = 53, 1, WEEKNUM(Combined[[#This Row],[Date]], 2))</f>
        <v>20</v>
      </c>
      <c r="F220" t="str">
        <f>TEXT(WEEKDAY(G220,1),"DDDD")</f>
        <v>Thursday</v>
      </c>
      <c r="G220" s="41">
        <v>44693</v>
      </c>
      <c r="H220">
        <v>5</v>
      </c>
      <c r="I220" s="1">
        <v>27.44</v>
      </c>
      <c r="J220" s="2">
        <v>8.7500000000000008E-2</v>
      </c>
      <c r="K220" s="12">
        <f>Combined[[#This Row],[Time Spent]]*24</f>
        <v>2.1</v>
      </c>
      <c r="L220" s="12">
        <f>MROUND(Combined[[#This Row],[Time Spent 2]],0.25)</f>
        <v>2</v>
      </c>
      <c r="M220" s="2" t="s">
        <v>91</v>
      </c>
      <c r="N220" t="s">
        <v>82</v>
      </c>
      <c r="O220">
        <f>MATCH(Combined[[#This Row],[Primary Area]],KPIs!$C$4:$C$7,0)</f>
        <v>3</v>
      </c>
      <c r="P220"/>
      <c r="Q220" s="40">
        <v>44909</v>
      </c>
      <c r="R220" s="40">
        <f t="shared" si="17"/>
        <v>44909</v>
      </c>
      <c r="S220" s="4" t="str">
        <f>TEXT(Mileage[[#This Row],[Date]],"dddd")</f>
        <v>Wednesday</v>
      </c>
      <c r="T220" s="4" t="s">
        <v>234</v>
      </c>
      <c r="U220" s="4">
        <v>34.6</v>
      </c>
      <c r="V220" t="str" cm="1">
        <f t="array" ref="V220">IFERROR(VLOOKUP(MODE(IF(Combined[Date]=Mileage[[#This Row],[Date]],Combined[Area '#])),KPIs!$B$4:$C$7,2,FALSE),VLOOKUP(Mileage[[#This Row],[Date]],Combined[[Date]:[Primary Area]],8,FALSE))</f>
        <v>Brunswick/Bath/Freeport</v>
      </c>
      <c r="W220" s="106">
        <v>0.71875</v>
      </c>
      <c r="X220" s="12">
        <v>5.55</v>
      </c>
      <c r="Y220" s="4">
        <f>31.6+27.3+10.1+22.7+15.9+6.9</f>
        <v>114.50000000000001</v>
      </c>
      <c r="Z22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1" spans="2:26" x14ac:dyDescent="0.35">
      <c r="B221">
        <f t="shared" si="16"/>
        <v>219</v>
      </c>
      <c r="C221" t="s">
        <v>86</v>
      </c>
      <c r="D221" t="s">
        <v>176</v>
      </c>
      <c r="E221">
        <f>IF(WEEKNUM(Combined[[#This Row],[Date]], 1) = 53, 1, WEEKNUM(Combined[[#This Row],[Date]], 2))</f>
        <v>20</v>
      </c>
      <c r="F221" t="str">
        <f t="shared" ref="F221:F222" si="23">TEXT(WEEKDAY(G221,1),"DDDD")</f>
        <v>Friday</v>
      </c>
      <c r="G221" s="41">
        <v>44694</v>
      </c>
      <c r="H221">
        <v>1</v>
      </c>
      <c r="I221" s="1">
        <v>9</v>
      </c>
      <c r="J221" s="2">
        <v>5.5555555555555552E-2</v>
      </c>
      <c r="K221" s="12">
        <f>Combined[[#This Row],[Time Spent]]*24</f>
        <v>1.3333333333333333</v>
      </c>
      <c r="L221" s="12">
        <f>MROUND(Combined[[#This Row],[Time Spent 2]],0.25)</f>
        <v>1.25</v>
      </c>
      <c r="M221" s="2" t="s">
        <v>91</v>
      </c>
      <c r="N221" t="s">
        <v>80</v>
      </c>
      <c r="O221">
        <f>MATCH(Combined[[#This Row],[Primary Area]],KPIs!$C$4:$C$7,0)</f>
        <v>2</v>
      </c>
      <c r="P221"/>
      <c r="Q221" s="40">
        <v>44910</v>
      </c>
      <c r="R221" s="40">
        <f t="shared" si="17"/>
        <v>44910</v>
      </c>
      <c r="S221" s="4" t="str">
        <f>TEXT(Mileage[[#This Row],[Date]],"dddd")</f>
        <v>Thursday</v>
      </c>
      <c r="T221" s="4" t="s">
        <v>232</v>
      </c>
      <c r="U221" s="4">
        <v>29.1</v>
      </c>
      <c r="V221" t="str" cm="1">
        <f t="array" ref="V221">IFERROR(VLOOKUP(MODE(IF(Combined[Date]=Mileage[[#This Row],[Date]],Combined[Area '#])),KPIs!$B$4:$C$7,2,FALSE),VLOOKUP(Mileage[[#This Row],[Date]],Combined[[Date]:[Primary Area]],8,FALSE))</f>
        <v>Augusta</v>
      </c>
      <c r="W221" s="106">
        <v>0.65972222222222221</v>
      </c>
      <c r="X221" s="12">
        <v>8.85</v>
      </c>
      <c r="Y221" s="4">
        <f>94.3+102</f>
        <v>196.3</v>
      </c>
      <c r="Z2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2" spans="2:26" x14ac:dyDescent="0.35">
      <c r="B222">
        <f t="shared" si="16"/>
        <v>220</v>
      </c>
      <c r="C222" t="s">
        <v>86</v>
      </c>
      <c r="D222" t="s">
        <v>176</v>
      </c>
      <c r="E222">
        <f>IF(WEEKNUM(Combined[[#This Row],[Date]], 1) = 53, 1, WEEKNUM(Combined[[#This Row],[Date]], 2))</f>
        <v>20</v>
      </c>
      <c r="F222" t="str">
        <f t="shared" si="23"/>
        <v>Friday</v>
      </c>
      <c r="G222" s="41">
        <v>44694</v>
      </c>
      <c r="H222">
        <v>5</v>
      </c>
      <c r="I222" s="1">
        <v>41.75</v>
      </c>
      <c r="J222" s="2">
        <v>8.2638888888888887E-2</v>
      </c>
      <c r="K222" s="12">
        <f>Combined[[#This Row],[Time Spent]]*24</f>
        <v>1.9833333333333334</v>
      </c>
      <c r="L222" s="12">
        <f>MROUND(Combined[[#This Row],[Time Spent 2]],0.25)</f>
        <v>2</v>
      </c>
      <c r="M222" s="2" t="s">
        <v>91</v>
      </c>
      <c r="N222" t="s">
        <v>80</v>
      </c>
      <c r="O222">
        <f>MATCH(Combined[[#This Row],[Primary Area]],KPIs!$C$4:$C$7,0)</f>
        <v>2</v>
      </c>
      <c r="P222"/>
      <c r="Q222" s="40">
        <v>44911</v>
      </c>
      <c r="R222" s="40">
        <f t="shared" si="17"/>
        <v>44911</v>
      </c>
      <c r="S222" s="4" t="str">
        <f>TEXT(Mileage[[#This Row],[Date]],"dddd")</f>
        <v>Friday</v>
      </c>
      <c r="T222" s="4" t="s">
        <v>232</v>
      </c>
      <c r="U222" s="4">
        <v>29.9</v>
      </c>
      <c r="V222" t="str" cm="1">
        <f t="array" ref="V222">IFERROR(VLOOKUP(MODE(IF(Combined[Date]=Mileage[[#This Row],[Date]],Combined[Area '#])),KPIs!$B$4:$C$7,2,FALSE),VLOOKUP(Mileage[[#This Row],[Date]],Combined[[Date]:[Primary Area]],8,FALSE))</f>
        <v>Brunswick/Bath/Freeport</v>
      </c>
      <c r="W222" s="106">
        <v>0.73611111111111116</v>
      </c>
      <c r="X222" s="12">
        <v>6.85</v>
      </c>
      <c r="Y222" s="4">
        <f>80+6.7+26.6</f>
        <v>113.30000000000001</v>
      </c>
      <c r="Z22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3" spans="2:26" x14ac:dyDescent="0.35">
      <c r="B223">
        <f t="shared" si="16"/>
        <v>221</v>
      </c>
      <c r="C223" t="s">
        <v>83</v>
      </c>
      <c r="D223" t="s">
        <v>176</v>
      </c>
      <c r="E223">
        <f>IF(WEEKNUM(Combined[[#This Row],[Date]], 1) = 53, 1, WEEKNUM(Combined[[#This Row],[Date]], 2))</f>
        <v>20</v>
      </c>
      <c r="F223" t="str">
        <f>TEXT(WEEKDAY(G223,1),"DDDD")</f>
        <v>Friday</v>
      </c>
      <c r="G223" s="41">
        <v>44694</v>
      </c>
      <c r="H223">
        <v>5</v>
      </c>
      <c r="I223" s="1">
        <v>73.86</v>
      </c>
      <c r="J223" s="2">
        <v>0.26666666666666666</v>
      </c>
      <c r="K223" s="12">
        <f>Combined[[#This Row],[Time Spent]]*24</f>
        <v>6.4</v>
      </c>
      <c r="L223" s="12">
        <f>MROUND(Combined[[#This Row],[Time Spent 2]],0.25)</f>
        <v>6.5</v>
      </c>
      <c r="M223" s="2" t="s">
        <v>91</v>
      </c>
      <c r="N223" t="s">
        <v>80</v>
      </c>
      <c r="O223">
        <f>MATCH(Combined[[#This Row],[Primary Area]],KPIs!$C$4:$C$7,0)</f>
        <v>2</v>
      </c>
      <c r="P223"/>
      <c r="Q223" s="40">
        <v>44912</v>
      </c>
      <c r="R223" s="40">
        <f t="shared" si="17"/>
        <v>44912</v>
      </c>
      <c r="S223" s="4" t="str">
        <f>TEXT(Mileage[[#This Row],[Date]],"dddd")</f>
        <v>Saturday</v>
      </c>
      <c r="T223" s="4" t="s">
        <v>235</v>
      </c>
      <c r="U223" s="4">
        <v>31.5</v>
      </c>
      <c r="V223" t="str" cm="1">
        <f t="array" ref="V223">IFERROR(VLOOKUP(MODE(IF(Combined[Date]=Mileage[[#This Row],[Date]],Combined[Area '#])),KPIs!$B$4:$C$7,2,FALSE),VLOOKUP(Mileage[[#This Row],[Date]],Combined[[Date]:[Primary Area]],8,FALSE))</f>
        <v>Lewiston</v>
      </c>
      <c r="W223" s="106">
        <v>0.77083333333333337</v>
      </c>
      <c r="X223" s="12">
        <v>0.73</v>
      </c>
      <c r="Y223" s="4">
        <f>13.8+1.7</f>
        <v>15.5</v>
      </c>
      <c r="Z2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24" spans="2:26" x14ac:dyDescent="0.35">
      <c r="B224">
        <f t="shared" si="16"/>
        <v>222</v>
      </c>
      <c r="C224" t="s">
        <v>86</v>
      </c>
      <c r="D224" t="s">
        <v>176</v>
      </c>
      <c r="E224">
        <f>IF(WEEKNUM(Combined[[#This Row],[Date]], 1) = 53, 1, WEEKNUM(Combined[[#This Row],[Date]], 2))</f>
        <v>21</v>
      </c>
      <c r="F224" t="str">
        <f t="shared" ref="F224:F225" si="24">TEXT(WEEKDAY(G224,1),"DDDD")</f>
        <v>Thursday</v>
      </c>
      <c r="G224" s="41">
        <v>44700</v>
      </c>
      <c r="H224">
        <v>3</v>
      </c>
      <c r="I224" s="1">
        <v>21.5</v>
      </c>
      <c r="J224" s="2">
        <v>7.9166666666666663E-2</v>
      </c>
      <c r="K224" s="12">
        <f>Combined[[#This Row],[Time Spent]]*24</f>
        <v>1.9</v>
      </c>
      <c r="L224" s="12">
        <f>MROUND(Combined[[#This Row],[Time Spent 2]],0.25)</f>
        <v>2</v>
      </c>
      <c r="M224" s="2" t="s">
        <v>91</v>
      </c>
      <c r="N224" t="s">
        <v>80</v>
      </c>
      <c r="O224">
        <f>MATCH(Combined[[#This Row],[Primary Area]],KPIs!$C$4:$C$7,0)</f>
        <v>2</v>
      </c>
      <c r="P224"/>
      <c r="Q224" s="40">
        <v>44913</v>
      </c>
      <c r="R224" s="40">
        <f t="shared" si="17"/>
        <v>44913</v>
      </c>
      <c r="S224" s="4" t="str">
        <f>TEXT(Mileage[[#This Row],[Date]],"dddd")</f>
        <v>Sunday</v>
      </c>
      <c r="T224" s="4" t="s">
        <v>249</v>
      </c>
      <c r="U224" s="4">
        <v>27.7</v>
      </c>
      <c r="V224" t="str" cm="1">
        <f t="array" ref="V224">IFERROR(VLOOKUP(MODE(IF(Combined[Date]=Mileage[[#This Row],[Date]],Combined[Area '#])),KPIs!$B$4:$C$7,2,FALSE),VLOOKUP(Mileage[[#This Row],[Date]],Combined[[Date]:[Primary Area]],8,FALSE))</f>
        <v>Portland</v>
      </c>
      <c r="W224" s="106">
        <v>0.58680555555555558</v>
      </c>
      <c r="X224" s="12">
        <v>9.68</v>
      </c>
      <c r="Y224" s="4">
        <v>223</v>
      </c>
      <c r="Z2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5" spans="2:26" x14ac:dyDescent="0.35">
      <c r="B225">
        <f t="shared" si="16"/>
        <v>223</v>
      </c>
      <c r="C225" t="s">
        <v>83</v>
      </c>
      <c r="D225" t="s">
        <v>176</v>
      </c>
      <c r="E225">
        <f>IF(WEEKNUM(Combined[[#This Row],[Date]], 1) = 53, 1, WEEKNUM(Combined[[#This Row],[Date]], 2))</f>
        <v>21</v>
      </c>
      <c r="F225" t="str">
        <f t="shared" si="24"/>
        <v>Thursday</v>
      </c>
      <c r="G225" s="41">
        <v>44700</v>
      </c>
      <c r="H225">
        <v>2</v>
      </c>
      <c r="I225" s="1">
        <v>22.93</v>
      </c>
      <c r="J225" s="2">
        <v>0.14861111111111111</v>
      </c>
      <c r="K225" s="12">
        <f>Combined[[#This Row],[Time Spent]]*24</f>
        <v>3.5666666666666664</v>
      </c>
      <c r="L225" s="12">
        <f>MROUND(Combined[[#This Row],[Time Spent 2]],0.25)</f>
        <v>3.5</v>
      </c>
      <c r="M225" s="2" t="s">
        <v>91</v>
      </c>
      <c r="N225" t="s">
        <v>80</v>
      </c>
      <c r="O225">
        <f>MATCH(Combined[[#This Row],[Primary Area]],KPIs!$C$4:$C$7,0)</f>
        <v>2</v>
      </c>
      <c r="P225"/>
      <c r="Q225" s="40">
        <v>44914</v>
      </c>
      <c r="R225" s="40">
        <f t="shared" si="17"/>
        <v>44914</v>
      </c>
      <c r="S225" s="4" t="str">
        <f>TEXT(Mileage[[#This Row],[Date]],"dddd")</f>
        <v>Monday</v>
      </c>
      <c r="T225" s="4" t="s">
        <v>249</v>
      </c>
      <c r="U225" s="4">
        <v>27.5</v>
      </c>
      <c r="V225" t="str" cm="1">
        <f t="array" ref="V225">IFERROR(VLOOKUP(MODE(IF(Combined[Date]=Mileage[[#This Row],[Date]],Combined[Area '#])),KPIs!$B$4:$C$7,2,FALSE),VLOOKUP(Mileage[[#This Row],[Date]],Combined[[Date]:[Primary Area]],8,FALSE))</f>
        <v>Lewiston</v>
      </c>
      <c r="W225" s="106">
        <v>0.65972222222222221</v>
      </c>
      <c r="X225" s="12">
        <v>0.8</v>
      </c>
      <c r="Y225" s="4">
        <v>16</v>
      </c>
      <c r="Z2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6" spans="2:26" x14ac:dyDescent="0.35">
      <c r="B226">
        <f t="shared" si="16"/>
        <v>224</v>
      </c>
      <c r="C226" t="s">
        <v>86</v>
      </c>
      <c r="D226" t="s">
        <v>176</v>
      </c>
      <c r="E226">
        <f>IF(WEEKNUM(Combined[[#This Row],[Date]], 1) = 53, 1, WEEKNUM(Combined[[#This Row],[Date]], 2))</f>
        <v>21</v>
      </c>
      <c r="F226" t="str">
        <f>TEXT(WEEKDAY(G226,1),"DDDD")</f>
        <v>Thursday</v>
      </c>
      <c r="G226" s="41">
        <v>44700</v>
      </c>
      <c r="H226">
        <v>2</v>
      </c>
      <c r="I226" s="1">
        <v>16</v>
      </c>
      <c r="J226" s="2">
        <v>6.3888888888888884E-2</v>
      </c>
      <c r="K226" s="12">
        <f>Combined[[#This Row],[Time Spent]]*24</f>
        <v>1.5333333333333332</v>
      </c>
      <c r="L226" s="12">
        <f>MROUND(Combined[[#This Row],[Time Spent 2]],0.25)</f>
        <v>1.5</v>
      </c>
      <c r="M226" s="2" t="s">
        <v>91</v>
      </c>
      <c r="N226" t="s">
        <v>80</v>
      </c>
      <c r="O226">
        <f>MATCH(Combined[[#This Row],[Primary Area]],KPIs!$C$4:$C$7,0)</f>
        <v>2</v>
      </c>
      <c r="P226"/>
      <c r="Q226" s="40">
        <v>44915</v>
      </c>
      <c r="R226" s="40">
        <f t="shared" si="17"/>
        <v>44915</v>
      </c>
      <c r="S226" s="4" t="str">
        <f>TEXT(Mileage[[#This Row],[Date]],"dddd")</f>
        <v>Tuesday</v>
      </c>
      <c r="T226" s="4" t="s">
        <v>249</v>
      </c>
      <c r="U226" s="4">
        <v>31.5</v>
      </c>
      <c r="V226" t="str" cm="1">
        <f t="array" ref="V226">IFERROR(VLOOKUP(MODE(IF(Combined[Date]=Mileage[[#This Row],[Date]],Combined[Area '#])),KPIs!$B$4:$C$7,2,FALSE),VLOOKUP(Mileage[[#This Row],[Date]],Combined[[Date]:[Primary Area]],8,FALSE))</f>
        <v>Brunswick/Bath/Freeport</v>
      </c>
      <c r="W226" s="106">
        <v>0.48958333333333331</v>
      </c>
      <c r="X226" s="12">
        <v>8.6199999999999992</v>
      </c>
      <c r="Y226" s="4">
        <f>70.2+46.1+60.7</f>
        <v>177</v>
      </c>
      <c r="Z22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7" spans="2:26" x14ac:dyDescent="0.35">
      <c r="B227">
        <f t="shared" si="16"/>
        <v>225</v>
      </c>
      <c r="C227" t="s">
        <v>83</v>
      </c>
      <c r="D227" t="s">
        <v>176</v>
      </c>
      <c r="E227">
        <f>IF(WEEKNUM(Combined[[#This Row],[Date]], 1) = 53, 1, WEEKNUM(Combined[[#This Row],[Date]], 2))</f>
        <v>21</v>
      </c>
      <c r="F227" t="str">
        <f t="shared" ref="F227" si="25">TEXT(WEEKDAY(G227,1),"DDDD")</f>
        <v>Friday</v>
      </c>
      <c r="G227" s="41">
        <v>44701</v>
      </c>
      <c r="H227">
        <v>5</v>
      </c>
      <c r="I227" s="1">
        <v>23.25</v>
      </c>
      <c r="J227" s="2">
        <v>8.4027777777777771E-2</v>
      </c>
      <c r="K227" s="12">
        <f>Combined[[#This Row],[Time Spent]]*24</f>
        <v>2.0166666666666666</v>
      </c>
      <c r="L227" s="12">
        <f>MROUND(Combined[[#This Row],[Time Spent 2]],0.25)</f>
        <v>2</v>
      </c>
      <c r="M227" s="2" t="s">
        <v>91</v>
      </c>
      <c r="N227" t="s">
        <v>82</v>
      </c>
      <c r="O227">
        <f>MATCH(Combined[[#This Row],[Primary Area]],KPIs!$C$4:$C$7,0)</f>
        <v>3</v>
      </c>
      <c r="P227"/>
      <c r="Q227" s="40">
        <v>44922</v>
      </c>
      <c r="R227" s="40">
        <f t="shared" si="17"/>
        <v>44922</v>
      </c>
      <c r="S227" s="4" t="str">
        <f>TEXT(Mileage[[#This Row],[Date]],"dddd")</f>
        <v>Tuesday</v>
      </c>
      <c r="T227" s="4" t="s">
        <v>235</v>
      </c>
      <c r="U227" s="4">
        <v>31</v>
      </c>
      <c r="V227" t="str" cm="1">
        <f t="array" ref="V227">IFERROR(VLOOKUP(MODE(IF(Combined[Date]=Mileage[[#This Row],[Date]],Combined[Area '#])),KPIs!$B$4:$C$7,2,FALSE),VLOOKUP(Mileage[[#This Row],[Date]],Combined[[Date]:[Primary Area]],8,FALSE))</f>
        <v>Augusta</v>
      </c>
      <c r="W227" s="106">
        <v>0.72569444444444453</v>
      </c>
      <c r="X227" s="12">
        <v>3.93</v>
      </c>
      <c r="Y227" s="4">
        <f>2.6+21.1+35.9+12.8</f>
        <v>72.400000000000006</v>
      </c>
      <c r="Z22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28" spans="2:26" x14ac:dyDescent="0.35">
      <c r="B228">
        <f t="shared" si="16"/>
        <v>226</v>
      </c>
      <c r="C228" t="s">
        <v>83</v>
      </c>
      <c r="D228" t="s">
        <v>176</v>
      </c>
      <c r="E228">
        <f>IF(WEEKNUM(Combined[[#This Row],[Date]], 1) = 53, 1, WEEKNUM(Combined[[#This Row],[Date]], 2))</f>
        <v>22</v>
      </c>
      <c r="F228" t="str">
        <f t="shared" ref="F228:F231" si="26">TEXT(WEEKDAY(G228,1),"DDDD")</f>
        <v>Monday</v>
      </c>
      <c r="G228" s="41">
        <v>44704</v>
      </c>
      <c r="H228">
        <v>4</v>
      </c>
      <c r="I228" s="1">
        <v>52.4</v>
      </c>
      <c r="J228" s="2">
        <v>0.20555555555555557</v>
      </c>
      <c r="K228" s="12">
        <f>Combined[[#This Row],[Time Spent]]*24</f>
        <v>4.9333333333333336</v>
      </c>
      <c r="L228" s="12">
        <f>MROUND(Combined[[#This Row],[Time Spent 2]],0.25)</f>
        <v>5</v>
      </c>
      <c r="M228" s="2" t="s">
        <v>91</v>
      </c>
      <c r="N228" t="s">
        <v>85</v>
      </c>
      <c r="O228">
        <f>MATCH(Combined[[#This Row],[Primary Area]],KPIs!$C$4:$C$7,0)</f>
        <v>4</v>
      </c>
      <c r="P228"/>
      <c r="Q228" s="40">
        <v>44924</v>
      </c>
      <c r="R228" s="40">
        <f t="shared" si="17"/>
        <v>44924</v>
      </c>
      <c r="S228" s="4" t="str">
        <f>TEXT(Mileage[[#This Row],[Date]],"dddd")</f>
        <v>Thursday</v>
      </c>
      <c r="T228" s="4" t="s">
        <v>230</v>
      </c>
      <c r="U228" s="4">
        <v>49</v>
      </c>
      <c r="V228" t="str" cm="1">
        <f t="array" ref="V228">IFERROR(VLOOKUP(MODE(IF(Combined[Date]=Mileage[[#This Row],[Date]],Combined[Area '#])),KPIs!$B$4:$C$7,2,FALSE),VLOOKUP(Mileage[[#This Row],[Date]],Combined[[Date]:[Primary Area]],8,FALSE))</f>
        <v>Brunswick/Bath/Freeport</v>
      </c>
      <c r="W228" s="106">
        <v>0.72569444444444453</v>
      </c>
      <c r="X228" s="12">
        <v>7.1</v>
      </c>
      <c r="Y228" s="4">
        <f>20.8+116.5</f>
        <v>137.30000000000001</v>
      </c>
      <c r="Z2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29" spans="2:26" x14ac:dyDescent="0.35">
      <c r="B229">
        <f t="shared" si="16"/>
        <v>227</v>
      </c>
      <c r="C229" t="s">
        <v>86</v>
      </c>
      <c r="D229" t="s">
        <v>176</v>
      </c>
      <c r="E229">
        <f>IF(WEEKNUM(Combined[[#This Row],[Date]], 1) = 53, 1, WEEKNUM(Combined[[#This Row],[Date]], 2))</f>
        <v>22</v>
      </c>
      <c r="F229" t="str">
        <f t="shared" si="26"/>
        <v>Monday</v>
      </c>
      <c r="G229" s="41">
        <v>44704</v>
      </c>
      <c r="H229">
        <v>2</v>
      </c>
      <c r="I229" s="1">
        <v>10.5</v>
      </c>
      <c r="J229" s="2">
        <v>6.5972222222222224E-2</v>
      </c>
      <c r="K229" s="12">
        <f>Combined[[#This Row],[Time Spent]]*24</f>
        <v>1.5833333333333335</v>
      </c>
      <c r="L229" s="12">
        <f>MROUND(Combined[[#This Row],[Time Spent 2]],0.25)</f>
        <v>1.5</v>
      </c>
      <c r="M229" s="2" t="s">
        <v>91</v>
      </c>
      <c r="N229" t="s">
        <v>85</v>
      </c>
      <c r="O229">
        <f>MATCH(Combined[[#This Row],[Primary Area]],KPIs!$C$4:$C$7,0)</f>
        <v>4</v>
      </c>
      <c r="P229"/>
      <c r="Q229" s="40">
        <v>44925</v>
      </c>
      <c r="R229" s="40">
        <f t="shared" si="17"/>
        <v>44925</v>
      </c>
      <c r="S229" s="4" t="str">
        <f>TEXT(Mileage[[#This Row],[Date]],"dddd")</f>
        <v>Friday</v>
      </c>
      <c r="T229" s="4" t="s">
        <v>236</v>
      </c>
      <c r="U229" s="4">
        <v>50.7</v>
      </c>
      <c r="V229" t="str" cm="1">
        <f t="array" ref="V229">IFERROR(VLOOKUP(MODE(IF(Combined[Date]=Mileage[[#This Row],[Date]],Combined[Area '#])),KPIs!$B$4:$C$7,2,FALSE),VLOOKUP(Mileage[[#This Row],[Date]],Combined[[Date]:[Primary Area]],8,FALSE))</f>
        <v>Brunswick/Bath/Freeport</v>
      </c>
      <c r="W229" s="106">
        <v>0.74652777777777779</v>
      </c>
      <c r="X229" s="12">
        <v>5.8</v>
      </c>
      <c r="Y229" s="4">
        <v>141</v>
      </c>
      <c r="Z22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30" spans="2:26" x14ac:dyDescent="0.35">
      <c r="B230">
        <f t="shared" si="16"/>
        <v>228</v>
      </c>
      <c r="C230" t="s">
        <v>86</v>
      </c>
      <c r="D230" t="s">
        <v>176</v>
      </c>
      <c r="E230">
        <f>IF(WEEKNUM(Combined[[#This Row],[Date]], 1) = 53, 1, WEEKNUM(Combined[[#This Row],[Date]], 2))</f>
        <v>22</v>
      </c>
      <c r="F230" t="str">
        <f t="shared" si="26"/>
        <v>Monday</v>
      </c>
      <c r="G230" s="41">
        <v>44704</v>
      </c>
      <c r="H230">
        <v>2</v>
      </c>
      <c r="I230" s="1">
        <v>17</v>
      </c>
      <c r="J230" s="2">
        <v>4.0972222222222222E-2</v>
      </c>
      <c r="K230" s="12">
        <f>Combined[[#This Row],[Time Spent]]*24</f>
        <v>0.98333333333333339</v>
      </c>
      <c r="L230" s="12">
        <f>MROUND(Combined[[#This Row],[Time Spent 2]],0.25)</f>
        <v>1</v>
      </c>
      <c r="M230" s="2" t="s">
        <v>91</v>
      </c>
      <c r="N230" t="s">
        <v>85</v>
      </c>
      <c r="O230">
        <f>MATCH(Combined[[#This Row],[Primary Area]],KPIs!$C$4:$C$7,0)</f>
        <v>4</v>
      </c>
      <c r="P230"/>
      <c r="Q230" s="40">
        <v>44927</v>
      </c>
      <c r="R230" s="40">
        <f t="shared" si="17"/>
        <v>44927</v>
      </c>
      <c r="S230" s="4" t="str">
        <f>TEXT(Mileage[[#This Row],[Date]],"dddd")</f>
        <v>Sunday</v>
      </c>
      <c r="T230" s="4" t="s">
        <v>249</v>
      </c>
      <c r="U230" s="4">
        <v>46.1</v>
      </c>
      <c r="V230" t="str" cm="1">
        <f t="array" ref="V230">IFERROR(VLOOKUP(MODE(IF(Combined[Date]=Mileage[[#This Row],[Date]],Combined[Area '#])),KPIs!$B$4:$C$7,2,FALSE),VLOOKUP(Mileage[[#This Row],[Date]],Combined[[Date]:[Primary Area]],8,FALSE))</f>
        <v>Brunswick/Bath/Freeport</v>
      </c>
      <c r="W230" s="106">
        <v>0.63541666666666663</v>
      </c>
      <c r="X230" s="12">
        <v>8.32</v>
      </c>
      <c r="Y230" s="4">
        <f>79.5+9.4+1.8+44.8</f>
        <v>135.5</v>
      </c>
      <c r="Z23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1" spans="2:26" x14ac:dyDescent="0.35">
      <c r="B231">
        <f t="shared" si="16"/>
        <v>229</v>
      </c>
      <c r="C231" t="s">
        <v>86</v>
      </c>
      <c r="D231" t="s">
        <v>176</v>
      </c>
      <c r="E231">
        <f>IF(WEEKNUM(Combined[[#This Row],[Date]], 1) = 53, 1, WEEKNUM(Combined[[#This Row],[Date]], 2))</f>
        <v>22</v>
      </c>
      <c r="F231" t="str">
        <f t="shared" si="26"/>
        <v>Monday</v>
      </c>
      <c r="G231" s="41">
        <v>44704</v>
      </c>
      <c r="H231">
        <v>5</v>
      </c>
      <c r="I231" s="1">
        <v>29.5</v>
      </c>
      <c r="J231" s="2">
        <v>6.9444444444444434E-2</v>
      </c>
      <c r="K231" s="12">
        <f>Combined[[#This Row],[Time Spent]]*24</f>
        <v>1.6666666666666665</v>
      </c>
      <c r="L231" s="12">
        <f>MROUND(Combined[[#This Row],[Time Spent 2]],0.25)</f>
        <v>1.75</v>
      </c>
      <c r="M231" s="2" t="s">
        <v>91</v>
      </c>
      <c r="N231" t="s">
        <v>85</v>
      </c>
      <c r="O231">
        <f>MATCH(Combined[[#This Row],[Primary Area]],KPIs!$C$4:$C$7,0)</f>
        <v>4</v>
      </c>
      <c r="P231"/>
      <c r="Q231" s="40">
        <v>44929</v>
      </c>
      <c r="R231" s="40">
        <f t="shared" si="17"/>
        <v>44929</v>
      </c>
      <c r="S231" s="4" t="str">
        <f>TEXT(Mileage[[#This Row],[Date]],"dddd")</f>
        <v>Tuesday</v>
      </c>
      <c r="T231" s="4" t="s">
        <v>236</v>
      </c>
      <c r="U231" s="4">
        <v>44.1</v>
      </c>
      <c r="V231" t="str" cm="1">
        <f t="array" ref="V231">IFERROR(VLOOKUP(MODE(IF(Combined[Date]=Mileage[[#This Row],[Date]],Combined[Area '#])),KPIs!$B$4:$C$7,2,FALSE),VLOOKUP(Mileage[[#This Row],[Date]],Combined[[Date]:[Primary Area]],8,FALSE))</f>
        <v>Brunswick/Bath/Freeport</v>
      </c>
      <c r="W231" s="106">
        <v>0.71527777777777779</v>
      </c>
      <c r="X231" s="12">
        <v>5.75</v>
      </c>
      <c r="Y231" s="4">
        <v>94</v>
      </c>
      <c r="Z2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2" spans="2:26" x14ac:dyDescent="0.35">
      <c r="B232">
        <f t="shared" si="16"/>
        <v>230</v>
      </c>
      <c r="C232" t="s">
        <v>83</v>
      </c>
      <c r="D232" t="s">
        <v>176</v>
      </c>
      <c r="E232">
        <f>IF(WEEKNUM(Combined[[#This Row],[Date]], 1) = 53, 1, WEEKNUM(Combined[[#This Row],[Date]], 2))</f>
        <v>23</v>
      </c>
      <c r="F232" t="str">
        <f t="shared" ref="F232:F234" si="27">TEXT(WEEKDAY(G232,1),"DDDD")</f>
        <v>Thursday</v>
      </c>
      <c r="G232" s="41">
        <v>44714</v>
      </c>
      <c r="H232">
        <v>2</v>
      </c>
      <c r="I232" s="1">
        <v>53.15</v>
      </c>
      <c r="J232" s="2">
        <v>0.16111111111111112</v>
      </c>
      <c r="K232" s="12">
        <f>Combined[[#This Row],[Time Spent]]*24</f>
        <v>3.8666666666666671</v>
      </c>
      <c r="L232" s="12">
        <f>MROUND(Combined[[#This Row],[Time Spent 2]],0.25)</f>
        <v>3.75</v>
      </c>
      <c r="M232" s="2" t="s">
        <v>91</v>
      </c>
      <c r="N232" t="s">
        <v>80</v>
      </c>
      <c r="O232">
        <f>MATCH(Combined[[#This Row],[Primary Area]],KPIs!$C$4:$C$7,0)</f>
        <v>2</v>
      </c>
      <c r="P232"/>
      <c r="Q232" s="40">
        <v>44930</v>
      </c>
      <c r="R232" s="40">
        <f t="shared" si="17"/>
        <v>44930</v>
      </c>
      <c r="S232" s="4" t="str">
        <f>TEXT(Mileage[[#This Row],[Date]],"dddd")</f>
        <v>Wednesday</v>
      </c>
      <c r="T232" s="4" t="s">
        <v>233</v>
      </c>
      <c r="U232" s="4">
        <v>32.200000000000003</v>
      </c>
      <c r="V232" t="str" cm="1">
        <f t="array" ref="V232">IFERROR(VLOOKUP(MODE(IF(Combined[Date]=Mileage[[#This Row],[Date]],Combined[Area '#])),KPIs!$B$4:$C$7,2,FALSE),VLOOKUP(Mileage[[#This Row],[Date]],Combined[[Date]:[Primary Area]],8,FALSE))</f>
        <v>Portland</v>
      </c>
      <c r="W232" s="106">
        <v>0.64236111111111105</v>
      </c>
      <c r="X232" s="12">
        <v>6.4</v>
      </c>
      <c r="Y232" s="4">
        <v>113</v>
      </c>
      <c r="Z2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3" spans="2:26" x14ac:dyDescent="0.35">
      <c r="B233">
        <f t="shared" si="16"/>
        <v>231</v>
      </c>
      <c r="C233" t="s">
        <v>86</v>
      </c>
      <c r="D233" t="s">
        <v>176</v>
      </c>
      <c r="E233">
        <f>IF(WEEKNUM(Combined[[#This Row],[Date]], 1) = 53, 1, WEEKNUM(Combined[[#This Row],[Date]], 2))</f>
        <v>23</v>
      </c>
      <c r="F233" t="str">
        <f t="shared" si="27"/>
        <v>Thursday</v>
      </c>
      <c r="G233" s="41">
        <v>44714</v>
      </c>
      <c r="H233">
        <v>2</v>
      </c>
      <c r="I233" s="1">
        <v>20.5</v>
      </c>
      <c r="J233" s="2">
        <v>9.2361111111111116E-2</v>
      </c>
      <c r="K233" s="12">
        <f>Combined[[#This Row],[Time Spent]]*24</f>
        <v>2.2166666666666668</v>
      </c>
      <c r="L233" s="12">
        <f>MROUND(Combined[[#This Row],[Time Spent 2]],0.25)</f>
        <v>2.25</v>
      </c>
      <c r="M233" s="2" t="s">
        <v>91</v>
      </c>
      <c r="N233" t="s">
        <v>80</v>
      </c>
      <c r="O233">
        <f>MATCH(Combined[[#This Row],[Primary Area]],KPIs!$C$4:$C$7,0)</f>
        <v>2</v>
      </c>
      <c r="P233"/>
      <c r="Q233" s="40">
        <v>44931</v>
      </c>
      <c r="R233" s="40">
        <f t="shared" si="17"/>
        <v>44931</v>
      </c>
      <c r="S233" s="4" t="str">
        <f>TEXT(Mileage[[#This Row],[Date]],"dddd")</f>
        <v>Thursday</v>
      </c>
      <c r="T233" s="4" t="s">
        <v>233</v>
      </c>
      <c r="U233" s="4">
        <v>30.5</v>
      </c>
      <c r="V233" t="str" cm="1">
        <f t="array" ref="V233">IFERROR(VLOOKUP(MODE(IF(Combined[Date]=Mileage[[#This Row],[Date]],Combined[Area '#])),KPIs!$B$4:$C$7,2,FALSE),VLOOKUP(Mileage[[#This Row],[Date]],Combined[[Date]:[Primary Area]],8,FALSE))</f>
        <v>Portland</v>
      </c>
      <c r="W233" s="106">
        <v>0.71180555555555547</v>
      </c>
      <c r="X233" s="12">
        <v>4.9800000000000004</v>
      </c>
      <c r="Y233" s="4">
        <v>113</v>
      </c>
      <c r="Z2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4" spans="2:26" x14ac:dyDescent="0.35">
      <c r="B234">
        <f t="shared" si="16"/>
        <v>232</v>
      </c>
      <c r="C234" t="s">
        <v>86</v>
      </c>
      <c r="D234" t="s">
        <v>176</v>
      </c>
      <c r="E234">
        <f>IF(WEEKNUM(Combined[[#This Row],[Date]], 1) = 53, 1, WEEKNUM(Combined[[#This Row],[Date]], 2))</f>
        <v>23</v>
      </c>
      <c r="F234" t="str">
        <f t="shared" si="27"/>
        <v>Thursday</v>
      </c>
      <c r="G234" s="41">
        <v>44714</v>
      </c>
      <c r="H234">
        <v>2</v>
      </c>
      <c r="I234" s="1">
        <v>17.75</v>
      </c>
      <c r="J234" s="2">
        <v>3.6805555555555557E-2</v>
      </c>
      <c r="K234" s="12">
        <f>Combined[[#This Row],[Time Spent]]*24</f>
        <v>0.8833333333333333</v>
      </c>
      <c r="L234" s="12">
        <f>MROUND(Combined[[#This Row],[Time Spent 2]],0.25)</f>
        <v>1</v>
      </c>
      <c r="M234" s="2" t="s">
        <v>91</v>
      </c>
      <c r="N234" t="s">
        <v>80</v>
      </c>
      <c r="O234">
        <f>MATCH(Combined[[#This Row],[Primary Area]],KPIs!$C$4:$C$7,0)</f>
        <v>2</v>
      </c>
      <c r="P234"/>
      <c r="Q234" s="40">
        <v>44934</v>
      </c>
      <c r="R234" s="40">
        <f t="shared" si="17"/>
        <v>44934</v>
      </c>
      <c r="S234" s="4" t="str">
        <f>TEXT(Mileage[[#This Row],[Date]],"dddd")</f>
        <v>Sunday</v>
      </c>
      <c r="T234" s="4" t="s">
        <v>249</v>
      </c>
      <c r="U234" s="4">
        <v>34.1</v>
      </c>
      <c r="V234" t="str" cm="1">
        <f t="array" ref="V234">IFERROR(VLOOKUP(MODE(IF(Combined[Date]=Mileage[[#This Row],[Date]],Combined[Area '#])),KPIs!$B$4:$C$7,2,FALSE),VLOOKUP(Mileage[[#This Row],[Date]],Combined[[Date]:[Primary Area]],8,FALSE))</f>
        <v>Augusta</v>
      </c>
      <c r="W234" s="106">
        <v>0.74652777777777779</v>
      </c>
      <c r="X234" s="12">
        <v>5.57</v>
      </c>
      <c r="Y234" s="4">
        <v>114.4</v>
      </c>
      <c r="Z2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5" spans="2:26" x14ac:dyDescent="0.35">
      <c r="B235">
        <f t="shared" si="16"/>
        <v>233</v>
      </c>
      <c r="C235" t="s">
        <v>86</v>
      </c>
      <c r="D235" t="s">
        <v>176</v>
      </c>
      <c r="E235">
        <f>IF(WEEKNUM(Combined[[#This Row],[Date]], 1) = 53, 1, WEEKNUM(Combined[[#This Row],[Date]], 2))</f>
        <v>23</v>
      </c>
      <c r="F235" t="str">
        <f t="shared" ref="F235:F236" si="28">TEXT(WEEKDAY(G235,1),"DDDD")</f>
        <v>Friday</v>
      </c>
      <c r="G235" s="41">
        <v>44715</v>
      </c>
      <c r="H235">
        <v>1</v>
      </c>
      <c r="I235" s="1">
        <v>11.75</v>
      </c>
      <c r="J235" s="2">
        <v>3.5416666666666666E-2</v>
      </c>
      <c r="K235" s="12">
        <f>Combined[[#This Row],[Time Spent]]*24</f>
        <v>0.85</v>
      </c>
      <c r="L235" s="12">
        <f>MROUND(Combined[[#This Row],[Time Spent 2]],0.25)</f>
        <v>0.75</v>
      </c>
      <c r="M235" s="2" t="s">
        <v>91</v>
      </c>
      <c r="N235" t="s">
        <v>85</v>
      </c>
      <c r="O235">
        <f>MATCH(Combined[[#This Row],[Primary Area]],KPIs!$C$4:$C$7,0)</f>
        <v>4</v>
      </c>
      <c r="P235"/>
      <c r="Q235" s="40">
        <v>44935</v>
      </c>
      <c r="R235" s="40">
        <f t="shared" si="17"/>
        <v>44935</v>
      </c>
      <c r="S235" s="4" t="str">
        <f>TEXT(Mileage[[#This Row],[Date]],"dddd")</f>
        <v>Monday</v>
      </c>
      <c r="T235" s="4" t="s">
        <v>249</v>
      </c>
      <c r="U235" s="4">
        <v>27</v>
      </c>
      <c r="V235" t="str" cm="1">
        <f t="array" ref="V235">IFERROR(VLOOKUP(MODE(IF(Combined[Date]=Mileage[[#This Row],[Date]],Combined[Area '#])),KPIs!$B$4:$C$7,2,FALSE),VLOOKUP(Mileage[[#This Row],[Date]],Combined[[Date]:[Primary Area]],8,FALSE))</f>
        <v>Lewiston</v>
      </c>
      <c r="W235" s="106">
        <v>0.72638888888888886</v>
      </c>
      <c r="X235" s="12">
        <v>5.72</v>
      </c>
      <c r="Y235" s="4">
        <v>111</v>
      </c>
      <c r="Z2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6" spans="2:26" x14ac:dyDescent="0.35">
      <c r="B236">
        <f t="shared" si="16"/>
        <v>234</v>
      </c>
      <c r="C236" t="s">
        <v>86</v>
      </c>
      <c r="D236" t="s">
        <v>176</v>
      </c>
      <c r="E236">
        <f>IF(WEEKNUM(Combined[[#This Row],[Date]], 1) = 53, 1, WEEKNUM(Combined[[#This Row],[Date]], 2))</f>
        <v>23</v>
      </c>
      <c r="F236" t="str">
        <f t="shared" si="28"/>
        <v>Friday</v>
      </c>
      <c r="G236" s="41">
        <v>44715</v>
      </c>
      <c r="H236">
        <v>2</v>
      </c>
      <c r="I236" s="1">
        <v>19.5</v>
      </c>
      <c r="J236" s="2">
        <v>6.6666666666666666E-2</v>
      </c>
      <c r="K236" s="12">
        <f>Combined[[#This Row],[Time Spent]]*24</f>
        <v>1.6</v>
      </c>
      <c r="L236" s="12">
        <f>MROUND(Combined[[#This Row],[Time Spent 2]],0.25)</f>
        <v>1.5</v>
      </c>
      <c r="M236" s="2" t="s">
        <v>91</v>
      </c>
      <c r="N236" t="s">
        <v>85</v>
      </c>
      <c r="O236">
        <f>MATCH(Combined[[#This Row],[Primary Area]],KPIs!$C$4:$C$7,0)</f>
        <v>4</v>
      </c>
      <c r="P236"/>
      <c r="Q236" s="40">
        <v>44936</v>
      </c>
      <c r="R236" s="40">
        <f t="shared" si="17"/>
        <v>44936</v>
      </c>
      <c r="S236" s="4" t="str">
        <f>TEXT(Mileage[[#This Row],[Date]],"dddd")</f>
        <v>Tuesday</v>
      </c>
      <c r="T236" s="4" t="s">
        <v>230</v>
      </c>
      <c r="U236" s="4">
        <v>27.1</v>
      </c>
      <c r="V236" t="str" cm="1">
        <f t="array" ref="V236">IFERROR(VLOOKUP(MODE(IF(Combined[Date]=Mileage[[#This Row],[Date]],Combined[Area '#])),KPIs!$B$4:$C$7,2,FALSE),VLOOKUP(Mileage[[#This Row],[Date]],Combined[[Date]:[Primary Area]],8,FALSE))</f>
        <v>Augusta</v>
      </c>
      <c r="W236" s="106">
        <v>0.73958333333333337</v>
      </c>
      <c r="X236" s="12">
        <v>5.5</v>
      </c>
      <c r="Y236" s="4">
        <v>128</v>
      </c>
      <c r="Z23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37" spans="2:26" x14ac:dyDescent="0.35">
      <c r="B237">
        <f t="shared" si="16"/>
        <v>235</v>
      </c>
      <c r="C237" t="s">
        <v>83</v>
      </c>
      <c r="D237" t="s">
        <v>176</v>
      </c>
      <c r="E237">
        <f>IF(WEEKNUM(Combined[[#This Row],[Date]], 1) = 53, 1, WEEKNUM(Combined[[#This Row],[Date]], 2))</f>
        <v>23</v>
      </c>
      <c r="F237" t="str">
        <f>TEXT(WEEKDAY(G237,1),"DDDD")</f>
        <v>Friday</v>
      </c>
      <c r="G237" s="41">
        <v>44715</v>
      </c>
      <c r="H237">
        <v>1</v>
      </c>
      <c r="I237" s="1">
        <v>9.9700000000000006</v>
      </c>
      <c r="J237" s="2">
        <v>0.16041666666666668</v>
      </c>
      <c r="K237" s="12">
        <f>Combined[[#This Row],[Time Spent]]*24</f>
        <v>3.8500000000000005</v>
      </c>
      <c r="L237" s="12">
        <f>MROUND(Combined[[#This Row],[Time Spent 2]],0.25)</f>
        <v>3.75</v>
      </c>
      <c r="M237" s="2" t="s">
        <v>91</v>
      </c>
      <c r="N237" t="s">
        <v>85</v>
      </c>
      <c r="O237">
        <f>MATCH(Combined[[#This Row],[Primary Area]],KPIs!$C$4:$C$7,0)</f>
        <v>4</v>
      </c>
      <c r="P237"/>
      <c r="Q237" s="40">
        <v>44937</v>
      </c>
      <c r="R237" s="40">
        <f t="shared" si="17"/>
        <v>44937</v>
      </c>
      <c r="S237" s="4" t="str">
        <f>TEXT(Mileage[[#This Row],[Date]],"dddd")</f>
        <v>Wednesday</v>
      </c>
      <c r="T237" s="4" t="s">
        <v>233</v>
      </c>
      <c r="U237" s="4">
        <v>32.1</v>
      </c>
      <c r="V237" t="str" cm="1">
        <f t="array" ref="V237">IFERROR(VLOOKUP(MODE(IF(Combined[Date]=Mileage[[#This Row],[Date]],Combined[Area '#])),KPIs!$B$4:$C$7,2,FALSE),VLOOKUP(Mileage[[#This Row],[Date]],Combined[[Date]:[Primary Area]],8,FALSE))</f>
        <v>Lewiston</v>
      </c>
      <c r="W237" s="106">
        <v>0.75</v>
      </c>
      <c r="X237" s="12">
        <v>0.45</v>
      </c>
      <c r="Y237" s="4">
        <v>9</v>
      </c>
      <c r="Z23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38" spans="2:26" x14ac:dyDescent="0.35">
      <c r="B238">
        <f t="shared" si="16"/>
        <v>236</v>
      </c>
      <c r="C238" t="s">
        <v>83</v>
      </c>
      <c r="D238" t="s">
        <v>176</v>
      </c>
      <c r="E238">
        <f>IF(WEEKNUM(Combined[[#This Row],[Date]], 1) = 53, 1, WEEKNUM(Combined[[#This Row],[Date]], 2))</f>
        <v>24</v>
      </c>
      <c r="F238" t="str">
        <f t="shared" ref="F238:F239" si="29">TEXT(WEEKDAY(G238,1),"DDDD")</f>
        <v>Thursday</v>
      </c>
      <c r="G238" s="41">
        <v>44721</v>
      </c>
      <c r="H238">
        <v>1</v>
      </c>
      <c r="I238" s="1">
        <f>11.17+0.35</f>
        <v>11.52</v>
      </c>
      <c r="J238" s="2">
        <v>0.21319444444444444</v>
      </c>
      <c r="K238" s="12">
        <f>Combined[[#This Row],[Time Spent]]*24</f>
        <v>5.1166666666666663</v>
      </c>
      <c r="L238" s="12">
        <f>MROUND(Combined[[#This Row],[Time Spent 2]],0.25)</f>
        <v>5</v>
      </c>
      <c r="M238" s="2" t="s">
        <v>91</v>
      </c>
      <c r="N238" t="s">
        <v>80</v>
      </c>
      <c r="O238">
        <f>MATCH(Combined[[#This Row],[Primary Area]],KPIs!$C$4:$C$7,0)</f>
        <v>2</v>
      </c>
      <c r="P238"/>
      <c r="Q238" s="40">
        <v>44938</v>
      </c>
      <c r="R238" s="40">
        <f t="shared" si="17"/>
        <v>44938</v>
      </c>
      <c r="S238" s="4" t="str">
        <f>TEXT(Mileage[[#This Row],[Date]],"dddd")</f>
        <v>Thursday</v>
      </c>
      <c r="T238" s="4" t="s">
        <v>236</v>
      </c>
      <c r="U238" s="4">
        <v>51.9</v>
      </c>
      <c r="V238" t="str" cm="1">
        <f t="array" ref="V238">IFERROR(VLOOKUP(MODE(IF(Combined[Date]=Mileage[[#This Row],[Date]],Combined[Area '#])),KPIs!$B$4:$C$7,2,FALSE),VLOOKUP(Mileage[[#This Row],[Date]],Combined[[Date]:[Primary Area]],8,FALSE))</f>
        <v>Augusta</v>
      </c>
      <c r="W238" s="106">
        <v>0.72916666666666663</v>
      </c>
      <c r="X238" s="12">
        <v>6.23</v>
      </c>
      <c r="Y238" s="4">
        <v>122</v>
      </c>
      <c r="Z23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39" spans="2:26" x14ac:dyDescent="0.35">
      <c r="B239">
        <f t="shared" si="16"/>
        <v>237</v>
      </c>
      <c r="C239" t="s">
        <v>86</v>
      </c>
      <c r="D239" t="s">
        <v>176</v>
      </c>
      <c r="E239">
        <f>IF(WEEKNUM(Combined[[#This Row],[Date]], 1) = 53, 1, WEEKNUM(Combined[[#This Row],[Date]], 2))</f>
        <v>24</v>
      </c>
      <c r="F239" t="str">
        <f t="shared" si="29"/>
        <v>Thursday</v>
      </c>
      <c r="G239" s="41">
        <v>44721</v>
      </c>
      <c r="H239">
        <v>10</v>
      </c>
      <c r="I239" s="1">
        <v>77.11</v>
      </c>
      <c r="J239" s="2">
        <v>0.24097222222222223</v>
      </c>
      <c r="K239" s="12">
        <f>Combined[[#This Row],[Time Spent]]*24</f>
        <v>5.7833333333333332</v>
      </c>
      <c r="L239" s="12">
        <f>MROUND(Combined[[#This Row],[Time Spent 2]],0.25)</f>
        <v>5.75</v>
      </c>
      <c r="M239" s="2" t="s">
        <v>91</v>
      </c>
      <c r="N239" t="s">
        <v>80</v>
      </c>
      <c r="O239">
        <f>MATCH(Combined[[#This Row],[Primary Area]],KPIs!$C$4:$C$7,0)</f>
        <v>2</v>
      </c>
      <c r="P239"/>
      <c r="Q239" s="40">
        <v>44939</v>
      </c>
      <c r="R239" s="40">
        <f t="shared" si="17"/>
        <v>44939</v>
      </c>
      <c r="S239" s="4" t="str">
        <f>TEXT(Mileage[[#This Row],[Date]],"dddd")</f>
        <v>Friday</v>
      </c>
      <c r="T239" s="4" t="s">
        <v>233</v>
      </c>
      <c r="U239" s="4">
        <v>27.9</v>
      </c>
      <c r="V239" t="str" cm="1">
        <f t="array" ref="V239">IFERROR(VLOOKUP(MODE(IF(Combined[Date]=Mileage[[#This Row],[Date]],Combined[Area '#])),KPIs!$B$4:$C$7,2,FALSE),VLOOKUP(Mileage[[#This Row],[Date]],Combined[[Date]:[Primary Area]],8,FALSE))</f>
        <v>Lewiston</v>
      </c>
      <c r="W239" s="106">
        <v>0.72569444444444453</v>
      </c>
      <c r="X239" s="12">
        <v>9.07</v>
      </c>
      <c r="Y239" s="4">
        <v>109</v>
      </c>
      <c r="Z23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40" spans="2:26" x14ac:dyDescent="0.35">
      <c r="B240">
        <f t="shared" si="16"/>
        <v>238</v>
      </c>
      <c r="C240" t="s">
        <v>83</v>
      </c>
      <c r="D240" t="s">
        <v>176</v>
      </c>
      <c r="E240">
        <f>IF(WEEKNUM(Combined[[#This Row],[Date]], 1) = 53, 1, WEEKNUM(Combined[[#This Row],[Date]], 2))</f>
        <v>24</v>
      </c>
      <c r="F240" t="str">
        <f t="shared" ref="F240:F242" si="30">TEXT(WEEKDAY(G240,1),"DDDD")</f>
        <v>Friday</v>
      </c>
      <c r="G240" s="41">
        <v>44722</v>
      </c>
      <c r="H240">
        <v>2</v>
      </c>
      <c r="I240" s="1">
        <v>48.75</v>
      </c>
      <c r="J240" s="2">
        <v>0.23333333333333331</v>
      </c>
      <c r="K240" s="12">
        <f>Combined[[#This Row],[Time Spent]]*24</f>
        <v>5.6</v>
      </c>
      <c r="L240" s="12">
        <f>MROUND(Combined[[#This Row],[Time Spent 2]],0.25)</f>
        <v>5.5</v>
      </c>
      <c r="M240" s="2" t="s">
        <v>91</v>
      </c>
      <c r="N240" t="s">
        <v>85</v>
      </c>
      <c r="O240">
        <f>MATCH(Combined[[#This Row],[Primary Area]],KPIs!$C$4:$C$7,0)</f>
        <v>4</v>
      </c>
      <c r="P240"/>
      <c r="Q240" s="40">
        <v>44942</v>
      </c>
      <c r="R240" s="40">
        <f t="shared" si="17"/>
        <v>44942</v>
      </c>
      <c r="S240" s="4" t="str">
        <f>TEXT(Mileage[[#This Row],[Date]],"dddd")</f>
        <v>Monday</v>
      </c>
      <c r="T240" s="4" t="s">
        <v>233</v>
      </c>
      <c r="U240" s="4">
        <v>37.1</v>
      </c>
      <c r="V240" t="str" cm="1">
        <f t="array" ref="V240">IFERROR(VLOOKUP(MODE(IF(Combined[Date]=Mileage[[#This Row],[Date]],Combined[Area '#])),KPIs!$B$4:$C$7,2,FALSE),VLOOKUP(Mileage[[#This Row],[Date]],Combined[[Date]:[Primary Area]],8,FALSE))</f>
        <v>Augusta</v>
      </c>
      <c r="W240" s="106">
        <v>0.70138888888888884</v>
      </c>
      <c r="X240" s="12">
        <v>6.15</v>
      </c>
      <c r="Y240" s="4">
        <v>141</v>
      </c>
      <c r="Z2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1" spans="2:26" x14ac:dyDescent="0.35">
      <c r="B241">
        <f t="shared" si="16"/>
        <v>239</v>
      </c>
      <c r="C241" t="s">
        <v>86</v>
      </c>
      <c r="D241" t="s">
        <v>176</v>
      </c>
      <c r="E241">
        <f>IF(WEEKNUM(Combined[[#This Row],[Date]], 1) = 53, 1, WEEKNUM(Combined[[#This Row],[Date]], 2))</f>
        <v>24</v>
      </c>
      <c r="F241" t="str">
        <f t="shared" si="30"/>
        <v>Friday</v>
      </c>
      <c r="G241" s="41">
        <v>44722</v>
      </c>
      <c r="H241">
        <v>8</v>
      </c>
      <c r="I241" s="1">
        <v>57.5</v>
      </c>
      <c r="J241" s="2">
        <v>0.1076388888888889</v>
      </c>
      <c r="K241" s="12">
        <f>Combined[[#This Row],[Time Spent]]*24</f>
        <v>2.5833333333333335</v>
      </c>
      <c r="L241" s="12">
        <f>MROUND(Combined[[#This Row],[Time Spent 2]],0.25)</f>
        <v>2.5</v>
      </c>
      <c r="M241" s="2" t="s">
        <v>92</v>
      </c>
      <c r="N241" t="s">
        <v>85</v>
      </c>
      <c r="O241">
        <f>MATCH(Combined[[#This Row],[Primary Area]],KPIs!$C$4:$C$7,0)</f>
        <v>4</v>
      </c>
      <c r="P241"/>
      <c r="Q241" s="40">
        <v>44945</v>
      </c>
      <c r="R241" s="40">
        <f t="shared" si="17"/>
        <v>44945</v>
      </c>
      <c r="S241" s="4" t="str">
        <f>TEXT(Mileage[[#This Row],[Date]],"dddd")</f>
        <v>Thursday</v>
      </c>
      <c r="T241" s="4" t="s">
        <v>232</v>
      </c>
      <c r="U241" s="4">
        <v>26.6</v>
      </c>
      <c r="V241" t="str" cm="1">
        <f t="array" ref="V241">IFERROR(VLOOKUP(MODE(IF(Combined[Date]=Mileage[[#This Row],[Date]],Combined[Area '#])),KPIs!$B$4:$C$7,2,FALSE),VLOOKUP(Mileage[[#This Row],[Date]],Combined[[Date]:[Primary Area]],8,FALSE))</f>
        <v>Lewiston</v>
      </c>
      <c r="W241" s="106">
        <v>0.71180555555555547</v>
      </c>
      <c r="X241" s="12">
        <v>6.52</v>
      </c>
      <c r="Y241" s="4">
        <v>82</v>
      </c>
      <c r="Z24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2" spans="2:26" x14ac:dyDescent="0.35">
      <c r="B242">
        <f t="shared" si="16"/>
        <v>240</v>
      </c>
      <c r="C242" t="s">
        <v>86</v>
      </c>
      <c r="D242" t="s">
        <v>176</v>
      </c>
      <c r="E242">
        <f>IF(WEEKNUM(Combined[[#This Row],[Date]], 1) = 53, 1, WEEKNUM(Combined[[#This Row],[Date]], 2))</f>
        <v>24</v>
      </c>
      <c r="F242" t="str">
        <f t="shared" si="30"/>
        <v>Friday</v>
      </c>
      <c r="G242" s="41">
        <v>44722</v>
      </c>
      <c r="H242">
        <v>6</v>
      </c>
      <c r="I242" s="1">
        <v>48.25</v>
      </c>
      <c r="J242" s="2">
        <v>0.10902777777777778</v>
      </c>
      <c r="K242" s="12">
        <f>Combined[[#This Row],[Time Spent]]*24</f>
        <v>2.6166666666666667</v>
      </c>
      <c r="L242" s="12">
        <f>MROUND(Combined[[#This Row],[Time Spent 2]],0.25)</f>
        <v>2.5</v>
      </c>
      <c r="M242" s="2" t="s">
        <v>92</v>
      </c>
      <c r="N242" t="s">
        <v>85</v>
      </c>
      <c r="O242">
        <f>MATCH(Combined[[#This Row],[Primary Area]],KPIs!$C$4:$C$7,0)</f>
        <v>4</v>
      </c>
      <c r="P242"/>
      <c r="Q242" s="40">
        <v>44947</v>
      </c>
      <c r="R242" s="40">
        <f t="shared" si="17"/>
        <v>44947</v>
      </c>
      <c r="S242" s="4" t="str">
        <f>TEXT(Mileage[[#This Row],[Date]],"dddd")</f>
        <v>Saturday</v>
      </c>
      <c r="T242" s="4" t="s">
        <v>234</v>
      </c>
      <c r="U242" s="4">
        <v>29.3</v>
      </c>
      <c r="V242" t="str" cm="1">
        <f t="array" ref="V242">IFERROR(VLOOKUP(MODE(IF(Combined[Date]=Mileage[[#This Row],[Date]],Combined[Area '#])),KPIs!$B$4:$C$7,2,FALSE),VLOOKUP(Mileage[[#This Row],[Date]],Combined[[Date]:[Primary Area]],8,FALSE))</f>
        <v>Augusta</v>
      </c>
      <c r="W242" s="106">
        <v>0.72569444444444453</v>
      </c>
      <c r="X242" s="12">
        <v>7.9</v>
      </c>
      <c r="Y242" s="4">
        <v>194</v>
      </c>
      <c r="Z24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3" spans="2:26" x14ac:dyDescent="0.35">
      <c r="B243">
        <f t="shared" si="16"/>
        <v>241</v>
      </c>
      <c r="C243" t="s">
        <v>83</v>
      </c>
      <c r="D243" t="s">
        <v>176</v>
      </c>
      <c r="E243">
        <f>IF(WEEKNUM(Combined[[#This Row],[Date]], 1) = 53, 1, WEEKNUM(Combined[[#This Row],[Date]], 2))</f>
        <v>24</v>
      </c>
      <c r="F243" t="str">
        <f t="shared" ref="F243:F244" si="31">TEXT(WEEKDAY(G243,1),"DDDD")</f>
        <v>Sunday</v>
      </c>
      <c r="G243" s="41">
        <v>44724</v>
      </c>
      <c r="H243">
        <f>6-(2+1)</f>
        <v>3</v>
      </c>
      <c r="I243" s="1">
        <v>43.01</v>
      </c>
      <c r="J243" s="2">
        <f>TIME(16,20,)-SUM(TIME(5,36,),TIME(5,7,))</f>
        <v>0.23402777777777783</v>
      </c>
      <c r="K243" s="12">
        <f>Combined[[#This Row],[Time Spent]]*24</f>
        <v>5.616666666666668</v>
      </c>
      <c r="L243" s="12">
        <f>MROUND(Combined[[#This Row],[Time Spent 2]],0.25)</f>
        <v>5.5</v>
      </c>
      <c r="M243" s="2" t="s">
        <v>91</v>
      </c>
      <c r="N243" t="s">
        <v>85</v>
      </c>
      <c r="O243">
        <f>MATCH(Combined[[#This Row],[Primary Area]],KPIs!$C$4:$C$7,0)</f>
        <v>4</v>
      </c>
      <c r="P243"/>
      <c r="Q243" s="40">
        <v>44951</v>
      </c>
      <c r="R243" s="40">
        <f t="shared" si="17"/>
        <v>44951</v>
      </c>
      <c r="S243" s="4" t="str">
        <f>TEXT(Mileage[[#This Row],[Date]],"dddd")</f>
        <v>Wednesday</v>
      </c>
      <c r="T243" s="4" t="s">
        <v>232</v>
      </c>
      <c r="U243" s="4">
        <v>42</v>
      </c>
      <c r="V243" t="str" cm="1">
        <f t="array" ref="V243">IFERROR(VLOOKUP(MODE(IF(Combined[Date]=Mileage[[#This Row],[Date]],Combined[Area '#])),KPIs!$B$4:$C$7,2,FALSE),VLOOKUP(Mileage[[#This Row],[Date]],Combined[[Date]:[Primary Area]],8,FALSE))</f>
        <v>Augusta</v>
      </c>
      <c r="W243" s="106">
        <v>0.71875</v>
      </c>
      <c r="X243" s="12">
        <v>2.52</v>
      </c>
      <c r="Y243" s="4">
        <v>60</v>
      </c>
      <c r="Z2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4" spans="2:26" x14ac:dyDescent="0.35">
      <c r="B244">
        <f t="shared" si="16"/>
        <v>242</v>
      </c>
      <c r="C244" t="s">
        <v>86</v>
      </c>
      <c r="D244" t="s">
        <v>176</v>
      </c>
      <c r="E244">
        <f>IF(WEEKNUM(Combined[[#This Row],[Date]], 1) = 53, 1, WEEKNUM(Combined[[#This Row],[Date]], 2))</f>
        <v>24</v>
      </c>
      <c r="F244" t="str">
        <f t="shared" si="31"/>
        <v>Sunday</v>
      </c>
      <c r="G244" s="41">
        <v>44724</v>
      </c>
      <c r="H244">
        <v>10</v>
      </c>
      <c r="I244" s="1">
        <f>91.75+9.88</f>
        <v>101.63</v>
      </c>
      <c r="J244" s="2">
        <v>0.24722222222222223</v>
      </c>
      <c r="K244" s="12">
        <f>Combined[[#This Row],[Time Spent]]*24</f>
        <v>5.9333333333333336</v>
      </c>
      <c r="L244" s="12">
        <f>MROUND(Combined[[#This Row],[Time Spent 2]],0.25)</f>
        <v>6</v>
      </c>
      <c r="M244" s="2" t="s">
        <v>91</v>
      </c>
      <c r="N244" t="s">
        <v>85</v>
      </c>
      <c r="O244">
        <f>MATCH(Combined[[#This Row],[Primary Area]],KPIs!$C$4:$C$7,0)</f>
        <v>4</v>
      </c>
      <c r="P244"/>
      <c r="Q244" s="40">
        <v>44952</v>
      </c>
      <c r="R244" s="40">
        <f t="shared" si="17"/>
        <v>44952</v>
      </c>
      <c r="S244" s="4" t="str">
        <f>TEXT(Mileage[[#This Row],[Date]],"dddd")</f>
        <v>Thursday</v>
      </c>
      <c r="T244" s="4" t="s">
        <v>249</v>
      </c>
      <c r="U244" s="4">
        <v>32.4</v>
      </c>
      <c r="V244" t="str" cm="1">
        <f t="array" ref="V244">IFERROR(VLOOKUP(MODE(IF(Combined[Date]=Mileage[[#This Row],[Date]],Combined[Area '#])),KPIs!$B$4:$C$7,2,FALSE),VLOOKUP(Mileage[[#This Row],[Date]],Combined[[Date]:[Primary Area]],8,FALSE))</f>
        <v>Lewiston</v>
      </c>
      <c r="W244" s="106">
        <v>0.70486111111111116</v>
      </c>
      <c r="X244" s="12">
        <v>6.28</v>
      </c>
      <c r="Y244" s="4">
        <v>83</v>
      </c>
      <c r="Z2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5" spans="2:26" x14ac:dyDescent="0.35">
      <c r="B245">
        <f t="shared" si="16"/>
        <v>243</v>
      </c>
      <c r="C245" t="s">
        <v>83</v>
      </c>
      <c r="D245" t="s">
        <v>176</v>
      </c>
      <c r="E245">
        <f>IF(WEEKNUM(Combined[[#This Row],[Date]], 1) = 53, 1, WEEKNUM(Combined[[#This Row],[Date]], 2))</f>
        <v>25</v>
      </c>
      <c r="F245" t="str">
        <f>TEXT(WEEKDAY(G245,1),"DDDD")</f>
        <v>Thursday</v>
      </c>
      <c r="G245" s="41">
        <v>44728</v>
      </c>
      <c r="H245">
        <v>7</v>
      </c>
      <c r="I245" s="1">
        <v>83.72</v>
      </c>
      <c r="J245" s="2">
        <v>0.24236111111111111</v>
      </c>
      <c r="K245" s="12">
        <f>Combined[[#This Row],[Time Spent]]*24</f>
        <v>5.8166666666666664</v>
      </c>
      <c r="L245" s="12">
        <f>MROUND(Combined[[#This Row],[Time Spent 2]],0.25)</f>
        <v>5.75</v>
      </c>
      <c r="M245" s="2" t="s">
        <v>91</v>
      </c>
      <c r="N245" t="s">
        <v>85</v>
      </c>
      <c r="O245">
        <f>MATCH(Combined[[#This Row],[Primary Area]],KPIs!$C$4:$C$7,0)</f>
        <v>4</v>
      </c>
      <c r="P245"/>
      <c r="Q245" s="40">
        <v>44953</v>
      </c>
      <c r="R245" s="40">
        <f t="shared" si="17"/>
        <v>44953</v>
      </c>
      <c r="S245" s="4" t="str">
        <f>TEXT(Mileage[[#This Row],[Date]],"dddd")</f>
        <v>Friday</v>
      </c>
      <c r="T245" s="4" t="s">
        <v>249</v>
      </c>
      <c r="U245" s="4">
        <v>38.9</v>
      </c>
      <c r="V245" t="str" cm="1">
        <f t="array" ref="V245">IFERROR(VLOOKUP(MODE(IF(Combined[Date]=Mileage[[#This Row],[Date]],Combined[Area '#])),KPIs!$B$4:$C$7,2,FALSE),VLOOKUP(Mileage[[#This Row],[Date]],Combined[[Date]:[Primary Area]],8,FALSE))</f>
        <v>Augusta</v>
      </c>
      <c r="W245" s="106">
        <v>0.77777777777777779</v>
      </c>
      <c r="X245" s="12">
        <v>5.88</v>
      </c>
      <c r="Y245" s="4">
        <v>116</v>
      </c>
      <c r="Z2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6" spans="2:26" x14ac:dyDescent="0.35">
      <c r="B246">
        <f t="shared" si="16"/>
        <v>244</v>
      </c>
      <c r="C246" t="s">
        <v>86</v>
      </c>
      <c r="D246" t="s">
        <v>176</v>
      </c>
      <c r="E246">
        <f>IF(WEEKNUM(Combined[[#This Row],[Date]], 1) = 53, 1, WEEKNUM(Combined[[#This Row],[Date]], 2))</f>
        <v>25</v>
      </c>
      <c r="F246" t="str">
        <f>TEXT(WEEKDAY(G246,1),"DDDD")</f>
        <v>Thursday</v>
      </c>
      <c r="G246" s="41">
        <v>44728</v>
      </c>
      <c r="H246">
        <v>1</v>
      </c>
      <c r="I246" s="1">
        <v>10.25</v>
      </c>
      <c r="J246" s="2">
        <v>5.2777777777777778E-2</v>
      </c>
      <c r="K246" s="12">
        <f>Combined[[#This Row],[Time Spent]]*24</f>
        <v>1.2666666666666666</v>
      </c>
      <c r="L246" s="12">
        <f>MROUND(Combined[[#This Row],[Time Spent 2]],0.25)</f>
        <v>1.25</v>
      </c>
      <c r="M246" s="2" t="s">
        <v>91</v>
      </c>
      <c r="N246" t="s">
        <v>85</v>
      </c>
      <c r="O246">
        <f>MATCH(Combined[[#This Row],[Primary Area]],KPIs!$C$4:$C$7,0)</f>
        <v>4</v>
      </c>
      <c r="P246"/>
      <c r="Q246" s="40">
        <v>44954</v>
      </c>
      <c r="R246" s="40">
        <f t="shared" si="17"/>
        <v>44954</v>
      </c>
      <c r="S246" s="4" t="str">
        <f>TEXT(Mileage[[#This Row],[Date]],"dddd")</f>
        <v>Saturday</v>
      </c>
      <c r="T246" s="4" t="s">
        <v>236</v>
      </c>
      <c r="U246" s="4">
        <v>40.799999999999997</v>
      </c>
      <c r="V246" t="str" cm="1">
        <f t="array" ref="V246">IFERROR(VLOOKUP(MODE(IF(Combined[Date]=Mileage[[#This Row],[Date]],Combined[Area '#])),KPIs!$B$4:$C$7,2,FALSE),VLOOKUP(Mileage[[#This Row],[Date]],Combined[[Date]:[Primary Area]],8,FALSE))</f>
        <v>Brunswick/Bath/Freeport</v>
      </c>
      <c r="W246" s="106">
        <v>0.73263888888888884</v>
      </c>
      <c r="X246" s="12">
        <v>5.33</v>
      </c>
      <c r="Y246" s="4">
        <v>118</v>
      </c>
      <c r="Z2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47" spans="2:26" x14ac:dyDescent="0.35">
      <c r="B247">
        <f t="shared" si="16"/>
        <v>245</v>
      </c>
      <c r="C247" t="s">
        <v>86</v>
      </c>
      <c r="D247" t="s">
        <v>176</v>
      </c>
      <c r="E247">
        <f>IF(WEEKNUM(Combined[[#This Row],[Date]], 1) = 53, 1, WEEKNUM(Combined[[#This Row],[Date]], 2))</f>
        <v>25</v>
      </c>
      <c r="F247" t="str">
        <f>TEXT(WEEKDAY(G247,1),"DDDD")</f>
        <v>Thursday</v>
      </c>
      <c r="G247" s="41">
        <v>44728</v>
      </c>
      <c r="H247">
        <v>1</v>
      </c>
      <c r="I247" s="1">
        <v>9.75</v>
      </c>
      <c r="J247" s="2">
        <v>3.3333333333333333E-2</v>
      </c>
      <c r="K247" s="12">
        <f>Combined[[#This Row],[Time Spent]]*24</f>
        <v>0.8</v>
      </c>
      <c r="L247" s="12">
        <f>MROUND(Combined[[#This Row],[Time Spent 2]],0.25)</f>
        <v>0.75</v>
      </c>
      <c r="M247" s="2" t="s">
        <v>91</v>
      </c>
      <c r="N247" t="s">
        <v>85</v>
      </c>
      <c r="O247">
        <f>MATCH(Combined[[#This Row],[Primary Area]],KPIs!$C$4:$C$7,0)</f>
        <v>4</v>
      </c>
      <c r="P247"/>
      <c r="Q247" s="40">
        <v>44957</v>
      </c>
      <c r="R247" s="40">
        <f t="shared" si="17"/>
        <v>44957</v>
      </c>
      <c r="S247" s="4" t="str">
        <f>TEXT(Mileage[[#This Row],[Date]],"dddd")</f>
        <v>Tuesday</v>
      </c>
      <c r="T247" s="4" t="s">
        <v>234</v>
      </c>
      <c r="U247" s="4">
        <v>19.7</v>
      </c>
      <c r="V247" t="str" cm="1">
        <f t="array" ref="V247">IFERROR(VLOOKUP(MODE(IF(Combined[Date]=Mileage[[#This Row],[Date]],Combined[Area '#])),KPIs!$B$4:$C$7,2,FALSE),VLOOKUP(Mileage[[#This Row],[Date]],Combined[[Date]:[Primary Area]],8,FALSE))</f>
        <v>Brunswick/Bath/Freeport</v>
      </c>
      <c r="W247" s="106">
        <v>0.70833333333333337</v>
      </c>
      <c r="X247" s="12">
        <v>5.43</v>
      </c>
      <c r="Y247" s="4">
        <v>110</v>
      </c>
      <c r="Z24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48" spans="2:26" x14ac:dyDescent="0.35">
      <c r="B248">
        <f t="shared" si="16"/>
        <v>246</v>
      </c>
      <c r="C248" t="s">
        <v>86</v>
      </c>
      <c r="D248" t="s">
        <v>176</v>
      </c>
      <c r="E248">
        <f>IF(WEEKNUM(Combined[[#This Row],[Date]], 1) = 53, 1, WEEKNUM(Combined[[#This Row],[Date]], 2))</f>
        <v>25</v>
      </c>
      <c r="F248" t="str">
        <f>TEXT(WEEKDAY(G248,1),"DDDD")</f>
        <v>Thursday</v>
      </c>
      <c r="G248" s="41">
        <v>44728</v>
      </c>
      <c r="H248">
        <v>1</v>
      </c>
      <c r="I248" s="1">
        <v>20</v>
      </c>
      <c r="J248" s="2">
        <v>3.5416666666666666E-2</v>
      </c>
      <c r="K248" s="12">
        <f>Combined[[#This Row],[Time Spent]]*24</f>
        <v>0.85</v>
      </c>
      <c r="L248" s="12">
        <f>MROUND(Combined[[#This Row],[Time Spent 2]],0.25)</f>
        <v>0.75</v>
      </c>
      <c r="M248" s="2" t="s">
        <v>92</v>
      </c>
      <c r="N248" t="s">
        <v>85</v>
      </c>
      <c r="O248">
        <f>MATCH(Combined[[#This Row],[Primary Area]],KPIs!$C$4:$C$7,0)</f>
        <v>4</v>
      </c>
      <c r="P248"/>
      <c r="Q248" s="40">
        <v>44958</v>
      </c>
      <c r="R248" s="40">
        <f t="shared" si="17"/>
        <v>44958</v>
      </c>
      <c r="S248" s="4" t="str">
        <f>TEXT(Mileage[[#This Row],[Date]],"dddd")</f>
        <v>Wednesday</v>
      </c>
      <c r="T248" s="4" t="s">
        <v>249</v>
      </c>
      <c r="U248" s="4">
        <v>26.1</v>
      </c>
      <c r="V248" t="str" cm="1">
        <f t="array" ref="V248">IFERROR(VLOOKUP(MODE(IF(Combined[Date]=Mileage[[#This Row],[Date]],Combined[Area '#])),KPIs!$B$4:$C$7,2,FALSE),VLOOKUP(Mileage[[#This Row],[Date]],Combined[[Date]:[Primary Area]],8,FALSE))</f>
        <v>Lewiston</v>
      </c>
      <c r="W248" s="106">
        <v>0.73263888888888884</v>
      </c>
      <c r="X248" s="12">
        <v>4.47</v>
      </c>
      <c r="Y248" s="4">
        <v>53</v>
      </c>
      <c r="Z24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49" spans="2:26" x14ac:dyDescent="0.35">
      <c r="B249">
        <f t="shared" si="16"/>
        <v>247</v>
      </c>
      <c r="C249" t="s">
        <v>83</v>
      </c>
      <c r="D249" t="s">
        <v>176</v>
      </c>
      <c r="E249">
        <f>IF(WEEKNUM(Combined[[#This Row],[Date]], 1) = 53, 1, WEEKNUM(Combined[[#This Row],[Date]], 2))</f>
        <v>25</v>
      </c>
      <c r="F249" t="str">
        <f t="shared" ref="F249:F252" si="32">TEXT(WEEKDAY(G249,1),"DDDD")</f>
        <v>Saturday</v>
      </c>
      <c r="G249" s="41">
        <v>44730</v>
      </c>
      <c r="H249">
        <v>7</v>
      </c>
      <c r="I249" s="1">
        <v>84.91</v>
      </c>
      <c r="J249" s="2">
        <v>0.25</v>
      </c>
      <c r="K249" s="12">
        <f>Combined[[#This Row],[Time Spent]]*24</f>
        <v>6</v>
      </c>
      <c r="L249" s="12">
        <f>MROUND(Combined[[#This Row],[Time Spent 2]],0.25)</f>
        <v>6</v>
      </c>
      <c r="M249" s="2" t="s">
        <v>91</v>
      </c>
      <c r="N249" t="s">
        <v>82</v>
      </c>
      <c r="O249">
        <f>MATCH(Combined[[#This Row],[Primary Area]],KPIs!$C$4:$C$7,0)</f>
        <v>3</v>
      </c>
      <c r="P249"/>
      <c r="Q249" s="40">
        <v>44964</v>
      </c>
      <c r="R249" s="40">
        <f t="shared" si="17"/>
        <v>44964</v>
      </c>
      <c r="S249" s="4" t="str">
        <f>TEXT(Mileage[[#This Row],[Date]],"dddd")</f>
        <v>Tuesday</v>
      </c>
      <c r="T249" s="4" t="s">
        <v>235</v>
      </c>
      <c r="U249" s="4">
        <v>39.5</v>
      </c>
      <c r="V249" t="str" cm="1">
        <f t="array" ref="V249">IFERROR(VLOOKUP(MODE(IF(Combined[Date]=Mileage[[#This Row],[Date]],Combined[Area '#])),KPIs!$B$4:$C$7,2,FALSE),VLOOKUP(Mileage[[#This Row],[Date]],Combined[[Date]:[Primary Area]],8,FALSE))</f>
        <v>Lewiston</v>
      </c>
      <c r="W249" s="106">
        <v>0.72222222222222221</v>
      </c>
      <c r="X249" s="12">
        <v>5.38</v>
      </c>
      <c r="Y249" s="4">
        <v>78</v>
      </c>
      <c r="Z24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50" spans="2:26" x14ac:dyDescent="0.35">
      <c r="B250">
        <f t="shared" si="16"/>
        <v>248</v>
      </c>
      <c r="C250" t="s">
        <v>86</v>
      </c>
      <c r="D250" t="s">
        <v>176</v>
      </c>
      <c r="E250">
        <f>IF(WEEKNUM(Combined[[#This Row],[Date]], 1) = 53, 1, WEEKNUM(Combined[[#This Row],[Date]], 2))</f>
        <v>25</v>
      </c>
      <c r="F250" t="str">
        <f t="shared" si="32"/>
        <v>Saturday</v>
      </c>
      <c r="G250" s="41">
        <v>44730</v>
      </c>
      <c r="H250">
        <v>8</v>
      </c>
      <c r="I250" s="1">
        <v>57.5</v>
      </c>
      <c r="J250" s="2">
        <v>0.20486111111111113</v>
      </c>
      <c r="K250" s="12">
        <f>Combined[[#This Row],[Time Spent]]*24</f>
        <v>4.916666666666667</v>
      </c>
      <c r="L250" s="12">
        <f>MROUND(Combined[[#This Row],[Time Spent 2]],0.25)</f>
        <v>5</v>
      </c>
      <c r="M250" s="2" t="s">
        <v>91</v>
      </c>
      <c r="N250" t="s">
        <v>82</v>
      </c>
      <c r="O250">
        <f>MATCH(Combined[[#This Row],[Primary Area]],KPIs!$C$4:$C$7,0)</f>
        <v>3</v>
      </c>
      <c r="P250"/>
      <c r="Q250" s="40">
        <v>44965</v>
      </c>
      <c r="R250" s="40">
        <f t="shared" si="17"/>
        <v>44965</v>
      </c>
      <c r="S250" s="4" t="str">
        <f>TEXT(Mileage[[#This Row],[Date]],"dddd")</f>
        <v>Wednesday</v>
      </c>
      <c r="T250" s="4" t="s">
        <v>235</v>
      </c>
      <c r="U250" s="4">
        <v>37.1</v>
      </c>
      <c r="V250" t="str" cm="1">
        <f t="array" ref="V250">IFERROR(VLOOKUP(MODE(IF(Combined[Date]=Mileage[[#This Row],[Date]],Combined[Area '#])),KPIs!$B$4:$C$7,2,FALSE),VLOOKUP(Mileage[[#This Row],[Date]],Combined[[Date]:[Primary Area]],8,FALSE))</f>
        <v>Brunswick/Bath/Freeport</v>
      </c>
      <c r="W250" s="106">
        <v>0.71875</v>
      </c>
      <c r="X250" s="12">
        <v>4.2300000000000004</v>
      </c>
      <c r="Y250" s="4">
        <v>102</v>
      </c>
      <c r="Z25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51" spans="2:26" x14ac:dyDescent="0.35">
      <c r="B251">
        <f t="shared" si="16"/>
        <v>249</v>
      </c>
      <c r="C251" t="s">
        <v>86</v>
      </c>
      <c r="D251" t="s">
        <v>176</v>
      </c>
      <c r="E251">
        <f>IF(WEEKNUM(Combined[[#This Row],[Date]], 1) = 53, 1, WEEKNUM(Combined[[#This Row],[Date]], 2))</f>
        <v>25</v>
      </c>
      <c r="F251" t="str">
        <f t="shared" si="32"/>
        <v>Saturday</v>
      </c>
      <c r="G251" s="41">
        <v>44730</v>
      </c>
      <c r="H251">
        <v>1</v>
      </c>
      <c r="I251" s="1">
        <v>13</v>
      </c>
      <c r="J251" s="2">
        <v>5.0694444444444452E-2</v>
      </c>
      <c r="K251" s="12">
        <f>Combined[[#This Row],[Time Spent]]*24</f>
        <v>1.2166666666666668</v>
      </c>
      <c r="L251" s="12">
        <f>MROUND(Combined[[#This Row],[Time Spent 2]],0.25)</f>
        <v>1.25</v>
      </c>
      <c r="M251" s="2" t="s">
        <v>92</v>
      </c>
      <c r="N251" t="s">
        <v>82</v>
      </c>
      <c r="O251">
        <f>MATCH(Combined[[#This Row],[Primary Area]],KPIs!$C$4:$C$7,0)</f>
        <v>3</v>
      </c>
      <c r="P251"/>
      <c r="Q251" s="40">
        <v>44966</v>
      </c>
      <c r="R251" s="40">
        <f t="shared" si="17"/>
        <v>44966</v>
      </c>
      <c r="S251" s="4" t="str">
        <f>TEXT(Mileage[[#This Row],[Date]],"dddd")</f>
        <v>Thursday</v>
      </c>
      <c r="T251" s="4" t="s">
        <v>236</v>
      </c>
      <c r="U251" s="4">
        <v>51.4</v>
      </c>
      <c r="V251" t="str" cm="1">
        <f t="array" ref="V251">IFERROR(VLOOKUP(MODE(IF(Combined[Date]=Mileage[[#This Row],[Date]],Combined[Area '#])),KPIs!$B$4:$C$7,2,FALSE),VLOOKUP(Mileage[[#This Row],[Date]],Combined[[Date]:[Primary Area]],8,FALSE))</f>
        <v>Lewiston</v>
      </c>
      <c r="W251" s="106">
        <v>0.74305555555555547</v>
      </c>
      <c r="X251" s="12">
        <v>3.22</v>
      </c>
      <c r="Y251" s="4">
        <v>49</v>
      </c>
      <c r="Z25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2" spans="2:26" x14ac:dyDescent="0.35">
      <c r="B252">
        <f t="shared" si="16"/>
        <v>250</v>
      </c>
      <c r="C252" t="s">
        <v>86</v>
      </c>
      <c r="D252" t="s">
        <v>176</v>
      </c>
      <c r="E252">
        <f>IF(WEEKNUM(Combined[[#This Row],[Date]], 1) = 53, 1, WEEKNUM(Combined[[#This Row],[Date]], 2))</f>
        <v>25</v>
      </c>
      <c r="F252" t="str">
        <f t="shared" si="32"/>
        <v>Saturday</v>
      </c>
      <c r="G252" s="41">
        <v>44730</v>
      </c>
      <c r="H252">
        <v>1</v>
      </c>
      <c r="I252" s="1">
        <v>7</v>
      </c>
      <c r="J252" s="2">
        <v>2.5694444444444447E-2</v>
      </c>
      <c r="K252" s="12">
        <f>Combined[[#This Row],[Time Spent]]*24</f>
        <v>0.6166666666666667</v>
      </c>
      <c r="L252" s="12">
        <f>MROUND(Combined[[#This Row],[Time Spent 2]],0.25)</f>
        <v>0.5</v>
      </c>
      <c r="M252" s="2" t="s">
        <v>92</v>
      </c>
      <c r="N252" t="s">
        <v>82</v>
      </c>
      <c r="O252">
        <f>MATCH(Combined[[#This Row],[Primary Area]],KPIs!$C$4:$C$7,0)</f>
        <v>3</v>
      </c>
      <c r="P252"/>
      <c r="Q252" s="40">
        <v>44967</v>
      </c>
      <c r="R252" s="40">
        <f t="shared" si="17"/>
        <v>44967</v>
      </c>
      <c r="S252" s="4" t="str">
        <f>TEXT(Mileage[[#This Row],[Date]],"dddd")</f>
        <v>Friday</v>
      </c>
      <c r="T252" s="4" t="s">
        <v>235</v>
      </c>
      <c r="U252" s="4">
        <v>37.200000000000003</v>
      </c>
      <c r="V252" t="str" cm="1">
        <f t="array" ref="V252">IFERROR(VLOOKUP(MODE(IF(Combined[Date]=Mileage[[#This Row],[Date]],Combined[Area '#])),KPIs!$B$4:$C$7,2,FALSE),VLOOKUP(Mileage[[#This Row],[Date]],Combined[[Date]:[Primary Area]],8,FALSE))</f>
        <v>Lewiston</v>
      </c>
      <c r="W252" s="106">
        <v>0.72569444444444453</v>
      </c>
      <c r="X252" s="12">
        <v>6.45</v>
      </c>
      <c r="Y252" s="4">
        <v>94</v>
      </c>
      <c r="Z2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3" spans="2:26" x14ac:dyDescent="0.35">
      <c r="B253">
        <f t="shared" si="16"/>
        <v>251</v>
      </c>
      <c r="C253" t="s">
        <v>83</v>
      </c>
      <c r="D253" t="s">
        <v>176</v>
      </c>
      <c r="E253">
        <f>IF(WEEKNUM(Combined[[#This Row],[Date]], 1) = 53, 1, WEEKNUM(Combined[[#This Row],[Date]], 2))</f>
        <v>26</v>
      </c>
      <c r="F253" t="str">
        <f t="shared" ref="F253:F254" si="33">TEXT(WEEKDAY(G253,1),"DDDD")</f>
        <v>Wednesday</v>
      </c>
      <c r="G253" s="41">
        <v>44734</v>
      </c>
      <c r="H253">
        <v>2</v>
      </c>
      <c r="I253" s="1">
        <v>13.98</v>
      </c>
      <c r="J253" s="2">
        <v>0.12986111111111112</v>
      </c>
      <c r="K253" s="12">
        <f>Combined[[#This Row],[Time Spent]]*24</f>
        <v>3.1166666666666671</v>
      </c>
      <c r="L253" s="12">
        <f>MROUND(Combined[[#This Row],[Time Spent 2]],0.25)</f>
        <v>3</v>
      </c>
      <c r="M253" s="2" t="s">
        <v>91</v>
      </c>
      <c r="N253" t="s">
        <v>82</v>
      </c>
      <c r="O253">
        <f>MATCH(Combined[[#This Row],[Primary Area]],KPIs!$C$4:$C$7,0)</f>
        <v>3</v>
      </c>
      <c r="P253"/>
      <c r="Q253" s="40">
        <v>44968</v>
      </c>
      <c r="R253" s="40">
        <f t="shared" si="17"/>
        <v>44968</v>
      </c>
      <c r="S253" s="4" t="str">
        <f>TEXT(Mileage[[#This Row],[Date]],"dddd")</f>
        <v>Saturday</v>
      </c>
      <c r="T253" s="4" t="s">
        <v>230</v>
      </c>
      <c r="U253" s="4">
        <v>42.1</v>
      </c>
      <c r="V253" t="str" cm="1">
        <f t="array" ref="V253">IFERROR(VLOOKUP(MODE(IF(Combined[Date]=Mileage[[#This Row],[Date]],Combined[Area '#])),KPIs!$B$4:$C$7,2,FALSE),VLOOKUP(Mileage[[#This Row],[Date]],Combined[[Date]:[Primary Area]],8,FALSE))</f>
        <v>Brunswick/Bath/Freeport</v>
      </c>
      <c r="W253" s="106">
        <v>0.78125</v>
      </c>
      <c r="X253" s="12">
        <v>4.13</v>
      </c>
      <c r="Y253" s="4">
        <v>104</v>
      </c>
      <c r="Z25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4" spans="2:26" x14ac:dyDescent="0.35">
      <c r="B254">
        <f t="shared" si="16"/>
        <v>252</v>
      </c>
      <c r="C254" t="s">
        <v>86</v>
      </c>
      <c r="D254" t="s">
        <v>176</v>
      </c>
      <c r="E254">
        <f>IF(WEEKNUM(Combined[[#This Row],[Date]], 1) = 53, 1, WEEKNUM(Combined[[#This Row],[Date]], 2))</f>
        <v>26</v>
      </c>
      <c r="F254" t="str">
        <f t="shared" si="33"/>
        <v>Wednesday</v>
      </c>
      <c r="G254" s="41">
        <v>44734</v>
      </c>
      <c r="H254">
        <v>1</v>
      </c>
      <c r="I254" s="1">
        <v>6.25</v>
      </c>
      <c r="J254" s="2">
        <v>7.4305555555555555E-2</v>
      </c>
      <c r="K254" s="12">
        <f>Combined[[#This Row],[Time Spent]]*24</f>
        <v>1.7833333333333332</v>
      </c>
      <c r="L254" s="12">
        <f>MROUND(Combined[[#This Row],[Time Spent 2]],0.25)</f>
        <v>1.75</v>
      </c>
      <c r="M254" s="2" t="s">
        <v>91</v>
      </c>
      <c r="N254" t="s">
        <v>82</v>
      </c>
      <c r="O254">
        <f>MATCH(Combined[[#This Row],[Primary Area]],KPIs!$C$4:$C$7,0)</f>
        <v>3</v>
      </c>
      <c r="P254"/>
      <c r="Q254" s="40">
        <v>44969</v>
      </c>
      <c r="R254" s="40">
        <f t="shared" si="17"/>
        <v>44969</v>
      </c>
      <c r="S254" s="4" t="str">
        <f>TEXT(Mileage[[#This Row],[Date]],"dddd")</f>
        <v>Sunday</v>
      </c>
      <c r="T254" s="4" t="s">
        <v>249</v>
      </c>
      <c r="U254" s="4">
        <v>53</v>
      </c>
      <c r="V254" t="str" cm="1">
        <f t="array" ref="V254">IFERROR(VLOOKUP(MODE(IF(Combined[Date]=Mileage[[#This Row],[Date]],Combined[Area '#])),KPIs!$B$4:$C$7,2,FALSE),VLOOKUP(Mileage[[#This Row],[Date]],Combined[[Date]:[Primary Area]],8,FALSE))</f>
        <v>Lewiston</v>
      </c>
      <c r="W254" s="106">
        <v>0.74305555555555547</v>
      </c>
      <c r="X254" s="12">
        <v>4.7699999999999996</v>
      </c>
      <c r="Y254" s="4">
        <v>62</v>
      </c>
      <c r="Z2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5" spans="2:26" x14ac:dyDescent="0.35">
      <c r="B255">
        <f t="shared" si="16"/>
        <v>253</v>
      </c>
      <c r="C255" t="s">
        <v>86</v>
      </c>
      <c r="D255" t="s">
        <v>176</v>
      </c>
      <c r="E255">
        <f>IF(WEEKNUM(Combined[[#This Row],[Date]], 1) = 53, 1, WEEKNUM(Combined[[#This Row],[Date]], 2))</f>
        <v>26</v>
      </c>
      <c r="F255" t="str">
        <f>TEXT(WEEKDAY(G255,1),"DDDD")</f>
        <v>Wednesday</v>
      </c>
      <c r="G255" s="41">
        <v>44734</v>
      </c>
      <c r="H255">
        <v>2</v>
      </c>
      <c r="I255" s="1">
        <v>7.5</v>
      </c>
      <c r="J255" s="2">
        <v>6.5277777777777782E-2</v>
      </c>
      <c r="K255" s="12">
        <f>Combined[[#This Row],[Time Spent]]*24</f>
        <v>1.5666666666666669</v>
      </c>
      <c r="L255" s="12">
        <f>MROUND(Combined[[#This Row],[Time Spent 2]],0.25)</f>
        <v>1.5</v>
      </c>
      <c r="M255" s="2" t="s">
        <v>91</v>
      </c>
      <c r="N255" t="s">
        <v>82</v>
      </c>
      <c r="O255">
        <f>MATCH(Combined[[#This Row],[Primary Area]],KPIs!$C$4:$C$7,0)</f>
        <v>3</v>
      </c>
      <c r="P255"/>
      <c r="Q255" s="40">
        <v>44971</v>
      </c>
      <c r="R255" s="40">
        <f t="shared" si="17"/>
        <v>44971</v>
      </c>
      <c r="S255" s="4" t="str">
        <f>TEXT(Mileage[[#This Row],[Date]],"dddd")</f>
        <v>Tuesday</v>
      </c>
      <c r="T255" s="4" t="s">
        <v>249</v>
      </c>
      <c r="U255" s="4">
        <v>42.9</v>
      </c>
      <c r="V255" t="str" cm="1">
        <f t="array" ref="V255">IFERROR(VLOOKUP(MODE(IF(Combined[Date]=Mileage[[#This Row],[Date]],Combined[Area '#])),KPIs!$B$4:$C$7,2,FALSE),VLOOKUP(Mileage[[#This Row],[Date]],Combined[[Date]:[Primary Area]],8,FALSE))</f>
        <v>Brunswick/Bath/Freeport</v>
      </c>
      <c r="W255" s="106">
        <v>0.72916666666666663</v>
      </c>
      <c r="X255" s="12">
        <v>5.03</v>
      </c>
      <c r="Y255" s="4">
        <v>70.8</v>
      </c>
      <c r="Z2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56" spans="2:26" x14ac:dyDescent="0.35">
      <c r="B256">
        <f t="shared" si="16"/>
        <v>254</v>
      </c>
      <c r="C256" t="s">
        <v>83</v>
      </c>
      <c r="D256" t="s">
        <v>176</v>
      </c>
      <c r="E256">
        <f>IF(WEEKNUM(Combined[[#This Row],[Date]], 1) = 53, 1, WEEKNUM(Combined[[#This Row],[Date]], 2))</f>
        <v>26</v>
      </c>
      <c r="F256" t="str">
        <f t="shared" ref="F256:F258" si="34">TEXT(WEEKDAY(G256,1),"DDDD")</f>
        <v>Friday</v>
      </c>
      <c r="G256" s="41">
        <v>44736</v>
      </c>
      <c r="H256">
        <v>3</v>
      </c>
      <c r="I256" s="1">
        <v>46.44</v>
      </c>
      <c r="J256" s="2">
        <v>0.20208333333333331</v>
      </c>
      <c r="K256" s="12">
        <f>Combined[[#This Row],[Time Spent]]*24</f>
        <v>4.8499999999999996</v>
      </c>
      <c r="L256" s="12">
        <f>MROUND(Combined[[#This Row],[Time Spent 2]],0.25)</f>
        <v>4.75</v>
      </c>
      <c r="M256" s="2" t="s">
        <v>91</v>
      </c>
      <c r="N256" t="s">
        <v>80</v>
      </c>
      <c r="O256">
        <f>MATCH(Combined[[#This Row],[Primary Area]],KPIs!$C$4:$C$7,0)</f>
        <v>2</v>
      </c>
      <c r="P256"/>
      <c r="Q256" s="40">
        <v>44972</v>
      </c>
      <c r="R256" s="40">
        <f t="shared" si="17"/>
        <v>44972</v>
      </c>
      <c r="S256" s="4" t="str">
        <f>TEXT(Mileage[[#This Row],[Date]],"dddd")</f>
        <v>Wednesday</v>
      </c>
      <c r="T256" s="4" t="s">
        <v>236</v>
      </c>
      <c r="U256" s="4">
        <v>56.3</v>
      </c>
      <c r="V256" t="str" cm="1">
        <f t="array" ref="V256">IFERROR(VLOOKUP(MODE(IF(Combined[Date]=Mileage[[#This Row],[Date]],Combined[Area '#])),KPIs!$B$4:$C$7,2,FALSE),VLOOKUP(Mileage[[#This Row],[Date]],Combined[[Date]:[Primary Area]],8,FALSE))</f>
        <v>Brunswick/Bath/Freeport</v>
      </c>
      <c r="W256" s="106">
        <v>0.72916666666666663</v>
      </c>
      <c r="X256" s="12">
        <v>4.32</v>
      </c>
      <c r="Y256" s="4">
        <v>92</v>
      </c>
      <c r="Z25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7" spans="2:26" x14ac:dyDescent="0.35">
      <c r="B257">
        <f t="shared" si="16"/>
        <v>255</v>
      </c>
      <c r="C257" t="s">
        <v>86</v>
      </c>
      <c r="D257" t="s">
        <v>176</v>
      </c>
      <c r="E257">
        <f>IF(WEEKNUM(Combined[[#This Row],[Date]], 1) = 53, 1, WEEKNUM(Combined[[#This Row],[Date]], 2))</f>
        <v>26</v>
      </c>
      <c r="F257" t="str">
        <f t="shared" si="34"/>
        <v>Friday</v>
      </c>
      <c r="G257" s="41">
        <v>44736</v>
      </c>
      <c r="H257">
        <v>3</v>
      </c>
      <c r="I257" s="1">
        <v>41.9</v>
      </c>
      <c r="J257" s="2">
        <v>0.11666666666666665</v>
      </c>
      <c r="K257" s="12">
        <f>Combined[[#This Row],[Time Spent]]*24</f>
        <v>2.8</v>
      </c>
      <c r="L257" s="12">
        <f>MROUND(Combined[[#This Row],[Time Spent 2]],0.25)</f>
        <v>2.75</v>
      </c>
      <c r="M257" s="2" t="s">
        <v>91</v>
      </c>
      <c r="N257" t="s">
        <v>80</v>
      </c>
      <c r="O257">
        <f>MATCH(Combined[[#This Row],[Primary Area]],KPIs!$C$4:$C$7,0)</f>
        <v>2</v>
      </c>
      <c r="P257"/>
      <c r="Q257" s="40">
        <v>44973</v>
      </c>
      <c r="R257" s="40">
        <f t="shared" si="17"/>
        <v>44973</v>
      </c>
      <c r="S257" s="4" t="str">
        <f>TEXT(Mileage[[#This Row],[Date]],"dddd")</f>
        <v>Thursday</v>
      </c>
      <c r="T257" s="4" t="s">
        <v>233</v>
      </c>
      <c r="U257" s="4">
        <v>40</v>
      </c>
      <c r="V257" t="str" cm="1">
        <f t="array" ref="V257">IFERROR(VLOOKUP(MODE(IF(Combined[Date]=Mileage[[#This Row],[Date]],Combined[Area '#])),KPIs!$B$4:$C$7,2,FALSE),VLOOKUP(Mileage[[#This Row],[Date]],Combined[[Date]:[Primary Area]],8,FALSE))</f>
        <v>Lewiston</v>
      </c>
      <c r="W257" s="106">
        <v>0.74305555555555547</v>
      </c>
      <c r="X257" s="12">
        <v>5.12</v>
      </c>
      <c r="Y257" s="4">
        <v>102</v>
      </c>
      <c r="Z25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8" spans="2:26" x14ac:dyDescent="0.35">
      <c r="B258">
        <f t="shared" si="16"/>
        <v>256</v>
      </c>
      <c r="C258" t="s">
        <v>86</v>
      </c>
      <c r="D258" t="s">
        <v>176</v>
      </c>
      <c r="E258">
        <f>IF(WEEKNUM(Combined[[#This Row],[Date]], 1) = 53, 1, WEEKNUM(Combined[[#This Row],[Date]], 2))</f>
        <v>26</v>
      </c>
      <c r="F258" t="str">
        <f t="shared" si="34"/>
        <v>Friday</v>
      </c>
      <c r="G258" s="41">
        <v>44736</v>
      </c>
      <c r="H258">
        <v>2</v>
      </c>
      <c r="I258" s="1">
        <v>28.75</v>
      </c>
      <c r="J258" s="2">
        <v>4.7916666666666663E-2</v>
      </c>
      <c r="K258" s="12">
        <f>Combined[[#This Row],[Time Spent]]*24</f>
        <v>1.1499999999999999</v>
      </c>
      <c r="L258" s="12">
        <f>MROUND(Combined[[#This Row],[Time Spent 2]],0.25)</f>
        <v>1.25</v>
      </c>
      <c r="M258" s="2" t="s">
        <v>91</v>
      </c>
      <c r="N258" t="s">
        <v>80</v>
      </c>
      <c r="O258">
        <f>MATCH(Combined[[#This Row],[Primary Area]],KPIs!$C$4:$C$7,0)</f>
        <v>2</v>
      </c>
      <c r="P258"/>
      <c r="Q258" s="40">
        <v>44974</v>
      </c>
      <c r="R258" s="40">
        <f t="shared" si="17"/>
        <v>44974</v>
      </c>
      <c r="S258" s="4" t="str">
        <f>TEXT(Mileage[[#This Row],[Date]],"dddd")</f>
        <v>Friday</v>
      </c>
      <c r="T258" s="4" t="s">
        <v>230</v>
      </c>
      <c r="U258" s="4">
        <v>27.3</v>
      </c>
      <c r="V258" t="str" cm="1">
        <f t="array" ref="V258">IFERROR(VLOOKUP(MODE(IF(Combined[Date]=Mileage[[#This Row],[Date]],Combined[Area '#])),KPIs!$B$4:$C$7,2,FALSE),VLOOKUP(Mileage[[#This Row],[Date]],Combined[[Date]:[Primary Area]],8,FALSE))</f>
        <v>Lewiston</v>
      </c>
      <c r="W258" s="106">
        <v>0.77430555555555547</v>
      </c>
      <c r="X258" s="12">
        <v>6.03</v>
      </c>
      <c r="Y258" s="4">
        <v>116</v>
      </c>
      <c r="Z25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59" spans="2:26" x14ac:dyDescent="0.35">
      <c r="B259">
        <f t="shared" ref="B259:B322" si="35">ROW()-2</f>
        <v>257</v>
      </c>
      <c r="C259" t="s">
        <v>86</v>
      </c>
      <c r="D259" t="s">
        <v>176</v>
      </c>
      <c r="E259">
        <f>IF(WEEKNUM(Combined[[#This Row],[Date]], 1) = 53, 1, WEEKNUM(Combined[[#This Row],[Date]], 2))</f>
        <v>26</v>
      </c>
      <c r="F259" t="str">
        <f>TEXT(WEEKDAY(G259,1),"DDDD")</f>
        <v>Friday</v>
      </c>
      <c r="G259" s="41">
        <v>44736</v>
      </c>
      <c r="H259">
        <v>1</v>
      </c>
      <c r="I259" s="1">
        <v>7</v>
      </c>
      <c r="J259" s="2">
        <v>7.2916666666666671E-2</v>
      </c>
      <c r="K259" s="12">
        <f>Combined[[#This Row],[Time Spent]]*24</f>
        <v>1.75</v>
      </c>
      <c r="L259" s="12">
        <f>MROUND(Combined[[#This Row],[Time Spent 2]],0.25)</f>
        <v>1.75</v>
      </c>
      <c r="M259" s="2" t="s">
        <v>92</v>
      </c>
      <c r="N259" t="s">
        <v>82</v>
      </c>
      <c r="O259">
        <f>MATCH(Combined[[#This Row],[Primary Area]],KPIs!$C$4:$C$7,0)</f>
        <v>3</v>
      </c>
      <c r="P259"/>
      <c r="Q259" s="40">
        <v>44980</v>
      </c>
      <c r="R259" s="40">
        <f t="shared" ref="R259:R322" si="36">Q259</f>
        <v>44980</v>
      </c>
      <c r="S259" s="4" t="str">
        <f>TEXT(Mileage[[#This Row],[Date]],"dddd")</f>
        <v>Thursday</v>
      </c>
      <c r="T259" s="4" t="s">
        <v>232</v>
      </c>
      <c r="U259" s="4">
        <v>14.3</v>
      </c>
      <c r="V259" t="str" cm="1">
        <f t="array" ref="V259">IFERROR(VLOOKUP(MODE(IF(Combined[Date]=Mileage[[#This Row],[Date]],Combined[Area '#])),KPIs!$B$4:$C$7,2,FALSE),VLOOKUP(Mileage[[#This Row],[Date]],Combined[[Date]:[Primary Area]],8,FALSE))</f>
        <v>Lewiston</v>
      </c>
      <c r="W259" s="106">
        <v>0.74305555555555547</v>
      </c>
      <c r="X259" s="12">
        <v>4.17</v>
      </c>
      <c r="Y259" s="4">
        <v>45.6</v>
      </c>
      <c r="Z2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0" spans="2:26" x14ac:dyDescent="0.35">
      <c r="B260">
        <f t="shared" si="35"/>
        <v>258</v>
      </c>
      <c r="C260" t="s">
        <v>83</v>
      </c>
      <c r="D260" t="s">
        <v>176</v>
      </c>
      <c r="E260">
        <f>IF(WEEKNUM(Combined[[#This Row],[Date]], 1) = 53, 1, WEEKNUM(Combined[[#This Row],[Date]], 2))</f>
        <v>26</v>
      </c>
      <c r="F260" t="str">
        <f t="shared" ref="F260:F261" si="37">TEXT(WEEKDAY(G260,1),"DDDD")</f>
        <v>Saturday</v>
      </c>
      <c r="G260" s="41">
        <v>44737</v>
      </c>
      <c r="H260">
        <v>3</v>
      </c>
      <c r="I260" s="1">
        <v>37.93</v>
      </c>
      <c r="J260" s="2">
        <v>0.21736111111111112</v>
      </c>
      <c r="K260" s="12">
        <f>Combined[[#This Row],[Time Spent]]*24</f>
        <v>5.2166666666666668</v>
      </c>
      <c r="L260" s="12">
        <f>MROUND(Combined[[#This Row],[Time Spent 2]],0.25)</f>
        <v>5.25</v>
      </c>
      <c r="M260" s="2" t="s">
        <v>91</v>
      </c>
      <c r="N260" t="s">
        <v>82</v>
      </c>
      <c r="O260">
        <f>MATCH(Combined[[#This Row],[Primary Area]],KPIs!$C$4:$C$7,0)</f>
        <v>3</v>
      </c>
      <c r="P260"/>
      <c r="Q260" s="40">
        <v>44981</v>
      </c>
      <c r="R260" s="40">
        <f t="shared" si="36"/>
        <v>44981</v>
      </c>
      <c r="S260" s="4" t="str">
        <f>TEXT(Mileage[[#This Row],[Date]],"dddd")</f>
        <v>Friday</v>
      </c>
      <c r="T260" s="4" t="s">
        <v>234</v>
      </c>
      <c r="U260" s="4">
        <v>18.399999999999999</v>
      </c>
      <c r="V260" t="str" cm="1">
        <f t="array" ref="V260">IFERROR(VLOOKUP(MODE(IF(Combined[Date]=Mileage[[#This Row],[Date]],Combined[Area '#])),KPIs!$B$4:$C$7,2,FALSE),VLOOKUP(Mileage[[#This Row],[Date]],Combined[[Date]:[Primary Area]],8,FALSE))</f>
        <v>Lewiston</v>
      </c>
      <c r="W260" s="106">
        <v>0.77430555555555547</v>
      </c>
      <c r="X260" s="12">
        <v>3.13</v>
      </c>
      <c r="Y260" s="4">
        <v>58</v>
      </c>
      <c r="Z2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1" spans="2:26" x14ac:dyDescent="0.35">
      <c r="B261">
        <f t="shared" si="35"/>
        <v>259</v>
      </c>
      <c r="C261" t="s">
        <v>86</v>
      </c>
      <c r="D261" t="s">
        <v>176</v>
      </c>
      <c r="E261">
        <f>IF(WEEKNUM(Combined[[#This Row],[Date]], 1) = 53, 1, WEEKNUM(Combined[[#This Row],[Date]], 2))</f>
        <v>26</v>
      </c>
      <c r="F261" t="str">
        <f t="shared" si="37"/>
        <v>Saturday</v>
      </c>
      <c r="G261" s="41">
        <v>44737</v>
      </c>
      <c r="H261">
        <v>13</v>
      </c>
      <c r="I261" s="1">
        <v>80.75</v>
      </c>
      <c r="J261" s="2">
        <v>0.24166666666666667</v>
      </c>
      <c r="K261" s="12">
        <f>Combined[[#This Row],[Time Spent]]*24</f>
        <v>5.8</v>
      </c>
      <c r="L261" s="12">
        <f>MROUND(Combined[[#This Row],[Time Spent 2]],0.25)</f>
        <v>5.75</v>
      </c>
      <c r="M261" s="2" t="s">
        <v>91</v>
      </c>
      <c r="N261" t="s">
        <v>82</v>
      </c>
      <c r="O261">
        <f>MATCH(Combined[[#This Row],[Primary Area]],KPIs!$C$4:$C$7,0)</f>
        <v>3</v>
      </c>
      <c r="P261"/>
      <c r="Q261" s="40">
        <v>44983</v>
      </c>
      <c r="R261" s="40">
        <f t="shared" si="36"/>
        <v>44983</v>
      </c>
      <c r="S261" s="4" t="str">
        <f>TEXT(Mileage[[#This Row],[Date]],"dddd")</f>
        <v>Sunday</v>
      </c>
      <c r="T261" s="4" t="s">
        <v>234</v>
      </c>
      <c r="U261" s="4">
        <v>26.8</v>
      </c>
      <c r="V261" t="str" cm="1">
        <f t="array" ref="V261">IFERROR(VLOOKUP(MODE(IF(Combined[Date]=Mileage[[#This Row],[Date]],Combined[Area '#])),KPIs!$B$4:$C$7,2,FALSE),VLOOKUP(Mileage[[#This Row],[Date]],Combined[[Date]:[Primary Area]],8,FALSE))</f>
        <v>Brunswick/Bath/Freeport</v>
      </c>
      <c r="W261" s="106">
        <v>0.64583333333333337</v>
      </c>
      <c r="X261" s="12">
        <v>7.68</v>
      </c>
      <c r="Y261" s="4">
        <v>128</v>
      </c>
      <c r="Z2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2" spans="2:26" x14ac:dyDescent="0.35">
      <c r="B262">
        <f t="shared" si="35"/>
        <v>260</v>
      </c>
      <c r="C262" t="s">
        <v>83</v>
      </c>
      <c r="D262" t="s">
        <v>176</v>
      </c>
      <c r="E262">
        <f>IF(WEEKNUM(Combined[[#This Row],[Date]], 1) = 53, 1, WEEKNUM(Combined[[#This Row],[Date]], 2))</f>
        <v>26</v>
      </c>
      <c r="F262" t="str">
        <f t="shared" ref="F262:F264" si="38">TEXT(WEEKDAY(G262,1),"DDDD")</f>
        <v>Sunday</v>
      </c>
      <c r="G262" s="41">
        <v>44738</v>
      </c>
      <c r="H262">
        <v>5</v>
      </c>
      <c r="I262" s="1">
        <v>44.9</v>
      </c>
      <c r="J262" s="2">
        <v>0.21875</v>
      </c>
      <c r="K262" s="12">
        <f>Combined[[#This Row],[Time Spent]]*24</f>
        <v>5.25</v>
      </c>
      <c r="L262" s="12">
        <f>MROUND(Combined[[#This Row],[Time Spent 2]],0.25)</f>
        <v>5.25</v>
      </c>
      <c r="M262" s="2" t="s">
        <v>91</v>
      </c>
      <c r="N262" t="s">
        <v>82</v>
      </c>
      <c r="O262">
        <f>MATCH(Combined[[#This Row],[Primary Area]],KPIs!$C$4:$C$7,0)</f>
        <v>3</v>
      </c>
      <c r="P262"/>
      <c r="Q262" s="40">
        <v>44985</v>
      </c>
      <c r="R262" s="40">
        <f t="shared" si="36"/>
        <v>44985</v>
      </c>
      <c r="S262" s="4" t="str">
        <f>TEXT(Mileage[[#This Row],[Date]],"dddd")</f>
        <v>Tuesday</v>
      </c>
      <c r="T262" s="4" t="s">
        <v>232</v>
      </c>
      <c r="U262" s="4">
        <v>38.9</v>
      </c>
      <c r="V262" t="str" cm="1">
        <f t="array" ref="V262">IFERROR(VLOOKUP(MODE(IF(Combined[Date]=Mileage[[#This Row],[Date]],Combined[Area '#])),KPIs!$B$4:$C$7,2,FALSE),VLOOKUP(Mileage[[#This Row],[Date]],Combined[[Date]:[Primary Area]],8,FALSE))</f>
        <v>Brunswick/Bath/Freeport</v>
      </c>
      <c r="W262" s="106">
        <v>0.75</v>
      </c>
      <c r="X262" s="12">
        <v>5.15</v>
      </c>
      <c r="Y262" s="4">
        <v>92</v>
      </c>
      <c r="Z2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3" spans="2:26" x14ac:dyDescent="0.35">
      <c r="B263">
        <f t="shared" si="35"/>
        <v>261</v>
      </c>
      <c r="C263" t="s">
        <v>86</v>
      </c>
      <c r="D263" t="s">
        <v>176</v>
      </c>
      <c r="E263">
        <f>IF(WEEKNUM(Combined[[#This Row],[Date]], 1) = 53, 1, WEEKNUM(Combined[[#This Row],[Date]], 2))</f>
        <v>26</v>
      </c>
      <c r="F263" t="str">
        <f t="shared" si="38"/>
        <v>Sunday</v>
      </c>
      <c r="G263" s="41">
        <v>44738</v>
      </c>
      <c r="H263">
        <v>6</v>
      </c>
      <c r="I263" s="1">
        <v>45.89</v>
      </c>
      <c r="J263" s="2">
        <v>0.14791666666666667</v>
      </c>
      <c r="K263" s="12">
        <f>Combined[[#This Row],[Time Spent]]*24</f>
        <v>3.55</v>
      </c>
      <c r="L263" s="12">
        <f>MROUND(Combined[[#This Row],[Time Spent 2]],0.25)</f>
        <v>3.5</v>
      </c>
      <c r="M263" s="2" t="s">
        <v>91</v>
      </c>
      <c r="N263" t="s">
        <v>82</v>
      </c>
      <c r="O263">
        <f>MATCH(Combined[[#This Row],[Primary Area]],KPIs!$C$4:$C$7,0)</f>
        <v>3</v>
      </c>
      <c r="P263"/>
      <c r="Q263" s="40">
        <v>44986</v>
      </c>
      <c r="R263" s="40">
        <f t="shared" si="36"/>
        <v>44986</v>
      </c>
      <c r="S263" s="4" t="str">
        <f>TEXT(Mileage[[#This Row],[Date]],"dddd")</f>
        <v>Wednesday</v>
      </c>
      <c r="T263" s="4" t="s">
        <v>232</v>
      </c>
      <c r="U263" s="4">
        <v>34.4</v>
      </c>
      <c r="V263" t="str" cm="1">
        <f t="array" ref="V263">IFERROR(VLOOKUP(MODE(IF(Combined[Date]=Mileage[[#This Row],[Date]],Combined[Area '#])),KPIs!$B$4:$C$7,2,FALSE),VLOOKUP(Mileage[[#This Row],[Date]],Combined[[Date]:[Primary Area]],8,FALSE))</f>
        <v>Augusta</v>
      </c>
      <c r="W263" s="106">
        <v>0.70486111111111116</v>
      </c>
      <c r="X263" s="12">
        <v>4.3499999999999996</v>
      </c>
      <c r="Y263" s="4">
        <v>96</v>
      </c>
      <c r="Z2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4" spans="2:26" x14ac:dyDescent="0.35">
      <c r="B264">
        <f t="shared" si="35"/>
        <v>262</v>
      </c>
      <c r="C264" t="s">
        <v>86</v>
      </c>
      <c r="D264" t="s">
        <v>176</v>
      </c>
      <c r="E264">
        <f>IF(WEEKNUM(Combined[[#This Row],[Date]], 1) = 53, 1, WEEKNUM(Combined[[#This Row],[Date]], 2))</f>
        <v>26</v>
      </c>
      <c r="F264" t="str">
        <f t="shared" si="38"/>
        <v>Sunday</v>
      </c>
      <c r="G264" s="41">
        <v>44738</v>
      </c>
      <c r="H264">
        <v>5</v>
      </c>
      <c r="I264" s="1">
        <v>32.79</v>
      </c>
      <c r="J264" s="2">
        <v>0.1125</v>
      </c>
      <c r="K264" s="12">
        <f>Combined[[#This Row],[Time Spent]]*24</f>
        <v>2.7</v>
      </c>
      <c r="L264" s="12">
        <f>MROUND(Combined[[#This Row],[Time Spent 2]],0.25)</f>
        <v>2.75</v>
      </c>
      <c r="M264" s="2" t="s">
        <v>91</v>
      </c>
      <c r="N264" t="s">
        <v>82</v>
      </c>
      <c r="O264">
        <f>MATCH(Combined[[#This Row],[Primary Area]],KPIs!$C$4:$C$7,0)</f>
        <v>3</v>
      </c>
      <c r="P264"/>
      <c r="Q264" s="40">
        <v>44988</v>
      </c>
      <c r="R264" s="40">
        <f t="shared" si="36"/>
        <v>44988</v>
      </c>
      <c r="S264" s="4" t="str">
        <f>TEXT(Mileage[[#This Row],[Date]],"dddd")</f>
        <v>Friday</v>
      </c>
      <c r="T264" s="4" t="s">
        <v>232</v>
      </c>
      <c r="U264" s="4">
        <v>29.3</v>
      </c>
      <c r="V264" t="str" cm="1">
        <f t="array" ref="V264">IFERROR(VLOOKUP(MODE(IF(Combined[Date]=Mileage[[#This Row],[Date]],Combined[Area '#])),KPIs!$B$4:$C$7,2,FALSE),VLOOKUP(Mileage[[#This Row],[Date]],Combined[[Date]:[Primary Area]],8,FALSE))</f>
        <v>Lewiston</v>
      </c>
      <c r="W264" s="106">
        <v>0.71527777777777779</v>
      </c>
      <c r="X264" s="12">
        <v>1.17</v>
      </c>
      <c r="Y264" s="4">
        <v>22</v>
      </c>
      <c r="Z26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65" spans="2:26" x14ac:dyDescent="0.35">
      <c r="B265">
        <f t="shared" si="35"/>
        <v>263</v>
      </c>
      <c r="C265" t="s">
        <v>83</v>
      </c>
      <c r="D265" t="s">
        <v>176</v>
      </c>
      <c r="E265">
        <f>IF(WEEKNUM(Combined[[#This Row],[Date]], 1) = 53, 1, WEEKNUM(Combined[[#This Row],[Date]], 2))</f>
        <v>27</v>
      </c>
      <c r="F265" t="str">
        <f t="shared" ref="F265:F267" si="39">TEXT(WEEKDAY(G265,1),"DDDD")</f>
        <v>Tuesday</v>
      </c>
      <c r="G265" s="41">
        <v>44740</v>
      </c>
      <c r="H265">
        <v>2</v>
      </c>
      <c r="I265" s="1">
        <v>24.87</v>
      </c>
      <c r="J265" s="2">
        <v>0.10069444444444443</v>
      </c>
      <c r="K265" s="12">
        <f>Combined[[#This Row],[Time Spent]]*24</f>
        <v>2.4166666666666665</v>
      </c>
      <c r="L265" s="12">
        <f>MROUND(Combined[[#This Row],[Time Spent 2]],0.25)</f>
        <v>2.5</v>
      </c>
      <c r="M265" s="2" t="s">
        <v>91</v>
      </c>
      <c r="N265" t="s">
        <v>85</v>
      </c>
      <c r="O265">
        <f>MATCH(Combined[[#This Row],[Primary Area]],KPIs!$C$4:$C$7,0)</f>
        <v>4</v>
      </c>
      <c r="P265"/>
      <c r="Q265" s="40">
        <v>44989</v>
      </c>
      <c r="R265" s="40">
        <f t="shared" si="36"/>
        <v>44989</v>
      </c>
      <c r="S265" s="4" t="str">
        <f>TEXT(Mileage[[#This Row],[Date]],"dddd")</f>
        <v>Saturday</v>
      </c>
      <c r="T265" s="4" t="s">
        <v>235</v>
      </c>
      <c r="U265" s="4">
        <v>35.9</v>
      </c>
      <c r="V265" t="str" cm="1">
        <f t="array" ref="V265">IFERROR(VLOOKUP(MODE(IF(Combined[Date]=Mileage[[#This Row],[Date]],Combined[Area '#])),KPIs!$B$4:$C$7,2,FALSE),VLOOKUP(Mileage[[#This Row],[Date]],Combined[[Date]:[Primary Area]],8,FALSE))</f>
        <v>Brunswick/Bath/Freeport</v>
      </c>
      <c r="W265" s="106">
        <v>0.56597222222222221</v>
      </c>
      <c r="X265" s="12">
        <v>5.72</v>
      </c>
      <c r="Y265" s="4">
        <v>124</v>
      </c>
      <c r="Z2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66" spans="2:26" x14ac:dyDescent="0.35">
      <c r="B266">
        <f t="shared" si="35"/>
        <v>264</v>
      </c>
      <c r="C266" t="s">
        <v>86</v>
      </c>
      <c r="D266" t="s">
        <v>176</v>
      </c>
      <c r="E266">
        <f>IF(WEEKNUM(Combined[[#This Row],[Date]], 1) = 53, 1, WEEKNUM(Combined[[#This Row],[Date]], 2))</f>
        <v>27</v>
      </c>
      <c r="F266" t="str">
        <f t="shared" si="39"/>
        <v>Tuesday</v>
      </c>
      <c r="G266" s="41">
        <v>44740</v>
      </c>
      <c r="H266">
        <v>1</v>
      </c>
      <c r="I266" s="1">
        <v>16</v>
      </c>
      <c r="J266" s="2">
        <v>5.486111111111111E-2</v>
      </c>
      <c r="K266" s="12">
        <f>Combined[[#This Row],[Time Spent]]*24</f>
        <v>1.3166666666666667</v>
      </c>
      <c r="L266" s="12">
        <f>MROUND(Combined[[#This Row],[Time Spent 2]],0.25)</f>
        <v>1.25</v>
      </c>
      <c r="M266" s="2" t="s">
        <v>91</v>
      </c>
      <c r="N266" t="s">
        <v>85</v>
      </c>
      <c r="O266">
        <f>MATCH(Combined[[#This Row],[Primary Area]],KPIs!$C$4:$C$7,0)</f>
        <v>4</v>
      </c>
      <c r="P266"/>
      <c r="Q266" s="40">
        <v>44992</v>
      </c>
      <c r="R266" s="40">
        <f t="shared" si="36"/>
        <v>44992</v>
      </c>
      <c r="S266" s="4" t="str">
        <f>TEXT(Mileage[[#This Row],[Date]],"dddd")</f>
        <v>Tuesday</v>
      </c>
      <c r="T266" s="4" t="s">
        <v>236</v>
      </c>
      <c r="U266" s="4">
        <v>39.9</v>
      </c>
      <c r="V266" t="str" cm="1">
        <f t="array" ref="V266">IFERROR(VLOOKUP(MODE(IF(Combined[Date]=Mileage[[#This Row],[Date]],Combined[Area '#])),KPIs!$B$4:$C$7,2,FALSE),VLOOKUP(Mileage[[#This Row],[Date]],Combined[[Date]:[Primary Area]],8,FALSE))</f>
        <v>Brunswick/Bath/Freeport</v>
      </c>
      <c r="W266" s="106">
        <v>0.74305555555555547</v>
      </c>
      <c r="X266" s="12">
        <v>4.22</v>
      </c>
      <c r="Y266" s="4">
        <v>78</v>
      </c>
      <c r="Z2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7" spans="2:26" x14ac:dyDescent="0.35">
      <c r="B267">
        <f t="shared" si="35"/>
        <v>265</v>
      </c>
      <c r="C267" t="s">
        <v>86</v>
      </c>
      <c r="D267" t="s">
        <v>176</v>
      </c>
      <c r="E267">
        <f>IF(WEEKNUM(Combined[[#This Row],[Date]], 1) = 53, 1, WEEKNUM(Combined[[#This Row],[Date]], 2))</f>
        <v>27</v>
      </c>
      <c r="F267" t="str">
        <f t="shared" si="39"/>
        <v>Tuesday</v>
      </c>
      <c r="G267" s="41">
        <v>44740</v>
      </c>
      <c r="H267">
        <v>2</v>
      </c>
      <c r="I267" s="1">
        <v>20</v>
      </c>
      <c r="J267" s="2">
        <v>8.5416666666666655E-2</v>
      </c>
      <c r="K267" s="12">
        <f>Combined[[#This Row],[Time Spent]]*24</f>
        <v>2.0499999999999998</v>
      </c>
      <c r="L267" s="12">
        <f>MROUND(Combined[[#This Row],[Time Spent 2]],0.25)</f>
        <v>2</v>
      </c>
      <c r="M267" s="2" t="s">
        <v>91</v>
      </c>
      <c r="N267" t="s">
        <v>85</v>
      </c>
      <c r="O267">
        <f>MATCH(Combined[[#This Row],[Primary Area]],KPIs!$C$4:$C$7,0)</f>
        <v>4</v>
      </c>
      <c r="P267"/>
      <c r="Q267" s="40">
        <v>44994</v>
      </c>
      <c r="R267" s="40">
        <f t="shared" si="36"/>
        <v>44994</v>
      </c>
      <c r="S267" s="4" t="str">
        <f>TEXT(Mileage[[#This Row],[Date]],"dddd")</f>
        <v>Thursday</v>
      </c>
      <c r="T267" s="4" t="s">
        <v>230</v>
      </c>
      <c r="U267" s="4">
        <v>44.3</v>
      </c>
      <c r="V267" t="str" cm="1">
        <f t="array" ref="V267">IFERROR(VLOOKUP(MODE(IF(Combined[Date]=Mileage[[#This Row],[Date]],Combined[Area '#])),KPIs!$B$4:$C$7,2,FALSE),VLOOKUP(Mileage[[#This Row],[Date]],Combined[[Date]:[Primary Area]],8,FALSE))</f>
        <v>Portland</v>
      </c>
      <c r="W267" s="106">
        <v>0.71527777777777779</v>
      </c>
      <c r="X267" s="12">
        <v>2.4300000000000002</v>
      </c>
      <c r="Y267" s="4">
        <v>59.2</v>
      </c>
      <c r="Z2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68" spans="2:26" x14ac:dyDescent="0.35">
      <c r="B268">
        <f t="shared" si="35"/>
        <v>266</v>
      </c>
      <c r="C268" t="s">
        <v>83</v>
      </c>
      <c r="D268" t="s">
        <v>176</v>
      </c>
      <c r="E268">
        <f>IF(WEEKNUM(Combined[[#This Row],[Date]], 1) = 53, 1, WEEKNUM(Combined[[#This Row],[Date]], 2))</f>
        <v>27</v>
      </c>
      <c r="F268" t="str">
        <f t="shared" ref="F268:F275" si="40">TEXT(WEEKDAY(G268,1),"DDDD")</f>
        <v>Friday</v>
      </c>
      <c r="G268" s="41">
        <v>44743</v>
      </c>
      <c r="H268">
        <v>8</v>
      </c>
      <c r="I268" s="1">
        <v>92.86</v>
      </c>
      <c r="J268" s="2">
        <v>0.33680555555555558</v>
      </c>
      <c r="K268" s="12">
        <f>Combined[[#This Row],[Time Spent]]*24</f>
        <v>8.0833333333333339</v>
      </c>
      <c r="L268" s="12">
        <f>MROUND(Combined[[#This Row],[Time Spent 2]],0.25)</f>
        <v>8</v>
      </c>
      <c r="M268" s="2" t="s">
        <v>91</v>
      </c>
      <c r="N268" t="s">
        <v>82</v>
      </c>
      <c r="O268">
        <f>MATCH(Combined[[#This Row],[Primary Area]],KPIs!$C$4:$C$7,0)</f>
        <v>3</v>
      </c>
      <c r="P268"/>
      <c r="Q268" s="40">
        <v>44995</v>
      </c>
      <c r="R268" s="40">
        <f t="shared" si="36"/>
        <v>44995</v>
      </c>
      <c r="S268" s="4" t="str">
        <f>TEXT(Mileage[[#This Row],[Date]],"dddd")</f>
        <v>Friday</v>
      </c>
      <c r="T268" s="4" t="s">
        <v>234</v>
      </c>
      <c r="U268" s="4">
        <v>38.299999999999997</v>
      </c>
      <c r="V268" t="str" cm="1">
        <f t="array" ref="V268">IFERROR(VLOOKUP(MODE(IF(Combined[Date]=Mileage[[#This Row],[Date]],Combined[Area '#])),KPIs!$B$4:$C$7,2,FALSE),VLOOKUP(Mileage[[#This Row],[Date]],Combined[[Date]:[Primary Area]],8,FALSE))</f>
        <v>Lewiston</v>
      </c>
      <c r="W268" s="106">
        <v>0.77430555555555547</v>
      </c>
      <c r="X268" s="12">
        <v>3.63</v>
      </c>
      <c r="Y268" s="4">
        <v>49</v>
      </c>
      <c r="Z2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69" spans="2:26" x14ac:dyDescent="0.35">
      <c r="B269">
        <f t="shared" si="35"/>
        <v>267</v>
      </c>
      <c r="C269" t="s">
        <v>86</v>
      </c>
      <c r="D269" t="s">
        <v>176</v>
      </c>
      <c r="E269">
        <f>IF(WEEKNUM(Combined[[#This Row],[Date]], 1) = 53, 1, WEEKNUM(Combined[[#This Row],[Date]], 2))</f>
        <v>27</v>
      </c>
      <c r="F269" t="str">
        <f t="shared" si="40"/>
        <v>Friday</v>
      </c>
      <c r="G269" s="41">
        <v>44743</v>
      </c>
      <c r="H269">
        <v>2</v>
      </c>
      <c r="I269" s="1">
        <v>12.25</v>
      </c>
      <c r="J269" s="2">
        <v>7.2222222222222229E-2</v>
      </c>
      <c r="K269" s="12">
        <f>Combined[[#This Row],[Time Spent]]*24</f>
        <v>1.7333333333333334</v>
      </c>
      <c r="L269" s="12">
        <f>MROUND(Combined[[#This Row],[Time Spent 2]],0.25)</f>
        <v>1.75</v>
      </c>
      <c r="M269" s="2" t="s">
        <v>91</v>
      </c>
      <c r="N269" t="s">
        <v>82</v>
      </c>
      <c r="O269">
        <f>MATCH(Combined[[#This Row],[Primary Area]],KPIs!$C$4:$C$7,0)</f>
        <v>3</v>
      </c>
      <c r="P269"/>
      <c r="Q269" s="40">
        <v>44996</v>
      </c>
      <c r="R269" s="40">
        <f t="shared" si="36"/>
        <v>44996</v>
      </c>
      <c r="S269" s="4" t="str">
        <f>TEXT(Mileage[[#This Row],[Date]],"dddd")</f>
        <v>Saturday</v>
      </c>
      <c r="T269" s="4" t="s">
        <v>236</v>
      </c>
      <c r="U269" s="4">
        <v>45</v>
      </c>
      <c r="V269" t="str" cm="1">
        <f t="array" ref="V269">IFERROR(VLOOKUP(MODE(IF(Combined[Date]=Mileage[[#This Row],[Date]],Combined[Area '#])),KPIs!$B$4:$C$7,2,FALSE),VLOOKUP(Mileage[[#This Row],[Date]],Combined[[Date]:[Primary Area]],8,FALSE))</f>
        <v>Brunswick/Bath/Freeport</v>
      </c>
      <c r="W269" s="106">
        <v>0.70833333333333337</v>
      </c>
      <c r="X269" s="12">
        <v>6.2</v>
      </c>
      <c r="Y269" s="4">
        <v>112</v>
      </c>
      <c r="Z26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0" spans="2:26" x14ac:dyDescent="0.35">
      <c r="B270">
        <f t="shared" si="35"/>
        <v>268</v>
      </c>
      <c r="C270" t="s">
        <v>86</v>
      </c>
      <c r="D270" t="s">
        <v>176</v>
      </c>
      <c r="E270">
        <f>IF(WEEKNUM(Combined[[#This Row],[Date]], 1) = 53, 1, WEEKNUM(Combined[[#This Row],[Date]], 2))</f>
        <v>27</v>
      </c>
      <c r="F270" t="str">
        <f t="shared" si="40"/>
        <v>Friday</v>
      </c>
      <c r="G270" s="41">
        <v>44743</v>
      </c>
      <c r="H270">
        <v>2</v>
      </c>
      <c r="I270" s="1">
        <v>5.75</v>
      </c>
      <c r="J270" s="2">
        <v>4.7916666666666663E-2</v>
      </c>
      <c r="K270" s="12">
        <f>Combined[[#This Row],[Time Spent]]*24</f>
        <v>1.1499999999999999</v>
      </c>
      <c r="L270" s="12">
        <f>MROUND(Combined[[#This Row],[Time Spent 2]],0.25)</f>
        <v>1.25</v>
      </c>
      <c r="M270" s="2" t="s">
        <v>92</v>
      </c>
      <c r="N270" t="s">
        <v>82</v>
      </c>
      <c r="O270">
        <f>MATCH(Combined[[#This Row],[Primary Area]],KPIs!$C$4:$C$7,0)</f>
        <v>3</v>
      </c>
      <c r="P270"/>
      <c r="Q270" s="40">
        <v>44999</v>
      </c>
      <c r="R270" s="40">
        <f t="shared" si="36"/>
        <v>44999</v>
      </c>
      <c r="S270" s="4" t="str">
        <f>TEXT(Mileage[[#This Row],[Date]],"dddd")</f>
        <v>Tuesday</v>
      </c>
      <c r="T270" s="4" t="s">
        <v>232</v>
      </c>
      <c r="U270" s="4">
        <v>28.4</v>
      </c>
      <c r="V270" t="str" cm="1">
        <f t="array" ref="V270">IFERROR(VLOOKUP(MODE(IF(Combined[Date]=Mileage[[#This Row],[Date]],Combined[Area '#])),KPIs!$B$4:$C$7,2,FALSE),VLOOKUP(Mileage[[#This Row],[Date]],Combined[[Date]:[Primary Area]],8,FALSE))</f>
        <v>Brunswick/Bath/Freeport</v>
      </c>
      <c r="W270" s="106">
        <v>0.73263888888888884</v>
      </c>
      <c r="X270" s="12">
        <v>3.02</v>
      </c>
      <c r="Y270" s="4">
        <v>75</v>
      </c>
      <c r="Z2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1" spans="2:26" x14ac:dyDescent="0.35">
      <c r="B271">
        <f t="shared" si="35"/>
        <v>269</v>
      </c>
      <c r="C271" t="s">
        <v>86</v>
      </c>
      <c r="D271" t="s">
        <v>176</v>
      </c>
      <c r="E271">
        <f>IF(WEEKNUM(Combined[[#This Row],[Date]], 1) = 53, 1, WEEKNUM(Combined[[#This Row],[Date]], 2))</f>
        <v>27</v>
      </c>
      <c r="F271" t="str">
        <f t="shared" si="40"/>
        <v>Saturday</v>
      </c>
      <c r="G271" s="41">
        <v>44744</v>
      </c>
      <c r="H271">
        <v>5</v>
      </c>
      <c r="I271" s="1">
        <v>40.409999999999997</v>
      </c>
      <c r="J271" s="2">
        <v>0.13819444444444443</v>
      </c>
      <c r="K271" s="12">
        <f>Combined[[#This Row],[Time Spent]]*24</f>
        <v>3.3166666666666664</v>
      </c>
      <c r="L271" s="12">
        <f>MROUND(Combined[[#This Row],[Time Spent 2]],0.25)</f>
        <v>3.25</v>
      </c>
      <c r="M271" s="2" t="s">
        <v>92</v>
      </c>
      <c r="N271" t="s">
        <v>85</v>
      </c>
      <c r="O271">
        <f>MATCH(Combined[[#This Row],[Primary Area]],KPIs!$C$4:$C$7,0)</f>
        <v>4</v>
      </c>
      <c r="P271"/>
      <c r="Q271" s="40">
        <v>45000</v>
      </c>
      <c r="R271" s="40">
        <f t="shared" si="36"/>
        <v>45000</v>
      </c>
      <c r="S271" s="4" t="str">
        <f>TEXT(Mileage[[#This Row],[Date]],"dddd")</f>
        <v>Wednesday</v>
      </c>
      <c r="T271" s="4" t="s">
        <v>230</v>
      </c>
      <c r="U271" s="4">
        <v>42.5</v>
      </c>
      <c r="V271" t="str" cm="1">
        <f t="array" ref="V271">IFERROR(VLOOKUP(MODE(IF(Combined[Date]=Mileage[[#This Row],[Date]],Combined[Area '#])),KPIs!$B$4:$C$7,2,FALSE),VLOOKUP(Mileage[[#This Row],[Date]],Combined[[Date]:[Primary Area]],8,FALSE))</f>
        <v>Lewiston</v>
      </c>
      <c r="W271" s="106">
        <v>0.74652777777777779</v>
      </c>
      <c r="X271" s="12">
        <v>4.1500000000000004</v>
      </c>
      <c r="Y271" s="4">
        <v>73</v>
      </c>
      <c r="Z2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2" spans="2:26" x14ac:dyDescent="0.35">
      <c r="B272">
        <f t="shared" si="35"/>
        <v>270</v>
      </c>
      <c r="C272" t="s">
        <v>83</v>
      </c>
      <c r="D272" t="s">
        <v>176</v>
      </c>
      <c r="E272">
        <f>IF(WEEKNUM(Combined[[#This Row],[Date]], 1) = 53, 1, WEEKNUM(Combined[[#This Row],[Date]], 2))</f>
        <v>27</v>
      </c>
      <c r="F272" t="str">
        <f t="shared" si="40"/>
        <v>Saturday</v>
      </c>
      <c r="G272" s="41">
        <v>44744</v>
      </c>
      <c r="H272">
        <v>3</v>
      </c>
      <c r="I272" s="1">
        <v>23.88</v>
      </c>
      <c r="J272" s="2">
        <v>0.21944444444444444</v>
      </c>
      <c r="K272" s="12">
        <f>Combined[[#This Row],[Time Spent]]*24</f>
        <v>5.2666666666666666</v>
      </c>
      <c r="L272" s="12">
        <f>MROUND(Combined[[#This Row],[Time Spent 2]],0.25)</f>
        <v>5.25</v>
      </c>
      <c r="M272" s="2" t="s">
        <v>91</v>
      </c>
      <c r="N272" t="s">
        <v>82</v>
      </c>
      <c r="O272">
        <f>MATCH(Combined[[#This Row],[Primary Area]],KPIs!$C$4:$C$7,0)</f>
        <v>3</v>
      </c>
      <c r="P272"/>
      <c r="Q272" s="40">
        <v>45001</v>
      </c>
      <c r="R272" s="40">
        <f t="shared" si="36"/>
        <v>45001</v>
      </c>
      <c r="S272" s="4" t="str">
        <f>TEXT(Mileage[[#This Row],[Date]],"dddd")</f>
        <v>Thursday</v>
      </c>
      <c r="T272" s="4" t="s">
        <v>236</v>
      </c>
      <c r="U272" s="4">
        <v>39.9</v>
      </c>
      <c r="V272" t="str" cm="1">
        <f t="array" ref="V272">IFERROR(VLOOKUP(MODE(IF(Combined[Date]=Mileage[[#This Row],[Date]],Combined[Area '#])),KPIs!$B$4:$C$7,2,FALSE),VLOOKUP(Mileage[[#This Row],[Date]],Combined[[Date]:[Primary Area]],8,FALSE))</f>
        <v>Brunswick/Bath/Freeport</v>
      </c>
      <c r="W272" s="106">
        <v>0.73263888888888884</v>
      </c>
      <c r="X272" s="12">
        <v>5.12</v>
      </c>
      <c r="Y272" s="4">
        <v>116.7</v>
      </c>
      <c r="Z27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3" spans="2:26" x14ac:dyDescent="0.35">
      <c r="B273">
        <f t="shared" si="35"/>
        <v>271</v>
      </c>
      <c r="C273" t="s">
        <v>86</v>
      </c>
      <c r="D273" t="s">
        <v>176</v>
      </c>
      <c r="E273">
        <f>IF(WEEKNUM(Combined[[#This Row],[Date]], 1) = 53, 1, WEEKNUM(Combined[[#This Row],[Date]], 2))</f>
        <v>27</v>
      </c>
      <c r="F273" t="str">
        <f t="shared" si="40"/>
        <v>Saturday</v>
      </c>
      <c r="G273" s="41">
        <v>44744</v>
      </c>
      <c r="H273">
        <v>7</v>
      </c>
      <c r="I273" s="1">
        <v>68.25</v>
      </c>
      <c r="J273" s="2">
        <v>0.15138888888888888</v>
      </c>
      <c r="K273" s="12">
        <f>Combined[[#This Row],[Time Spent]]*24</f>
        <v>3.6333333333333329</v>
      </c>
      <c r="L273" s="12">
        <f>MROUND(Combined[[#This Row],[Time Spent 2]],0.25)</f>
        <v>3.75</v>
      </c>
      <c r="M273" s="2" t="s">
        <v>91</v>
      </c>
      <c r="N273" t="s">
        <v>82</v>
      </c>
      <c r="O273">
        <f>MATCH(Combined[[#This Row],[Primary Area]],KPIs!$C$4:$C$7,0)</f>
        <v>3</v>
      </c>
      <c r="P273"/>
      <c r="Q273" s="40">
        <v>45002</v>
      </c>
      <c r="R273" s="40">
        <f t="shared" si="36"/>
        <v>45002</v>
      </c>
      <c r="S273" s="4" t="str">
        <f>TEXT(Mileage[[#This Row],[Date]],"dddd")</f>
        <v>Friday</v>
      </c>
      <c r="T273" s="4" t="s">
        <v>235</v>
      </c>
      <c r="U273" s="4">
        <v>49.1</v>
      </c>
      <c r="V273" t="str" cm="1">
        <f t="array" ref="V273">IFERROR(VLOOKUP(MODE(IF(Combined[Date]=Mileage[[#This Row],[Date]],Combined[Area '#])),KPIs!$B$4:$C$7,2,FALSE),VLOOKUP(Mileage[[#This Row],[Date]],Combined[[Date]:[Primary Area]],8,FALSE))</f>
        <v>Lewiston</v>
      </c>
      <c r="W273" s="106">
        <v>0.73611111111111116</v>
      </c>
      <c r="X273" s="12">
        <v>3.85</v>
      </c>
      <c r="Y273" s="4">
        <v>54</v>
      </c>
      <c r="Z27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4" spans="2:26" x14ac:dyDescent="0.35">
      <c r="B274">
        <f t="shared" si="35"/>
        <v>272</v>
      </c>
      <c r="C274" t="s">
        <v>86</v>
      </c>
      <c r="D274" t="s">
        <v>176</v>
      </c>
      <c r="E274">
        <f>IF(WEEKNUM(Combined[[#This Row],[Date]], 1) = 53, 1, WEEKNUM(Combined[[#This Row],[Date]], 2))</f>
        <v>27</v>
      </c>
      <c r="F274" t="str">
        <f t="shared" si="40"/>
        <v>Saturday</v>
      </c>
      <c r="G274" s="41">
        <v>44744</v>
      </c>
      <c r="H274">
        <v>4</v>
      </c>
      <c r="I274" s="1">
        <v>37.25</v>
      </c>
      <c r="J274" s="2">
        <v>0.12291666666666667</v>
      </c>
      <c r="K274" s="12">
        <f>Combined[[#This Row],[Time Spent]]*24</f>
        <v>2.95</v>
      </c>
      <c r="L274" s="12">
        <f>MROUND(Combined[[#This Row],[Time Spent 2]],0.25)</f>
        <v>3</v>
      </c>
      <c r="M274" s="2" t="s">
        <v>92</v>
      </c>
      <c r="N274" t="s">
        <v>82</v>
      </c>
      <c r="O274">
        <f>MATCH(Combined[[#This Row],[Primary Area]],KPIs!$C$4:$C$7,0)</f>
        <v>3</v>
      </c>
      <c r="P274"/>
      <c r="Q274" s="40">
        <v>45003</v>
      </c>
      <c r="R274" s="40">
        <f t="shared" si="36"/>
        <v>45003</v>
      </c>
      <c r="S274" s="4" t="str">
        <f>TEXT(Mileage[[#This Row],[Date]],"dddd")</f>
        <v>Saturday</v>
      </c>
      <c r="T274" s="4" t="s">
        <v>234</v>
      </c>
      <c r="U274" s="4">
        <v>31.3</v>
      </c>
      <c r="V274" t="str" cm="1">
        <f t="array" ref="V274">IFERROR(VLOOKUP(MODE(IF(Combined[Date]=Mileage[[#This Row],[Date]],Combined[Area '#])),KPIs!$B$4:$C$7,2,FALSE),VLOOKUP(Mileage[[#This Row],[Date]],Combined[[Date]:[Primary Area]],8,FALSE))</f>
        <v>Brunswick/Bath/Freeport</v>
      </c>
      <c r="W274" s="106">
        <v>0.75</v>
      </c>
      <c r="X274" s="12">
        <v>6.23</v>
      </c>
      <c r="Y274" s="4">
        <v>145</v>
      </c>
      <c r="Z2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5" spans="2:26" x14ac:dyDescent="0.35">
      <c r="B275">
        <f t="shared" si="35"/>
        <v>273</v>
      </c>
      <c r="C275" t="s">
        <v>86</v>
      </c>
      <c r="D275" t="s">
        <v>176</v>
      </c>
      <c r="E275">
        <f>IF(WEEKNUM(Combined[[#This Row],[Date]], 1) = 53, 1, WEEKNUM(Combined[[#This Row],[Date]], 2))</f>
        <v>27</v>
      </c>
      <c r="F275" t="str">
        <f t="shared" si="40"/>
        <v>Saturday</v>
      </c>
      <c r="G275" s="41">
        <v>44744</v>
      </c>
      <c r="H275">
        <v>1</v>
      </c>
      <c r="I275" s="1">
        <v>18</v>
      </c>
      <c r="J275" s="2">
        <v>2.9861111111111113E-2</v>
      </c>
      <c r="K275" s="12">
        <f>Combined[[#This Row],[Time Spent]]*24</f>
        <v>0.71666666666666667</v>
      </c>
      <c r="L275" s="12">
        <f>MROUND(Combined[[#This Row],[Time Spent 2]],0.25)</f>
        <v>0.75</v>
      </c>
      <c r="M275" s="2" t="s">
        <v>92</v>
      </c>
      <c r="N275" t="s">
        <v>85</v>
      </c>
      <c r="O275">
        <f>MATCH(Combined[[#This Row],[Primary Area]],KPIs!$C$4:$C$7,0)</f>
        <v>4</v>
      </c>
      <c r="P275"/>
      <c r="Q275" s="40">
        <v>45008</v>
      </c>
      <c r="R275" s="40">
        <f t="shared" si="36"/>
        <v>45008</v>
      </c>
      <c r="S275" s="4" t="str">
        <f>TEXT(Mileage[[#This Row],[Date]],"dddd")</f>
        <v>Thursday</v>
      </c>
      <c r="T275" s="4" t="s">
        <v>236</v>
      </c>
      <c r="U275" s="4">
        <v>38.9</v>
      </c>
      <c r="V275" t="str" cm="1">
        <f t="array" ref="V275">IFERROR(VLOOKUP(MODE(IF(Combined[Date]=Mileage[[#This Row],[Date]],Combined[Area '#])),KPIs!$B$4:$C$7,2,FALSE),VLOOKUP(Mileage[[#This Row],[Date]],Combined[[Date]:[Primary Area]],8,FALSE))</f>
        <v>Portland</v>
      </c>
      <c r="W275" s="106">
        <v>0.78819444444444453</v>
      </c>
      <c r="X275" s="12">
        <v>4.97</v>
      </c>
      <c r="Y275" s="4">
        <v>61</v>
      </c>
      <c r="Z27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76" spans="2:26" x14ac:dyDescent="0.35">
      <c r="B276">
        <f t="shared" si="35"/>
        <v>274</v>
      </c>
      <c r="C276" t="s">
        <v>86</v>
      </c>
      <c r="D276" t="s">
        <v>176</v>
      </c>
      <c r="E276">
        <f>IF(WEEKNUM(Combined[[#This Row],[Date]], 1) = 53, 1, WEEKNUM(Combined[[#This Row],[Date]], 2))</f>
        <v>28</v>
      </c>
      <c r="F276" t="str">
        <f t="shared" ref="F276:F277" si="41">TEXT(WEEKDAY(G276,1),"DDDD")</f>
        <v>Tuesday</v>
      </c>
      <c r="G276" s="41">
        <v>44747</v>
      </c>
      <c r="H276">
        <v>8</v>
      </c>
      <c r="I276" s="1">
        <v>60.43</v>
      </c>
      <c r="J276" s="2">
        <v>0.12986111111111112</v>
      </c>
      <c r="K276" s="12">
        <f>Combined[[#This Row],[Time Spent]]*24</f>
        <v>3.1166666666666671</v>
      </c>
      <c r="L276" s="12">
        <f>MROUND(Combined[[#This Row],[Time Spent 2]],0.25)</f>
        <v>3</v>
      </c>
      <c r="M276" s="2" t="s">
        <v>91</v>
      </c>
      <c r="N276" t="s">
        <v>82</v>
      </c>
      <c r="O276">
        <f>MATCH(Combined[[#This Row],[Primary Area]],KPIs!$C$4:$C$7,0)</f>
        <v>3</v>
      </c>
      <c r="P276"/>
      <c r="Q276" s="40">
        <v>45009</v>
      </c>
      <c r="R276" s="40">
        <f t="shared" si="36"/>
        <v>45009</v>
      </c>
      <c r="S276" s="4" t="str">
        <f>TEXT(Mileage[[#This Row],[Date]],"dddd")</f>
        <v>Friday</v>
      </c>
      <c r="T276" s="4" t="s">
        <v>234</v>
      </c>
      <c r="U276" s="4">
        <v>33.5</v>
      </c>
      <c r="V276" t="str" cm="1">
        <f t="array" ref="V276">IFERROR(VLOOKUP(MODE(IF(Combined[Date]=Mileage[[#This Row],[Date]],Combined[Area '#])),KPIs!$B$4:$C$7,2,FALSE),VLOOKUP(Mileage[[#This Row],[Date]],Combined[[Date]:[Primary Area]],8,FALSE))</f>
        <v>Brunswick/Bath/Freeport</v>
      </c>
      <c r="W276" s="106">
        <v>0.78472222222222221</v>
      </c>
      <c r="X276" s="12">
        <v>3.18</v>
      </c>
      <c r="Y276" s="4">
        <v>51</v>
      </c>
      <c r="Z27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77" spans="2:26" x14ac:dyDescent="0.35">
      <c r="B277">
        <f t="shared" si="35"/>
        <v>275</v>
      </c>
      <c r="C277" t="s">
        <v>83</v>
      </c>
      <c r="D277" t="s">
        <v>176</v>
      </c>
      <c r="E277">
        <f>IF(WEEKNUM(Combined[[#This Row],[Date]], 1) = 53, 1, WEEKNUM(Combined[[#This Row],[Date]], 2))</f>
        <v>28</v>
      </c>
      <c r="F277" t="str">
        <f t="shared" si="41"/>
        <v>Wednesday</v>
      </c>
      <c r="G277" s="41">
        <v>44748</v>
      </c>
      <c r="H277">
        <v>2</v>
      </c>
      <c r="I277" s="1">
        <v>45.68</v>
      </c>
      <c r="J277" s="2">
        <v>0.13125000000000001</v>
      </c>
      <c r="K277" s="12">
        <f>Combined[[#This Row],[Time Spent]]*24</f>
        <v>3.1500000000000004</v>
      </c>
      <c r="L277" s="12">
        <f>MROUND(Combined[[#This Row],[Time Spent 2]],0.25)</f>
        <v>3.25</v>
      </c>
      <c r="M277" s="2" t="s">
        <v>91</v>
      </c>
      <c r="N277" t="s">
        <v>80</v>
      </c>
      <c r="O277">
        <f>MATCH(Combined[[#This Row],[Primary Area]],KPIs!$C$4:$C$7,0)</f>
        <v>2</v>
      </c>
      <c r="P277"/>
      <c r="Q277" s="40">
        <v>45010</v>
      </c>
      <c r="R277" s="40">
        <f t="shared" si="36"/>
        <v>45010</v>
      </c>
      <c r="S277" s="4" t="str">
        <f>TEXT(Mileage[[#This Row],[Date]],"dddd")</f>
        <v>Saturday</v>
      </c>
      <c r="T277" s="4" t="s">
        <v>235</v>
      </c>
      <c r="U277" s="4">
        <v>41.9</v>
      </c>
      <c r="V277" t="str" cm="1">
        <f t="array" ref="V277">IFERROR(VLOOKUP(MODE(IF(Combined[Date]=Mileage[[#This Row],[Date]],Combined[Area '#])),KPIs!$B$4:$C$7,2,FALSE),VLOOKUP(Mileage[[#This Row],[Date]],Combined[[Date]:[Primary Area]],8,FALSE))</f>
        <v>Brunswick/Bath/Freeport</v>
      </c>
      <c r="W277" s="106">
        <v>0.79513888888888884</v>
      </c>
      <c r="X277" s="12">
        <v>4.03</v>
      </c>
      <c r="Y277" s="4">
        <v>81</v>
      </c>
      <c r="Z27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78" spans="2:26" x14ac:dyDescent="0.35">
      <c r="B278">
        <f t="shared" si="35"/>
        <v>276</v>
      </c>
      <c r="C278" t="s">
        <v>86</v>
      </c>
      <c r="D278" t="s">
        <v>176</v>
      </c>
      <c r="E278">
        <f>IF(WEEKNUM(Combined[[#This Row],[Date]], 1) = 53, 1, WEEKNUM(Combined[[#This Row],[Date]], 2))</f>
        <v>28</v>
      </c>
      <c r="F278" t="str">
        <f>TEXT(WEEKDAY(G278,1),"DDDD")</f>
        <v>Wednesday</v>
      </c>
      <c r="G278" s="41">
        <v>44748</v>
      </c>
      <c r="H278">
        <v>3</v>
      </c>
      <c r="I278" s="1">
        <v>19.25</v>
      </c>
      <c r="J278" s="2">
        <v>5.2777777777777778E-2</v>
      </c>
      <c r="K278" s="12">
        <f>Combined[[#This Row],[Time Spent]]*24</f>
        <v>1.2666666666666666</v>
      </c>
      <c r="L278" s="12">
        <f>MROUND(Combined[[#This Row],[Time Spent 2]],0.25)</f>
        <v>1.25</v>
      </c>
      <c r="M278" s="2" t="s">
        <v>91</v>
      </c>
      <c r="N278" t="s">
        <v>80</v>
      </c>
      <c r="O278">
        <f>MATCH(Combined[[#This Row],[Primary Area]],KPIs!$C$4:$C$7,0)</f>
        <v>2</v>
      </c>
      <c r="P278"/>
      <c r="Q278" s="40">
        <v>45011</v>
      </c>
      <c r="R278" s="40">
        <f t="shared" si="36"/>
        <v>45011</v>
      </c>
      <c r="S278" s="4" t="str">
        <f>TEXT(Mileage[[#This Row],[Date]],"dddd")</f>
        <v>Sunday</v>
      </c>
      <c r="T278" s="4" t="s">
        <v>249</v>
      </c>
      <c r="U278" s="4">
        <v>52.3</v>
      </c>
      <c r="V278" t="str" cm="1">
        <f t="array" ref="V278">IFERROR(VLOOKUP(MODE(IF(Combined[Date]=Mileage[[#This Row],[Date]],Combined[Area '#])),KPIs!$B$4:$C$7,2,FALSE),VLOOKUP(Mileage[[#This Row],[Date]],Combined[[Date]:[Primary Area]],8,FALSE))</f>
        <v>Portland</v>
      </c>
      <c r="W278" s="106">
        <v>0.76041666666666663</v>
      </c>
      <c r="X278" s="12">
        <v>4.5999999999999996</v>
      </c>
      <c r="Y278" s="4">
        <v>77</v>
      </c>
      <c r="Z27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79" spans="2:26" x14ac:dyDescent="0.35">
      <c r="B279">
        <f t="shared" si="35"/>
        <v>277</v>
      </c>
      <c r="C279" t="s">
        <v>86</v>
      </c>
      <c r="D279" t="s">
        <v>176</v>
      </c>
      <c r="E279">
        <f>IF(WEEKNUM(Combined[[#This Row],[Date]], 1) = 53, 1, WEEKNUM(Combined[[#This Row],[Date]], 2))</f>
        <v>28</v>
      </c>
      <c r="F279" t="str">
        <f>TEXT(WEEKDAY(G279,1),"DDDD")</f>
        <v>Wednesday</v>
      </c>
      <c r="G279" s="41">
        <v>44748</v>
      </c>
      <c r="H279">
        <v>1</v>
      </c>
      <c r="I279" s="1">
        <v>2.5</v>
      </c>
      <c r="J279" s="2">
        <v>3.4027777777777775E-2</v>
      </c>
      <c r="K279" s="12">
        <f>Combined[[#This Row],[Time Spent]]*24</f>
        <v>0.81666666666666665</v>
      </c>
      <c r="L279" s="12">
        <f>MROUND(Combined[[#This Row],[Time Spent 2]],0.25)</f>
        <v>0.75</v>
      </c>
      <c r="M279" s="2" t="s">
        <v>91</v>
      </c>
      <c r="N279" t="s">
        <v>80</v>
      </c>
      <c r="O279">
        <f>MATCH(Combined[[#This Row],[Primary Area]],KPIs!$C$4:$C$7,0)</f>
        <v>2</v>
      </c>
      <c r="P279"/>
      <c r="Q279" s="40">
        <v>45014</v>
      </c>
      <c r="R279" s="40">
        <f t="shared" si="36"/>
        <v>45014</v>
      </c>
      <c r="S279" s="4" t="str">
        <f>TEXT(Mileage[[#This Row],[Date]],"dddd")</f>
        <v>Wednesday</v>
      </c>
      <c r="T279" s="4" t="s">
        <v>235</v>
      </c>
      <c r="U279" s="4">
        <v>33</v>
      </c>
      <c r="V279" t="str" cm="1">
        <f t="array" ref="V279">IFERROR(VLOOKUP(MODE(IF(Combined[Date]=Mileage[[#This Row],[Date]],Combined[Area '#])),KPIs!$B$4:$C$7,2,FALSE),VLOOKUP(Mileage[[#This Row],[Date]],Combined[[Date]:[Primary Area]],8,FALSE))</f>
        <v>Portland</v>
      </c>
      <c r="W279" s="106">
        <v>0.72569444444444453</v>
      </c>
      <c r="X279" s="12">
        <v>4.7300000000000004</v>
      </c>
      <c r="Y279" s="4">
        <v>71.8</v>
      </c>
      <c r="Z27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0" spans="2:26" x14ac:dyDescent="0.35">
      <c r="B280">
        <f t="shared" si="35"/>
        <v>278</v>
      </c>
      <c r="C280" t="s">
        <v>83</v>
      </c>
      <c r="D280" t="s">
        <v>176</v>
      </c>
      <c r="E280">
        <f>IF(WEEKNUM(Combined[[#This Row],[Date]], 1) = 53, 1, WEEKNUM(Combined[[#This Row],[Date]], 2))</f>
        <v>28</v>
      </c>
      <c r="F280" t="str">
        <f t="shared" ref="F280:F282" si="42">TEXT(WEEKDAY(G280,1),"DDDD")</f>
        <v>Thursday</v>
      </c>
      <c r="G280" s="41">
        <v>44749</v>
      </c>
      <c r="H280">
        <v>1</v>
      </c>
      <c r="I280" s="1">
        <v>8.6999999999999993</v>
      </c>
      <c r="J280" s="2">
        <v>0.14583333333333334</v>
      </c>
      <c r="K280" s="12">
        <f>Combined[[#This Row],[Time Spent]]*24</f>
        <v>3.5</v>
      </c>
      <c r="L280" s="12">
        <f>MROUND(Combined[[#This Row],[Time Spent 2]],0.25)</f>
        <v>3.5</v>
      </c>
      <c r="M280" s="2" t="s">
        <v>91</v>
      </c>
      <c r="N280" t="s">
        <v>85</v>
      </c>
      <c r="O280">
        <f>MATCH(Combined[[#This Row],[Primary Area]],KPIs!$C$4:$C$7,0)</f>
        <v>4</v>
      </c>
      <c r="P280"/>
      <c r="Q280" s="40">
        <v>45015</v>
      </c>
      <c r="R280" s="40">
        <f t="shared" si="36"/>
        <v>45015</v>
      </c>
      <c r="S280" s="4" t="str">
        <f>TEXT(Mileage[[#This Row],[Date]],"dddd")</f>
        <v>Thursday</v>
      </c>
      <c r="T280" s="4" t="s">
        <v>234</v>
      </c>
      <c r="U280" s="4">
        <v>38.6</v>
      </c>
      <c r="V280" t="str" cm="1">
        <f t="array" ref="V280">IFERROR(VLOOKUP(MODE(IF(Combined[Date]=Mileage[[#This Row],[Date]],Combined[Area '#])),KPIs!$B$4:$C$7,2,FALSE),VLOOKUP(Mileage[[#This Row],[Date]],Combined[[Date]:[Primary Area]],8,FALSE))</f>
        <v>Lewiston</v>
      </c>
      <c r="W280" s="106">
        <v>0.74652777777777779</v>
      </c>
      <c r="X280" s="12">
        <v>4.92</v>
      </c>
      <c r="Y280" s="4">
        <v>80</v>
      </c>
      <c r="Z28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1" spans="2:26" x14ac:dyDescent="0.35">
      <c r="B281">
        <f t="shared" si="35"/>
        <v>279</v>
      </c>
      <c r="C281" t="s">
        <v>86</v>
      </c>
      <c r="D281" t="s">
        <v>176</v>
      </c>
      <c r="E281">
        <f>IF(WEEKNUM(Combined[[#This Row],[Date]], 1) = 53, 1, WEEKNUM(Combined[[#This Row],[Date]], 2))</f>
        <v>28</v>
      </c>
      <c r="F281" t="str">
        <f t="shared" si="42"/>
        <v>Thursday</v>
      </c>
      <c r="G281" s="41">
        <v>44749</v>
      </c>
      <c r="H281">
        <v>5</v>
      </c>
      <c r="I281" s="1">
        <v>38.5</v>
      </c>
      <c r="J281" s="2">
        <v>8.5416666666666655E-2</v>
      </c>
      <c r="K281" s="12">
        <f>Combined[[#This Row],[Time Spent]]*24</f>
        <v>2.0499999999999998</v>
      </c>
      <c r="L281" s="12">
        <f>MROUND(Combined[[#This Row],[Time Spent 2]],0.25)</f>
        <v>2</v>
      </c>
      <c r="M281" s="2" t="s">
        <v>91</v>
      </c>
      <c r="N281" t="s">
        <v>85</v>
      </c>
      <c r="O281">
        <f>MATCH(Combined[[#This Row],[Primary Area]],KPIs!$C$4:$C$7,0)</f>
        <v>4</v>
      </c>
      <c r="P281"/>
      <c r="Q281" s="40">
        <v>45016</v>
      </c>
      <c r="R281" s="40">
        <f t="shared" si="36"/>
        <v>45016</v>
      </c>
      <c r="S281" s="4" t="str">
        <f>TEXT(Mileage[[#This Row],[Date]],"dddd")</f>
        <v>Friday</v>
      </c>
      <c r="T281" s="4" t="s">
        <v>235</v>
      </c>
      <c r="U281" s="4">
        <v>42.3</v>
      </c>
      <c r="V281" t="str" cm="1">
        <f t="array" ref="V281">IFERROR(VLOOKUP(MODE(IF(Combined[Date]=Mileage[[#This Row],[Date]],Combined[Area '#])),KPIs!$B$4:$C$7,2,FALSE),VLOOKUP(Mileage[[#This Row],[Date]],Combined[[Date]:[Primary Area]],8,FALSE))</f>
        <v>Portland</v>
      </c>
      <c r="W281" s="106">
        <v>0.73263888888888884</v>
      </c>
      <c r="X281" s="12">
        <v>8.9499999999999993</v>
      </c>
      <c r="Y281" s="4">
        <v>166</v>
      </c>
      <c r="Z28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82" spans="2:26" x14ac:dyDescent="0.35">
      <c r="B282">
        <f t="shared" si="35"/>
        <v>280</v>
      </c>
      <c r="C282" t="s">
        <v>86</v>
      </c>
      <c r="D282" t="s">
        <v>176</v>
      </c>
      <c r="E282">
        <f>IF(WEEKNUM(Combined[[#This Row],[Date]], 1) = 53, 1, WEEKNUM(Combined[[#This Row],[Date]], 2))</f>
        <v>28</v>
      </c>
      <c r="F282" t="str">
        <f t="shared" si="42"/>
        <v>Thursday</v>
      </c>
      <c r="G282" s="41">
        <v>44749</v>
      </c>
      <c r="H282">
        <v>7</v>
      </c>
      <c r="I282" s="1">
        <v>44</v>
      </c>
      <c r="J282" s="2">
        <v>9.930555555555555E-2</v>
      </c>
      <c r="K282" s="12">
        <f>Combined[[#This Row],[Time Spent]]*24</f>
        <v>2.3833333333333333</v>
      </c>
      <c r="L282" s="12">
        <f>MROUND(Combined[[#This Row],[Time Spent 2]],0.25)</f>
        <v>2.5</v>
      </c>
      <c r="M282" s="2" t="s">
        <v>92</v>
      </c>
      <c r="N282" t="s">
        <v>85</v>
      </c>
      <c r="O282">
        <f>MATCH(Combined[[#This Row],[Primary Area]],KPIs!$C$4:$C$7,0)</f>
        <v>4</v>
      </c>
      <c r="P282"/>
      <c r="Q282" s="40">
        <v>45017</v>
      </c>
      <c r="R282" s="40">
        <f t="shared" si="36"/>
        <v>45017</v>
      </c>
      <c r="S282" s="4" t="str">
        <f>TEXT(Mileage[[#This Row],[Date]],"dddd")</f>
        <v>Saturday</v>
      </c>
      <c r="T282" s="4" t="s">
        <v>249</v>
      </c>
      <c r="U282" s="4">
        <v>37.799999999999997</v>
      </c>
      <c r="V282" t="str" cm="1">
        <f t="array" ref="V282">IFERROR(VLOOKUP(MODE(IF(Combined[Date]=Mileage[[#This Row],[Date]],Combined[Area '#])),KPIs!$B$4:$C$7,2,FALSE),VLOOKUP(Mileage[[#This Row],[Date]],Combined[[Date]:[Primary Area]],8,FALSE))</f>
        <v>Portland</v>
      </c>
      <c r="W282" s="106">
        <v>0.76041666666666663</v>
      </c>
      <c r="X282" s="12">
        <v>4.58</v>
      </c>
      <c r="Y282" s="4">
        <v>81</v>
      </c>
      <c r="Z28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83" spans="2:26" x14ac:dyDescent="0.35">
      <c r="B283">
        <f t="shared" si="35"/>
        <v>281</v>
      </c>
      <c r="C283" t="s">
        <v>86</v>
      </c>
      <c r="D283" t="s">
        <v>176</v>
      </c>
      <c r="E283">
        <f>IF(WEEKNUM(Combined[[#This Row],[Date]], 1) = 53, 1, WEEKNUM(Combined[[#This Row],[Date]], 2))</f>
        <v>28</v>
      </c>
      <c r="F283" t="str">
        <f t="shared" ref="F283:F284" si="43">TEXT(WEEKDAY(G283,1),"DDDD")</f>
        <v>Friday</v>
      </c>
      <c r="G283" s="41">
        <v>44750</v>
      </c>
      <c r="H283">
        <v>7</v>
      </c>
      <c r="I283" s="1">
        <v>65.73</v>
      </c>
      <c r="J283" s="2">
        <v>0.15277777777777776</v>
      </c>
      <c r="K283" s="12">
        <f>Combined[[#This Row],[Time Spent]]*24</f>
        <v>3.6666666666666661</v>
      </c>
      <c r="L283" s="12">
        <f>MROUND(Combined[[#This Row],[Time Spent 2]],0.25)</f>
        <v>3.75</v>
      </c>
      <c r="M283" s="2" t="s">
        <v>91</v>
      </c>
      <c r="N283" t="s">
        <v>80</v>
      </c>
      <c r="O283">
        <f>MATCH(Combined[[#This Row],[Primary Area]],KPIs!$C$4:$C$7,0)</f>
        <v>2</v>
      </c>
      <c r="P283"/>
      <c r="Q283" s="40">
        <v>45020</v>
      </c>
      <c r="R283" s="40">
        <f t="shared" si="36"/>
        <v>45020</v>
      </c>
      <c r="S283" s="4" t="str">
        <f>TEXT(Mileage[[#This Row],[Date]],"dddd")</f>
        <v>Tuesday</v>
      </c>
      <c r="T283" s="4" t="s">
        <v>233</v>
      </c>
      <c r="U283" s="4">
        <v>43.8</v>
      </c>
      <c r="V283" t="str" cm="1">
        <f t="array" ref="V283">IFERROR(VLOOKUP(MODE(IF(Combined[Date]=Mileage[[#This Row],[Date]],Combined[Area '#])),KPIs!$B$4:$C$7,2,FALSE),VLOOKUP(Mileage[[#This Row],[Date]],Combined[[Date]:[Primary Area]],8,FALSE))</f>
        <v>Brunswick/Bath/Freeport</v>
      </c>
      <c r="W283" s="106">
        <v>0.73263888888888884</v>
      </c>
      <c r="X283" s="12">
        <v>1.9</v>
      </c>
      <c r="Y283" s="4">
        <v>36.4</v>
      </c>
      <c r="Z2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4" spans="2:26" x14ac:dyDescent="0.35">
      <c r="B284">
        <f t="shared" si="35"/>
        <v>282</v>
      </c>
      <c r="C284" t="s">
        <v>86</v>
      </c>
      <c r="D284" t="s">
        <v>176</v>
      </c>
      <c r="E284">
        <f>IF(WEEKNUM(Combined[[#This Row],[Date]], 1) = 53, 1, WEEKNUM(Combined[[#This Row],[Date]], 2))</f>
        <v>28</v>
      </c>
      <c r="F284" t="str">
        <f t="shared" si="43"/>
        <v>Friday</v>
      </c>
      <c r="G284" s="41">
        <v>44750</v>
      </c>
      <c r="H284">
        <v>4</v>
      </c>
      <c r="I284" s="1">
        <v>25.5</v>
      </c>
      <c r="J284" s="2">
        <v>4.8611111111111112E-2</v>
      </c>
      <c r="K284" s="12">
        <f>Combined[[#This Row],[Time Spent]]*24</f>
        <v>1.1666666666666667</v>
      </c>
      <c r="L284" s="12">
        <f>MROUND(Combined[[#This Row],[Time Spent 2]],0.25)</f>
        <v>1.25</v>
      </c>
      <c r="M284" s="2" t="s">
        <v>92</v>
      </c>
      <c r="N284" t="s">
        <v>85</v>
      </c>
      <c r="O284">
        <f>MATCH(Combined[[#This Row],[Primary Area]],KPIs!$C$4:$C$7,0)</f>
        <v>4</v>
      </c>
      <c r="P284"/>
      <c r="Q284" s="40">
        <v>45029</v>
      </c>
      <c r="R284" s="40">
        <f t="shared" si="36"/>
        <v>45029</v>
      </c>
      <c r="S284" s="4" t="str">
        <f>TEXT(Mileage[[#This Row],[Date]],"dddd")</f>
        <v>Thursday</v>
      </c>
      <c r="T284" s="4" t="s">
        <v>230</v>
      </c>
      <c r="U284" s="4">
        <v>78.400000000000006</v>
      </c>
      <c r="V284" t="str" cm="1">
        <f t="array" ref="V284">IFERROR(VLOOKUP(MODE(IF(Combined[Date]=Mileage[[#This Row],[Date]],Combined[Area '#])),KPIs!$B$4:$C$7,2,FALSE),VLOOKUP(Mileage[[#This Row],[Date]],Combined[[Date]:[Primary Area]],8,FALSE))</f>
        <v>Brunswick/Bath/Freeport</v>
      </c>
      <c r="W284" s="106">
        <v>0.74444444444444446</v>
      </c>
      <c r="X284" s="12">
        <v>4.3</v>
      </c>
      <c r="Y284" s="4">
        <v>105.8</v>
      </c>
      <c r="Z28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85" spans="2:26" x14ac:dyDescent="0.35">
      <c r="B285">
        <f t="shared" si="35"/>
        <v>283</v>
      </c>
      <c r="C285" t="s">
        <v>86</v>
      </c>
      <c r="D285" t="s">
        <v>176</v>
      </c>
      <c r="E285">
        <f>IF(WEEKNUM(Combined[[#This Row],[Date]], 1) = 53, 1, WEEKNUM(Combined[[#This Row],[Date]], 2))</f>
        <v>28</v>
      </c>
      <c r="F285" t="str">
        <f>TEXT(WEEKDAY(G285,1),"DDDD")</f>
        <v>Friday</v>
      </c>
      <c r="G285" s="41">
        <v>44750</v>
      </c>
      <c r="H285">
        <v>7</v>
      </c>
      <c r="I285" s="1">
        <v>54.34</v>
      </c>
      <c r="J285" s="2">
        <v>0.14861111111111111</v>
      </c>
      <c r="K285" s="12">
        <f>Combined[[#This Row],[Time Spent]]*24</f>
        <v>3.5666666666666664</v>
      </c>
      <c r="L285" s="12">
        <f>MROUND(Combined[[#This Row],[Time Spent 2]],0.25)</f>
        <v>3.5</v>
      </c>
      <c r="M285" s="2" t="s">
        <v>92</v>
      </c>
      <c r="N285" t="s">
        <v>85</v>
      </c>
      <c r="O285">
        <f>MATCH(Combined[[#This Row],[Primary Area]],KPIs!$C$4:$C$7,0)</f>
        <v>4</v>
      </c>
      <c r="P285"/>
      <c r="Q285" s="40">
        <v>45031</v>
      </c>
      <c r="R285" s="40">
        <f t="shared" si="36"/>
        <v>45031</v>
      </c>
      <c r="S285" s="4" t="str">
        <f>TEXT(Mileage[[#This Row],[Date]],"dddd")</f>
        <v>Saturday</v>
      </c>
      <c r="T285" s="4" t="s">
        <v>236</v>
      </c>
      <c r="U285" s="4">
        <v>66</v>
      </c>
      <c r="V285" t="str" cm="1">
        <f t="array" ref="V285">IFERROR(VLOOKUP(MODE(IF(Combined[Date]=Mileage[[#This Row],[Date]],Combined[Area '#])),KPIs!$B$4:$C$7,2,FALSE),VLOOKUP(Mileage[[#This Row],[Date]],Combined[[Date]:[Primary Area]],8,FALSE))</f>
        <v>Brunswick/Bath/Freeport</v>
      </c>
      <c r="W285" s="106">
        <v>0.6958333333333333</v>
      </c>
      <c r="X285" s="12">
        <v>5.62</v>
      </c>
      <c r="Y285" s="4">
        <v>101</v>
      </c>
      <c r="Z2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6" spans="2:26" x14ac:dyDescent="0.35">
      <c r="B286">
        <f t="shared" si="35"/>
        <v>284</v>
      </c>
      <c r="C286" t="s">
        <v>83</v>
      </c>
      <c r="D286" t="s">
        <v>176</v>
      </c>
      <c r="E286">
        <f>IF(WEEKNUM(Combined[[#This Row],[Date]], 1) = 53, 1, WEEKNUM(Combined[[#This Row],[Date]], 2))</f>
        <v>29</v>
      </c>
      <c r="F286" t="str">
        <f>TEXT(WEEKDAY(G286,1),"DDDD")</f>
        <v>Monday</v>
      </c>
      <c r="G286" s="41">
        <v>44753</v>
      </c>
      <c r="H286">
        <v>9</v>
      </c>
      <c r="I286" s="1">
        <v>112.81</v>
      </c>
      <c r="J286" s="2">
        <v>0.21597222222222223</v>
      </c>
      <c r="K286" s="12">
        <f>Combined[[#This Row],[Time Spent]]*24</f>
        <v>5.1833333333333336</v>
      </c>
      <c r="L286" s="12">
        <f>MROUND(Combined[[#This Row],[Time Spent 2]],0.25)</f>
        <v>5.25</v>
      </c>
      <c r="M286" s="2" t="s">
        <v>91</v>
      </c>
      <c r="N286" t="s">
        <v>85</v>
      </c>
      <c r="O286">
        <f>MATCH(Combined[[#This Row],[Primary Area]],KPIs!$C$4:$C$7,0)</f>
        <v>4</v>
      </c>
      <c r="P286"/>
      <c r="Q286" s="40">
        <v>45035</v>
      </c>
      <c r="R286" s="40">
        <f t="shared" si="36"/>
        <v>45035</v>
      </c>
      <c r="S286" s="4" t="str">
        <f>TEXT(Mileage[[#This Row],[Date]],"dddd")</f>
        <v>Wednesday</v>
      </c>
      <c r="T286" s="4" t="s">
        <v>249</v>
      </c>
      <c r="U286" s="4">
        <v>54.3</v>
      </c>
      <c r="V286" t="str" cm="1">
        <f t="array" ref="V286">IFERROR(VLOOKUP(MODE(IF(Combined[Date]=Mileage[[#This Row],[Date]],Combined[Area '#])),KPIs!$B$4:$C$7,2,FALSE),VLOOKUP(Mileage[[#This Row],[Date]],Combined[[Date]:[Primary Area]],8,FALSE))</f>
        <v>Brunswick/Bath/Freeport</v>
      </c>
      <c r="W286" s="106">
        <v>0.73263888888888884</v>
      </c>
      <c r="X286" s="12">
        <v>4.8499999999999996</v>
      </c>
      <c r="Y286" s="4">
        <v>110.8</v>
      </c>
      <c r="Z2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7" spans="2:26" x14ac:dyDescent="0.35">
      <c r="B287">
        <f t="shared" si="35"/>
        <v>285</v>
      </c>
      <c r="C287" t="s">
        <v>86</v>
      </c>
      <c r="D287" t="s">
        <v>176</v>
      </c>
      <c r="E287">
        <f>IF(WEEKNUM(Combined[[#This Row],[Date]], 1) = 53, 1, WEEKNUM(Combined[[#This Row],[Date]], 2))</f>
        <v>29</v>
      </c>
      <c r="F287" t="str">
        <f>TEXT(WEEKDAY(G287,1),"DDDD")</f>
        <v>Monday</v>
      </c>
      <c r="G287" s="41">
        <v>44753</v>
      </c>
      <c r="H287">
        <v>1</v>
      </c>
      <c r="I287" s="1">
        <v>9.75</v>
      </c>
      <c r="J287" s="2">
        <v>3.8194444444444441E-2</v>
      </c>
      <c r="K287" s="12">
        <f>Combined[[#This Row],[Time Spent]]*24</f>
        <v>0.91666666666666652</v>
      </c>
      <c r="L287" s="12">
        <f>MROUND(Combined[[#This Row],[Time Spent 2]],0.25)</f>
        <v>1</v>
      </c>
      <c r="M287" s="2" t="s">
        <v>91</v>
      </c>
      <c r="N287" t="s">
        <v>85</v>
      </c>
      <c r="O287">
        <f>MATCH(Combined[[#This Row],[Primary Area]],KPIs!$C$4:$C$7,0)</f>
        <v>4</v>
      </c>
      <c r="P287"/>
      <c r="Q287" s="40">
        <v>45036</v>
      </c>
      <c r="R287" s="40">
        <f t="shared" si="36"/>
        <v>45036</v>
      </c>
      <c r="S287" s="4" t="str">
        <f>TEXT(Mileage[[#This Row],[Date]],"dddd")</f>
        <v>Thursday</v>
      </c>
      <c r="T287" s="4" t="s">
        <v>249</v>
      </c>
      <c r="U287" s="4">
        <v>53.7</v>
      </c>
      <c r="V287" t="str" cm="1">
        <f t="array" ref="V287">IFERROR(VLOOKUP(MODE(IF(Combined[Date]=Mileage[[#This Row],[Date]],Combined[Area '#])),KPIs!$B$4:$C$7,2,FALSE),VLOOKUP(Mileage[[#This Row],[Date]],Combined[[Date]:[Primary Area]],8,FALSE))</f>
        <v>Brunswick/Bath/Freeport</v>
      </c>
      <c r="W287" s="106">
        <v>0.72222222222222221</v>
      </c>
      <c r="X287" s="12">
        <v>5.6</v>
      </c>
      <c r="Y287" s="4">
        <v>128</v>
      </c>
      <c r="Z28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88" spans="2:26" x14ac:dyDescent="0.35">
      <c r="B288">
        <f t="shared" si="35"/>
        <v>286</v>
      </c>
      <c r="C288" t="s">
        <v>83</v>
      </c>
      <c r="D288" t="s">
        <v>176</v>
      </c>
      <c r="E288">
        <f>IF(WEEKNUM(Combined[[#This Row],[Date]], 1) = 53, 1, WEEKNUM(Combined[[#This Row],[Date]], 2))</f>
        <v>29</v>
      </c>
      <c r="F288" t="str">
        <f>TEXT(WEEKDAY(G288,1),"DDDD")</f>
        <v>Wednesday</v>
      </c>
      <c r="G288" s="41">
        <v>44755</v>
      </c>
      <c r="H288">
        <v>4</v>
      </c>
      <c r="I288" s="1">
        <v>90.59</v>
      </c>
      <c r="J288" s="2">
        <v>0.18055555555555555</v>
      </c>
      <c r="K288" s="12">
        <f>Combined[[#This Row],[Time Spent]]*24</f>
        <v>4.333333333333333</v>
      </c>
      <c r="L288" s="12">
        <f>MROUND(Combined[[#This Row],[Time Spent 2]],0.25)</f>
        <v>4.25</v>
      </c>
      <c r="M288" s="2" t="s">
        <v>91</v>
      </c>
      <c r="N288" t="s">
        <v>85</v>
      </c>
      <c r="O288">
        <f>MATCH(Combined[[#This Row],[Primary Area]],KPIs!$C$4:$C$7,0)</f>
        <v>4</v>
      </c>
      <c r="P288"/>
      <c r="Q288" s="40">
        <v>45037</v>
      </c>
      <c r="R288" s="40">
        <f t="shared" si="36"/>
        <v>45037</v>
      </c>
      <c r="S288" s="4" t="str">
        <f>TEXT(Mileage[[#This Row],[Date]],"dddd")</f>
        <v>Friday</v>
      </c>
      <c r="T288" s="4" t="s">
        <v>249</v>
      </c>
      <c r="U288" s="4">
        <v>53.2</v>
      </c>
      <c r="V288" t="str" cm="1">
        <f t="array" ref="V288">IFERROR(VLOOKUP(MODE(IF(Combined[Date]=Mileage[[#This Row],[Date]],Combined[Area '#])),KPIs!$B$4:$C$7,2,FALSE),VLOOKUP(Mileage[[#This Row],[Date]],Combined[[Date]:[Primary Area]],8,FALSE))</f>
        <v>Brunswick/Bath/Freeport</v>
      </c>
      <c r="W288" s="106">
        <v>0.76388888888888884</v>
      </c>
      <c r="X288" s="12">
        <v>2.8</v>
      </c>
      <c r="Y288" s="4">
        <v>65</v>
      </c>
      <c r="Z28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89" spans="2:26" x14ac:dyDescent="0.35">
      <c r="B289">
        <f t="shared" si="35"/>
        <v>287</v>
      </c>
      <c r="C289" t="s">
        <v>86</v>
      </c>
      <c r="D289" t="s">
        <v>176</v>
      </c>
      <c r="E289">
        <f>IF(WEEKNUM(Combined[[#This Row],[Date]], 1) = 53, 1, WEEKNUM(Combined[[#This Row],[Date]], 2))</f>
        <v>29</v>
      </c>
      <c r="F289" t="str">
        <f>TEXT(WEEKDAY(G289,1),"DDDD")</f>
        <v>Wednesday</v>
      </c>
      <c r="G289" s="41">
        <v>44755</v>
      </c>
      <c r="H289">
        <v>4</v>
      </c>
      <c r="I289" s="1">
        <f>32.75+5.87</f>
        <v>38.619999999999997</v>
      </c>
      <c r="J289" s="2">
        <v>0.11527777777777777</v>
      </c>
      <c r="K289" s="12">
        <f>Combined[[#This Row],[Time Spent]]*24</f>
        <v>2.7666666666666666</v>
      </c>
      <c r="L289" s="12">
        <f>MROUND(Combined[[#This Row],[Time Spent 2]],0.25)</f>
        <v>2.75</v>
      </c>
      <c r="M289" s="2" t="s">
        <v>91</v>
      </c>
      <c r="N289" t="s">
        <v>85</v>
      </c>
      <c r="O289">
        <f>MATCH(Combined[[#This Row],[Primary Area]],KPIs!$C$4:$C$7,0)</f>
        <v>4</v>
      </c>
      <c r="P289"/>
      <c r="Q289" s="40">
        <v>45038</v>
      </c>
      <c r="R289" s="40">
        <f t="shared" si="36"/>
        <v>45038</v>
      </c>
      <c r="S289" s="4" t="str">
        <f>TEXT(Mileage[[#This Row],[Date]],"dddd")</f>
        <v>Saturday</v>
      </c>
      <c r="T289" s="4" t="s">
        <v>236</v>
      </c>
      <c r="U289" s="4">
        <v>52.3</v>
      </c>
      <c r="V289" t="str" cm="1">
        <f t="array" ref="V289">IFERROR(VLOOKUP(MODE(IF(Combined[Date]=Mileage[[#This Row],[Date]],Combined[Area '#])),KPIs!$B$4:$C$7,2,FALSE),VLOOKUP(Mileage[[#This Row],[Date]],Combined[[Date]:[Primary Area]],8,FALSE))</f>
        <v>Brunswick/Bath/Freeport</v>
      </c>
      <c r="W289" s="106">
        <v>0.66319444444444442</v>
      </c>
      <c r="X289" s="12">
        <v>6.2</v>
      </c>
      <c r="Y289" s="4">
        <v>138</v>
      </c>
      <c r="Z28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90" spans="2:26" x14ac:dyDescent="0.35">
      <c r="B290">
        <f t="shared" si="35"/>
        <v>288</v>
      </c>
      <c r="C290" t="s">
        <v>83</v>
      </c>
      <c r="D290" t="s">
        <v>176</v>
      </c>
      <c r="E290">
        <f>IF(WEEKNUM(Combined[[#This Row],[Date]], 1) = 53, 1, WEEKNUM(Combined[[#This Row],[Date]], 2))</f>
        <v>29</v>
      </c>
      <c r="F290" t="str">
        <f t="shared" ref="F290:F292" si="44">TEXT(WEEKDAY(G290,1),"DDDD")</f>
        <v>Friday</v>
      </c>
      <c r="G290" s="41">
        <v>44757</v>
      </c>
      <c r="H290">
        <v>2</v>
      </c>
      <c r="I290" s="1">
        <f>(16.88+5.95)</f>
        <v>22.83</v>
      </c>
      <c r="J290" s="2">
        <f>TIME(0,38,53)+TIME(0,16,41)</f>
        <v>3.8587962962962963E-2</v>
      </c>
      <c r="K290" s="12">
        <f>Combined[[#This Row],[Time Spent]]*24</f>
        <v>0.92611111111111111</v>
      </c>
      <c r="L290" s="12">
        <f>MROUND(Combined[[#This Row],[Time Spent 2]],0.25)</f>
        <v>1</v>
      </c>
      <c r="M290" s="2" t="s">
        <v>91</v>
      </c>
      <c r="N290" t="s">
        <v>80</v>
      </c>
      <c r="O290">
        <f>MATCH(Combined[[#This Row],[Primary Area]],KPIs!$C$4:$C$7,0)</f>
        <v>2</v>
      </c>
      <c r="P290"/>
      <c r="Q290" s="40">
        <v>45039</v>
      </c>
      <c r="R290" s="40">
        <f t="shared" si="36"/>
        <v>45039</v>
      </c>
      <c r="S290" s="4" t="str">
        <f>TEXT(Mileage[[#This Row],[Date]],"dddd")</f>
        <v>Sunday</v>
      </c>
      <c r="T290" s="4" t="s">
        <v>236</v>
      </c>
      <c r="U290" s="4">
        <v>42.4</v>
      </c>
      <c r="V290" t="str" cm="1">
        <f t="array" ref="V290">IFERROR(VLOOKUP(MODE(IF(Combined[Date]=Mileage[[#This Row],[Date]],Combined[Area '#])),KPIs!$B$4:$C$7,2,FALSE),VLOOKUP(Mileage[[#This Row],[Date]],Combined[[Date]:[Primary Area]],8,FALSE))</f>
        <v>Augusta</v>
      </c>
      <c r="W290" s="106">
        <v>0.75</v>
      </c>
      <c r="X290" s="12">
        <v>4.3</v>
      </c>
      <c r="Y290" s="4">
        <v>82</v>
      </c>
      <c r="Z29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91" spans="2:26" x14ac:dyDescent="0.35">
      <c r="B291">
        <f t="shared" si="35"/>
        <v>289</v>
      </c>
      <c r="C291" t="s">
        <v>86</v>
      </c>
      <c r="D291" t="s">
        <v>176</v>
      </c>
      <c r="E291">
        <f>IF(WEEKNUM(Combined[[#This Row],[Date]], 1) = 53, 1, WEEKNUM(Combined[[#This Row],[Date]], 2))</f>
        <v>29</v>
      </c>
      <c r="F291" t="str">
        <f t="shared" si="44"/>
        <v>Friday</v>
      </c>
      <c r="G291" s="41">
        <v>44757</v>
      </c>
      <c r="H291">
        <v>2</v>
      </c>
      <c r="I291" s="1">
        <v>12.75</v>
      </c>
      <c r="J291" s="2">
        <v>5.4166666666666669E-2</v>
      </c>
      <c r="K291" s="12">
        <f>Combined[[#This Row],[Time Spent]]*24</f>
        <v>1.3</v>
      </c>
      <c r="L291" s="12">
        <f>MROUND(Combined[[#This Row],[Time Spent 2]],0.25)</f>
        <v>1.25</v>
      </c>
      <c r="M291" s="2" t="s">
        <v>91</v>
      </c>
      <c r="N291" t="s">
        <v>80</v>
      </c>
      <c r="O291">
        <f>MATCH(Combined[[#This Row],[Primary Area]],KPIs!$C$4:$C$7,0)</f>
        <v>2</v>
      </c>
      <c r="P291"/>
      <c r="Q291" s="40">
        <v>45042</v>
      </c>
      <c r="R291" s="40">
        <f t="shared" si="36"/>
        <v>45042</v>
      </c>
      <c r="S291" s="4" t="str">
        <f>TEXT(Mileage[[#This Row],[Date]],"dddd")</f>
        <v>Wednesday</v>
      </c>
      <c r="T291" s="4" t="s">
        <v>236</v>
      </c>
      <c r="U291" s="4">
        <v>55.1</v>
      </c>
      <c r="V291" t="str" cm="1">
        <f t="array" ref="V291">IFERROR(VLOOKUP(MODE(IF(Combined[Date]=Mileage[[#This Row],[Date]],Combined[Area '#])),KPIs!$B$4:$C$7,2,FALSE),VLOOKUP(Mileage[[#This Row],[Date]],Combined[[Date]:[Primary Area]],8,FALSE))</f>
        <v>Portland</v>
      </c>
      <c r="W291" s="106">
        <v>0.72569444444444453</v>
      </c>
      <c r="X291" s="12">
        <v>4.97</v>
      </c>
      <c r="Y291" s="4">
        <v>100</v>
      </c>
      <c r="Z29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2" spans="2:26" x14ac:dyDescent="0.35">
      <c r="B292">
        <f t="shared" si="35"/>
        <v>290</v>
      </c>
      <c r="C292" t="s">
        <v>86</v>
      </c>
      <c r="D292" t="s">
        <v>176</v>
      </c>
      <c r="E292">
        <f>IF(WEEKNUM(Combined[[#This Row],[Date]], 1) = 53, 1, WEEKNUM(Combined[[#This Row],[Date]], 2))</f>
        <v>29</v>
      </c>
      <c r="F292" t="str">
        <f t="shared" si="44"/>
        <v>Friday</v>
      </c>
      <c r="G292" s="41">
        <v>44757</v>
      </c>
      <c r="H292">
        <v>1</v>
      </c>
      <c r="I292" s="1">
        <v>6.5</v>
      </c>
      <c r="J292" s="2">
        <v>6.3194444444444442E-2</v>
      </c>
      <c r="K292" s="12">
        <f>Combined[[#This Row],[Time Spent]]*24</f>
        <v>1.5166666666666666</v>
      </c>
      <c r="L292" s="12">
        <f>MROUND(Combined[[#This Row],[Time Spent 2]],0.25)</f>
        <v>1.5</v>
      </c>
      <c r="M292" s="2" t="s">
        <v>91</v>
      </c>
      <c r="N292" t="s">
        <v>85</v>
      </c>
      <c r="O292">
        <f>MATCH(Combined[[#This Row],[Primary Area]],KPIs!$C$4:$C$7,0)</f>
        <v>4</v>
      </c>
      <c r="P292"/>
      <c r="Q292" s="40">
        <v>45043</v>
      </c>
      <c r="R292" s="40">
        <f t="shared" si="36"/>
        <v>45043</v>
      </c>
      <c r="S292" s="4" t="str">
        <f>TEXT(Mileage[[#This Row],[Date]],"dddd")</f>
        <v>Thursday</v>
      </c>
      <c r="T292" s="4" t="s">
        <v>230</v>
      </c>
      <c r="U292" s="4">
        <v>62.7</v>
      </c>
      <c r="V292" t="str" cm="1">
        <f t="array" ref="V292">IFERROR(VLOOKUP(MODE(IF(Combined[Date]=Mileage[[#This Row],[Date]],Combined[Area '#])),KPIs!$B$4:$C$7,2,FALSE),VLOOKUP(Mileage[[#This Row],[Date]],Combined[[Date]:[Primary Area]],8,FALSE))</f>
        <v>Augusta</v>
      </c>
      <c r="W292" s="106">
        <v>0.73958333333333337</v>
      </c>
      <c r="X292" s="12">
        <v>3.12</v>
      </c>
      <c r="Y292" s="4">
        <v>78</v>
      </c>
      <c r="Z29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3" spans="2:26" x14ac:dyDescent="0.35">
      <c r="B293">
        <f t="shared" si="35"/>
        <v>291</v>
      </c>
      <c r="C293" t="s">
        <v>83</v>
      </c>
      <c r="D293" t="s">
        <v>176</v>
      </c>
      <c r="E293">
        <f>IF(WEEKNUM(Combined[[#This Row],[Date]], 1) = 53, 1, WEEKNUM(Combined[[#This Row],[Date]], 2))</f>
        <v>29</v>
      </c>
      <c r="F293" t="str">
        <f>TEXT(WEEKDAY(G293,1),"DDDD")</f>
        <v>Friday</v>
      </c>
      <c r="G293" s="41">
        <v>44757</v>
      </c>
      <c r="H293">
        <v>6</v>
      </c>
      <c r="I293" s="1">
        <f>80.87-(16.88+5.95)</f>
        <v>58.040000000000006</v>
      </c>
      <c r="J293" s="2">
        <f>TIME(6,40,)-(TIME(0,38,53)+TIME(0,16,41))</f>
        <v>0.23918981481481483</v>
      </c>
      <c r="K293" s="12">
        <f>Combined[[#This Row],[Time Spent]]*24</f>
        <v>5.7405555555555559</v>
      </c>
      <c r="L293" s="12">
        <f>MROUND(Combined[[#This Row],[Time Spent 2]],0.25)</f>
        <v>5.75</v>
      </c>
      <c r="M293" s="2" t="s">
        <v>91</v>
      </c>
      <c r="N293" t="s">
        <v>85</v>
      </c>
      <c r="O293">
        <f>MATCH(Combined[[#This Row],[Primary Area]],KPIs!$C$4:$C$7,0)</f>
        <v>4</v>
      </c>
      <c r="P293"/>
      <c r="Q293" s="40">
        <v>45044</v>
      </c>
      <c r="R293" s="40">
        <f t="shared" si="36"/>
        <v>45044</v>
      </c>
      <c r="S293" s="4" t="str">
        <f>TEXT(Mileage[[#This Row],[Date]],"dddd")</f>
        <v>Friday</v>
      </c>
      <c r="T293" s="4" t="s">
        <v>249</v>
      </c>
      <c r="U293" s="4">
        <v>57.2</v>
      </c>
      <c r="V293" t="str" cm="1">
        <f t="array" ref="V293">IFERROR(VLOOKUP(MODE(IF(Combined[Date]=Mileage[[#This Row],[Date]],Combined[Area '#])),KPIs!$B$4:$C$7,2,FALSE),VLOOKUP(Mileage[[#This Row],[Date]],Combined[[Date]:[Primary Area]],8,FALSE))</f>
        <v>Brunswick/Bath/Freeport</v>
      </c>
      <c r="W293" s="106">
        <v>0.75347222222222221</v>
      </c>
      <c r="X293" s="12">
        <v>3.43</v>
      </c>
      <c r="Y293" s="4">
        <v>63</v>
      </c>
      <c r="Z29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4" spans="2:26" x14ac:dyDescent="0.35">
      <c r="B294">
        <f t="shared" si="35"/>
        <v>292</v>
      </c>
      <c r="C294" t="s">
        <v>83</v>
      </c>
      <c r="D294" t="s">
        <v>176</v>
      </c>
      <c r="E294">
        <f>IF(WEEKNUM(Combined[[#This Row],[Date]], 1) = 53, 1, WEEKNUM(Combined[[#This Row],[Date]], 2))</f>
        <v>29</v>
      </c>
      <c r="F294" t="str">
        <f t="shared" ref="F294:F295" si="45">TEXT(WEEKDAY(G294,1),"DDDD")</f>
        <v>Saturday</v>
      </c>
      <c r="G294" s="41">
        <v>44758</v>
      </c>
      <c r="H294">
        <v>2</v>
      </c>
      <c r="I294" s="1">
        <v>15.01</v>
      </c>
      <c r="J294" s="2">
        <v>0.19097222222222221</v>
      </c>
      <c r="K294" s="12">
        <f>Combined[[#This Row],[Time Spent]]*24</f>
        <v>4.583333333333333</v>
      </c>
      <c r="L294" s="12">
        <f>MROUND(Combined[[#This Row],[Time Spent 2]],0.25)</f>
        <v>4.5</v>
      </c>
      <c r="M294" s="2" t="s">
        <v>91</v>
      </c>
      <c r="N294" t="s">
        <v>85</v>
      </c>
      <c r="O294">
        <f>MATCH(Combined[[#This Row],[Primary Area]],KPIs!$C$4:$C$7,0)</f>
        <v>4</v>
      </c>
      <c r="P294"/>
      <c r="Q294" s="40">
        <v>45045</v>
      </c>
      <c r="R294" s="40">
        <f t="shared" si="36"/>
        <v>45045</v>
      </c>
      <c r="S294" s="4" t="str">
        <f>TEXT(Mileage[[#This Row],[Date]],"dddd")</f>
        <v>Saturday</v>
      </c>
      <c r="T294" s="4" t="s">
        <v>236</v>
      </c>
      <c r="U294" s="4">
        <v>45.5</v>
      </c>
      <c r="V294" t="str" cm="1">
        <f t="array" ref="V294">IFERROR(VLOOKUP(MODE(IF(Combined[Date]=Mileage[[#This Row],[Date]],Combined[Area '#])),KPIs!$B$4:$C$7,2,FALSE),VLOOKUP(Mileage[[#This Row],[Date]],Combined[[Date]:[Primary Area]],8,FALSE))</f>
        <v>Brunswick/Bath/Freeport</v>
      </c>
      <c r="W294" s="106">
        <v>0.74305555555555547</v>
      </c>
      <c r="X294" s="12">
        <v>1.1299999999999999</v>
      </c>
      <c r="Y294" s="4">
        <v>26</v>
      </c>
      <c r="Z29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295" spans="2:26" x14ac:dyDescent="0.35">
      <c r="B295">
        <f t="shared" si="35"/>
        <v>293</v>
      </c>
      <c r="C295" t="s">
        <v>86</v>
      </c>
      <c r="D295" t="s">
        <v>176</v>
      </c>
      <c r="E295">
        <f>IF(WEEKNUM(Combined[[#This Row],[Date]], 1) = 53, 1, WEEKNUM(Combined[[#This Row],[Date]], 2))</f>
        <v>29</v>
      </c>
      <c r="F295" t="str">
        <f t="shared" si="45"/>
        <v>Saturday</v>
      </c>
      <c r="G295" s="41">
        <v>44758</v>
      </c>
      <c r="H295">
        <v>3</v>
      </c>
      <c r="I295" s="1">
        <v>26.75</v>
      </c>
      <c r="J295" s="2">
        <v>0.14861111111111111</v>
      </c>
      <c r="K295" s="12">
        <f>Combined[[#This Row],[Time Spent]]*24</f>
        <v>3.5666666666666664</v>
      </c>
      <c r="L295" s="12">
        <f>MROUND(Combined[[#This Row],[Time Spent 2]],0.25)</f>
        <v>3.5</v>
      </c>
      <c r="M295" s="2" t="s">
        <v>91</v>
      </c>
      <c r="N295" t="s">
        <v>80</v>
      </c>
      <c r="O295">
        <f>MATCH(Combined[[#This Row],[Primary Area]],KPIs!$C$4:$C$7,0)</f>
        <v>2</v>
      </c>
      <c r="P295"/>
      <c r="Q295" s="40">
        <v>45046</v>
      </c>
      <c r="R295" s="40">
        <f t="shared" si="36"/>
        <v>45046</v>
      </c>
      <c r="S295" s="4" t="str">
        <f>TEXT(Mileage[[#This Row],[Date]],"dddd")</f>
        <v>Sunday</v>
      </c>
      <c r="T295" s="4" t="s">
        <v>236</v>
      </c>
      <c r="U295" s="4">
        <v>61.9</v>
      </c>
      <c r="V295" t="str" cm="1">
        <f t="array" ref="V295">IFERROR(VLOOKUP(MODE(IF(Combined[Date]=Mileage[[#This Row],[Date]],Combined[Area '#])),KPIs!$B$4:$C$7,2,FALSE),VLOOKUP(Mileage[[#This Row],[Date]],Combined[[Date]:[Primary Area]],8,FALSE))</f>
        <v>Augusta</v>
      </c>
      <c r="W295" s="106">
        <v>0.72222222222222221</v>
      </c>
      <c r="X295" s="12">
        <v>4.32</v>
      </c>
      <c r="Y295" s="4">
        <v>90</v>
      </c>
      <c r="Z2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6" spans="2:26" x14ac:dyDescent="0.35">
      <c r="B296">
        <f t="shared" si="35"/>
        <v>294</v>
      </c>
      <c r="C296" t="s">
        <v>86</v>
      </c>
      <c r="D296" t="s">
        <v>176</v>
      </c>
      <c r="E296">
        <f>IF(WEEKNUM(Combined[[#This Row],[Date]], 1) = 53, 1, WEEKNUM(Combined[[#This Row],[Date]], 2))</f>
        <v>29</v>
      </c>
      <c r="F296" t="str">
        <f>TEXT(WEEKDAY(G296,1),"DDDD")</f>
        <v>Saturday</v>
      </c>
      <c r="G296" s="41">
        <v>44758</v>
      </c>
      <c r="H296">
        <v>9</v>
      </c>
      <c r="I296" s="1">
        <v>88.21</v>
      </c>
      <c r="J296" s="2">
        <v>0.13194444444444445</v>
      </c>
      <c r="K296" s="12">
        <f>Combined[[#This Row],[Time Spent]]*24</f>
        <v>3.166666666666667</v>
      </c>
      <c r="L296" s="12">
        <f>MROUND(Combined[[#This Row],[Time Spent 2]],0.25)</f>
        <v>3.25</v>
      </c>
      <c r="M296" s="2" t="s">
        <v>92</v>
      </c>
      <c r="N296" t="s">
        <v>85</v>
      </c>
      <c r="O296">
        <f>MATCH(Combined[[#This Row],[Primary Area]],KPIs!$C$4:$C$7,0)</f>
        <v>4</v>
      </c>
      <c r="P296"/>
      <c r="Q296" s="40">
        <v>45048</v>
      </c>
      <c r="R296" s="40">
        <f t="shared" si="36"/>
        <v>45048</v>
      </c>
      <c r="S296" s="4" t="str">
        <f>TEXT(Mileage[[#This Row],[Date]],"dddd")</f>
        <v>Tuesday</v>
      </c>
      <c r="T296" s="4" t="s">
        <v>236</v>
      </c>
      <c r="U296" s="4">
        <v>40.9</v>
      </c>
      <c r="V296" t="str" cm="1">
        <f t="array" ref="V296">IFERROR(VLOOKUP(MODE(IF(Combined[Date]=Mileage[[#This Row],[Date]],Combined[Area '#])),KPIs!$B$4:$C$7,2,FALSE),VLOOKUP(Mileage[[#This Row],[Date]],Combined[[Date]:[Primary Area]],8,FALSE))</f>
        <v>Augusta</v>
      </c>
      <c r="W296" s="106">
        <v>0.71875</v>
      </c>
      <c r="X296" s="12">
        <v>5.28</v>
      </c>
      <c r="Y296" s="4">
        <v>130.5</v>
      </c>
      <c r="Z2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7" spans="2:26" x14ac:dyDescent="0.35">
      <c r="B297">
        <f t="shared" si="35"/>
        <v>295</v>
      </c>
      <c r="C297" t="s">
        <v>83</v>
      </c>
      <c r="D297" t="s">
        <v>176</v>
      </c>
      <c r="E297">
        <f>IF(WEEKNUM(Combined[[#This Row],[Date]], 1) = 53, 1, WEEKNUM(Combined[[#This Row],[Date]], 2))</f>
        <v>30</v>
      </c>
      <c r="F297" t="str">
        <f t="shared" ref="F297:F298" si="46">TEXT(WEEKDAY(G297,1),"DDDD")</f>
        <v>Wednesday</v>
      </c>
      <c r="G297" s="41">
        <v>44762</v>
      </c>
      <c r="H297">
        <v>7</v>
      </c>
      <c r="I297" s="1">
        <v>79.959999999999994</v>
      </c>
      <c r="J297" s="2">
        <v>0.1986111111111111</v>
      </c>
      <c r="K297" s="12">
        <f>Combined[[#This Row],[Time Spent]]*24</f>
        <v>4.7666666666666666</v>
      </c>
      <c r="L297" s="12">
        <f>MROUND(Combined[[#This Row],[Time Spent 2]],0.25)</f>
        <v>4.75</v>
      </c>
      <c r="M297" s="2" t="s">
        <v>91</v>
      </c>
      <c r="N297" t="s">
        <v>85</v>
      </c>
      <c r="O297">
        <f>MATCH(Combined[[#This Row],[Primary Area]],KPIs!$C$4:$C$7,0)</f>
        <v>4</v>
      </c>
      <c r="P297"/>
      <c r="Q297" s="40">
        <v>45049</v>
      </c>
      <c r="R297" s="40">
        <f t="shared" si="36"/>
        <v>45049</v>
      </c>
      <c r="S297" s="4" t="str">
        <f>TEXT(Mileage[[#This Row],[Date]],"dddd")</f>
        <v>Wednesday</v>
      </c>
      <c r="T297" s="4" t="s">
        <v>236</v>
      </c>
      <c r="U297" s="4">
        <v>50.6</v>
      </c>
      <c r="V297" t="str" cm="1">
        <f t="array" ref="V297">IFERROR(VLOOKUP(MODE(IF(Combined[Date]=Mileage[[#This Row],[Date]],Combined[Area '#])),KPIs!$B$4:$C$7,2,FALSE),VLOOKUP(Mileage[[#This Row],[Date]],Combined[[Date]:[Primary Area]],8,FALSE))</f>
        <v>Portland</v>
      </c>
      <c r="W297" s="106">
        <v>0.72569444444444453</v>
      </c>
      <c r="X297" s="12">
        <v>5.63</v>
      </c>
      <c r="Y297" s="4">
        <v>93</v>
      </c>
      <c r="Z29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8" spans="2:26" x14ac:dyDescent="0.35">
      <c r="B298">
        <f t="shared" si="35"/>
        <v>296</v>
      </c>
      <c r="C298" t="s">
        <v>86</v>
      </c>
      <c r="D298" t="s">
        <v>176</v>
      </c>
      <c r="E298">
        <f>IF(WEEKNUM(Combined[[#This Row],[Date]], 1) = 53, 1, WEEKNUM(Combined[[#This Row],[Date]], 2))</f>
        <v>30</v>
      </c>
      <c r="F298" t="str">
        <f t="shared" si="46"/>
        <v>Wednesday</v>
      </c>
      <c r="G298" s="41">
        <v>44762</v>
      </c>
      <c r="H298">
        <v>5</v>
      </c>
      <c r="I298" s="1">
        <v>56.75</v>
      </c>
      <c r="J298" s="2">
        <v>8.9583333333333334E-2</v>
      </c>
      <c r="K298" s="12">
        <f>Combined[[#This Row],[Time Spent]]*24</f>
        <v>2.15</v>
      </c>
      <c r="L298" s="12">
        <f>MROUND(Combined[[#This Row],[Time Spent 2]],0.25)</f>
        <v>2.25</v>
      </c>
      <c r="M298" s="2" t="s">
        <v>91</v>
      </c>
      <c r="N298" t="s">
        <v>85</v>
      </c>
      <c r="O298">
        <f>MATCH(Combined[[#This Row],[Primary Area]],KPIs!$C$4:$C$7,0)</f>
        <v>4</v>
      </c>
      <c r="P298"/>
      <c r="Q298" s="40">
        <v>45050</v>
      </c>
      <c r="R298" s="40">
        <f t="shared" si="36"/>
        <v>45050</v>
      </c>
      <c r="S298" s="4" t="str">
        <f>TEXT(Mileage[[#This Row],[Date]],"dddd")</f>
        <v>Thursday</v>
      </c>
      <c r="T298" s="4" t="s">
        <v>236</v>
      </c>
      <c r="U298" s="4">
        <v>63.4</v>
      </c>
      <c r="V298" t="str" cm="1">
        <f t="array" ref="V298">IFERROR(VLOOKUP(MODE(IF(Combined[Date]=Mileage[[#This Row],[Date]],Combined[Area '#])),KPIs!$B$4:$C$7,2,FALSE),VLOOKUP(Mileage[[#This Row],[Date]],Combined[[Date]:[Primary Area]],8,FALSE))</f>
        <v>Brunswick/Bath/Freeport</v>
      </c>
      <c r="W298" s="106">
        <v>0.73958333333333337</v>
      </c>
      <c r="X298" s="12">
        <v>3.32</v>
      </c>
      <c r="Y298" s="4">
        <v>63</v>
      </c>
      <c r="Z2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299" spans="2:26" x14ac:dyDescent="0.35">
      <c r="B299">
        <f t="shared" si="35"/>
        <v>297</v>
      </c>
      <c r="C299" t="s">
        <v>83</v>
      </c>
      <c r="D299" t="s">
        <v>176</v>
      </c>
      <c r="E299">
        <f>IF(WEEKNUM(Combined[[#This Row],[Date]], 1) = 53, 1, WEEKNUM(Combined[[#This Row],[Date]], 2))</f>
        <v>30</v>
      </c>
      <c r="F299" t="str">
        <f>TEXT(WEEKDAY(G299,1),"DDDD")</f>
        <v>Thursday</v>
      </c>
      <c r="G299" s="41">
        <v>44763</v>
      </c>
      <c r="H299">
        <v>5</v>
      </c>
      <c r="I299" s="1">
        <v>57.42</v>
      </c>
      <c r="J299" s="2">
        <v>0.15416666666666667</v>
      </c>
      <c r="K299" s="12">
        <f>Combined[[#This Row],[Time Spent]]*24</f>
        <v>3.7</v>
      </c>
      <c r="L299" s="12">
        <f>MROUND(Combined[[#This Row],[Time Spent 2]],0.25)</f>
        <v>3.75</v>
      </c>
      <c r="M299" s="2" t="s">
        <v>91</v>
      </c>
      <c r="N299" t="s">
        <v>80</v>
      </c>
      <c r="O299">
        <f>MATCH(Combined[[#This Row],[Primary Area]],KPIs!$C$4:$C$7,0)</f>
        <v>2</v>
      </c>
      <c r="P299"/>
      <c r="Q299" s="40">
        <v>45051</v>
      </c>
      <c r="R299" s="40">
        <f t="shared" si="36"/>
        <v>45051</v>
      </c>
      <c r="S299" s="4" t="str">
        <f>TEXT(Mileage[[#This Row],[Date]],"dddd")</f>
        <v>Friday</v>
      </c>
      <c r="T299" s="4" t="s">
        <v>230</v>
      </c>
      <c r="U299" s="4">
        <v>74.7</v>
      </c>
      <c r="V299" t="str" cm="1">
        <f t="array" ref="V299">IFERROR(VLOOKUP(MODE(IF(Combined[Date]=Mileage[[#This Row],[Date]],Combined[Area '#])),KPIs!$B$4:$C$7,2,FALSE),VLOOKUP(Mileage[[#This Row],[Date]],Combined[[Date]:[Primary Area]],8,FALSE))</f>
        <v>Portland</v>
      </c>
      <c r="W299" s="106">
        <v>0.73958333333333337</v>
      </c>
      <c r="X299" s="12">
        <v>7.35</v>
      </c>
      <c r="Y299" s="4">
        <v>155</v>
      </c>
      <c r="Z29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0" spans="2:26" x14ac:dyDescent="0.35">
      <c r="B300">
        <f t="shared" si="35"/>
        <v>298</v>
      </c>
      <c r="C300" t="s">
        <v>86</v>
      </c>
      <c r="D300" t="s">
        <v>176</v>
      </c>
      <c r="E300">
        <f>IF(WEEKNUM(Combined[[#This Row],[Date]], 1) = 53, 1, WEEKNUM(Combined[[#This Row],[Date]], 2))</f>
        <v>30</v>
      </c>
      <c r="F300" t="str">
        <f>TEXT(WEEKDAY(G300,1),"DDDD")</f>
        <v>Thursday</v>
      </c>
      <c r="G300" s="41">
        <v>44763</v>
      </c>
      <c r="H300">
        <v>7</v>
      </c>
      <c r="I300" s="1">
        <f>53.5+3.25</f>
        <v>56.75</v>
      </c>
      <c r="J300" s="2">
        <v>0.14722222222222223</v>
      </c>
      <c r="K300" s="12">
        <f>Combined[[#This Row],[Time Spent]]*24</f>
        <v>3.5333333333333332</v>
      </c>
      <c r="L300" s="12">
        <f>MROUND(Combined[[#This Row],[Time Spent 2]],0.25)</f>
        <v>3.5</v>
      </c>
      <c r="M300" s="2" t="s">
        <v>91</v>
      </c>
      <c r="N300" t="s">
        <v>85</v>
      </c>
      <c r="O300">
        <f>MATCH(Combined[[#This Row],[Primary Area]],KPIs!$C$4:$C$7,0)</f>
        <v>4</v>
      </c>
      <c r="P300"/>
      <c r="Q300" s="40">
        <v>45053</v>
      </c>
      <c r="R300" s="40">
        <f t="shared" si="36"/>
        <v>45053</v>
      </c>
      <c r="S300" s="4" t="str">
        <f>TEXT(Mileage[[#This Row],[Date]],"dddd")</f>
        <v>Sunday</v>
      </c>
      <c r="T300" s="4" t="s">
        <v>230</v>
      </c>
      <c r="U300" s="4">
        <v>66.8</v>
      </c>
      <c r="V300" t="str" cm="1">
        <f t="array" ref="V300">IFERROR(VLOOKUP(MODE(IF(Combined[Date]=Mileage[[#This Row],[Date]],Combined[Area '#])),KPIs!$B$4:$C$7,2,FALSE),VLOOKUP(Mileage[[#This Row],[Date]],Combined[[Date]:[Primary Area]],8,FALSE))</f>
        <v>Portland</v>
      </c>
      <c r="W300" s="106">
        <v>0.69791666666666663</v>
      </c>
      <c r="X300" s="12">
        <v>3.93</v>
      </c>
      <c r="Y300" s="4">
        <v>75</v>
      </c>
      <c r="Z3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1" spans="2:26" x14ac:dyDescent="0.35">
      <c r="B301">
        <f t="shared" si="35"/>
        <v>299</v>
      </c>
      <c r="C301" t="s">
        <v>83</v>
      </c>
      <c r="D301" t="s">
        <v>176</v>
      </c>
      <c r="E301">
        <f>IF(WEEKNUM(Combined[[#This Row],[Date]], 1) = 53, 1, WEEKNUM(Combined[[#This Row],[Date]], 2))</f>
        <v>33</v>
      </c>
      <c r="F301" t="str">
        <f>TEXT(WEEKDAY(G301,1),"DDDD")</f>
        <v>Monday</v>
      </c>
      <c r="G301" s="41">
        <v>44781</v>
      </c>
      <c r="H301">
        <v>2</v>
      </c>
      <c r="I301" s="1">
        <v>8.99</v>
      </c>
      <c r="J301" s="2">
        <v>8.9583333333333334E-2</v>
      </c>
      <c r="K301" s="12">
        <f>Combined[[#This Row],[Time Spent]]*24</f>
        <v>2.15</v>
      </c>
      <c r="L301" s="12">
        <f>MROUND(Combined[[#This Row],[Time Spent 2]],0.25)</f>
        <v>2.25</v>
      </c>
      <c r="M301" s="2" t="s">
        <v>91</v>
      </c>
      <c r="N301" t="s">
        <v>82</v>
      </c>
      <c r="O301">
        <f>MATCH(Combined[[#This Row],[Primary Area]],KPIs!$C$4:$C$7,0)</f>
        <v>3</v>
      </c>
      <c r="P301"/>
      <c r="Q301" s="40">
        <v>45056</v>
      </c>
      <c r="R301" s="40">
        <f t="shared" si="36"/>
        <v>45056</v>
      </c>
      <c r="S301" s="4" t="str">
        <f>TEXT(Mileage[[#This Row],[Date]],"dddd")</f>
        <v>Wednesday</v>
      </c>
      <c r="T301" s="4" t="s">
        <v>230</v>
      </c>
      <c r="U301" s="4">
        <v>78.7</v>
      </c>
      <c r="V301" t="str" cm="1">
        <f t="array" ref="V301">IFERROR(VLOOKUP(MODE(IF(Combined[Date]=Mileage[[#This Row],[Date]],Combined[Area '#])),KPIs!$B$4:$C$7,2,FALSE),VLOOKUP(Mileage[[#This Row],[Date]],Combined[[Date]:[Primary Area]],8,FALSE))</f>
        <v>Brunswick/Bath/Freeport</v>
      </c>
      <c r="W301" s="106">
        <v>0.70486111111111116</v>
      </c>
      <c r="X301" s="12">
        <v>4.43</v>
      </c>
      <c r="Y301" s="4">
        <v>111</v>
      </c>
      <c r="Z30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02" spans="2:26" x14ac:dyDescent="0.35">
      <c r="B302">
        <f t="shared" si="35"/>
        <v>300</v>
      </c>
      <c r="C302" t="s">
        <v>86</v>
      </c>
      <c r="D302" t="s">
        <v>176</v>
      </c>
      <c r="E302">
        <f>IF(WEEKNUM(Combined[[#This Row],[Date]], 1) = 53, 1, WEEKNUM(Combined[[#This Row],[Date]], 2))</f>
        <v>33</v>
      </c>
      <c r="F302" t="str">
        <f>TEXT(WEEKDAY(G302,1),"DDDD")</f>
        <v>Monday</v>
      </c>
      <c r="G302" s="41">
        <v>44781</v>
      </c>
      <c r="H302">
        <v>3</v>
      </c>
      <c r="I302" s="1">
        <v>20.75</v>
      </c>
      <c r="J302" s="2">
        <v>7.9166666666666663E-2</v>
      </c>
      <c r="K302" s="12">
        <f>Combined[[#This Row],[Time Spent]]*24</f>
        <v>1.9</v>
      </c>
      <c r="L302" s="12">
        <f>MROUND(Combined[[#This Row],[Time Spent 2]],0.25)</f>
        <v>2</v>
      </c>
      <c r="M302" s="2" t="s">
        <v>91</v>
      </c>
      <c r="N302" t="s">
        <v>82</v>
      </c>
      <c r="O302">
        <f>MATCH(Combined[[#This Row],[Primary Area]],KPIs!$C$4:$C$7,0)</f>
        <v>3</v>
      </c>
      <c r="P302"/>
      <c r="Q302" s="40">
        <v>45058</v>
      </c>
      <c r="R302" s="40">
        <f t="shared" si="36"/>
        <v>45058</v>
      </c>
      <c r="S302" s="4" t="str">
        <f>TEXT(Mileage[[#This Row],[Date]],"dddd")</f>
        <v>Friday</v>
      </c>
      <c r="T302" s="4" t="s">
        <v>230</v>
      </c>
      <c r="U302" s="4">
        <v>70.099999999999994</v>
      </c>
      <c r="V302" t="str" cm="1">
        <f t="array" ref="V302">IFERROR(VLOOKUP(MODE(IF(Combined[Date]=Mileage[[#This Row],[Date]],Combined[Area '#])),KPIs!$B$4:$C$7,2,FALSE),VLOOKUP(Mileage[[#This Row],[Date]],Combined[[Date]:[Primary Area]],8,FALSE))</f>
        <v>Brunswick/Bath/Freeport</v>
      </c>
      <c r="W302" s="106">
        <v>0.74305555555555547</v>
      </c>
      <c r="X302" s="12">
        <v>6.35</v>
      </c>
      <c r="Y302" s="4">
        <v>147</v>
      </c>
      <c r="Z30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03" spans="2:26" x14ac:dyDescent="0.35">
      <c r="B303">
        <f t="shared" si="35"/>
        <v>301</v>
      </c>
      <c r="C303" t="s">
        <v>86</v>
      </c>
      <c r="D303" t="s">
        <v>176</v>
      </c>
      <c r="E303">
        <f>IF(WEEKNUM(Combined[[#This Row],[Date]], 1) = 53, 1, WEEKNUM(Combined[[#This Row],[Date]], 2))</f>
        <v>33</v>
      </c>
      <c r="F303" t="str">
        <f>TEXT(WEEKDAY(G303,1),"DDDD")</f>
        <v>Monday</v>
      </c>
      <c r="G303" s="41">
        <v>44781</v>
      </c>
      <c r="H303">
        <v>5</v>
      </c>
      <c r="I303" s="1">
        <v>26.84</v>
      </c>
      <c r="J303" s="2">
        <v>8.2638888888888887E-2</v>
      </c>
      <c r="K303" s="12">
        <f>Combined[[#This Row],[Time Spent]]*24</f>
        <v>1.9833333333333334</v>
      </c>
      <c r="L303" s="12">
        <f>MROUND(Combined[[#This Row],[Time Spent 2]],0.25)</f>
        <v>2</v>
      </c>
      <c r="M303" s="2" t="s">
        <v>91</v>
      </c>
      <c r="N303" t="s">
        <v>82</v>
      </c>
      <c r="O303">
        <f>MATCH(Combined[[#This Row],[Primary Area]],KPIs!$C$4:$C$7,0)</f>
        <v>3</v>
      </c>
      <c r="P303"/>
      <c r="Q303" s="40">
        <v>45064</v>
      </c>
      <c r="R303" s="40">
        <f t="shared" si="36"/>
        <v>45064</v>
      </c>
      <c r="S303" s="4" t="str">
        <f>TEXT(Mileage[[#This Row],[Date]],"dddd")</f>
        <v>Thursday</v>
      </c>
      <c r="T303" s="4" t="s">
        <v>230</v>
      </c>
      <c r="U303" s="4">
        <v>62.4</v>
      </c>
      <c r="V303" t="str" cm="1">
        <f t="array" ref="V303">IFERROR(VLOOKUP(MODE(IF(Combined[Date]=Mileage[[#This Row],[Date]],Combined[Area '#])),KPIs!$B$4:$C$7,2,FALSE),VLOOKUP(Mileage[[#This Row],[Date]],Combined[[Date]:[Primary Area]],8,FALSE))</f>
        <v>Portland</v>
      </c>
      <c r="W303" s="106">
        <v>0.74305555555555547</v>
      </c>
      <c r="X303" s="12">
        <v>3.7</v>
      </c>
      <c r="Y303" s="4">
        <v>87</v>
      </c>
      <c r="Z30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4" spans="2:26" x14ac:dyDescent="0.35">
      <c r="B304">
        <f t="shared" si="35"/>
        <v>302</v>
      </c>
      <c r="C304" t="s">
        <v>83</v>
      </c>
      <c r="D304" t="s">
        <v>176</v>
      </c>
      <c r="E304">
        <f>IF(WEEKNUM(Combined[[#This Row],[Date]], 1) = 53, 1, WEEKNUM(Combined[[#This Row],[Date]], 2))</f>
        <v>33</v>
      </c>
      <c r="F304" t="str">
        <f t="shared" ref="F304:F305" si="47">TEXT(WEEKDAY(G304,1),"DDDD")</f>
        <v>Tuesday</v>
      </c>
      <c r="G304" s="41">
        <v>44782</v>
      </c>
      <c r="H304">
        <v>7</v>
      </c>
      <c r="I304" s="1">
        <v>71.319999999999993</v>
      </c>
      <c r="J304" s="2">
        <v>0.14583333333333334</v>
      </c>
      <c r="K304" s="12">
        <f>Combined[[#This Row],[Time Spent]]*24</f>
        <v>3.5</v>
      </c>
      <c r="L304" s="12">
        <f>MROUND(Combined[[#This Row],[Time Spent 2]],0.25)</f>
        <v>3.5</v>
      </c>
      <c r="M304" s="2" t="s">
        <v>91</v>
      </c>
      <c r="N304" t="s">
        <v>85</v>
      </c>
      <c r="O304">
        <f>MATCH(Combined[[#This Row],[Primary Area]],KPIs!$C$4:$C$7,0)</f>
        <v>4</v>
      </c>
      <c r="P304"/>
      <c r="Q304" s="40">
        <v>45067</v>
      </c>
      <c r="R304" s="40">
        <f t="shared" si="36"/>
        <v>45067</v>
      </c>
      <c r="S304" s="4" t="str">
        <f>TEXT(Mileage[[#This Row],[Date]],"dddd")</f>
        <v>Sunday</v>
      </c>
      <c r="T304" s="4" t="s">
        <v>230</v>
      </c>
      <c r="U304" s="4">
        <v>64.5</v>
      </c>
      <c r="V304" t="str" cm="1">
        <f t="array" ref="V304">IFERROR(VLOOKUP(MODE(IF(Combined[Date]=Mileage[[#This Row],[Date]],Combined[Area '#])),KPIs!$B$4:$C$7,2,FALSE),VLOOKUP(Mileage[[#This Row],[Date]],Combined[[Date]:[Primary Area]],8,FALSE))</f>
        <v>Portland</v>
      </c>
      <c r="W304" s="106">
        <v>0.71527777777777779</v>
      </c>
      <c r="X304" s="12">
        <v>2.2799999999999998</v>
      </c>
      <c r="Y304" s="4">
        <v>46.9</v>
      </c>
      <c r="Z30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5" spans="2:26" x14ac:dyDescent="0.35">
      <c r="B305">
        <f t="shared" si="35"/>
        <v>303</v>
      </c>
      <c r="C305" t="s">
        <v>86</v>
      </c>
      <c r="D305" t="s">
        <v>176</v>
      </c>
      <c r="E305">
        <f>IF(WEEKNUM(Combined[[#This Row],[Date]], 1) = 53, 1, WEEKNUM(Combined[[#This Row],[Date]], 2))</f>
        <v>33</v>
      </c>
      <c r="F305" t="str">
        <f t="shared" si="47"/>
        <v>Tuesday</v>
      </c>
      <c r="G305" s="41">
        <v>44782</v>
      </c>
      <c r="H305">
        <v>5</v>
      </c>
      <c r="I305" s="1">
        <v>43.25</v>
      </c>
      <c r="J305" s="2">
        <v>8.1250000000000003E-2</v>
      </c>
      <c r="K305" s="12">
        <f>Combined[[#This Row],[Time Spent]]*24</f>
        <v>1.9500000000000002</v>
      </c>
      <c r="L305" s="12">
        <f>MROUND(Combined[[#This Row],[Time Spent 2]],0.25)</f>
        <v>2</v>
      </c>
      <c r="M305" s="2" t="s">
        <v>91</v>
      </c>
      <c r="N305" t="s">
        <v>85</v>
      </c>
      <c r="O305">
        <f>MATCH(Combined[[#This Row],[Primary Area]],KPIs!$C$4:$C$7,0)</f>
        <v>4</v>
      </c>
      <c r="P305"/>
      <c r="Q305" s="40">
        <v>45068</v>
      </c>
      <c r="R305" s="40">
        <f t="shared" si="36"/>
        <v>45068</v>
      </c>
      <c r="S305" s="4" t="str">
        <f>TEXT(Mileage[[#This Row],[Date]],"dddd")</f>
        <v>Monday</v>
      </c>
      <c r="T305" s="4" t="s">
        <v>230</v>
      </c>
      <c r="U305" s="4">
        <v>63.1</v>
      </c>
      <c r="V305" t="str" cm="1">
        <f t="array" ref="V305">IFERROR(VLOOKUP(MODE(IF(Combined[Date]=Mileage[[#This Row],[Date]],Combined[Area '#])),KPIs!$B$4:$C$7,2,FALSE),VLOOKUP(Mileage[[#This Row],[Date]],Combined[[Date]:[Primary Area]],8,FALSE))</f>
        <v>Augusta</v>
      </c>
      <c r="W305" s="106">
        <v>0.72569444444444453</v>
      </c>
      <c r="X305" s="12">
        <v>4.4000000000000004</v>
      </c>
      <c r="Y305" s="4">
        <v>106</v>
      </c>
      <c r="Z30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06" spans="2:26" x14ac:dyDescent="0.35">
      <c r="B306">
        <f t="shared" si="35"/>
        <v>304</v>
      </c>
      <c r="C306" t="s">
        <v>83</v>
      </c>
      <c r="D306" t="s">
        <v>176</v>
      </c>
      <c r="E306">
        <f>IF(WEEKNUM(Combined[[#This Row],[Date]], 1) = 53, 1, WEEKNUM(Combined[[#This Row],[Date]], 2))</f>
        <v>33</v>
      </c>
      <c r="F306" t="str">
        <f t="shared" ref="F306:F309" si="48">TEXT(WEEKDAY(G306,1),"DDDD")</f>
        <v>Wednesday</v>
      </c>
      <c r="G306" s="41">
        <v>44783</v>
      </c>
      <c r="H306">
        <v>4</v>
      </c>
      <c r="I306" s="1">
        <v>47.5</v>
      </c>
      <c r="J306" s="2">
        <v>0.18194444444444444</v>
      </c>
      <c r="K306" s="12">
        <f>Combined[[#This Row],[Time Spent]]*24</f>
        <v>4.3666666666666663</v>
      </c>
      <c r="L306" s="12">
        <f>MROUND(Combined[[#This Row],[Time Spent 2]],0.25)</f>
        <v>4.25</v>
      </c>
      <c r="M306" s="2" t="s">
        <v>91</v>
      </c>
      <c r="N306" t="s">
        <v>82</v>
      </c>
      <c r="O306">
        <f>MATCH(Combined[[#This Row],[Primary Area]],KPIs!$C$4:$C$7,0)</f>
        <v>3</v>
      </c>
      <c r="P306"/>
      <c r="Q306" s="40">
        <v>45070</v>
      </c>
      <c r="R306" s="40">
        <f t="shared" si="36"/>
        <v>45070</v>
      </c>
      <c r="S306" s="4" t="str">
        <f>TEXT(Mileage[[#This Row],[Date]],"dddd")</f>
        <v>Wednesday</v>
      </c>
      <c r="T306" s="4" t="s">
        <v>236</v>
      </c>
      <c r="U306" s="4">
        <v>62.1</v>
      </c>
      <c r="V306" t="str" cm="1">
        <f t="array" ref="V306">IFERROR(VLOOKUP(MODE(IF(Combined[Date]=Mileage[[#This Row],[Date]],Combined[Area '#])),KPIs!$B$4:$C$7,2,FALSE),VLOOKUP(Mileage[[#This Row],[Date]],Combined[[Date]:[Primary Area]],8,FALSE))</f>
        <v>Portland</v>
      </c>
      <c r="W306" s="106">
        <v>0.73263888888888884</v>
      </c>
      <c r="X306" s="12">
        <v>4.63</v>
      </c>
      <c r="Y306" s="4">
        <v>92</v>
      </c>
      <c r="Z30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07" spans="2:26" x14ac:dyDescent="0.35">
      <c r="B307">
        <f t="shared" si="35"/>
        <v>305</v>
      </c>
      <c r="C307" t="s">
        <v>86</v>
      </c>
      <c r="D307" t="s">
        <v>176</v>
      </c>
      <c r="E307">
        <f>IF(WEEKNUM(Combined[[#This Row],[Date]], 1) = 53, 1, WEEKNUM(Combined[[#This Row],[Date]], 2))</f>
        <v>33</v>
      </c>
      <c r="F307" t="str">
        <f t="shared" si="48"/>
        <v>Wednesday</v>
      </c>
      <c r="G307" s="41">
        <v>44783</v>
      </c>
      <c r="H307">
        <v>2</v>
      </c>
      <c r="I307" s="1">
        <v>11</v>
      </c>
      <c r="J307" s="2">
        <v>3.1944444444444449E-2</v>
      </c>
      <c r="K307" s="12">
        <f>Combined[[#This Row],[Time Spent]]*24</f>
        <v>0.76666666666666683</v>
      </c>
      <c r="L307" s="12">
        <f>MROUND(Combined[[#This Row],[Time Spent 2]],0.25)</f>
        <v>0.75</v>
      </c>
      <c r="M307" s="2" t="s">
        <v>91</v>
      </c>
      <c r="N307" t="s">
        <v>82</v>
      </c>
      <c r="O307">
        <f>MATCH(Combined[[#This Row],[Primary Area]],KPIs!$C$4:$C$7,0)</f>
        <v>3</v>
      </c>
      <c r="P307"/>
      <c r="Q307" s="40">
        <v>45072</v>
      </c>
      <c r="R307" s="40">
        <f t="shared" si="36"/>
        <v>45072</v>
      </c>
      <c r="S307" s="4" t="str">
        <f>TEXT(Mileage[[#This Row],[Date]],"dddd")</f>
        <v>Friday</v>
      </c>
      <c r="T307" s="4" t="s">
        <v>230</v>
      </c>
      <c r="U307" s="4">
        <v>79.900000000000006</v>
      </c>
      <c r="V307" t="str" cm="1">
        <f t="array" ref="V307">IFERROR(VLOOKUP(MODE(IF(Combined[Date]=Mileage[[#This Row],[Date]],Combined[Area '#])),KPIs!$B$4:$C$7,2,FALSE),VLOOKUP(Mileage[[#This Row],[Date]],Combined[[Date]:[Primary Area]],8,FALSE))</f>
        <v>Brunswick/Bath/Freeport</v>
      </c>
      <c r="W307" s="106">
        <v>0.46527777777777773</v>
      </c>
      <c r="X307" s="12">
        <v>7.85</v>
      </c>
      <c r="Y307" s="4">
        <v>167</v>
      </c>
      <c r="Z30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08" spans="2:26" x14ac:dyDescent="0.35">
      <c r="B308">
        <f t="shared" si="35"/>
        <v>306</v>
      </c>
      <c r="C308" t="s">
        <v>86</v>
      </c>
      <c r="D308" t="s">
        <v>176</v>
      </c>
      <c r="E308">
        <f>IF(WEEKNUM(Combined[[#This Row],[Date]], 1) = 53, 1, WEEKNUM(Combined[[#This Row],[Date]], 2))</f>
        <v>33</v>
      </c>
      <c r="F308" t="str">
        <f t="shared" si="48"/>
        <v>Wednesday</v>
      </c>
      <c r="G308" s="41">
        <v>44783</v>
      </c>
      <c r="H308">
        <v>5</v>
      </c>
      <c r="I308" s="1">
        <v>29</v>
      </c>
      <c r="J308" s="2">
        <v>0.11041666666666666</v>
      </c>
      <c r="K308" s="12">
        <f>Combined[[#This Row],[Time Spent]]*24</f>
        <v>2.65</v>
      </c>
      <c r="L308" s="12">
        <f>MROUND(Combined[[#This Row],[Time Spent 2]],0.25)</f>
        <v>2.75</v>
      </c>
      <c r="M308" s="2" t="s">
        <v>92</v>
      </c>
      <c r="N308" t="s">
        <v>82</v>
      </c>
      <c r="O308">
        <f>MATCH(Combined[[#This Row],[Primary Area]],KPIs!$C$4:$C$7,0)</f>
        <v>3</v>
      </c>
      <c r="P308"/>
      <c r="Q308" s="40">
        <v>45077</v>
      </c>
      <c r="R308" s="40">
        <f t="shared" si="36"/>
        <v>45077</v>
      </c>
      <c r="S308" s="4" t="str">
        <f>TEXT(Mileage[[#This Row],[Date]],"dddd")</f>
        <v>Wednesday</v>
      </c>
      <c r="T308" s="4" t="s">
        <v>236</v>
      </c>
      <c r="U308" s="4">
        <v>87.4</v>
      </c>
      <c r="V308" t="str" cm="1">
        <f t="array" ref="V308">IFERROR(VLOOKUP(MODE(IF(Combined[Date]=Mileage[[#This Row],[Date]],Combined[Area '#])),KPIs!$B$4:$C$7,2,FALSE),VLOOKUP(Mileage[[#This Row],[Date]],Combined[[Date]:[Primary Area]],8,FALSE))</f>
        <v>Portland</v>
      </c>
      <c r="W308" s="106">
        <v>0.72569444444444453</v>
      </c>
      <c r="X308" s="12">
        <v>3.97</v>
      </c>
      <c r="Y308" s="4">
        <v>81</v>
      </c>
      <c r="Z30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09" spans="2:26" x14ac:dyDescent="0.35">
      <c r="B309">
        <f t="shared" si="35"/>
        <v>307</v>
      </c>
      <c r="C309" t="s">
        <v>86</v>
      </c>
      <c r="D309" t="s">
        <v>176</v>
      </c>
      <c r="E309">
        <f>IF(WEEKNUM(Combined[[#This Row],[Date]], 1) = 53, 1, WEEKNUM(Combined[[#This Row],[Date]], 2))</f>
        <v>33</v>
      </c>
      <c r="F309" t="str">
        <f t="shared" si="48"/>
        <v>Wednesday</v>
      </c>
      <c r="G309" s="41">
        <v>44783</v>
      </c>
      <c r="H309">
        <v>1</v>
      </c>
      <c r="I309" s="1">
        <v>12.5</v>
      </c>
      <c r="J309" s="2">
        <v>1.4583333333333332E-2</v>
      </c>
      <c r="K309" s="12">
        <f>Combined[[#This Row],[Time Spent]]*24</f>
        <v>0.35</v>
      </c>
      <c r="L309" s="12">
        <f>MROUND(Combined[[#This Row],[Time Spent 2]],0.25)</f>
        <v>0.25</v>
      </c>
      <c r="M309" s="2" t="s">
        <v>92</v>
      </c>
      <c r="N309" t="s">
        <v>82</v>
      </c>
      <c r="O309">
        <f>MATCH(Combined[[#This Row],[Primary Area]],KPIs!$C$4:$C$7,0)</f>
        <v>3</v>
      </c>
      <c r="P309"/>
      <c r="Q309" s="40">
        <v>45078</v>
      </c>
      <c r="R309" s="40">
        <f t="shared" si="36"/>
        <v>45078</v>
      </c>
      <c r="S309" s="4" t="str">
        <f>TEXT(Mileage[[#This Row],[Date]],"dddd")</f>
        <v>Thursday</v>
      </c>
      <c r="T309" s="4" t="s">
        <v>236</v>
      </c>
      <c r="U309" s="4">
        <v>85</v>
      </c>
      <c r="V309" t="str" cm="1">
        <f t="array" ref="V309">IFERROR(VLOOKUP(MODE(IF(Combined[Date]=Mileage[[#This Row],[Date]],Combined[Area '#])),KPIs!$B$4:$C$7,2,FALSE),VLOOKUP(Mileage[[#This Row],[Date]],Combined[[Date]:[Primary Area]],8,FALSE))</f>
        <v>Brunswick/Bath/Freeport</v>
      </c>
      <c r="W309" s="106">
        <v>0.72916666666666663</v>
      </c>
      <c r="X309" s="12">
        <v>4.87</v>
      </c>
      <c r="Y309" s="4">
        <v>64</v>
      </c>
      <c r="Z3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0" spans="2:26" x14ac:dyDescent="0.35">
      <c r="B310">
        <f t="shared" si="35"/>
        <v>308</v>
      </c>
      <c r="C310" t="s">
        <v>83</v>
      </c>
      <c r="D310" t="s">
        <v>176</v>
      </c>
      <c r="E310">
        <f>IF(WEEKNUM(Combined[[#This Row],[Date]], 1) = 53, 1, WEEKNUM(Combined[[#This Row],[Date]], 2))</f>
        <v>34</v>
      </c>
      <c r="F310" t="str">
        <f>TEXT(WEEKDAY(G310,1),"DDDD")</f>
        <v>Tuesday</v>
      </c>
      <c r="G310" s="41">
        <v>44789</v>
      </c>
      <c r="H310">
        <v>1</v>
      </c>
      <c r="I310" s="1">
        <v>21.47</v>
      </c>
      <c r="J310" s="2">
        <v>0.18124999999999999</v>
      </c>
      <c r="K310" s="12">
        <f>Combined[[#This Row],[Time Spent]]*24</f>
        <v>4.3499999999999996</v>
      </c>
      <c r="L310" s="12">
        <f>MROUND(Combined[[#This Row],[Time Spent 2]],0.25)</f>
        <v>4.25</v>
      </c>
      <c r="M310" s="2" t="s">
        <v>91</v>
      </c>
      <c r="N310" t="s">
        <v>80</v>
      </c>
      <c r="O310">
        <f>MATCH(Combined[[#This Row],[Primary Area]],KPIs!$C$4:$C$7,0)</f>
        <v>2</v>
      </c>
      <c r="P310"/>
      <c r="Q310" s="40">
        <v>45079</v>
      </c>
      <c r="R310" s="40">
        <f t="shared" si="36"/>
        <v>45079</v>
      </c>
      <c r="S310" s="4" t="str">
        <f>TEXT(Mileage[[#This Row],[Date]],"dddd")</f>
        <v>Friday</v>
      </c>
      <c r="T310" s="4" t="s">
        <v>236</v>
      </c>
      <c r="U310" s="4">
        <v>46</v>
      </c>
      <c r="V310" t="str" cm="1">
        <f t="array" ref="V310">IFERROR(VLOOKUP(MODE(IF(Combined[Date]=Mileage[[#This Row],[Date]],Combined[Area '#])),KPIs!$B$4:$C$7,2,FALSE),VLOOKUP(Mileage[[#This Row],[Date]],Combined[[Date]:[Primary Area]],8,FALSE))</f>
        <v>Brunswick/Bath/Freeport</v>
      </c>
      <c r="W310" s="106">
        <v>0.72916666666666663</v>
      </c>
      <c r="X310" s="12">
        <v>5.08</v>
      </c>
      <c r="Y310" s="4">
        <v>118</v>
      </c>
      <c r="Z3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1" spans="2:26" x14ac:dyDescent="0.35">
      <c r="B311">
        <f t="shared" si="35"/>
        <v>309</v>
      </c>
      <c r="C311" t="s">
        <v>86</v>
      </c>
      <c r="D311" t="s">
        <v>176</v>
      </c>
      <c r="E311">
        <f>IF(WEEKNUM(Combined[[#This Row],[Date]], 1) = 53, 1, WEEKNUM(Combined[[#This Row],[Date]], 2))</f>
        <v>34</v>
      </c>
      <c r="F311" t="str">
        <f>TEXT(WEEKDAY(G311,1),"DDDD")</f>
        <v>Tuesday</v>
      </c>
      <c r="G311" s="41">
        <v>44789</v>
      </c>
      <c r="H311">
        <v>7</v>
      </c>
      <c r="I311" s="1">
        <v>65.25</v>
      </c>
      <c r="J311" s="2">
        <v>0.17430555555555557</v>
      </c>
      <c r="K311" s="12">
        <f>Combined[[#This Row],[Time Spent]]*24</f>
        <v>4.1833333333333336</v>
      </c>
      <c r="L311" s="12">
        <f>MROUND(Combined[[#This Row],[Time Spent 2]],0.25)</f>
        <v>4.25</v>
      </c>
      <c r="M311" s="2" t="s">
        <v>91</v>
      </c>
      <c r="N311" t="s">
        <v>80</v>
      </c>
      <c r="O311">
        <f>MATCH(Combined[[#This Row],[Primary Area]],KPIs!$C$4:$C$7,0)</f>
        <v>2</v>
      </c>
      <c r="P311"/>
      <c r="Q311" s="40">
        <v>45086</v>
      </c>
      <c r="R311" s="40">
        <f t="shared" si="36"/>
        <v>45086</v>
      </c>
      <c r="S311" s="4" t="str">
        <f>TEXT(Mileage[[#This Row],[Date]],"dddd")</f>
        <v>Friday</v>
      </c>
      <c r="T311" s="4" t="s">
        <v>231</v>
      </c>
      <c r="U311" s="4">
        <v>62</v>
      </c>
      <c r="V311" t="str" cm="1">
        <f t="array" ref="V311">IFERROR(VLOOKUP(MODE(IF(Combined[Date]=Mileage[[#This Row],[Date]],Combined[Area '#])),KPIs!$B$4:$C$7,2,FALSE),VLOOKUP(Mileage[[#This Row],[Date]],Combined[[Date]:[Primary Area]],8,FALSE))</f>
        <v>Brunswick/Bath/Freeport</v>
      </c>
      <c r="W311" s="106">
        <v>0.72569444444444453</v>
      </c>
      <c r="X311" s="12">
        <v>5.43</v>
      </c>
      <c r="Y311" s="4">
        <v>112</v>
      </c>
      <c r="Z3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2" spans="2:26" x14ac:dyDescent="0.35">
      <c r="B312">
        <f t="shared" si="35"/>
        <v>310</v>
      </c>
      <c r="C312" t="s">
        <v>83</v>
      </c>
      <c r="D312" t="s">
        <v>176</v>
      </c>
      <c r="E312">
        <f>IF(WEEKNUM(Combined[[#This Row],[Date]], 1) = 53, 1, WEEKNUM(Combined[[#This Row],[Date]], 2))</f>
        <v>34</v>
      </c>
      <c r="F312" t="str">
        <f t="shared" ref="F312:F313" si="49">TEXT(WEEKDAY(G312,1),"DDDD")</f>
        <v>Wednesday</v>
      </c>
      <c r="G312" s="41">
        <v>44790</v>
      </c>
      <c r="H312">
        <v>5</v>
      </c>
      <c r="I312" s="1">
        <v>89.63</v>
      </c>
      <c r="J312" s="2">
        <v>0.20902777777777778</v>
      </c>
      <c r="K312" s="12">
        <f>Combined[[#This Row],[Time Spent]]*24</f>
        <v>5.0166666666666666</v>
      </c>
      <c r="L312" s="12">
        <f>MROUND(Combined[[#This Row],[Time Spent 2]],0.25)</f>
        <v>5</v>
      </c>
      <c r="M312" s="2" t="s">
        <v>91</v>
      </c>
      <c r="N312" t="s">
        <v>85</v>
      </c>
      <c r="O312">
        <f>MATCH(Combined[[#This Row],[Primary Area]],KPIs!$C$4:$C$7,0)</f>
        <v>4</v>
      </c>
      <c r="P312"/>
      <c r="Q312" s="40">
        <v>45087</v>
      </c>
      <c r="R312" s="40">
        <f t="shared" si="36"/>
        <v>45087</v>
      </c>
      <c r="S312" s="4" t="str">
        <f>TEXT(Mileage[[#This Row],[Date]],"dddd")</f>
        <v>Saturday</v>
      </c>
      <c r="T312" s="4" t="s">
        <v>249</v>
      </c>
      <c r="U312" s="4">
        <v>64</v>
      </c>
      <c r="V312" t="str" cm="1">
        <f t="array" ref="V312">IFERROR(VLOOKUP(MODE(IF(Combined[Date]=Mileage[[#This Row],[Date]],Combined[Area '#])),KPIs!$B$4:$C$7,2,FALSE),VLOOKUP(Mileage[[#This Row],[Date]],Combined[[Date]:[Primary Area]],8,FALSE))</f>
        <v>Brunswick/Bath/Freeport</v>
      </c>
      <c r="W312" s="106">
        <v>0.72916666666666663</v>
      </c>
      <c r="X312" s="12">
        <v>4.2</v>
      </c>
      <c r="Y312" s="4">
        <v>81</v>
      </c>
      <c r="Z3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3" spans="2:26" x14ac:dyDescent="0.35">
      <c r="B313">
        <f t="shared" si="35"/>
        <v>311</v>
      </c>
      <c r="C313" t="s">
        <v>86</v>
      </c>
      <c r="D313" t="s">
        <v>176</v>
      </c>
      <c r="E313">
        <f>IF(WEEKNUM(Combined[[#This Row],[Date]], 1) = 53, 1, WEEKNUM(Combined[[#This Row],[Date]], 2))</f>
        <v>34</v>
      </c>
      <c r="F313" t="str">
        <f t="shared" si="49"/>
        <v>Wednesday</v>
      </c>
      <c r="G313" s="41">
        <v>44790</v>
      </c>
      <c r="H313">
        <v>2</v>
      </c>
      <c r="I313" s="1">
        <v>11.75</v>
      </c>
      <c r="J313" s="2">
        <v>4.0972222222222222E-2</v>
      </c>
      <c r="K313" s="12">
        <f>Combined[[#This Row],[Time Spent]]*24</f>
        <v>0.98333333333333339</v>
      </c>
      <c r="L313" s="12">
        <f>MROUND(Combined[[#This Row],[Time Spent 2]],0.25)</f>
        <v>1</v>
      </c>
      <c r="M313" s="2" t="s">
        <v>91</v>
      </c>
      <c r="N313" t="s">
        <v>85</v>
      </c>
      <c r="O313">
        <f>MATCH(Combined[[#This Row],[Primary Area]],KPIs!$C$4:$C$7,0)</f>
        <v>4</v>
      </c>
      <c r="P313"/>
      <c r="Q313" s="40">
        <v>45097</v>
      </c>
      <c r="R313" s="40">
        <f t="shared" si="36"/>
        <v>45097</v>
      </c>
      <c r="S313" s="4" t="str">
        <f>TEXT(Mileage[[#This Row],[Date]],"dddd")</f>
        <v>Tuesday</v>
      </c>
      <c r="T313" s="4" t="s">
        <v>249</v>
      </c>
      <c r="U313" s="4">
        <v>69</v>
      </c>
      <c r="V313" t="str" cm="1">
        <f t="array" ref="V313">IFERROR(VLOOKUP(MODE(IF(Combined[Date]=Mileage[[#This Row],[Date]],Combined[Area '#])),KPIs!$B$4:$C$7,2,FALSE),VLOOKUP(Mileage[[#This Row],[Date]],Combined[[Date]:[Primary Area]],8,FALSE))</f>
        <v>Augusta</v>
      </c>
      <c r="W313" s="106">
        <v>0.71180555555555547</v>
      </c>
      <c r="X313" s="12">
        <v>5.45</v>
      </c>
      <c r="Y313" s="4">
        <v>120</v>
      </c>
      <c r="Z3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4" spans="2:26" x14ac:dyDescent="0.35">
      <c r="B314">
        <f t="shared" si="35"/>
        <v>312</v>
      </c>
      <c r="C314" t="s">
        <v>86</v>
      </c>
      <c r="D314" t="s">
        <v>176</v>
      </c>
      <c r="E314">
        <f>IF(WEEKNUM(Combined[[#This Row],[Date]], 1) = 53, 1, WEEKNUM(Combined[[#This Row],[Date]], 2))</f>
        <v>34</v>
      </c>
      <c r="F314" t="str">
        <f>TEXT(WEEKDAY(G314,1),"DDDD")</f>
        <v>Wednesday</v>
      </c>
      <c r="G314" s="41">
        <v>44790</v>
      </c>
      <c r="H314">
        <v>3</v>
      </c>
      <c r="I314" s="1">
        <v>29.25</v>
      </c>
      <c r="J314" s="2">
        <v>0.10277777777777779</v>
      </c>
      <c r="K314" s="12">
        <f>Combined[[#This Row],[Time Spent]]*24</f>
        <v>2.4666666666666668</v>
      </c>
      <c r="L314" s="12">
        <f>MROUND(Combined[[#This Row],[Time Spent 2]],0.25)</f>
        <v>2.5</v>
      </c>
      <c r="M314" s="2" t="s">
        <v>91</v>
      </c>
      <c r="N314" t="s">
        <v>85</v>
      </c>
      <c r="O314">
        <f>MATCH(Combined[[#This Row],[Primary Area]],KPIs!$C$4:$C$7,0)</f>
        <v>4</v>
      </c>
      <c r="P314"/>
      <c r="Q314" s="40">
        <v>45098</v>
      </c>
      <c r="R314" s="40">
        <f t="shared" si="36"/>
        <v>45098</v>
      </c>
      <c r="S314" s="4" t="str">
        <f>TEXT(Mileage[[#This Row],[Date]],"dddd")</f>
        <v>Wednesday</v>
      </c>
      <c r="T314" s="4" t="s">
        <v>231</v>
      </c>
      <c r="U314" s="4">
        <v>78</v>
      </c>
      <c r="V314" t="str" cm="1">
        <f t="array" ref="V314">IFERROR(VLOOKUP(MODE(IF(Combined[Date]=Mileage[[#This Row],[Date]],Combined[Area '#])),KPIs!$B$4:$C$7,2,FALSE),VLOOKUP(Mileage[[#This Row],[Date]],Combined[[Date]:[Primary Area]],8,FALSE))</f>
        <v>Portland</v>
      </c>
      <c r="W314" s="106">
        <v>0.76250000000000007</v>
      </c>
      <c r="X314" s="12">
        <v>4.07</v>
      </c>
      <c r="Y314" s="4">
        <v>93</v>
      </c>
      <c r="Z31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15" spans="2:26" x14ac:dyDescent="0.35">
      <c r="B315">
        <f t="shared" si="35"/>
        <v>313</v>
      </c>
      <c r="C315" t="s">
        <v>83</v>
      </c>
      <c r="D315" t="s">
        <v>176</v>
      </c>
      <c r="E315">
        <f>IF(WEEKNUM(Combined[[#This Row],[Date]], 1) = 53, 1, WEEKNUM(Combined[[#This Row],[Date]], 2))</f>
        <v>34</v>
      </c>
      <c r="F315" t="str">
        <f>TEXT(WEEKDAY(G315,1),"DDDD")</f>
        <v>Thursday</v>
      </c>
      <c r="G315" s="41">
        <v>44791</v>
      </c>
      <c r="H315">
        <v>3</v>
      </c>
      <c r="I315" s="1">
        <v>31.37</v>
      </c>
      <c r="J315" s="2">
        <v>0.16597222222222222</v>
      </c>
      <c r="K315" s="12">
        <f>Combined[[#This Row],[Time Spent]]*24</f>
        <v>3.9833333333333334</v>
      </c>
      <c r="L315" s="12">
        <f>MROUND(Combined[[#This Row],[Time Spent 2]],0.25)</f>
        <v>4</v>
      </c>
      <c r="M315" s="2" t="s">
        <v>91</v>
      </c>
      <c r="N315" t="s">
        <v>85</v>
      </c>
      <c r="O315">
        <f>MATCH(Combined[[#This Row],[Primary Area]],KPIs!$C$4:$C$7,0)</f>
        <v>4</v>
      </c>
      <c r="P315"/>
      <c r="Q315" s="40">
        <v>45100</v>
      </c>
      <c r="R315" s="40">
        <f t="shared" si="36"/>
        <v>45100</v>
      </c>
      <c r="S315" s="4" t="str">
        <f>TEXT(Mileage[[#This Row],[Date]],"dddd")</f>
        <v>Friday</v>
      </c>
      <c r="T315" s="4" t="s">
        <v>236</v>
      </c>
      <c r="U315" s="4">
        <v>78</v>
      </c>
      <c r="V315" t="str" cm="1">
        <f t="array" ref="V315">IFERROR(VLOOKUP(MODE(IF(Combined[Date]=Mileage[[#This Row],[Date]],Combined[Area '#])),KPIs!$B$4:$C$7,2,FALSE),VLOOKUP(Mileage[[#This Row],[Date]],Combined[[Date]:[Primary Area]],8,FALSE))</f>
        <v>Augusta</v>
      </c>
      <c r="W315" s="106">
        <v>0.71736111111111101</v>
      </c>
      <c r="X315" s="12">
        <v>5.07</v>
      </c>
      <c r="Y315" s="4">
        <v>114</v>
      </c>
      <c r="Z3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6" spans="2:26" x14ac:dyDescent="0.35">
      <c r="B316">
        <f t="shared" si="35"/>
        <v>314</v>
      </c>
      <c r="C316" t="s">
        <v>86</v>
      </c>
      <c r="D316" t="s">
        <v>176</v>
      </c>
      <c r="E316">
        <f>IF(WEEKNUM(Combined[[#This Row],[Date]], 1) = 53, 1, WEEKNUM(Combined[[#This Row],[Date]], 2))</f>
        <v>34</v>
      </c>
      <c r="F316" t="str">
        <f>TEXT(WEEKDAY(G316,1),"DDDD")</f>
        <v>Thursday</v>
      </c>
      <c r="G316" s="41">
        <v>44791</v>
      </c>
      <c r="H316">
        <v>1</v>
      </c>
      <c r="I316" s="1">
        <v>6.82</v>
      </c>
      <c r="J316" s="2">
        <v>6.8749999999999992E-2</v>
      </c>
      <c r="K316" s="12">
        <f>Combined[[#This Row],[Time Spent]]*24</f>
        <v>1.65</v>
      </c>
      <c r="L316" s="12">
        <f>MROUND(Combined[[#This Row],[Time Spent 2]],0.25)</f>
        <v>1.75</v>
      </c>
      <c r="M316" s="2" t="s">
        <v>91</v>
      </c>
      <c r="N316" t="s">
        <v>85</v>
      </c>
      <c r="O316">
        <f>MATCH(Combined[[#This Row],[Primary Area]],KPIs!$C$4:$C$7,0)</f>
        <v>4</v>
      </c>
      <c r="P316"/>
      <c r="Q316" s="40">
        <v>45112</v>
      </c>
      <c r="R316" s="40">
        <f t="shared" si="36"/>
        <v>45112</v>
      </c>
      <c r="S316" s="4" t="str">
        <f>TEXT(Mileage[[#This Row],[Date]],"dddd")</f>
        <v>Wednesday</v>
      </c>
      <c r="T316" s="4" t="s">
        <v>242</v>
      </c>
      <c r="U316" s="4">
        <v>77</v>
      </c>
      <c r="V316" t="str" cm="1">
        <f t="array" ref="V316">IFERROR(VLOOKUP(MODE(IF(Combined[Date]=Mileage[[#This Row],[Date]],Combined[Area '#])),KPIs!$B$4:$C$7,2,FALSE),VLOOKUP(Mileage[[#This Row],[Date]],Combined[[Date]:[Primary Area]],8,FALSE))</f>
        <v>Portland</v>
      </c>
      <c r="W316" s="106">
        <v>0.72222222222222221</v>
      </c>
      <c r="X316" s="12">
        <v>5.93</v>
      </c>
      <c r="Y316" s="4">
        <v>109</v>
      </c>
      <c r="Z3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17" spans="2:26" x14ac:dyDescent="0.35">
      <c r="B317">
        <f t="shared" si="35"/>
        <v>315</v>
      </c>
      <c r="C317" t="s">
        <v>86</v>
      </c>
      <c r="D317" t="s">
        <v>176</v>
      </c>
      <c r="E317">
        <f>IF(WEEKNUM(Combined[[#This Row],[Date]], 1) = 53, 1, WEEKNUM(Combined[[#This Row],[Date]], 2))</f>
        <v>34</v>
      </c>
      <c r="F317" t="str">
        <f>TEXT(WEEKDAY(G317,1),"DDDD")</f>
        <v>Thursday</v>
      </c>
      <c r="G317" s="41">
        <v>44791</v>
      </c>
      <c r="H317">
        <v>2</v>
      </c>
      <c r="I317" s="1">
        <f>21.25+2.63</f>
        <v>23.88</v>
      </c>
      <c r="J317" s="2">
        <v>8.1250000000000003E-2</v>
      </c>
      <c r="K317" s="12">
        <f>Combined[[#This Row],[Time Spent]]*24</f>
        <v>1.9500000000000002</v>
      </c>
      <c r="L317" s="12">
        <f>MROUND(Combined[[#This Row],[Time Spent 2]],0.25)</f>
        <v>2</v>
      </c>
      <c r="M317" s="2" t="s">
        <v>91</v>
      </c>
      <c r="N317" t="s">
        <v>85</v>
      </c>
      <c r="O317">
        <f>MATCH(Combined[[#This Row],[Primary Area]],KPIs!$C$4:$C$7,0)</f>
        <v>4</v>
      </c>
      <c r="P317"/>
      <c r="Q317" s="40">
        <v>45114</v>
      </c>
      <c r="R317" s="40">
        <f t="shared" si="36"/>
        <v>45114</v>
      </c>
      <c r="S317" s="4" t="str">
        <f>TEXT(Mileage[[#This Row],[Date]],"dddd")</f>
        <v>Friday</v>
      </c>
      <c r="T317" s="4" t="s">
        <v>242</v>
      </c>
      <c r="U317" s="4">
        <v>72</v>
      </c>
      <c r="V317" t="str" cm="1">
        <f t="array" ref="V317">IFERROR(VLOOKUP(MODE(IF(Combined[Date]=Mileage[[#This Row],[Date]],Combined[Area '#])),KPIs!$B$4:$C$7,2,FALSE),VLOOKUP(Mileage[[#This Row],[Date]],Combined[[Date]:[Primary Area]],8,FALSE))</f>
        <v>Portland</v>
      </c>
      <c r="W317" s="106">
        <v>0.73263888888888884</v>
      </c>
      <c r="X317" s="12">
        <v>7.85</v>
      </c>
      <c r="Y317" s="4">
        <v>140.80000000000001</v>
      </c>
      <c r="Z31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18" spans="2:26" x14ac:dyDescent="0.35">
      <c r="B318">
        <f t="shared" si="35"/>
        <v>316</v>
      </c>
      <c r="C318" t="s">
        <v>86</v>
      </c>
      <c r="D318" t="s">
        <v>176</v>
      </c>
      <c r="E318">
        <f>IF(WEEKNUM(Combined[[#This Row],[Date]], 1) = 53, 1, WEEKNUM(Combined[[#This Row],[Date]], 2))</f>
        <v>34</v>
      </c>
      <c r="F318" t="str">
        <f>TEXT(WEEKDAY(G318,1),"DDDD")</f>
        <v>Thursday</v>
      </c>
      <c r="G318" s="41">
        <v>44791</v>
      </c>
      <c r="H318">
        <v>2</v>
      </c>
      <c r="I318" s="1">
        <v>21.75</v>
      </c>
      <c r="J318" s="2">
        <v>5.0694444444444452E-2</v>
      </c>
      <c r="K318" s="12">
        <f>Combined[[#This Row],[Time Spent]]*24</f>
        <v>1.2166666666666668</v>
      </c>
      <c r="L318" s="12">
        <f>MROUND(Combined[[#This Row],[Time Spent 2]],0.25)</f>
        <v>1.25</v>
      </c>
      <c r="M318" s="2" t="s">
        <v>91</v>
      </c>
      <c r="N318" t="s">
        <v>85</v>
      </c>
      <c r="O318">
        <f>MATCH(Combined[[#This Row],[Primary Area]],KPIs!$C$4:$C$7,0)</f>
        <v>4</v>
      </c>
      <c r="P318"/>
      <c r="Q318" s="40">
        <v>45115</v>
      </c>
      <c r="R318" s="40">
        <f t="shared" si="36"/>
        <v>45115</v>
      </c>
      <c r="S318" s="4" t="str">
        <f>TEXT(Mileage[[#This Row],[Date]],"dddd")</f>
        <v>Saturday</v>
      </c>
      <c r="T318" s="4" t="s">
        <v>242</v>
      </c>
      <c r="U318" s="4">
        <v>69</v>
      </c>
      <c r="V318" t="str" cm="1">
        <f t="array" ref="V318">IFERROR(VLOOKUP(MODE(IF(Combined[Date]=Mileage[[#This Row],[Date]],Combined[Area '#])),KPIs!$B$4:$C$7,2,FALSE),VLOOKUP(Mileage[[#This Row],[Date]],Combined[[Date]:[Primary Area]],8,FALSE))</f>
        <v>Augusta</v>
      </c>
      <c r="W318" s="106">
        <v>0.72916666666666663</v>
      </c>
      <c r="X318" s="12">
        <v>5.38</v>
      </c>
      <c r="Y318" s="4">
        <v>116</v>
      </c>
      <c r="Z3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19" spans="2:26" x14ac:dyDescent="0.35">
      <c r="B319">
        <f t="shared" si="35"/>
        <v>317</v>
      </c>
      <c r="C319" t="s">
        <v>83</v>
      </c>
      <c r="D319" t="s">
        <v>176</v>
      </c>
      <c r="E319">
        <f>IF(WEEKNUM(Combined[[#This Row],[Date]], 1) = 53, 1, WEEKNUM(Combined[[#This Row],[Date]], 2))</f>
        <v>34</v>
      </c>
      <c r="F319" t="str">
        <f t="shared" ref="F319:F321" si="50">TEXT(WEEKDAY(G319,1),"DDDD")</f>
        <v>Saturday</v>
      </c>
      <c r="G319" s="41">
        <v>44793</v>
      </c>
      <c r="H319">
        <v>4</v>
      </c>
      <c r="I319" s="1">
        <v>70.52</v>
      </c>
      <c r="J319" s="2">
        <v>0.23333333333333331</v>
      </c>
      <c r="K319" s="12">
        <f>Combined[[#This Row],[Time Spent]]*24</f>
        <v>5.6</v>
      </c>
      <c r="L319" s="12">
        <f>MROUND(Combined[[#This Row],[Time Spent 2]],0.25)</f>
        <v>5.5</v>
      </c>
      <c r="M319" s="2" t="s">
        <v>91</v>
      </c>
      <c r="N319" t="s">
        <v>80</v>
      </c>
      <c r="O319">
        <f>MATCH(Combined[[#This Row],[Primary Area]],KPIs!$C$4:$C$7,0)</f>
        <v>2</v>
      </c>
      <c r="P319"/>
      <c r="Q319" s="40">
        <v>45116</v>
      </c>
      <c r="R319" s="40">
        <f t="shared" si="36"/>
        <v>45116</v>
      </c>
      <c r="S319" s="4" t="str">
        <f>TEXT(Mileage[[#This Row],[Date]],"dddd")</f>
        <v>Sunday</v>
      </c>
      <c r="T319" s="4" t="s">
        <v>243</v>
      </c>
      <c r="U319" s="4">
        <v>72</v>
      </c>
      <c r="V319" t="str" cm="1">
        <f t="array" ref="V319">IFERROR(VLOOKUP(MODE(IF(Combined[Date]=Mileage[[#This Row],[Date]],Combined[Area '#])),KPIs!$B$4:$C$7,2,FALSE),VLOOKUP(Mileage[[#This Row],[Date]],Combined[[Date]:[Primary Area]],8,FALSE))</f>
        <v>Lewiston</v>
      </c>
      <c r="W319" s="106">
        <v>0.71875</v>
      </c>
      <c r="X319" s="12">
        <v>4.95</v>
      </c>
      <c r="Y319" s="4">
        <v>81</v>
      </c>
      <c r="Z3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0" spans="2:26" x14ac:dyDescent="0.35">
      <c r="B320">
        <f t="shared" si="35"/>
        <v>318</v>
      </c>
      <c r="C320" t="s">
        <v>86</v>
      </c>
      <c r="D320" t="s">
        <v>176</v>
      </c>
      <c r="E320">
        <f>IF(WEEKNUM(Combined[[#This Row],[Date]], 1) = 53, 1, WEEKNUM(Combined[[#This Row],[Date]], 2))</f>
        <v>34</v>
      </c>
      <c r="F320" t="str">
        <f t="shared" si="50"/>
        <v>Saturday</v>
      </c>
      <c r="G320" s="41">
        <v>44793</v>
      </c>
      <c r="H320">
        <v>6</v>
      </c>
      <c r="I320" s="1">
        <v>39.25</v>
      </c>
      <c r="J320" s="2">
        <v>0.14097222222222222</v>
      </c>
      <c r="K320" s="12">
        <f>Combined[[#This Row],[Time Spent]]*24</f>
        <v>3.3833333333333333</v>
      </c>
      <c r="L320" s="12">
        <f>MROUND(Combined[[#This Row],[Time Spent 2]],0.25)</f>
        <v>3.5</v>
      </c>
      <c r="M320" s="2" t="s">
        <v>91</v>
      </c>
      <c r="N320" t="s">
        <v>80</v>
      </c>
      <c r="O320">
        <f>MATCH(Combined[[#This Row],[Primary Area]],KPIs!$C$4:$C$7,0)</f>
        <v>2</v>
      </c>
      <c r="P320"/>
      <c r="Q320" s="40">
        <v>45118</v>
      </c>
      <c r="R320" s="40">
        <f t="shared" si="36"/>
        <v>45118</v>
      </c>
      <c r="S320" s="4" t="str">
        <f>TEXT(Mileage[[#This Row],[Date]],"dddd")</f>
        <v>Tuesday</v>
      </c>
      <c r="T320" s="4" t="s">
        <v>230</v>
      </c>
      <c r="U320" s="4">
        <v>82</v>
      </c>
      <c r="V320" t="str" cm="1">
        <f t="array" ref="V320">IFERROR(VLOOKUP(MODE(IF(Combined[Date]=Mileage[[#This Row],[Date]],Combined[Area '#])),KPIs!$B$4:$C$7,2,FALSE),VLOOKUP(Mileage[[#This Row],[Date]],Combined[[Date]:[Primary Area]],8,FALSE))</f>
        <v>Portland</v>
      </c>
      <c r="W320" s="106">
        <v>0.71875</v>
      </c>
      <c r="X320" s="12">
        <v>5.98</v>
      </c>
      <c r="Y320" s="4">
        <v>115</v>
      </c>
      <c r="Z32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21" spans="2:26" x14ac:dyDescent="0.35">
      <c r="B321">
        <f t="shared" si="35"/>
        <v>319</v>
      </c>
      <c r="C321" t="s">
        <v>86</v>
      </c>
      <c r="D321" t="s">
        <v>176</v>
      </c>
      <c r="E321">
        <f>IF(WEEKNUM(Combined[[#This Row],[Date]], 1) = 53, 1, WEEKNUM(Combined[[#This Row],[Date]], 2))</f>
        <v>34</v>
      </c>
      <c r="F321" t="str">
        <f t="shared" si="50"/>
        <v>Saturday</v>
      </c>
      <c r="G321" s="41">
        <v>44793</v>
      </c>
      <c r="H321">
        <v>3</v>
      </c>
      <c r="I321" s="1">
        <v>17.5</v>
      </c>
      <c r="J321" s="2">
        <v>6.458333333333334E-2</v>
      </c>
      <c r="K321" s="12">
        <f>Combined[[#This Row],[Time Spent]]*24</f>
        <v>1.5500000000000003</v>
      </c>
      <c r="L321" s="12">
        <f>MROUND(Combined[[#This Row],[Time Spent 2]],0.25)</f>
        <v>1.5</v>
      </c>
      <c r="M321" s="2" t="s">
        <v>91</v>
      </c>
      <c r="N321" t="s">
        <v>80</v>
      </c>
      <c r="O321">
        <f>MATCH(Combined[[#This Row],[Primary Area]],KPIs!$C$4:$C$7,0)</f>
        <v>2</v>
      </c>
      <c r="P321"/>
      <c r="Q321" s="40">
        <v>45119</v>
      </c>
      <c r="R321" s="40">
        <f t="shared" si="36"/>
        <v>45119</v>
      </c>
      <c r="S321" s="4" t="str">
        <f>TEXT(Mileage[[#This Row],[Date]],"dddd")</f>
        <v>Wednesday</v>
      </c>
      <c r="T321" s="4" t="s">
        <v>242</v>
      </c>
      <c r="U321" s="4">
        <v>75</v>
      </c>
      <c r="V321" t="str" cm="1">
        <f t="array" ref="V321">IFERROR(VLOOKUP(MODE(IF(Combined[Date]=Mileage[[#This Row],[Date]],Combined[Area '#])),KPIs!$B$4:$C$7,2,FALSE),VLOOKUP(Mileage[[#This Row],[Date]],Combined[[Date]:[Primary Area]],8,FALSE))</f>
        <v>Portland</v>
      </c>
      <c r="W321" s="106">
        <v>0.72569444444444453</v>
      </c>
      <c r="X321" s="12">
        <v>5.6</v>
      </c>
      <c r="Y321" s="4">
        <v>129</v>
      </c>
      <c r="Z3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2" spans="2:26" x14ac:dyDescent="0.35">
      <c r="B322">
        <f t="shared" si="35"/>
        <v>320</v>
      </c>
      <c r="C322" t="s">
        <v>83</v>
      </c>
      <c r="D322" t="s">
        <v>176</v>
      </c>
      <c r="E322">
        <f>IF(WEEKNUM(Combined[[#This Row],[Date]], 1) = 53, 1, WEEKNUM(Combined[[#This Row],[Date]], 2))</f>
        <v>35</v>
      </c>
      <c r="F322" t="str">
        <f t="shared" ref="F322:F323" si="51">TEXT(WEEKDAY(G322,1),"DDDD")</f>
        <v>Monday</v>
      </c>
      <c r="G322" s="41">
        <v>44795</v>
      </c>
      <c r="H322">
        <v>2</v>
      </c>
      <c r="I322" s="1">
        <v>25.72</v>
      </c>
      <c r="J322" s="2">
        <v>9.0972222222222218E-2</v>
      </c>
      <c r="K322" s="12">
        <f>Combined[[#This Row],[Time Spent]]*24</f>
        <v>2.1833333333333331</v>
      </c>
      <c r="L322" s="12">
        <f>MROUND(Combined[[#This Row],[Time Spent 2]],0.25)</f>
        <v>2.25</v>
      </c>
      <c r="M322" s="2" t="s">
        <v>91</v>
      </c>
      <c r="N322" t="s">
        <v>85</v>
      </c>
      <c r="O322">
        <f>MATCH(Combined[[#This Row],[Primary Area]],KPIs!$C$4:$C$7,0)</f>
        <v>4</v>
      </c>
      <c r="P322"/>
      <c r="Q322" s="40">
        <v>45120</v>
      </c>
      <c r="R322" s="40">
        <f t="shared" si="36"/>
        <v>45120</v>
      </c>
      <c r="S322" s="4" t="str">
        <f>TEXT(Mileage[[#This Row],[Date]],"dddd")</f>
        <v>Thursday</v>
      </c>
      <c r="T322" s="4" t="s">
        <v>242</v>
      </c>
      <c r="U322" s="4">
        <v>79</v>
      </c>
      <c r="V322" t="str" cm="1">
        <f t="array" ref="V322">IFERROR(VLOOKUP(MODE(IF(Combined[Date]=Mileage[[#This Row],[Date]],Combined[Area '#])),KPIs!$B$4:$C$7,2,FALSE),VLOOKUP(Mileage[[#This Row],[Date]],Combined[[Date]:[Primary Area]],8,FALSE))</f>
        <v>Augusta</v>
      </c>
      <c r="W322" s="106">
        <v>0.71875</v>
      </c>
      <c r="X322" s="12">
        <v>5.05</v>
      </c>
      <c r="Y322" s="4">
        <v>117</v>
      </c>
      <c r="Z32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3" spans="2:26" x14ac:dyDescent="0.35">
      <c r="B323">
        <f t="shared" ref="B323:B386" si="52">ROW()-2</f>
        <v>321</v>
      </c>
      <c r="C323" t="s">
        <v>86</v>
      </c>
      <c r="D323" t="s">
        <v>176</v>
      </c>
      <c r="E323">
        <f>IF(WEEKNUM(Combined[[#This Row],[Date]], 1) = 53, 1, WEEKNUM(Combined[[#This Row],[Date]], 2))</f>
        <v>35</v>
      </c>
      <c r="F323" t="str">
        <f t="shared" si="51"/>
        <v>Monday</v>
      </c>
      <c r="G323" s="41">
        <v>44795</v>
      </c>
      <c r="H323">
        <v>7</v>
      </c>
      <c r="I323" s="1">
        <v>75</v>
      </c>
      <c r="J323" s="2">
        <v>0.21249999999999999</v>
      </c>
      <c r="K323" s="12">
        <f>Combined[[#This Row],[Time Spent]]*24</f>
        <v>5.0999999999999996</v>
      </c>
      <c r="L323" s="12">
        <f>MROUND(Combined[[#This Row],[Time Spent 2]],0.25)</f>
        <v>5</v>
      </c>
      <c r="M323" s="2" t="s">
        <v>91</v>
      </c>
      <c r="N323" t="s">
        <v>85</v>
      </c>
      <c r="O323">
        <f>MATCH(Combined[[#This Row],[Primary Area]],KPIs!$C$4:$C$7,0)</f>
        <v>4</v>
      </c>
      <c r="P323"/>
      <c r="Q323" s="40">
        <v>45121</v>
      </c>
      <c r="R323" s="40">
        <f t="shared" ref="R323:R386" si="53">Q323</f>
        <v>45121</v>
      </c>
      <c r="S323" s="4" t="str">
        <f>TEXT(Mileage[[#This Row],[Date]],"dddd")</f>
        <v>Friday</v>
      </c>
      <c r="T323" s="4" t="s">
        <v>249</v>
      </c>
      <c r="U323" s="4">
        <v>73</v>
      </c>
      <c r="V323" t="str" cm="1">
        <f t="array" ref="V323">IFERROR(VLOOKUP(MODE(IF(Combined[Date]=Mileage[[#This Row],[Date]],Combined[Area '#])),KPIs!$B$4:$C$7,2,FALSE),VLOOKUP(Mileage[[#This Row],[Date]],Combined[[Date]:[Primary Area]],8,FALSE))</f>
        <v>Portland</v>
      </c>
      <c r="W323" s="106">
        <v>0.73611111111111116</v>
      </c>
      <c r="X323" s="12">
        <v>6.6</v>
      </c>
      <c r="Y323" s="4">
        <v>147.19999999999999</v>
      </c>
      <c r="Z3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24" spans="2:26" x14ac:dyDescent="0.35">
      <c r="B324">
        <f t="shared" si="52"/>
        <v>322</v>
      </c>
      <c r="C324" t="s">
        <v>83</v>
      </c>
      <c r="D324" t="s">
        <v>176</v>
      </c>
      <c r="E324">
        <f>IF(WEEKNUM(Combined[[#This Row],[Date]], 1) = 53, 1, WEEKNUM(Combined[[#This Row],[Date]], 2))</f>
        <v>35</v>
      </c>
      <c r="F324" t="str">
        <f t="shared" ref="F324:F327" si="54">TEXT(WEEKDAY(G324,1),"DDDD")</f>
        <v>Saturday</v>
      </c>
      <c r="G324" s="41">
        <v>44800</v>
      </c>
      <c r="H324">
        <v>5</v>
      </c>
      <c r="I324" s="1">
        <v>89.85</v>
      </c>
      <c r="J324" s="2">
        <v>0.27638888888888885</v>
      </c>
      <c r="K324" s="12">
        <f>Combined[[#This Row],[Time Spent]]*24</f>
        <v>6.6333333333333329</v>
      </c>
      <c r="L324" s="12">
        <f>MROUND(Combined[[#This Row],[Time Spent 2]],0.25)</f>
        <v>6.75</v>
      </c>
      <c r="M324" s="2" t="s">
        <v>91</v>
      </c>
      <c r="N324" t="s">
        <v>80</v>
      </c>
      <c r="O324">
        <f>MATCH(Combined[[#This Row],[Primary Area]],KPIs!$C$4:$C$7,0)</f>
        <v>2</v>
      </c>
      <c r="P324"/>
      <c r="Q324" s="40">
        <v>45122</v>
      </c>
      <c r="R324" s="40">
        <f t="shared" si="53"/>
        <v>45122</v>
      </c>
      <c r="S324" s="4" t="str">
        <f>TEXT(Mileage[[#This Row],[Date]],"dddd")</f>
        <v>Saturday</v>
      </c>
      <c r="T324" s="4" t="s">
        <v>243</v>
      </c>
      <c r="U324" s="4">
        <v>78</v>
      </c>
      <c r="V324" t="str" cm="1">
        <f t="array" ref="V324">IFERROR(VLOOKUP(MODE(IF(Combined[Date]=Mileage[[#This Row],[Date]],Combined[Area '#])),KPIs!$B$4:$C$7,2,FALSE),VLOOKUP(Mileage[[#This Row],[Date]],Combined[[Date]:[Primary Area]],8,FALSE))</f>
        <v>Lewiston</v>
      </c>
      <c r="W324" s="106">
        <v>0.52430555555555558</v>
      </c>
      <c r="X324" s="12">
        <v>6.95</v>
      </c>
      <c r="Y324" s="4">
        <v>95</v>
      </c>
      <c r="Z3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5" spans="2:26" x14ac:dyDescent="0.35">
      <c r="B325">
        <f t="shared" si="52"/>
        <v>323</v>
      </c>
      <c r="C325" t="s">
        <v>86</v>
      </c>
      <c r="D325" t="s">
        <v>176</v>
      </c>
      <c r="E325">
        <f>IF(WEEKNUM(Combined[[#This Row],[Date]], 1) = 53, 1, WEEKNUM(Combined[[#This Row],[Date]], 2))</f>
        <v>35</v>
      </c>
      <c r="F325" t="str">
        <f t="shared" si="54"/>
        <v>Saturday</v>
      </c>
      <c r="G325" s="41">
        <v>44800</v>
      </c>
      <c r="H325">
        <v>1</v>
      </c>
      <c r="I325" s="1">
        <v>7.5</v>
      </c>
      <c r="J325" s="2">
        <v>4.5833333333333337E-2</v>
      </c>
      <c r="K325" s="12">
        <f>Combined[[#This Row],[Time Spent]]*24</f>
        <v>1.1000000000000001</v>
      </c>
      <c r="L325" s="12">
        <f>MROUND(Combined[[#This Row],[Time Spent 2]],0.25)</f>
        <v>1</v>
      </c>
      <c r="M325" s="2" t="s">
        <v>91</v>
      </c>
      <c r="N325" t="s">
        <v>80</v>
      </c>
      <c r="O325">
        <f>MATCH(Combined[[#This Row],[Primary Area]],KPIs!$C$4:$C$7,0)</f>
        <v>2</v>
      </c>
      <c r="P325"/>
      <c r="Q325" s="40">
        <v>45123</v>
      </c>
      <c r="R325" s="40">
        <f t="shared" si="53"/>
        <v>45123</v>
      </c>
      <c r="S325" s="4" t="str">
        <f>TEXT(Mileage[[#This Row],[Date]],"dddd")</f>
        <v>Sunday</v>
      </c>
      <c r="T325" s="4" t="s">
        <v>236</v>
      </c>
      <c r="U325" s="4">
        <v>75</v>
      </c>
      <c r="V325" t="str" cm="1">
        <f t="array" ref="V325">IFERROR(VLOOKUP(MODE(IF(Combined[Date]=Mileage[[#This Row],[Date]],Combined[Area '#])),KPIs!$B$4:$C$7,2,FALSE),VLOOKUP(Mileage[[#This Row],[Date]],Combined[[Date]:[Primary Area]],8,FALSE))</f>
        <v>Brunswick/Bath/Freeport</v>
      </c>
      <c r="W325" s="106">
        <v>0.62152777777777779</v>
      </c>
      <c r="X325" s="12">
        <v>2.65</v>
      </c>
      <c r="Y325" s="4">
        <v>62</v>
      </c>
      <c r="Z3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6" spans="2:26" x14ac:dyDescent="0.35">
      <c r="B326">
        <f t="shared" si="52"/>
        <v>324</v>
      </c>
      <c r="C326" t="s">
        <v>86</v>
      </c>
      <c r="D326" t="s">
        <v>176</v>
      </c>
      <c r="E326">
        <f>IF(WEEKNUM(Combined[[#This Row],[Date]], 1) = 53, 1, WEEKNUM(Combined[[#This Row],[Date]], 2))</f>
        <v>35</v>
      </c>
      <c r="F326" t="str">
        <f t="shared" si="54"/>
        <v>Saturday</v>
      </c>
      <c r="G326" s="41">
        <v>44800</v>
      </c>
      <c r="H326">
        <v>2</v>
      </c>
      <c r="I326" s="1">
        <v>17.75</v>
      </c>
      <c r="J326" s="2">
        <v>5.5555555555555552E-2</v>
      </c>
      <c r="K326" s="12">
        <f>Combined[[#This Row],[Time Spent]]*24</f>
        <v>1.3333333333333333</v>
      </c>
      <c r="L326" s="12">
        <f>MROUND(Combined[[#This Row],[Time Spent 2]],0.25)</f>
        <v>1.25</v>
      </c>
      <c r="M326" s="2" t="s">
        <v>92</v>
      </c>
      <c r="N326" t="s">
        <v>80</v>
      </c>
      <c r="O326">
        <f>MATCH(Combined[[#This Row],[Primary Area]],KPIs!$C$4:$C$7,0)</f>
        <v>2</v>
      </c>
      <c r="P326"/>
      <c r="Q326" s="40">
        <v>45124</v>
      </c>
      <c r="R326" s="40">
        <f t="shared" si="53"/>
        <v>45124</v>
      </c>
      <c r="S326" s="4" t="str">
        <f>TEXT(Mileage[[#This Row],[Date]],"dddd")</f>
        <v>Monday</v>
      </c>
      <c r="T326" s="4" t="s">
        <v>242</v>
      </c>
      <c r="U326" s="4">
        <v>81</v>
      </c>
      <c r="V326" t="str" cm="1">
        <f t="array" ref="V326">IFERROR(VLOOKUP(MODE(IF(Combined[Date]=Mileage[[#This Row],[Date]],Combined[Area '#])),KPIs!$B$4:$C$7,2,FALSE),VLOOKUP(Mileage[[#This Row],[Date]],Combined[[Date]:[Primary Area]],8,FALSE))</f>
        <v>Portland</v>
      </c>
      <c r="W326" s="106">
        <v>0.72222222222222221</v>
      </c>
      <c r="X326" s="12">
        <v>7.18</v>
      </c>
      <c r="Y326" s="4">
        <v>156.1</v>
      </c>
      <c r="Z3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27" spans="2:26" x14ac:dyDescent="0.35">
      <c r="B327">
        <f t="shared" si="52"/>
        <v>325</v>
      </c>
      <c r="C327" t="s">
        <v>86</v>
      </c>
      <c r="D327" t="s">
        <v>176</v>
      </c>
      <c r="E327">
        <f>IF(WEEKNUM(Combined[[#This Row],[Date]], 1) = 53, 1, WEEKNUM(Combined[[#This Row],[Date]], 2))</f>
        <v>35</v>
      </c>
      <c r="F327" t="str">
        <f t="shared" si="54"/>
        <v>Saturday</v>
      </c>
      <c r="G327" s="41">
        <v>44800</v>
      </c>
      <c r="H327">
        <v>1</v>
      </c>
      <c r="I327" s="1">
        <v>7</v>
      </c>
      <c r="J327" s="2">
        <v>6.3194444444444442E-2</v>
      </c>
      <c r="K327" s="12">
        <f>Combined[[#This Row],[Time Spent]]*24</f>
        <v>1.5166666666666666</v>
      </c>
      <c r="L327" s="12">
        <f>MROUND(Combined[[#This Row],[Time Spent 2]],0.25)</f>
        <v>1.5</v>
      </c>
      <c r="M327" s="2" t="s">
        <v>92</v>
      </c>
      <c r="N327" t="s">
        <v>80</v>
      </c>
      <c r="O327">
        <f>MATCH(Combined[[#This Row],[Primary Area]],KPIs!$C$4:$C$7,0)</f>
        <v>2</v>
      </c>
      <c r="P327"/>
      <c r="Q327" s="40">
        <v>45125</v>
      </c>
      <c r="R327" s="40">
        <f t="shared" si="53"/>
        <v>45125</v>
      </c>
      <c r="S327" s="4" t="str">
        <f>TEXT(Mileage[[#This Row],[Date]],"dddd")</f>
        <v>Tuesday</v>
      </c>
      <c r="T327" s="4" t="s">
        <v>230</v>
      </c>
      <c r="U327" s="4">
        <v>73</v>
      </c>
      <c r="V327" t="str" cm="1">
        <f t="array" ref="V327">IFERROR(VLOOKUP(MODE(IF(Combined[Date]=Mileage[[#This Row],[Date]],Combined[Area '#])),KPIs!$B$4:$C$7,2,FALSE),VLOOKUP(Mileage[[#This Row],[Date]],Combined[[Date]:[Primary Area]],8,FALSE))</f>
        <v>Portland</v>
      </c>
      <c r="W327" s="106">
        <v>0.72569444444444453</v>
      </c>
      <c r="X327" s="12">
        <v>5.88</v>
      </c>
      <c r="Y327" s="4">
        <v>123</v>
      </c>
      <c r="Z32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28" spans="2:26" x14ac:dyDescent="0.35">
      <c r="B328">
        <f t="shared" si="52"/>
        <v>326</v>
      </c>
      <c r="C328" t="s">
        <v>83</v>
      </c>
      <c r="D328" t="s">
        <v>176</v>
      </c>
      <c r="E328">
        <f>IF(WEEKNUM(Combined[[#This Row],[Date]], 1) = 53, 1, WEEKNUM(Combined[[#This Row],[Date]], 2))</f>
        <v>36</v>
      </c>
      <c r="F328" t="str">
        <f t="shared" ref="F328:F329" si="55">TEXT(WEEKDAY(G328,1),"DDDD")</f>
        <v>Monday</v>
      </c>
      <c r="G328" s="41">
        <v>44802</v>
      </c>
      <c r="H328">
        <v>1</v>
      </c>
      <c r="I328" s="1">
        <v>17.79</v>
      </c>
      <c r="J328" s="2">
        <v>0.15694444444444444</v>
      </c>
      <c r="K328" s="12">
        <f>Combined[[#This Row],[Time Spent]]*24</f>
        <v>3.7666666666666666</v>
      </c>
      <c r="L328" s="12">
        <f>MROUND(Combined[[#This Row],[Time Spent 2]],0.25)</f>
        <v>3.75</v>
      </c>
      <c r="M328" s="2" t="s">
        <v>91</v>
      </c>
      <c r="N328" t="s">
        <v>80</v>
      </c>
      <c r="O328">
        <f>MATCH(Combined[[#This Row],[Primary Area]],KPIs!$C$4:$C$7,0)</f>
        <v>2</v>
      </c>
      <c r="P328"/>
      <c r="Q328" s="40">
        <v>45129</v>
      </c>
      <c r="R328" s="40">
        <f t="shared" si="53"/>
        <v>45129</v>
      </c>
      <c r="S328" s="4" t="str">
        <f>TEXT(Mileage[[#This Row],[Date]],"dddd")</f>
        <v>Saturday</v>
      </c>
      <c r="T328" s="4" t="s">
        <v>243</v>
      </c>
      <c r="U328" s="4">
        <v>75</v>
      </c>
      <c r="V328" t="str" cm="1">
        <f t="array" ref="V328">IFERROR(VLOOKUP(MODE(IF(Combined[Date]=Mileage[[#This Row],[Date]],Combined[Area '#])),KPIs!$B$4:$C$7,2,FALSE),VLOOKUP(Mileage[[#This Row],[Date]],Combined[[Date]:[Primary Area]],8,FALSE))</f>
        <v>Lewiston</v>
      </c>
      <c r="W328" s="106">
        <v>0.57986111111111105</v>
      </c>
      <c r="X328" s="12">
        <v>8.92</v>
      </c>
      <c r="Y328" s="4">
        <v>171</v>
      </c>
      <c r="Z3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29" spans="2:26" x14ac:dyDescent="0.35">
      <c r="B329">
        <f t="shared" si="52"/>
        <v>327</v>
      </c>
      <c r="C329" t="s">
        <v>86</v>
      </c>
      <c r="D329" t="s">
        <v>176</v>
      </c>
      <c r="E329">
        <f>IF(WEEKNUM(Combined[[#This Row],[Date]], 1) = 53, 1, WEEKNUM(Combined[[#This Row],[Date]], 2))</f>
        <v>36</v>
      </c>
      <c r="F329" t="str">
        <f t="shared" si="55"/>
        <v>Monday</v>
      </c>
      <c r="G329" s="41">
        <v>44802</v>
      </c>
      <c r="H329">
        <v>6</v>
      </c>
      <c r="I329" s="1">
        <v>62</v>
      </c>
      <c r="J329" s="2">
        <v>0.21944444444444444</v>
      </c>
      <c r="K329" s="12">
        <f>Combined[[#This Row],[Time Spent]]*24</f>
        <v>5.2666666666666666</v>
      </c>
      <c r="L329" s="12">
        <f>MROUND(Combined[[#This Row],[Time Spent 2]],0.25)</f>
        <v>5.25</v>
      </c>
      <c r="M329" s="2" t="s">
        <v>91</v>
      </c>
      <c r="N329" t="s">
        <v>80</v>
      </c>
      <c r="O329">
        <f>MATCH(Combined[[#This Row],[Primary Area]],KPIs!$C$4:$C$7,0)</f>
        <v>2</v>
      </c>
      <c r="P329"/>
      <c r="Q329" s="40">
        <v>45131</v>
      </c>
      <c r="R329" s="40">
        <f t="shared" si="53"/>
        <v>45131</v>
      </c>
      <c r="S329" s="4" t="str">
        <f>TEXT(Mileage[[#This Row],[Date]],"dddd")</f>
        <v>Monday</v>
      </c>
      <c r="T329" s="4" t="s">
        <v>230</v>
      </c>
      <c r="U329" s="4">
        <v>79</v>
      </c>
      <c r="V329" t="str" cm="1">
        <f t="array" ref="V329">IFERROR(VLOOKUP(MODE(IF(Combined[Date]=Mileage[[#This Row],[Date]],Combined[Area '#])),KPIs!$B$4:$C$7,2,FALSE),VLOOKUP(Mileage[[#This Row],[Date]],Combined[[Date]:[Primary Area]],8,FALSE))</f>
        <v>Portland</v>
      </c>
      <c r="W329" s="106">
        <v>0.71180555555555547</v>
      </c>
      <c r="X329" s="12">
        <v>3.43</v>
      </c>
      <c r="Y329" s="4">
        <v>78.8</v>
      </c>
      <c r="Z32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0" spans="2:26" x14ac:dyDescent="0.35">
      <c r="B330">
        <f t="shared" si="52"/>
        <v>328</v>
      </c>
      <c r="C330" t="s">
        <v>83</v>
      </c>
      <c r="D330" t="s">
        <v>176</v>
      </c>
      <c r="E330">
        <f>IF(WEEKNUM(Combined[[#This Row],[Date]], 1) = 53, 1, WEEKNUM(Combined[[#This Row],[Date]], 2))</f>
        <v>36</v>
      </c>
      <c r="F330" t="str">
        <f t="shared" ref="F330:F332" si="56">TEXT(WEEKDAY(G330,1),"DDDD")</f>
        <v>Tuesday</v>
      </c>
      <c r="G330" s="41">
        <v>44803</v>
      </c>
      <c r="H330">
        <v>9</v>
      </c>
      <c r="I330" s="1">
        <v>96.78</v>
      </c>
      <c r="J330" s="2">
        <v>0.18055555555555555</v>
      </c>
      <c r="K330" s="12">
        <f>Combined[[#This Row],[Time Spent]]*24</f>
        <v>4.333333333333333</v>
      </c>
      <c r="L330" s="12">
        <f>MROUND(Combined[[#This Row],[Time Spent 2]],0.25)</f>
        <v>4.25</v>
      </c>
      <c r="M330" s="2" t="s">
        <v>91</v>
      </c>
      <c r="N330" t="s">
        <v>85</v>
      </c>
      <c r="O330">
        <f>MATCH(Combined[[#This Row],[Primary Area]],KPIs!$C$4:$C$7,0)</f>
        <v>4</v>
      </c>
      <c r="P330"/>
      <c r="Q330" s="40">
        <v>45136</v>
      </c>
      <c r="R330" s="40">
        <f t="shared" si="53"/>
        <v>45136</v>
      </c>
      <c r="S330" s="4" t="str">
        <f>TEXT(Mileage[[#This Row],[Date]],"dddd")</f>
        <v>Saturday</v>
      </c>
      <c r="T330" s="4" t="s">
        <v>236</v>
      </c>
      <c r="U330" s="4">
        <v>64</v>
      </c>
      <c r="V330" t="str" cm="1">
        <f t="array" ref="V330">IFERROR(VLOOKUP(MODE(IF(Combined[Date]=Mileage[[#This Row],[Date]],Combined[Area '#])),KPIs!$B$4:$C$7,2,FALSE),VLOOKUP(Mileage[[#This Row],[Date]],Combined[[Date]:[Primary Area]],8,FALSE))</f>
        <v>Lewiston</v>
      </c>
      <c r="W330" s="106">
        <v>0.59722222222222221</v>
      </c>
      <c r="X330" s="12">
        <v>8.57</v>
      </c>
      <c r="Y330" s="4">
        <v>116</v>
      </c>
      <c r="Z33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1" spans="2:26" x14ac:dyDescent="0.35">
      <c r="B331">
        <f t="shared" si="52"/>
        <v>329</v>
      </c>
      <c r="C331" t="s">
        <v>86</v>
      </c>
      <c r="D331" t="s">
        <v>176</v>
      </c>
      <c r="E331">
        <f>IF(WEEKNUM(Combined[[#This Row],[Date]], 1) = 53, 1, WEEKNUM(Combined[[#This Row],[Date]], 2))</f>
        <v>36</v>
      </c>
      <c r="F331" t="str">
        <f t="shared" si="56"/>
        <v>Tuesday</v>
      </c>
      <c r="G331" s="41">
        <v>44803</v>
      </c>
      <c r="H331">
        <v>1</v>
      </c>
      <c r="I331" s="1">
        <v>10.5</v>
      </c>
      <c r="J331" s="2">
        <v>2.0833333333333332E-2</v>
      </c>
      <c r="K331" s="12">
        <f>Combined[[#This Row],[Time Spent]]*24</f>
        <v>0.5</v>
      </c>
      <c r="L331" s="12">
        <f>MROUND(Combined[[#This Row],[Time Spent 2]],0.25)</f>
        <v>0.5</v>
      </c>
      <c r="M331" s="2" t="s">
        <v>91</v>
      </c>
      <c r="N331" t="s">
        <v>85</v>
      </c>
      <c r="O331">
        <f>MATCH(Combined[[#This Row],[Primary Area]],KPIs!$C$4:$C$7,0)</f>
        <v>4</v>
      </c>
      <c r="P331"/>
      <c r="Q331" s="40">
        <v>45138</v>
      </c>
      <c r="R331" s="40">
        <f t="shared" si="53"/>
        <v>45138</v>
      </c>
      <c r="S331" s="4" t="str">
        <f>TEXT(Mileage[[#This Row],[Date]],"dddd")</f>
        <v>Monday</v>
      </c>
      <c r="T331" s="4" t="s">
        <v>242</v>
      </c>
      <c r="U331" s="4">
        <v>68</v>
      </c>
      <c r="V331" t="str" cm="1">
        <f t="array" ref="V331">IFERROR(VLOOKUP(MODE(IF(Combined[Date]=Mileage[[#This Row],[Date]],Combined[Area '#])),KPIs!$B$4:$C$7,2,FALSE),VLOOKUP(Mileage[[#This Row],[Date]],Combined[[Date]:[Primary Area]],8,FALSE))</f>
        <v>Portland</v>
      </c>
      <c r="W331" s="106">
        <v>0.71180555555555547</v>
      </c>
      <c r="X331" s="12">
        <v>5.53</v>
      </c>
      <c r="Y331" s="4">
        <v>113</v>
      </c>
      <c r="Z33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2" spans="2:26" x14ac:dyDescent="0.35">
      <c r="B332">
        <f t="shared" si="52"/>
        <v>330</v>
      </c>
      <c r="C332" t="s">
        <v>86</v>
      </c>
      <c r="D332" t="s">
        <v>176</v>
      </c>
      <c r="E332">
        <f>IF(WEEKNUM(Combined[[#This Row],[Date]], 1) = 53, 1, WEEKNUM(Combined[[#This Row],[Date]], 2))</f>
        <v>36</v>
      </c>
      <c r="F332" t="str">
        <f t="shared" si="56"/>
        <v>Tuesday</v>
      </c>
      <c r="G332" s="41">
        <v>44803</v>
      </c>
      <c r="H332">
        <v>2</v>
      </c>
      <c r="I332" s="1">
        <v>11</v>
      </c>
      <c r="J332" s="2">
        <v>4.027777777777778E-2</v>
      </c>
      <c r="K332" s="12">
        <f>Combined[[#This Row],[Time Spent]]*24</f>
        <v>0.96666666666666679</v>
      </c>
      <c r="L332" s="12">
        <f>MROUND(Combined[[#This Row],[Time Spent 2]],0.25)</f>
        <v>1</v>
      </c>
      <c r="M332" s="2" t="s">
        <v>92</v>
      </c>
      <c r="N332" t="s">
        <v>85</v>
      </c>
      <c r="O332">
        <f>MATCH(Combined[[#This Row],[Primary Area]],KPIs!$C$4:$C$7,0)</f>
        <v>4</v>
      </c>
      <c r="P332"/>
      <c r="Q332" s="40">
        <v>45140</v>
      </c>
      <c r="R332" s="40">
        <f t="shared" si="53"/>
        <v>45140</v>
      </c>
      <c r="S332" s="4" t="str">
        <f>TEXT(Mileage[[#This Row],[Date]],"dddd")</f>
        <v>Wednesday</v>
      </c>
      <c r="T332" s="4" t="s">
        <v>230</v>
      </c>
      <c r="U332" s="4">
        <v>72</v>
      </c>
      <c r="V332" t="str" cm="1">
        <f t="array" ref="V332">IFERROR(VLOOKUP(MODE(IF(Combined[Date]=Mileage[[#This Row],[Date]],Combined[Area '#])),KPIs!$B$4:$C$7,2,FALSE),VLOOKUP(Mileage[[#This Row],[Date]],Combined[[Date]:[Primary Area]],8,FALSE))</f>
        <v>Augusta</v>
      </c>
      <c r="W332" s="106">
        <v>0.74305555555555547</v>
      </c>
      <c r="X332" s="12">
        <v>4.45</v>
      </c>
      <c r="Y332" s="4">
        <v>109</v>
      </c>
      <c r="Z33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3" spans="2:26" x14ac:dyDescent="0.35">
      <c r="B333">
        <f t="shared" si="52"/>
        <v>331</v>
      </c>
      <c r="C333" t="s">
        <v>83</v>
      </c>
      <c r="D333" t="s">
        <v>176</v>
      </c>
      <c r="E333">
        <f>IF(WEEKNUM(Combined[[#This Row],[Date]], 1) = 53, 1, WEEKNUM(Combined[[#This Row],[Date]], 2))</f>
        <v>36</v>
      </c>
      <c r="F333" t="str">
        <f t="shared" ref="F333:F334" si="57">TEXT(WEEKDAY(G333,1),"DDDD")</f>
        <v>Wednesday</v>
      </c>
      <c r="G333" s="41">
        <v>44804</v>
      </c>
      <c r="H333">
        <v>5</v>
      </c>
      <c r="I333" s="1">
        <v>94.24</v>
      </c>
      <c r="J333" s="2">
        <v>0.17500000000000002</v>
      </c>
      <c r="K333" s="12">
        <f>Combined[[#This Row],[Time Spent]]*24</f>
        <v>4.2</v>
      </c>
      <c r="L333" s="12">
        <f>MROUND(Combined[[#This Row],[Time Spent 2]],0.25)</f>
        <v>4.25</v>
      </c>
      <c r="M333" s="2" t="s">
        <v>91</v>
      </c>
      <c r="N333" t="s">
        <v>85</v>
      </c>
      <c r="O333">
        <f>MATCH(Combined[[#This Row],[Primary Area]],KPIs!$C$4:$C$7,0)</f>
        <v>4</v>
      </c>
      <c r="P333"/>
      <c r="Q333" s="40">
        <v>45142</v>
      </c>
      <c r="R333" s="40">
        <f t="shared" si="53"/>
        <v>45142</v>
      </c>
      <c r="S333" s="4" t="str">
        <f>TEXT(Mileage[[#This Row],[Date]],"dddd")</f>
        <v>Friday</v>
      </c>
      <c r="T333" s="4" t="s">
        <v>245</v>
      </c>
      <c r="U333" s="4">
        <v>66</v>
      </c>
      <c r="V333" t="str" cm="1">
        <f t="array" ref="V333">IFERROR(VLOOKUP(MODE(IF(Combined[Date]=Mileage[[#This Row],[Date]],Combined[Area '#])),KPIs!$B$4:$C$7,2,FALSE),VLOOKUP(Mileage[[#This Row],[Date]],Combined[[Date]:[Primary Area]],8,FALSE))</f>
        <v>Brunswick/Bath/Freeport</v>
      </c>
      <c r="W333" s="106">
        <v>0.73611111111111116</v>
      </c>
      <c r="X333" s="12">
        <v>4.28</v>
      </c>
      <c r="Y333" s="4">
        <v>85</v>
      </c>
      <c r="Z3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34" spans="2:26" x14ac:dyDescent="0.35">
      <c r="B334">
        <f t="shared" si="52"/>
        <v>332</v>
      </c>
      <c r="C334" t="s">
        <v>86</v>
      </c>
      <c r="D334" t="s">
        <v>176</v>
      </c>
      <c r="E334">
        <f>IF(WEEKNUM(Combined[[#This Row],[Date]], 1) = 53, 1, WEEKNUM(Combined[[#This Row],[Date]], 2))</f>
        <v>36</v>
      </c>
      <c r="F334" t="str">
        <f t="shared" si="57"/>
        <v>Wednesday</v>
      </c>
      <c r="G334" s="41">
        <v>44804</v>
      </c>
      <c r="H334">
        <v>5</v>
      </c>
      <c r="I334" s="1">
        <v>31.25</v>
      </c>
      <c r="J334" s="2">
        <v>7.8472222222222221E-2</v>
      </c>
      <c r="K334" s="12">
        <f>Combined[[#This Row],[Time Spent]]*24</f>
        <v>1.8833333333333333</v>
      </c>
      <c r="L334" s="12">
        <f>MROUND(Combined[[#This Row],[Time Spent 2]],0.25)</f>
        <v>2</v>
      </c>
      <c r="M334" s="2" t="s">
        <v>92</v>
      </c>
      <c r="N334" t="s">
        <v>85</v>
      </c>
      <c r="O334">
        <f>MATCH(Combined[[#This Row],[Primary Area]],KPIs!$C$4:$C$7,0)</f>
        <v>4</v>
      </c>
      <c r="P334"/>
      <c r="Q334" s="40">
        <v>45143</v>
      </c>
      <c r="R334" s="40">
        <f t="shared" si="53"/>
        <v>45143</v>
      </c>
      <c r="S334" s="4" t="str">
        <f>TEXT(Mileage[[#This Row],[Date]],"dddd")</f>
        <v>Saturday</v>
      </c>
      <c r="T334" s="4" t="s">
        <v>230</v>
      </c>
      <c r="U334" s="4">
        <v>73</v>
      </c>
      <c r="V334" t="str" cm="1">
        <f t="array" ref="V334">IFERROR(VLOOKUP(MODE(IF(Combined[Date]=Mileage[[#This Row],[Date]],Combined[Area '#])),KPIs!$B$4:$C$7,2,FALSE),VLOOKUP(Mileage[[#This Row],[Date]],Combined[[Date]:[Primary Area]],8,FALSE))</f>
        <v>Lewiston</v>
      </c>
      <c r="W334" s="106">
        <v>0.65972222222222221</v>
      </c>
      <c r="X334" s="12">
        <v>9.2200000000000006</v>
      </c>
      <c r="Y334" s="4">
        <v>162</v>
      </c>
      <c r="Z3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35" spans="2:26" x14ac:dyDescent="0.35">
      <c r="B335">
        <f t="shared" si="52"/>
        <v>333</v>
      </c>
      <c r="C335" t="s">
        <v>86</v>
      </c>
      <c r="D335" t="s">
        <v>176</v>
      </c>
      <c r="E335">
        <f>IF(WEEKNUM(Combined[[#This Row],[Date]], 1) = 53, 1, WEEKNUM(Combined[[#This Row],[Date]], 2))</f>
        <v>36</v>
      </c>
      <c r="F335" t="str">
        <f>TEXT(WEEKDAY(G335,1),"DDDD")</f>
        <v>Thursday</v>
      </c>
      <c r="G335" s="41">
        <v>44805</v>
      </c>
      <c r="H335">
        <v>11</v>
      </c>
      <c r="I335" s="1">
        <v>78.5</v>
      </c>
      <c r="J335" s="2">
        <v>0.21597222222222223</v>
      </c>
      <c r="K335" s="12">
        <f>Combined[[#This Row],[Time Spent]]*24</f>
        <v>5.1833333333333336</v>
      </c>
      <c r="L335" s="12">
        <f>MROUND(Combined[[#This Row],[Time Spent 2]],0.25)</f>
        <v>5.25</v>
      </c>
      <c r="M335" s="2" t="s">
        <v>91</v>
      </c>
      <c r="N335" t="s">
        <v>82</v>
      </c>
      <c r="O335">
        <f>MATCH(Combined[[#This Row],[Primary Area]],KPIs!$C$4:$C$7,0)</f>
        <v>3</v>
      </c>
      <c r="P335"/>
      <c r="Q335" s="40">
        <v>45144</v>
      </c>
      <c r="R335" s="40">
        <f t="shared" si="53"/>
        <v>45144</v>
      </c>
      <c r="S335" s="4" t="str">
        <f>TEXT(Mileage[[#This Row],[Date]],"dddd")</f>
        <v>Sunday</v>
      </c>
      <c r="T335" s="4" t="s">
        <v>230</v>
      </c>
      <c r="U335" s="4">
        <v>79</v>
      </c>
      <c r="V335" t="str" cm="1">
        <f t="array" ref="V335">IFERROR(VLOOKUP(MODE(IF(Combined[Date]=Mileage[[#This Row],[Date]],Combined[Area '#])),KPIs!$B$4:$C$7,2,FALSE),VLOOKUP(Mileage[[#This Row],[Date]],Combined[[Date]:[Primary Area]],8,FALSE))</f>
        <v>Lewiston</v>
      </c>
      <c r="W335" s="106">
        <v>0.65625</v>
      </c>
      <c r="X335" s="12">
        <v>4.05</v>
      </c>
      <c r="Y335" s="4">
        <v>68</v>
      </c>
      <c r="Z33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6" spans="2:26" x14ac:dyDescent="0.35">
      <c r="B336">
        <f t="shared" si="52"/>
        <v>334</v>
      </c>
      <c r="C336" t="s">
        <v>83</v>
      </c>
      <c r="D336" t="s">
        <v>176</v>
      </c>
      <c r="E336">
        <f>IF(WEEKNUM(Combined[[#This Row],[Date]], 1) = 53, 1, WEEKNUM(Combined[[#This Row],[Date]], 2))</f>
        <v>36</v>
      </c>
      <c r="F336" t="str">
        <f t="shared" ref="F336:F337" si="58">TEXT(WEEKDAY(G336,1),"DDDD")</f>
        <v>Friday</v>
      </c>
      <c r="G336" s="41">
        <v>44806</v>
      </c>
      <c r="H336">
        <v>2</v>
      </c>
      <c r="I336" s="1">
        <v>28.37</v>
      </c>
      <c r="J336" s="2">
        <v>0.13541666666666666</v>
      </c>
      <c r="K336" s="12">
        <f>Combined[[#This Row],[Time Spent]]*24</f>
        <v>3.25</v>
      </c>
      <c r="L336" s="12">
        <f>MROUND(Combined[[#This Row],[Time Spent 2]],0.25)</f>
        <v>3.25</v>
      </c>
      <c r="M336" s="2" t="s">
        <v>90</v>
      </c>
      <c r="N336" t="s">
        <v>80</v>
      </c>
      <c r="O336">
        <f>MATCH(Combined[[#This Row],[Primary Area]],KPIs!$C$4:$C$7,0)</f>
        <v>2</v>
      </c>
      <c r="P336"/>
      <c r="Q336" s="40">
        <v>45145</v>
      </c>
      <c r="R336" s="40">
        <f t="shared" si="53"/>
        <v>45145</v>
      </c>
      <c r="S336" s="4" t="str">
        <f>TEXT(Mileage[[#This Row],[Date]],"dddd")</f>
        <v>Monday</v>
      </c>
      <c r="T336" s="4" t="s">
        <v>230</v>
      </c>
      <c r="U336" s="4">
        <v>70</v>
      </c>
      <c r="V336" t="str" cm="1">
        <f t="array" ref="V336">IFERROR(VLOOKUP(MODE(IF(Combined[Date]=Mileage[[#This Row],[Date]],Combined[Area '#])),KPIs!$B$4:$C$7,2,FALSE),VLOOKUP(Mileage[[#This Row],[Date]],Combined[[Date]:[Primary Area]],8,FALSE))</f>
        <v>Augusta</v>
      </c>
      <c r="W336" s="106">
        <v>0.71527777777777779</v>
      </c>
      <c r="X336" s="12">
        <v>5.48</v>
      </c>
      <c r="Y336" s="4">
        <v>132</v>
      </c>
      <c r="Z33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37" spans="2:26" x14ac:dyDescent="0.35">
      <c r="B337">
        <f t="shared" si="52"/>
        <v>335</v>
      </c>
      <c r="C337" t="s">
        <v>86</v>
      </c>
      <c r="D337" t="s">
        <v>176</v>
      </c>
      <c r="E337">
        <f>IF(WEEKNUM(Combined[[#This Row],[Date]], 1) = 53, 1, WEEKNUM(Combined[[#This Row],[Date]], 2))</f>
        <v>36</v>
      </c>
      <c r="F337" t="str">
        <f t="shared" si="58"/>
        <v>Friday</v>
      </c>
      <c r="G337" s="41">
        <v>44806</v>
      </c>
      <c r="H337">
        <v>6</v>
      </c>
      <c r="I337" s="1">
        <v>78.91</v>
      </c>
      <c r="J337" s="2">
        <v>0.10833333333333334</v>
      </c>
      <c r="K337" s="12">
        <f>Combined[[#This Row],[Time Spent]]*24</f>
        <v>2.6</v>
      </c>
      <c r="L337" s="12">
        <f>MROUND(Combined[[#This Row],[Time Spent 2]],0.25)</f>
        <v>2.5</v>
      </c>
      <c r="M337" s="2" t="s">
        <v>90</v>
      </c>
      <c r="N337" t="s">
        <v>80</v>
      </c>
      <c r="O337">
        <f>MATCH(Combined[[#This Row],[Primary Area]],KPIs!$C$4:$C$7,0)</f>
        <v>2</v>
      </c>
      <c r="P337"/>
      <c r="Q337" s="40">
        <v>45146</v>
      </c>
      <c r="R337" s="40">
        <f t="shared" si="53"/>
        <v>45146</v>
      </c>
      <c r="S337" s="4" t="str">
        <f>TEXT(Mileage[[#This Row],[Date]],"dddd")</f>
        <v>Tuesday</v>
      </c>
      <c r="T337" s="4" t="s">
        <v>236</v>
      </c>
      <c r="U337" s="4">
        <v>68</v>
      </c>
      <c r="V337" t="str" cm="1">
        <f t="array" ref="V337">IFERROR(VLOOKUP(MODE(IF(Combined[Date]=Mileage[[#This Row],[Date]],Combined[Area '#])),KPIs!$B$4:$C$7,2,FALSE),VLOOKUP(Mileage[[#This Row],[Date]],Combined[[Date]:[Primary Area]],8,FALSE))</f>
        <v>Brunswick/Bath/Freeport</v>
      </c>
      <c r="W337" s="106">
        <v>0.70138888888888884</v>
      </c>
      <c r="X337" s="12">
        <v>4.97</v>
      </c>
      <c r="Y337" s="4">
        <v>124</v>
      </c>
      <c r="Z33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38" spans="2:26" x14ac:dyDescent="0.35">
      <c r="B338">
        <f t="shared" si="52"/>
        <v>336</v>
      </c>
      <c r="C338" t="s">
        <v>86</v>
      </c>
      <c r="D338" t="s">
        <v>176</v>
      </c>
      <c r="E338">
        <f>IF(WEEKNUM(Combined[[#This Row],[Date]], 1) = 53, 1, WEEKNUM(Combined[[#This Row],[Date]], 2))</f>
        <v>36</v>
      </c>
      <c r="F338" t="str">
        <f t="shared" ref="F338:F343" si="59">TEXT(WEEKDAY(G338,1),"DDDD")</f>
        <v>Friday</v>
      </c>
      <c r="G338" s="41">
        <v>44806</v>
      </c>
      <c r="H338">
        <v>3</v>
      </c>
      <c r="I338" s="1">
        <v>28.75</v>
      </c>
      <c r="J338" s="2">
        <v>5.2777777777777778E-2</v>
      </c>
      <c r="K338" s="12">
        <f>Combined[[#This Row],[Time Spent]]*24</f>
        <v>1.2666666666666666</v>
      </c>
      <c r="L338" s="12">
        <f>MROUND(Combined[[#This Row],[Time Spent 2]],0.25)</f>
        <v>1.25</v>
      </c>
      <c r="M338" s="2" t="s">
        <v>91</v>
      </c>
      <c r="N338" t="s">
        <v>80</v>
      </c>
      <c r="O338">
        <f>MATCH(Combined[[#This Row],[Primary Area]],KPIs!$C$4:$C$7,0)</f>
        <v>2</v>
      </c>
      <c r="P338"/>
      <c r="Q338" s="40">
        <v>45148</v>
      </c>
      <c r="R338" s="40">
        <f t="shared" si="53"/>
        <v>45148</v>
      </c>
      <c r="S338" s="4" t="str">
        <f>TEXT(Mileage[[#This Row],[Date]],"dddd")</f>
        <v>Thursday</v>
      </c>
      <c r="T338" s="4" t="s">
        <v>231</v>
      </c>
      <c r="U338" s="4">
        <v>73</v>
      </c>
      <c r="V338" t="str" cm="1">
        <f t="array" ref="V338">IFERROR(VLOOKUP(MODE(IF(Combined[Date]=Mileage[[#This Row],[Date]],Combined[Area '#])),KPIs!$B$4:$C$7,2,FALSE),VLOOKUP(Mileage[[#This Row],[Date]],Combined[[Date]:[Primary Area]],8,FALSE))</f>
        <v>Portland</v>
      </c>
      <c r="W338" s="106">
        <v>0.76041666666666663</v>
      </c>
      <c r="X338" s="12">
        <v>2.92</v>
      </c>
      <c r="Y338" s="4">
        <v>69</v>
      </c>
      <c r="Z33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39" spans="2:26" x14ac:dyDescent="0.35">
      <c r="B339">
        <f t="shared" si="52"/>
        <v>337</v>
      </c>
      <c r="C339" t="s">
        <v>83</v>
      </c>
      <c r="D339" t="s">
        <v>176</v>
      </c>
      <c r="E339">
        <f>IF(WEEKNUM(Combined[[#This Row],[Date]], 1) = 53, 1, WEEKNUM(Combined[[#This Row],[Date]], 2))</f>
        <v>36</v>
      </c>
      <c r="F339" t="str">
        <f t="shared" si="59"/>
        <v>Saturday</v>
      </c>
      <c r="G339" s="41">
        <v>44807</v>
      </c>
      <c r="H339">
        <v>5</v>
      </c>
      <c r="I339" s="1">
        <v>72.39</v>
      </c>
      <c r="J339" s="2">
        <v>0.28333333333333333</v>
      </c>
      <c r="K339" s="12">
        <f>Combined[[#This Row],[Time Spent]]*24</f>
        <v>6.8</v>
      </c>
      <c r="L339" s="12">
        <f>MROUND(Combined[[#This Row],[Time Spent 2]],0.25)</f>
        <v>6.75</v>
      </c>
      <c r="M339" s="2" t="s">
        <v>91</v>
      </c>
      <c r="N339" t="s">
        <v>80</v>
      </c>
      <c r="O339">
        <f>MATCH(Combined[[#This Row],[Primary Area]],KPIs!$C$4:$C$7,0)</f>
        <v>2</v>
      </c>
      <c r="P339"/>
      <c r="Q339" s="40">
        <v>45149</v>
      </c>
      <c r="R339" s="40">
        <f t="shared" si="53"/>
        <v>45149</v>
      </c>
      <c r="S339" s="4" t="str">
        <f>TEXT(Mileage[[#This Row],[Date]],"dddd")</f>
        <v>Friday</v>
      </c>
      <c r="T339" s="4" t="s">
        <v>230</v>
      </c>
      <c r="U339" s="4">
        <v>73</v>
      </c>
      <c r="V339" t="str" cm="1">
        <f t="array" ref="V339">IFERROR(VLOOKUP(MODE(IF(Combined[Date]=Mileage[[#This Row],[Date]],Combined[Area '#])),KPIs!$B$4:$C$7,2,FALSE),VLOOKUP(Mileage[[#This Row],[Date]],Combined[[Date]:[Primary Area]],8,FALSE))</f>
        <v>Brunswick/Bath/Freeport</v>
      </c>
      <c r="W339" s="106">
        <v>0.72916666666666663</v>
      </c>
      <c r="X339" s="12">
        <v>3.27</v>
      </c>
      <c r="Y339" s="4">
        <v>67</v>
      </c>
      <c r="Z33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0" spans="2:26" x14ac:dyDescent="0.35">
      <c r="B340">
        <f t="shared" si="52"/>
        <v>338</v>
      </c>
      <c r="C340" t="s">
        <v>86</v>
      </c>
      <c r="D340" t="s">
        <v>176</v>
      </c>
      <c r="E340">
        <f>IF(WEEKNUM(Combined[[#This Row],[Date]], 1) = 53, 1, WEEKNUM(Combined[[#This Row],[Date]], 2))</f>
        <v>36</v>
      </c>
      <c r="F340" t="str">
        <f t="shared" si="59"/>
        <v>Saturday</v>
      </c>
      <c r="G340" s="41">
        <v>44807</v>
      </c>
      <c r="H340">
        <v>5</v>
      </c>
      <c r="I340" s="1">
        <v>46.17</v>
      </c>
      <c r="J340" s="2">
        <v>6.6666666666666666E-2</v>
      </c>
      <c r="K340" s="12">
        <f>Combined[[#This Row],[Time Spent]]*24</f>
        <v>1.6</v>
      </c>
      <c r="L340" s="12">
        <f>MROUND(Combined[[#This Row],[Time Spent 2]],0.25)</f>
        <v>1.5</v>
      </c>
      <c r="M340" s="2" t="s">
        <v>91</v>
      </c>
      <c r="N340" t="s">
        <v>80</v>
      </c>
      <c r="O340">
        <f>MATCH(Combined[[#This Row],[Primary Area]],KPIs!$C$4:$C$7,0)</f>
        <v>2</v>
      </c>
      <c r="P340"/>
      <c r="Q340" s="40">
        <v>45154</v>
      </c>
      <c r="R340" s="40">
        <f t="shared" si="53"/>
        <v>45154</v>
      </c>
      <c r="S340" s="4" t="str">
        <f>TEXT(Mileage[[#This Row],[Date]],"dddd")</f>
        <v>Wednesday</v>
      </c>
      <c r="T340" s="4" t="s">
        <v>231</v>
      </c>
      <c r="U340" s="4">
        <v>66</v>
      </c>
      <c r="V340" t="str" cm="1">
        <f t="array" ref="V340">IFERROR(VLOOKUP(MODE(IF(Combined[Date]=Mileage[[#This Row],[Date]],Combined[Area '#])),KPIs!$B$4:$C$7,2,FALSE),VLOOKUP(Mileage[[#This Row],[Date]],Combined[[Date]:[Primary Area]],8,FALSE))</f>
        <v>Portland</v>
      </c>
      <c r="W340" s="106">
        <v>0.73263888888888884</v>
      </c>
      <c r="X340" s="12">
        <v>5.57</v>
      </c>
      <c r="Y340" s="4">
        <v>95</v>
      </c>
      <c r="Z34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41" spans="2:26" x14ac:dyDescent="0.35">
      <c r="B341">
        <f t="shared" si="52"/>
        <v>339</v>
      </c>
      <c r="C341" t="s">
        <v>86</v>
      </c>
      <c r="D341" t="s">
        <v>176</v>
      </c>
      <c r="E341">
        <f>IF(WEEKNUM(Combined[[#This Row],[Date]], 1) = 53, 1, WEEKNUM(Combined[[#This Row],[Date]], 2))</f>
        <v>36</v>
      </c>
      <c r="F341" t="str">
        <f t="shared" si="59"/>
        <v>Saturday</v>
      </c>
      <c r="G341" s="41">
        <v>44807</v>
      </c>
      <c r="H341">
        <v>2</v>
      </c>
      <c r="I341" s="1">
        <v>20</v>
      </c>
      <c r="J341" s="2">
        <v>5.347222222222222E-2</v>
      </c>
      <c r="K341" s="12">
        <f>Combined[[#This Row],[Time Spent]]*24</f>
        <v>1.2833333333333332</v>
      </c>
      <c r="L341" s="12">
        <f>MROUND(Combined[[#This Row],[Time Spent 2]],0.25)</f>
        <v>1.25</v>
      </c>
      <c r="M341" s="2" t="s">
        <v>91</v>
      </c>
      <c r="N341" t="s">
        <v>80</v>
      </c>
      <c r="O341">
        <f>MATCH(Combined[[#This Row],[Primary Area]],KPIs!$C$4:$C$7,0)</f>
        <v>2</v>
      </c>
      <c r="P341"/>
      <c r="Q341" s="40">
        <v>45155</v>
      </c>
      <c r="R341" s="40">
        <f t="shared" si="53"/>
        <v>45155</v>
      </c>
      <c r="S341" s="4" t="str">
        <f>TEXT(Mileage[[#This Row],[Date]],"dddd")</f>
        <v>Thursday</v>
      </c>
      <c r="T341" s="4" t="s">
        <v>231</v>
      </c>
      <c r="U341" s="4">
        <v>66</v>
      </c>
      <c r="V341" t="str" cm="1">
        <f t="array" ref="V341">IFERROR(VLOOKUP(MODE(IF(Combined[Date]=Mileage[[#This Row],[Date]],Combined[Area '#])),KPIs!$B$4:$C$7,2,FALSE),VLOOKUP(Mileage[[#This Row],[Date]],Combined[[Date]:[Primary Area]],8,FALSE))</f>
        <v>Portland</v>
      </c>
      <c r="W341" s="106">
        <v>0.77430555555555547</v>
      </c>
      <c r="X341" s="12">
        <v>4.0199999999999996</v>
      </c>
      <c r="Y341" s="4">
        <v>88</v>
      </c>
      <c r="Z34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2" spans="2:26" x14ac:dyDescent="0.35">
      <c r="B342">
        <f t="shared" si="52"/>
        <v>340</v>
      </c>
      <c r="C342" t="s">
        <v>86</v>
      </c>
      <c r="D342" t="s">
        <v>176</v>
      </c>
      <c r="E342">
        <f>IF(WEEKNUM(Combined[[#This Row],[Date]], 1) = 53, 1, WEEKNUM(Combined[[#This Row],[Date]], 2))</f>
        <v>36</v>
      </c>
      <c r="F342" t="str">
        <f t="shared" si="59"/>
        <v>Saturday</v>
      </c>
      <c r="G342" s="41">
        <v>44807</v>
      </c>
      <c r="H342">
        <v>1</v>
      </c>
      <c r="I342" s="1">
        <v>8</v>
      </c>
      <c r="J342" s="2">
        <v>3.4027777777777775E-2</v>
      </c>
      <c r="K342" s="12">
        <f>Combined[[#This Row],[Time Spent]]*24</f>
        <v>0.81666666666666665</v>
      </c>
      <c r="L342" s="12">
        <f>MROUND(Combined[[#This Row],[Time Spent 2]],0.25)</f>
        <v>0.75</v>
      </c>
      <c r="M342" s="2" t="s">
        <v>92</v>
      </c>
      <c r="N342" t="s">
        <v>80</v>
      </c>
      <c r="O342">
        <f>MATCH(Combined[[#This Row],[Primary Area]],KPIs!$C$4:$C$7,0)</f>
        <v>2</v>
      </c>
      <c r="P342"/>
      <c r="Q342" s="40">
        <v>45156</v>
      </c>
      <c r="R342" s="40">
        <f t="shared" si="53"/>
        <v>45156</v>
      </c>
      <c r="S342" s="4" t="str">
        <f>TEXT(Mileage[[#This Row],[Date]],"dddd")</f>
        <v>Friday</v>
      </c>
      <c r="T342" s="4" t="s">
        <v>231</v>
      </c>
      <c r="U342" s="4">
        <v>70</v>
      </c>
      <c r="V342" t="str" cm="1">
        <f t="array" ref="V342">IFERROR(VLOOKUP(MODE(IF(Combined[Date]=Mileage[[#This Row],[Date]],Combined[Area '#])),KPIs!$B$4:$C$7,2,FALSE),VLOOKUP(Mileage[[#This Row],[Date]],Combined[[Date]:[Primary Area]],8,FALSE))</f>
        <v>Augusta</v>
      </c>
      <c r="W342" s="106">
        <v>0.70833333333333337</v>
      </c>
      <c r="X342" s="12">
        <v>5.6</v>
      </c>
      <c r="Y342" s="4">
        <v>133</v>
      </c>
      <c r="Z34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3" spans="2:26" x14ac:dyDescent="0.35">
      <c r="B343">
        <f t="shared" si="52"/>
        <v>341</v>
      </c>
      <c r="C343" t="s">
        <v>86</v>
      </c>
      <c r="D343" t="s">
        <v>176</v>
      </c>
      <c r="E343">
        <f>IF(WEEKNUM(Combined[[#This Row],[Date]], 1) = 53, 1, WEEKNUM(Combined[[#This Row],[Date]], 2))</f>
        <v>36</v>
      </c>
      <c r="F343" t="str">
        <f t="shared" si="59"/>
        <v>Saturday</v>
      </c>
      <c r="G343" s="41">
        <v>44807</v>
      </c>
      <c r="H343">
        <v>4</v>
      </c>
      <c r="I343" s="1">
        <v>39.43</v>
      </c>
      <c r="J343" s="2">
        <v>8.0555555555555561E-2</v>
      </c>
      <c r="K343" s="12">
        <f>Combined[[#This Row],[Time Spent]]*24</f>
        <v>1.9333333333333336</v>
      </c>
      <c r="L343" s="12">
        <f>MROUND(Combined[[#This Row],[Time Spent 2]],0.25)</f>
        <v>2</v>
      </c>
      <c r="M343" s="2" t="s">
        <v>92</v>
      </c>
      <c r="N343" t="s">
        <v>85</v>
      </c>
      <c r="O343">
        <f>MATCH(Combined[[#This Row],[Primary Area]],KPIs!$C$4:$C$7,0)</f>
        <v>4</v>
      </c>
      <c r="P343"/>
      <c r="Q343" s="40">
        <v>45157</v>
      </c>
      <c r="R343" s="40">
        <f t="shared" si="53"/>
        <v>45157</v>
      </c>
      <c r="S343" s="4" t="str">
        <f>TEXT(Mileage[[#This Row],[Date]],"dddd")</f>
        <v>Saturday</v>
      </c>
      <c r="T343" s="4" t="s">
        <v>231</v>
      </c>
      <c r="U343" s="4">
        <v>68</v>
      </c>
      <c r="V343" t="str" cm="1">
        <f t="array" ref="V343">IFERROR(VLOOKUP(MODE(IF(Combined[Date]=Mileage[[#This Row],[Date]],Combined[Area '#])),KPIs!$B$4:$C$7,2,FALSE),VLOOKUP(Mileage[[#This Row],[Date]],Combined[[Date]:[Primary Area]],8,FALSE))</f>
        <v>Lewiston</v>
      </c>
      <c r="W343" s="106">
        <v>0.69791666666666663</v>
      </c>
      <c r="X343" s="12">
        <v>5.37</v>
      </c>
      <c r="Y343" s="4">
        <v>64</v>
      </c>
      <c r="Z3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4" spans="2:26" x14ac:dyDescent="0.35">
      <c r="B344">
        <f t="shared" si="52"/>
        <v>342</v>
      </c>
      <c r="C344" t="s">
        <v>83</v>
      </c>
      <c r="D344" t="s">
        <v>176</v>
      </c>
      <c r="E344">
        <f>IF(WEEKNUM(Combined[[#This Row],[Date]], 1) = 53, 1, WEEKNUM(Combined[[#This Row],[Date]], 2))</f>
        <v>37</v>
      </c>
      <c r="F344" t="str">
        <f t="shared" ref="F344:F346" si="60">TEXT(WEEKDAY(G344,1),"DDDD")</f>
        <v>Monday</v>
      </c>
      <c r="G344" s="41">
        <v>44809</v>
      </c>
      <c r="H344">
        <v>10</v>
      </c>
      <c r="I344" s="1">
        <v>127.1</v>
      </c>
      <c r="J344" s="2">
        <v>0.30138888888888887</v>
      </c>
      <c r="K344" s="12">
        <f>Combined[[#This Row],[Time Spent]]*24</f>
        <v>7.2333333333333325</v>
      </c>
      <c r="L344" s="12">
        <f>MROUND(Combined[[#This Row],[Time Spent 2]],0.25)</f>
        <v>7.25</v>
      </c>
      <c r="M344" s="2" t="s">
        <v>91</v>
      </c>
      <c r="N344" t="s">
        <v>85</v>
      </c>
      <c r="O344">
        <f>MATCH(Combined[[#This Row],[Primary Area]],KPIs!$C$4:$C$7,0)</f>
        <v>4</v>
      </c>
      <c r="P344"/>
      <c r="Q344" s="40">
        <v>45158</v>
      </c>
      <c r="R344" s="40">
        <f t="shared" si="53"/>
        <v>45158</v>
      </c>
      <c r="S344" s="4" t="str">
        <f>TEXT(Mileage[[#This Row],[Date]],"dddd")</f>
        <v>Sunday</v>
      </c>
      <c r="T344" s="4" t="s">
        <v>230</v>
      </c>
      <c r="U344" s="4">
        <v>79</v>
      </c>
      <c r="V344" t="str" cm="1">
        <f t="array" ref="V344">IFERROR(VLOOKUP(MODE(IF(Combined[Date]=Mileage[[#This Row],[Date]],Combined[Area '#])),KPIs!$B$4:$C$7,2,FALSE),VLOOKUP(Mileage[[#This Row],[Date]],Combined[[Date]:[Primary Area]],8,FALSE))</f>
        <v>Lewiston</v>
      </c>
      <c r="W344" s="106">
        <v>0.69791666666666663</v>
      </c>
      <c r="X344" s="12">
        <v>1.38</v>
      </c>
      <c r="Y344" s="4">
        <v>29</v>
      </c>
      <c r="Z3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5" spans="2:26" x14ac:dyDescent="0.35">
      <c r="B345">
        <f t="shared" si="52"/>
        <v>343</v>
      </c>
      <c r="C345" t="s">
        <v>86</v>
      </c>
      <c r="D345" t="s">
        <v>176</v>
      </c>
      <c r="E345">
        <f>IF(WEEKNUM(Combined[[#This Row],[Date]], 1) = 53, 1, WEEKNUM(Combined[[#This Row],[Date]], 2))</f>
        <v>37</v>
      </c>
      <c r="F345" t="str">
        <f t="shared" si="60"/>
        <v>Monday</v>
      </c>
      <c r="G345" s="41">
        <v>44809</v>
      </c>
      <c r="H345">
        <v>2</v>
      </c>
      <c r="I345" s="1">
        <v>24.5</v>
      </c>
      <c r="J345" s="2">
        <v>7.6388888888888895E-2</v>
      </c>
      <c r="K345" s="12">
        <f>Combined[[#This Row],[Time Spent]]*24</f>
        <v>1.8333333333333335</v>
      </c>
      <c r="L345" s="12">
        <f>MROUND(Combined[[#This Row],[Time Spent 2]],0.25)</f>
        <v>1.75</v>
      </c>
      <c r="M345" s="2" t="s">
        <v>92</v>
      </c>
      <c r="N345" t="s">
        <v>85</v>
      </c>
      <c r="O345">
        <f>MATCH(Combined[[#This Row],[Primary Area]],KPIs!$C$4:$C$7,0)</f>
        <v>4</v>
      </c>
      <c r="P345"/>
      <c r="Q345" s="40">
        <v>45161</v>
      </c>
      <c r="R345" s="40">
        <f t="shared" si="53"/>
        <v>45161</v>
      </c>
      <c r="S345" s="4" t="str">
        <f>TEXT(Mileage[[#This Row],[Date]],"dddd")</f>
        <v>Wednesday</v>
      </c>
      <c r="T345" s="4" t="s">
        <v>230</v>
      </c>
      <c r="U345" s="4">
        <v>73</v>
      </c>
      <c r="V345" t="str" cm="1">
        <f t="array" ref="V345">IFERROR(VLOOKUP(MODE(IF(Combined[Date]=Mileage[[#This Row],[Date]],Combined[Area '#])),KPIs!$B$4:$C$7,2,FALSE),VLOOKUP(Mileage[[#This Row],[Date]],Combined[[Date]:[Primary Area]],8,FALSE))</f>
        <v>Brunswick/Bath/Freeport</v>
      </c>
      <c r="W345" s="106">
        <v>0.74305555555555547</v>
      </c>
      <c r="X345" s="12">
        <v>4.0199999999999996</v>
      </c>
      <c r="Y345" s="4">
        <v>104</v>
      </c>
      <c r="Z3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6" spans="2:26" x14ac:dyDescent="0.35">
      <c r="B346">
        <f t="shared" si="52"/>
        <v>344</v>
      </c>
      <c r="C346" t="s">
        <v>86</v>
      </c>
      <c r="D346" t="s">
        <v>176</v>
      </c>
      <c r="E346">
        <f>IF(WEEKNUM(Combined[[#This Row],[Date]], 1) = 53, 1, WEEKNUM(Combined[[#This Row],[Date]], 2))</f>
        <v>37</v>
      </c>
      <c r="F346" t="str">
        <f t="shared" si="60"/>
        <v>Monday</v>
      </c>
      <c r="G346" s="41">
        <v>44809</v>
      </c>
      <c r="H346">
        <v>2</v>
      </c>
      <c r="I346" s="1">
        <v>22.5</v>
      </c>
      <c r="J346" s="2">
        <v>5.1388888888888894E-2</v>
      </c>
      <c r="K346" s="12">
        <f>Combined[[#This Row],[Time Spent]]*24</f>
        <v>1.2333333333333334</v>
      </c>
      <c r="L346" s="12">
        <f>MROUND(Combined[[#This Row],[Time Spent 2]],0.25)</f>
        <v>1.25</v>
      </c>
      <c r="M346" s="2" t="s">
        <v>92</v>
      </c>
      <c r="N346" t="s">
        <v>85</v>
      </c>
      <c r="O346">
        <f>MATCH(Combined[[#This Row],[Primary Area]],KPIs!$C$4:$C$7,0)</f>
        <v>4</v>
      </c>
      <c r="P346"/>
      <c r="Q346" s="40">
        <v>45162</v>
      </c>
      <c r="R346" s="40">
        <f t="shared" si="53"/>
        <v>45162</v>
      </c>
      <c r="S346" s="4" t="str">
        <f>TEXT(Mileage[[#This Row],[Date]],"dddd")</f>
        <v>Thursday</v>
      </c>
      <c r="T346" s="4" t="s">
        <v>231</v>
      </c>
      <c r="U346" s="4">
        <v>68</v>
      </c>
      <c r="V346" t="str" cm="1">
        <f t="array" ref="V346">IFERROR(VLOOKUP(MODE(IF(Combined[Date]=Mileage[[#This Row],[Date]],Combined[Area '#])),KPIs!$B$4:$C$7,2,FALSE),VLOOKUP(Mileage[[#This Row],[Date]],Combined[[Date]:[Primary Area]],8,FALSE))</f>
        <v>Portland</v>
      </c>
      <c r="W346" s="106">
        <v>0.73263888888888884</v>
      </c>
      <c r="X346" s="12">
        <v>3.25</v>
      </c>
      <c r="Y346" s="4">
        <v>67</v>
      </c>
      <c r="Z3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7" spans="2:26" x14ac:dyDescent="0.35">
      <c r="B347">
        <f t="shared" si="52"/>
        <v>345</v>
      </c>
      <c r="C347" t="s">
        <v>83</v>
      </c>
      <c r="D347" t="s">
        <v>176</v>
      </c>
      <c r="E347">
        <f>IF(WEEKNUM(Combined[[#This Row],[Date]], 1) = 53, 1, WEEKNUM(Combined[[#This Row],[Date]], 2))</f>
        <v>37</v>
      </c>
      <c r="F347" t="str">
        <f>TEXT(WEEKDAY(G347,1),"DDDD")</f>
        <v>Tuesday</v>
      </c>
      <c r="G347" s="41">
        <v>44810</v>
      </c>
      <c r="H347">
        <v>6</v>
      </c>
      <c r="I347" s="1">
        <v>95.26</v>
      </c>
      <c r="J347" s="2">
        <v>0.21458333333333335</v>
      </c>
      <c r="K347" s="12">
        <f>Combined[[#This Row],[Time Spent]]*24</f>
        <v>5.15</v>
      </c>
      <c r="L347" s="12">
        <f>MROUND(Combined[[#This Row],[Time Spent 2]],0.25)</f>
        <v>5.25</v>
      </c>
      <c r="M347" s="2" t="s">
        <v>91</v>
      </c>
      <c r="N347" t="s">
        <v>85</v>
      </c>
      <c r="O347">
        <f>MATCH(Combined[[#This Row],[Primary Area]],KPIs!$C$4:$C$7,0)</f>
        <v>4</v>
      </c>
      <c r="P347"/>
      <c r="Q347" s="40">
        <v>45163</v>
      </c>
      <c r="R347" s="40">
        <f t="shared" si="53"/>
        <v>45163</v>
      </c>
      <c r="S347" s="4" t="str">
        <f>TEXT(Mileage[[#This Row],[Date]],"dddd")</f>
        <v>Friday</v>
      </c>
      <c r="T347" s="4" t="s">
        <v>236</v>
      </c>
      <c r="U347" s="4">
        <v>66</v>
      </c>
      <c r="V347" t="str" cm="1">
        <f t="array" ref="V347">IFERROR(VLOOKUP(MODE(IF(Combined[Date]=Mileage[[#This Row],[Date]],Combined[Area '#])),KPIs!$B$4:$C$7,2,FALSE),VLOOKUP(Mileage[[#This Row],[Date]],Combined[[Date]:[Primary Area]],8,FALSE))</f>
        <v>Brunswick/Bath/Freeport</v>
      </c>
      <c r="W347" s="106">
        <v>0.71180555555555547</v>
      </c>
      <c r="X347" s="12">
        <v>7.03</v>
      </c>
      <c r="Y347" s="4">
        <v>117</v>
      </c>
      <c r="Z34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48" spans="2:26" x14ac:dyDescent="0.35">
      <c r="B348">
        <f t="shared" si="52"/>
        <v>346</v>
      </c>
      <c r="C348" t="s">
        <v>86</v>
      </c>
      <c r="D348" t="s">
        <v>176</v>
      </c>
      <c r="E348">
        <f>IF(WEEKNUM(Combined[[#This Row],[Date]], 1) = 53, 1, WEEKNUM(Combined[[#This Row],[Date]], 2))</f>
        <v>37</v>
      </c>
      <c r="F348" t="str">
        <f>TEXT(WEEKDAY(G348,1),"DDDD")</f>
        <v>Tuesday</v>
      </c>
      <c r="G348" s="41">
        <v>44810</v>
      </c>
      <c r="H348">
        <v>3</v>
      </c>
      <c r="I348" s="1">
        <v>14.75</v>
      </c>
      <c r="J348" s="2">
        <v>3.9583333333333331E-2</v>
      </c>
      <c r="K348" s="12">
        <f>Combined[[#This Row],[Time Spent]]*24</f>
        <v>0.95</v>
      </c>
      <c r="L348" s="12">
        <f>MROUND(Combined[[#This Row],[Time Spent 2]],0.25)</f>
        <v>1</v>
      </c>
      <c r="M348" s="2" t="s">
        <v>91</v>
      </c>
      <c r="N348" t="s">
        <v>85</v>
      </c>
      <c r="O348">
        <f>MATCH(Combined[[#This Row],[Primary Area]],KPIs!$C$4:$C$7,0)</f>
        <v>4</v>
      </c>
      <c r="P348"/>
      <c r="Q348" s="40">
        <v>45164</v>
      </c>
      <c r="R348" s="40">
        <f t="shared" si="53"/>
        <v>45164</v>
      </c>
      <c r="S348" s="4" t="str">
        <f>TEXT(Mileage[[#This Row],[Date]],"dddd")</f>
        <v>Saturday</v>
      </c>
      <c r="T348" s="4" t="s">
        <v>243</v>
      </c>
      <c r="U348" s="4">
        <v>72</v>
      </c>
      <c r="V348" t="str" cm="1">
        <f t="array" ref="V348">IFERROR(VLOOKUP(MODE(IF(Combined[Date]=Mileage[[#This Row],[Date]],Combined[Area '#])),KPIs!$B$4:$C$7,2,FALSE),VLOOKUP(Mileage[[#This Row],[Date]],Combined[[Date]:[Primary Area]],8,FALSE))</f>
        <v>Portland</v>
      </c>
      <c r="W348" s="106">
        <v>0.64236111111111105</v>
      </c>
      <c r="X348" s="12">
        <v>8.0299999999999994</v>
      </c>
      <c r="Y348" s="4">
        <v>181</v>
      </c>
      <c r="Z34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49" spans="2:26" x14ac:dyDescent="0.35">
      <c r="B349">
        <f t="shared" si="52"/>
        <v>347</v>
      </c>
      <c r="C349" t="s">
        <v>83</v>
      </c>
      <c r="D349" t="s">
        <v>176</v>
      </c>
      <c r="E349">
        <f>IF(WEEKNUM(Combined[[#This Row],[Date]], 1) = 53, 1, WEEKNUM(Combined[[#This Row],[Date]], 2))</f>
        <v>37</v>
      </c>
      <c r="F349" t="str">
        <f t="shared" ref="F349:F352" si="61">TEXT(WEEKDAY(G349,1),"DDDD")</f>
        <v>Wednesday</v>
      </c>
      <c r="G349" s="41">
        <v>44811</v>
      </c>
      <c r="H349">
        <v>3</v>
      </c>
      <c r="I349" s="1">
        <v>18.829999999999998</v>
      </c>
      <c r="J349" s="2">
        <v>0.1173611111111111</v>
      </c>
      <c r="K349" s="12">
        <f>Combined[[#This Row],[Time Spent]]*24</f>
        <v>2.8166666666666664</v>
      </c>
      <c r="L349" s="12">
        <f>MROUND(Combined[[#This Row],[Time Spent 2]],0.25)</f>
        <v>2.75</v>
      </c>
      <c r="M349" s="2" t="s">
        <v>91</v>
      </c>
      <c r="N349" t="s">
        <v>85</v>
      </c>
      <c r="O349">
        <f>MATCH(Combined[[#This Row],[Primary Area]],KPIs!$C$4:$C$7,0)</f>
        <v>4</v>
      </c>
      <c r="P349"/>
      <c r="Q349" s="40">
        <v>45167</v>
      </c>
      <c r="R349" s="40">
        <f t="shared" si="53"/>
        <v>45167</v>
      </c>
      <c r="S349" s="4" t="str">
        <f>TEXT(Mileage[[#This Row],[Date]],"dddd")</f>
        <v>Tuesday</v>
      </c>
      <c r="T349" s="4" t="s">
        <v>249</v>
      </c>
      <c r="U349" s="4">
        <v>72</v>
      </c>
      <c r="V349" t="str" cm="1">
        <f t="array" ref="V349">IFERROR(VLOOKUP(MODE(IF(Combined[Date]=Mileage[[#This Row],[Date]],Combined[Area '#])),KPIs!$B$4:$C$7,2,FALSE),VLOOKUP(Mileage[[#This Row],[Date]],Combined[[Date]:[Primary Area]],8,FALSE))</f>
        <v>Brunswick/Bath/Freeport</v>
      </c>
      <c r="W349" s="106">
        <v>0.71527777777777779</v>
      </c>
      <c r="X349" s="12">
        <v>3.82</v>
      </c>
      <c r="Y349" s="4">
        <v>71</v>
      </c>
      <c r="Z3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50" spans="2:26" x14ac:dyDescent="0.35">
      <c r="B350">
        <f t="shared" si="52"/>
        <v>348</v>
      </c>
      <c r="C350" t="s">
        <v>83</v>
      </c>
      <c r="D350" t="s">
        <v>176</v>
      </c>
      <c r="E350">
        <f>IF(WEEKNUM(Combined[[#This Row],[Date]], 1) = 53, 1, WEEKNUM(Combined[[#This Row],[Date]], 2))</f>
        <v>37</v>
      </c>
      <c r="F350" t="str">
        <f t="shared" si="61"/>
        <v>Thursday</v>
      </c>
      <c r="G350" s="41">
        <v>44812</v>
      </c>
      <c r="H350">
        <v>11</v>
      </c>
      <c r="I350" s="1">
        <v>96.87</v>
      </c>
      <c r="J350" s="2">
        <v>0.19652777777777777</v>
      </c>
      <c r="K350" s="12">
        <f>Combined[[#This Row],[Time Spent]]*24</f>
        <v>4.7166666666666668</v>
      </c>
      <c r="L350" s="12">
        <f>MROUND(Combined[[#This Row],[Time Spent 2]],0.25)</f>
        <v>4.75</v>
      </c>
      <c r="M350" s="2" t="s">
        <v>91</v>
      </c>
      <c r="N350" t="s">
        <v>85</v>
      </c>
      <c r="O350">
        <f>MATCH(Combined[[#This Row],[Primary Area]],KPIs!$C$4:$C$7,0)</f>
        <v>4</v>
      </c>
      <c r="P350"/>
      <c r="Q350" s="40">
        <v>45168</v>
      </c>
      <c r="R350" s="40">
        <f t="shared" si="53"/>
        <v>45168</v>
      </c>
      <c r="S350" s="4" t="str">
        <f>TEXT(Mileage[[#This Row],[Date]],"dddd")</f>
        <v>Wednesday</v>
      </c>
      <c r="T350" s="4" t="s">
        <v>242</v>
      </c>
      <c r="U350" s="4">
        <v>72</v>
      </c>
      <c r="V350" t="str" cm="1">
        <f t="array" ref="V350">IFERROR(VLOOKUP(MODE(IF(Combined[Date]=Mileage[[#This Row],[Date]],Combined[Area '#])),KPIs!$B$4:$C$7,2,FALSE),VLOOKUP(Mileage[[#This Row],[Date]],Combined[[Date]:[Primary Area]],8,FALSE))</f>
        <v>Portland</v>
      </c>
      <c r="W350" s="106">
        <v>0.72222222222222221</v>
      </c>
      <c r="X350" s="12">
        <v>5.17</v>
      </c>
      <c r="Y350" s="4">
        <v>98</v>
      </c>
      <c r="Z35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1" spans="2:26" x14ac:dyDescent="0.35">
      <c r="B351">
        <f t="shared" si="52"/>
        <v>349</v>
      </c>
      <c r="C351" t="s">
        <v>86</v>
      </c>
      <c r="D351" t="s">
        <v>176</v>
      </c>
      <c r="E351">
        <f>IF(WEEKNUM(Combined[[#This Row],[Date]], 1) = 53, 1, WEEKNUM(Combined[[#This Row],[Date]], 2))</f>
        <v>37</v>
      </c>
      <c r="F351" t="str">
        <f t="shared" si="61"/>
        <v>Thursday</v>
      </c>
      <c r="G351" s="41">
        <v>44812</v>
      </c>
      <c r="H351">
        <v>1</v>
      </c>
      <c r="I351" s="1">
        <v>8.9</v>
      </c>
      <c r="J351" s="2">
        <v>4.0972222222222222E-2</v>
      </c>
      <c r="K351" s="12">
        <f>Combined[[#This Row],[Time Spent]]*24</f>
        <v>0.98333333333333339</v>
      </c>
      <c r="L351" s="12">
        <f>MROUND(Combined[[#This Row],[Time Spent 2]],0.25)</f>
        <v>1</v>
      </c>
      <c r="M351" s="2" t="s">
        <v>91</v>
      </c>
      <c r="N351" t="s">
        <v>85</v>
      </c>
      <c r="O351">
        <f>MATCH(Combined[[#This Row],[Primary Area]],KPIs!$C$4:$C$7,0)</f>
        <v>4</v>
      </c>
      <c r="P351"/>
      <c r="Q351" s="40">
        <v>45169</v>
      </c>
      <c r="R351" s="40">
        <f t="shared" si="53"/>
        <v>45169</v>
      </c>
      <c r="S351" s="4" t="str">
        <f>TEXT(Mileage[[#This Row],[Date]],"dddd")</f>
        <v>Thursday</v>
      </c>
      <c r="T351" s="4" t="s">
        <v>230</v>
      </c>
      <c r="U351" s="4">
        <v>64</v>
      </c>
      <c r="V351" t="str" cm="1">
        <f t="array" ref="V351">IFERROR(VLOOKUP(MODE(IF(Combined[Date]=Mileage[[#This Row],[Date]],Combined[Area '#])),KPIs!$B$4:$C$7,2,FALSE),VLOOKUP(Mileage[[#This Row],[Date]],Combined[[Date]:[Primary Area]],8,FALSE))</f>
        <v>Portland</v>
      </c>
      <c r="W351" s="106">
        <v>0.71527777777777779</v>
      </c>
      <c r="X351" s="12">
        <v>7.45</v>
      </c>
      <c r="Y351" s="4">
        <v>111</v>
      </c>
      <c r="Z35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2" spans="2:26" x14ac:dyDescent="0.35">
      <c r="B352">
        <f t="shared" si="52"/>
        <v>350</v>
      </c>
      <c r="C352" t="s">
        <v>86</v>
      </c>
      <c r="D352" t="s">
        <v>176</v>
      </c>
      <c r="E352">
        <f>IF(WEEKNUM(Combined[[#This Row],[Date]], 1) = 53, 1, WEEKNUM(Combined[[#This Row],[Date]], 2))</f>
        <v>37</v>
      </c>
      <c r="F352" t="str">
        <f t="shared" si="61"/>
        <v>Thursday</v>
      </c>
      <c r="G352" s="41">
        <v>44812</v>
      </c>
      <c r="H352">
        <v>2</v>
      </c>
      <c r="I352" s="1">
        <v>9</v>
      </c>
      <c r="J352" s="2">
        <v>2.7777777777777776E-2</v>
      </c>
      <c r="K352" s="12">
        <f>Combined[[#This Row],[Time Spent]]*24</f>
        <v>0.66666666666666663</v>
      </c>
      <c r="L352" s="12">
        <f>MROUND(Combined[[#This Row],[Time Spent 2]],0.25)</f>
        <v>0.75</v>
      </c>
      <c r="M352" s="2" t="s">
        <v>91</v>
      </c>
      <c r="N352" t="s">
        <v>85</v>
      </c>
      <c r="O352">
        <f>MATCH(Combined[[#This Row],[Primary Area]],KPIs!$C$4:$C$7,0)</f>
        <v>4</v>
      </c>
      <c r="P352"/>
      <c r="Q352" s="40">
        <v>45170</v>
      </c>
      <c r="R352" s="40">
        <f t="shared" si="53"/>
        <v>45170</v>
      </c>
      <c r="S352" s="4" t="str">
        <f>TEXT(Mileage[[#This Row],[Date]],"dddd")</f>
        <v>Friday</v>
      </c>
      <c r="T352" s="4" t="s">
        <v>230</v>
      </c>
      <c r="U352" s="4">
        <v>73</v>
      </c>
      <c r="V352" t="str" cm="1">
        <f t="array" ref="V352">IFERROR(VLOOKUP(MODE(IF(Combined[Date]=Mileage[[#This Row],[Date]],Combined[Area '#])),KPIs!$B$4:$C$7,2,FALSE),VLOOKUP(Mileage[[#This Row],[Date]],Combined[[Date]:[Primary Area]],8,FALSE))</f>
        <v>Lewiston</v>
      </c>
      <c r="W352" s="106">
        <v>0.67013888888888884</v>
      </c>
      <c r="X352" s="12">
        <v>3.87</v>
      </c>
      <c r="Y352" s="4">
        <v>75</v>
      </c>
      <c r="Z3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53" spans="2:26" x14ac:dyDescent="0.35">
      <c r="B353">
        <f t="shared" si="52"/>
        <v>351</v>
      </c>
      <c r="C353" t="s">
        <v>83</v>
      </c>
      <c r="D353" t="s">
        <v>176</v>
      </c>
      <c r="E353">
        <f>IF(WEEKNUM(Combined[[#This Row],[Date]], 1) = 53, 1, WEEKNUM(Combined[[#This Row],[Date]], 2))</f>
        <v>37</v>
      </c>
      <c r="F353" t="str">
        <f t="shared" ref="F353:F356" si="62">TEXT(WEEKDAY(G353,1),"DDDD")</f>
        <v>Friday</v>
      </c>
      <c r="G353" s="41">
        <v>44813</v>
      </c>
      <c r="H353">
        <v>1</v>
      </c>
      <c r="I353" s="1">
        <v>4.7300000000000004</v>
      </c>
      <c r="J353" s="2">
        <v>0.29583333333333334</v>
      </c>
      <c r="K353" s="12">
        <f>Combined[[#This Row],[Time Spent]]*24</f>
        <v>7.1</v>
      </c>
      <c r="L353" s="12">
        <f>MROUND(Combined[[#This Row],[Time Spent 2]],0.25)</f>
        <v>7</v>
      </c>
      <c r="M353" s="2" t="s">
        <v>92</v>
      </c>
      <c r="N353" t="s">
        <v>85</v>
      </c>
      <c r="O353">
        <f>MATCH(Combined[[#This Row],[Primary Area]],KPIs!$C$4:$C$7,0)</f>
        <v>4</v>
      </c>
      <c r="P353"/>
      <c r="Q353" s="40">
        <v>45171</v>
      </c>
      <c r="R353" s="40">
        <f t="shared" si="53"/>
        <v>45171</v>
      </c>
      <c r="S353" s="4" t="str">
        <f>TEXT(Mileage[[#This Row],[Date]],"dddd")</f>
        <v>Saturday</v>
      </c>
      <c r="T353" s="4" t="s">
        <v>230</v>
      </c>
      <c r="U353" s="4">
        <v>70</v>
      </c>
      <c r="V353" t="str" cm="1">
        <f t="array" ref="V353">IFERROR(VLOOKUP(MODE(IF(Combined[Date]=Mileage[[#This Row],[Date]],Combined[Area '#])),KPIs!$B$4:$C$7,2,FALSE),VLOOKUP(Mileage[[#This Row],[Date]],Combined[[Date]:[Primary Area]],8,FALSE))</f>
        <v>Brunswick/Bath/Freeport</v>
      </c>
      <c r="W353" s="106">
        <v>0.67013888888888884</v>
      </c>
      <c r="X353" s="12">
        <v>7.38</v>
      </c>
      <c r="Y353" s="4">
        <v>177</v>
      </c>
      <c r="Z35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54" spans="2:26" x14ac:dyDescent="0.35">
      <c r="B354">
        <f t="shared" si="52"/>
        <v>352</v>
      </c>
      <c r="C354" t="s">
        <v>86</v>
      </c>
      <c r="D354" t="s">
        <v>176</v>
      </c>
      <c r="E354">
        <f>IF(WEEKNUM(Combined[[#This Row],[Date]], 1) = 53, 1, WEEKNUM(Combined[[#This Row],[Date]], 2))</f>
        <v>37</v>
      </c>
      <c r="F354" t="str">
        <f t="shared" si="62"/>
        <v>Friday</v>
      </c>
      <c r="G354" s="41">
        <v>44813</v>
      </c>
      <c r="H354">
        <v>7</v>
      </c>
      <c r="I354" s="1">
        <v>75.11</v>
      </c>
      <c r="J354" s="2">
        <v>0.19027777777777777</v>
      </c>
      <c r="K354" s="12">
        <f>Combined[[#This Row],[Time Spent]]*24</f>
        <v>4.5666666666666664</v>
      </c>
      <c r="L354" s="12">
        <f>MROUND(Combined[[#This Row],[Time Spent 2]],0.25)</f>
        <v>4.5</v>
      </c>
      <c r="M354" s="2" t="s">
        <v>91</v>
      </c>
      <c r="N354" t="s">
        <v>80</v>
      </c>
      <c r="O354">
        <f>MATCH(Combined[[#This Row],[Primary Area]],KPIs!$C$4:$C$7,0)</f>
        <v>2</v>
      </c>
      <c r="P354"/>
      <c r="Q354" s="40">
        <v>45175</v>
      </c>
      <c r="R354" s="40">
        <f t="shared" si="53"/>
        <v>45175</v>
      </c>
      <c r="S354" s="4" t="str">
        <f>TEXT(Mileage[[#This Row],[Date]],"dddd")</f>
        <v>Wednesday</v>
      </c>
      <c r="T354" s="4" t="s">
        <v>242</v>
      </c>
      <c r="U354" s="4">
        <v>81</v>
      </c>
      <c r="V354" t="str" cm="1">
        <f t="array" ref="V354">IFERROR(VLOOKUP(MODE(IF(Combined[Date]=Mileage[[#This Row],[Date]],Combined[Area '#])),KPIs!$B$4:$C$7,2,FALSE),VLOOKUP(Mileage[[#This Row],[Date]],Combined[[Date]:[Primary Area]],8,FALSE))</f>
        <v>Brunswick/Bath/Freeport</v>
      </c>
      <c r="W354" s="106">
        <v>0.71527777777777779</v>
      </c>
      <c r="X354" s="12">
        <v>4.75</v>
      </c>
      <c r="Y354" s="4">
        <v>119</v>
      </c>
      <c r="Z35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5" spans="2:26" x14ac:dyDescent="0.35">
      <c r="B355">
        <f t="shared" si="52"/>
        <v>353</v>
      </c>
      <c r="C355" t="s">
        <v>86</v>
      </c>
      <c r="D355" t="s">
        <v>176</v>
      </c>
      <c r="E355">
        <f>IF(WEEKNUM(Combined[[#This Row],[Date]], 1) = 53, 1, WEEKNUM(Combined[[#This Row],[Date]], 2))</f>
        <v>37</v>
      </c>
      <c r="F355" t="str">
        <f t="shared" si="62"/>
        <v>Friday</v>
      </c>
      <c r="G355" s="41">
        <v>44813</v>
      </c>
      <c r="H355">
        <v>2</v>
      </c>
      <c r="I355" s="1">
        <f>23.75+7</f>
        <v>30.75</v>
      </c>
      <c r="J355" s="2">
        <v>7.9166666666666663E-2</v>
      </c>
      <c r="K355" s="12">
        <f>Combined[[#This Row],[Time Spent]]*24</f>
        <v>1.9</v>
      </c>
      <c r="L355" s="12">
        <f>MROUND(Combined[[#This Row],[Time Spent 2]],0.25)</f>
        <v>2</v>
      </c>
      <c r="M355" s="2" t="s">
        <v>92</v>
      </c>
      <c r="N355" t="s">
        <v>85</v>
      </c>
      <c r="O355">
        <f>MATCH(Combined[[#This Row],[Primary Area]],KPIs!$C$4:$C$7,0)</f>
        <v>4</v>
      </c>
      <c r="P355"/>
      <c r="Q355" s="40">
        <v>45176</v>
      </c>
      <c r="R355" s="40">
        <f t="shared" si="53"/>
        <v>45176</v>
      </c>
      <c r="S355" s="4" t="str">
        <f>TEXT(Mileage[[#This Row],[Date]],"dddd")</f>
        <v>Thursday</v>
      </c>
      <c r="T355" s="4" t="s">
        <v>242</v>
      </c>
      <c r="U355" s="4">
        <v>75</v>
      </c>
      <c r="V355" t="str" cm="1">
        <f t="array" ref="V355">IFERROR(VLOOKUP(MODE(IF(Combined[Date]=Mileage[[#This Row],[Date]],Combined[Area '#])),KPIs!$B$4:$C$7,2,FALSE),VLOOKUP(Mileage[[#This Row],[Date]],Combined[[Date]:[Primary Area]],8,FALSE))</f>
        <v>Portland</v>
      </c>
      <c r="W355" s="106">
        <v>0.71527777777777779</v>
      </c>
      <c r="X355" s="12">
        <v>5.38</v>
      </c>
      <c r="Y355" s="4">
        <v>107</v>
      </c>
      <c r="Z3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6" spans="2:26" x14ac:dyDescent="0.35">
      <c r="B356">
        <f t="shared" si="52"/>
        <v>354</v>
      </c>
      <c r="C356" t="s">
        <v>86</v>
      </c>
      <c r="D356" t="s">
        <v>176</v>
      </c>
      <c r="E356">
        <f>IF(WEEKNUM(Combined[[#This Row],[Date]], 1) = 53, 1, WEEKNUM(Combined[[#This Row],[Date]], 2))</f>
        <v>37</v>
      </c>
      <c r="F356" t="str">
        <f t="shared" si="62"/>
        <v>Saturday</v>
      </c>
      <c r="G356" s="41">
        <v>44814</v>
      </c>
      <c r="H356">
        <v>1</v>
      </c>
      <c r="I356" s="1">
        <v>8.7799999999999994</v>
      </c>
      <c r="J356" s="2">
        <v>6.9444444444444434E-2</v>
      </c>
      <c r="K356" s="12">
        <f>Combined[[#This Row],[Time Spent]]*24</f>
        <v>1.6666666666666665</v>
      </c>
      <c r="L356" s="12">
        <f>MROUND(Combined[[#This Row],[Time Spent 2]],0.25)</f>
        <v>1.75</v>
      </c>
      <c r="M356" s="2" t="s">
        <v>92</v>
      </c>
      <c r="N356" t="s">
        <v>85</v>
      </c>
      <c r="O356">
        <f>MATCH(Combined[[#This Row],[Primary Area]],KPIs!$C$4:$C$7,0)</f>
        <v>4</v>
      </c>
      <c r="P356"/>
      <c r="Q356" s="40">
        <v>45177</v>
      </c>
      <c r="R356" s="40">
        <f t="shared" si="53"/>
        <v>45177</v>
      </c>
      <c r="S356" s="4" t="str">
        <f>TEXT(Mileage[[#This Row],[Date]],"dddd")</f>
        <v>Friday</v>
      </c>
      <c r="T356" s="4" t="s">
        <v>245</v>
      </c>
      <c r="U356" s="4">
        <v>79</v>
      </c>
      <c r="V356" t="str" cm="1">
        <f t="array" ref="V356">IFERROR(VLOOKUP(MODE(IF(Combined[Date]=Mileage[[#This Row],[Date]],Combined[Area '#])),KPIs!$B$4:$C$7,2,FALSE),VLOOKUP(Mileage[[#This Row],[Date]],Combined[[Date]:[Primary Area]],8,FALSE))</f>
        <v>Brunswick/Bath/Freeport</v>
      </c>
      <c r="W356" s="106">
        <v>0.75347222222222221</v>
      </c>
      <c r="X356" s="12">
        <v>5.2</v>
      </c>
      <c r="Y356" s="4">
        <v>84</v>
      </c>
      <c r="Z35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7" spans="2:26" x14ac:dyDescent="0.35">
      <c r="B357">
        <f t="shared" si="52"/>
        <v>355</v>
      </c>
      <c r="C357" t="s">
        <v>83</v>
      </c>
      <c r="D357" t="s">
        <v>176</v>
      </c>
      <c r="E357">
        <f>IF(WEEKNUM(Combined[[#This Row],[Date]], 1) = 53, 1, WEEKNUM(Combined[[#This Row],[Date]], 2))</f>
        <v>37</v>
      </c>
      <c r="F357" t="str">
        <f t="shared" ref="F357:F360" si="63">TEXT(WEEKDAY(G357,1),"DDDD")</f>
        <v>Saturday</v>
      </c>
      <c r="G357" s="41">
        <v>44814</v>
      </c>
      <c r="H357">
        <v>4</v>
      </c>
      <c r="I357" s="1">
        <v>29.02</v>
      </c>
      <c r="J357" s="2">
        <v>0.10486111111111111</v>
      </c>
      <c r="K357" s="12">
        <f>Combined[[#This Row],[Time Spent]]*24</f>
        <v>2.5166666666666666</v>
      </c>
      <c r="L357" s="12">
        <f>MROUND(Combined[[#This Row],[Time Spent 2]],0.25)</f>
        <v>2.5</v>
      </c>
      <c r="M357" s="2" t="s">
        <v>91</v>
      </c>
      <c r="N357" t="s">
        <v>82</v>
      </c>
      <c r="O357">
        <f>MATCH(Combined[[#This Row],[Primary Area]],KPIs!$C$4:$C$7,0)</f>
        <v>3</v>
      </c>
      <c r="P357"/>
      <c r="Q357" s="40">
        <v>45179</v>
      </c>
      <c r="R357" s="40">
        <f t="shared" si="53"/>
        <v>45179</v>
      </c>
      <c r="S357" s="4" t="str">
        <f>TEXT(Mileage[[#This Row],[Date]],"dddd")</f>
        <v>Sunday</v>
      </c>
      <c r="T357" s="4" t="s">
        <v>242</v>
      </c>
      <c r="U357" s="4">
        <v>64</v>
      </c>
      <c r="V357" t="str" cm="1">
        <f t="array" ref="V357">IFERROR(VLOOKUP(MODE(IF(Combined[Date]=Mileage[[#This Row],[Date]],Combined[Area '#])),KPIs!$B$4:$C$7,2,FALSE),VLOOKUP(Mileage[[#This Row],[Date]],Combined[[Date]:[Primary Area]],8,FALSE))</f>
        <v>Portland</v>
      </c>
      <c r="W357" s="106">
        <v>0.74305555555555547</v>
      </c>
      <c r="X357" s="12">
        <v>4.6500000000000004</v>
      </c>
      <c r="Y357" s="4">
        <v>111</v>
      </c>
      <c r="Z35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8" spans="2:26" x14ac:dyDescent="0.35">
      <c r="B358">
        <f t="shared" si="52"/>
        <v>356</v>
      </c>
      <c r="C358" t="s">
        <v>86</v>
      </c>
      <c r="D358" t="s">
        <v>176</v>
      </c>
      <c r="E358">
        <f>IF(WEEKNUM(Combined[[#This Row],[Date]], 1) = 53, 1, WEEKNUM(Combined[[#This Row],[Date]], 2))</f>
        <v>37</v>
      </c>
      <c r="F358" t="str">
        <f t="shared" si="63"/>
        <v>Saturday</v>
      </c>
      <c r="G358" s="41">
        <v>44814</v>
      </c>
      <c r="H358">
        <v>1</v>
      </c>
      <c r="I358" s="1">
        <v>8.5</v>
      </c>
      <c r="J358" s="2">
        <v>1.3888888888888888E-2</v>
      </c>
      <c r="K358" s="12">
        <f>Combined[[#This Row],[Time Spent]]*24</f>
        <v>0.33333333333333331</v>
      </c>
      <c r="L358" s="12">
        <f>MROUND(Combined[[#This Row],[Time Spent 2]],0.25)</f>
        <v>0.25</v>
      </c>
      <c r="M358" s="2" t="s">
        <v>90</v>
      </c>
      <c r="N358" t="s">
        <v>82</v>
      </c>
      <c r="O358">
        <f>MATCH(Combined[[#This Row],[Primary Area]],KPIs!$C$4:$C$7,0)</f>
        <v>3</v>
      </c>
      <c r="P358"/>
      <c r="Q358" s="40">
        <v>45180</v>
      </c>
      <c r="R358" s="40">
        <f t="shared" si="53"/>
        <v>45180</v>
      </c>
      <c r="S358" s="4" t="str">
        <f>TEXT(Mileage[[#This Row],[Date]],"dddd")</f>
        <v>Monday</v>
      </c>
      <c r="T358" s="4" t="s">
        <v>236</v>
      </c>
      <c r="U358" s="4">
        <v>72</v>
      </c>
      <c r="V358" t="str" cm="1">
        <f t="array" ref="V358">IFERROR(VLOOKUP(MODE(IF(Combined[Date]=Mileage[[#This Row],[Date]],Combined[Area '#])),KPIs!$B$4:$C$7,2,FALSE),VLOOKUP(Mileage[[#This Row],[Date]],Combined[[Date]:[Primary Area]],8,FALSE))</f>
        <v>Brunswick/Bath/Freeport</v>
      </c>
      <c r="W358" s="106">
        <v>0.73263888888888884</v>
      </c>
      <c r="X358" s="12">
        <v>4.58</v>
      </c>
      <c r="Y358" s="4">
        <v>124</v>
      </c>
      <c r="Z35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59" spans="2:26" x14ac:dyDescent="0.35">
      <c r="B359">
        <f t="shared" si="52"/>
        <v>357</v>
      </c>
      <c r="C359" t="s">
        <v>86</v>
      </c>
      <c r="D359" t="s">
        <v>176</v>
      </c>
      <c r="E359">
        <f>IF(WEEKNUM(Combined[[#This Row],[Date]], 1) = 53, 1, WEEKNUM(Combined[[#This Row],[Date]], 2))</f>
        <v>37</v>
      </c>
      <c r="F359" t="str">
        <f t="shared" si="63"/>
        <v>Saturday</v>
      </c>
      <c r="G359" s="41">
        <v>44814</v>
      </c>
      <c r="H359">
        <v>6</v>
      </c>
      <c r="I359" s="1">
        <v>57.5</v>
      </c>
      <c r="J359" s="2">
        <v>0.16944444444444443</v>
      </c>
      <c r="K359" s="12">
        <f>Combined[[#This Row],[Time Spent]]*24</f>
        <v>4.0666666666666664</v>
      </c>
      <c r="L359" s="12">
        <f>MROUND(Combined[[#This Row],[Time Spent 2]],0.25)</f>
        <v>4</v>
      </c>
      <c r="M359" s="2" t="s">
        <v>91</v>
      </c>
      <c r="N359" t="s">
        <v>82</v>
      </c>
      <c r="O359">
        <f>MATCH(Combined[[#This Row],[Primary Area]],KPIs!$C$4:$C$7,0)</f>
        <v>3</v>
      </c>
      <c r="P359"/>
      <c r="Q359" s="40">
        <v>45182</v>
      </c>
      <c r="R359" s="40">
        <f t="shared" si="53"/>
        <v>45182</v>
      </c>
      <c r="S359" s="4" t="str">
        <f>TEXT(Mileage[[#This Row],[Date]],"dddd")</f>
        <v>Wednesday</v>
      </c>
      <c r="T359" s="4" t="s">
        <v>231</v>
      </c>
      <c r="U359" s="4">
        <v>70</v>
      </c>
      <c r="V359" t="str" cm="1">
        <f t="array" ref="V359">IFERROR(VLOOKUP(MODE(IF(Combined[Date]=Mileage[[#This Row],[Date]],Combined[Area '#])),KPIs!$B$4:$C$7,2,FALSE),VLOOKUP(Mileage[[#This Row],[Date]],Combined[[Date]:[Primary Area]],8,FALSE))</f>
        <v>Brunswick/Bath/Freeport</v>
      </c>
      <c r="W359" s="106">
        <v>0.72569444444444453</v>
      </c>
      <c r="X359" s="12">
        <v>3.55</v>
      </c>
      <c r="Y359" s="4">
        <v>79</v>
      </c>
      <c r="Z3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0" spans="2:26" x14ac:dyDescent="0.35">
      <c r="B360">
        <f t="shared" si="52"/>
        <v>358</v>
      </c>
      <c r="C360" t="s">
        <v>86</v>
      </c>
      <c r="D360" t="s">
        <v>176</v>
      </c>
      <c r="E360">
        <f>IF(WEEKNUM(Combined[[#This Row],[Date]], 1) = 53, 1, WEEKNUM(Combined[[#This Row],[Date]], 2))</f>
        <v>37</v>
      </c>
      <c r="F360" t="str">
        <f t="shared" si="63"/>
        <v>Saturday</v>
      </c>
      <c r="G360" s="41">
        <v>44814</v>
      </c>
      <c r="H360">
        <v>1</v>
      </c>
      <c r="I360" s="1">
        <v>8.5</v>
      </c>
      <c r="J360" s="2">
        <v>1.8055555555555557E-2</v>
      </c>
      <c r="K360" s="12">
        <f>Combined[[#This Row],[Time Spent]]*24</f>
        <v>0.43333333333333335</v>
      </c>
      <c r="L360" s="12">
        <f>MROUND(Combined[[#This Row],[Time Spent 2]],0.25)</f>
        <v>0.5</v>
      </c>
      <c r="M360" s="2" t="s">
        <v>91</v>
      </c>
      <c r="N360" t="s">
        <v>82</v>
      </c>
      <c r="O360">
        <f>MATCH(Combined[[#This Row],[Primary Area]],KPIs!$C$4:$C$7,0)</f>
        <v>3</v>
      </c>
      <c r="P360"/>
      <c r="Q360" s="40">
        <v>45183</v>
      </c>
      <c r="R360" s="40">
        <f t="shared" si="53"/>
        <v>45183</v>
      </c>
      <c r="S360" s="4" t="str">
        <f>TEXT(Mileage[[#This Row],[Date]],"dddd")</f>
        <v>Thursday</v>
      </c>
      <c r="T360" s="4" t="s">
        <v>230</v>
      </c>
      <c r="U360" s="4">
        <v>66</v>
      </c>
      <c r="V360" t="str" cm="1">
        <f t="array" ref="V360">IFERROR(VLOOKUP(MODE(IF(Combined[Date]=Mileage[[#This Row],[Date]],Combined[Area '#])),KPIs!$B$4:$C$7,2,FALSE),VLOOKUP(Mileage[[#This Row],[Date]],Combined[[Date]:[Primary Area]],8,FALSE))</f>
        <v>Brunswick/Bath/Freeport</v>
      </c>
      <c r="W360" s="106">
        <v>0.74305555555555547</v>
      </c>
      <c r="X360" s="12">
        <v>0.9</v>
      </c>
      <c r="Y360" s="4">
        <v>22</v>
      </c>
      <c r="Z36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61" spans="2:26" x14ac:dyDescent="0.35">
      <c r="B361">
        <f t="shared" si="52"/>
        <v>359</v>
      </c>
      <c r="C361" t="s">
        <v>83</v>
      </c>
      <c r="D361" t="s">
        <v>176</v>
      </c>
      <c r="E361">
        <f>IF(WEEKNUM(Combined[[#This Row],[Date]], 1) = 53, 1, WEEKNUM(Combined[[#This Row],[Date]], 2))</f>
        <v>37</v>
      </c>
      <c r="F361" t="str">
        <f t="shared" ref="F361:F363" si="64">TEXT(WEEKDAY(G361,1),"DDDD")</f>
        <v>Sunday</v>
      </c>
      <c r="G361" s="41">
        <v>44815</v>
      </c>
      <c r="H361">
        <v>7</v>
      </c>
      <c r="I361" s="1">
        <v>43.47</v>
      </c>
      <c r="J361" s="2">
        <v>0.30486111111111108</v>
      </c>
      <c r="K361" s="12">
        <f>Combined[[#This Row],[Time Spent]]*24</f>
        <v>7.3166666666666664</v>
      </c>
      <c r="L361" s="12">
        <f>MROUND(Combined[[#This Row],[Time Spent 2]],0.25)</f>
        <v>7.25</v>
      </c>
      <c r="M361" s="2" t="s">
        <v>91</v>
      </c>
      <c r="N361" t="s">
        <v>82</v>
      </c>
      <c r="O361">
        <f>MATCH(Combined[[#This Row],[Primary Area]],KPIs!$C$4:$C$7,0)</f>
        <v>3</v>
      </c>
      <c r="P361"/>
      <c r="Q361" s="40">
        <v>45185</v>
      </c>
      <c r="R361" s="40">
        <f t="shared" si="53"/>
        <v>45185</v>
      </c>
      <c r="S361" s="4" t="str">
        <f>TEXT(Mileage[[#This Row],[Date]],"dddd")</f>
        <v>Saturday</v>
      </c>
      <c r="T361" s="4" t="s">
        <v>236</v>
      </c>
      <c r="U361" s="4">
        <v>66</v>
      </c>
      <c r="V361" t="str" cm="1">
        <f t="array" ref="V361">IFERROR(VLOOKUP(MODE(IF(Combined[Date]=Mileage[[#This Row],[Date]],Combined[Area '#])),KPIs!$B$4:$C$7,2,FALSE),VLOOKUP(Mileage[[#This Row],[Date]],Combined[[Date]:[Primary Area]],8,FALSE))</f>
        <v>Brunswick/Bath/Freeport</v>
      </c>
      <c r="W361" s="106">
        <v>0.63888888888888895</v>
      </c>
      <c r="X361" s="12">
        <v>5.17</v>
      </c>
      <c r="Y361" s="4">
        <v>109</v>
      </c>
      <c r="Z3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2" spans="2:26" x14ac:dyDescent="0.35">
      <c r="B362">
        <f t="shared" si="52"/>
        <v>360</v>
      </c>
      <c r="C362" t="s">
        <v>86</v>
      </c>
      <c r="D362" t="s">
        <v>176</v>
      </c>
      <c r="E362">
        <f>IF(WEEKNUM(Combined[[#This Row],[Date]], 1) = 53, 1, WEEKNUM(Combined[[#This Row],[Date]], 2))</f>
        <v>37</v>
      </c>
      <c r="F362" t="str">
        <f t="shared" si="64"/>
        <v>Sunday</v>
      </c>
      <c r="G362" s="41">
        <v>44815</v>
      </c>
      <c r="H362">
        <v>1</v>
      </c>
      <c r="I362" s="1">
        <v>6</v>
      </c>
      <c r="J362" s="2">
        <v>3.9583333333333331E-2</v>
      </c>
      <c r="K362" s="12">
        <f>Combined[[#This Row],[Time Spent]]*24</f>
        <v>0.95</v>
      </c>
      <c r="L362" s="12">
        <f>MROUND(Combined[[#This Row],[Time Spent 2]],0.25)</f>
        <v>1</v>
      </c>
      <c r="M362" s="2" t="s">
        <v>90</v>
      </c>
      <c r="N362" t="s">
        <v>82</v>
      </c>
      <c r="O362">
        <f>MATCH(Combined[[#This Row],[Primary Area]],KPIs!$C$4:$C$7,0)</f>
        <v>3</v>
      </c>
      <c r="P362"/>
      <c r="Q362" s="40">
        <v>45188</v>
      </c>
      <c r="R362" s="40">
        <f t="shared" si="53"/>
        <v>45188</v>
      </c>
      <c r="S362" s="4" t="str">
        <f>TEXT(Mileage[[#This Row],[Date]],"dddd")</f>
        <v>Tuesday</v>
      </c>
      <c r="T362" s="4" t="s">
        <v>230</v>
      </c>
      <c r="U362" s="4">
        <v>63</v>
      </c>
      <c r="V362" t="str" cm="1">
        <f t="array" ref="V362">IFERROR(VLOOKUP(MODE(IF(Combined[Date]=Mileage[[#This Row],[Date]],Combined[Area '#])),KPIs!$B$4:$C$7,2,FALSE),VLOOKUP(Mileage[[#This Row],[Date]],Combined[[Date]:[Primary Area]],8,FALSE))</f>
        <v>Augusta</v>
      </c>
      <c r="W362" s="106">
        <v>0.71875</v>
      </c>
      <c r="X362" s="12">
        <v>3.72</v>
      </c>
      <c r="Y362" s="4">
        <v>87</v>
      </c>
      <c r="Z3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3" spans="2:26" x14ac:dyDescent="0.35">
      <c r="B363">
        <f t="shared" si="52"/>
        <v>361</v>
      </c>
      <c r="C363" t="s">
        <v>86</v>
      </c>
      <c r="D363" t="s">
        <v>176</v>
      </c>
      <c r="E363">
        <f>IF(WEEKNUM(Combined[[#This Row],[Date]], 1) = 53, 1, WEEKNUM(Combined[[#This Row],[Date]], 2))</f>
        <v>37</v>
      </c>
      <c r="F363" t="str">
        <f t="shared" si="64"/>
        <v>Sunday</v>
      </c>
      <c r="G363" s="41">
        <v>44815</v>
      </c>
      <c r="H363">
        <v>15</v>
      </c>
      <c r="I363" s="1">
        <v>100.32</v>
      </c>
      <c r="J363" s="2">
        <v>0.27986111111111112</v>
      </c>
      <c r="K363" s="12">
        <f>Combined[[#This Row],[Time Spent]]*24</f>
        <v>6.7166666666666668</v>
      </c>
      <c r="L363" s="12">
        <f>MROUND(Combined[[#This Row],[Time Spent 2]],0.25)</f>
        <v>6.75</v>
      </c>
      <c r="M363" s="2" t="s">
        <v>91</v>
      </c>
      <c r="N363" t="s">
        <v>82</v>
      </c>
      <c r="O363">
        <f>MATCH(Combined[[#This Row],[Primary Area]],KPIs!$C$4:$C$7,0)</f>
        <v>3</v>
      </c>
      <c r="P363"/>
      <c r="Q363" s="40">
        <v>45190</v>
      </c>
      <c r="R363" s="40">
        <f t="shared" si="53"/>
        <v>45190</v>
      </c>
      <c r="S363" s="4" t="str">
        <f>TEXT(Mileage[[#This Row],[Date]],"dddd")</f>
        <v>Thursday</v>
      </c>
      <c r="T363" s="4" t="s">
        <v>249</v>
      </c>
      <c r="U363" s="4">
        <v>63</v>
      </c>
      <c r="V363" t="str" cm="1">
        <f t="array" ref="V363">IFERROR(VLOOKUP(MODE(IF(Combined[Date]=Mileage[[#This Row],[Date]],Combined[Area '#])),KPIs!$B$4:$C$7,2,FALSE),VLOOKUP(Mileage[[#This Row],[Date]],Combined[[Date]:[Primary Area]],8,FALSE))</f>
        <v>Portland</v>
      </c>
      <c r="W363" s="106">
        <v>0.72916666666666663</v>
      </c>
      <c r="X363" s="12">
        <v>2.5499999999999998</v>
      </c>
      <c r="Y363" s="4">
        <v>71</v>
      </c>
      <c r="Z36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64" spans="2:26" x14ac:dyDescent="0.35">
      <c r="B364">
        <f t="shared" si="52"/>
        <v>362</v>
      </c>
      <c r="C364" t="s">
        <v>83</v>
      </c>
      <c r="D364" t="s">
        <v>176</v>
      </c>
      <c r="E364">
        <f>IF(WEEKNUM(Combined[[#This Row],[Date]], 1) = 53, 1, WEEKNUM(Combined[[#This Row],[Date]], 2))</f>
        <v>38</v>
      </c>
      <c r="F364" t="str">
        <f t="shared" ref="F364:F365" si="65">TEXT(WEEKDAY(G364,1),"DDDD")</f>
        <v>Monday</v>
      </c>
      <c r="G364" s="41">
        <v>44816</v>
      </c>
      <c r="H364">
        <v>8</v>
      </c>
      <c r="I364" s="1">
        <v>78.94</v>
      </c>
      <c r="J364" s="2">
        <v>0.17291666666666669</v>
      </c>
      <c r="K364" s="12">
        <f>Combined[[#This Row],[Time Spent]]*24</f>
        <v>4.1500000000000004</v>
      </c>
      <c r="L364" s="12">
        <f>MROUND(Combined[[#This Row],[Time Spent 2]],0.25)</f>
        <v>4.25</v>
      </c>
      <c r="M364" s="2" t="s">
        <v>91</v>
      </c>
      <c r="N364" t="s">
        <v>85</v>
      </c>
      <c r="O364">
        <f>MATCH(Combined[[#This Row],[Primary Area]],KPIs!$C$4:$C$7,0)</f>
        <v>4</v>
      </c>
      <c r="P364"/>
      <c r="Q364" s="40">
        <v>45191</v>
      </c>
      <c r="R364" s="40">
        <f t="shared" si="53"/>
        <v>45191</v>
      </c>
      <c r="S364" s="4" t="str">
        <f>TEXT(Mileage[[#This Row],[Date]],"dddd")</f>
        <v>Friday</v>
      </c>
      <c r="T364" s="4" t="s">
        <v>230</v>
      </c>
      <c r="U364" s="4">
        <v>59</v>
      </c>
      <c r="V364" t="str" cm="1">
        <f t="array" ref="V364">IFERROR(VLOOKUP(MODE(IF(Combined[Date]=Mileage[[#This Row],[Date]],Combined[Area '#])),KPIs!$B$4:$C$7,2,FALSE),VLOOKUP(Mileage[[#This Row],[Date]],Combined[[Date]:[Primary Area]],8,FALSE))</f>
        <v>Brunswick/Bath/Freeport</v>
      </c>
      <c r="W364" s="106">
        <v>0.71180555555555547</v>
      </c>
      <c r="X364" s="12">
        <v>0.63</v>
      </c>
      <c r="Y364" s="4">
        <v>14</v>
      </c>
      <c r="Z36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5" spans="2:26" x14ac:dyDescent="0.35">
      <c r="B365">
        <f t="shared" si="52"/>
        <v>363</v>
      </c>
      <c r="C365" t="s">
        <v>86</v>
      </c>
      <c r="D365" t="s">
        <v>176</v>
      </c>
      <c r="E365">
        <f>IF(WEEKNUM(Combined[[#This Row],[Date]], 1) = 53, 1, WEEKNUM(Combined[[#This Row],[Date]], 2))</f>
        <v>38</v>
      </c>
      <c r="F365" t="str">
        <f t="shared" si="65"/>
        <v>Monday</v>
      </c>
      <c r="G365" s="41">
        <v>44816</v>
      </c>
      <c r="H365">
        <v>4</v>
      </c>
      <c r="I365" s="1">
        <v>27.25</v>
      </c>
      <c r="J365" s="2">
        <v>6.8749999999999992E-2</v>
      </c>
      <c r="K365" s="12">
        <f>Combined[[#This Row],[Time Spent]]*24</f>
        <v>1.65</v>
      </c>
      <c r="L365" s="12">
        <f>MROUND(Combined[[#This Row],[Time Spent 2]],0.25)</f>
        <v>1.75</v>
      </c>
      <c r="M365" s="2" t="s">
        <v>91</v>
      </c>
      <c r="N365" t="s">
        <v>85</v>
      </c>
      <c r="O365">
        <f>MATCH(Combined[[#This Row],[Primary Area]],KPIs!$C$4:$C$7,0)</f>
        <v>4</v>
      </c>
      <c r="P365"/>
      <c r="Q365" s="40">
        <v>45192</v>
      </c>
      <c r="R365" s="40">
        <f t="shared" si="53"/>
        <v>45192</v>
      </c>
      <c r="S365" s="4" t="str">
        <f>TEXT(Mileage[[#This Row],[Date]],"dddd")</f>
        <v>Saturday</v>
      </c>
      <c r="T365" s="4" t="s">
        <v>230</v>
      </c>
      <c r="U365" s="4">
        <v>57</v>
      </c>
      <c r="V365" t="str" cm="1">
        <f t="array" ref="V365">IFERROR(VLOOKUP(MODE(IF(Combined[Date]=Mileage[[#This Row],[Date]],Combined[Area '#])),KPIs!$B$4:$C$7,2,FALSE),VLOOKUP(Mileage[[#This Row],[Date]],Combined[[Date]:[Primary Area]],8,FALSE))</f>
        <v>Lewiston</v>
      </c>
      <c r="W365" s="106">
        <v>0.66319444444444442</v>
      </c>
      <c r="X365" s="12">
        <v>9.42</v>
      </c>
      <c r="Y365" s="4">
        <v>126</v>
      </c>
      <c r="Z36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6" spans="2:26" x14ac:dyDescent="0.35">
      <c r="B366">
        <f t="shared" si="52"/>
        <v>364</v>
      </c>
      <c r="C366" t="s">
        <v>83</v>
      </c>
      <c r="D366" t="s">
        <v>176</v>
      </c>
      <c r="E366">
        <f>IF(WEEKNUM(Combined[[#This Row],[Date]], 1) = 53, 1, WEEKNUM(Combined[[#This Row],[Date]], 2))</f>
        <v>38</v>
      </c>
      <c r="F366" t="str">
        <f t="shared" ref="F366:F367" si="66">TEXT(WEEKDAY(G366,1),"DDDD")</f>
        <v>Thursday</v>
      </c>
      <c r="G366" s="41">
        <v>44819</v>
      </c>
      <c r="H366">
        <v>15</v>
      </c>
      <c r="I366" s="1">
        <v>157.62</v>
      </c>
      <c r="J366" s="2">
        <v>0.3</v>
      </c>
      <c r="K366" s="12">
        <f>Combined[[#This Row],[Time Spent]]*24</f>
        <v>7.1999999999999993</v>
      </c>
      <c r="L366" s="12">
        <f>MROUND(Combined[[#This Row],[Time Spent 2]],0.25)</f>
        <v>7.25</v>
      </c>
      <c r="M366" s="2" t="s">
        <v>91</v>
      </c>
      <c r="N366" t="s">
        <v>82</v>
      </c>
      <c r="O366">
        <f>MATCH(Combined[[#This Row],[Primary Area]],KPIs!$C$4:$C$7,0)</f>
        <v>3</v>
      </c>
      <c r="P366"/>
      <c r="Q366" s="40">
        <v>45194</v>
      </c>
      <c r="R366" s="40">
        <f t="shared" si="53"/>
        <v>45194</v>
      </c>
      <c r="S366" s="4" t="str">
        <f>TEXT(Mileage[[#This Row],[Date]],"dddd")</f>
        <v>Monday</v>
      </c>
      <c r="T366" s="4" t="s">
        <v>230</v>
      </c>
      <c r="U366" s="4">
        <v>59</v>
      </c>
      <c r="V366" t="str" cm="1">
        <f t="array" ref="V366">IFERROR(VLOOKUP(MODE(IF(Combined[Date]=Mileage[[#This Row],[Date]],Combined[Area '#])),KPIs!$B$4:$C$7,2,FALSE),VLOOKUP(Mileage[[#This Row],[Date]],Combined[[Date]:[Primary Area]],8,FALSE))</f>
        <v>Brunswick/Bath/Freeport</v>
      </c>
      <c r="W366" s="106">
        <v>0.75</v>
      </c>
      <c r="X366" s="12">
        <v>2.92</v>
      </c>
      <c r="Y366" s="4">
        <v>75</v>
      </c>
      <c r="Z36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67" spans="2:26" x14ac:dyDescent="0.35">
      <c r="B367">
        <f t="shared" si="52"/>
        <v>365</v>
      </c>
      <c r="C367" t="s">
        <v>86</v>
      </c>
      <c r="D367" t="s">
        <v>176</v>
      </c>
      <c r="E367">
        <f>IF(WEEKNUM(Combined[[#This Row],[Date]], 1) = 53, 1, WEEKNUM(Combined[[#This Row],[Date]], 2))</f>
        <v>38</v>
      </c>
      <c r="F367" t="str">
        <f t="shared" si="66"/>
        <v>Thursday</v>
      </c>
      <c r="G367" s="41">
        <v>44819</v>
      </c>
      <c r="H367">
        <v>1</v>
      </c>
      <c r="I367" s="1">
        <v>11</v>
      </c>
      <c r="J367" s="2">
        <v>8.2638888888888887E-2</v>
      </c>
      <c r="K367" s="12">
        <f>Combined[[#This Row],[Time Spent]]*24</f>
        <v>1.9833333333333334</v>
      </c>
      <c r="L367" s="12">
        <f>MROUND(Combined[[#This Row],[Time Spent 2]],0.25)</f>
        <v>2</v>
      </c>
      <c r="M367" s="2" t="s">
        <v>91</v>
      </c>
      <c r="N367" t="s">
        <v>82</v>
      </c>
      <c r="O367">
        <f>MATCH(Combined[[#This Row],[Primary Area]],KPIs!$C$4:$C$7,0)</f>
        <v>3</v>
      </c>
      <c r="P367"/>
      <c r="Q367" s="40">
        <v>45195</v>
      </c>
      <c r="R367" s="40">
        <f t="shared" si="53"/>
        <v>45195</v>
      </c>
      <c r="S367" s="4" t="str">
        <f>TEXT(Mileage[[#This Row],[Date]],"dddd")</f>
        <v>Tuesday</v>
      </c>
      <c r="T367" s="4" t="s">
        <v>230</v>
      </c>
      <c r="U367" s="4">
        <v>61</v>
      </c>
      <c r="V367" t="str" cm="1">
        <f t="array" ref="V367">IFERROR(VLOOKUP(MODE(IF(Combined[Date]=Mileage[[#This Row],[Date]],Combined[Area '#])),KPIs!$B$4:$C$7,2,FALSE),VLOOKUP(Mileage[[#This Row],[Date]],Combined[[Date]:[Primary Area]],8,FALSE))</f>
        <v>Lewiston</v>
      </c>
      <c r="W367" s="106">
        <v>0.76041666666666663</v>
      </c>
      <c r="X367" s="12">
        <v>3.5</v>
      </c>
      <c r="Y367" s="4">
        <v>63</v>
      </c>
      <c r="Z36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8" spans="2:26" x14ac:dyDescent="0.35">
      <c r="B368">
        <f t="shared" si="52"/>
        <v>366</v>
      </c>
      <c r="C368" t="s">
        <v>83</v>
      </c>
      <c r="D368" t="s">
        <v>176</v>
      </c>
      <c r="E368">
        <f>IF(WEEKNUM(Combined[[#This Row],[Date]], 1) = 53, 1, WEEKNUM(Combined[[#This Row],[Date]], 2))</f>
        <v>38</v>
      </c>
      <c r="F368" t="str">
        <f>TEXT(WEEKDAY(G368,1),"DDDD")</f>
        <v>Friday</v>
      </c>
      <c r="G368" s="41">
        <v>44820</v>
      </c>
      <c r="H368">
        <v>3</v>
      </c>
      <c r="I368" s="1">
        <v>48.28</v>
      </c>
      <c r="J368" s="2">
        <v>8.8888888888888892E-2</v>
      </c>
      <c r="K368" s="12">
        <f>Combined[[#This Row],[Time Spent]]*24</f>
        <v>2.1333333333333333</v>
      </c>
      <c r="L368" s="12">
        <f>MROUND(Combined[[#This Row],[Time Spent 2]],0.25)</f>
        <v>2.25</v>
      </c>
      <c r="M368" s="2" t="s">
        <v>91</v>
      </c>
      <c r="N368" t="s">
        <v>80</v>
      </c>
      <c r="O368">
        <f>MATCH(Combined[[#This Row],[Primary Area]],KPIs!$C$4:$C$7,0)</f>
        <v>2</v>
      </c>
      <c r="P368"/>
      <c r="Q368" s="40">
        <v>45196</v>
      </c>
      <c r="R368" s="40">
        <f t="shared" si="53"/>
        <v>45196</v>
      </c>
      <c r="S368" s="4" t="str">
        <f>TEXT(Mileage[[#This Row],[Date]],"dddd")</f>
        <v>Wednesday</v>
      </c>
      <c r="T368" s="4" t="s">
        <v>230</v>
      </c>
      <c r="U368" s="4">
        <v>63</v>
      </c>
      <c r="V368" t="str" cm="1">
        <f t="array" ref="V368">IFERROR(VLOOKUP(MODE(IF(Combined[Date]=Mileage[[#This Row],[Date]],Combined[Area '#])),KPIs!$B$4:$C$7,2,FALSE),VLOOKUP(Mileage[[#This Row],[Date]],Combined[[Date]:[Primary Area]],8,FALSE))</f>
        <v>Brunswick/Bath/Freeport</v>
      </c>
      <c r="W368" s="106">
        <v>0.71180555555555547</v>
      </c>
      <c r="X368" s="12">
        <v>3.18</v>
      </c>
      <c r="Y368" s="4">
        <v>81</v>
      </c>
      <c r="Z3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69" spans="2:26" x14ac:dyDescent="0.35">
      <c r="B369">
        <f t="shared" si="52"/>
        <v>367</v>
      </c>
      <c r="C369" t="s">
        <v>86</v>
      </c>
      <c r="D369" t="s">
        <v>176</v>
      </c>
      <c r="E369">
        <f>IF(WEEKNUM(Combined[[#This Row],[Date]], 1) = 53, 1, WEEKNUM(Combined[[#This Row],[Date]], 2))</f>
        <v>38</v>
      </c>
      <c r="F369" t="str">
        <f>TEXT(WEEKDAY(G369,1),"DDDD")</f>
        <v>Friday</v>
      </c>
      <c r="G369" s="41">
        <v>44820</v>
      </c>
      <c r="H369">
        <v>3</v>
      </c>
      <c r="I369" s="1">
        <v>17.5</v>
      </c>
      <c r="J369" s="2">
        <v>7.2916666666666671E-2</v>
      </c>
      <c r="K369" s="12">
        <f>Combined[[#This Row],[Time Spent]]*24</f>
        <v>1.75</v>
      </c>
      <c r="L369" s="12">
        <f>MROUND(Combined[[#This Row],[Time Spent 2]],0.25)</f>
        <v>1.75</v>
      </c>
      <c r="M369" s="2" t="s">
        <v>91</v>
      </c>
      <c r="N369" t="s">
        <v>80</v>
      </c>
      <c r="O369">
        <f>MATCH(Combined[[#This Row],[Primary Area]],KPIs!$C$4:$C$7,0)</f>
        <v>2</v>
      </c>
      <c r="P369"/>
      <c r="Q369" s="40">
        <v>45197</v>
      </c>
      <c r="R369" s="40">
        <f t="shared" si="53"/>
        <v>45197</v>
      </c>
      <c r="S369" s="4" t="str">
        <f>TEXT(Mileage[[#This Row],[Date]],"dddd")</f>
        <v>Thursday</v>
      </c>
      <c r="T369" s="4" t="s">
        <v>249</v>
      </c>
      <c r="U369" s="4">
        <v>55</v>
      </c>
      <c r="V369" t="str" cm="1">
        <f t="array" ref="V369">IFERROR(VLOOKUP(MODE(IF(Combined[Date]=Mileage[[#This Row],[Date]],Combined[Area '#])),KPIs!$B$4:$C$7,2,FALSE),VLOOKUP(Mileage[[#This Row],[Date]],Combined[[Date]:[Primary Area]],8,FALSE))</f>
        <v>Portland</v>
      </c>
      <c r="W369" s="106">
        <v>0.72569444444444453</v>
      </c>
      <c r="X369" s="12">
        <v>1.25</v>
      </c>
      <c r="Y369" s="4">
        <v>48</v>
      </c>
      <c r="Z36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70" spans="2:26" x14ac:dyDescent="0.35">
      <c r="B370">
        <f t="shared" si="52"/>
        <v>368</v>
      </c>
      <c r="C370" t="s">
        <v>83</v>
      </c>
      <c r="D370" t="s">
        <v>176</v>
      </c>
      <c r="E370">
        <f>IF(WEEKNUM(Combined[[#This Row],[Date]], 1) = 53, 1, WEEKNUM(Combined[[#This Row],[Date]], 2))</f>
        <v>38</v>
      </c>
      <c r="F370" t="str">
        <f>TEXT(WEEKDAY(G370,1),"DDDD")</f>
        <v>Sunday</v>
      </c>
      <c r="G370" s="41">
        <v>44822</v>
      </c>
      <c r="H370">
        <v>4</v>
      </c>
      <c r="I370" s="1">
        <f>17.08+21.82+27.59+11.19</f>
        <v>77.679999999999993</v>
      </c>
      <c r="J370" s="2">
        <v>0.13472222222222222</v>
      </c>
      <c r="K370" s="12">
        <f>Combined[[#This Row],[Time Spent]]*24</f>
        <v>3.2333333333333334</v>
      </c>
      <c r="L370" s="12">
        <f>MROUND(Combined[[#This Row],[Time Spent 2]],0.25)</f>
        <v>3.25</v>
      </c>
      <c r="M370" s="2" t="s">
        <v>91</v>
      </c>
      <c r="N370" t="s">
        <v>80</v>
      </c>
      <c r="O370">
        <f>MATCH(Combined[[#This Row],[Primary Area]],KPIs!$C$4:$C$7,0)</f>
        <v>2</v>
      </c>
      <c r="P370"/>
      <c r="Q370" s="40">
        <v>45198</v>
      </c>
      <c r="R370" s="40">
        <f t="shared" si="53"/>
        <v>45198</v>
      </c>
      <c r="S370" s="4" t="str">
        <f>TEXT(Mileage[[#This Row],[Date]],"dddd")</f>
        <v>Friday</v>
      </c>
      <c r="T370" s="4" t="s">
        <v>249</v>
      </c>
      <c r="U370" s="4">
        <v>61</v>
      </c>
      <c r="V370" t="str" cm="1">
        <f t="array" ref="V370">IFERROR(VLOOKUP(MODE(IF(Combined[Date]=Mileage[[#This Row],[Date]],Combined[Area '#])),KPIs!$B$4:$C$7,2,FALSE),VLOOKUP(Mileage[[#This Row],[Date]],Combined[[Date]:[Primary Area]],8,FALSE))</f>
        <v>Brunswick/Bath/Freeport</v>
      </c>
      <c r="W370" s="106">
        <v>0.74305555555555547</v>
      </c>
      <c r="X370" s="12">
        <v>6.72</v>
      </c>
      <c r="Y370" s="4">
        <v>145</v>
      </c>
      <c r="Z3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1" spans="2:26" x14ac:dyDescent="0.35">
      <c r="B371">
        <f t="shared" si="52"/>
        <v>369</v>
      </c>
      <c r="C371" t="s">
        <v>86</v>
      </c>
      <c r="D371" t="s">
        <v>176</v>
      </c>
      <c r="E371">
        <f>IF(WEEKNUM(Combined[[#This Row],[Date]], 1) = 53, 1, WEEKNUM(Combined[[#This Row],[Date]], 2))</f>
        <v>38</v>
      </c>
      <c r="F371" t="str">
        <f>TEXT(WEEKDAY(G371,1),"DDDD")</f>
        <v>Sunday</v>
      </c>
      <c r="G371" s="41">
        <v>44822</v>
      </c>
      <c r="H371">
        <v>7</v>
      </c>
      <c r="I371" s="1">
        <v>84.15</v>
      </c>
      <c r="J371" s="2">
        <v>0.22152777777777777</v>
      </c>
      <c r="K371" s="12">
        <f>Combined[[#This Row],[Time Spent]]*24</f>
        <v>5.3166666666666664</v>
      </c>
      <c r="L371" s="12">
        <f>MROUND(Combined[[#This Row],[Time Spent 2]],0.25)</f>
        <v>5.25</v>
      </c>
      <c r="M371" s="2" t="s">
        <v>91</v>
      </c>
      <c r="N371" t="s">
        <v>80</v>
      </c>
      <c r="O371">
        <f>MATCH(Combined[[#This Row],[Primary Area]],KPIs!$C$4:$C$7,0)</f>
        <v>2</v>
      </c>
      <c r="P371"/>
      <c r="Q371" s="40">
        <v>45201</v>
      </c>
      <c r="R371" s="40">
        <f t="shared" si="53"/>
        <v>45201</v>
      </c>
      <c r="S371" s="4" t="str">
        <f>TEXT(Mileage[[#This Row],[Date]],"dddd")</f>
        <v>Monday</v>
      </c>
      <c r="T371" s="4" t="s">
        <v>230</v>
      </c>
      <c r="U371" s="4">
        <v>64</v>
      </c>
      <c r="V371" t="str" cm="1">
        <f t="array" ref="V371">IFERROR(VLOOKUP(MODE(IF(Combined[Date]=Mileage[[#This Row],[Date]],Combined[Area '#])),KPIs!$B$4:$C$7,2,FALSE),VLOOKUP(Mileage[[#This Row],[Date]],Combined[[Date]:[Primary Area]],8,FALSE))</f>
        <v>Lewiston</v>
      </c>
      <c r="W371" s="106">
        <v>0.72569444444444453</v>
      </c>
      <c r="X371" s="12">
        <v>5.22</v>
      </c>
      <c r="Y371" s="4">
        <v>106</v>
      </c>
      <c r="Z3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2" spans="2:26" x14ac:dyDescent="0.35">
      <c r="B372">
        <f t="shared" si="52"/>
        <v>370</v>
      </c>
      <c r="C372" t="s">
        <v>83</v>
      </c>
      <c r="D372" t="s">
        <v>176</v>
      </c>
      <c r="E372">
        <f>IF(WEEKNUM(Combined[[#This Row],[Date]], 1) = 53, 1, WEEKNUM(Combined[[#This Row],[Date]], 2))</f>
        <v>39</v>
      </c>
      <c r="F372" t="str">
        <f t="shared" ref="F372:F373" si="67">TEXT(WEEKDAY(G372,1),"DDDD")</f>
        <v>Monday</v>
      </c>
      <c r="G372" s="41">
        <v>44823</v>
      </c>
      <c r="H372">
        <v>5</v>
      </c>
      <c r="I372" s="1">
        <v>59.41</v>
      </c>
      <c r="J372" s="2">
        <v>0.18541666666666667</v>
      </c>
      <c r="K372" s="12">
        <f>Combined[[#This Row],[Time Spent]]*24</f>
        <v>4.45</v>
      </c>
      <c r="L372" s="12">
        <f>MROUND(Combined[[#This Row],[Time Spent 2]],0.25)</f>
        <v>4.5</v>
      </c>
      <c r="M372" s="2" t="s">
        <v>91</v>
      </c>
      <c r="N372" t="s">
        <v>85</v>
      </c>
      <c r="O372">
        <f>MATCH(Combined[[#This Row],[Primary Area]],KPIs!$C$4:$C$7,0)</f>
        <v>4</v>
      </c>
      <c r="P372"/>
      <c r="Q372" s="40">
        <v>45204</v>
      </c>
      <c r="R372" s="40">
        <f t="shared" si="53"/>
        <v>45204</v>
      </c>
      <c r="S372" s="4" t="str">
        <f>TEXT(Mileage[[#This Row],[Date]],"dddd")</f>
        <v>Thursday</v>
      </c>
      <c r="T372" s="4" t="s">
        <v>231</v>
      </c>
      <c r="U372" s="4">
        <v>63</v>
      </c>
      <c r="V372" t="str" cm="1">
        <f t="array" ref="V372">IFERROR(VLOOKUP(MODE(IF(Combined[Date]=Mileage[[#This Row],[Date]],Combined[Area '#])),KPIs!$B$4:$C$7,2,FALSE),VLOOKUP(Mileage[[#This Row],[Date]],Combined[[Date]:[Primary Area]],8,FALSE))</f>
        <v>Brunswick/Bath/Freeport</v>
      </c>
      <c r="W372" s="106">
        <v>0.75</v>
      </c>
      <c r="X372" s="12">
        <v>4.08</v>
      </c>
      <c r="Y372" s="4">
        <v>88</v>
      </c>
      <c r="Z3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73" spans="2:26" x14ac:dyDescent="0.35">
      <c r="B373">
        <f t="shared" si="52"/>
        <v>371</v>
      </c>
      <c r="C373" t="s">
        <v>86</v>
      </c>
      <c r="D373" t="s">
        <v>176</v>
      </c>
      <c r="E373">
        <f>IF(WEEKNUM(Combined[[#This Row],[Date]], 1) = 53, 1, WEEKNUM(Combined[[#This Row],[Date]], 2))</f>
        <v>39</v>
      </c>
      <c r="F373" t="str">
        <f t="shared" si="67"/>
        <v>Monday</v>
      </c>
      <c r="G373" s="41">
        <v>44823</v>
      </c>
      <c r="H373">
        <v>3</v>
      </c>
      <c r="I373" s="1">
        <v>19.11</v>
      </c>
      <c r="J373" s="2">
        <v>7.4305555555555555E-2</v>
      </c>
      <c r="K373" s="12">
        <f>Combined[[#This Row],[Time Spent]]*24</f>
        <v>1.7833333333333332</v>
      </c>
      <c r="L373" s="12">
        <f>MROUND(Combined[[#This Row],[Time Spent 2]],0.25)</f>
        <v>1.75</v>
      </c>
      <c r="M373" s="2" t="s">
        <v>91</v>
      </c>
      <c r="N373" t="s">
        <v>85</v>
      </c>
      <c r="O373">
        <f>MATCH(Combined[[#This Row],[Primary Area]],KPIs!$C$4:$C$7,0)</f>
        <v>4</v>
      </c>
      <c r="P373"/>
      <c r="Q373" s="40">
        <v>45205</v>
      </c>
      <c r="R373" s="40">
        <f t="shared" si="53"/>
        <v>45205</v>
      </c>
      <c r="S373" s="4" t="str">
        <f>TEXT(Mileage[[#This Row],[Date]],"dddd")</f>
        <v>Friday</v>
      </c>
      <c r="T373" s="4" t="s">
        <v>249</v>
      </c>
      <c r="U373" s="4">
        <v>63</v>
      </c>
      <c r="V373" t="str" cm="1">
        <f t="array" ref="V373">IFERROR(VLOOKUP(MODE(IF(Combined[Date]=Mileage[[#This Row],[Date]],Combined[Area '#])),KPIs!$B$4:$C$7,2,FALSE),VLOOKUP(Mileage[[#This Row],[Date]],Combined[[Date]:[Primary Area]],8,FALSE))</f>
        <v>Brunswick/Bath/Freeport</v>
      </c>
      <c r="W373" s="106">
        <v>0.72569444444444453</v>
      </c>
      <c r="X373" s="12">
        <v>1.8</v>
      </c>
      <c r="Y373" s="4">
        <v>35</v>
      </c>
      <c r="Z37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4" spans="2:26" x14ac:dyDescent="0.35">
      <c r="B374">
        <f t="shared" si="52"/>
        <v>372</v>
      </c>
      <c r="C374" t="s">
        <v>83</v>
      </c>
      <c r="D374" t="s">
        <v>176</v>
      </c>
      <c r="E374">
        <f>IF(WEEKNUM(Combined[[#This Row],[Date]], 1) = 53, 1, WEEKNUM(Combined[[#This Row],[Date]], 2))</f>
        <v>39</v>
      </c>
      <c r="F374" t="str">
        <f t="shared" ref="F374" si="68">TEXT(WEEKDAY(G374,1),"DDDD")</f>
        <v>Tuesday</v>
      </c>
      <c r="G374" s="41">
        <v>44824</v>
      </c>
      <c r="H374">
        <v>3</v>
      </c>
      <c r="I374" s="1">
        <v>35.19</v>
      </c>
      <c r="J374" s="2">
        <v>9.5833333333333326E-2</v>
      </c>
      <c r="K374" s="12">
        <f>Combined[[#This Row],[Time Spent]]*24</f>
        <v>2.2999999999999998</v>
      </c>
      <c r="L374" s="12">
        <f>MROUND(Combined[[#This Row],[Time Spent 2]],0.25)</f>
        <v>2.25</v>
      </c>
      <c r="M374" s="2" t="s">
        <v>91</v>
      </c>
      <c r="N374" t="s">
        <v>82</v>
      </c>
      <c r="O374">
        <f>MATCH(Combined[[#This Row],[Primary Area]],KPIs!$C$4:$C$7,0)</f>
        <v>3</v>
      </c>
      <c r="P374"/>
      <c r="Q374" s="40">
        <v>45208</v>
      </c>
      <c r="R374" s="40">
        <f t="shared" si="53"/>
        <v>45208</v>
      </c>
      <c r="S374" s="4" t="str">
        <f>TEXT(Mileage[[#This Row],[Date]],"dddd")</f>
        <v>Monday</v>
      </c>
      <c r="T374" s="4" t="s">
        <v>230</v>
      </c>
      <c r="U374" s="4">
        <v>52</v>
      </c>
      <c r="V374" t="str" cm="1">
        <f t="array" ref="V374">IFERROR(VLOOKUP(MODE(IF(Combined[Date]=Mileage[[#This Row],[Date]],Combined[Area '#])),KPIs!$B$4:$C$7,2,FALSE),VLOOKUP(Mileage[[#This Row],[Date]],Combined[[Date]:[Primary Area]],8,FALSE))</f>
        <v>Brunswick/Bath/Freeport</v>
      </c>
      <c r="W374" s="106">
        <v>0.72916666666666663</v>
      </c>
      <c r="X374" s="12">
        <v>4.37</v>
      </c>
      <c r="Y374" s="4">
        <v>69</v>
      </c>
      <c r="Z3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5" spans="2:26" x14ac:dyDescent="0.35">
      <c r="B375">
        <f t="shared" si="52"/>
        <v>373</v>
      </c>
      <c r="C375" t="s">
        <v>83</v>
      </c>
      <c r="D375" t="s">
        <v>176</v>
      </c>
      <c r="E375">
        <f>IF(WEEKNUM(Combined[[#This Row],[Date]], 1) = 53, 1, WEEKNUM(Combined[[#This Row],[Date]], 2))</f>
        <v>39</v>
      </c>
      <c r="F375" t="str">
        <f t="shared" ref="F375:F377" si="69">TEXT(WEEKDAY(G375,1),"DDDD")</f>
        <v>Wednesday</v>
      </c>
      <c r="G375" s="41">
        <v>44825</v>
      </c>
      <c r="H375">
        <v>1</v>
      </c>
      <c r="I375" s="1">
        <v>4.3499999999999996</v>
      </c>
      <c r="J375" s="2">
        <v>0.10277777777777779</v>
      </c>
      <c r="K375" s="12">
        <f>Combined[[#This Row],[Time Spent]]*24</f>
        <v>2.4666666666666668</v>
      </c>
      <c r="L375" s="12">
        <f>MROUND(Combined[[#This Row],[Time Spent 2]],0.25)</f>
        <v>2.5</v>
      </c>
      <c r="M375" s="2" t="s">
        <v>91</v>
      </c>
      <c r="N375" t="s">
        <v>82</v>
      </c>
      <c r="O375">
        <f>MATCH(Combined[[#This Row],[Primary Area]],KPIs!$C$4:$C$7,0)</f>
        <v>3</v>
      </c>
      <c r="P375"/>
      <c r="Q375" s="40">
        <v>45209</v>
      </c>
      <c r="R375" s="40">
        <f t="shared" si="53"/>
        <v>45209</v>
      </c>
      <c r="S375" s="4" t="str">
        <f>TEXT(Mileage[[#This Row],[Date]],"dddd")</f>
        <v>Tuesday</v>
      </c>
      <c r="T375" s="4" t="s">
        <v>231</v>
      </c>
      <c r="U375" s="4">
        <v>55</v>
      </c>
      <c r="V375" t="str" cm="1">
        <f t="array" ref="V375">IFERROR(VLOOKUP(MODE(IF(Combined[Date]=Mileage[[#This Row],[Date]],Combined[Area '#])),KPIs!$B$4:$C$7,2,FALSE),VLOOKUP(Mileage[[#This Row],[Date]],Combined[[Date]:[Primary Area]],8,FALSE))</f>
        <v>Brunswick/Bath/Freeport</v>
      </c>
      <c r="W375" s="106">
        <v>0.73263888888888884</v>
      </c>
      <c r="X375" s="12">
        <v>3.87</v>
      </c>
      <c r="Y375" s="4">
        <v>48</v>
      </c>
      <c r="Z37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6" spans="2:26" x14ac:dyDescent="0.35">
      <c r="B376">
        <f t="shared" si="52"/>
        <v>374</v>
      </c>
      <c r="C376" t="s">
        <v>86</v>
      </c>
      <c r="D376" t="s">
        <v>176</v>
      </c>
      <c r="E376">
        <f>IF(WEEKNUM(Combined[[#This Row],[Date]], 1) = 53, 1, WEEKNUM(Combined[[#This Row],[Date]], 2))</f>
        <v>39</v>
      </c>
      <c r="F376" t="str">
        <f t="shared" si="69"/>
        <v>Wednesday</v>
      </c>
      <c r="G376" s="41">
        <v>44825</v>
      </c>
      <c r="H376">
        <v>5</v>
      </c>
      <c r="I376" s="1">
        <v>28.25</v>
      </c>
      <c r="J376" s="2">
        <v>8.5416666666666655E-2</v>
      </c>
      <c r="K376" s="12">
        <f>Combined[[#This Row],[Time Spent]]*24</f>
        <v>2.0499999999999998</v>
      </c>
      <c r="L376" s="12">
        <f>MROUND(Combined[[#This Row],[Time Spent 2]],0.25)</f>
        <v>2</v>
      </c>
      <c r="M376" s="2" t="s">
        <v>91</v>
      </c>
      <c r="N376" t="s">
        <v>82</v>
      </c>
      <c r="O376">
        <f>MATCH(Combined[[#This Row],[Primary Area]],KPIs!$C$4:$C$7,0)</f>
        <v>3</v>
      </c>
      <c r="P376"/>
      <c r="Q376" s="40">
        <v>45212</v>
      </c>
      <c r="R376" s="40">
        <f t="shared" si="53"/>
        <v>45212</v>
      </c>
      <c r="S376" s="4" t="str">
        <f>TEXT(Mileage[[#This Row],[Date]],"dddd")</f>
        <v>Friday</v>
      </c>
      <c r="T376" s="4" t="s">
        <v>230</v>
      </c>
      <c r="U376" s="4">
        <v>54</v>
      </c>
      <c r="V376" t="str" cm="1">
        <f t="array" ref="V376">IFERROR(VLOOKUP(MODE(IF(Combined[Date]=Mileage[[#This Row],[Date]],Combined[Area '#])),KPIs!$B$4:$C$7,2,FALSE),VLOOKUP(Mileage[[#This Row],[Date]],Combined[[Date]:[Primary Area]],8,FALSE))</f>
        <v>Augusta</v>
      </c>
      <c r="W376" s="106">
        <v>0.72916666666666663</v>
      </c>
      <c r="X376" s="12">
        <v>5.67</v>
      </c>
      <c r="Y376" s="4">
        <v>127</v>
      </c>
      <c r="Z37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7" spans="2:26" x14ac:dyDescent="0.35">
      <c r="B377">
        <f t="shared" si="52"/>
        <v>375</v>
      </c>
      <c r="C377" t="s">
        <v>86</v>
      </c>
      <c r="D377" t="s">
        <v>176</v>
      </c>
      <c r="E377">
        <f>IF(WEEKNUM(Combined[[#This Row],[Date]], 1) = 53, 1, WEEKNUM(Combined[[#This Row],[Date]], 2))</f>
        <v>39</v>
      </c>
      <c r="F377" t="str">
        <f t="shared" si="69"/>
        <v>Wednesday</v>
      </c>
      <c r="G377" s="41">
        <v>44825</v>
      </c>
      <c r="H377">
        <v>4</v>
      </c>
      <c r="I377" s="1">
        <v>13.25</v>
      </c>
      <c r="J377" s="2">
        <v>5.4166666666666669E-2</v>
      </c>
      <c r="K377" s="12">
        <f>Combined[[#This Row],[Time Spent]]*24</f>
        <v>1.3</v>
      </c>
      <c r="L377" s="12">
        <f>MROUND(Combined[[#This Row],[Time Spent 2]],0.25)</f>
        <v>1.25</v>
      </c>
      <c r="M377" s="2" t="s">
        <v>91</v>
      </c>
      <c r="N377" t="s">
        <v>82</v>
      </c>
      <c r="O377">
        <f>MATCH(Combined[[#This Row],[Primary Area]],KPIs!$C$4:$C$7,0)</f>
        <v>3</v>
      </c>
      <c r="P377"/>
      <c r="Q377" s="40">
        <v>45214</v>
      </c>
      <c r="R377" s="40">
        <f t="shared" si="53"/>
        <v>45214</v>
      </c>
      <c r="S377" s="4" t="str">
        <f>TEXT(Mileage[[#This Row],[Date]],"dddd")</f>
        <v>Sunday</v>
      </c>
      <c r="T377" s="4" t="s">
        <v>231</v>
      </c>
      <c r="U377" s="4">
        <v>54</v>
      </c>
      <c r="V377" t="str" cm="1">
        <f t="array" ref="V377">IFERROR(VLOOKUP(MODE(IF(Combined[Date]=Mileage[[#This Row],[Date]],Combined[Area '#])),KPIs!$B$4:$C$7,2,FALSE),VLOOKUP(Mileage[[#This Row],[Date]],Combined[[Date]:[Primary Area]],8,FALSE))</f>
        <v>Brunswick/Bath/Freeport</v>
      </c>
      <c r="W377" s="106">
        <v>0.73958333333333337</v>
      </c>
      <c r="X377" s="12">
        <v>1.68</v>
      </c>
      <c r="Y377" s="4">
        <v>33</v>
      </c>
      <c r="Z37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8" spans="2:26" x14ac:dyDescent="0.35">
      <c r="B378">
        <f t="shared" si="52"/>
        <v>376</v>
      </c>
      <c r="C378" t="s">
        <v>83</v>
      </c>
      <c r="D378" t="s">
        <v>176</v>
      </c>
      <c r="E378">
        <f>IF(WEEKNUM(Combined[[#This Row],[Date]], 1) = 53, 1, WEEKNUM(Combined[[#This Row],[Date]], 2))</f>
        <v>39</v>
      </c>
      <c r="F378" t="str">
        <f t="shared" ref="F378:F379" si="70">TEXT(WEEKDAY(G378,1),"DDDD")</f>
        <v>Friday</v>
      </c>
      <c r="G378" s="41">
        <v>44827</v>
      </c>
      <c r="H378">
        <v>2</v>
      </c>
      <c r="I378" s="1">
        <v>17.72</v>
      </c>
      <c r="J378" s="2">
        <v>0.20347222222222219</v>
      </c>
      <c r="K378" s="12">
        <f>Combined[[#This Row],[Time Spent]]*24</f>
        <v>4.8833333333333329</v>
      </c>
      <c r="L378" s="12">
        <f>MROUND(Combined[[#This Row],[Time Spent 2]],0.25)</f>
        <v>5</v>
      </c>
      <c r="M378" s="2" t="s">
        <v>91</v>
      </c>
      <c r="N378" t="s">
        <v>80</v>
      </c>
      <c r="O378">
        <f>MATCH(Combined[[#This Row],[Primary Area]],KPIs!$C$4:$C$7,0)</f>
        <v>2</v>
      </c>
      <c r="P378"/>
      <c r="Q378" s="40">
        <v>45216</v>
      </c>
      <c r="R378" s="40">
        <f t="shared" si="53"/>
        <v>45216</v>
      </c>
      <c r="S378" s="4" t="str">
        <f>TEXT(Mileage[[#This Row],[Date]],"dddd")</f>
        <v>Tuesday</v>
      </c>
      <c r="T378" s="4" t="s">
        <v>231</v>
      </c>
      <c r="U378" s="4">
        <v>52</v>
      </c>
      <c r="V378" t="str" cm="1">
        <f t="array" ref="V378">IFERROR(VLOOKUP(MODE(IF(Combined[Date]=Mileage[[#This Row],[Date]],Combined[Area '#])),KPIs!$B$4:$C$7,2,FALSE),VLOOKUP(Mileage[[#This Row],[Date]],Combined[[Date]:[Primary Area]],8,FALSE))</f>
        <v>Portland</v>
      </c>
      <c r="W378" s="106">
        <v>0.73611111111111116</v>
      </c>
      <c r="X378" s="12">
        <v>5.42</v>
      </c>
      <c r="Y378" s="4">
        <v>92</v>
      </c>
      <c r="Z3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79" spans="2:26" x14ac:dyDescent="0.35">
      <c r="B379">
        <f t="shared" si="52"/>
        <v>377</v>
      </c>
      <c r="C379" t="s">
        <v>86</v>
      </c>
      <c r="D379" t="s">
        <v>176</v>
      </c>
      <c r="E379">
        <f>IF(WEEKNUM(Combined[[#This Row],[Date]], 1) = 53, 1, WEEKNUM(Combined[[#This Row],[Date]], 2))</f>
        <v>39</v>
      </c>
      <c r="F379" t="str">
        <f t="shared" si="70"/>
        <v>Friday</v>
      </c>
      <c r="G379" s="41">
        <v>44827</v>
      </c>
      <c r="H379">
        <v>11</v>
      </c>
      <c r="I379" s="1">
        <f>3.87+72.44</f>
        <v>76.31</v>
      </c>
      <c r="J379" s="2">
        <v>0.28194444444444444</v>
      </c>
      <c r="K379" s="12">
        <f>Combined[[#This Row],[Time Spent]]*24</f>
        <v>6.7666666666666666</v>
      </c>
      <c r="L379" s="12">
        <f>MROUND(Combined[[#This Row],[Time Spent 2]],0.25)</f>
        <v>6.75</v>
      </c>
      <c r="M379" s="2" t="s">
        <v>91</v>
      </c>
      <c r="N379" t="s">
        <v>80</v>
      </c>
      <c r="O379">
        <f>MATCH(Combined[[#This Row],[Primary Area]],KPIs!$C$4:$C$7,0)</f>
        <v>2</v>
      </c>
      <c r="P379"/>
      <c r="Q379" s="40">
        <v>45217</v>
      </c>
      <c r="R379" s="40">
        <f t="shared" si="53"/>
        <v>45217</v>
      </c>
      <c r="S379" s="4" t="str">
        <f>TEXT(Mileage[[#This Row],[Date]],"dddd")</f>
        <v>Wednesday</v>
      </c>
      <c r="T379" s="4" t="s">
        <v>231</v>
      </c>
      <c r="U379" s="4">
        <v>54</v>
      </c>
      <c r="V379" t="str" cm="1">
        <f t="array" ref="V379">IFERROR(VLOOKUP(MODE(IF(Combined[Date]=Mileage[[#This Row],[Date]],Combined[Area '#])),KPIs!$B$4:$C$7,2,FALSE),VLOOKUP(Mileage[[#This Row],[Date]],Combined[[Date]:[Primary Area]],8,FALSE))</f>
        <v>Brunswick/Bath/Freeport</v>
      </c>
      <c r="W379" s="106">
        <v>0.74652777777777779</v>
      </c>
      <c r="X379" s="12">
        <v>4.5</v>
      </c>
      <c r="Y379" s="4">
        <v>111</v>
      </c>
      <c r="Z37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0" spans="2:26" x14ac:dyDescent="0.35">
      <c r="B380">
        <f t="shared" si="52"/>
        <v>378</v>
      </c>
      <c r="C380" t="s">
        <v>83</v>
      </c>
      <c r="D380" t="s">
        <v>176</v>
      </c>
      <c r="E380">
        <f>IF(WEEKNUM(Combined[[#This Row],[Date]], 1) = 53, 1, WEEKNUM(Combined[[#This Row],[Date]], 2))</f>
        <v>39</v>
      </c>
      <c r="F380" t="str">
        <f t="shared" ref="F380:F381" si="71">TEXT(WEEKDAY(G380,1),"DDDD")</f>
        <v>Sunday</v>
      </c>
      <c r="G380" s="41">
        <v>44829</v>
      </c>
      <c r="H380">
        <v>1</v>
      </c>
      <c r="I380" s="1">
        <v>18.97</v>
      </c>
      <c r="J380" s="2">
        <v>0.13819444444444443</v>
      </c>
      <c r="K380" s="12">
        <f>Combined[[#This Row],[Time Spent]]*24</f>
        <v>3.3166666666666664</v>
      </c>
      <c r="L380" s="12">
        <f>MROUND(Combined[[#This Row],[Time Spent 2]],0.25)</f>
        <v>3.25</v>
      </c>
      <c r="M380" s="2" t="s">
        <v>91</v>
      </c>
      <c r="N380" t="s">
        <v>80</v>
      </c>
      <c r="O380">
        <f>MATCH(Combined[[#This Row],[Primary Area]],KPIs!$C$4:$C$7,0)</f>
        <v>2</v>
      </c>
      <c r="P380"/>
      <c r="Q380" s="40">
        <v>45222</v>
      </c>
      <c r="R380" s="40">
        <f t="shared" si="53"/>
        <v>45222</v>
      </c>
      <c r="S380" s="4" t="str">
        <f>TEXT(Mileage[[#This Row],[Date]],"dddd")</f>
        <v>Monday</v>
      </c>
      <c r="T380" s="4" t="s">
        <v>249</v>
      </c>
      <c r="U380" s="4">
        <v>48</v>
      </c>
      <c r="V380" t="str" cm="1">
        <f t="array" ref="V380">IFERROR(VLOOKUP(MODE(IF(Combined[Date]=Mileage[[#This Row],[Date]],Combined[Area '#])),KPIs!$B$4:$C$7,2,FALSE),VLOOKUP(Mileage[[#This Row],[Date]],Combined[[Date]:[Primary Area]],8,FALSE))</f>
        <v>Brunswick/Bath/Freeport</v>
      </c>
      <c r="W380" s="106">
        <v>0.75694444444444453</v>
      </c>
      <c r="X380" s="12">
        <v>3.28</v>
      </c>
      <c r="Y380" s="4">
        <v>54</v>
      </c>
      <c r="Z38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1" spans="2:26" x14ac:dyDescent="0.35">
      <c r="B381">
        <f t="shared" si="52"/>
        <v>379</v>
      </c>
      <c r="C381" t="s">
        <v>86</v>
      </c>
      <c r="D381" t="s">
        <v>176</v>
      </c>
      <c r="E381">
        <f>IF(WEEKNUM(Combined[[#This Row],[Date]], 1) = 53, 1, WEEKNUM(Combined[[#This Row],[Date]], 2))</f>
        <v>39</v>
      </c>
      <c r="F381" t="str">
        <f t="shared" si="71"/>
        <v>Sunday</v>
      </c>
      <c r="G381" s="41">
        <v>44829</v>
      </c>
      <c r="H381">
        <v>5</v>
      </c>
      <c r="I381" s="1">
        <v>46</v>
      </c>
      <c r="J381" s="2">
        <v>0.12430555555555556</v>
      </c>
      <c r="K381" s="12">
        <f>Combined[[#This Row],[Time Spent]]*24</f>
        <v>2.9833333333333334</v>
      </c>
      <c r="L381" s="12">
        <f>MROUND(Combined[[#This Row],[Time Spent 2]],0.25)</f>
        <v>3</v>
      </c>
      <c r="M381" s="2" t="s">
        <v>91</v>
      </c>
      <c r="N381" t="s">
        <v>80</v>
      </c>
      <c r="O381">
        <f>MATCH(Combined[[#This Row],[Primary Area]],KPIs!$C$4:$C$7,0)</f>
        <v>2</v>
      </c>
      <c r="P381"/>
      <c r="Q381" s="40">
        <v>45223</v>
      </c>
      <c r="R381" s="40">
        <f t="shared" si="53"/>
        <v>45223</v>
      </c>
      <c r="S381" s="4" t="str">
        <f>TEXT(Mileage[[#This Row],[Date]],"dddd")</f>
        <v>Tuesday</v>
      </c>
      <c r="T381" s="4" t="s">
        <v>231</v>
      </c>
      <c r="U381" s="4">
        <v>50</v>
      </c>
      <c r="V381" t="str" cm="1">
        <f t="array" ref="V381">IFERROR(VLOOKUP(MODE(IF(Combined[Date]=Mileage[[#This Row],[Date]],Combined[Area '#])),KPIs!$B$4:$C$7,2,FALSE),VLOOKUP(Mileage[[#This Row],[Date]],Combined[[Date]:[Primary Area]],8,FALSE))</f>
        <v>Brunswick/Bath/Freeport</v>
      </c>
      <c r="W381" s="106">
        <v>0.75</v>
      </c>
      <c r="X381" s="12">
        <v>3.33</v>
      </c>
      <c r="Y381" s="4">
        <v>64</v>
      </c>
      <c r="Z38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2" spans="2:26" x14ac:dyDescent="0.35">
      <c r="B382">
        <f t="shared" si="52"/>
        <v>380</v>
      </c>
      <c r="C382" t="s">
        <v>83</v>
      </c>
      <c r="D382" t="s">
        <v>176</v>
      </c>
      <c r="E382">
        <f>IF(WEEKNUM(Combined[[#This Row],[Date]], 1) = 53, 1, WEEKNUM(Combined[[#This Row],[Date]], 2))</f>
        <v>40</v>
      </c>
      <c r="F382" t="str">
        <f t="shared" ref="F382:F385" si="72">TEXT(WEEKDAY(G382,1),"DDDD")</f>
        <v>Monday</v>
      </c>
      <c r="G382" s="41">
        <v>44830</v>
      </c>
      <c r="H382">
        <v>6</v>
      </c>
      <c r="I382" s="1">
        <v>80.540000000000006</v>
      </c>
      <c r="J382" s="2">
        <v>0.24583333333333335</v>
      </c>
      <c r="K382" s="12">
        <f>Combined[[#This Row],[Time Spent]]*24</f>
        <v>5.9</v>
      </c>
      <c r="L382" s="12">
        <f>MROUND(Combined[[#This Row],[Time Spent 2]],0.25)</f>
        <v>6</v>
      </c>
      <c r="M382" s="2" t="s">
        <v>91</v>
      </c>
      <c r="N382" t="s">
        <v>85</v>
      </c>
      <c r="O382">
        <f>MATCH(Combined[[#This Row],[Primary Area]],KPIs!$C$4:$C$7,0)</f>
        <v>4</v>
      </c>
      <c r="P382"/>
      <c r="Q382" s="40">
        <v>45224</v>
      </c>
      <c r="R382" s="40">
        <f t="shared" si="53"/>
        <v>45224</v>
      </c>
      <c r="S382" s="4" t="str">
        <f>TEXT(Mileage[[#This Row],[Date]],"dddd")</f>
        <v>Wednesday</v>
      </c>
      <c r="T382" s="4" t="s">
        <v>230</v>
      </c>
      <c r="U382" s="4">
        <v>61</v>
      </c>
      <c r="V382" t="str" cm="1">
        <f t="array" ref="V382">IFERROR(VLOOKUP(MODE(IF(Combined[Date]=Mileage[[#This Row],[Date]],Combined[Area '#])),KPIs!$B$4:$C$7,2,FALSE),VLOOKUP(Mileage[[#This Row],[Date]],Combined[[Date]:[Primary Area]],8,FALSE))</f>
        <v>Augusta</v>
      </c>
      <c r="W382" s="106">
        <v>0.70833333333333337</v>
      </c>
      <c r="X382" s="12">
        <v>3.52</v>
      </c>
      <c r="Y382" s="4">
        <v>94</v>
      </c>
      <c r="Z38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3" spans="2:26" x14ac:dyDescent="0.35">
      <c r="B383">
        <f t="shared" si="52"/>
        <v>381</v>
      </c>
      <c r="C383" t="s">
        <v>86</v>
      </c>
      <c r="D383" t="s">
        <v>176</v>
      </c>
      <c r="E383">
        <f>IF(WEEKNUM(Combined[[#This Row],[Date]], 1) = 53, 1, WEEKNUM(Combined[[#This Row],[Date]], 2))</f>
        <v>40</v>
      </c>
      <c r="F383" t="str">
        <f t="shared" si="72"/>
        <v>Monday</v>
      </c>
      <c r="G383" s="41">
        <v>44830</v>
      </c>
      <c r="H383">
        <v>4</v>
      </c>
      <c r="I383" s="1">
        <v>27</v>
      </c>
      <c r="J383" s="2">
        <v>0.10069444444444443</v>
      </c>
      <c r="K383" s="12">
        <f>Combined[[#This Row],[Time Spent]]*24</f>
        <v>2.4166666666666665</v>
      </c>
      <c r="L383" s="12">
        <f>MROUND(Combined[[#This Row],[Time Spent 2]],0.25)</f>
        <v>2.5</v>
      </c>
      <c r="M383" s="2" t="s">
        <v>91</v>
      </c>
      <c r="N383" t="s">
        <v>85</v>
      </c>
      <c r="O383">
        <f>MATCH(Combined[[#This Row],[Primary Area]],KPIs!$C$4:$C$7,0)</f>
        <v>4</v>
      </c>
      <c r="P383"/>
      <c r="Q383" s="40">
        <v>45227</v>
      </c>
      <c r="R383" s="40">
        <f t="shared" si="53"/>
        <v>45227</v>
      </c>
      <c r="S383" s="4" t="str">
        <f>TEXT(Mileage[[#This Row],[Date]],"dddd")</f>
        <v>Saturday</v>
      </c>
      <c r="T383" s="4" t="s">
        <v>230</v>
      </c>
      <c r="U383" s="4">
        <v>66</v>
      </c>
      <c r="V383" t="str" cm="1">
        <f t="array" ref="V383">IFERROR(VLOOKUP(MODE(IF(Combined[Date]=Mileage[[#This Row],[Date]],Combined[Area '#])),KPIs!$B$4:$C$7,2,FALSE),VLOOKUP(Mileage[[#This Row],[Date]],Combined[[Date]:[Primary Area]],8,FALSE))</f>
        <v>Brunswick/Bath/Freeport</v>
      </c>
      <c r="W383" s="106">
        <v>0.64930555555555558</v>
      </c>
      <c r="X383" s="12">
        <v>6.63</v>
      </c>
      <c r="Y383" s="4">
        <v>126</v>
      </c>
      <c r="Z3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4" spans="2:26" x14ac:dyDescent="0.35">
      <c r="B384">
        <f t="shared" si="52"/>
        <v>382</v>
      </c>
      <c r="C384" t="s">
        <v>86</v>
      </c>
      <c r="D384" t="s">
        <v>176</v>
      </c>
      <c r="E384">
        <f>IF(WEEKNUM(Combined[[#This Row],[Date]], 1) = 53, 1, WEEKNUM(Combined[[#This Row],[Date]], 2))</f>
        <v>40</v>
      </c>
      <c r="F384" t="str">
        <f t="shared" si="72"/>
        <v>Monday</v>
      </c>
      <c r="G384" s="41">
        <v>44830</v>
      </c>
      <c r="H384">
        <v>1</v>
      </c>
      <c r="I384" s="1">
        <v>7.3</v>
      </c>
      <c r="J384" s="2">
        <v>2.9166666666666664E-2</v>
      </c>
      <c r="K384" s="12">
        <f>Combined[[#This Row],[Time Spent]]*24</f>
        <v>0.7</v>
      </c>
      <c r="L384" s="12">
        <f>MROUND(Combined[[#This Row],[Time Spent 2]],0.25)</f>
        <v>0.75</v>
      </c>
      <c r="M384" s="2" t="s">
        <v>92</v>
      </c>
      <c r="N384" t="s">
        <v>85</v>
      </c>
      <c r="O384">
        <f>MATCH(Combined[[#This Row],[Primary Area]],KPIs!$C$4:$C$7,0)</f>
        <v>4</v>
      </c>
      <c r="P384"/>
      <c r="Q384" s="40">
        <v>45228</v>
      </c>
      <c r="R384" s="40">
        <f t="shared" si="53"/>
        <v>45228</v>
      </c>
      <c r="S384" s="4" t="str">
        <f>TEXT(Mileage[[#This Row],[Date]],"dddd")</f>
        <v>Sunday</v>
      </c>
      <c r="T384" s="4" t="s">
        <v>231</v>
      </c>
      <c r="U384" s="4">
        <v>45</v>
      </c>
      <c r="V384" t="str" cm="1">
        <f t="array" ref="V384">IFERROR(VLOOKUP(MODE(IF(Combined[Date]=Mileage[[#This Row],[Date]],Combined[Area '#])),KPIs!$B$4:$C$7,2,FALSE),VLOOKUP(Mileage[[#This Row],[Date]],Combined[[Date]:[Primary Area]],8,FALSE))</f>
        <v>Brunswick/Bath/Freeport</v>
      </c>
      <c r="W384" s="106">
        <v>0.625</v>
      </c>
      <c r="X384" s="12">
        <v>5.33</v>
      </c>
      <c r="Y384" s="4">
        <v>126</v>
      </c>
      <c r="Z38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85" spans="2:26" x14ac:dyDescent="0.35">
      <c r="B385">
        <f t="shared" si="52"/>
        <v>383</v>
      </c>
      <c r="C385" t="s">
        <v>86</v>
      </c>
      <c r="D385" t="s">
        <v>176</v>
      </c>
      <c r="E385">
        <f>IF(WEEKNUM(Combined[[#This Row],[Date]], 1) = 53, 1, WEEKNUM(Combined[[#This Row],[Date]], 2))</f>
        <v>40</v>
      </c>
      <c r="F385" t="str">
        <f t="shared" si="72"/>
        <v>Monday</v>
      </c>
      <c r="G385" s="41">
        <v>44830</v>
      </c>
      <c r="H385">
        <v>5</v>
      </c>
      <c r="I385" s="1">
        <v>52.75</v>
      </c>
      <c r="J385" s="2">
        <v>6.1805555555555558E-2</v>
      </c>
      <c r="K385" s="12">
        <f>Combined[[#This Row],[Time Spent]]*24</f>
        <v>1.4833333333333334</v>
      </c>
      <c r="L385" s="12">
        <f>MROUND(Combined[[#This Row],[Time Spent 2]],0.25)</f>
        <v>1.5</v>
      </c>
      <c r="M385" s="2" t="s">
        <v>92</v>
      </c>
      <c r="N385" t="s">
        <v>85</v>
      </c>
      <c r="O385">
        <f>MATCH(Combined[[#This Row],[Primary Area]],KPIs!$C$4:$C$7,0)</f>
        <v>4</v>
      </c>
      <c r="P385"/>
      <c r="Q385" s="40">
        <v>45229</v>
      </c>
      <c r="R385" s="40">
        <f t="shared" si="53"/>
        <v>45229</v>
      </c>
      <c r="S385" s="4" t="str">
        <f>TEXT(Mileage[[#This Row],[Date]],"dddd")</f>
        <v>Monday</v>
      </c>
      <c r="T385" s="4" t="s">
        <v>231</v>
      </c>
      <c r="U385" s="4">
        <v>36</v>
      </c>
      <c r="V385" t="str" cm="1">
        <f t="array" ref="V385">IFERROR(VLOOKUP(MODE(IF(Combined[Date]=Mileage[[#This Row],[Date]],Combined[Area '#])),KPIs!$B$4:$C$7,2,FALSE),VLOOKUP(Mileage[[#This Row],[Date]],Combined[[Date]:[Primary Area]],8,FALSE))</f>
        <v>Brunswick/Bath/Freeport</v>
      </c>
      <c r="W385" s="106">
        <v>0.76041666666666663</v>
      </c>
      <c r="X385" s="12">
        <v>4.4800000000000004</v>
      </c>
      <c r="Y385" s="4">
        <v>98</v>
      </c>
      <c r="Z3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6" spans="2:26" x14ac:dyDescent="0.35">
      <c r="B386">
        <f t="shared" si="52"/>
        <v>384</v>
      </c>
      <c r="C386" t="s">
        <v>83</v>
      </c>
      <c r="D386" t="s">
        <v>176</v>
      </c>
      <c r="E386">
        <f>IF(WEEKNUM(Combined[[#This Row],[Date]], 1) = 53, 1, WEEKNUM(Combined[[#This Row],[Date]], 2))</f>
        <v>40</v>
      </c>
      <c r="F386" t="str">
        <f t="shared" ref="F386:F388" si="73">TEXT(WEEKDAY(G386,1),"DDDD")</f>
        <v>Tuesday</v>
      </c>
      <c r="G386" s="41">
        <v>44831</v>
      </c>
      <c r="H386">
        <v>4</v>
      </c>
      <c r="I386" s="1">
        <v>24.42</v>
      </c>
      <c r="J386" s="2">
        <v>0.25069444444444444</v>
      </c>
      <c r="K386" s="12">
        <f>Combined[[#This Row],[Time Spent]]*24</f>
        <v>6.0166666666666666</v>
      </c>
      <c r="L386" s="12">
        <f>MROUND(Combined[[#This Row],[Time Spent 2]],0.25)</f>
        <v>6</v>
      </c>
      <c r="M386" s="2" t="s">
        <v>91</v>
      </c>
      <c r="N386" t="s">
        <v>85</v>
      </c>
      <c r="O386">
        <f>MATCH(Combined[[#This Row],[Primary Area]],KPIs!$C$4:$C$7,0)</f>
        <v>4</v>
      </c>
      <c r="P386"/>
      <c r="Q386" s="40">
        <v>45230</v>
      </c>
      <c r="R386" s="40">
        <f t="shared" si="53"/>
        <v>45230</v>
      </c>
      <c r="S386" s="4" t="str">
        <f>TEXT(Mileage[[#This Row],[Date]],"dddd")</f>
        <v>Tuesday</v>
      </c>
      <c r="T386" s="4" t="s">
        <v>231</v>
      </c>
      <c r="U386" s="4">
        <v>36</v>
      </c>
      <c r="V386" t="str" cm="1">
        <f t="array" ref="V386">IFERROR(VLOOKUP(MODE(IF(Combined[Date]=Mileage[[#This Row],[Date]],Combined[Area '#])),KPIs!$B$4:$C$7,2,FALSE),VLOOKUP(Mileage[[#This Row],[Date]],Combined[[Date]:[Primary Area]],8,FALSE))</f>
        <v>Brunswick/Bath/Freeport</v>
      </c>
      <c r="W386" s="106">
        <v>0.75694444444444453</v>
      </c>
      <c r="X386" s="12">
        <v>3.97</v>
      </c>
      <c r="Y386" s="4">
        <v>88</v>
      </c>
      <c r="Z3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7" spans="2:26" x14ac:dyDescent="0.35">
      <c r="B387">
        <f t="shared" ref="B387:B450" si="74">ROW()-2</f>
        <v>385</v>
      </c>
      <c r="C387" t="s">
        <v>86</v>
      </c>
      <c r="D387" t="s">
        <v>176</v>
      </c>
      <c r="E387">
        <f>IF(WEEKNUM(Combined[[#This Row],[Date]], 1) = 53, 1, WEEKNUM(Combined[[#This Row],[Date]], 2))</f>
        <v>40</v>
      </c>
      <c r="F387" t="str">
        <f t="shared" si="73"/>
        <v>Tuesday</v>
      </c>
      <c r="G387" s="41">
        <v>44831</v>
      </c>
      <c r="H387">
        <v>2</v>
      </c>
      <c r="I387" s="1">
        <v>12</v>
      </c>
      <c r="J387" s="2">
        <v>4.3055555555555562E-2</v>
      </c>
      <c r="K387" s="12">
        <f>Combined[[#This Row],[Time Spent]]*24</f>
        <v>1.0333333333333334</v>
      </c>
      <c r="L387" s="12">
        <f>MROUND(Combined[[#This Row],[Time Spent 2]],0.25)</f>
        <v>1</v>
      </c>
      <c r="M387" s="2" t="s">
        <v>91</v>
      </c>
      <c r="N387" t="s">
        <v>85</v>
      </c>
      <c r="O387">
        <f>MATCH(Combined[[#This Row],[Primary Area]],KPIs!$C$4:$C$7,0)</f>
        <v>4</v>
      </c>
      <c r="P387"/>
      <c r="Q387" s="40">
        <v>45231</v>
      </c>
      <c r="R387" s="40">
        <f t="shared" ref="R387:R450" si="75">Q387</f>
        <v>45231</v>
      </c>
      <c r="S387" s="4" t="str">
        <f>TEXT(Mileage[[#This Row],[Date]],"dddd")</f>
        <v>Wednesday</v>
      </c>
      <c r="T387" s="4" t="s">
        <v>230</v>
      </c>
      <c r="U387" s="4">
        <v>36</v>
      </c>
      <c r="V387" t="str" cm="1">
        <f t="array" ref="V387">IFERROR(VLOOKUP(MODE(IF(Combined[Date]=Mileage[[#This Row],[Date]],Combined[Area '#])),KPIs!$B$4:$C$7,2,FALSE),VLOOKUP(Mileage[[#This Row],[Date]],Combined[[Date]:[Primary Area]],8,FALSE))</f>
        <v>Brunswick/Bath/Freeport</v>
      </c>
      <c r="W387" s="106">
        <v>0.72222222222222221</v>
      </c>
      <c r="X387" s="12">
        <v>4.12</v>
      </c>
      <c r="Y387" s="4">
        <v>99</v>
      </c>
      <c r="Z38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88" spans="2:26" x14ac:dyDescent="0.35">
      <c r="B388">
        <f t="shared" si="74"/>
        <v>386</v>
      </c>
      <c r="C388" t="s">
        <v>86</v>
      </c>
      <c r="D388" t="s">
        <v>176</v>
      </c>
      <c r="E388">
        <f>IF(WEEKNUM(Combined[[#This Row],[Date]], 1) = 53, 1, WEEKNUM(Combined[[#This Row],[Date]], 2))</f>
        <v>40</v>
      </c>
      <c r="F388" t="str">
        <f t="shared" si="73"/>
        <v>Tuesday</v>
      </c>
      <c r="G388" s="41">
        <v>44831</v>
      </c>
      <c r="H388">
        <v>7</v>
      </c>
      <c r="I388" s="1">
        <v>49.5</v>
      </c>
      <c r="J388" s="2">
        <v>0.15</v>
      </c>
      <c r="K388" s="12">
        <f>Combined[[#This Row],[Time Spent]]*24</f>
        <v>3.5999999999999996</v>
      </c>
      <c r="L388" s="12">
        <f>MROUND(Combined[[#This Row],[Time Spent 2]],0.25)</f>
        <v>3.5</v>
      </c>
      <c r="M388" s="2" t="s">
        <v>91</v>
      </c>
      <c r="N388" t="s">
        <v>85</v>
      </c>
      <c r="O388">
        <f>MATCH(Combined[[#This Row],[Primary Area]],KPIs!$C$4:$C$7,0)</f>
        <v>4</v>
      </c>
      <c r="P388"/>
      <c r="Q388" s="40">
        <v>45233</v>
      </c>
      <c r="R388" s="40">
        <f t="shared" si="75"/>
        <v>45233</v>
      </c>
      <c r="S388" s="4" t="str">
        <f>TEXT(Mileage[[#This Row],[Date]],"dddd")</f>
        <v>Friday</v>
      </c>
      <c r="T388" s="4" t="s">
        <v>230</v>
      </c>
      <c r="U388" s="4">
        <v>48</v>
      </c>
      <c r="V388" t="str" cm="1">
        <f t="array" ref="V388">IFERROR(VLOOKUP(MODE(IF(Combined[Date]=Mileage[[#This Row],[Date]],Combined[Area '#])),KPIs!$B$4:$C$7,2,FALSE),VLOOKUP(Mileage[[#This Row],[Date]],Combined[[Date]:[Primary Area]],8,FALSE))</f>
        <v>Brunswick/Bath/Freeport</v>
      </c>
      <c r="W388" s="106">
        <v>0.76388888888888884</v>
      </c>
      <c r="X388" s="12">
        <v>4.67</v>
      </c>
      <c r="Y388" s="4">
        <v>119</v>
      </c>
      <c r="Z38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89" spans="2:26" x14ac:dyDescent="0.35">
      <c r="B389">
        <f t="shared" si="74"/>
        <v>387</v>
      </c>
      <c r="C389" t="s">
        <v>83</v>
      </c>
      <c r="D389" t="s">
        <v>176</v>
      </c>
      <c r="E389">
        <f>IF(WEEKNUM(Combined[[#This Row],[Date]], 1) = 53, 1, WEEKNUM(Combined[[#This Row],[Date]], 2))</f>
        <v>40</v>
      </c>
      <c r="F389" t="str">
        <f>TEXT(WEEKDAY(G389,1),"DDDD")</f>
        <v>Thursday</v>
      </c>
      <c r="G389" s="41">
        <v>44833</v>
      </c>
      <c r="H389">
        <v>7</v>
      </c>
      <c r="I389" s="1">
        <v>76.180000000000007</v>
      </c>
      <c r="J389" s="2">
        <v>0.19999999999999998</v>
      </c>
      <c r="K389" s="12">
        <f>Combined[[#This Row],[Time Spent]]*24</f>
        <v>4.8</v>
      </c>
      <c r="L389" s="12">
        <f>MROUND(Combined[[#This Row],[Time Spent 2]],0.25)</f>
        <v>4.75</v>
      </c>
      <c r="M389" s="2" t="s">
        <v>91</v>
      </c>
      <c r="N389" t="s">
        <v>85</v>
      </c>
      <c r="O389">
        <f>MATCH(Combined[[#This Row],[Primary Area]],KPIs!$C$4:$C$7,0)</f>
        <v>4</v>
      </c>
      <c r="P389"/>
      <c r="Q389" s="40">
        <v>45236</v>
      </c>
      <c r="R389" s="40">
        <f t="shared" si="75"/>
        <v>45236</v>
      </c>
      <c r="S389" s="4" t="str">
        <f>TEXT(Mileage[[#This Row],[Date]],"dddd")</f>
        <v>Monday</v>
      </c>
      <c r="T389" s="4" t="s">
        <v>231</v>
      </c>
      <c r="U389" s="4">
        <v>39</v>
      </c>
      <c r="V389" t="str" cm="1">
        <f t="array" ref="V389">IFERROR(VLOOKUP(MODE(IF(Combined[Date]=Mileage[[#This Row],[Date]],Combined[Area '#])),KPIs!$B$4:$C$7,2,FALSE),VLOOKUP(Mileage[[#This Row],[Date]],Combined[[Date]:[Primary Area]],8,FALSE))</f>
        <v>Brunswick/Bath/Freeport</v>
      </c>
      <c r="W389" s="106">
        <v>0.72222222222222221</v>
      </c>
      <c r="X389" s="12">
        <v>4.03</v>
      </c>
      <c r="Y389" s="4">
        <v>103</v>
      </c>
      <c r="Z38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90" spans="2:26" x14ac:dyDescent="0.35">
      <c r="B390">
        <f t="shared" si="74"/>
        <v>388</v>
      </c>
      <c r="C390" t="s">
        <v>86</v>
      </c>
      <c r="D390" t="s">
        <v>176</v>
      </c>
      <c r="E390">
        <f>IF(WEEKNUM(Combined[[#This Row],[Date]], 1) = 53, 1, WEEKNUM(Combined[[#This Row],[Date]], 2))</f>
        <v>40</v>
      </c>
      <c r="F390" t="str">
        <f>TEXT(WEEKDAY(G390,1),"DDDD")</f>
        <v>Thursday</v>
      </c>
      <c r="G390" s="41">
        <v>44833</v>
      </c>
      <c r="H390">
        <v>3</v>
      </c>
      <c r="I390" s="1">
        <v>25.75</v>
      </c>
      <c r="J390" s="2">
        <v>8.6111111111111124E-2</v>
      </c>
      <c r="K390" s="12">
        <f>Combined[[#This Row],[Time Spent]]*24</f>
        <v>2.0666666666666669</v>
      </c>
      <c r="L390" s="12">
        <f>MROUND(Combined[[#This Row],[Time Spent 2]],0.25)</f>
        <v>2</v>
      </c>
      <c r="M390" s="2" t="s">
        <v>91</v>
      </c>
      <c r="N390" t="s">
        <v>85</v>
      </c>
      <c r="O390">
        <f>MATCH(Combined[[#This Row],[Primary Area]],KPIs!$C$4:$C$7,0)</f>
        <v>4</v>
      </c>
      <c r="P390"/>
      <c r="Q390" s="40">
        <v>45238</v>
      </c>
      <c r="R390" s="40">
        <f t="shared" si="75"/>
        <v>45238</v>
      </c>
      <c r="S390" s="4" t="str">
        <f>TEXT(Mileage[[#This Row],[Date]],"dddd")</f>
        <v>Wednesday</v>
      </c>
      <c r="T390" s="4" t="s">
        <v>230</v>
      </c>
      <c r="U390" s="4">
        <v>34</v>
      </c>
      <c r="V390" t="str" cm="1">
        <f t="array" ref="V390">IFERROR(VLOOKUP(MODE(IF(Combined[Date]=Mileage[[#This Row],[Date]],Combined[Area '#])),KPIs!$B$4:$C$7,2,FALSE),VLOOKUP(Mileage[[#This Row],[Date]],Combined[[Date]:[Primary Area]],8,FALSE))</f>
        <v>Brunswick/Bath/Freeport</v>
      </c>
      <c r="W390" s="106">
        <v>0.73958333333333337</v>
      </c>
      <c r="X390" s="12">
        <v>5.18</v>
      </c>
      <c r="Y390" s="4">
        <v>128</v>
      </c>
      <c r="Z3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1" spans="2:26" x14ac:dyDescent="0.35">
      <c r="B391">
        <f t="shared" si="74"/>
        <v>389</v>
      </c>
      <c r="C391" t="s">
        <v>83</v>
      </c>
      <c r="D391" t="s">
        <v>176</v>
      </c>
      <c r="E391">
        <f>IF(WEEKNUM(Combined[[#This Row],[Date]], 1) = 53, 1, WEEKNUM(Combined[[#This Row],[Date]], 2))</f>
        <v>40</v>
      </c>
      <c r="F391" t="str">
        <f t="shared" ref="F391:F392" si="76">TEXT(WEEKDAY(G391,1),"DDDD")</f>
        <v>Friday</v>
      </c>
      <c r="G391" s="41">
        <v>44834</v>
      </c>
      <c r="H391">
        <v>5</v>
      </c>
      <c r="I391" s="1">
        <v>63.46</v>
      </c>
      <c r="J391" s="2">
        <v>9.375E-2</v>
      </c>
      <c r="K391" s="12">
        <f>Combined[[#This Row],[Time Spent]]*24</f>
        <v>2.25</v>
      </c>
      <c r="L391" s="12">
        <f>MROUND(Combined[[#This Row],[Time Spent 2]],0.25)</f>
        <v>2.25</v>
      </c>
      <c r="M391" s="2" t="s">
        <v>91</v>
      </c>
      <c r="N391" t="s">
        <v>80</v>
      </c>
      <c r="O391">
        <f>MATCH(Combined[[#This Row],[Primary Area]],KPIs!$C$4:$C$7,0)</f>
        <v>2</v>
      </c>
      <c r="P391"/>
      <c r="Q391" s="40">
        <v>45240</v>
      </c>
      <c r="R391" s="40">
        <f t="shared" si="75"/>
        <v>45240</v>
      </c>
      <c r="S391" s="4" t="str">
        <f>TEXT(Mileage[[#This Row],[Date]],"dddd")</f>
        <v>Friday</v>
      </c>
      <c r="T391" s="4" t="s">
        <v>231</v>
      </c>
      <c r="U391" s="4">
        <v>43</v>
      </c>
      <c r="V391" t="str" cm="1">
        <f t="array" ref="V391">IFERROR(VLOOKUP(MODE(IF(Combined[Date]=Mileage[[#This Row],[Date]],Combined[Area '#])),KPIs!$B$4:$C$7,2,FALSE),VLOOKUP(Mileage[[#This Row],[Date]],Combined[[Date]:[Primary Area]],8,FALSE))</f>
        <v>Lewiston</v>
      </c>
      <c r="W391" s="106">
        <v>0.71875</v>
      </c>
      <c r="X391" s="12">
        <v>6.3</v>
      </c>
      <c r="Y391" s="4">
        <v>117</v>
      </c>
      <c r="Z39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2" spans="2:26" x14ac:dyDescent="0.35">
      <c r="B392">
        <f t="shared" si="74"/>
        <v>390</v>
      </c>
      <c r="C392" t="s">
        <v>86</v>
      </c>
      <c r="D392" t="s">
        <v>176</v>
      </c>
      <c r="E392">
        <f>IF(WEEKNUM(Combined[[#This Row],[Date]], 1) = 53, 1, WEEKNUM(Combined[[#This Row],[Date]], 2))</f>
        <v>40</v>
      </c>
      <c r="F392" t="str">
        <f t="shared" si="76"/>
        <v>Friday</v>
      </c>
      <c r="G392" s="41">
        <v>44834</v>
      </c>
      <c r="H392">
        <v>2</v>
      </c>
      <c r="I392" s="1">
        <v>22</v>
      </c>
      <c r="J392" s="2">
        <v>6.3194444444444442E-2</v>
      </c>
      <c r="K392" s="12">
        <f>Combined[[#This Row],[Time Spent]]*24</f>
        <v>1.5166666666666666</v>
      </c>
      <c r="L392" s="12">
        <f>MROUND(Combined[[#This Row],[Time Spent 2]],0.25)</f>
        <v>1.5</v>
      </c>
      <c r="M392" s="2" t="s">
        <v>91</v>
      </c>
      <c r="N392" t="s">
        <v>80</v>
      </c>
      <c r="O392">
        <f>MATCH(Combined[[#This Row],[Primary Area]],KPIs!$C$4:$C$7,0)</f>
        <v>2</v>
      </c>
      <c r="P392"/>
      <c r="Q392" s="40">
        <v>45241</v>
      </c>
      <c r="R392" s="40">
        <f t="shared" si="75"/>
        <v>45241</v>
      </c>
      <c r="S392" s="4" t="str">
        <f>TEXT(Mileage[[#This Row],[Date]],"dddd")</f>
        <v>Saturday</v>
      </c>
      <c r="T392" s="4" t="s">
        <v>249</v>
      </c>
      <c r="U392" s="4">
        <v>32</v>
      </c>
      <c r="V392" t="str" cm="1">
        <f t="array" ref="V392">IFERROR(VLOOKUP(MODE(IF(Combined[Date]=Mileage[[#This Row],[Date]],Combined[Area '#])),KPIs!$B$4:$C$7,2,FALSE),VLOOKUP(Mileage[[#This Row],[Date]],Combined[[Date]:[Primary Area]],8,FALSE))</f>
        <v>Portland</v>
      </c>
      <c r="W392" s="106">
        <v>0.73611111111111116</v>
      </c>
      <c r="X392" s="12">
        <v>5.42</v>
      </c>
      <c r="Y392" s="4">
        <v>110</v>
      </c>
      <c r="Z39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93" spans="2:26" x14ac:dyDescent="0.35">
      <c r="B393">
        <f t="shared" si="74"/>
        <v>391</v>
      </c>
      <c r="C393" t="s">
        <v>83</v>
      </c>
      <c r="D393" t="s">
        <v>176</v>
      </c>
      <c r="E393">
        <f>IF(WEEKNUM(Combined[[#This Row],[Date]], 1) = 53, 1, WEEKNUM(Combined[[#This Row],[Date]], 2))</f>
        <v>40</v>
      </c>
      <c r="F393" t="str">
        <f t="shared" ref="F393:F394" si="77">TEXT(WEEKDAY(G393,1),"DDDD")</f>
        <v>Sunday</v>
      </c>
      <c r="G393" s="41">
        <v>44836</v>
      </c>
      <c r="H393">
        <v>1</v>
      </c>
      <c r="I393" s="1">
        <v>9.83</v>
      </c>
      <c r="J393" s="2">
        <v>0.11458333333333333</v>
      </c>
      <c r="K393" s="12">
        <f>Combined[[#This Row],[Time Spent]]*24</f>
        <v>2.75</v>
      </c>
      <c r="L393" s="12">
        <f>MROUND(Combined[[#This Row],[Time Spent 2]],0.25)</f>
        <v>2.75</v>
      </c>
      <c r="M393" s="2" t="s">
        <v>91</v>
      </c>
      <c r="N393" t="s">
        <v>80</v>
      </c>
      <c r="O393">
        <f>MATCH(Combined[[#This Row],[Primary Area]],KPIs!$C$4:$C$7,0)</f>
        <v>2</v>
      </c>
      <c r="P393"/>
      <c r="Q393" s="40">
        <v>45242</v>
      </c>
      <c r="R393" s="40">
        <f t="shared" si="75"/>
        <v>45242</v>
      </c>
      <c r="S393" s="4" t="str">
        <f>TEXT(Mileage[[#This Row],[Date]],"dddd")</f>
        <v>Sunday</v>
      </c>
      <c r="T393" s="4" t="s">
        <v>230</v>
      </c>
      <c r="U393" s="4">
        <v>28</v>
      </c>
      <c r="V393" t="str" cm="1">
        <f t="array" ref="V393">IFERROR(VLOOKUP(MODE(IF(Combined[Date]=Mileage[[#This Row],[Date]],Combined[Area '#])),KPIs!$B$4:$C$7,2,FALSE),VLOOKUP(Mileage[[#This Row],[Date]],Combined[[Date]:[Primary Area]],8,FALSE))</f>
        <v>Brunswick/Bath/Freeport</v>
      </c>
      <c r="W393" s="106">
        <v>0.63888888888888895</v>
      </c>
      <c r="X393" s="12">
        <v>6.2</v>
      </c>
      <c r="Y393" s="4">
        <v>119</v>
      </c>
      <c r="Z39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4" spans="2:26" x14ac:dyDescent="0.35">
      <c r="B394">
        <f t="shared" si="74"/>
        <v>392</v>
      </c>
      <c r="C394" t="s">
        <v>86</v>
      </c>
      <c r="D394" t="s">
        <v>176</v>
      </c>
      <c r="E394">
        <f>IF(WEEKNUM(Combined[[#This Row],[Date]], 1) = 53, 1, WEEKNUM(Combined[[#This Row],[Date]], 2))</f>
        <v>40</v>
      </c>
      <c r="F394" t="str">
        <f t="shared" si="77"/>
        <v>Sunday</v>
      </c>
      <c r="G394" s="41">
        <v>44836</v>
      </c>
      <c r="H394">
        <v>3</v>
      </c>
      <c r="I394" s="1">
        <f>33.75+2.25</f>
        <v>36</v>
      </c>
      <c r="J394" s="2">
        <v>6.6666666666666666E-2</v>
      </c>
      <c r="K394" s="12">
        <f>Combined[[#This Row],[Time Spent]]*24</f>
        <v>1.6</v>
      </c>
      <c r="L394" s="12">
        <f>MROUND(Combined[[#This Row],[Time Spent 2]],0.25)</f>
        <v>1.5</v>
      </c>
      <c r="M394" s="2" t="s">
        <v>91</v>
      </c>
      <c r="N394" t="s">
        <v>80</v>
      </c>
      <c r="O394">
        <f>MATCH(Combined[[#This Row],[Primary Area]],KPIs!$C$4:$C$7,0)</f>
        <v>2</v>
      </c>
      <c r="P394"/>
      <c r="Q394" s="40">
        <v>45243</v>
      </c>
      <c r="R394" s="40">
        <f t="shared" si="75"/>
        <v>45243</v>
      </c>
      <c r="S394" s="4" t="str">
        <f>TEXT(Mileage[[#This Row],[Date]],"dddd")</f>
        <v>Monday</v>
      </c>
      <c r="T394" s="4" t="s">
        <v>249</v>
      </c>
      <c r="U394" s="4">
        <v>30</v>
      </c>
      <c r="V394" t="str" cm="1">
        <f t="array" ref="V394">IFERROR(VLOOKUP(MODE(IF(Combined[Date]=Mileage[[#This Row],[Date]],Combined[Area '#])),KPIs!$B$4:$C$7,2,FALSE),VLOOKUP(Mileage[[#This Row],[Date]],Combined[[Date]:[Primary Area]],8,FALSE))</f>
        <v>Augusta</v>
      </c>
      <c r="W394" s="106">
        <v>0.70833333333333337</v>
      </c>
      <c r="X394" s="12">
        <v>5.07</v>
      </c>
      <c r="Y394" s="4">
        <v>115</v>
      </c>
      <c r="Z39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95" spans="2:26" x14ac:dyDescent="0.35">
      <c r="B395">
        <f t="shared" si="74"/>
        <v>393</v>
      </c>
      <c r="C395" t="s">
        <v>83</v>
      </c>
      <c r="D395" t="s">
        <v>176</v>
      </c>
      <c r="E395">
        <f>IF(WEEKNUM(Combined[[#This Row],[Date]], 1) = 53, 1, WEEKNUM(Combined[[#This Row],[Date]], 2))</f>
        <v>41</v>
      </c>
      <c r="F395" t="str">
        <f t="shared" ref="F395:F397" si="78">TEXT(WEEKDAY(G395,1),"DDDD")</f>
        <v>Monday</v>
      </c>
      <c r="G395" s="41">
        <v>44837</v>
      </c>
      <c r="H395">
        <v>6</v>
      </c>
      <c r="I395" s="1">
        <v>36.9</v>
      </c>
      <c r="J395" s="2">
        <v>0.24791666666666667</v>
      </c>
      <c r="K395" s="12">
        <f>Combined[[#This Row],[Time Spent]]*24</f>
        <v>5.95</v>
      </c>
      <c r="L395" s="12">
        <f>MROUND(Combined[[#This Row],[Time Spent 2]],0.25)</f>
        <v>6</v>
      </c>
      <c r="M395" s="2" t="s">
        <v>91</v>
      </c>
      <c r="N395" t="s">
        <v>82</v>
      </c>
      <c r="O395">
        <f>MATCH(Combined[[#This Row],[Primary Area]],KPIs!$C$4:$C$7,0)</f>
        <v>3</v>
      </c>
      <c r="P395"/>
      <c r="Q395" s="40">
        <v>45244</v>
      </c>
      <c r="R395" s="40">
        <f t="shared" si="75"/>
        <v>45244</v>
      </c>
      <c r="S395" s="4" t="str">
        <f>TEXT(Mileage[[#This Row],[Date]],"dddd")</f>
        <v>Tuesday</v>
      </c>
      <c r="T395" s="4" t="s">
        <v>230</v>
      </c>
      <c r="U395" s="4">
        <v>36</v>
      </c>
      <c r="V395" t="str" cm="1">
        <f t="array" ref="V395">IFERROR(VLOOKUP(MODE(IF(Combined[Date]=Mileage[[#This Row],[Date]],Combined[Area '#])),KPIs!$B$4:$C$7,2,FALSE),VLOOKUP(Mileage[[#This Row],[Date]],Combined[[Date]:[Primary Area]],8,FALSE))</f>
        <v>Brunswick/Bath/Freeport</v>
      </c>
      <c r="W395" s="106">
        <v>0.71875</v>
      </c>
      <c r="X395" s="12">
        <v>3.57</v>
      </c>
      <c r="Y395" s="4">
        <v>65.3</v>
      </c>
      <c r="Z3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6" spans="2:26" x14ac:dyDescent="0.35">
      <c r="B396">
        <f t="shared" si="74"/>
        <v>394</v>
      </c>
      <c r="C396" t="s">
        <v>86</v>
      </c>
      <c r="D396" t="s">
        <v>176</v>
      </c>
      <c r="E396">
        <f>IF(WEEKNUM(Combined[[#This Row],[Date]], 1) = 53, 1, WEEKNUM(Combined[[#This Row],[Date]], 2))</f>
        <v>41</v>
      </c>
      <c r="F396" t="str">
        <f t="shared" si="78"/>
        <v>Monday</v>
      </c>
      <c r="G396" s="41">
        <v>44837</v>
      </c>
      <c r="H396">
        <v>2</v>
      </c>
      <c r="I396" s="1">
        <v>14</v>
      </c>
      <c r="J396" s="2">
        <v>4.3750000000000004E-2</v>
      </c>
      <c r="K396" s="12">
        <f>Combined[[#This Row],[Time Spent]]*24</f>
        <v>1.05</v>
      </c>
      <c r="L396" s="12">
        <f>MROUND(Combined[[#This Row],[Time Spent 2]],0.25)</f>
        <v>1</v>
      </c>
      <c r="M396" s="2" t="s">
        <v>91</v>
      </c>
      <c r="N396" t="s">
        <v>82</v>
      </c>
      <c r="O396">
        <f>MATCH(Combined[[#This Row],[Primary Area]],KPIs!$C$4:$C$7,0)</f>
        <v>3</v>
      </c>
      <c r="P396"/>
      <c r="Q396" s="40">
        <v>45246</v>
      </c>
      <c r="R396" s="40">
        <f t="shared" si="75"/>
        <v>45246</v>
      </c>
      <c r="S396" s="4" t="str">
        <f>TEXT(Mileage[[#This Row],[Date]],"dddd")</f>
        <v>Thursday</v>
      </c>
      <c r="T396" s="4" t="s">
        <v>230</v>
      </c>
      <c r="U396" s="4">
        <v>39</v>
      </c>
      <c r="V396" t="str" cm="1">
        <f t="array" ref="V396">IFERROR(VLOOKUP(MODE(IF(Combined[Date]=Mileage[[#This Row],[Date]],Combined[Area '#])),KPIs!$B$4:$C$7,2,FALSE),VLOOKUP(Mileage[[#This Row],[Date]],Combined[[Date]:[Primary Area]],8,FALSE))</f>
        <v>Lewiston</v>
      </c>
      <c r="W396" s="106">
        <v>0.71527777777777779</v>
      </c>
      <c r="X396" s="12">
        <v>2.15</v>
      </c>
      <c r="Y396" s="4">
        <v>22</v>
      </c>
      <c r="Z3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7" spans="2:26" x14ac:dyDescent="0.35">
      <c r="B397">
        <f t="shared" si="74"/>
        <v>395</v>
      </c>
      <c r="C397" t="s">
        <v>86</v>
      </c>
      <c r="D397" t="s">
        <v>176</v>
      </c>
      <c r="E397">
        <f>IF(WEEKNUM(Combined[[#This Row],[Date]], 1) = 53, 1, WEEKNUM(Combined[[#This Row],[Date]], 2))</f>
        <v>41</v>
      </c>
      <c r="F397" t="str">
        <f t="shared" si="78"/>
        <v>Monday</v>
      </c>
      <c r="G397" s="41">
        <v>44837</v>
      </c>
      <c r="H397">
        <v>4</v>
      </c>
      <c r="I397" s="1">
        <v>32</v>
      </c>
      <c r="J397" s="2">
        <v>7.8472222222222221E-2</v>
      </c>
      <c r="K397" s="12">
        <f>Combined[[#This Row],[Time Spent]]*24</f>
        <v>1.8833333333333333</v>
      </c>
      <c r="L397" s="12">
        <f>MROUND(Combined[[#This Row],[Time Spent 2]],0.25)</f>
        <v>2</v>
      </c>
      <c r="M397" s="2" t="s">
        <v>92</v>
      </c>
      <c r="N397" t="s">
        <v>82</v>
      </c>
      <c r="O397">
        <f>MATCH(Combined[[#This Row],[Primary Area]],KPIs!$C$4:$C$7,0)</f>
        <v>3</v>
      </c>
      <c r="P397"/>
      <c r="Q397" s="40">
        <v>45247</v>
      </c>
      <c r="R397" s="40">
        <f t="shared" si="75"/>
        <v>45247</v>
      </c>
      <c r="S397" s="4" t="str">
        <f>TEXT(Mileage[[#This Row],[Date]],"dddd")</f>
        <v>Friday</v>
      </c>
      <c r="T397" s="4" t="s">
        <v>231</v>
      </c>
      <c r="U397" s="4">
        <v>55</v>
      </c>
      <c r="V397" t="str" cm="1">
        <f t="array" ref="V397">IFERROR(VLOOKUP(MODE(IF(Combined[Date]=Mileage[[#This Row],[Date]],Combined[Area '#])),KPIs!$B$4:$C$7,2,FALSE),VLOOKUP(Mileage[[#This Row],[Date]],Combined[[Date]:[Primary Area]],8,FALSE))</f>
        <v>Brunswick/Bath/Freeport</v>
      </c>
      <c r="W397" s="106">
        <v>0.72916666666666663</v>
      </c>
      <c r="X397" s="12">
        <v>0.87</v>
      </c>
      <c r="Y397" s="4">
        <v>17</v>
      </c>
      <c r="Z3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398" spans="2:26" x14ac:dyDescent="0.35">
      <c r="B398">
        <f t="shared" si="74"/>
        <v>396</v>
      </c>
      <c r="C398" t="s">
        <v>83</v>
      </c>
      <c r="D398" t="s">
        <v>176</v>
      </c>
      <c r="E398">
        <f>IF(WEEKNUM(Combined[[#This Row],[Date]], 1) = 53, 1, WEEKNUM(Combined[[#This Row],[Date]], 2))</f>
        <v>41</v>
      </c>
      <c r="F398" t="str">
        <f t="shared" ref="F398:F399" si="79">TEXT(WEEKDAY(G398,1),"DDDD")</f>
        <v>Wednesday</v>
      </c>
      <c r="G398" s="41">
        <v>44839</v>
      </c>
      <c r="H398">
        <v>8</v>
      </c>
      <c r="I398" s="1">
        <v>95.1</v>
      </c>
      <c r="J398" s="2">
        <v>0.29444444444444445</v>
      </c>
      <c r="K398" s="12">
        <f>Combined[[#This Row],[Time Spent]]*24</f>
        <v>7.0666666666666664</v>
      </c>
      <c r="L398" s="12">
        <f>MROUND(Combined[[#This Row],[Time Spent 2]],0.25)</f>
        <v>7</v>
      </c>
      <c r="M398" s="2" t="s">
        <v>91</v>
      </c>
      <c r="N398" t="s">
        <v>85</v>
      </c>
      <c r="O398">
        <f>MATCH(Combined[[#This Row],[Primary Area]],KPIs!$C$4:$C$7,0)</f>
        <v>4</v>
      </c>
      <c r="P398"/>
      <c r="Q398" s="40">
        <v>45250</v>
      </c>
      <c r="R398" s="40">
        <f t="shared" si="75"/>
        <v>45250</v>
      </c>
      <c r="S398" s="4" t="str">
        <f>TEXT(Mileage[[#This Row],[Date]],"dddd")</f>
        <v>Monday</v>
      </c>
      <c r="T398" s="4" t="s">
        <v>230</v>
      </c>
      <c r="U398" s="4">
        <v>28</v>
      </c>
      <c r="V398" t="str" cm="1">
        <f t="array" ref="V398">IFERROR(VLOOKUP(MODE(IF(Combined[Date]=Mileage[[#This Row],[Date]],Combined[Area '#])),KPIs!$B$4:$C$7,2,FALSE),VLOOKUP(Mileage[[#This Row],[Date]],Combined[[Date]:[Primary Area]],8,FALSE))</f>
        <v>Augusta</v>
      </c>
      <c r="W398" s="106">
        <v>0.72569444444444453</v>
      </c>
      <c r="X398" s="12">
        <v>5.05</v>
      </c>
      <c r="Y398" s="4">
        <v>137</v>
      </c>
      <c r="Z3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399" spans="2:26" x14ac:dyDescent="0.35">
      <c r="B399">
        <f t="shared" si="74"/>
        <v>397</v>
      </c>
      <c r="C399" t="s">
        <v>86</v>
      </c>
      <c r="D399" t="s">
        <v>176</v>
      </c>
      <c r="E399">
        <f>IF(WEEKNUM(Combined[[#This Row],[Date]], 1) = 53, 1, WEEKNUM(Combined[[#This Row],[Date]], 2))</f>
        <v>41</v>
      </c>
      <c r="F399" t="str">
        <f t="shared" si="79"/>
        <v>Wednesday</v>
      </c>
      <c r="G399" s="41">
        <v>44839</v>
      </c>
      <c r="H399">
        <v>5</v>
      </c>
      <c r="I399" s="1">
        <v>37</v>
      </c>
      <c r="J399" s="2">
        <v>0.15486111111111112</v>
      </c>
      <c r="K399" s="12">
        <f>Combined[[#This Row],[Time Spent]]*24</f>
        <v>3.7166666666666668</v>
      </c>
      <c r="L399" s="12">
        <f>MROUND(Combined[[#This Row],[Time Spent 2]],0.25)</f>
        <v>3.75</v>
      </c>
      <c r="M399" s="2" t="s">
        <v>92</v>
      </c>
      <c r="N399" t="s">
        <v>85</v>
      </c>
      <c r="O399">
        <f>MATCH(Combined[[#This Row],[Primary Area]],KPIs!$C$4:$C$7,0)</f>
        <v>4</v>
      </c>
      <c r="P399"/>
      <c r="Q399" s="40">
        <v>45251</v>
      </c>
      <c r="R399" s="40">
        <f t="shared" si="75"/>
        <v>45251</v>
      </c>
      <c r="S399" s="4" t="str">
        <f>TEXT(Mileage[[#This Row],[Date]],"dddd")</f>
        <v>Tuesday</v>
      </c>
      <c r="T399" s="4" t="s">
        <v>231</v>
      </c>
      <c r="U399" s="4">
        <v>30</v>
      </c>
      <c r="V399" t="str" cm="1">
        <f t="array" ref="V399">IFERROR(VLOOKUP(MODE(IF(Combined[Date]=Mileage[[#This Row],[Date]],Combined[Area '#])),KPIs!$B$4:$C$7,2,FALSE),VLOOKUP(Mileage[[#This Row],[Date]],Combined[[Date]:[Primary Area]],8,FALSE))</f>
        <v>Lewiston</v>
      </c>
      <c r="W399" s="106">
        <v>0.73958333333333337</v>
      </c>
      <c r="X399" s="12">
        <v>4.0199999999999996</v>
      </c>
      <c r="Y399" s="4">
        <v>71</v>
      </c>
      <c r="Z39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0" spans="2:26" x14ac:dyDescent="0.35">
      <c r="B400">
        <f t="shared" si="74"/>
        <v>398</v>
      </c>
      <c r="C400" t="s">
        <v>83</v>
      </c>
      <c r="D400" t="s">
        <v>176</v>
      </c>
      <c r="E400">
        <f>IF(WEEKNUM(Combined[[#This Row],[Date]], 1) = 53, 1, WEEKNUM(Combined[[#This Row],[Date]], 2))</f>
        <v>41</v>
      </c>
      <c r="F400" t="str">
        <f t="shared" ref="F400:F401" si="80">TEXT(WEEKDAY(G400,1),"DDDD")</f>
        <v>Thursday</v>
      </c>
      <c r="G400" s="41">
        <v>44840</v>
      </c>
      <c r="H400">
        <v>8</v>
      </c>
      <c r="I400" s="1">
        <v>148.06</v>
      </c>
      <c r="J400" s="2">
        <v>0.19166666666666665</v>
      </c>
      <c r="K400" s="12">
        <f>Combined[[#This Row],[Time Spent]]*24</f>
        <v>4.5999999999999996</v>
      </c>
      <c r="L400" s="12">
        <f>MROUND(Combined[[#This Row],[Time Spent 2]],0.25)</f>
        <v>4.5</v>
      </c>
      <c r="M400" s="2" t="s">
        <v>91</v>
      </c>
      <c r="N400" t="s">
        <v>80</v>
      </c>
      <c r="O400">
        <f>MATCH(Combined[[#This Row],[Primary Area]],KPIs!$C$4:$C$7,0)</f>
        <v>2</v>
      </c>
      <c r="P400"/>
      <c r="Q400" s="40">
        <v>45252</v>
      </c>
      <c r="R400" s="40">
        <f t="shared" si="75"/>
        <v>45252</v>
      </c>
      <c r="S400" s="4" t="str">
        <f>TEXT(Mileage[[#This Row],[Date]],"dddd")</f>
        <v>Wednesday</v>
      </c>
      <c r="T400" s="4" t="s">
        <v>236</v>
      </c>
      <c r="U400" s="4">
        <v>37</v>
      </c>
      <c r="V400" t="str" cm="1">
        <f t="array" ref="V400">IFERROR(VLOOKUP(MODE(IF(Combined[Date]=Mileage[[#This Row],[Date]],Combined[Area '#])),KPIs!$B$4:$C$7,2,FALSE),VLOOKUP(Mileage[[#This Row],[Date]],Combined[[Date]:[Primary Area]],8,FALSE))</f>
        <v>Brunswick/Bath/Freeport</v>
      </c>
      <c r="W400" s="106">
        <v>0.71180555555555547</v>
      </c>
      <c r="X400" s="12">
        <v>1.83</v>
      </c>
      <c r="Y400" s="4">
        <v>38</v>
      </c>
      <c r="Z4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01" spans="2:26" x14ac:dyDescent="0.35">
      <c r="B401">
        <f t="shared" si="74"/>
        <v>399</v>
      </c>
      <c r="C401" t="s">
        <v>86</v>
      </c>
      <c r="D401" t="s">
        <v>176</v>
      </c>
      <c r="E401">
        <f>IF(WEEKNUM(Combined[[#This Row],[Date]], 1) = 53, 1, WEEKNUM(Combined[[#This Row],[Date]], 2))</f>
        <v>41</v>
      </c>
      <c r="F401" t="str">
        <f t="shared" si="80"/>
        <v>Thursday</v>
      </c>
      <c r="G401" s="41">
        <v>44840</v>
      </c>
      <c r="H401">
        <v>4</v>
      </c>
      <c r="I401" s="1">
        <v>19.5</v>
      </c>
      <c r="J401" s="2">
        <v>7.1527777777777787E-2</v>
      </c>
      <c r="K401" s="12">
        <f>Combined[[#This Row],[Time Spent]]*24</f>
        <v>1.7166666666666668</v>
      </c>
      <c r="L401" s="12">
        <f>MROUND(Combined[[#This Row],[Time Spent 2]],0.25)</f>
        <v>1.75</v>
      </c>
      <c r="M401" s="2" t="s">
        <v>92</v>
      </c>
      <c r="N401" t="s">
        <v>80</v>
      </c>
      <c r="O401">
        <f>MATCH(Combined[[#This Row],[Primary Area]],KPIs!$C$4:$C$7,0)</f>
        <v>2</v>
      </c>
      <c r="P401"/>
      <c r="Q401" s="40">
        <v>45254</v>
      </c>
      <c r="R401" s="40">
        <f t="shared" si="75"/>
        <v>45254</v>
      </c>
      <c r="S401" s="4" t="str">
        <f>TEXT(Mileage[[#This Row],[Date]],"dddd")</f>
        <v>Friday</v>
      </c>
      <c r="T401" s="4" t="s">
        <v>230</v>
      </c>
      <c r="U401" s="4">
        <v>25</v>
      </c>
      <c r="V401" t="str" cm="1">
        <f t="array" ref="V401">IFERROR(VLOOKUP(MODE(IF(Combined[Date]=Mileage[[#This Row],[Date]],Combined[Area '#])),KPIs!$B$4:$C$7,2,FALSE),VLOOKUP(Mileage[[#This Row],[Date]],Combined[[Date]:[Primary Area]],8,FALSE))</f>
        <v>Brunswick/Bath/Freeport</v>
      </c>
      <c r="W401" s="106">
        <v>0.73611111111111116</v>
      </c>
      <c r="X401" s="12">
        <v>6.55</v>
      </c>
      <c r="Y401" s="4">
        <v>158</v>
      </c>
      <c r="Z40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02" spans="2:26" x14ac:dyDescent="0.35">
      <c r="B402">
        <f t="shared" si="74"/>
        <v>400</v>
      </c>
      <c r="C402" t="s">
        <v>86</v>
      </c>
      <c r="D402" t="s">
        <v>176</v>
      </c>
      <c r="E402">
        <f>IF(WEEKNUM(Combined[[#This Row],[Date]], 1) = 53, 1, WEEKNUM(Combined[[#This Row],[Date]], 2))</f>
        <v>41</v>
      </c>
      <c r="F402" t="str">
        <f>TEXT(WEEKDAY(G402,1),"DDDD")</f>
        <v>Thursday</v>
      </c>
      <c r="G402" s="41">
        <v>44840</v>
      </c>
      <c r="H402">
        <v>2</v>
      </c>
      <c r="I402" s="1">
        <v>9.75</v>
      </c>
      <c r="J402" s="2">
        <v>2.8472222222222222E-2</v>
      </c>
      <c r="K402" s="12">
        <f>Combined[[#This Row],[Time Spent]]*24</f>
        <v>0.68333333333333335</v>
      </c>
      <c r="L402" s="12">
        <f>MROUND(Combined[[#This Row],[Time Spent 2]],0.25)</f>
        <v>0.75</v>
      </c>
      <c r="M402" s="2" t="s">
        <v>92</v>
      </c>
      <c r="N402" t="s">
        <v>80</v>
      </c>
      <c r="O402">
        <f>MATCH(Combined[[#This Row],[Primary Area]],KPIs!$C$4:$C$7,0)</f>
        <v>2</v>
      </c>
      <c r="P402"/>
      <c r="Q402" s="40">
        <v>45257</v>
      </c>
      <c r="R402" s="40">
        <f t="shared" si="75"/>
        <v>45257</v>
      </c>
      <c r="S402" s="4" t="str">
        <f>TEXT(Mileage[[#This Row],[Date]],"dddd")</f>
        <v>Monday</v>
      </c>
      <c r="T402" s="4" t="s">
        <v>231</v>
      </c>
      <c r="U402" s="4">
        <v>43</v>
      </c>
      <c r="V402" t="str" cm="1">
        <f t="array" ref="V402">IFERROR(VLOOKUP(MODE(IF(Combined[Date]=Mileage[[#This Row],[Date]],Combined[Area '#])),KPIs!$B$4:$C$7,2,FALSE),VLOOKUP(Mileage[[#This Row],[Date]],Combined[[Date]:[Primary Area]],8,FALSE))</f>
        <v>Brunswick/Bath/Freeport</v>
      </c>
      <c r="W402" s="106">
        <v>0.72222222222222221</v>
      </c>
      <c r="X402" s="12">
        <v>4.13</v>
      </c>
      <c r="Y402" s="4">
        <v>108</v>
      </c>
      <c r="Z40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3" spans="2:26" x14ac:dyDescent="0.35">
      <c r="B403">
        <f t="shared" si="74"/>
        <v>401</v>
      </c>
      <c r="C403" t="s">
        <v>83</v>
      </c>
      <c r="D403" t="s">
        <v>176</v>
      </c>
      <c r="E403">
        <f>IF(WEEKNUM(Combined[[#This Row],[Date]], 1) = 53, 1, WEEKNUM(Combined[[#This Row],[Date]], 2))</f>
        <v>41</v>
      </c>
      <c r="F403" t="str">
        <f t="shared" ref="F403:F405" si="81">TEXT(WEEKDAY(G403,1),"DDDD")</f>
        <v>Friday</v>
      </c>
      <c r="G403" s="41">
        <v>44841</v>
      </c>
      <c r="H403">
        <v>16</v>
      </c>
      <c r="I403" s="1">
        <v>164.45</v>
      </c>
      <c r="J403" s="2">
        <v>0.4368055555555555</v>
      </c>
      <c r="K403" s="12">
        <f>Combined[[#This Row],[Time Spent]]*24</f>
        <v>10.483333333333333</v>
      </c>
      <c r="L403" s="12">
        <f>MROUND(Combined[[#This Row],[Time Spent 2]],0.25)</f>
        <v>10.5</v>
      </c>
      <c r="M403" s="2" t="s">
        <v>90</v>
      </c>
      <c r="N403" t="s">
        <v>80</v>
      </c>
      <c r="O403">
        <f>MATCH(Combined[[#This Row],[Primary Area]],KPIs!$C$4:$C$7,0)</f>
        <v>2</v>
      </c>
      <c r="P403"/>
      <c r="Q403" s="40">
        <v>45258</v>
      </c>
      <c r="R403" s="40">
        <f t="shared" si="75"/>
        <v>45258</v>
      </c>
      <c r="S403" s="4" t="str">
        <f>TEXT(Mileage[[#This Row],[Date]],"dddd")</f>
        <v>Tuesday</v>
      </c>
      <c r="T403" s="4" t="s">
        <v>230</v>
      </c>
      <c r="U403" s="4">
        <v>30</v>
      </c>
      <c r="V403" t="str" cm="1">
        <f t="array" ref="V403">IFERROR(VLOOKUP(MODE(IF(Combined[Date]=Mileage[[#This Row],[Date]],Combined[Area '#])),KPIs!$B$4:$C$7,2,FALSE),VLOOKUP(Mileage[[#This Row],[Date]],Combined[[Date]:[Primary Area]],8,FALSE))</f>
        <v>Brunswick/Bath/Freeport</v>
      </c>
      <c r="W403" s="106">
        <v>0.71527777777777779</v>
      </c>
      <c r="X403" s="12">
        <v>4.97</v>
      </c>
      <c r="Y403" s="4">
        <v>142</v>
      </c>
      <c r="Z40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04" spans="2:26" x14ac:dyDescent="0.35">
      <c r="B404">
        <f t="shared" si="74"/>
        <v>402</v>
      </c>
      <c r="C404" t="s">
        <v>86</v>
      </c>
      <c r="D404" t="s">
        <v>176</v>
      </c>
      <c r="E404">
        <f>IF(WEEKNUM(Combined[[#This Row],[Date]], 1) = 53, 1, WEEKNUM(Combined[[#This Row],[Date]], 2))</f>
        <v>41</v>
      </c>
      <c r="F404" t="str">
        <f t="shared" si="81"/>
        <v>Friday</v>
      </c>
      <c r="G404" s="41">
        <v>44841</v>
      </c>
      <c r="H404">
        <v>5</v>
      </c>
      <c r="I404" s="1">
        <v>34.54</v>
      </c>
      <c r="J404" s="2">
        <v>0.10902777777777778</v>
      </c>
      <c r="K404" s="12">
        <f>Combined[[#This Row],[Time Spent]]*24</f>
        <v>2.6166666666666667</v>
      </c>
      <c r="L404" s="12">
        <f>MROUND(Combined[[#This Row],[Time Spent 2]],0.25)</f>
        <v>2.5</v>
      </c>
      <c r="M404" s="2" t="s">
        <v>90</v>
      </c>
      <c r="N404" t="s">
        <v>80</v>
      </c>
      <c r="O404">
        <f>MATCH(Combined[[#This Row],[Primary Area]],KPIs!$C$4:$C$7,0)</f>
        <v>2</v>
      </c>
      <c r="P404"/>
      <c r="Q404" s="40">
        <v>45260</v>
      </c>
      <c r="R404" s="40">
        <f t="shared" si="75"/>
        <v>45260</v>
      </c>
      <c r="S404" s="4" t="str">
        <f>TEXT(Mileage[[#This Row],[Date]],"dddd")</f>
        <v>Thursday</v>
      </c>
      <c r="T404" s="4" t="s">
        <v>249</v>
      </c>
      <c r="U404" s="4">
        <v>37</v>
      </c>
      <c r="V404" t="str" cm="1">
        <f t="array" ref="V404">IFERROR(VLOOKUP(MODE(IF(Combined[Date]=Mileage[[#This Row],[Date]],Combined[Area '#])),KPIs!$B$4:$C$7,2,FALSE),VLOOKUP(Mileage[[#This Row],[Date]],Combined[[Date]:[Primary Area]],8,FALSE))</f>
        <v>Portland</v>
      </c>
      <c r="W404" s="106">
        <v>0.71180555555555547</v>
      </c>
      <c r="X404" s="12">
        <v>4.0199999999999996</v>
      </c>
      <c r="Y404" s="4">
        <v>99</v>
      </c>
      <c r="Z40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5" spans="2:26" x14ac:dyDescent="0.35">
      <c r="B405">
        <f t="shared" si="74"/>
        <v>403</v>
      </c>
      <c r="C405" t="s">
        <v>86</v>
      </c>
      <c r="D405" t="s">
        <v>176</v>
      </c>
      <c r="E405">
        <f>IF(WEEKNUM(Combined[[#This Row],[Date]], 1) = 53, 1, WEEKNUM(Combined[[#This Row],[Date]], 2))</f>
        <v>41</v>
      </c>
      <c r="F405" t="str">
        <f t="shared" si="81"/>
        <v>Friday</v>
      </c>
      <c r="G405" s="41">
        <v>44841</v>
      </c>
      <c r="H405">
        <v>1</v>
      </c>
      <c r="I405" s="1">
        <v>10</v>
      </c>
      <c r="J405" s="2">
        <v>8.2638888888888887E-2</v>
      </c>
      <c r="K405" s="12">
        <f>Combined[[#This Row],[Time Spent]]*24</f>
        <v>1.9833333333333334</v>
      </c>
      <c r="L405" s="12">
        <f>MROUND(Combined[[#This Row],[Time Spent 2]],0.25)</f>
        <v>2</v>
      </c>
      <c r="M405" s="2" t="s">
        <v>91</v>
      </c>
      <c r="N405" t="s">
        <v>80</v>
      </c>
      <c r="O405">
        <f>MATCH(Combined[[#This Row],[Primary Area]],KPIs!$C$4:$C$7,0)</f>
        <v>2</v>
      </c>
      <c r="P405"/>
      <c r="Q405" s="40">
        <v>45266</v>
      </c>
      <c r="R405" s="40">
        <f t="shared" si="75"/>
        <v>45266</v>
      </c>
      <c r="S405" s="4" t="str">
        <f>TEXT(Mileage[[#This Row],[Date]],"dddd")</f>
        <v>Wednesday</v>
      </c>
      <c r="T405" s="4" t="s">
        <v>230</v>
      </c>
      <c r="U405" s="4">
        <v>21</v>
      </c>
      <c r="V405" t="str" cm="1">
        <f t="array" ref="V405">IFERROR(VLOOKUP(MODE(IF(Combined[Date]=Mileage[[#This Row],[Date]],Combined[Area '#])),KPIs!$B$4:$C$7,2,FALSE),VLOOKUP(Mileage[[#This Row],[Date]],Combined[[Date]:[Primary Area]],8,FALSE))</f>
        <v>Portland</v>
      </c>
      <c r="W405" s="106">
        <v>0.71180555555555547</v>
      </c>
      <c r="X405" s="12">
        <v>3.85</v>
      </c>
      <c r="Y405" s="4">
        <v>80</v>
      </c>
      <c r="Z40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6" spans="2:26" x14ac:dyDescent="0.35">
      <c r="B406">
        <f t="shared" si="74"/>
        <v>404</v>
      </c>
      <c r="C406" t="s">
        <v>83</v>
      </c>
      <c r="D406" t="s">
        <v>176</v>
      </c>
      <c r="E406">
        <f>IF(WEEKNUM(Combined[[#This Row],[Date]], 1) = 53, 1, WEEKNUM(Combined[[#This Row],[Date]], 2))</f>
        <v>41</v>
      </c>
      <c r="F406" t="str">
        <f t="shared" ref="F406:F410" si="82">TEXT(WEEKDAY(G406,1),"DDDD")</f>
        <v>Saturday</v>
      </c>
      <c r="G406" s="41">
        <v>44842</v>
      </c>
      <c r="H406">
        <v>5</v>
      </c>
      <c r="I406" s="1">
        <v>55.79</v>
      </c>
      <c r="J406" s="2">
        <v>0.33194444444444443</v>
      </c>
      <c r="K406" s="12">
        <f>Combined[[#This Row],[Time Spent]]*24</f>
        <v>7.9666666666666668</v>
      </c>
      <c r="L406" s="12">
        <f>MROUND(Combined[[#This Row],[Time Spent 2]],0.25)</f>
        <v>8</v>
      </c>
      <c r="M406" s="2" t="s">
        <v>91</v>
      </c>
      <c r="N406" t="s">
        <v>82</v>
      </c>
      <c r="O406">
        <f>MATCH(Combined[[#This Row],[Primary Area]],KPIs!$C$4:$C$7,0)</f>
        <v>3</v>
      </c>
      <c r="P406"/>
      <c r="Q406" s="40">
        <v>45267</v>
      </c>
      <c r="R406" s="40">
        <f t="shared" si="75"/>
        <v>45267</v>
      </c>
      <c r="S406" s="4" t="str">
        <f>TEXT(Mileage[[#This Row],[Date]],"dddd")</f>
        <v>Thursday</v>
      </c>
      <c r="T406" s="4" t="s">
        <v>230</v>
      </c>
      <c r="U406" s="4">
        <v>16</v>
      </c>
      <c r="V406" t="str" cm="1">
        <f t="array" ref="V406">IFERROR(VLOOKUP(MODE(IF(Combined[Date]=Mileage[[#This Row],[Date]],Combined[Area '#])),KPIs!$B$4:$C$7,2,FALSE),VLOOKUP(Mileage[[#This Row],[Date]],Combined[[Date]:[Primary Area]],8,FALSE))</f>
        <v>Brunswick/Bath/Freeport</v>
      </c>
      <c r="W406" s="106">
        <v>0.72569444444444453</v>
      </c>
      <c r="X406" s="12">
        <v>4.25</v>
      </c>
      <c r="Y406" s="4">
        <v>102</v>
      </c>
      <c r="Z40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07" spans="2:26" x14ac:dyDescent="0.35">
      <c r="B407">
        <f t="shared" si="74"/>
        <v>405</v>
      </c>
      <c r="C407" t="s">
        <v>86</v>
      </c>
      <c r="D407" t="s">
        <v>176</v>
      </c>
      <c r="E407">
        <f>IF(WEEKNUM(Combined[[#This Row],[Date]], 1) = 53, 1, WEEKNUM(Combined[[#This Row],[Date]], 2))</f>
        <v>41</v>
      </c>
      <c r="F407" t="str">
        <f t="shared" si="82"/>
        <v>Saturday</v>
      </c>
      <c r="G407" s="41">
        <v>44842</v>
      </c>
      <c r="H407">
        <v>1</v>
      </c>
      <c r="I407" s="1">
        <v>9.5</v>
      </c>
      <c r="J407" s="2">
        <v>4.8611111111111112E-2</v>
      </c>
      <c r="K407" s="12">
        <f>Combined[[#This Row],[Time Spent]]*24</f>
        <v>1.1666666666666667</v>
      </c>
      <c r="L407" s="12">
        <f>MROUND(Combined[[#This Row],[Time Spent 2]],0.25)</f>
        <v>1.25</v>
      </c>
      <c r="M407" s="2" t="s">
        <v>91</v>
      </c>
      <c r="N407" t="s">
        <v>82</v>
      </c>
      <c r="O407">
        <f>MATCH(Combined[[#This Row],[Primary Area]],KPIs!$C$4:$C$7,0)</f>
        <v>3</v>
      </c>
      <c r="P407"/>
      <c r="Q407" s="40">
        <v>45268</v>
      </c>
      <c r="R407" s="40">
        <f t="shared" si="75"/>
        <v>45268</v>
      </c>
      <c r="S407" s="4" t="str">
        <f>TEXT(Mileage[[#This Row],[Date]],"dddd")</f>
        <v>Friday</v>
      </c>
      <c r="T407" s="4" t="s">
        <v>249</v>
      </c>
      <c r="U407" s="4">
        <v>27</v>
      </c>
      <c r="V407" t="str" cm="1">
        <f t="array" ref="V407">IFERROR(VLOOKUP(MODE(IF(Combined[Date]=Mileage[[#This Row],[Date]],Combined[Area '#])),KPIs!$B$4:$C$7,2,FALSE),VLOOKUP(Mileage[[#This Row],[Date]],Combined[[Date]:[Primary Area]],8,FALSE))</f>
        <v>Portland</v>
      </c>
      <c r="W407" s="106">
        <v>0.72916666666666663</v>
      </c>
      <c r="X407" s="12">
        <v>3.08</v>
      </c>
      <c r="Y407" s="4">
        <v>74</v>
      </c>
      <c r="Z40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08" spans="2:26" x14ac:dyDescent="0.35">
      <c r="B408">
        <f t="shared" si="74"/>
        <v>406</v>
      </c>
      <c r="C408" t="s">
        <v>86</v>
      </c>
      <c r="D408" t="s">
        <v>176</v>
      </c>
      <c r="E408">
        <f>IF(WEEKNUM(Combined[[#This Row],[Date]], 1) = 53, 1, WEEKNUM(Combined[[#This Row],[Date]], 2))</f>
        <v>41</v>
      </c>
      <c r="F408" t="str">
        <f t="shared" si="82"/>
        <v>Saturday</v>
      </c>
      <c r="G408" s="41">
        <v>44842</v>
      </c>
      <c r="H408">
        <v>6</v>
      </c>
      <c r="I408" s="1">
        <v>62.17</v>
      </c>
      <c r="J408" s="2">
        <v>0.1451388888888889</v>
      </c>
      <c r="K408" s="12">
        <f>Combined[[#This Row],[Time Spent]]*24</f>
        <v>3.4833333333333334</v>
      </c>
      <c r="L408" s="12">
        <f>MROUND(Combined[[#This Row],[Time Spent 2]],0.25)</f>
        <v>3.5</v>
      </c>
      <c r="M408" s="2" t="s">
        <v>91</v>
      </c>
      <c r="N408" t="s">
        <v>82</v>
      </c>
      <c r="O408">
        <f>MATCH(Combined[[#This Row],[Primary Area]],KPIs!$C$4:$C$7,0)</f>
        <v>3</v>
      </c>
      <c r="P408"/>
      <c r="Q408" s="40">
        <v>45269</v>
      </c>
      <c r="R408" s="40">
        <f t="shared" si="75"/>
        <v>45269</v>
      </c>
      <c r="S408" s="4" t="str">
        <f>TEXT(Mileage[[#This Row],[Date]],"dddd")</f>
        <v>Saturday</v>
      </c>
      <c r="T408" s="4" t="s">
        <v>249</v>
      </c>
      <c r="U408" s="4">
        <v>34</v>
      </c>
      <c r="V408" t="str" cm="1">
        <f t="array" ref="V408">IFERROR(VLOOKUP(MODE(IF(Combined[Date]=Mileage[[#This Row],[Date]],Combined[Area '#])),KPIs!$B$4:$C$7,2,FALSE),VLOOKUP(Mileage[[#This Row],[Date]],Combined[[Date]:[Primary Area]],8,FALSE))</f>
        <v>Lewiston</v>
      </c>
      <c r="W408" s="106">
        <v>0.73611111111111116</v>
      </c>
      <c r="X408" s="12">
        <v>2.25</v>
      </c>
      <c r="Y408" s="4">
        <v>36</v>
      </c>
      <c r="Z4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09" spans="2:26" x14ac:dyDescent="0.35">
      <c r="B409">
        <f t="shared" si="74"/>
        <v>407</v>
      </c>
      <c r="C409" t="s">
        <v>86</v>
      </c>
      <c r="D409" t="s">
        <v>176</v>
      </c>
      <c r="E409">
        <f>IF(WEEKNUM(Combined[[#This Row],[Date]], 1) = 53, 1, WEEKNUM(Combined[[#This Row],[Date]], 2))</f>
        <v>41</v>
      </c>
      <c r="F409" t="str">
        <f t="shared" si="82"/>
        <v>Saturday</v>
      </c>
      <c r="G409" s="41">
        <v>44842</v>
      </c>
      <c r="H409">
        <v>6</v>
      </c>
      <c r="I409" s="1">
        <v>48</v>
      </c>
      <c r="J409" s="2">
        <v>0.10972222222222222</v>
      </c>
      <c r="K409" s="12">
        <f>Combined[[#This Row],[Time Spent]]*24</f>
        <v>2.6333333333333333</v>
      </c>
      <c r="L409" s="12">
        <f>MROUND(Combined[[#This Row],[Time Spent 2]],0.25)</f>
        <v>2.75</v>
      </c>
      <c r="M409" s="2" t="s">
        <v>91</v>
      </c>
      <c r="N409" t="s">
        <v>82</v>
      </c>
      <c r="O409">
        <f>MATCH(Combined[[#This Row],[Primary Area]],KPIs!$C$4:$C$7,0)</f>
        <v>3</v>
      </c>
      <c r="P409"/>
      <c r="Q409" s="40">
        <v>45274</v>
      </c>
      <c r="R409" s="40">
        <f t="shared" si="75"/>
        <v>45274</v>
      </c>
      <c r="S409" s="4" t="str">
        <f>TEXT(Mileage[[#This Row],[Date]],"dddd")</f>
        <v>Thursday</v>
      </c>
      <c r="T409" s="4" t="s">
        <v>249</v>
      </c>
      <c r="U409" s="4">
        <v>28</v>
      </c>
      <c r="V409" t="str" cm="1">
        <f t="array" ref="V409">IFERROR(VLOOKUP(MODE(IF(Combined[Date]=Mileage[[#This Row],[Date]],Combined[Area '#])),KPIs!$B$4:$C$7,2,FALSE),VLOOKUP(Mileage[[#This Row],[Date]],Combined[[Date]:[Primary Area]],8,FALSE))</f>
        <v>Brunswick/Bath/Freeport</v>
      </c>
      <c r="W409" s="106">
        <v>0.71180555555555547</v>
      </c>
      <c r="X409" s="12">
        <v>6.25</v>
      </c>
      <c r="Y409" s="4">
        <v>144</v>
      </c>
      <c r="Z40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0" spans="2:26" x14ac:dyDescent="0.35">
      <c r="B410">
        <f t="shared" si="74"/>
        <v>408</v>
      </c>
      <c r="C410" t="s">
        <v>86</v>
      </c>
      <c r="D410" t="s">
        <v>176</v>
      </c>
      <c r="E410">
        <f>IF(WEEKNUM(Combined[[#This Row],[Date]], 1) = 53, 1, WEEKNUM(Combined[[#This Row],[Date]], 2))</f>
        <v>41</v>
      </c>
      <c r="F410" t="str">
        <f t="shared" si="82"/>
        <v>Saturday</v>
      </c>
      <c r="G410" s="41">
        <v>44842</v>
      </c>
      <c r="H410">
        <v>3</v>
      </c>
      <c r="I410" s="1">
        <v>31</v>
      </c>
      <c r="J410" s="2">
        <v>6.5277777777777782E-2</v>
      </c>
      <c r="K410" s="12">
        <f>Combined[[#This Row],[Time Spent]]*24</f>
        <v>1.5666666666666669</v>
      </c>
      <c r="L410" s="12">
        <f>MROUND(Combined[[#This Row],[Time Spent 2]],0.25)</f>
        <v>1.5</v>
      </c>
      <c r="M410" s="2" t="s">
        <v>92</v>
      </c>
      <c r="N410" t="s">
        <v>82</v>
      </c>
      <c r="O410">
        <f>MATCH(Combined[[#This Row],[Primary Area]],KPIs!$C$4:$C$7,0)</f>
        <v>3</v>
      </c>
      <c r="P410"/>
      <c r="Q410" s="40">
        <v>45276</v>
      </c>
      <c r="R410" s="40">
        <f t="shared" si="75"/>
        <v>45276</v>
      </c>
      <c r="S410" s="4" t="str">
        <f>TEXT(Mileage[[#This Row],[Date]],"dddd")</f>
        <v>Saturday</v>
      </c>
      <c r="T410" s="4" t="s">
        <v>230</v>
      </c>
      <c r="U410" s="4">
        <v>34</v>
      </c>
      <c r="V410" t="str" cm="1">
        <f t="array" ref="V410">IFERROR(VLOOKUP(MODE(IF(Combined[Date]=Mileage[[#This Row],[Date]],Combined[Area '#])),KPIs!$B$4:$C$7,2,FALSE),VLOOKUP(Mileage[[#This Row],[Date]],Combined[[Date]:[Primary Area]],8,FALSE))</f>
        <v>Augusta</v>
      </c>
      <c r="W410" s="106">
        <v>0.72222222222222221</v>
      </c>
      <c r="X410" s="12">
        <v>3.13</v>
      </c>
      <c r="Y410" s="4">
        <v>65</v>
      </c>
      <c r="Z4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11" spans="2:26" x14ac:dyDescent="0.35">
      <c r="B411">
        <f t="shared" si="74"/>
        <v>409</v>
      </c>
      <c r="C411" t="s">
        <v>83</v>
      </c>
      <c r="D411" t="s">
        <v>176</v>
      </c>
      <c r="E411">
        <f>IF(WEEKNUM(Combined[[#This Row],[Date]], 1) = 53, 1, WEEKNUM(Combined[[#This Row],[Date]], 2))</f>
        <v>42</v>
      </c>
      <c r="F411" t="str">
        <f t="shared" ref="F411:F412" si="83">TEXT(WEEKDAY(G411,1),"DDDD")</f>
        <v>Tuesday</v>
      </c>
      <c r="G411" s="41">
        <v>44845</v>
      </c>
      <c r="H411">
        <v>1</v>
      </c>
      <c r="I411" s="1">
        <v>3.27</v>
      </c>
      <c r="J411" s="2">
        <v>0.12013888888888889</v>
      </c>
      <c r="K411" s="12">
        <f>Combined[[#This Row],[Time Spent]]*24</f>
        <v>2.8833333333333333</v>
      </c>
      <c r="L411" s="12">
        <f>MROUND(Combined[[#This Row],[Time Spent 2]],0.25)</f>
        <v>3</v>
      </c>
      <c r="M411" s="2" t="s">
        <v>91</v>
      </c>
      <c r="N411" t="s">
        <v>82</v>
      </c>
      <c r="O411">
        <f>MATCH(Combined[[#This Row],[Primary Area]],KPIs!$C$4:$C$7,0)</f>
        <v>3</v>
      </c>
      <c r="P411"/>
      <c r="Q411" s="40">
        <v>45278</v>
      </c>
      <c r="R411" s="40">
        <f t="shared" si="75"/>
        <v>45278</v>
      </c>
      <c r="S411" s="4" t="str">
        <f>TEXT(Mileage[[#This Row],[Date]],"dddd")</f>
        <v>Monday</v>
      </c>
      <c r="T411" s="4" t="s">
        <v>245</v>
      </c>
      <c r="U411" s="4">
        <v>52</v>
      </c>
      <c r="V411" t="str" cm="1">
        <f t="array" ref="V411">IFERROR(VLOOKUP(MODE(IF(Combined[Date]=Mileage[[#This Row],[Date]],Combined[Area '#])),KPIs!$B$4:$C$7,2,FALSE),VLOOKUP(Mileage[[#This Row],[Date]],Combined[[Date]:[Primary Area]],8,FALSE))</f>
        <v>Brunswick/Bath/Freeport</v>
      </c>
      <c r="W411" s="106">
        <v>0.75694444444444453</v>
      </c>
      <c r="X411" s="12">
        <v>4.3499999999999996</v>
      </c>
      <c r="Y411" s="4">
        <v>65</v>
      </c>
      <c r="Z4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12" spans="2:26" x14ac:dyDescent="0.35">
      <c r="B412">
        <f t="shared" si="74"/>
        <v>410</v>
      </c>
      <c r="C412" t="s">
        <v>86</v>
      </c>
      <c r="D412" t="s">
        <v>176</v>
      </c>
      <c r="E412">
        <f>IF(WEEKNUM(Combined[[#This Row],[Date]], 1) = 53, 1, WEEKNUM(Combined[[#This Row],[Date]], 2))</f>
        <v>42</v>
      </c>
      <c r="F412" t="str">
        <f t="shared" si="83"/>
        <v>Tuesday</v>
      </c>
      <c r="G412" s="41">
        <v>44845</v>
      </c>
      <c r="H412">
        <v>9</v>
      </c>
      <c r="I412" s="1">
        <v>69.75</v>
      </c>
      <c r="J412" s="2">
        <v>0.17986111111111111</v>
      </c>
      <c r="K412" s="12">
        <f>Combined[[#This Row],[Time Spent]]*24</f>
        <v>4.3166666666666664</v>
      </c>
      <c r="L412" s="12">
        <f>MROUND(Combined[[#This Row],[Time Spent 2]],0.25)</f>
        <v>4.25</v>
      </c>
      <c r="M412" s="2" t="s">
        <v>91</v>
      </c>
      <c r="N412" t="s">
        <v>82</v>
      </c>
      <c r="O412">
        <f>MATCH(Combined[[#This Row],[Primary Area]],KPIs!$C$4:$C$7,0)</f>
        <v>3</v>
      </c>
      <c r="P412"/>
      <c r="Q412" s="40">
        <v>45282</v>
      </c>
      <c r="R412" s="40">
        <f t="shared" si="75"/>
        <v>45282</v>
      </c>
      <c r="S412" s="4" t="str">
        <f>TEXT(Mileage[[#This Row],[Date]],"dddd")</f>
        <v>Friday</v>
      </c>
      <c r="T412" s="4" t="s">
        <v>230</v>
      </c>
      <c r="U412" s="4">
        <v>25</v>
      </c>
      <c r="V412" t="str" cm="1">
        <f t="array" ref="V412">IFERROR(VLOOKUP(MODE(IF(Combined[Date]=Mileage[[#This Row],[Date]],Combined[Area '#])),KPIs!$B$4:$C$7,2,FALSE),VLOOKUP(Mileage[[#This Row],[Date]],Combined[[Date]:[Primary Area]],8,FALSE))</f>
        <v>Brunswick/Bath/Freeport</v>
      </c>
      <c r="W412" s="106">
        <v>0.74305555555555547</v>
      </c>
      <c r="X412" s="12">
        <v>4.9000000000000004</v>
      </c>
      <c r="Y412" s="4">
        <v>92</v>
      </c>
      <c r="Z41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3" spans="2:26" x14ac:dyDescent="0.35">
      <c r="B413">
        <f t="shared" si="74"/>
        <v>411</v>
      </c>
      <c r="C413" t="s">
        <v>83</v>
      </c>
      <c r="D413" t="s">
        <v>176</v>
      </c>
      <c r="E413">
        <f>IF(WEEKNUM(Combined[[#This Row],[Date]], 1) = 53, 1, WEEKNUM(Combined[[#This Row],[Date]], 2))</f>
        <v>42</v>
      </c>
      <c r="F413" t="str">
        <f t="shared" ref="F413:F415" si="84">TEXT(WEEKDAY(G413,1),"DDDD")</f>
        <v>Wednesday</v>
      </c>
      <c r="G413" s="41">
        <v>44846</v>
      </c>
      <c r="H413">
        <v>1</v>
      </c>
      <c r="I413" s="1">
        <v>24.7</v>
      </c>
      <c r="J413" s="2">
        <v>0.1423611111111111</v>
      </c>
      <c r="K413" s="12">
        <f>Combined[[#This Row],[Time Spent]]*24</f>
        <v>3.4166666666666665</v>
      </c>
      <c r="L413" s="12">
        <f>MROUND(Combined[[#This Row],[Time Spent 2]],0.25)</f>
        <v>3.5</v>
      </c>
      <c r="M413" s="2" t="s">
        <v>91</v>
      </c>
      <c r="N413" t="s">
        <v>80</v>
      </c>
      <c r="O413">
        <f>MATCH(Combined[[#This Row],[Primary Area]],KPIs!$C$4:$C$7,0)</f>
        <v>2</v>
      </c>
      <c r="P413"/>
      <c r="Q413" s="40">
        <v>45283</v>
      </c>
      <c r="R413" s="40">
        <f t="shared" si="75"/>
        <v>45283</v>
      </c>
      <c r="S413" s="4" t="str">
        <f>TEXT(Mileage[[#This Row],[Date]],"dddd")</f>
        <v>Saturday</v>
      </c>
      <c r="T413" s="4" t="s">
        <v>249</v>
      </c>
      <c r="U413" s="4">
        <v>32</v>
      </c>
      <c r="V413" t="str" cm="1">
        <f t="array" ref="V413">IFERROR(VLOOKUP(MODE(IF(Combined[Date]=Mileage[[#This Row],[Date]],Combined[Area '#])),KPIs!$B$4:$C$7,2,FALSE),VLOOKUP(Mileage[[#This Row],[Date]],Combined[[Date]:[Primary Area]],8,FALSE))</f>
        <v>Brunswick/Bath/Freeport</v>
      </c>
      <c r="W413" s="106">
        <v>0.75</v>
      </c>
      <c r="X413" s="12">
        <v>3.82</v>
      </c>
      <c r="Y413" s="4">
        <v>75</v>
      </c>
      <c r="Z4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14" spans="2:26" x14ac:dyDescent="0.35">
      <c r="B414">
        <f t="shared" si="74"/>
        <v>412</v>
      </c>
      <c r="C414" t="s">
        <v>86</v>
      </c>
      <c r="D414" t="s">
        <v>176</v>
      </c>
      <c r="E414">
        <f>IF(WEEKNUM(Combined[[#This Row],[Date]], 1) = 53, 1, WEEKNUM(Combined[[#This Row],[Date]], 2))</f>
        <v>42</v>
      </c>
      <c r="F414" t="str">
        <f t="shared" si="84"/>
        <v>Wednesday</v>
      </c>
      <c r="G414" s="41">
        <v>44846</v>
      </c>
      <c r="H414">
        <v>1</v>
      </c>
      <c r="I414" s="1">
        <v>6.75</v>
      </c>
      <c r="J414" s="2">
        <v>4.3055555555555562E-2</v>
      </c>
      <c r="K414" s="12">
        <f>Combined[[#This Row],[Time Spent]]*24</f>
        <v>1.0333333333333334</v>
      </c>
      <c r="L414" s="12">
        <f>MROUND(Combined[[#This Row],[Time Spent 2]],0.25)</f>
        <v>1</v>
      </c>
      <c r="M414" s="2" t="s">
        <v>91</v>
      </c>
      <c r="N414" t="s">
        <v>80</v>
      </c>
      <c r="O414">
        <f>MATCH(Combined[[#This Row],[Primary Area]],KPIs!$C$4:$C$7,0)</f>
        <v>2</v>
      </c>
      <c r="P414"/>
      <c r="Q414" s="40">
        <v>45284</v>
      </c>
      <c r="R414" s="40">
        <f t="shared" si="75"/>
        <v>45284</v>
      </c>
      <c r="S414" s="4" t="str">
        <f>TEXT(Mileage[[#This Row],[Date]],"dddd")</f>
        <v>Sunday</v>
      </c>
      <c r="T414" s="4" t="s">
        <v>231</v>
      </c>
      <c r="U414" s="4">
        <v>43</v>
      </c>
      <c r="V414" t="str" cm="1">
        <f t="array" ref="V414">IFERROR(VLOOKUP(MODE(IF(Combined[Date]=Mileage[[#This Row],[Date]],Combined[Area '#])),KPIs!$B$4:$C$7,2,FALSE),VLOOKUP(Mileage[[#This Row],[Date]],Combined[[Date]:[Primary Area]],8,FALSE))</f>
        <v>Brunswick/Bath/Freeport</v>
      </c>
      <c r="W414" s="106">
        <v>0.625</v>
      </c>
      <c r="X414" s="12">
        <v>1.43</v>
      </c>
      <c r="Y414" s="4">
        <v>30</v>
      </c>
      <c r="Z41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5" spans="2:26" x14ac:dyDescent="0.35">
      <c r="B415">
        <f t="shared" si="74"/>
        <v>413</v>
      </c>
      <c r="C415" t="s">
        <v>86</v>
      </c>
      <c r="D415" t="s">
        <v>176</v>
      </c>
      <c r="E415">
        <f>IF(WEEKNUM(Combined[[#This Row],[Date]], 1) = 53, 1, WEEKNUM(Combined[[#This Row],[Date]], 2))</f>
        <v>42</v>
      </c>
      <c r="F415" t="str">
        <f t="shared" si="84"/>
        <v>Wednesday</v>
      </c>
      <c r="G415" s="41">
        <v>44846</v>
      </c>
      <c r="H415">
        <v>4</v>
      </c>
      <c r="I415" s="1">
        <v>37.5</v>
      </c>
      <c r="J415" s="2">
        <v>7.4305555555555555E-2</v>
      </c>
      <c r="K415" s="12">
        <f>Combined[[#This Row],[Time Spent]]*24</f>
        <v>1.7833333333333332</v>
      </c>
      <c r="L415" s="12">
        <f>MROUND(Combined[[#This Row],[Time Spent 2]],0.25)</f>
        <v>1.75</v>
      </c>
      <c r="M415" s="2" t="s">
        <v>91</v>
      </c>
      <c r="N415" t="s">
        <v>80</v>
      </c>
      <c r="O415">
        <f>MATCH(Combined[[#This Row],[Primary Area]],KPIs!$C$4:$C$7,0)</f>
        <v>2</v>
      </c>
      <c r="P415"/>
      <c r="Q415" s="40">
        <v>45287</v>
      </c>
      <c r="R415" s="40">
        <f t="shared" si="75"/>
        <v>45287</v>
      </c>
      <c r="S415" s="4" t="str">
        <f>TEXT(Mileage[[#This Row],[Date]],"dddd")</f>
        <v>Wednesday</v>
      </c>
      <c r="T415" s="4" t="s">
        <v>276</v>
      </c>
      <c r="U415" s="4">
        <v>39</v>
      </c>
      <c r="V415" t="str" cm="1">
        <f t="array" ref="V415">IFERROR(VLOOKUP(MODE(IF(Combined[Date]=Mileage[[#This Row],[Date]],Combined[Area '#])),KPIs!$B$4:$C$7,2,FALSE),VLOOKUP(Mileage[[#This Row],[Date]],Combined[[Date]:[Primary Area]],8,FALSE))</f>
        <v>Brunswick/Bath/Freeport</v>
      </c>
      <c r="W415" s="106">
        <v>0.72916666666666663</v>
      </c>
      <c r="X415" s="12">
        <v>4.25</v>
      </c>
      <c r="Y415" s="4">
        <v>80</v>
      </c>
      <c r="Z41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6" spans="2:26" x14ac:dyDescent="0.35">
      <c r="B416">
        <f t="shared" si="74"/>
        <v>414</v>
      </c>
      <c r="C416" t="s">
        <v>86</v>
      </c>
      <c r="D416" t="s">
        <v>176</v>
      </c>
      <c r="E416">
        <f>IF(WEEKNUM(Combined[[#This Row],[Date]], 1) = 53, 1, WEEKNUM(Combined[[#This Row],[Date]], 2))</f>
        <v>42</v>
      </c>
      <c r="F416" t="str">
        <f>TEXT(WEEKDAY(G416,1),"DDDD")</f>
        <v>Wednesday</v>
      </c>
      <c r="G416" s="41">
        <v>44846</v>
      </c>
      <c r="H416">
        <v>3</v>
      </c>
      <c r="I416" s="1">
        <v>22</v>
      </c>
      <c r="J416" s="2">
        <v>6.805555555555555E-2</v>
      </c>
      <c r="K416" s="12">
        <f>Combined[[#This Row],[Time Spent]]*24</f>
        <v>1.6333333333333333</v>
      </c>
      <c r="L416" s="12">
        <f>MROUND(Combined[[#This Row],[Time Spent 2]],0.25)</f>
        <v>1.75</v>
      </c>
      <c r="M416" s="2" t="s">
        <v>92</v>
      </c>
      <c r="N416" t="s">
        <v>80</v>
      </c>
      <c r="O416">
        <f>MATCH(Combined[[#This Row],[Primary Area]],KPIs!$C$4:$C$7,0)</f>
        <v>2</v>
      </c>
      <c r="P416"/>
      <c r="Q416" s="40">
        <v>45289</v>
      </c>
      <c r="R416" s="40">
        <f t="shared" si="75"/>
        <v>45289</v>
      </c>
      <c r="S416" s="4" t="str">
        <f>TEXT(Mileage[[#This Row],[Date]],"dddd")</f>
        <v>Friday</v>
      </c>
      <c r="T416" s="4" t="s">
        <v>276</v>
      </c>
      <c r="U416" s="4">
        <v>36</v>
      </c>
      <c r="V416" t="str" cm="1">
        <f t="array" ref="V416">IFERROR(VLOOKUP(MODE(IF(Combined[Date]=Mileage[[#This Row],[Date]],Combined[Area '#])),KPIs!$B$4:$C$7,2,FALSE),VLOOKUP(Mileage[[#This Row],[Date]],Combined[[Date]:[Primary Area]],8,FALSE))</f>
        <v>Brunswick/Bath/Freeport</v>
      </c>
      <c r="W416" s="106">
        <v>0.72569444444444453</v>
      </c>
      <c r="X416" s="12">
        <v>6.8</v>
      </c>
      <c r="Y416" s="4">
        <v>150</v>
      </c>
      <c r="Z4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7" spans="2:26" x14ac:dyDescent="0.35">
      <c r="B417">
        <f t="shared" si="74"/>
        <v>415</v>
      </c>
      <c r="C417" t="s">
        <v>83</v>
      </c>
      <c r="D417" t="s">
        <v>176</v>
      </c>
      <c r="E417">
        <f>IF(WEEKNUM(Combined[[#This Row],[Date]], 1) = 53, 1, WEEKNUM(Combined[[#This Row],[Date]], 2))</f>
        <v>42</v>
      </c>
      <c r="F417" t="str">
        <f t="shared" ref="F417:F420" si="85">TEXT(WEEKDAY(G417,1),"DDDD")</f>
        <v>Friday</v>
      </c>
      <c r="G417" s="41">
        <v>44848</v>
      </c>
      <c r="H417">
        <v>9</v>
      </c>
      <c r="I417" s="1">
        <v>159.03</v>
      </c>
      <c r="J417" s="2">
        <v>0.28402777777777777</v>
      </c>
      <c r="K417" s="12">
        <f>Combined[[#This Row],[Time Spent]]*24</f>
        <v>6.8166666666666664</v>
      </c>
      <c r="L417" s="12">
        <f>MROUND(Combined[[#This Row],[Time Spent 2]],0.25)</f>
        <v>6.75</v>
      </c>
      <c r="M417" s="2" t="s">
        <v>91</v>
      </c>
      <c r="N417" t="s">
        <v>80</v>
      </c>
      <c r="O417">
        <f>MATCH(Combined[[#This Row],[Primary Area]],KPIs!$C$4:$C$7,0)</f>
        <v>2</v>
      </c>
      <c r="P417"/>
      <c r="Q417" s="40">
        <v>45292</v>
      </c>
      <c r="R417" s="40">
        <f t="shared" si="75"/>
        <v>45292</v>
      </c>
      <c r="S417" s="4" t="str">
        <f>TEXT(Mileage[[#This Row],[Date]],"dddd")</f>
        <v>Monday</v>
      </c>
      <c r="T417" s="4" t="s">
        <v>231</v>
      </c>
      <c r="U417" s="4">
        <v>27</v>
      </c>
      <c r="V417" t="str" cm="1">
        <f t="array" ref="V417">IFERROR(VLOOKUP(MODE(IF(Combined[Date]=Mileage[[#This Row],[Date]],Combined[Area '#])),KPIs!$B$4:$C$7,2,FALSE),VLOOKUP(Mileage[[#This Row],[Date]],Combined[[Date]:[Primary Area]],8,FALSE))</f>
        <v>Portland</v>
      </c>
      <c r="W417" s="106">
        <v>0.77777777777777779</v>
      </c>
      <c r="X417" s="12">
        <v>3.35</v>
      </c>
      <c r="Y417" s="4">
        <v>83</v>
      </c>
      <c r="Z41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8" spans="2:26" x14ac:dyDescent="0.35">
      <c r="B418">
        <f t="shared" si="74"/>
        <v>416</v>
      </c>
      <c r="C418" t="s">
        <v>86</v>
      </c>
      <c r="D418" t="s">
        <v>176</v>
      </c>
      <c r="E418">
        <f>IF(WEEKNUM(Combined[[#This Row],[Date]], 1) = 53, 1, WEEKNUM(Combined[[#This Row],[Date]], 2))</f>
        <v>42</v>
      </c>
      <c r="F418" t="str">
        <f t="shared" si="85"/>
        <v>Friday</v>
      </c>
      <c r="G418" s="41">
        <v>44848</v>
      </c>
      <c r="H418">
        <v>1</v>
      </c>
      <c r="I418" s="1">
        <v>5.75</v>
      </c>
      <c r="J418" s="2">
        <v>2.361111111111111E-2</v>
      </c>
      <c r="K418" s="12">
        <f>Combined[[#This Row],[Time Spent]]*24</f>
        <v>0.56666666666666665</v>
      </c>
      <c r="L418" s="12">
        <f>MROUND(Combined[[#This Row],[Time Spent 2]],0.25)</f>
        <v>0.5</v>
      </c>
      <c r="M418" s="2" t="s">
        <v>91</v>
      </c>
      <c r="N418" t="s">
        <v>80</v>
      </c>
      <c r="O418">
        <f>MATCH(Combined[[#This Row],[Primary Area]],KPIs!$C$4:$C$7,0)</f>
        <v>2</v>
      </c>
      <c r="P418"/>
      <c r="Q418" s="40">
        <v>45293</v>
      </c>
      <c r="R418" s="40">
        <f t="shared" si="75"/>
        <v>45293</v>
      </c>
      <c r="S418" s="4" t="str">
        <f>TEXT(Mileage[[#This Row],[Date]],"dddd")</f>
        <v>Tuesday</v>
      </c>
      <c r="T418" s="4" t="s">
        <v>230</v>
      </c>
      <c r="U418" s="4">
        <v>28</v>
      </c>
      <c r="V418" t="str" cm="1">
        <f t="array" ref="V418">IFERROR(VLOOKUP(MODE(IF(Combined[Date]=Mileage[[#This Row],[Date]],Combined[Area '#])),KPIs!$B$4:$C$7,2,FALSE),VLOOKUP(Mileage[[#This Row],[Date]],Combined[[Date]:[Primary Area]],8,FALSE))</f>
        <v>Portland</v>
      </c>
      <c r="W418" s="106">
        <v>0.70138888888888884</v>
      </c>
      <c r="X418" s="12">
        <v>3.55</v>
      </c>
      <c r="Y418" s="4">
        <v>91</v>
      </c>
      <c r="Z41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19" spans="2:26" x14ac:dyDescent="0.35">
      <c r="B419">
        <f t="shared" si="74"/>
        <v>417</v>
      </c>
      <c r="C419" t="s">
        <v>86</v>
      </c>
      <c r="D419" t="s">
        <v>176</v>
      </c>
      <c r="E419">
        <f>IF(WEEKNUM(Combined[[#This Row],[Date]], 1) = 53, 1, WEEKNUM(Combined[[#This Row],[Date]], 2))</f>
        <v>42</v>
      </c>
      <c r="F419" t="str">
        <f t="shared" si="85"/>
        <v>Friday</v>
      </c>
      <c r="G419" s="41">
        <v>44848</v>
      </c>
      <c r="H419">
        <v>1</v>
      </c>
      <c r="I419" s="1">
        <v>4.25</v>
      </c>
      <c r="J419" s="2">
        <v>1.4583333333333332E-2</v>
      </c>
      <c r="K419" s="12">
        <f>Combined[[#This Row],[Time Spent]]*24</f>
        <v>0.35</v>
      </c>
      <c r="L419" s="12">
        <f>MROUND(Combined[[#This Row],[Time Spent 2]],0.25)</f>
        <v>0.25</v>
      </c>
      <c r="M419" s="2" t="s">
        <v>92</v>
      </c>
      <c r="N419" t="s">
        <v>80</v>
      </c>
      <c r="O419">
        <f>MATCH(Combined[[#This Row],[Primary Area]],KPIs!$C$4:$C$7,0)</f>
        <v>2</v>
      </c>
      <c r="P419"/>
      <c r="Q419" s="40">
        <v>45294</v>
      </c>
      <c r="R419" s="40">
        <f t="shared" si="75"/>
        <v>45294</v>
      </c>
      <c r="S419" s="4" t="str">
        <f>TEXT(Mileage[[#This Row],[Date]],"dddd")</f>
        <v>Wednesday</v>
      </c>
      <c r="T419" s="4" t="s">
        <v>231</v>
      </c>
      <c r="U419" s="4">
        <v>34</v>
      </c>
      <c r="V419" t="str" cm="1">
        <f t="array" ref="V419">IFERROR(VLOOKUP(MODE(IF(Combined[Date]=Mileage[[#This Row],[Date]],Combined[Area '#])),KPIs!$B$4:$C$7,2,FALSE),VLOOKUP(Mileage[[#This Row],[Date]],Combined[[Date]:[Primary Area]],8,FALSE))</f>
        <v>Brunswick/Bath/Freeport</v>
      </c>
      <c r="W419" s="106">
        <v>0.71527777777777779</v>
      </c>
      <c r="X419" s="12">
        <v>3.72</v>
      </c>
      <c r="Y419" s="4">
        <v>58</v>
      </c>
      <c r="Z41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20" spans="2:26" x14ac:dyDescent="0.35">
      <c r="B420">
        <f t="shared" si="74"/>
        <v>418</v>
      </c>
      <c r="C420" t="s">
        <v>86</v>
      </c>
      <c r="D420" t="s">
        <v>176</v>
      </c>
      <c r="E420">
        <f>IF(WEEKNUM(Combined[[#This Row],[Date]], 1) = 53, 1, WEEKNUM(Combined[[#This Row],[Date]], 2))</f>
        <v>42</v>
      </c>
      <c r="F420" t="str">
        <f t="shared" si="85"/>
        <v>Friday</v>
      </c>
      <c r="G420" s="41">
        <v>44848</v>
      </c>
      <c r="H420">
        <v>1</v>
      </c>
      <c r="I420" s="1">
        <v>8.5</v>
      </c>
      <c r="J420" s="2">
        <v>5.1388888888888894E-2</v>
      </c>
      <c r="K420" s="12">
        <f>Combined[[#This Row],[Time Spent]]*24</f>
        <v>1.2333333333333334</v>
      </c>
      <c r="L420" s="12">
        <f>MROUND(Combined[[#This Row],[Time Spent 2]],0.25)</f>
        <v>1.25</v>
      </c>
      <c r="M420" s="2" t="s">
        <v>92</v>
      </c>
      <c r="N420" t="s">
        <v>80</v>
      </c>
      <c r="O420">
        <f>MATCH(Combined[[#This Row],[Primary Area]],KPIs!$C$4:$C$7,0)</f>
        <v>2</v>
      </c>
      <c r="P420"/>
      <c r="Q420" s="40">
        <v>45296</v>
      </c>
      <c r="R420" s="40">
        <f t="shared" si="75"/>
        <v>45296</v>
      </c>
      <c r="S420" s="4" t="str">
        <f>TEXT(Mileage[[#This Row],[Date]],"dddd")</f>
        <v>Friday</v>
      </c>
      <c r="T420" s="4" t="s">
        <v>230</v>
      </c>
      <c r="U420" s="4">
        <v>25</v>
      </c>
      <c r="V420" t="str" cm="1">
        <f t="array" ref="V420">IFERROR(VLOOKUP(MODE(IF(Combined[Date]=Mileage[[#This Row],[Date]],Combined[Area '#])),KPIs!$B$4:$C$7,2,FALSE),VLOOKUP(Mileage[[#This Row],[Date]],Combined[[Date]:[Primary Area]],8,FALSE))</f>
        <v>Brunswick/Bath/Freeport</v>
      </c>
      <c r="W420" s="106">
        <v>0.79861111111111116</v>
      </c>
      <c r="X420" s="12">
        <v>2.63</v>
      </c>
      <c r="Y420" s="4">
        <v>57</v>
      </c>
      <c r="Z42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21" spans="2:26" x14ac:dyDescent="0.35">
      <c r="B421">
        <f t="shared" si="74"/>
        <v>419</v>
      </c>
      <c r="C421" t="s">
        <v>83</v>
      </c>
      <c r="D421" t="s">
        <v>176</v>
      </c>
      <c r="E421">
        <f>IF(WEEKNUM(Combined[[#This Row],[Date]], 1) = 53, 1, WEEKNUM(Combined[[#This Row],[Date]], 2))</f>
        <v>45</v>
      </c>
      <c r="F421" t="str">
        <f t="shared" ref="F421:F424" si="86">TEXT(WEEKDAY(G421,1),"DDDD")</f>
        <v>Friday</v>
      </c>
      <c r="G421" s="41">
        <v>44869</v>
      </c>
      <c r="H421">
        <v>1</v>
      </c>
      <c r="I421" s="1">
        <v>22.03</v>
      </c>
      <c r="J421" s="2">
        <v>0.15694444444444444</v>
      </c>
      <c r="K421" s="12">
        <f>Combined[[#This Row],[Time Spent]]*24</f>
        <v>3.7666666666666666</v>
      </c>
      <c r="L421" s="12">
        <f>MROUND(Combined[[#This Row],[Time Spent 2]],0.25)</f>
        <v>3.75</v>
      </c>
      <c r="M421" s="2" t="s">
        <v>91</v>
      </c>
      <c r="N421" t="s">
        <v>80</v>
      </c>
      <c r="O421">
        <f>MATCH(Combined[[#This Row],[Primary Area]],KPIs!$C$4:$C$7,0)</f>
        <v>2</v>
      </c>
      <c r="P421"/>
      <c r="Q421" s="40">
        <v>45297</v>
      </c>
      <c r="R421" s="40">
        <f t="shared" si="75"/>
        <v>45297</v>
      </c>
      <c r="S421" s="4" t="str">
        <f>TEXT(Mileage[[#This Row],[Date]],"dddd")</f>
        <v>Saturday</v>
      </c>
      <c r="T421" s="4" t="s">
        <v>231</v>
      </c>
      <c r="U421" s="4">
        <v>25</v>
      </c>
      <c r="V421" t="str" cm="1">
        <f t="array" ref="V421">IFERROR(VLOOKUP(MODE(IF(Combined[Date]=Mileage[[#This Row],[Date]],Combined[Area '#])),KPIs!$B$4:$C$7,2,FALSE),VLOOKUP(Mileage[[#This Row],[Date]],Combined[[Date]:[Primary Area]],8,FALSE))</f>
        <v>Portland</v>
      </c>
      <c r="W421" s="106">
        <v>0.63541666666666663</v>
      </c>
      <c r="X421" s="12">
        <v>5.32</v>
      </c>
      <c r="Y421" s="4">
        <v>122</v>
      </c>
      <c r="Z4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2" spans="2:26" x14ac:dyDescent="0.35">
      <c r="B422">
        <f t="shared" si="74"/>
        <v>420</v>
      </c>
      <c r="C422" t="s">
        <v>86</v>
      </c>
      <c r="D422" t="s">
        <v>176</v>
      </c>
      <c r="E422">
        <f>IF(WEEKNUM(Combined[[#This Row],[Date]], 1) = 53, 1, WEEKNUM(Combined[[#This Row],[Date]], 2))</f>
        <v>45</v>
      </c>
      <c r="F422" t="str">
        <f t="shared" si="86"/>
        <v>Friday</v>
      </c>
      <c r="G422" s="41">
        <v>44869</v>
      </c>
      <c r="H422">
        <v>5</v>
      </c>
      <c r="I422" s="1">
        <v>41</v>
      </c>
      <c r="J422" s="2">
        <v>8.819444444444445E-2</v>
      </c>
      <c r="K422" s="12">
        <f>Combined[[#This Row],[Time Spent]]*24</f>
        <v>2.1166666666666667</v>
      </c>
      <c r="L422" s="12">
        <f>MROUND(Combined[[#This Row],[Time Spent 2]],0.25)</f>
        <v>2</v>
      </c>
      <c r="M422" s="2" t="s">
        <v>91</v>
      </c>
      <c r="N422" t="s">
        <v>80</v>
      </c>
      <c r="O422">
        <f>MATCH(Combined[[#This Row],[Primary Area]],KPIs!$C$4:$C$7,0)</f>
        <v>2</v>
      </c>
      <c r="P422"/>
      <c r="Q422" s="40">
        <v>45298</v>
      </c>
      <c r="R422" s="40">
        <f t="shared" si="75"/>
        <v>45298</v>
      </c>
      <c r="S422" s="4" t="str">
        <f>TEXT(Mileage[[#This Row],[Date]],"dddd")</f>
        <v>Sunday</v>
      </c>
      <c r="T422" s="4" t="s">
        <v>232</v>
      </c>
      <c r="U422" s="4">
        <v>19</v>
      </c>
      <c r="V422" t="str" cm="1">
        <f t="array" ref="V422">IFERROR(VLOOKUP(MODE(IF(Combined[Date]=Mileage[[#This Row],[Date]],Combined[Area '#])),KPIs!$B$4:$C$7,2,FALSE),VLOOKUP(Mileage[[#This Row],[Date]],Combined[[Date]:[Primary Area]],8,FALSE))</f>
        <v>Brunswick/Bath/Freeport</v>
      </c>
      <c r="W422" s="106">
        <v>0.52777777777777779</v>
      </c>
      <c r="X422" s="12">
        <v>3.9</v>
      </c>
      <c r="Y422" s="4">
        <v>72</v>
      </c>
      <c r="Z42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23" spans="2:26" x14ac:dyDescent="0.35">
      <c r="B423">
        <f t="shared" si="74"/>
        <v>421</v>
      </c>
      <c r="C423" t="s">
        <v>86</v>
      </c>
      <c r="D423" t="s">
        <v>175</v>
      </c>
      <c r="E423">
        <f>IF(WEEKNUM(Combined[[#This Row],[Date]], 1) = 53, 1, WEEKNUM(Combined[[#This Row],[Date]], 2))</f>
        <v>45</v>
      </c>
      <c r="F423" t="str">
        <f t="shared" si="86"/>
        <v>Friday</v>
      </c>
      <c r="G423" s="41">
        <v>44869</v>
      </c>
      <c r="H423">
        <v>2</v>
      </c>
      <c r="I423" s="1">
        <v>22.17</v>
      </c>
      <c r="J423" s="2">
        <v>6.3888888888888884E-2</v>
      </c>
      <c r="K423" s="12">
        <f>Combined[[#This Row],[Time Spent]]*24</f>
        <v>1.5333333333333332</v>
      </c>
      <c r="L423" s="12">
        <f>MROUND(Combined[[#This Row],[Time Spent 2]],0.25)</f>
        <v>1.5</v>
      </c>
      <c r="M423" s="2" t="s">
        <v>92</v>
      </c>
      <c r="N423" t="s">
        <v>80</v>
      </c>
      <c r="O423">
        <f>MATCH(Combined[[#This Row],[Primary Area]],KPIs!$C$4:$C$7,0)</f>
        <v>2</v>
      </c>
      <c r="P423"/>
      <c r="Q423" s="40">
        <v>45299</v>
      </c>
      <c r="R423" s="40">
        <f t="shared" si="75"/>
        <v>45299</v>
      </c>
      <c r="S423" s="4" t="str">
        <f>TEXT(Mileage[[#This Row],[Date]],"dddd")</f>
        <v>Monday</v>
      </c>
      <c r="T423" s="4" t="s">
        <v>230</v>
      </c>
      <c r="U423" s="4">
        <v>27</v>
      </c>
      <c r="V423" t="str" cm="1">
        <f t="array" ref="V423">IFERROR(VLOOKUP(MODE(IF(Combined[Date]=Mileage[[#This Row],[Date]],Combined[Area '#])),KPIs!$B$4:$C$7,2,FALSE),VLOOKUP(Mileage[[#This Row],[Date]],Combined[[Date]:[Primary Area]],8,FALSE))</f>
        <v>Brunswick/Bath/Freeport</v>
      </c>
      <c r="W423" s="106">
        <v>0.72569444444444453</v>
      </c>
      <c r="X423" s="12">
        <v>2.9</v>
      </c>
      <c r="Y423" s="4">
        <v>64</v>
      </c>
      <c r="Z42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4" spans="2:26" x14ac:dyDescent="0.35">
      <c r="B424">
        <f t="shared" si="74"/>
        <v>422</v>
      </c>
      <c r="C424" t="s">
        <v>86</v>
      </c>
      <c r="D424" t="s">
        <v>175</v>
      </c>
      <c r="E424">
        <f>IF(WEEKNUM(Combined[[#This Row],[Date]], 1) = 53, 1, WEEKNUM(Combined[[#This Row],[Date]], 2))</f>
        <v>45</v>
      </c>
      <c r="F424" t="str">
        <f t="shared" si="86"/>
        <v>Friday</v>
      </c>
      <c r="G424" s="41">
        <v>44869</v>
      </c>
      <c r="H424">
        <v>1</v>
      </c>
      <c r="I424" s="1">
        <v>10.01</v>
      </c>
      <c r="J424" s="2">
        <v>3.125E-2</v>
      </c>
      <c r="K424" s="12">
        <f>Combined[[#This Row],[Time Spent]]*24</f>
        <v>0.75</v>
      </c>
      <c r="L424" s="12">
        <f>MROUND(Combined[[#This Row],[Time Spent 2]],0.25)</f>
        <v>0.75</v>
      </c>
      <c r="M424" s="2" t="s">
        <v>92</v>
      </c>
      <c r="N424" t="s">
        <v>80</v>
      </c>
      <c r="O424">
        <f>MATCH(Combined[[#This Row],[Primary Area]],KPIs!$C$4:$C$7,0)</f>
        <v>2</v>
      </c>
      <c r="P424"/>
      <c r="Q424" s="40">
        <v>45300</v>
      </c>
      <c r="R424" s="40">
        <f t="shared" si="75"/>
        <v>45300</v>
      </c>
      <c r="S424" s="4" t="str">
        <f>TEXT(Mileage[[#This Row],[Date]],"dddd")</f>
        <v>Tuesday</v>
      </c>
      <c r="T424" s="4" t="s">
        <v>234</v>
      </c>
      <c r="U424" s="4">
        <v>34</v>
      </c>
      <c r="V424" t="str" cm="1">
        <f t="array" ref="V424">IFERROR(VLOOKUP(MODE(IF(Combined[Date]=Mileage[[#This Row],[Date]],Combined[Area '#])),KPIs!$B$4:$C$7,2,FALSE),VLOOKUP(Mileage[[#This Row],[Date]],Combined[[Date]:[Primary Area]],8,FALSE))</f>
        <v>Brunswick/Bath/Freeport</v>
      </c>
      <c r="W424" s="106">
        <v>0.71875</v>
      </c>
      <c r="X424" s="12">
        <v>2.95</v>
      </c>
      <c r="Y424" s="4">
        <v>78</v>
      </c>
      <c r="Z4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5" spans="2:26" x14ac:dyDescent="0.35">
      <c r="B425">
        <f t="shared" si="74"/>
        <v>423</v>
      </c>
      <c r="C425" t="s">
        <v>83</v>
      </c>
      <c r="D425" t="s">
        <v>176</v>
      </c>
      <c r="E425">
        <f>IF(WEEKNUM(Combined[[#This Row],[Date]], 1) = 53, 1, WEEKNUM(Combined[[#This Row],[Date]], 2))</f>
        <v>46</v>
      </c>
      <c r="F425" t="str">
        <f>TEXT(WEEKDAY(G425,1),"DDDD")</f>
        <v>Monday</v>
      </c>
      <c r="G425" s="41">
        <v>44872</v>
      </c>
      <c r="H425">
        <v>7</v>
      </c>
      <c r="I425" s="1">
        <v>82.87</v>
      </c>
      <c r="J425" s="2">
        <v>0.13958333333333334</v>
      </c>
      <c r="K425" s="12">
        <f>Combined[[#This Row],[Time Spent]]*24</f>
        <v>3.35</v>
      </c>
      <c r="L425" s="12">
        <f>MROUND(Combined[[#This Row],[Time Spent 2]],0.25)</f>
        <v>3.25</v>
      </c>
      <c r="M425" s="2" t="s">
        <v>91</v>
      </c>
      <c r="N425" t="s">
        <v>85</v>
      </c>
      <c r="O425">
        <f>MATCH(Combined[[#This Row],[Primary Area]],KPIs!$C$4:$C$7,0)</f>
        <v>4</v>
      </c>
      <c r="P425"/>
      <c r="Q425" s="40">
        <v>45301</v>
      </c>
      <c r="R425" s="40">
        <f t="shared" si="75"/>
        <v>45301</v>
      </c>
      <c r="S425" s="4" t="str">
        <f>TEXT(Mileage[[#This Row],[Date]],"dddd")</f>
        <v>Wednesday</v>
      </c>
      <c r="T425" s="4" t="s">
        <v>249</v>
      </c>
      <c r="U425" s="4">
        <v>39</v>
      </c>
      <c r="V425" t="str" cm="1">
        <f t="array" ref="V425">IFERROR(VLOOKUP(MODE(IF(Combined[Date]=Mileage[[#This Row],[Date]],Combined[Area '#])),KPIs!$B$4:$C$7,2,FALSE),VLOOKUP(Mileage[[#This Row],[Date]],Combined[[Date]:[Primary Area]],8,FALSE))</f>
        <v>Brunswick/Bath/Freeport</v>
      </c>
      <c r="W425" s="106">
        <v>0.75694444444444453</v>
      </c>
      <c r="X425" s="12">
        <v>0.75</v>
      </c>
      <c r="Y425" s="4">
        <v>9</v>
      </c>
      <c r="Z4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6" spans="2:26" x14ac:dyDescent="0.35">
      <c r="B426">
        <f t="shared" si="74"/>
        <v>424</v>
      </c>
      <c r="C426" t="s">
        <v>86</v>
      </c>
      <c r="D426" t="s">
        <v>175</v>
      </c>
      <c r="E426">
        <f>IF(WEEKNUM(Combined[[#This Row],[Date]], 1) = 53, 1, WEEKNUM(Combined[[#This Row],[Date]], 2))</f>
        <v>46</v>
      </c>
      <c r="F426" t="str">
        <f>TEXT(WEEKDAY(G426,1),"DDDD")</f>
        <v>Monday</v>
      </c>
      <c r="G426" s="41">
        <v>44872</v>
      </c>
      <c r="H426">
        <v>1</v>
      </c>
      <c r="I426" s="1">
        <v>8.16</v>
      </c>
      <c r="J426" s="2">
        <v>6.458333333333334E-2</v>
      </c>
      <c r="K426" s="12">
        <f>Combined[[#This Row],[Time Spent]]*24</f>
        <v>1.5500000000000003</v>
      </c>
      <c r="L426" s="12">
        <f>MROUND(Combined[[#This Row],[Time Spent 2]],0.25)</f>
        <v>1.5</v>
      </c>
      <c r="M426" s="2" t="s">
        <v>91</v>
      </c>
      <c r="N426" t="s">
        <v>85</v>
      </c>
      <c r="O426">
        <f>MATCH(Combined[[#This Row],[Primary Area]],KPIs!$C$4:$C$7,0)</f>
        <v>4</v>
      </c>
      <c r="Q426" s="40">
        <v>45302</v>
      </c>
      <c r="R426" s="40">
        <f t="shared" si="75"/>
        <v>45302</v>
      </c>
      <c r="S426" s="4" t="str">
        <f>TEXT(Mileage[[#This Row],[Date]],"dddd")</f>
        <v>Thursday</v>
      </c>
      <c r="T426" s="4" t="s">
        <v>231</v>
      </c>
      <c r="U426" s="4">
        <v>36</v>
      </c>
      <c r="V426" t="str" cm="1">
        <f t="array" ref="V426">IFERROR(VLOOKUP(MODE(IF(Combined[Date]=Mileage[[#This Row],[Date]],Combined[Area '#])),KPIs!$B$4:$C$7,2,FALSE),VLOOKUP(Mileage[[#This Row],[Date]],Combined[[Date]:[Primary Area]],8,FALSE))</f>
        <v>Augusta</v>
      </c>
      <c r="W426" s="106">
        <v>0.71875</v>
      </c>
      <c r="X426" s="12">
        <v>3.27</v>
      </c>
      <c r="Y426" s="4">
        <v>77</v>
      </c>
      <c r="Z4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27" spans="2:26" x14ac:dyDescent="0.35">
      <c r="B427">
        <f t="shared" si="74"/>
        <v>425</v>
      </c>
      <c r="C427" t="s">
        <v>86</v>
      </c>
      <c r="D427" t="s">
        <v>175</v>
      </c>
      <c r="E427">
        <f>IF(WEEKNUM(Combined[[#This Row],[Date]], 1) = 53, 1, WEEKNUM(Combined[[#This Row],[Date]], 2))</f>
        <v>46</v>
      </c>
      <c r="F427" t="str">
        <f>TEXT(WEEKDAY(G427,1),"DDDD")</f>
        <v>Monday</v>
      </c>
      <c r="G427" s="41">
        <v>44872</v>
      </c>
      <c r="H427">
        <v>3</v>
      </c>
      <c r="I427" s="1">
        <v>38.14</v>
      </c>
      <c r="J427" s="2">
        <v>6.5277777777777782E-2</v>
      </c>
      <c r="K427" s="12">
        <f>Combined[[#This Row],[Time Spent]]*24</f>
        <v>1.5666666666666669</v>
      </c>
      <c r="L427" s="12">
        <f>MROUND(Combined[[#This Row],[Time Spent 2]],0.25)</f>
        <v>1.5</v>
      </c>
      <c r="M427" s="2" t="s">
        <v>92</v>
      </c>
      <c r="N427" t="s">
        <v>85</v>
      </c>
      <c r="O427">
        <f>MATCH(Combined[[#This Row],[Primary Area]],KPIs!$C$4:$C$7,0)</f>
        <v>4</v>
      </c>
      <c r="Q427" s="40">
        <v>45304</v>
      </c>
      <c r="R427" s="40">
        <f t="shared" si="75"/>
        <v>45304</v>
      </c>
      <c r="S427" s="4" t="str">
        <f>TEXT(Mileage[[#This Row],[Date]],"dddd")</f>
        <v>Saturday</v>
      </c>
      <c r="T427" s="4" t="s">
        <v>230</v>
      </c>
      <c r="U427" s="4">
        <v>28</v>
      </c>
      <c r="V427" t="str" cm="1">
        <f t="array" ref="V427">IFERROR(VLOOKUP(MODE(IF(Combined[Date]=Mileage[[#This Row],[Date]],Combined[Area '#])),KPIs!$B$4:$C$7,2,FALSE),VLOOKUP(Mileage[[#This Row],[Date]],Combined[[Date]:[Primary Area]],8,FALSE))</f>
        <v>Lewiston</v>
      </c>
      <c r="W427" s="106">
        <v>0.69791666666666663</v>
      </c>
      <c r="X427" s="12">
        <v>2.1</v>
      </c>
      <c r="Y427" s="4">
        <v>46</v>
      </c>
      <c r="Z42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8" spans="2:26" x14ac:dyDescent="0.35">
      <c r="B428">
        <f t="shared" si="74"/>
        <v>426</v>
      </c>
      <c r="C428" t="s">
        <v>83</v>
      </c>
      <c r="D428" t="s">
        <v>176</v>
      </c>
      <c r="E428">
        <f>IF(WEEKNUM(Combined[[#This Row],[Date]], 1) = 53, 1, WEEKNUM(Combined[[#This Row],[Date]], 2))</f>
        <v>46</v>
      </c>
      <c r="F428" t="str">
        <f>TEXT(WEEKDAY(G428,1),"DDDD")</f>
        <v>Wednesday</v>
      </c>
      <c r="G428" s="41">
        <v>44874</v>
      </c>
      <c r="H428">
        <v>1</v>
      </c>
      <c r="I428" s="1">
        <v>8.09</v>
      </c>
      <c r="J428" s="2">
        <v>3.9583333333333331E-2</v>
      </c>
      <c r="K428" s="12">
        <f>Combined[[#This Row],[Time Spent]]*24</f>
        <v>0.95</v>
      </c>
      <c r="L428" s="12">
        <f>MROUND(Combined[[#This Row],[Time Spent 2]],0.25)</f>
        <v>1</v>
      </c>
      <c r="M428" s="2" t="s">
        <v>91</v>
      </c>
      <c r="N428" t="s">
        <v>82</v>
      </c>
      <c r="O428">
        <f>MATCH(Combined[[#This Row],[Primary Area]],KPIs!$C$4:$C$7,0)</f>
        <v>3</v>
      </c>
      <c r="Q428" s="40">
        <v>45305</v>
      </c>
      <c r="R428" s="40">
        <f t="shared" si="75"/>
        <v>45305</v>
      </c>
      <c r="S428" s="4" t="str">
        <f>TEXT(Mileage[[#This Row],[Date]],"dddd")</f>
        <v>Sunday</v>
      </c>
      <c r="T428" s="4" t="s">
        <v>230</v>
      </c>
      <c r="U428" s="4">
        <v>30</v>
      </c>
      <c r="V428" t="str" cm="1">
        <f t="array" ref="V428">IFERROR(VLOOKUP(MODE(IF(Combined[Date]=Mileage[[#This Row],[Date]],Combined[Area '#])),KPIs!$B$4:$C$7,2,FALSE),VLOOKUP(Mileage[[#This Row],[Date]],Combined[[Date]:[Primary Area]],8,FALSE))</f>
        <v>Brunswick/Bath/Freeport</v>
      </c>
      <c r="W428" s="106">
        <v>0.72222222222222221</v>
      </c>
      <c r="X428" s="12">
        <v>3.1</v>
      </c>
      <c r="Y428" s="4">
        <v>81</v>
      </c>
      <c r="Z4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29" spans="2:26" x14ac:dyDescent="0.35">
      <c r="B429">
        <f t="shared" si="74"/>
        <v>427</v>
      </c>
      <c r="C429" t="s">
        <v>86</v>
      </c>
      <c r="D429" t="s">
        <v>176</v>
      </c>
      <c r="E429">
        <f>IF(WEEKNUM(Combined[[#This Row],[Date]], 1) = 53, 1, WEEKNUM(Combined[[#This Row],[Date]], 2))</f>
        <v>46</v>
      </c>
      <c r="F429" t="str">
        <f>TEXT(WEEKDAY(G429,1),"DDDD")</f>
        <v>Wednesday</v>
      </c>
      <c r="G429" s="41">
        <v>44874</v>
      </c>
      <c r="H429">
        <v>4</v>
      </c>
      <c r="I429" s="1">
        <v>37</v>
      </c>
      <c r="J429" s="2">
        <v>9.9999999999999992E-2</v>
      </c>
      <c r="K429" s="12">
        <f>Combined[[#This Row],[Time Spent]]*24</f>
        <v>2.4</v>
      </c>
      <c r="L429" s="12">
        <f>MROUND(Combined[[#This Row],[Time Spent 2]],0.25)</f>
        <v>2.5</v>
      </c>
      <c r="M429" s="2" t="s">
        <v>91</v>
      </c>
      <c r="N429" t="s">
        <v>82</v>
      </c>
      <c r="O429">
        <f>MATCH(Combined[[#This Row],[Primary Area]],KPIs!$C$4:$C$7,0)</f>
        <v>3</v>
      </c>
      <c r="Q429" s="40">
        <v>45306</v>
      </c>
      <c r="R429" s="40">
        <f t="shared" si="75"/>
        <v>45306</v>
      </c>
      <c r="S429" s="4" t="str">
        <f>TEXT(Mileage[[#This Row],[Date]],"dddd")</f>
        <v>Monday</v>
      </c>
      <c r="T429" s="4" t="s">
        <v>230</v>
      </c>
      <c r="U429" s="4">
        <v>25</v>
      </c>
      <c r="V429" t="str" cm="1">
        <f t="array" ref="V429">IFERROR(VLOOKUP(MODE(IF(Combined[Date]=Mileage[[#This Row],[Date]],Combined[Area '#])),KPIs!$B$4:$C$7,2,FALSE),VLOOKUP(Mileage[[#This Row],[Date]],Combined[[Date]:[Primary Area]],8,FALSE))</f>
        <v>Brunswick/Bath/Freeport</v>
      </c>
      <c r="W429" s="106">
        <v>0.71875</v>
      </c>
      <c r="X429" s="12">
        <v>3.57</v>
      </c>
      <c r="Y429" s="4">
        <v>86</v>
      </c>
      <c r="Z4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0" spans="2:26" x14ac:dyDescent="0.35">
      <c r="B430">
        <f t="shared" si="74"/>
        <v>428</v>
      </c>
      <c r="C430" t="s">
        <v>83</v>
      </c>
      <c r="D430" t="s">
        <v>176</v>
      </c>
      <c r="E430">
        <f>IF(WEEKNUM(Combined[[#This Row],[Date]], 1) = 53, 1, WEEKNUM(Combined[[#This Row],[Date]], 2))</f>
        <v>46</v>
      </c>
      <c r="F430" t="str">
        <f t="shared" ref="F430:F431" si="87">TEXT(WEEKDAY(G430,1),"DDDD")</f>
        <v>Thursday</v>
      </c>
      <c r="G430" s="41">
        <v>44875</v>
      </c>
      <c r="H430">
        <v>6</v>
      </c>
      <c r="I430" s="1">
        <v>53.99</v>
      </c>
      <c r="J430" s="2">
        <v>0.17430555555555557</v>
      </c>
      <c r="K430" s="12">
        <f>Combined[[#This Row],[Time Spent]]*24</f>
        <v>4.1833333333333336</v>
      </c>
      <c r="L430" s="12">
        <f>MROUND(Combined[[#This Row],[Time Spent 2]],0.25)</f>
        <v>4.25</v>
      </c>
      <c r="M430" s="2" t="s">
        <v>91</v>
      </c>
      <c r="N430" t="s">
        <v>85</v>
      </c>
      <c r="O430">
        <f>MATCH(Combined[[#This Row],[Primary Area]],KPIs!$C$4:$C$7,0)</f>
        <v>4</v>
      </c>
      <c r="Q430" s="40">
        <v>45307</v>
      </c>
      <c r="R430" s="40">
        <f t="shared" si="75"/>
        <v>45307</v>
      </c>
      <c r="S430" s="4" t="str">
        <f>TEXT(Mileage[[#This Row],[Date]],"dddd")</f>
        <v>Tuesday</v>
      </c>
      <c r="T430" s="4" t="s">
        <v>232</v>
      </c>
      <c r="U430" s="4">
        <v>27</v>
      </c>
      <c r="V430" t="str" cm="1">
        <f t="array" ref="V430">IFERROR(VLOOKUP(MODE(IF(Combined[Date]=Mileage[[#This Row],[Date]],Combined[Area '#])),KPIs!$B$4:$C$7,2,FALSE),VLOOKUP(Mileage[[#This Row],[Date]],Combined[[Date]:[Primary Area]],8,FALSE))</f>
        <v>Brunswick/Bath/Freeport</v>
      </c>
      <c r="W430" s="106">
        <v>0.70833333333333337</v>
      </c>
      <c r="X430" s="12">
        <v>4.97</v>
      </c>
      <c r="Y430" s="4">
        <v>117</v>
      </c>
      <c r="Z43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31" spans="2:26" x14ac:dyDescent="0.35">
      <c r="B431">
        <f t="shared" si="74"/>
        <v>429</v>
      </c>
      <c r="C431" t="s">
        <v>86</v>
      </c>
      <c r="D431" t="s">
        <v>175</v>
      </c>
      <c r="E431">
        <f>IF(WEEKNUM(Combined[[#This Row],[Date]], 1) = 53, 1, WEEKNUM(Combined[[#This Row],[Date]], 2))</f>
        <v>46</v>
      </c>
      <c r="F431" t="str">
        <f t="shared" si="87"/>
        <v>Thursday</v>
      </c>
      <c r="G431" s="41">
        <v>44875</v>
      </c>
      <c r="H431">
        <v>3</v>
      </c>
      <c r="I431" s="1">
        <v>27.87</v>
      </c>
      <c r="J431" s="2">
        <v>6.9444444444444434E-2</v>
      </c>
      <c r="K431" s="12">
        <f>Combined[[#This Row],[Time Spent]]*24</f>
        <v>1.6666666666666665</v>
      </c>
      <c r="L431" s="12">
        <f>MROUND(Combined[[#This Row],[Time Spent 2]],0.25)</f>
        <v>1.75</v>
      </c>
      <c r="M431" s="2" t="s">
        <v>91</v>
      </c>
      <c r="N431" t="s">
        <v>85</v>
      </c>
      <c r="O431">
        <f>MATCH(Combined[[#This Row],[Primary Area]],KPIs!$C$4:$C$7,0)</f>
        <v>4</v>
      </c>
      <c r="Q431" s="40">
        <v>45311</v>
      </c>
      <c r="R431" s="40">
        <f t="shared" si="75"/>
        <v>45311</v>
      </c>
      <c r="S431" s="4" t="str">
        <f>TEXT(Mileage[[#This Row],[Date]],"dddd")</f>
        <v>Saturday</v>
      </c>
      <c r="T431" s="4" t="s">
        <v>234</v>
      </c>
      <c r="U431" s="4">
        <v>16</v>
      </c>
      <c r="V431" t="str" cm="1">
        <f t="array" ref="V431">IFERROR(VLOOKUP(MODE(IF(Combined[Date]=Mileage[[#This Row],[Date]],Combined[Area '#])),KPIs!$B$4:$C$7,2,FALSE),VLOOKUP(Mileage[[#This Row],[Date]],Combined[[Date]:[Primary Area]],8,FALSE))</f>
        <v>Brunswick/Bath/Freeport</v>
      </c>
      <c r="W431" s="106">
        <v>0.70833333333333337</v>
      </c>
      <c r="X431" s="12">
        <v>5.08</v>
      </c>
      <c r="Y431" s="4">
        <v>134</v>
      </c>
      <c r="Z4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2" spans="2:26" x14ac:dyDescent="0.35">
      <c r="B432">
        <f t="shared" si="74"/>
        <v>430</v>
      </c>
      <c r="C432" t="s">
        <v>83</v>
      </c>
      <c r="D432" t="s">
        <v>176</v>
      </c>
      <c r="E432">
        <f>IF(WEEKNUM(Combined[[#This Row],[Date]], 1) = 53, 1, WEEKNUM(Combined[[#This Row],[Date]], 2))</f>
        <v>46</v>
      </c>
      <c r="F432" t="str">
        <f t="shared" ref="F432:F434" si="88">TEXT(WEEKDAY(G432,1),"DDDD")</f>
        <v>Friday</v>
      </c>
      <c r="G432" s="41">
        <v>44876</v>
      </c>
      <c r="H432">
        <v>4</v>
      </c>
      <c r="I432" s="1">
        <v>69.34</v>
      </c>
      <c r="J432" s="2">
        <v>0.14166666666666666</v>
      </c>
      <c r="K432" s="12">
        <f>Combined[[#This Row],[Time Spent]]*24</f>
        <v>3.4</v>
      </c>
      <c r="L432" s="12">
        <f>MROUND(Combined[[#This Row],[Time Spent 2]],0.25)</f>
        <v>3.5</v>
      </c>
      <c r="M432" s="2" t="s">
        <v>91</v>
      </c>
      <c r="N432" t="s">
        <v>80</v>
      </c>
      <c r="O432">
        <f>MATCH(Combined[[#This Row],[Primary Area]],KPIs!$C$4:$C$7,0)</f>
        <v>2</v>
      </c>
      <c r="Q432" s="40">
        <v>45313</v>
      </c>
      <c r="R432" s="40">
        <f t="shared" si="75"/>
        <v>45313</v>
      </c>
      <c r="S432" s="4" t="str">
        <f>TEXT(Mileage[[#This Row],[Date]],"dddd")</f>
        <v>Monday</v>
      </c>
      <c r="T432" s="4" t="s">
        <v>249</v>
      </c>
      <c r="U432" s="4">
        <v>34</v>
      </c>
      <c r="V432" t="str" cm="1">
        <f t="array" ref="V432">IFERROR(VLOOKUP(MODE(IF(Combined[Date]=Mileage[[#This Row],[Date]],Combined[Area '#])),KPIs!$B$4:$C$7,2,FALSE),VLOOKUP(Mileage[[#This Row],[Date]],Combined[[Date]:[Primary Area]],8,FALSE))</f>
        <v>Brunswick/Bath/Freeport</v>
      </c>
      <c r="W432" s="106">
        <v>0.71875</v>
      </c>
      <c r="X432" s="12">
        <v>4.88</v>
      </c>
      <c r="Y432" s="4">
        <v>116</v>
      </c>
      <c r="Z4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3" spans="2:26" x14ac:dyDescent="0.35">
      <c r="B433">
        <f t="shared" si="74"/>
        <v>431</v>
      </c>
      <c r="C433" t="s">
        <v>86</v>
      </c>
      <c r="D433" t="s">
        <v>176</v>
      </c>
      <c r="E433">
        <f>IF(WEEKNUM(Combined[[#This Row],[Date]], 1) = 53, 1, WEEKNUM(Combined[[#This Row],[Date]], 2))</f>
        <v>46</v>
      </c>
      <c r="F433" t="str">
        <f t="shared" si="88"/>
        <v>Friday</v>
      </c>
      <c r="G433" s="41">
        <v>44876</v>
      </c>
      <c r="H433">
        <v>2</v>
      </c>
      <c r="I433" s="1">
        <v>17.5</v>
      </c>
      <c r="J433" s="2">
        <v>4.5138888888888888E-2</v>
      </c>
      <c r="K433" s="12">
        <f>Combined[[#This Row],[Time Spent]]*24</f>
        <v>1.0833333333333333</v>
      </c>
      <c r="L433" s="12">
        <f>MROUND(Combined[[#This Row],[Time Spent 2]],0.25)</f>
        <v>1</v>
      </c>
      <c r="M433" s="2" t="s">
        <v>91</v>
      </c>
      <c r="N433" t="s">
        <v>80</v>
      </c>
      <c r="O433">
        <f>MATCH(Combined[[#This Row],[Primary Area]],KPIs!$C$4:$C$7,0)</f>
        <v>2</v>
      </c>
      <c r="Q433" s="40">
        <v>45314</v>
      </c>
      <c r="R433" s="40">
        <f t="shared" si="75"/>
        <v>45314</v>
      </c>
      <c r="S433" s="4" t="str">
        <f>TEXT(Mileage[[#This Row],[Date]],"dddd")</f>
        <v>Tuesday</v>
      </c>
      <c r="T433" s="4" t="s">
        <v>230</v>
      </c>
      <c r="U433" s="4">
        <v>28</v>
      </c>
      <c r="V433" t="str" cm="1">
        <f t="array" ref="V433">IFERROR(VLOOKUP(MODE(IF(Combined[Date]=Mileage[[#This Row],[Date]],Combined[Area '#])),KPIs!$B$4:$C$7,2,FALSE),VLOOKUP(Mileage[[#This Row],[Date]],Combined[[Date]:[Primary Area]],8,FALSE))</f>
        <v>Brunswick/Bath/Freeport</v>
      </c>
      <c r="W433" s="106">
        <v>0.73263888888888884</v>
      </c>
      <c r="X433" s="12">
        <v>2.27</v>
      </c>
      <c r="Y433" s="4">
        <v>69</v>
      </c>
      <c r="Z4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4" spans="2:26" x14ac:dyDescent="0.35">
      <c r="B434">
        <f t="shared" si="74"/>
        <v>432</v>
      </c>
      <c r="C434" t="s">
        <v>86</v>
      </c>
      <c r="D434" t="s">
        <v>175</v>
      </c>
      <c r="E434">
        <f>IF(WEEKNUM(Combined[[#This Row],[Date]], 1) = 53, 1, WEEKNUM(Combined[[#This Row],[Date]], 2))</f>
        <v>46</v>
      </c>
      <c r="F434" t="str">
        <f t="shared" si="88"/>
        <v>Friday</v>
      </c>
      <c r="G434" s="41">
        <v>44876</v>
      </c>
      <c r="H434">
        <v>4</v>
      </c>
      <c r="I434" s="1">
        <v>41.84</v>
      </c>
      <c r="J434" s="2">
        <v>0.14791666666666667</v>
      </c>
      <c r="K434" s="12">
        <f>Combined[[#This Row],[Time Spent]]*24</f>
        <v>3.55</v>
      </c>
      <c r="L434" s="12">
        <f>MROUND(Combined[[#This Row],[Time Spent 2]],0.25)</f>
        <v>3.5</v>
      </c>
      <c r="M434" s="2" t="s">
        <v>91</v>
      </c>
      <c r="N434" t="s">
        <v>80</v>
      </c>
      <c r="O434">
        <f>MATCH(Combined[[#This Row],[Primary Area]],KPIs!$C$4:$C$7,0)</f>
        <v>2</v>
      </c>
      <c r="Q434" s="40">
        <v>45316</v>
      </c>
      <c r="R434" s="40">
        <f t="shared" si="75"/>
        <v>45316</v>
      </c>
      <c r="S434" s="4" t="str">
        <f>TEXT(Mileage[[#This Row],[Date]],"dddd")</f>
        <v>Thursday</v>
      </c>
      <c r="T434" s="4" t="s">
        <v>231</v>
      </c>
      <c r="U434" s="4">
        <v>37</v>
      </c>
      <c r="V434" t="str" cm="1">
        <f t="array" ref="V434">IFERROR(VLOOKUP(MODE(IF(Combined[Date]=Mileage[[#This Row],[Date]],Combined[Area '#])),KPIs!$B$4:$C$7,2,FALSE),VLOOKUP(Mileage[[#This Row],[Date]],Combined[[Date]:[Primary Area]],8,FALSE))</f>
        <v>Brunswick/Bath/Freeport</v>
      </c>
      <c r="W434" s="106">
        <v>0.72916666666666663</v>
      </c>
      <c r="X434" s="12">
        <v>3.87</v>
      </c>
      <c r="Y434" s="4">
        <v>77</v>
      </c>
      <c r="Z43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35" spans="2:26" x14ac:dyDescent="0.35">
      <c r="B435">
        <f t="shared" si="74"/>
        <v>433</v>
      </c>
      <c r="C435" t="s">
        <v>86</v>
      </c>
      <c r="D435" t="s">
        <v>175</v>
      </c>
      <c r="E435">
        <f>IF(WEEKNUM(Combined[[#This Row],[Date]], 1) = 53, 1, WEEKNUM(Combined[[#This Row],[Date]], 2))</f>
        <v>46</v>
      </c>
      <c r="F435" t="str">
        <f>TEXT(WEEKDAY(G435,1),"DDDD")</f>
        <v>Friday</v>
      </c>
      <c r="G435" s="41">
        <v>44876</v>
      </c>
      <c r="H435">
        <v>1</v>
      </c>
      <c r="I435" s="1">
        <v>9.7100000000000009</v>
      </c>
      <c r="J435" s="2">
        <v>4.3750000000000004E-2</v>
      </c>
      <c r="K435" s="12">
        <f>Combined[[#This Row],[Time Spent]]*24</f>
        <v>1.05</v>
      </c>
      <c r="L435" s="12">
        <f>MROUND(Combined[[#This Row],[Time Spent 2]],0.25)</f>
        <v>1</v>
      </c>
      <c r="M435" s="2" t="s">
        <v>92</v>
      </c>
      <c r="N435" t="s">
        <v>80</v>
      </c>
      <c r="O435">
        <f>MATCH(Combined[[#This Row],[Primary Area]],KPIs!$C$4:$C$7,0)</f>
        <v>2</v>
      </c>
      <c r="Q435" s="40">
        <v>45317</v>
      </c>
      <c r="R435" s="40">
        <f t="shared" si="75"/>
        <v>45317</v>
      </c>
      <c r="S435" s="4" t="str">
        <f>TEXT(Mileage[[#This Row],[Date]],"dddd")</f>
        <v>Friday</v>
      </c>
      <c r="T435" s="4" t="s">
        <v>231</v>
      </c>
      <c r="U435" s="4">
        <v>34</v>
      </c>
      <c r="V435" t="str" cm="1">
        <f t="array" ref="V435">IFERROR(VLOOKUP(MODE(IF(Combined[Date]=Mileage[[#This Row],[Date]],Combined[Area '#])),KPIs!$B$4:$C$7,2,FALSE),VLOOKUP(Mileage[[#This Row],[Date]],Combined[[Date]:[Primary Area]],8,FALSE))</f>
        <v>Lewiston</v>
      </c>
      <c r="W435" s="106">
        <v>0.72569444444444453</v>
      </c>
      <c r="X435" s="12">
        <v>5.43</v>
      </c>
      <c r="Y435" s="4">
        <v>116</v>
      </c>
      <c r="Z4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6" spans="2:26" x14ac:dyDescent="0.35">
      <c r="B436">
        <f t="shared" si="74"/>
        <v>434</v>
      </c>
      <c r="C436" t="s">
        <v>83</v>
      </c>
      <c r="D436" t="s">
        <v>176</v>
      </c>
      <c r="E436">
        <f>IF(WEEKNUM(Combined[[#This Row],[Date]], 1) = 53, 1, WEEKNUM(Combined[[#This Row],[Date]], 2))</f>
        <v>47</v>
      </c>
      <c r="F436" t="str">
        <f t="shared" ref="F436:F439" si="89">TEXT(WEEKDAY(G436,1),"DDDD")</f>
        <v>Thursday</v>
      </c>
      <c r="G436" s="41">
        <v>44882</v>
      </c>
      <c r="H436">
        <v>4</v>
      </c>
      <c r="I436" s="1">
        <v>68.91</v>
      </c>
      <c r="J436" s="2">
        <v>0.13263888888888889</v>
      </c>
      <c r="K436" s="12">
        <f>Combined[[#This Row],[Time Spent]]*24</f>
        <v>3.1833333333333336</v>
      </c>
      <c r="L436" s="12">
        <f>MROUND(Combined[[#This Row],[Time Spent 2]],0.25)</f>
        <v>3.25</v>
      </c>
      <c r="M436" s="2" t="s">
        <v>91</v>
      </c>
      <c r="N436" t="s">
        <v>80</v>
      </c>
      <c r="O436">
        <f>MATCH(Combined[[#This Row],[Primary Area]],KPIs!$C$4:$C$7,0)</f>
        <v>2</v>
      </c>
      <c r="Q436" s="40">
        <v>45318</v>
      </c>
      <c r="R436" s="40">
        <f t="shared" si="75"/>
        <v>45318</v>
      </c>
      <c r="S436" s="4" t="str">
        <f>TEXT(Mileage[[#This Row],[Date]],"dddd")</f>
        <v>Saturday</v>
      </c>
      <c r="T436" s="4" t="s">
        <v>231</v>
      </c>
      <c r="U436" s="4">
        <v>34</v>
      </c>
      <c r="V436" t="str" cm="1">
        <f t="array" ref="V436">IFERROR(VLOOKUP(MODE(IF(Combined[Date]=Mileage[[#This Row],[Date]],Combined[Area '#])),KPIs!$B$4:$C$7,2,FALSE),VLOOKUP(Mileage[[#This Row],[Date]],Combined[[Date]:[Primary Area]],8,FALSE))</f>
        <v>Brunswick/Bath/Freeport</v>
      </c>
      <c r="W436" s="106">
        <v>0.67708333333333337</v>
      </c>
      <c r="X436" s="12">
        <v>4.47</v>
      </c>
      <c r="Y436" s="4">
        <v>126</v>
      </c>
      <c r="Z43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37" spans="2:26" x14ac:dyDescent="0.35">
      <c r="B437">
        <f t="shared" si="74"/>
        <v>435</v>
      </c>
      <c r="C437" t="s">
        <v>86</v>
      </c>
      <c r="D437" t="s">
        <v>176</v>
      </c>
      <c r="E437">
        <f>IF(WEEKNUM(Combined[[#This Row],[Date]], 1) = 53, 1, WEEKNUM(Combined[[#This Row],[Date]], 2))</f>
        <v>47</v>
      </c>
      <c r="F437" t="str">
        <f t="shared" si="89"/>
        <v>Thursday</v>
      </c>
      <c r="G437" s="41">
        <v>44882</v>
      </c>
      <c r="H437">
        <v>3</v>
      </c>
      <c r="I437" s="1">
        <v>26.75</v>
      </c>
      <c r="J437" s="2">
        <v>6.8749999999999992E-2</v>
      </c>
      <c r="K437" s="12">
        <f>Combined[[#This Row],[Time Spent]]*24</f>
        <v>1.65</v>
      </c>
      <c r="L437" s="12">
        <f>MROUND(Combined[[#This Row],[Time Spent 2]],0.25)</f>
        <v>1.75</v>
      </c>
      <c r="M437" s="2" t="s">
        <v>91</v>
      </c>
      <c r="N437" t="s">
        <v>80</v>
      </c>
      <c r="O437">
        <f>MATCH(Combined[[#This Row],[Primary Area]],KPIs!$C$4:$C$7,0)</f>
        <v>2</v>
      </c>
      <c r="Q437" s="40">
        <v>45321</v>
      </c>
      <c r="R437" s="40">
        <f t="shared" si="75"/>
        <v>45321</v>
      </c>
      <c r="S437" s="4" t="str">
        <f>TEXT(Mileage[[#This Row],[Date]],"dddd")</f>
        <v>Tuesday</v>
      </c>
      <c r="T437" s="4" t="s">
        <v>230</v>
      </c>
      <c r="U437" s="4">
        <v>13</v>
      </c>
      <c r="V437" t="str" cm="1">
        <f t="array" ref="V437">IFERROR(VLOOKUP(MODE(IF(Combined[Date]=Mileage[[#This Row],[Date]],Combined[Area '#])),KPIs!$B$4:$C$7,2,FALSE),VLOOKUP(Mileage[[#This Row],[Date]],Combined[[Date]:[Primary Area]],8,FALSE))</f>
        <v>Brunswick/Bath/Freeport</v>
      </c>
      <c r="W437" s="106">
        <v>0.77083333333333337</v>
      </c>
      <c r="X437" s="12">
        <v>4.75</v>
      </c>
      <c r="Y437" s="4">
        <v>128</v>
      </c>
      <c r="Z43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38" spans="2:26" x14ac:dyDescent="0.35">
      <c r="B438">
        <f t="shared" si="74"/>
        <v>436</v>
      </c>
      <c r="C438" t="s">
        <v>86</v>
      </c>
      <c r="D438" t="s">
        <v>175</v>
      </c>
      <c r="E438">
        <f>IF(WEEKNUM(Combined[[#This Row],[Date]], 1) = 53, 1, WEEKNUM(Combined[[#This Row],[Date]], 2))</f>
        <v>47</v>
      </c>
      <c r="F438" t="str">
        <f t="shared" si="89"/>
        <v>Thursday</v>
      </c>
      <c r="G438" s="41">
        <v>44882</v>
      </c>
      <c r="H438">
        <v>1</v>
      </c>
      <c r="I438" s="1">
        <v>9.2899999999999991</v>
      </c>
      <c r="J438" s="2">
        <v>2.2222222222222223E-2</v>
      </c>
      <c r="K438" s="12">
        <f>Combined[[#This Row],[Time Spent]]*24</f>
        <v>0.53333333333333333</v>
      </c>
      <c r="L438" s="12">
        <f>MROUND(Combined[[#This Row],[Time Spent 2]],0.25)</f>
        <v>0.5</v>
      </c>
      <c r="M438" s="2" t="s">
        <v>91</v>
      </c>
      <c r="N438" t="s">
        <v>80</v>
      </c>
      <c r="O438">
        <f>MATCH(Combined[[#This Row],[Primary Area]],KPIs!$C$4:$C$7,0)</f>
        <v>2</v>
      </c>
      <c r="Q438" s="40">
        <v>45322</v>
      </c>
      <c r="R438" s="40">
        <f t="shared" si="75"/>
        <v>45322</v>
      </c>
      <c r="S438" s="4" t="str">
        <f>TEXT(Mileage[[#This Row],[Date]],"dddd")</f>
        <v>Wednesday</v>
      </c>
      <c r="T438" s="4" t="s">
        <v>231</v>
      </c>
      <c r="U438" s="4">
        <v>27</v>
      </c>
      <c r="V438" t="str" cm="1">
        <f t="array" ref="V438">IFERROR(VLOOKUP(MODE(IF(Combined[Date]=Mileage[[#This Row],[Date]],Combined[Area '#])),KPIs!$B$4:$C$7,2,FALSE),VLOOKUP(Mileage[[#This Row],[Date]],Combined[[Date]:[Primary Area]],8,FALSE))</f>
        <v>Augusta</v>
      </c>
      <c r="W438" s="106">
        <v>0.73263888888888884</v>
      </c>
      <c r="X438" s="12">
        <v>3.57</v>
      </c>
      <c r="Y438" s="4">
        <v>96</v>
      </c>
      <c r="Z43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39" spans="2:26" x14ac:dyDescent="0.35">
      <c r="B439">
        <f t="shared" si="74"/>
        <v>437</v>
      </c>
      <c r="C439" t="s">
        <v>86</v>
      </c>
      <c r="D439" t="s">
        <v>175</v>
      </c>
      <c r="E439">
        <f>IF(WEEKNUM(Combined[[#This Row],[Date]], 1) = 53, 1, WEEKNUM(Combined[[#This Row],[Date]], 2))</f>
        <v>47</v>
      </c>
      <c r="F439" t="str">
        <f t="shared" si="89"/>
        <v>Thursday</v>
      </c>
      <c r="G439" s="41">
        <v>44882</v>
      </c>
      <c r="H439">
        <v>1</v>
      </c>
      <c r="I439" s="1">
        <v>7.08</v>
      </c>
      <c r="J439" s="2">
        <v>1.8055555555555557E-2</v>
      </c>
      <c r="K439" s="12">
        <f>Combined[[#This Row],[Time Spent]]*24</f>
        <v>0.43333333333333335</v>
      </c>
      <c r="L439" s="12">
        <f>MROUND(Combined[[#This Row],[Time Spent 2]],0.25)</f>
        <v>0.5</v>
      </c>
      <c r="M439" s="2" t="s">
        <v>92</v>
      </c>
      <c r="N439" t="s">
        <v>80</v>
      </c>
      <c r="O439">
        <f>MATCH(Combined[[#This Row],[Primary Area]],KPIs!$C$4:$C$7,0)</f>
        <v>2</v>
      </c>
      <c r="Q439" s="40">
        <v>45323</v>
      </c>
      <c r="R439" s="40">
        <f t="shared" si="75"/>
        <v>45323</v>
      </c>
      <c r="S439" s="4" t="str">
        <f>TEXT(Mileage[[#This Row],[Date]],"dddd")</f>
        <v>Thursday</v>
      </c>
      <c r="T439" s="4" t="s">
        <v>234</v>
      </c>
      <c r="U439" s="4">
        <v>34</v>
      </c>
      <c r="V439" t="str" cm="1">
        <f t="array" ref="V439">IFERROR(VLOOKUP(MODE(IF(Combined[Date]=Mileage[[#This Row],[Date]],Combined[Area '#])),KPIs!$B$4:$C$7,2,FALSE),VLOOKUP(Mileage[[#This Row],[Date]],Combined[[Date]:[Primary Area]],8,FALSE))</f>
        <v>Lewiston</v>
      </c>
      <c r="W439" s="106">
        <v>0.73263888888888884</v>
      </c>
      <c r="X439" s="12">
        <v>3.23</v>
      </c>
      <c r="Y439" s="4">
        <v>71</v>
      </c>
      <c r="Z43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0" spans="2:26" x14ac:dyDescent="0.35">
      <c r="B440">
        <f t="shared" si="74"/>
        <v>438</v>
      </c>
      <c r="C440" t="s">
        <v>83</v>
      </c>
      <c r="D440" t="s">
        <v>176</v>
      </c>
      <c r="E440">
        <f>IF(WEEKNUM(Combined[[#This Row],[Date]], 1) = 53, 1, WEEKNUM(Combined[[#This Row],[Date]], 2))</f>
        <v>47</v>
      </c>
      <c r="F440" t="str">
        <f t="shared" ref="F440:F443" si="90">TEXT(WEEKDAY(G440,1),"DDDD")</f>
        <v>Friday</v>
      </c>
      <c r="G440" s="41">
        <v>44883</v>
      </c>
      <c r="H440">
        <v>4</v>
      </c>
      <c r="I440" s="1">
        <v>113</v>
      </c>
      <c r="J440" s="2">
        <v>0.18888888888888888</v>
      </c>
      <c r="K440" s="12">
        <f>Combined[[#This Row],[Time Spent]]*24</f>
        <v>4.5333333333333332</v>
      </c>
      <c r="L440" s="12">
        <f>MROUND(Combined[[#This Row],[Time Spent 2]],0.25)</f>
        <v>4.5</v>
      </c>
      <c r="M440" s="2" t="s">
        <v>91</v>
      </c>
      <c r="N440" t="s">
        <v>80</v>
      </c>
      <c r="O440">
        <f>MATCH(Combined[[#This Row],[Primary Area]],KPIs!$C$4:$C$7,0)</f>
        <v>2</v>
      </c>
      <c r="Q440" s="40">
        <v>45324</v>
      </c>
      <c r="R440" s="40">
        <f t="shared" si="75"/>
        <v>45324</v>
      </c>
      <c r="S440" s="4" t="str">
        <f>TEXT(Mileage[[#This Row],[Date]],"dddd")</f>
        <v>Friday</v>
      </c>
      <c r="T440" s="4" t="s">
        <v>231</v>
      </c>
      <c r="U440" s="4">
        <v>36</v>
      </c>
      <c r="V440" t="str" cm="1">
        <f t="array" ref="V440">IFERROR(VLOOKUP(MODE(IF(Combined[Date]=Mileage[[#This Row],[Date]],Combined[Area '#])),KPIs!$B$4:$C$7,2,FALSE),VLOOKUP(Mileage[[#This Row],[Date]],Combined[[Date]:[Primary Area]],8,FALSE))</f>
        <v>Lewiston</v>
      </c>
      <c r="W440" s="106">
        <v>0.74305555555555558</v>
      </c>
      <c r="X440" s="12">
        <v>5.3</v>
      </c>
      <c r="Y440" s="4">
        <v>89</v>
      </c>
      <c r="Z4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1" spans="2:26" x14ac:dyDescent="0.35">
      <c r="B441">
        <f t="shared" si="74"/>
        <v>439</v>
      </c>
      <c r="C441" t="s">
        <v>86</v>
      </c>
      <c r="D441" t="s">
        <v>175</v>
      </c>
      <c r="E441">
        <f>IF(WEEKNUM(Combined[[#This Row],[Date]], 1) = 53, 1, WEEKNUM(Combined[[#This Row],[Date]], 2))</f>
        <v>47</v>
      </c>
      <c r="F441" t="str">
        <f t="shared" si="90"/>
        <v>Friday</v>
      </c>
      <c r="G441" s="41">
        <v>44883</v>
      </c>
      <c r="H441">
        <v>4</v>
      </c>
      <c r="I441" s="1">
        <v>29.51</v>
      </c>
      <c r="J441" s="2">
        <v>6.3888888888888884E-2</v>
      </c>
      <c r="K441" s="12">
        <f>Combined[[#This Row],[Time Spent]]*24</f>
        <v>1.5333333333333332</v>
      </c>
      <c r="L441" s="12">
        <f>MROUND(Combined[[#This Row],[Time Spent 2]],0.25)</f>
        <v>1.5</v>
      </c>
      <c r="M441" s="2" t="s">
        <v>91</v>
      </c>
      <c r="N441" t="s">
        <v>80</v>
      </c>
      <c r="O441">
        <f>MATCH(Combined[[#This Row],[Primary Area]],KPIs!$C$4:$C$7,0)</f>
        <v>2</v>
      </c>
      <c r="Q441" s="40">
        <v>45327</v>
      </c>
      <c r="R441" s="40">
        <f t="shared" si="75"/>
        <v>45327</v>
      </c>
      <c r="S441" s="4" t="str">
        <f>TEXT(Mileage[[#This Row],[Date]],"dddd")</f>
        <v>Monday</v>
      </c>
      <c r="T441" s="4" t="s">
        <v>231</v>
      </c>
      <c r="U441" s="4">
        <v>30</v>
      </c>
      <c r="V441" t="str" cm="1">
        <f t="array" ref="V441">IFERROR(VLOOKUP(MODE(IF(Combined[Date]=Mileage[[#This Row],[Date]],Combined[Area '#])),KPIs!$B$4:$C$7,2,FALSE),VLOOKUP(Mileage[[#This Row],[Date]],Combined[[Date]:[Primary Area]],8,FALSE))</f>
        <v>Lewiston</v>
      </c>
      <c r="W441" s="106">
        <v>0.72916666666666663</v>
      </c>
      <c r="X441" s="12">
        <v>2.3199999999999998</v>
      </c>
      <c r="Y441" s="4">
        <v>36</v>
      </c>
      <c r="Z44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2" spans="2:26" x14ac:dyDescent="0.35">
      <c r="B442">
        <f t="shared" si="74"/>
        <v>440</v>
      </c>
      <c r="C442" t="s">
        <v>86</v>
      </c>
      <c r="D442" t="s">
        <v>175</v>
      </c>
      <c r="E442">
        <f>IF(WEEKNUM(Combined[[#This Row],[Date]], 1) = 53, 1, WEEKNUM(Combined[[#This Row],[Date]], 2))</f>
        <v>47</v>
      </c>
      <c r="F442" t="str">
        <f t="shared" si="90"/>
        <v>Friday</v>
      </c>
      <c r="G442" s="41">
        <v>44883</v>
      </c>
      <c r="H442">
        <v>5</v>
      </c>
      <c r="I442" s="1">
        <v>58.52</v>
      </c>
      <c r="J442" s="2">
        <v>0.1111111111111111</v>
      </c>
      <c r="K442" s="12">
        <f>Combined[[#This Row],[Time Spent]]*24</f>
        <v>2.6666666666666665</v>
      </c>
      <c r="L442" s="12">
        <f>MROUND(Combined[[#This Row],[Time Spent 2]],0.25)</f>
        <v>2.75</v>
      </c>
      <c r="M442" s="2" t="s">
        <v>92</v>
      </c>
      <c r="N442" t="s">
        <v>85</v>
      </c>
      <c r="O442">
        <f>MATCH(Combined[[#This Row],[Primary Area]],KPIs!$C$4:$C$7,0)</f>
        <v>4</v>
      </c>
      <c r="Q442" s="40">
        <v>45329</v>
      </c>
      <c r="R442" s="40">
        <f t="shared" si="75"/>
        <v>45329</v>
      </c>
      <c r="S442" s="4" t="str">
        <f>TEXT(Mileage[[#This Row],[Date]],"dddd")</f>
        <v>Wednesday</v>
      </c>
      <c r="T442" s="4" t="s">
        <v>230</v>
      </c>
      <c r="U442" s="4">
        <v>32</v>
      </c>
      <c r="V442" t="str" cm="1">
        <f t="array" ref="V442">IFERROR(VLOOKUP(MODE(IF(Combined[Date]=Mileage[[#This Row],[Date]],Combined[Area '#])),KPIs!$B$4:$C$7,2,FALSE),VLOOKUP(Mileage[[#This Row],[Date]],Combined[[Date]:[Primary Area]],8,FALSE))</f>
        <v>Brunswick/Bath/Freeport</v>
      </c>
      <c r="W442" s="106">
        <v>0.71875</v>
      </c>
      <c r="X442" s="12">
        <v>2.37</v>
      </c>
      <c r="Y442" s="4">
        <v>52</v>
      </c>
      <c r="Z44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3" spans="2:26" x14ac:dyDescent="0.35">
      <c r="B443">
        <f t="shared" si="74"/>
        <v>441</v>
      </c>
      <c r="C443" t="s">
        <v>86</v>
      </c>
      <c r="D443" t="s">
        <v>175</v>
      </c>
      <c r="E443">
        <f>IF(WEEKNUM(Combined[[#This Row],[Date]], 1) = 53, 1, WEEKNUM(Combined[[#This Row],[Date]], 2))</f>
        <v>47</v>
      </c>
      <c r="F443" t="str">
        <f t="shared" si="90"/>
        <v>Friday</v>
      </c>
      <c r="G443" s="41">
        <v>44883</v>
      </c>
      <c r="H443">
        <v>2</v>
      </c>
      <c r="I443" s="1">
        <v>13.95</v>
      </c>
      <c r="J443" s="2">
        <v>5.0694444444444452E-2</v>
      </c>
      <c r="K443" s="12">
        <f>Combined[[#This Row],[Time Spent]]*24</f>
        <v>1.2166666666666668</v>
      </c>
      <c r="L443" s="12">
        <f>MROUND(Combined[[#This Row],[Time Spent 2]],0.25)</f>
        <v>1.25</v>
      </c>
      <c r="M443" s="2" t="s">
        <v>92</v>
      </c>
      <c r="N443" t="s">
        <v>85</v>
      </c>
      <c r="O443">
        <f>MATCH(Combined[[#This Row],[Primary Area]],KPIs!$C$4:$C$7,0)</f>
        <v>4</v>
      </c>
      <c r="Q443" s="40">
        <v>45330</v>
      </c>
      <c r="R443" s="40">
        <f t="shared" si="75"/>
        <v>45330</v>
      </c>
      <c r="S443" s="4" t="str">
        <f>TEXT(Mileage[[#This Row],[Date]],"dddd")</f>
        <v>Thursday</v>
      </c>
      <c r="T443" s="4" t="s">
        <v>230</v>
      </c>
      <c r="U443" s="4">
        <v>36</v>
      </c>
      <c r="V443" t="str" cm="1">
        <f t="array" ref="V443">IFERROR(VLOOKUP(MODE(IF(Combined[Date]=Mileage[[#This Row],[Date]],Combined[Area '#])),KPIs!$B$4:$C$7,2,FALSE),VLOOKUP(Mileage[[#This Row],[Date]],Combined[[Date]:[Primary Area]],8,FALSE))</f>
        <v>Lewiston</v>
      </c>
      <c r="W443" s="106">
        <v>0.71527777777777779</v>
      </c>
      <c r="X443" s="12">
        <v>5.45</v>
      </c>
      <c r="Y443" s="4">
        <v>104</v>
      </c>
      <c r="Z4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4" spans="2:26" x14ac:dyDescent="0.35">
      <c r="B444">
        <f t="shared" si="74"/>
        <v>442</v>
      </c>
      <c r="C444" t="s">
        <v>83</v>
      </c>
      <c r="D444" t="s">
        <v>176</v>
      </c>
      <c r="E444">
        <f>IF(WEEKNUM(Combined[[#This Row],[Date]], 1) = 53, 1, WEEKNUM(Combined[[#This Row],[Date]], 2))</f>
        <v>48</v>
      </c>
      <c r="F444" t="str">
        <f>TEXT(WEEKDAY(G444,1),"DDDD")</f>
        <v>Monday</v>
      </c>
      <c r="G444" s="41">
        <v>44886</v>
      </c>
      <c r="H444">
        <v>5</v>
      </c>
      <c r="I444" s="1">
        <v>99.72</v>
      </c>
      <c r="J444" s="2">
        <v>0.17916666666666667</v>
      </c>
      <c r="K444" s="12">
        <f>Combined[[#This Row],[Time Spent]]*24</f>
        <v>4.3</v>
      </c>
      <c r="L444" s="12">
        <f>MROUND(Combined[[#This Row],[Time Spent 2]],0.25)</f>
        <v>4.25</v>
      </c>
      <c r="M444" s="2" t="s">
        <v>91</v>
      </c>
      <c r="N444" t="s">
        <v>85</v>
      </c>
      <c r="O444">
        <f>MATCH(Combined[[#This Row],[Primary Area]],KPIs!$C$4:$C$7,0)</f>
        <v>4</v>
      </c>
      <c r="Q444" s="40">
        <v>45331</v>
      </c>
      <c r="R444" s="40">
        <f t="shared" si="75"/>
        <v>45331</v>
      </c>
      <c r="S444" s="4" t="str">
        <f>TEXT(Mileage[[#This Row],[Date]],"dddd")</f>
        <v>Friday</v>
      </c>
      <c r="T444" s="4" t="s">
        <v>249</v>
      </c>
      <c r="U444" s="4">
        <v>36</v>
      </c>
      <c r="V444" t="str" cm="1">
        <f t="array" ref="V444">IFERROR(VLOOKUP(MODE(IF(Combined[Date]=Mileage[[#This Row],[Date]],Combined[Area '#])),KPIs!$B$4:$C$7,2,FALSE),VLOOKUP(Mileage[[#This Row],[Date]],Combined[[Date]:[Primary Area]],8,FALSE))</f>
        <v>Lewiston</v>
      </c>
      <c r="W444" s="106">
        <v>0.74305555555555558</v>
      </c>
      <c r="X444" s="12">
        <v>5.83</v>
      </c>
      <c r="Y444" s="4">
        <v>117</v>
      </c>
      <c r="Z4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5" spans="2:26" x14ac:dyDescent="0.35">
      <c r="B445">
        <f t="shared" si="74"/>
        <v>443</v>
      </c>
      <c r="C445" t="s">
        <v>86</v>
      </c>
      <c r="D445" t="s">
        <v>175</v>
      </c>
      <c r="E445">
        <f>IF(WEEKNUM(Combined[[#This Row],[Date]], 1) = 53, 1, WEEKNUM(Combined[[#This Row],[Date]], 2))</f>
        <v>48</v>
      </c>
      <c r="F445" t="str">
        <f>TEXT(WEEKDAY(G445,1),"DDDD")</f>
        <v>Monday</v>
      </c>
      <c r="G445" s="41">
        <v>44886</v>
      </c>
      <c r="H445">
        <v>5</v>
      </c>
      <c r="I445" s="1">
        <v>41.05</v>
      </c>
      <c r="J445" s="2">
        <v>0.15763888888888888</v>
      </c>
      <c r="K445" s="12">
        <f>Combined[[#This Row],[Time Spent]]*24</f>
        <v>3.7833333333333332</v>
      </c>
      <c r="L445" s="12">
        <f>MROUND(Combined[[#This Row],[Time Spent 2]],0.25)</f>
        <v>3.75</v>
      </c>
      <c r="M445" s="2" t="s">
        <v>91</v>
      </c>
      <c r="N445" t="s">
        <v>85</v>
      </c>
      <c r="O445">
        <f>MATCH(Combined[[#This Row],[Primary Area]],KPIs!$C$4:$C$7,0)</f>
        <v>4</v>
      </c>
      <c r="Q445" s="40">
        <v>45332</v>
      </c>
      <c r="R445" s="40">
        <f t="shared" si="75"/>
        <v>45332</v>
      </c>
      <c r="S445" s="4" t="str">
        <f>TEXT(Mileage[[#This Row],[Date]],"dddd")</f>
        <v>Saturday</v>
      </c>
      <c r="T445" s="4" t="s">
        <v>230</v>
      </c>
      <c r="U445" s="4">
        <v>43</v>
      </c>
      <c r="V445" t="str" cm="1">
        <f t="array" ref="V445">IFERROR(VLOOKUP(MODE(IF(Combined[Date]=Mileage[[#This Row],[Date]],Combined[Area '#])),KPIs!$B$4:$C$7,2,FALSE),VLOOKUP(Mileage[[#This Row],[Date]],Combined[[Date]:[Primary Area]],8,FALSE))</f>
        <v>Brunswick/Bath/Freeport</v>
      </c>
      <c r="W445" s="106">
        <v>0.73958333333333337</v>
      </c>
      <c r="X445" s="12">
        <v>3.13</v>
      </c>
      <c r="Y445" s="4">
        <v>62</v>
      </c>
      <c r="Z4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6" spans="2:26" x14ac:dyDescent="0.35">
      <c r="B446">
        <f t="shared" si="74"/>
        <v>444</v>
      </c>
      <c r="C446" t="s">
        <v>83</v>
      </c>
      <c r="D446" t="s">
        <v>176</v>
      </c>
      <c r="E446">
        <f>IF(WEEKNUM(Combined[[#This Row],[Date]], 1) = 53, 1, WEEKNUM(Combined[[#This Row],[Date]], 2))</f>
        <v>48</v>
      </c>
      <c r="F446" t="str">
        <f>TEXT(WEEKDAY(G446,1),"DDDD")</f>
        <v>Wednesday</v>
      </c>
      <c r="G446" s="41">
        <v>44888</v>
      </c>
      <c r="H446">
        <v>6</v>
      </c>
      <c r="I446" s="1">
        <v>78.02</v>
      </c>
      <c r="J446" s="2">
        <v>0.16666666666666666</v>
      </c>
      <c r="K446" s="12">
        <f>Combined[[#This Row],[Time Spent]]*24</f>
        <v>4</v>
      </c>
      <c r="L446" s="12">
        <f>MROUND(Combined[[#This Row],[Time Spent 2]],0.25)</f>
        <v>4</v>
      </c>
      <c r="M446" s="2" t="s">
        <v>91</v>
      </c>
      <c r="N446" t="s">
        <v>80</v>
      </c>
      <c r="O446">
        <f>MATCH(Combined[[#This Row],[Primary Area]],KPIs!$C$4:$C$7,0)</f>
        <v>2</v>
      </c>
      <c r="Q446" s="40">
        <v>45335</v>
      </c>
      <c r="R446" s="40">
        <f t="shared" si="75"/>
        <v>45335</v>
      </c>
      <c r="S446" s="4" t="str">
        <f>TEXT(Mileage[[#This Row],[Date]],"dddd")</f>
        <v>Tuesday</v>
      </c>
      <c r="T446" s="4" t="s">
        <v>230</v>
      </c>
      <c r="U446" s="4">
        <v>30</v>
      </c>
      <c r="V446" t="str" cm="1">
        <f t="array" ref="V446">IFERROR(VLOOKUP(MODE(IF(Combined[Date]=Mileage[[#This Row],[Date]],Combined[Area '#])),KPIs!$B$4:$C$7,2,FALSE),VLOOKUP(Mileage[[#This Row],[Date]],Combined[[Date]:[Primary Area]],8,FALSE))</f>
        <v>Brunswick/Bath/Freeport</v>
      </c>
      <c r="W446" s="106">
        <v>0.73263888888888884</v>
      </c>
      <c r="X446" s="12">
        <v>4.1500000000000004</v>
      </c>
      <c r="Y446" s="4">
        <v>92</v>
      </c>
      <c r="Z4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7" spans="2:26" x14ac:dyDescent="0.35">
      <c r="B447">
        <f t="shared" si="74"/>
        <v>445</v>
      </c>
      <c r="C447" t="s">
        <v>86</v>
      </c>
      <c r="D447" t="s">
        <v>175</v>
      </c>
      <c r="E447">
        <f>IF(WEEKNUM(Combined[[#This Row],[Date]], 1) = 53, 1, WEEKNUM(Combined[[#This Row],[Date]], 2))</f>
        <v>48</v>
      </c>
      <c r="F447" t="str">
        <f t="shared" ref="F447:F448" si="91">TEXT(WEEKDAY(G447,1),"DDDD")</f>
        <v>Wednesday</v>
      </c>
      <c r="G447" s="41">
        <v>44888</v>
      </c>
      <c r="H447">
        <v>1</v>
      </c>
      <c r="I447" s="1">
        <v>5.7</v>
      </c>
      <c r="J447" s="2">
        <v>2.0833333333333332E-2</v>
      </c>
      <c r="K447" s="12">
        <f>Combined[[#This Row],[Time Spent]]*24</f>
        <v>0.5</v>
      </c>
      <c r="L447" s="12">
        <f>MROUND(Combined[[#This Row],[Time Spent 2]],0.25)</f>
        <v>0.5</v>
      </c>
      <c r="M447" s="2" t="s">
        <v>91</v>
      </c>
      <c r="N447" t="s">
        <v>80</v>
      </c>
      <c r="O447">
        <f>MATCH(Combined[[#This Row],[Primary Area]],KPIs!$C$4:$C$7,0)</f>
        <v>2</v>
      </c>
      <c r="Q447" s="40">
        <v>45336</v>
      </c>
      <c r="R447" s="40">
        <f t="shared" si="75"/>
        <v>45336</v>
      </c>
      <c r="S447" s="4" t="str">
        <f>TEXT(Mileage[[#This Row],[Date]],"dddd")</f>
        <v>Wednesday</v>
      </c>
      <c r="T447" s="4" t="s">
        <v>230</v>
      </c>
      <c r="U447" s="4">
        <v>21</v>
      </c>
      <c r="V447" t="str" cm="1">
        <f t="array" ref="V447">IFERROR(VLOOKUP(MODE(IF(Combined[Date]=Mileage[[#This Row],[Date]],Combined[Area '#])),KPIs!$B$4:$C$7,2,FALSE),VLOOKUP(Mileage[[#This Row],[Date]],Combined[[Date]:[Primary Area]],8,FALSE))</f>
        <v>Brunswick/Bath/Freeport</v>
      </c>
      <c r="W447" s="106">
        <v>0.72916666666666663</v>
      </c>
      <c r="X447" s="12">
        <v>5.18</v>
      </c>
      <c r="Y447" s="4">
        <v>90</v>
      </c>
      <c r="Z44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48" spans="2:26" x14ac:dyDescent="0.35">
      <c r="B448">
        <f t="shared" si="74"/>
        <v>446</v>
      </c>
      <c r="C448" t="s">
        <v>86</v>
      </c>
      <c r="D448" t="s">
        <v>175</v>
      </c>
      <c r="E448">
        <f>IF(WEEKNUM(Combined[[#This Row],[Date]], 1) = 53, 1, WEEKNUM(Combined[[#This Row],[Date]], 2))</f>
        <v>48</v>
      </c>
      <c r="F448" t="str">
        <f t="shared" si="91"/>
        <v>Wednesday</v>
      </c>
      <c r="G448" s="41">
        <v>44888</v>
      </c>
      <c r="H448">
        <v>4</v>
      </c>
      <c r="I448" s="1">
        <v>36.44</v>
      </c>
      <c r="J448" s="2">
        <v>9.0972222222222218E-2</v>
      </c>
      <c r="K448" s="12">
        <f>Combined[[#This Row],[Time Spent]]*24</f>
        <v>2.1833333333333331</v>
      </c>
      <c r="L448" s="12">
        <f>MROUND(Combined[[#This Row],[Time Spent 2]],0.25)</f>
        <v>2.25</v>
      </c>
      <c r="M448" s="2" t="s">
        <v>92</v>
      </c>
      <c r="N448" t="s">
        <v>80</v>
      </c>
      <c r="O448">
        <f>MATCH(Combined[[#This Row],[Primary Area]],KPIs!$C$4:$C$7,0)</f>
        <v>2</v>
      </c>
      <c r="Q448" s="40">
        <v>45338</v>
      </c>
      <c r="R448" s="40">
        <f t="shared" si="75"/>
        <v>45338</v>
      </c>
      <c r="S448" s="4" t="str">
        <f>TEXT(Mileage[[#This Row],[Date]],"dddd")</f>
        <v>Friday</v>
      </c>
      <c r="T448" s="4" t="s">
        <v>230</v>
      </c>
      <c r="U448" s="4">
        <v>25</v>
      </c>
      <c r="V448" t="str" cm="1">
        <f t="array" ref="V448">IFERROR(VLOOKUP(MODE(IF(Combined[Date]=Mileage[[#This Row],[Date]],Combined[Area '#])),KPIs!$B$4:$C$7,2,FALSE),VLOOKUP(Mileage[[#This Row],[Date]],Combined[[Date]:[Primary Area]],8,FALSE))</f>
        <v>Lewiston</v>
      </c>
      <c r="W448" s="106">
        <v>0.72222222222222221</v>
      </c>
      <c r="X448" s="12">
        <v>4.4800000000000004</v>
      </c>
      <c r="Y448" s="4">
        <v>51</v>
      </c>
      <c r="Z44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49" spans="2:26" x14ac:dyDescent="0.35">
      <c r="B449">
        <f t="shared" si="74"/>
        <v>447</v>
      </c>
      <c r="C449" t="s">
        <v>83</v>
      </c>
      <c r="D449" t="s">
        <v>176</v>
      </c>
      <c r="E449">
        <f>IF(WEEKNUM(Combined[[#This Row],[Date]], 1) = 53, 1, WEEKNUM(Combined[[#This Row],[Date]], 2))</f>
        <v>48</v>
      </c>
      <c r="F449" t="str">
        <f t="shared" ref="F449:F451" si="92">TEXT(WEEKDAY(G449,1),"DDDD")</f>
        <v>Friday</v>
      </c>
      <c r="G449" s="41">
        <v>44890</v>
      </c>
      <c r="H449">
        <v>5</v>
      </c>
      <c r="I449" s="1">
        <v>68.28</v>
      </c>
      <c r="J449" s="2">
        <v>0.14791666666666667</v>
      </c>
      <c r="K449" s="12">
        <f>Combined[[#This Row],[Time Spent]]*24</f>
        <v>3.55</v>
      </c>
      <c r="L449" s="12">
        <f>MROUND(Combined[[#This Row],[Time Spent 2]],0.25)</f>
        <v>3.5</v>
      </c>
      <c r="M449" s="2" t="s">
        <v>91</v>
      </c>
      <c r="N449" t="s">
        <v>80</v>
      </c>
      <c r="O449">
        <f>MATCH(Combined[[#This Row],[Primary Area]],KPIs!$C$4:$C$7,0)</f>
        <v>2</v>
      </c>
      <c r="Q449" s="40">
        <v>45339</v>
      </c>
      <c r="R449" s="40">
        <f t="shared" si="75"/>
        <v>45339</v>
      </c>
      <c r="S449" s="4" t="str">
        <f>TEXT(Mileage[[#This Row],[Date]],"dddd")</f>
        <v>Saturday</v>
      </c>
      <c r="T449" s="4" t="s">
        <v>233</v>
      </c>
      <c r="U449" s="4">
        <v>21</v>
      </c>
      <c r="V449" t="str" cm="1">
        <f t="array" ref="V449">IFERROR(VLOOKUP(MODE(IF(Combined[Date]=Mileage[[#This Row],[Date]],Combined[Area '#])),KPIs!$B$4:$C$7,2,FALSE),VLOOKUP(Mileage[[#This Row],[Date]],Combined[[Date]:[Primary Area]],8,FALSE))</f>
        <v>Brunswick/Bath/Freeport</v>
      </c>
      <c r="W449" s="106">
        <v>0.78125</v>
      </c>
      <c r="X449" s="12">
        <v>4.88</v>
      </c>
      <c r="Y449" s="4">
        <v>120</v>
      </c>
      <c r="Z4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0" spans="2:26" x14ac:dyDescent="0.35">
      <c r="B450">
        <f t="shared" si="74"/>
        <v>448</v>
      </c>
      <c r="C450" t="s">
        <v>86</v>
      </c>
      <c r="D450" t="s">
        <v>175</v>
      </c>
      <c r="E450">
        <f>IF(WEEKNUM(Combined[[#This Row],[Date]], 1) = 53, 1, WEEKNUM(Combined[[#This Row],[Date]], 2))</f>
        <v>48</v>
      </c>
      <c r="F450" t="str">
        <f t="shared" si="92"/>
        <v>Friday</v>
      </c>
      <c r="G450" s="41">
        <v>44890</v>
      </c>
      <c r="H450">
        <v>2</v>
      </c>
      <c r="I450" s="1">
        <v>14.9</v>
      </c>
      <c r="J450" s="2">
        <v>3.9583333333333331E-2</v>
      </c>
      <c r="K450" s="12">
        <f>Combined[[#This Row],[Time Spent]]*24</f>
        <v>0.95</v>
      </c>
      <c r="L450" s="12">
        <f>MROUND(Combined[[#This Row],[Time Spent 2]],0.25)</f>
        <v>1</v>
      </c>
      <c r="M450" s="2" t="s">
        <v>91</v>
      </c>
      <c r="N450" t="s">
        <v>80</v>
      </c>
      <c r="O450">
        <f>MATCH(Combined[[#This Row],[Primary Area]],KPIs!$C$4:$C$7,0)</f>
        <v>2</v>
      </c>
      <c r="Q450" s="40">
        <v>45340</v>
      </c>
      <c r="R450" s="40">
        <f t="shared" si="75"/>
        <v>45340</v>
      </c>
      <c r="S450" s="4" t="str">
        <f>TEXT(Mileage[[#This Row],[Date]],"dddd")</f>
        <v>Sunday</v>
      </c>
      <c r="T450" s="4" t="s">
        <v>281</v>
      </c>
      <c r="U450" s="4">
        <v>30</v>
      </c>
      <c r="V450" t="str" cm="1">
        <f t="array" ref="V450">IFERROR(VLOOKUP(MODE(IF(Combined[Date]=Mileage[[#This Row],[Date]],Combined[Area '#])),KPIs!$B$4:$C$7,2,FALSE),VLOOKUP(Mileage[[#This Row],[Date]],Combined[[Date]:[Primary Area]],8,FALSE))</f>
        <v>Augusta</v>
      </c>
      <c r="W450" s="106">
        <v>0.53472222222222221</v>
      </c>
      <c r="X450" s="12">
        <v>3.02</v>
      </c>
      <c r="Y450" s="4">
        <v>83</v>
      </c>
      <c r="Z45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1" spans="2:26" x14ac:dyDescent="0.35">
      <c r="B451">
        <f t="shared" ref="B451:B514" si="93">ROW()-2</f>
        <v>449</v>
      </c>
      <c r="C451" t="s">
        <v>86</v>
      </c>
      <c r="D451" t="s">
        <v>175</v>
      </c>
      <c r="E451">
        <f>IF(WEEKNUM(Combined[[#This Row],[Date]], 1) = 53, 1, WEEKNUM(Combined[[#This Row],[Date]], 2))</f>
        <v>48</v>
      </c>
      <c r="F451" t="str">
        <f t="shared" si="92"/>
        <v>Friday</v>
      </c>
      <c r="G451" s="41">
        <v>44890</v>
      </c>
      <c r="H451">
        <v>2</v>
      </c>
      <c r="I451" s="1">
        <v>13.24</v>
      </c>
      <c r="J451" s="2">
        <v>5.1388888888888894E-2</v>
      </c>
      <c r="K451" s="12">
        <f>Combined[[#This Row],[Time Spent]]*24</f>
        <v>1.2333333333333334</v>
      </c>
      <c r="L451" s="12">
        <f>MROUND(Combined[[#This Row],[Time Spent 2]],0.25)</f>
        <v>1.25</v>
      </c>
      <c r="M451" s="2" t="s">
        <v>92</v>
      </c>
      <c r="N451" t="s">
        <v>80</v>
      </c>
      <c r="O451">
        <f>MATCH(Combined[[#This Row],[Primary Area]],KPIs!$C$4:$C$7,0)</f>
        <v>2</v>
      </c>
      <c r="Q451" s="40">
        <v>45341</v>
      </c>
      <c r="R451" s="40">
        <f t="shared" ref="R451:R514" si="94">Q451</f>
        <v>45341</v>
      </c>
      <c r="S451" s="4" t="str">
        <f>TEXT(Mileage[[#This Row],[Date]],"dddd")</f>
        <v>Monday</v>
      </c>
      <c r="T451" s="4" t="s">
        <v>230</v>
      </c>
      <c r="U451" s="4">
        <v>19</v>
      </c>
      <c r="V451" t="str" cm="1">
        <f t="array" ref="V451">IFERROR(VLOOKUP(MODE(IF(Combined[Date]=Mileage[[#This Row],[Date]],Combined[Area '#])),KPIs!$B$4:$C$7,2,FALSE),VLOOKUP(Mileage[[#This Row],[Date]],Combined[[Date]:[Primary Area]],8,FALSE))</f>
        <v>Brunswick/Bath/Freeport</v>
      </c>
      <c r="W451" s="106">
        <v>0.72569444444444442</v>
      </c>
      <c r="X451" s="12">
        <v>4.18</v>
      </c>
      <c r="Y451" s="4">
        <v>98</v>
      </c>
      <c r="Z45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52" spans="2:26" x14ac:dyDescent="0.35">
      <c r="B452">
        <f t="shared" si="93"/>
        <v>450</v>
      </c>
      <c r="C452" t="s">
        <v>83</v>
      </c>
      <c r="D452" t="s">
        <v>176</v>
      </c>
      <c r="E452">
        <f>IF(WEEKNUM(Combined[[#This Row],[Date]], 1) = 53, 1, WEEKNUM(Combined[[#This Row],[Date]], 2))</f>
        <v>48</v>
      </c>
      <c r="F452" t="str">
        <f t="shared" ref="F452:F454" si="95">TEXT(WEEKDAY(G452,1),"DDDD")</f>
        <v>Saturday</v>
      </c>
      <c r="G452" s="41">
        <v>44891</v>
      </c>
      <c r="H452">
        <v>3</v>
      </c>
      <c r="I452" s="1">
        <v>40.049999999999997</v>
      </c>
      <c r="J452" s="2">
        <v>0.18958333333333333</v>
      </c>
      <c r="K452" s="12">
        <f>Combined[[#This Row],[Time Spent]]*24</f>
        <v>4.55</v>
      </c>
      <c r="L452" s="12">
        <f>MROUND(Combined[[#This Row],[Time Spent 2]],0.25)</f>
        <v>4.5</v>
      </c>
      <c r="M452" s="2" t="s">
        <v>91</v>
      </c>
      <c r="N452" t="s">
        <v>174</v>
      </c>
      <c r="O452">
        <f>MATCH(Combined[[#This Row],[Primary Area]],KPIs!$C$4:$C$7,0)</f>
        <v>1</v>
      </c>
      <c r="Q452" s="40">
        <v>45342</v>
      </c>
      <c r="R452" s="40">
        <f t="shared" si="94"/>
        <v>45342</v>
      </c>
      <c r="S452" s="4" t="str">
        <f>TEXT(Mileage[[#This Row],[Date]],"dddd")</f>
        <v>Tuesday</v>
      </c>
      <c r="T452" s="4" t="s">
        <v>230</v>
      </c>
      <c r="U452" s="4">
        <v>27</v>
      </c>
      <c r="V452" t="str" cm="1">
        <f t="array" ref="V452">IFERROR(VLOOKUP(MODE(IF(Combined[Date]=Mileage[[#This Row],[Date]],Combined[Area '#])),KPIs!$B$4:$C$7,2,FALSE),VLOOKUP(Mileage[[#This Row],[Date]],Combined[[Date]:[Primary Area]],8,FALSE))</f>
        <v>Lewiston</v>
      </c>
      <c r="W452" s="106">
        <v>0.72916666666666663</v>
      </c>
      <c r="X452" s="12">
        <v>2.4500000000000002</v>
      </c>
      <c r="Y452" s="4">
        <v>45</v>
      </c>
      <c r="Z4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3" spans="2:26" x14ac:dyDescent="0.35">
      <c r="B453">
        <f t="shared" si="93"/>
        <v>451</v>
      </c>
      <c r="C453" t="s">
        <v>86</v>
      </c>
      <c r="D453" t="s">
        <v>176</v>
      </c>
      <c r="E453">
        <f>IF(WEEKNUM(Combined[[#This Row],[Date]], 1) = 53, 1, WEEKNUM(Combined[[#This Row],[Date]], 2))</f>
        <v>48</v>
      </c>
      <c r="F453" t="str">
        <f t="shared" si="95"/>
        <v>Saturday</v>
      </c>
      <c r="G453" s="41">
        <v>44891</v>
      </c>
      <c r="H453">
        <v>4</v>
      </c>
      <c r="I453" s="1">
        <v>25</v>
      </c>
      <c r="J453" s="2">
        <v>0.12222222222222223</v>
      </c>
      <c r="K453" s="12">
        <f>Combined[[#This Row],[Time Spent]]*24</f>
        <v>2.9333333333333336</v>
      </c>
      <c r="L453" s="12">
        <f>MROUND(Combined[[#This Row],[Time Spent 2]],0.25)</f>
        <v>3</v>
      </c>
      <c r="M453" s="2" t="s">
        <v>91</v>
      </c>
      <c r="N453" t="s">
        <v>174</v>
      </c>
      <c r="O453">
        <f>MATCH(Combined[[#This Row],[Primary Area]],KPIs!$C$4:$C$7,0)</f>
        <v>1</v>
      </c>
      <c r="Q453" s="40">
        <v>45343</v>
      </c>
      <c r="R453" s="40">
        <f t="shared" si="94"/>
        <v>45343</v>
      </c>
      <c r="S453" s="4" t="str">
        <f>TEXT(Mileage[[#This Row],[Date]],"dddd")</f>
        <v>Wednesday</v>
      </c>
      <c r="T453" s="4" t="s">
        <v>230</v>
      </c>
      <c r="U453" s="4">
        <v>30</v>
      </c>
      <c r="V453" t="str" cm="1">
        <f t="array" ref="V453">IFERROR(VLOOKUP(MODE(IF(Combined[Date]=Mileage[[#This Row],[Date]],Combined[Area '#])),KPIs!$B$4:$C$7,2,FALSE),VLOOKUP(Mileage[[#This Row],[Date]],Combined[[Date]:[Primary Area]],8,FALSE))</f>
        <v>Lewiston</v>
      </c>
      <c r="W453" s="106">
        <v>0.73611111111111116</v>
      </c>
      <c r="X453" s="12">
        <v>2.98</v>
      </c>
      <c r="Y453" s="4">
        <v>66</v>
      </c>
      <c r="Z45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4" spans="2:26" x14ac:dyDescent="0.35">
      <c r="B454">
        <f t="shared" si="93"/>
        <v>452</v>
      </c>
      <c r="C454" t="s">
        <v>86</v>
      </c>
      <c r="D454" t="s">
        <v>176</v>
      </c>
      <c r="E454">
        <f>IF(WEEKNUM(Combined[[#This Row],[Date]], 1) = 53, 1, WEEKNUM(Combined[[#This Row],[Date]], 2))</f>
        <v>48</v>
      </c>
      <c r="F454" t="str">
        <f t="shared" si="95"/>
        <v>Saturday</v>
      </c>
      <c r="G454" s="41">
        <v>44891</v>
      </c>
      <c r="H454">
        <v>2</v>
      </c>
      <c r="I454" s="1">
        <v>15.75</v>
      </c>
      <c r="J454" s="2">
        <v>5.2777777777777778E-2</v>
      </c>
      <c r="K454" s="12">
        <f>Combined[[#This Row],[Time Spent]]*24</f>
        <v>1.2666666666666666</v>
      </c>
      <c r="L454" s="12">
        <f>MROUND(Combined[[#This Row],[Time Spent 2]],0.25)</f>
        <v>1.25</v>
      </c>
      <c r="M454" s="2" t="s">
        <v>91</v>
      </c>
      <c r="N454" t="s">
        <v>174</v>
      </c>
      <c r="O454">
        <f>MATCH(Combined[[#This Row],[Primary Area]],KPIs!$C$4:$C$7,0)</f>
        <v>1</v>
      </c>
      <c r="Q454" s="40">
        <v>45344</v>
      </c>
      <c r="R454" s="40">
        <f t="shared" si="94"/>
        <v>45344</v>
      </c>
      <c r="S454" s="4" t="str">
        <f>TEXT(Mileage[[#This Row],[Date]],"dddd")</f>
        <v>Thursday</v>
      </c>
      <c r="T454" s="4" t="s">
        <v>231</v>
      </c>
      <c r="U454" s="4">
        <v>32</v>
      </c>
      <c r="V454" t="str" cm="1">
        <f t="array" ref="V454">IFERROR(VLOOKUP(MODE(IF(Combined[Date]=Mileage[[#This Row],[Date]],Combined[Area '#])),KPIs!$B$4:$C$7,2,FALSE),VLOOKUP(Mileage[[#This Row],[Date]],Combined[[Date]:[Primary Area]],8,FALSE))</f>
        <v>Lewiston</v>
      </c>
      <c r="W454" s="106">
        <v>0.72916666666666663</v>
      </c>
      <c r="X454" s="12">
        <v>4.58</v>
      </c>
      <c r="Y454" s="4">
        <v>68</v>
      </c>
      <c r="Z4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5" spans="2:26" x14ac:dyDescent="0.35">
      <c r="B455">
        <f t="shared" si="93"/>
        <v>453</v>
      </c>
      <c r="C455" t="s">
        <v>86</v>
      </c>
      <c r="D455" t="s">
        <v>175</v>
      </c>
      <c r="E455">
        <f>IF(WEEKNUM(Combined[[#This Row],[Date]], 1) = 53, 1, WEEKNUM(Combined[[#This Row],[Date]], 2))</f>
        <v>48</v>
      </c>
      <c r="F455" t="str">
        <f>TEXT(WEEKDAY(G455,1),"DDDD")</f>
        <v>Saturday</v>
      </c>
      <c r="G455" s="41">
        <v>44891</v>
      </c>
      <c r="H455">
        <v>3</v>
      </c>
      <c r="I455" s="1">
        <v>27.27</v>
      </c>
      <c r="J455" s="2">
        <v>7.7777777777777779E-2</v>
      </c>
      <c r="K455" s="12">
        <f>Combined[[#This Row],[Time Spent]]*24</f>
        <v>1.8666666666666667</v>
      </c>
      <c r="L455" s="12">
        <f>MROUND(Combined[[#This Row],[Time Spent 2]],0.25)</f>
        <v>1.75</v>
      </c>
      <c r="M455" s="2" t="s">
        <v>92</v>
      </c>
      <c r="N455" t="s">
        <v>80</v>
      </c>
      <c r="O455">
        <f>MATCH(Combined[[#This Row],[Primary Area]],KPIs!$C$4:$C$7,0)</f>
        <v>2</v>
      </c>
      <c r="Q455" s="40">
        <v>45346</v>
      </c>
      <c r="R455" s="40">
        <f t="shared" si="94"/>
        <v>45346</v>
      </c>
      <c r="S455" s="4" t="str">
        <f>TEXT(Mileage[[#This Row],[Date]],"dddd")</f>
        <v>Saturday</v>
      </c>
      <c r="T455" s="4" t="s">
        <v>230</v>
      </c>
      <c r="U455" s="4">
        <v>18</v>
      </c>
      <c r="V455" t="str" cm="1">
        <f t="array" ref="V455">IFERROR(VLOOKUP(MODE(IF(Combined[Date]=Mileage[[#This Row],[Date]],Combined[Area '#])),KPIs!$B$4:$C$7,2,FALSE),VLOOKUP(Mileage[[#This Row],[Date]],Combined[[Date]:[Primary Area]],8,FALSE))</f>
        <v>Brunswick/Bath/Freeport</v>
      </c>
      <c r="W455" s="106">
        <v>0.70138888888888884</v>
      </c>
      <c r="X455" s="12">
        <v>3.25</v>
      </c>
      <c r="Y455" s="4">
        <v>74</v>
      </c>
      <c r="Z4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56" spans="2:26" x14ac:dyDescent="0.35">
      <c r="B456">
        <f t="shared" si="93"/>
        <v>454</v>
      </c>
      <c r="C456" t="s">
        <v>83</v>
      </c>
      <c r="D456" t="s">
        <v>176</v>
      </c>
      <c r="E456">
        <f>IF(WEEKNUM(Combined[[#This Row],[Date]], 1) = 53, 1, WEEKNUM(Combined[[#This Row],[Date]], 2))</f>
        <v>48</v>
      </c>
      <c r="F456" t="str">
        <f t="shared" ref="F456:F459" si="96">TEXT(WEEKDAY(G456,1),"DDDD")</f>
        <v>Sunday</v>
      </c>
      <c r="G456" s="41">
        <v>44892</v>
      </c>
      <c r="H456">
        <v>1</v>
      </c>
      <c r="I456" s="1">
        <v>12.08</v>
      </c>
      <c r="J456" s="2">
        <v>8.9583333333333334E-2</v>
      </c>
      <c r="K456" s="12">
        <f>Combined[[#This Row],[Time Spent]]*24</f>
        <v>2.15</v>
      </c>
      <c r="L456" s="12">
        <f>MROUND(Combined[[#This Row],[Time Spent 2]],0.25)</f>
        <v>2.25</v>
      </c>
      <c r="M456" s="2" t="s">
        <v>91</v>
      </c>
      <c r="N456" t="s">
        <v>80</v>
      </c>
      <c r="O456">
        <f>MATCH(Combined[[#This Row],[Primary Area]],KPIs!$C$4:$C$7,0)</f>
        <v>2</v>
      </c>
      <c r="Q456" s="40">
        <v>45349</v>
      </c>
      <c r="R456" s="40">
        <f t="shared" si="94"/>
        <v>45349</v>
      </c>
      <c r="S456" s="4" t="str">
        <f>TEXT(Mileage[[#This Row],[Date]],"dddd")</f>
        <v>Tuesday</v>
      </c>
      <c r="T456" s="4" t="s">
        <v>276</v>
      </c>
      <c r="U456" s="4">
        <v>43</v>
      </c>
      <c r="V456" t="str" cm="1">
        <f t="array" ref="V456">IFERROR(VLOOKUP(MODE(IF(Combined[Date]=Mileage[[#This Row],[Date]],Combined[Area '#])),KPIs!$B$4:$C$7,2,FALSE),VLOOKUP(Mileage[[#This Row],[Date]],Combined[[Date]:[Primary Area]],8,FALSE))</f>
        <v>Brunswick/Bath/Freeport</v>
      </c>
      <c r="W456" s="106">
        <v>0.75694444444444442</v>
      </c>
      <c r="X456" s="12">
        <v>4.12</v>
      </c>
      <c r="Y456" s="4">
        <v>89</v>
      </c>
      <c r="Z45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57" spans="2:26" x14ac:dyDescent="0.35">
      <c r="B457">
        <f t="shared" si="93"/>
        <v>455</v>
      </c>
      <c r="C457" t="s">
        <v>86</v>
      </c>
      <c r="D457" t="s">
        <v>175</v>
      </c>
      <c r="E457">
        <f>IF(WEEKNUM(Combined[[#This Row],[Date]], 1) = 53, 1, WEEKNUM(Combined[[#This Row],[Date]], 2))</f>
        <v>48</v>
      </c>
      <c r="F457" t="str">
        <f t="shared" si="96"/>
        <v>Sunday</v>
      </c>
      <c r="G457" s="41">
        <v>44892</v>
      </c>
      <c r="H457">
        <v>2</v>
      </c>
      <c r="I457" s="1">
        <v>20.89</v>
      </c>
      <c r="J457" s="2">
        <v>3.125E-2</v>
      </c>
      <c r="K457" s="12">
        <f>Combined[[#This Row],[Time Spent]]*24</f>
        <v>0.75</v>
      </c>
      <c r="L457" s="12">
        <f>MROUND(Combined[[#This Row],[Time Spent 2]],0.25)</f>
        <v>0.75</v>
      </c>
      <c r="M457" s="2" t="s">
        <v>91</v>
      </c>
      <c r="N457" t="s">
        <v>80</v>
      </c>
      <c r="O457">
        <f>MATCH(Combined[[#This Row],[Primary Area]],KPIs!$C$4:$C$7,0)</f>
        <v>2</v>
      </c>
      <c r="Q457" s="40">
        <v>45350</v>
      </c>
      <c r="R457" s="40">
        <f t="shared" si="94"/>
        <v>45350</v>
      </c>
      <c r="S457" s="4" t="str">
        <f>TEXT(Mileage[[#This Row],[Date]],"dddd")</f>
        <v>Wednesday</v>
      </c>
      <c r="T457" s="4" t="s">
        <v>236</v>
      </c>
      <c r="U457" s="4">
        <v>50</v>
      </c>
      <c r="V457" t="str" cm="1">
        <f t="array" ref="V457">IFERROR(VLOOKUP(MODE(IF(Combined[Date]=Mileage[[#This Row],[Date]],Combined[Area '#])),KPIs!$B$4:$C$7,2,FALSE),VLOOKUP(Mileage[[#This Row],[Date]],Combined[[Date]:[Primary Area]],8,FALSE))</f>
        <v>Brunswick/Bath/Freeport</v>
      </c>
      <c r="W457" s="106">
        <v>0.75</v>
      </c>
      <c r="X457" s="12">
        <v>3.08</v>
      </c>
      <c r="Y457" s="4">
        <v>62</v>
      </c>
      <c r="Z45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58" spans="2:26" x14ac:dyDescent="0.35">
      <c r="B458">
        <f t="shared" si="93"/>
        <v>456</v>
      </c>
      <c r="C458" t="s">
        <v>86</v>
      </c>
      <c r="D458" t="s">
        <v>175</v>
      </c>
      <c r="E458">
        <f>IF(WEEKNUM(Combined[[#This Row],[Date]], 1) = 53, 1, WEEKNUM(Combined[[#This Row],[Date]], 2))</f>
        <v>48</v>
      </c>
      <c r="F458" t="str">
        <f t="shared" si="96"/>
        <v>Sunday</v>
      </c>
      <c r="G458" s="41">
        <v>44892</v>
      </c>
      <c r="H458">
        <v>6</v>
      </c>
      <c r="I458" s="1">
        <v>35.630000000000003</v>
      </c>
      <c r="J458" s="2">
        <v>0.1076388888888889</v>
      </c>
      <c r="K458" s="12">
        <f>Combined[[#This Row],[Time Spent]]*24</f>
        <v>2.5833333333333335</v>
      </c>
      <c r="L458" s="12">
        <f>MROUND(Combined[[#This Row],[Time Spent 2]],0.25)</f>
        <v>2.5</v>
      </c>
      <c r="M458" s="2" t="s">
        <v>91</v>
      </c>
      <c r="N458" t="s">
        <v>80</v>
      </c>
      <c r="O458">
        <f>MATCH(Combined[[#This Row],[Primary Area]],KPIs!$C$4:$C$7,0)</f>
        <v>2</v>
      </c>
      <c r="Q458" s="40">
        <v>45352</v>
      </c>
      <c r="R458" s="40">
        <f t="shared" si="94"/>
        <v>45352</v>
      </c>
      <c r="S458" s="4" t="str">
        <f>TEXT(Mileage[[#This Row],[Date]],"dddd")</f>
        <v>Friday</v>
      </c>
      <c r="T458" s="4" t="s">
        <v>230</v>
      </c>
      <c r="U458" s="4">
        <v>32</v>
      </c>
      <c r="V458" t="str" cm="1">
        <f t="array" ref="V458">IFERROR(VLOOKUP(MODE(IF(Combined[Date]=Mileage[[#This Row],[Date]],Combined[Area '#])),KPIs!$B$4:$C$7,2,FALSE),VLOOKUP(Mileage[[#This Row],[Date]],Combined[[Date]:[Primary Area]],8,FALSE))</f>
        <v>Brunswick/Bath/Freeport</v>
      </c>
      <c r="W458" s="106">
        <v>0.71875</v>
      </c>
      <c r="X458" s="12">
        <v>3.32</v>
      </c>
      <c r="Y458" s="4">
        <v>75</v>
      </c>
      <c r="Z45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59" spans="2:26" x14ac:dyDescent="0.35">
      <c r="B459">
        <f t="shared" si="93"/>
        <v>457</v>
      </c>
      <c r="C459" t="s">
        <v>86</v>
      </c>
      <c r="D459" t="s">
        <v>175</v>
      </c>
      <c r="E459">
        <f>IF(WEEKNUM(Combined[[#This Row],[Date]], 1) = 53, 1, WEEKNUM(Combined[[#This Row],[Date]], 2))</f>
        <v>48</v>
      </c>
      <c r="F459" t="str">
        <f t="shared" si="96"/>
        <v>Sunday</v>
      </c>
      <c r="G459" s="41">
        <v>44892</v>
      </c>
      <c r="H459">
        <v>2</v>
      </c>
      <c r="I459" s="1">
        <v>30.42</v>
      </c>
      <c r="J459" s="2">
        <v>3.8194444444444441E-2</v>
      </c>
      <c r="K459" s="12">
        <f>Combined[[#This Row],[Time Spent]]*24</f>
        <v>0.91666666666666652</v>
      </c>
      <c r="L459" s="12">
        <f>MROUND(Combined[[#This Row],[Time Spent 2]],0.25)</f>
        <v>1</v>
      </c>
      <c r="M459" s="2" t="s">
        <v>92</v>
      </c>
      <c r="N459" t="s">
        <v>80</v>
      </c>
      <c r="O459">
        <f>MATCH(Combined[[#This Row],[Primary Area]],KPIs!$C$4:$C$7,0)</f>
        <v>2</v>
      </c>
      <c r="Q459" s="40">
        <v>45353</v>
      </c>
      <c r="R459" s="40">
        <f t="shared" si="94"/>
        <v>45353</v>
      </c>
      <c r="S459" s="4" t="str">
        <f>TEXT(Mileage[[#This Row],[Date]],"dddd")</f>
        <v>Saturday</v>
      </c>
      <c r="T459" s="4" t="s">
        <v>236</v>
      </c>
      <c r="U459" s="4">
        <v>41</v>
      </c>
      <c r="V459" t="str" cm="1">
        <f t="array" ref="V459">IFERROR(VLOOKUP(MODE(IF(Combined[Date]=Mileage[[#This Row],[Date]],Combined[Area '#])),KPIs!$B$4:$C$7,2,FALSE),VLOOKUP(Mileage[[#This Row],[Date]],Combined[[Date]:[Primary Area]],8,FALSE))</f>
        <v>Brunswick/Bath/Freeport</v>
      </c>
      <c r="W459" s="106">
        <v>0.74652777777777779</v>
      </c>
      <c r="X459" s="12">
        <v>4.4800000000000004</v>
      </c>
      <c r="Y459" s="4">
        <v>100</v>
      </c>
      <c r="Z45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0" spans="2:26" x14ac:dyDescent="0.35">
      <c r="B460">
        <f t="shared" si="93"/>
        <v>458</v>
      </c>
      <c r="C460" t="s">
        <v>83</v>
      </c>
      <c r="D460" t="s">
        <v>176</v>
      </c>
      <c r="E460">
        <f>IF(WEEKNUM(Combined[[#This Row],[Date]], 1) = 53, 1, WEEKNUM(Combined[[#This Row],[Date]], 2))</f>
        <v>49</v>
      </c>
      <c r="F460" t="str">
        <f t="shared" ref="F460" si="97">TEXT(WEEKDAY(G460,1),"DDDD")</f>
        <v>Monday</v>
      </c>
      <c r="G460" s="41">
        <v>44893</v>
      </c>
      <c r="H460">
        <v>5</v>
      </c>
      <c r="I460" s="1">
        <v>46.61</v>
      </c>
      <c r="J460" s="2">
        <v>0.13749999999999998</v>
      </c>
      <c r="K460" s="12">
        <f>Combined[[#This Row],[Time Spent]]*24</f>
        <v>3.3</v>
      </c>
      <c r="L460" s="12">
        <f>MROUND(Combined[[#This Row],[Time Spent 2]],0.25)</f>
        <v>3.25</v>
      </c>
      <c r="M460" s="2" t="s">
        <v>91</v>
      </c>
      <c r="N460" t="s">
        <v>85</v>
      </c>
      <c r="O460">
        <f>MATCH(Combined[[#This Row],[Primary Area]],KPIs!$C$4:$C$7,0)</f>
        <v>4</v>
      </c>
      <c r="Q460" s="40">
        <v>45354</v>
      </c>
      <c r="R460" s="40">
        <f t="shared" si="94"/>
        <v>45354</v>
      </c>
      <c r="S460" s="4" t="str">
        <f>TEXT(Mileage[[#This Row],[Date]],"dddd")</f>
        <v>Sunday</v>
      </c>
      <c r="T460" s="4" t="s">
        <v>236</v>
      </c>
      <c r="U460" s="4">
        <v>37</v>
      </c>
      <c r="V460" t="str" cm="1">
        <f t="array" ref="V460">IFERROR(VLOOKUP(MODE(IF(Combined[Date]=Mileage[[#This Row],[Date]],Combined[Area '#])),KPIs!$B$4:$C$7,2,FALSE),VLOOKUP(Mileage[[#This Row],[Date]],Combined[[Date]:[Primary Area]],8,FALSE))</f>
        <v>Lewiston</v>
      </c>
      <c r="W460" s="106">
        <v>0.70486111111111116</v>
      </c>
      <c r="X460" s="12">
        <v>3.77</v>
      </c>
      <c r="Y460" s="4">
        <v>66</v>
      </c>
      <c r="Z4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61" spans="2:26" x14ac:dyDescent="0.35">
      <c r="B461">
        <f t="shared" si="93"/>
        <v>459</v>
      </c>
      <c r="C461" t="s">
        <v>83</v>
      </c>
      <c r="D461" t="s">
        <v>176</v>
      </c>
      <c r="E461">
        <f>IF(WEEKNUM(Combined[[#This Row],[Date]], 1) = 53, 1, WEEKNUM(Combined[[#This Row],[Date]], 2))</f>
        <v>49</v>
      </c>
      <c r="F461" t="str">
        <f t="shared" ref="F461:F463" si="98">TEXT(WEEKDAY(G461,1),"DDDD")</f>
        <v>Thursday</v>
      </c>
      <c r="G461" s="41">
        <v>44896</v>
      </c>
      <c r="H461">
        <v>3</v>
      </c>
      <c r="I461" s="1">
        <v>38.17</v>
      </c>
      <c r="J461" s="2">
        <v>9.9999999999999992E-2</v>
      </c>
      <c r="K461" s="12">
        <f>Combined[[#This Row],[Time Spent]]*24</f>
        <v>2.4</v>
      </c>
      <c r="L461" s="12">
        <f>MROUND(Combined[[#This Row],[Time Spent 2]],0.25)</f>
        <v>2.5</v>
      </c>
      <c r="M461" s="2" t="s">
        <v>91</v>
      </c>
      <c r="N461" t="s">
        <v>80</v>
      </c>
      <c r="O461">
        <f>MATCH(Combined[[#This Row],[Primary Area]],KPIs!$C$4:$C$7,0)</f>
        <v>2</v>
      </c>
      <c r="Q461" s="40">
        <v>45356</v>
      </c>
      <c r="R461" s="40">
        <f t="shared" si="94"/>
        <v>45356</v>
      </c>
      <c r="S461" s="4" t="str">
        <f>TEXT(Mileage[[#This Row],[Date]],"dddd")</f>
        <v>Tuesday</v>
      </c>
      <c r="T461" s="4" t="s">
        <v>236</v>
      </c>
      <c r="U461" s="4">
        <v>39</v>
      </c>
      <c r="V461" t="str" cm="1">
        <f t="array" ref="V461">IFERROR(VLOOKUP(MODE(IF(Combined[Date]=Mileage[[#This Row],[Date]],Combined[Area '#])),KPIs!$B$4:$C$7,2,FALSE),VLOOKUP(Mileage[[#This Row],[Date]],Combined[[Date]:[Primary Area]],8,FALSE))</f>
        <v>Brunswick/Bath/Freeport</v>
      </c>
      <c r="W461" s="106">
        <v>0.73263888888888884</v>
      </c>
      <c r="X461" s="12">
        <v>3.45</v>
      </c>
      <c r="Y461" s="4">
        <v>80</v>
      </c>
      <c r="Z4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62" spans="2:26" x14ac:dyDescent="0.35">
      <c r="B462">
        <f t="shared" si="93"/>
        <v>460</v>
      </c>
      <c r="C462" t="s">
        <v>86</v>
      </c>
      <c r="D462" t="s">
        <v>175</v>
      </c>
      <c r="E462">
        <f>IF(WEEKNUM(Combined[[#This Row],[Date]], 1) = 53, 1, WEEKNUM(Combined[[#This Row],[Date]], 2))</f>
        <v>49</v>
      </c>
      <c r="F462" t="str">
        <f t="shared" si="98"/>
        <v>Thursday</v>
      </c>
      <c r="G462" s="41">
        <v>44896</v>
      </c>
      <c r="H462">
        <v>2</v>
      </c>
      <c r="I462" s="1">
        <v>25.55</v>
      </c>
      <c r="J462" s="2">
        <v>0.10069444444444443</v>
      </c>
      <c r="K462" s="12">
        <f>Combined[[#This Row],[Time Spent]]*24</f>
        <v>2.4166666666666665</v>
      </c>
      <c r="L462" s="12">
        <f>MROUND(Combined[[#This Row],[Time Spent 2]],0.25)</f>
        <v>2.5</v>
      </c>
      <c r="M462" s="2" t="s">
        <v>91</v>
      </c>
      <c r="N462" t="s">
        <v>80</v>
      </c>
      <c r="O462">
        <f>MATCH(Combined[[#This Row],[Primary Area]],KPIs!$C$4:$C$7,0)</f>
        <v>2</v>
      </c>
      <c r="Q462" s="40">
        <v>45360</v>
      </c>
      <c r="R462" s="40">
        <f t="shared" si="94"/>
        <v>45360</v>
      </c>
      <c r="S462" s="4" t="str">
        <f>TEXT(Mileage[[#This Row],[Date]],"dddd")</f>
        <v>Saturday</v>
      </c>
      <c r="T462" s="4" t="s">
        <v>231</v>
      </c>
      <c r="U462" s="4">
        <v>37</v>
      </c>
      <c r="V462" t="str" cm="1">
        <f t="array" ref="V462">IFERROR(VLOOKUP(MODE(IF(Combined[Date]=Mileage[[#This Row],[Date]],Combined[Area '#])),KPIs!$B$4:$C$7,2,FALSE),VLOOKUP(Mileage[[#This Row],[Date]],Combined[[Date]:[Primary Area]],8,FALSE))</f>
        <v>Brunswick/Bath/Freeport</v>
      </c>
      <c r="W462" s="106">
        <v>0.54166666666666663</v>
      </c>
      <c r="X462" s="12">
        <v>7.55</v>
      </c>
      <c r="Y462" s="4">
        <v>192</v>
      </c>
      <c r="Z46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3" spans="2:26" x14ac:dyDescent="0.35">
      <c r="B463">
        <f t="shared" si="93"/>
        <v>461</v>
      </c>
      <c r="C463" t="s">
        <v>86</v>
      </c>
      <c r="D463" t="s">
        <v>175</v>
      </c>
      <c r="E463">
        <f>IF(WEEKNUM(Combined[[#This Row],[Date]], 1) = 53, 1, WEEKNUM(Combined[[#This Row],[Date]], 2))</f>
        <v>49</v>
      </c>
      <c r="F463" t="str">
        <f t="shared" si="98"/>
        <v>Thursday</v>
      </c>
      <c r="G463" s="41">
        <v>44896</v>
      </c>
      <c r="H463">
        <v>1</v>
      </c>
      <c r="I463" s="1">
        <v>10.15</v>
      </c>
      <c r="J463" s="2">
        <v>3.0555555555555555E-2</v>
      </c>
      <c r="K463" s="12">
        <f>Combined[[#This Row],[Time Spent]]*24</f>
        <v>0.73333333333333328</v>
      </c>
      <c r="L463" s="12">
        <f>MROUND(Combined[[#This Row],[Time Spent 2]],0.25)</f>
        <v>0.75</v>
      </c>
      <c r="M463" s="2" t="s">
        <v>91</v>
      </c>
      <c r="N463" t="s">
        <v>80</v>
      </c>
      <c r="O463">
        <f>MATCH(Combined[[#This Row],[Primary Area]],KPIs!$C$4:$C$7,0)</f>
        <v>2</v>
      </c>
      <c r="Q463" s="40">
        <v>45362</v>
      </c>
      <c r="R463" s="40">
        <f t="shared" si="94"/>
        <v>45362</v>
      </c>
      <c r="S463" s="4" t="str">
        <f>TEXT(Mileage[[#This Row],[Date]],"dddd")</f>
        <v>Monday</v>
      </c>
      <c r="T463" s="4" t="s">
        <v>249</v>
      </c>
      <c r="U463" s="4">
        <v>36</v>
      </c>
      <c r="V463" t="str" cm="1">
        <f t="array" ref="V463">IFERROR(VLOOKUP(MODE(IF(Combined[Date]=Mileage[[#This Row],[Date]],Combined[Area '#])),KPIs!$B$4:$C$7,2,FALSE),VLOOKUP(Mileage[[#This Row],[Date]],Combined[[Date]:[Primary Area]],8,FALSE))</f>
        <v>Brunswick/Bath/Freeport</v>
      </c>
      <c r="W463" s="106">
        <v>0.73263888888888884</v>
      </c>
      <c r="X463" s="12">
        <v>4.03</v>
      </c>
      <c r="Y463" s="4">
        <v>81</v>
      </c>
      <c r="Z4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64" spans="2:26" x14ac:dyDescent="0.35">
      <c r="B464">
        <f t="shared" si="93"/>
        <v>462</v>
      </c>
      <c r="C464" t="s">
        <v>83</v>
      </c>
      <c r="D464" t="s">
        <v>176</v>
      </c>
      <c r="E464">
        <f>IF(WEEKNUM(Combined[[#This Row],[Date]], 1) = 53, 1, WEEKNUM(Combined[[#This Row],[Date]], 2))</f>
        <v>49</v>
      </c>
      <c r="F464" t="str">
        <f t="shared" ref="F464:F468" si="99">TEXT(WEEKDAY(G464,1),"DDDD")</f>
        <v>Saturday</v>
      </c>
      <c r="G464" s="41">
        <v>44898</v>
      </c>
      <c r="H464">
        <v>7</v>
      </c>
      <c r="I464" s="1">
        <v>65.33</v>
      </c>
      <c r="J464" s="2">
        <v>0.18958333333333333</v>
      </c>
      <c r="K464" s="12">
        <f>Combined[[#This Row],[Time Spent]]*24</f>
        <v>4.55</v>
      </c>
      <c r="L464" s="12">
        <f>MROUND(Combined[[#This Row],[Time Spent 2]],0.25)</f>
        <v>4.5</v>
      </c>
      <c r="M464" s="2" t="s">
        <v>91</v>
      </c>
      <c r="N464" t="s">
        <v>82</v>
      </c>
      <c r="O464">
        <f>MATCH(Combined[[#This Row],[Primary Area]],KPIs!$C$4:$C$7,0)</f>
        <v>3</v>
      </c>
      <c r="Q464" s="40">
        <v>45364</v>
      </c>
      <c r="R464" s="40">
        <f t="shared" si="94"/>
        <v>45364</v>
      </c>
      <c r="S464" s="4" t="str">
        <f>TEXT(Mileage[[#This Row],[Date]],"dddd")</f>
        <v>Wednesday</v>
      </c>
      <c r="T464" s="4" t="s">
        <v>231</v>
      </c>
      <c r="U464" s="4">
        <v>52</v>
      </c>
      <c r="V464" t="str" cm="1">
        <f t="array" ref="V464">IFERROR(VLOOKUP(MODE(IF(Combined[Date]=Mileage[[#This Row],[Date]],Combined[Area '#])),KPIs!$B$4:$C$7,2,FALSE),VLOOKUP(Mileage[[#This Row],[Date]],Combined[[Date]:[Primary Area]],8,FALSE))</f>
        <v>Brunswick/Bath/Freeport</v>
      </c>
      <c r="W464" s="106">
        <v>0.71875</v>
      </c>
      <c r="X464" s="12">
        <v>4.2300000000000004</v>
      </c>
      <c r="Y464" s="4">
        <v>69</v>
      </c>
      <c r="Z46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65" spans="2:26" x14ac:dyDescent="0.35">
      <c r="B465">
        <f t="shared" si="93"/>
        <v>463</v>
      </c>
      <c r="C465" t="s">
        <v>86</v>
      </c>
      <c r="D465" t="s">
        <v>176</v>
      </c>
      <c r="E465">
        <f>IF(WEEKNUM(Combined[[#This Row],[Date]], 1) = 53, 1, WEEKNUM(Combined[[#This Row],[Date]], 2))</f>
        <v>49</v>
      </c>
      <c r="F465" t="str">
        <f t="shared" si="99"/>
        <v>Saturday</v>
      </c>
      <c r="G465" s="41">
        <v>44898</v>
      </c>
      <c r="H465">
        <v>1</v>
      </c>
      <c r="I465" s="1">
        <v>10</v>
      </c>
      <c r="J465" s="2">
        <v>2.2916666666666669E-2</v>
      </c>
      <c r="K465" s="12">
        <f>Combined[[#This Row],[Time Spent]]*24</f>
        <v>0.55000000000000004</v>
      </c>
      <c r="L465" s="12">
        <f>MROUND(Combined[[#This Row],[Time Spent 2]],0.25)</f>
        <v>0.5</v>
      </c>
      <c r="M465" s="2" t="s">
        <v>91</v>
      </c>
      <c r="N465" t="s">
        <v>82</v>
      </c>
      <c r="O465">
        <f>MATCH(Combined[[#This Row],[Primary Area]],KPIs!$C$4:$C$7,0)</f>
        <v>3</v>
      </c>
      <c r="Q465" s="40">
        <v>45365</v>
      </c>
      <c r="R465" s="40">
        <f t="shared" si="94"/>
        <v>45365</v>
      </c>
      <c r="S465" s="4" t="str">
        <f>TEXT(Mileage[[#This Row],[Date]],"dddd")</f>
        <v>Thursday</v>
      </c>
      <c r="T465" s="4" t="s">
        <v>249</v>
      </c>
      <c r="U465" s="4">
        <v>41</v>
      </c>
      <c r="V465" t="str" cm="1">
        <f t="array" ref="V465">IFERROR(VLOOKUP(MODE(IF(Combined[Date]=Mileage[[#This Row],[Date]],Combined[Area '#])),KPIs!$B$4:$C$7,2,FALSE),VLOOKUP(Mileage[[#This Row],[Date]],Combined[[Date]:[Primary Area]],8,FALSE))</f>
        <v>Portland</v>
      </c>
      <c r="W465" s="106">
        <v>0.72222222222222221</v>
      </c>
      <c r="X465" s="12">
        <v>4.1500000000000004</v>
      </c>
      <c r="Y465" s="4">
        <v>109.8</v>
      </c>
      <c r="Z4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6" spans="2:26" x14ac:dyDescent="0.35">
      <c r="B466">
        <f t="shared" si="93"/>
        <v>464</v>
      </c>
      <c r="C466" t="s">
        <v>86</v>
      </c>
      <c r="D466" t="s">
        <v>176</v>
      </c>
      <c r="E466">
        <f>IF(WEEKNUM(Combined[[#This Row],[Date]], 1) = 53, 1, WEEKNUM(Combined[[#This Row],[Date]], 2))</f>
        <v>49</v>
      </c>
      <c r="F466" t="str">
        <f t="shared" si="99"/>
        <v>Saturday</v>
      </c>
      <c r="G466" s="41">
        <v>44898</v>
      </c>
      <c r="H466">
        <v>1</v>
      </c>
      <c r="I466" s="1">
        <v>4.25</v>
      </c>
      <c r="J466" s="2">
        <v>4.2361111111111106E-2</v>
      </c>
      <c r="K466" s="12">
        <f>Combined[[#This Row],[Time Spent]]*24</f>
        <v>1.0166666666666666</v>
      </c>
      <c r="L466" s="12">
        <f>MROUND(Combined[[#This Row],[Time Spent 2]],0.25)</f>
        <v>1</v>
      </c>
      <c r="M466" s="2" t="s">
        <v>91</v>
      </c>
      <c r="N466" t="s">
        <v>82</v>
      </c>
      <c r="O466">
        <f>MATCH(Combined[[#This Row],[Primary Area]],KPIs!$C$4:$C$7,0)</f>
        <v>3</v>
      </c>
      <c r="Q466" s="40">
        <v>45366</v>
      </c>
      <c r="R466" s="40">
        <f t="shared" si="94"/>
        <v>45366</v>
      </c>
      <c r="S466" s="4" t="str">
        <f>TEXT(Mileage[[#This Row],[Date]],"dddd")</f>
        <v>Friday</v>
      </c>
      <c r="T466" s="4" t="s">
        <v>231</v>
      </c>
      <c r="U466" s="4">
        <v>37</v>
      </c>
      <c r="V466" t="str" cm="1">
        <f t="array" ref="V466">IFERROR(VLOOKUP(MODE(IF(Combined[Date]=Mileage[[#This Row],[Date]],Combined[Area '#])),KPIs!$B$4:$C$7,2,FALSE),VLOOKUP(Mileage[[#This Row],[Date]],Combined[[Date]:[Primary Area]],8,FALSE))</f>
        <v>Lewiston</v>
      </c>
      <c r="W466" s="106">
        <v>0.73263888888888884</v>
      </c>
      <c r="X466" s="12">
        <v>3.77</v>
      </c>
      <c r="Y466" s="4">
        <v>59</v>
      </c>
      <c r="Z4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67" spans="2:26" x14ac:dyDescent="0.35">
      <c r="B467">
        <f t="shared" si="93"/>
        <v>465</v>
      </c>
      <c r="C467" t="s">
        <v>86</v>
      </c>
      <c r="D467" t="s">
        <v>176</v>
      </c>
      <c r="E467">
        <f>IF(WEEKNUM(Combined[[#This Row],[Date]], 1) = 53, 1, WEEKNUM(Combined[[#This Row],[Date]], 2))</f>
        <v>49</v>
      </c>
      <c r="F467" t="str">
        <f t="shared" si="99"/>
        <v>Saturday</v>
      </c>
      <c r="G467" s="41">
        <v>44898</v>
      </c>
      <c r="H467">
        <v>5</v>
      </c>
      <c r="I467" s="1">
        <v>38.5</v>
      </c>
      <c r="J467" s="2">
        <v>9.0277777777777776E-2</v>
      </c>
      <c r="K467" s="12">
        <f>Combined[[#This Row],[Time Spent]]*24</f>
        <v>2.1666666666666665</v>
      </c>
      <c r="L467" s="12">
        <f>MROUND(Combined[[#This Row],[Time Spent 2]],0.25)</f>
        <v>2.25</v>
      </c>
      <c r="M467" s="2" t="s">
        <v>91</v>
      </c>
      <c r="N467" t="s">
        <v>82</v>
      </c>
      <c r="O467">
        <f>MATCH(Combined[[#This Row],[Primary Area]],KPIs!$C$4:$C$7,0)</f>
        <v>3</v>
      </c>
      <c r="Q467" s="40">
        <v>45367</v>
      </c>
      <c r="R467" s="40">
        <f t="shared" si="94"/>
        <v>45367</v>
      </c>
      <c r="S467" s="4" t="str">
        <f>TEXT(Mileage[[#This Row],[Date]],"dddd")</f>
        <v>Saturday</v>
      </c>
      <c r="T467" s="4" t="s">
        <v>285</v>
      </c>
      <c r="U467" s="4">
        <v>52</v>
      </c>
      <c r="V467" t="str" cm="1">
        <f t="array" ref="V467">IFERROR(VLOOKUP(MODE(IF(Combined[Date]=Mileage[[#This Row],[Date]],Combined[Area '#])),KPIs!$B$4:$C$7,2,FALSE),VLOOKUP(Mileage[[#This Row],[Date]],Combined[[Date]:[Primary Area]],8,FALSE))</f>
        <v>Brunswick/Bath/Freeport</v>
      </c>
      <c r="W467" s="106">
        <v>0.61111111111111116</v>
      </c>
      <c r="X467" s="12">
        <v>4.03</v>
      </c>
      <c r="Y467" s="4">
        <v>94</v>
      </c>
      <c r="Z4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8" spans="2:26" x14ac:dyDescent="0.35">
      <c r="B468">
        <f t="shared" si="93"/>
        <v>466</v>
      </c>
      <c r="C468" t="s">
        <v>86</v>
      </c>
      <c r="D468" t="s">
        <v>176</v>
      </c>
      <c r="E468">
        <f>IF(WEEKNUM(Combined[[#This Row],[Date]], 1) = 53, 1, WEEKNUM(Combined[[#This Row],[Date]], 2))</f>
        <v>49</v>
      </c>
      <c r="F468" t="str">
        <f t="shared" si="99"/>
        <v>Saturday</v>
      </c>
      <c r="G468" s="41">
        <v>44898</v>
      </c>
      <c r="H468">
        <v>2</v>
      </c>
      <c r="I468" s="1">
        <v>16.5</v>
      </c>
      <c r="J468" s="2">
        <v>4.9305555555555554E-2</v>
      </c>
      <c r="K468" s="12">
        <f>Combined[[#This Row],[Time Spent]]*24</f>
        <v>1.1833333333333333</v>
      </c>
      <c r="L468" s="12">
        <f>MROUND(Combined[[#This Row],[Time Spent 2]],0.25)</f>
        <v>1.25</v>
      </c>
      <c r="M468" s="2" t="s">
        <v>92</v>
      </c>
      <c r="N468" t="s">
        <v>82</v>
      </c>
      <c r="O468">
        <f>MATCH(Combined[[#This Row],[Primary Area]],KPIs!$C$4:$C$7,0)</f>
        <v>3</v>
      </c>
      <c r="Q468" s="40">
        <v>45370</v>
      </c>
      <c r="R468" s="40">
        <f t="shared" si="94"/>
        <v>45370</v>
      </c>
      <c r="S468" s="4" t="str">
        <f>TEXT(Mileage[[#This Row],[Date]],"dddd")</f>
        <v>Tuesday</v>
      </c>
      <c r="T468" s="4" t="s">
        <v>230</v>
      </c>
      <c r="U468" s="4">
        <v>36</v>
      </c>
      <c r="V468" t="str" cm="1">
        <f t="array" ref="V468">IFERROR(VLOOKUP(MODE(IF(Combined[Date]=Mileage[[#This Row],[Date]],Combined[Area '#])),KPIs!$B$4:$C$7,2,FALSE),VLOOKUP(Mileage[[#This Row],[Date]],Combined[[Date]:[Primary Area]],8,FALSE))</f>
        <v>Brunswick/Bath/Freeport</v>
      </c>
      <c r="W468" s="106">
        <v>0.76736111111111116</v>
      </c>
      <c r="X468" s="12">
        <v>3.38</v>
      </c>
      <c r="Y468" s="4">
        <v>79</v>
      </c>
      <c r="Z46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69" spans="2:26" x14ac:dyDescent="0.35">
      <c r="B469">
        <f t="shared" si="93"/>
        <v>467</v>
      </c>
      <c r="C469" t="s">
        <v>86</v>
      </c>
      <c r="D469" t="s">
        <v>176</v>
      </c>
      <c r="E469">
        <f>IF(WEEKNUM(Combined[[#This Row],[Date]], 1) = 53, 1, WEEKNUM(Combined[[#This Row],[Date]], 2))</f>
        <v>49</v>
      </c>
      <c r="F469" t="str">
        <f>TEXT(WEEKDAY(G469,1),"DDDD")</f>
        <v>Saturday</v>
      </c>
      <c r="G469" s="41">
        <v>44898</v>
      </c>
      <c r="H469">
        <v>5</v>
      </c>
      <c r="I469" s="1">
        <v>34.5</v>
      </c>
      <c r="J469" s="2">
        <v>7.1527777777777787E-2</v>
      </c>
      <c r="K469" s="12">
        <f>Combined[[#This Row],[Time Spent]]*24</f>
        <v>1.7166666666666668</v>
      </c>
      <c r="L469" s="12">
        <f>MROUND(Combined[[#This Row],[Time Spent 2]],0.25)</f>
        <v>1.75</v>
      </c>
      <c r="M469" s="2" t="s">
        <v>92</v>
      </c>
      <c r="N469" t="s">
        <v>82</v>
      </c>
      <c r="O469">
        <f>MATCH(Combined[[#This Row],[Primary Area]],KPIs!$C$4:$C$7,0)</f>
        <v>3</v>
      </c>
      <c r="Q469" s="40">
        <v>45376</v>
      </c>
      <c r="R469" s="40">
        <f t="shared" si="94"/>
        <v>45376</v>
      </c>
      <c r="S469" s="4" t="str">
        <f>TEXT(Mileage[[#This Row],[Date]],"dddd")</f>
        <v>Monday</v>
      </c>
      <c r="T469" s="4" t="s">
        <v>230</v>
      </c>
      <c r="U469" s="4">
        <v>37</v>
      </c>
      <c r="V469" t="str" cm="1">
        <f t="array" ref="V469">IFERROR(VLOOKUP(MODE(IF(Combined[Date]=Mileage[[#This Row],[Date]],Combined[Area '#])),KPIs!$B$4:$C$7,2,FALSE),VLOOKUP(Mileage[[#This Row],[Date]],Combined[[Date]:[Primary Area]],8,FALSE))</f>
        <v>Brunswick/Bath/Freeport</v>
      </c>
      <c r="W469" s="106">
        <v>0.76041666666666663</v>
      </c>
      <c r="X469" s="12">
        <v>3.25</v>
      </c>
      <c r="Y469" s="4">
        <v>71</v>
      </c>
      <c r="Z46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0" spans="2:26" x14ac:dyDescent="0.35">
      <c r="B470">
        <f t="shared" si="93"/>
        <v>468</v>
      </c>
      <c r="C470" t="s">
        <v>83</v>
      </c>
      <c r="D470" t="s">
        <v>176</v>
      </c>
      <c r="E470">
        <f>IF(WEEKNUM(Combined[[#This Row],[Date]], 1) = 53, 1, WEEKNUM(Combined[[#This Row],[Date]], 2))</f>
        <v>50</v>
      </c>
      <c r="F470" t="str">
        <f t="shared" ref="F470:F471" si="100">TEXT(WEEKDAY(G470,1),"DDDD")</f>
        <v>Monday</v>
      </c>
      <c r="G470" s="41">
        <v>44900</v>
      </c>
      <c r="H470">
        <v>8</v>
      </c>
      <c r="I470" s="1">
        <v>67</v>
      </c>
      <c r="J470" s="2">
        <v>0.17083333333333331</v>
      </c>
      <c r="K470" s="12">
        <f>Combined[[#This Row],[Time Spent]]*24</f>
        <v>4.0999999999999996</v>
      </c>
      <c r="L470" s="12">
        <f>MROUND(Combined[[#This Row],[Time Spent 2]],0.25)</f>
        <v>4</v>
      </c>
      <c r="M470" s="2" t="s">
        <v>91</v>
      </c>
      <c r="N470" t="s">
        <v>85</v>
      </c>
      <c r="O470">
        <f>MATCH(Combined[[#This Row],[Primary Area]],KPIs!$C$4:$C$7,0)</f>
        <v>4</v>
      </c>
      <c r="Q470" s="40">
        <v>45377</v>
      </c>
      <c r="R470" s="40">
        <f t="shared" si="94"/>
        <v>45377</v>
      </c>
      <c r="S470" s="4" t="str">
        <f>TEXT(Mileage[[#This Row],[Date]],"dddd")</f>
        <v>Tuesday</v>
      </c>
      <c r="T470" s="4" t="s">
        <v>276</v>
      </c>
      <c r="U470" s="4">
        <v>37</v>
      </c>
      <c r="V470" t="str" cm="1">
        <f t="array" ref="V470">IFERROR(VLOOKUP(MODE(IF(Combined[Date]=Mileage[[#This Row],[Date]],Combined[Area '#])),KPIs!$B$4:$C$7,2,FALSE),VLOOKUP(Mileage[[#This Row],[Date]],Combined[[Date]:[Primary Area]],8,FALSE))</f>
        <v>Brunswick/Bath/Freeport</v>
      </c>
      <c r="W470" s="106">
        <v>0.72916666666666663</v>
      </c>
      <c r="X470" s="12">
        <v>2.75</v>
      </c>
      <c r="Y470" s="4">
        <v>51</v>
      </c>
      <c r="Z4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1" spans="2:26" x14ac:dyDescent="0.35">
      <c r="B471">
        <f t="shared" si="93"/>
        <v>469</v>
      </c>
      <c r="C471" t="s">
        <v>86</v>
      </c>
      <c r="D471" t="s">
        <v>175</v>
      </c>
      <c r="E471">
        <f>IF(WEEKNUM(Combined[[#This Row],[Date]], 1) = 53, 1, WEEKNUM(Combined[[#This Row],[Date]], 2))</f>
        <v>50</v>
      </c>
      <c r="F471" t="str">
        <f t="shared" si="100"/>
        <v>Monday</v>
      </c>
      <c r="G471" s="41">
        <v>44900</v>
      </c>
      <c r="H471">
        <v>1</v>
      </c>
      <c r="I471" s="1">
        <v>4.63</v>
      </c>
      <c r="J471" s="2">
        <v>1.4583333333333332E-2</v>
      </c>
      <c r="K471" s="12">
        <f>Combined[[#This Row],[Time Spent]]*24</f>
        <v>0.35</v>
      </c>
      <c r="L471" s="12">
        <f>MROUND(Combined[[#This Row],[Time Spent 2]],0.25)</f>
        <v>0.25</v>
      </c>
      <c r="M471" s="2" t="s">
        <v>91</v>
      </c>
      <c r="N471" t="s">
        <v>85</v>
      </c>
      <c r="O471">
        <f>MATCH(Combined[[#This Row],[Primary Area]],KPIs!$C$4:$C$7,0)</f>
        <v>4</v>
      </c>
      <c r="Q471" s="40">
        <v>45378</v>
      </c>
      <c r="R471" s="40">
        <f t="shared" si="94"/>
        <v>45378</v>
      </c>
      <c r="S471" s="4" t="str">
        <f>TEXT(Mileage[[#This Row],[Date]],"dddd")</f>
        <v>Wednesday</v>
      </c>
      <c r="T471" s="4" t="s">
        <v>236</v>
      </c>
      <c r="U471" s="4">
        <v>46</v>
      </c>
      <c r="V471" t="str" cm="1">
        <f t="array" ref="V471">IFERROR(VLOOKUP(MODE(IF(Combined[Date]=Mileage[[#This Row],[Date]],Combined[Area '#])),KPIs!$B$4:$C$7,2,FALSE),VLOOKUP(Mileage[[#This Row],[Date]],Combined[[Date]:[Primary Area]],8,FALSE))</f>
        <v>Brunswick/Bath/Freeport</v>
      </c>
      <c r="W471" s="106">
        <v>0.74305555555555558</v>
      </c>
      <c r="X471" s="12">
        <v>3.32</v>
      </c>
      <c r="Y471" s="4">
        <v>77</v>
      </c>
      <c r="Z47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72" spans="2:26" x14ac:dyDescent="0.35">
      <c r="B472">
        <f t="shared" si="93"/>
        <v>470</v>
      </c>
      <c r="C472" t="s">
        <v>83</v>
      </c>
      <c r="D472" t="s">
        <v>176</v>
      </c>
      <c r="E472">
        <f>IF(WEEKNUM(Combined[[#This Row],[Date]], 1) = 53, 1, WEEKNUM(Combined[[#This Row],[Date]], 2))</f>
        <v>50</v>
      </c>
      <c r="F472" t="str">
        <f t="shared" ref="F472:F477" si="101">TEXT(WEEKDAY(G472,1),"DDDD")</f>
        <v>Wednesday</v>
      </c>
      <c r="G472" s="41">
        <v>44902</v>
      </c>
      <c r="H472">
        <v>5</v>
      </c>
      <c r="I472" s="1">
        <v>66.23</v>
      </c>
      <c r="J472" s="2">
        <v>0.15694444444444444</v>
      </c>
      <c r="K472" s="12">
        <f>Combined[[#This Row],[Time Spent]]*24</f>
        <v>3.7666666666666666</v>
      </c>
      <c r="L472" s="12">
        <f>MROUND(Combined[[#This Row],[Time Spent 2]],0.25)</f>
        <v>3.75</v>
      </c>
      <c r="M472" s="2" t="s">
        <v>91</v>
      </c>
      <c r="N472" t="s">
        <v>80</v>
      </c>
      <c r="O472">
        <f>MATCH(Combined[[#This Row],[Primary Area]],KPIs!$C$4:$C$7,0)</f>
        <v>2</v>
      </c>
      <c r="Q472" s="40">
        <v>45380</v>
      </c>
      <c r="R472" s="40">
        <f t="shared" si="94"/>
        <v>45380</v>
      </c>
      <c r="S472" s="4" t="str">
        <f>TEXT(Mileage[[#This Row],[Date]],"dddd")</f>
        <v>Friday</v>
      </c>
      <c r="T472" s="4" t="s">
        <v>231</v>
      </c>
      <c r="U472" s="4">
        <v>45</v>
      </c>
      <c r="V472" t="str" cm="1">
        <f t="array" ref="V472">IFERROR(VLOOKUP(MODE(IF(Combined[Date]=Mileage[[#This Row],[Date]],Combined[Area '#])),KPIs!$B$4:$C$7,2,FALSE),VLOOKUP(Mileage[[#This Row],[Date]],Combined[[Date]:[Primary Area]],8,FALSE))</f>
        <v>Portland</v>
      </c>
      <c r="W472" s="106">
        <v>0.73958333333333337</v>
      </c>
      <c r="X472" s="12">
        <v>5.23</v>
      </c>
      <c r="Y472" s="4">
        <v>136</v>
      </c>
      <c r="Z4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73" spans="2:26" x14ac:dyDescent="0.35">
      <c r="B473">
        <f t="shared" si="93"/>
        <v>471</v>
      </c>
      <c r="C473" t="s">
        <v>86</v>
      </c>
      <c r="D473" t="s">
        <v>175</v>
      </c>
      <c r="E473">
        <f>IF(WEEKNUM(Combined[[#This Row],[Date]], 1) = 53, 1, WEEKNUM(Combined[[#This Row],[Date]], 2))</f>
        <v>50</v>
      </c>
      <c r="F473" t="str">
        <f t="shared" si="101"/>
        <v>Wednesday</v>
      </c>
      <c r="G473" s="41">
        <v>44902</v>
      </c>
      <c r="H473">
        <v>7</v>
      </c>
      <c r="I473" s="1">
        <v>78.510000000000005</v>
      </c>
      <c r="J473" s="2">
        <v>0.17430555555555557</v>
      </c>
      <c r="K473" s="12">
        <f>Combined[[#This Row],[Time Spent]]*24</f>
        <v>4.1833333333333336</v>
      </c>
      <c r="L473" s="12">
        <f>MROUND(Combined[[#This Row],[Time Spent 2]],0.25)</f>
        <v>4.25</v>
      </c>
      <c r="M473" s="2" t="s">
        <v>91</v>
      </c>
      <c r="N473" t="s">
        <v>80</v>
      </c>
      <c r="O473">
        <f>MATCH(Combined[[#This Row],[Primary Area]],KPIs!$C$4:$C$7,0)</f>
        <v>2</v>
      </c>
      <c r="Q473" s="40">
        <v>45383</v>
      </c>
      <c r="R473" s="40">
        <f t="shared" si="94"/>
        <v>45383</v>
      </c>
      <c r="S473" s="4" t="str">
        <f>TEXT(Mileage[[#This Row],[Date]],"dddd")</f>
        <v>Monday</v>
      </c>
      <c r="T473" s="4" t="s">
        <v>249</v>
      </c>
      <c r="U473" s="4">
        <v>48</v>
      </c>
      <c r="V473" t="str" cm="1">
        <f t="array" ref="V473">IFERROR(VLOOKUP(MODE(IF(Combined[Date]=Mileage[[#This Row],[Date]],Combined[Area '#])),KPIs!$B$4:$C$7,2,FALSE),VLOOKUP(Mileage[[#This Row],[Date]],Combined[[Date]:[Primary Area]],8,FALSE))</f>
        <v>Lewiston</v>
      </c>
      <c r="W473" s="106">
        <v>0.72569444444444442</v>
      </c>
      <c r="X473" s="12">
        <v>4.53</v>
      </c>
      <c r="Y473" s="4">
        <v>87</v>
      </c>
      <c r="Z47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74" spans="2:26" x14ac:dyDescent="0.35">
      <c r="B474">
        <f t="shared" si="93"/>
        <v>472</v>
      </c>
      <c r="C474" t="s">
        <v>86</v>
      </c>
      <c r="D474" t="s">
        <v>175</v>
      </c>
      <c r="E474">
        <f>IF(WEEKNUM(Combined[[#This Row],[Date]], 1) = 53, 1, WEEKNUM(Combined[[#This Row],[Date]], 2))</f>
        <v>50</v>
      </c>
      <c r="F474" t="str">
        <f t="shared" si="101"/>
        <v>Wednesday</v>
      </c>
      <c r="G474" s="41">
        <v>44902</v>
      </c>
      <c r="H474">
        <v>2</v>
      </c>
      <c r="I474" s="1">
        <v>20.49</v>
      </c>
      <c r="J474" s="2">
        <v>5.347222222222222E-2</v>
      </c>
      <c r="K474" s="12">
        <f>Combined[[#This Row],[Time Spent]]*24</f>
        <v>1.2833333333333332</v>
      </c>
      <c r="L474" s="12">
        <f>MROUND(Combined[[#This Row],[Time Spent 2]],0.25)</f>
        <v>1.25</v>
      </c>
      <c r="M474" s="2" t="s">
        <v>91</v>
      </c>
      <c r="N474" t="s">
        <v>80</v>
      </c>
      <c r="O474">
        <f>MATCH(Combined[[#This Row],[Primary Area]],KPIs!$C$4:$C$7,0)</f>
        <v>2</v>
      </c>
      <c r="Q474" s="40">
        <v>45384</v>
      </c>
      <c r="R474" s="40">
        <f t="shared" si="94"/>
        <v>45384</v>
      </c>
      <c r="S474" s="4" t="str">
        <f>TEXT(Mileage[[#This Row],[Date]],"dddd")</f>
        <v>Tuesday</v>
      </c>
      <c r="T474" s="4" t="s">
        <v>230</v>
      </c>
      <c r="U474" s="4">
        <v>46</v>
      </c>
      <c r="V474" t="str" cm="1">
        <f t="array" ref="V474">IFERROR(VLOOKUP(MODE(IF(Combined[Date]=Mileage[[#This Row],[Date]],Combined[Area '#])),KPIs!$B$4:$C$7,2,FALSE),VLOOKUP(Mileage[[#This Row],[Date]],Combined[[Date]:[Primary Area]],8,FALSE))</f>
        <v>Brunswick/Bath/Freeport</v>
      </c>
      <c r="W474" s="106">
        <v>0.73958333333333337</v>
      </c>
      <c r="X474" s="12">
        <v>3.9</v>
      </c>
      <c r="Y474" s="4">
        <v>52</v>
      </c>
      <c r="Z4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5" spans="2:26" x14ac:dyDescent="0.35">
      <c r="B475">
        <f t="shared" si="93"/>
        <v>473</v>
      </c>
      <c r="C475" t="s">
        <v>83</v>
      </c>
      <c r="D475" t="s">
        <v>176</v>
      </c>
      <c r="E475">
        <f>IF(WEEKNUM(Combined[[#This Row],[Date]], 1) = 53, 1, WEEKNUM(Combined[[#This Row],[Date]], 2))</f>
        <v>50</v>
      </c>
      <c r="F475" t="str">
        <f t="shared" si="101"/>
        <v>Thursday</v>
      </c>
      <c r="G475" s="41">
        <v>44903</v>
      </c>
      <c r="H475">
        <v>2</v>
      </c>
      <c r="I475" s="1">
        <v>23.75</v>
      </c>
      <c r="J475" s="2">
        <v>9.6527777777777768E-2</v>
      </c>
      <c r="K475" s="12">
        <f>Combined[[#This Row],[Time Spent]]*24</f>
        <v>2.3166666666666664</v>
      </c>
      <c r="L475" s="12">
        <f>MROUND(Combined[[#This Row],[Time Spent 2]],0.25)</f>
        <v>2.25</v>
      </c>
      <c r="M475" s="2" t="s">
        <v>91</v>
      </c>
      <c r="N475" t="s">
        <v>80</v>
      </c>
      <c r="O475">
        <f>MATCH(Combined[[#This Row],[Primary Area]],KPIs!$C$4:$C$7,0)</f>
        <v>2</v>
      </c>
      <c r="Q475" s="40">
        <v>45385</v>
      </c>
      <c r="R475" s="40">
        <f t="shared" si="94"/>
        <v>45385</v>
      </c>
      <c r="S475" s="4" t="str">
        <f>TEXT(Mileage[[#This Row],[Date]],"dddd")</f>
        <v>Wednesday</v>
      </c>
      <c r="T475" s="4" t="s">
        <v>232</v>
      </c>
      <c r="U475" s="4">
        <v>39</v>
      </c>
      <c r="V475" t="str" cm="1">
        <f t="array" ref="V475">IFERROR(VLOOKUP(MODE(IF(Combined[Date]=Mileage[[#This Row],[Date]],Combined[Area '#])),KPIs!$B$4:$C$7,2,FALSE),VLOOKUP(Mileage[[#This Row],[Date]],Combined[[Date]:[Primary Area]],8,FALSE))</f>
        <v>Lewiston</v>
      </c>
      <c r="W475" s="106">
        <v>0.78125</v>
      </c>
      <c r="X475" s="12">
        <v>2.25</v>
      </c>
      <c r="Y475" s="4">
        <v>28</v>
      </c>
      <c r="Z47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6" spans="2:26" x14ac:dyDescent="0.35">
      <c r="B476">
        <f t="shared" si="93"/>
        <v>474</v>
      </c>
      <c r="C476" t="s">
        <v>86</v>
      </c>
      <c r="D476" t="s">
        <v>175</v>
      </c>
      <c r="E476">
        <f>IF(WEEKNUM(Combined[[#This Row],[Date]], 1) = 53, 1, WEEKNUM(Combined[[#This Row],[Date]], 2))</f>
        <v>50</v>
      </c>
      <c r="F476" t="str">
        <f t="shared" si="101"/>
        <v>Thursday</v>
      </c>
      <c r="G476" s="41">
        <v>44903</v>
      </c>
      <c r="H476">
        <v>5</v>
      </c>
      <c r="I476" s="1">
        <v>49.68</v>
      </c>
      <c r="J476" s="2">
        <v>0.13125000000000001</v>
      </c>
      <c r="K476" s="12">
        <f>Combined[[#This Row],[Time Spent]]*24</f>
        <v>3.1500000000000004</v>
      </c>
      <c r="L476" s="12">
        <f>MROUND(Combined[[#This Row],[Time Spent 2]],0.25)</f>
        <v>3.25</v>
      </c>
      <c r="M476" s="2" t="s">
        <v>91</v>
      </c>
      <c r="N476" t="s">
        <v>80</v>
      </c>
      <c r="O476">
        <f>MATCH(Combined[[#This Row],[Primary Area]],KPIs!$C$4:$C$7,0)</f>
        <v>2</v>
      </c>
      <c r="Q476" s="40">
        <v>45387</v>
      </c>
      <c r="R476" s="40">
        <f t="shared" si="94"/>
        <v>45387</v>
      </c>
      <c r="S476" s="4" t="str">
        <f>TEXT(Mileage[[#This Row],[Date]],"dddd")</f>
        <v>Friday</v>
      </c>
      <c r="T476" s="4" t="s">
        <v>285</v>
      </c>
      <c r="U476" s="4">
        <v>37</v>
      </c>
      <c r="V476" t="str" cm="1">
        <f t="array" ref="V476">IFERROR(VLOOKUP(MODE(IF(Combined[Date]=Mileage[[#This Row],[Date]],Combined[Area '#])),KPIs!$B$4:$C$7,2,FALSE),VLOOKUP(Mileage[[#This Row],[Date]],Combined[[Date]:[Primary Area]],8,FALSE))</f>
        <v>Brunswick/Bath/Freeport</v>
      </c>
      <c r="W476" s="106">
        <v>0.74305555555555558</v>
      </c>
      <c r="X476" s="12">
        <v>6.05</v>
      </c>
      <c r="Y476" s="4">
        <v>141</v>
      </c>
      <c r="Z47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77" spans="2:26" x14ac:dyDescent="0.35">
      <c r="B477">
        <f t="shared" si="93"/>
        <v>475</v>
      </c>
      <c r="C477" t="s">
        <v>86</v>
      </c>
      <c r="D477" t="s">
        <v>175</v>
      </c>
      <c r="E477">
        <f>IF(WEEKNUM(Combined[[#This Row],[Date]], 1) = 53, 1, WEEKNUM(Combined[[#This Row],[Date]], 2))</f>
        <v>50</v>
      </c>
      <c r="F477" t="str">
        <f t="shared" si="101"/>
        <v>Thursday</v>
      </c>
      <c r="G477" s="41">
        <v>44903</v>
      </c>
      <c r="H477">
        <v>2</v>
      </c>
      <c r="I477" s="1">
        <v>23.08</v>
      </c>
      <c r="J477" s="2">
        <v>4.2361111111111106E-2</v>
      </c>
      <c r="K477" s="12">
        <f>Combined[[#This Row],[Time Spent]]*24</f>
        <v>1.0166666666666666</v>
      </c>
      <c r="L477" s="12">
        <f>MROUND(Combined[[#This Row],[Time Spent 2]],0.25)</f>
        <v>1</v>
      </c>
      <c r="M477" s="2" t="s">
        <v>92</v>
      </c>
      <c r="N477" t="s">
        <v>80</v>
      </c>
      <c r="O477">
        <f>MATCH(Combined[[#This Row],[Primary Area]],KPIs!$C$4:$C$7,0)</f>
        <v>2</v>
      </c>
      <c r="Q477" s="40">
        <v>45388</v>
      </c>
      <c r="R477" s="40">
        <f t="shared" si="94"/>
        <v>45388</v>
      </c>
      <c r="S477" s="4" t="str">
        <f>TEXT(Mileage[[#This Row],[Date]],"dddd")</f>
        <v>Saturday</v>
      </c>
      <c r="T477" s="4" t="s">
        <v>231</v>
      </c>
      <c r="U477" s="4">
        <v>37</v>
      </c>
      <c r="V477" t="str" cm="1">
        <f t="array" ref="V477">IFERROR(VLOOKUP(MODE(IF(Combined[Date]=Mileage[[#This Row],[Date]],Combined[Area '#])),KPIs!$B$4:$C$7,2,FALSE),VLOOKUP(Mileage[[#This Row],[Date]],Combined[[Date]:[Primary Area]],8,FALSE))</f>
        <v>Lewiston</v>
      </c>
      <c r="W477" s="106">
        <v>0.72916666666666663</v>
      </c>
      <c r="X477" s="12">
        <v>3.6</v>
      </c>
      <c r="Y477" s="4">
        <v>55</v>
      </c>
      <c r="Z47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8" spans="2:26" x14ac:dyDescent="0.35">
      <c r="B478">
        <f t="shared" si="93"/>
        <v>476</v>
      </c>
      <c r="C478" t="s">
        <v>83</v>
      </c>
      <c r="D478" t="s">
        <v>176</v>
      </c>
      <c r="E478">
        <f>IF(WEEKNUM(Combined[[#This Row],[Date]], 1) = 53, 1, WEEKNUM(Combined[[#This Row],[Date]], 2))</f>
        <v>50</v>
      </c>
      <c r="F478" t="str">
        <f t="shared" ref="F478:F479" si="102">TEXT(WEEKDAY(G478,1),"DDDD")</f>
        <v>Friday</v>
      </c>
      <c r="G478" s="41">
        <v>44904</v>
      </c>
      <c r="H478">
        <v>7</v>
      </c>
      <c r="I478" s="1">
        <v>97.37</v>
      </c>
      <c r="J478" s="2">
        <v>0.18263888888888891</v>
      </c>
      <c r="K478" s="12">
        <f>Combined[[#This Row],[Time Spent]]*24</f>
        <v>4.3833333333333337</v>
      </c>
      <c r="L478" s="12">
        <f>MROUND(Combined[[#This Row],[Time Spent 2]],0.25)</f>
        <v>4.5</v>
      </c>
      <c r="M478" s="2" t="s">
        <v>91</v>
      </c>
      <c r="N478" t="s">
        <v>80</v>
      </c>
      <c r="O478">
        <f>MATCH(Combined[[#This Row],[Primary Area]],KPIs!$C$4:$C$7,0)</f>
        <v>2</v>
      </c>
      <c r="Q478" s="40">
        <v>45390</v>
      </c>
      <c r="R478" s="40">
        <f t="shared" si="94"/>
        <v>45390</v>
      </c>
      <c r="S478" s="4" t="str">
        <f>TEXT(Mileage[[#This Row],[Date]],"dddd")</f>
        <v>Monday</v>
      </c>
      <c r="T478" s="4" t="s">
        <v>249</v>
      </c>
      <c r="U478" s="4">
        <v>45</v>
      </c>
      <c r="V478" t="str" cm="1">
        <f t="array" ref="V478">IFERROR(VLOOKUP(MODE(IF(Combined[Date]=Mileage[[#This Row],[Date]],Combined[Area '#])),KPIs!$B$4:$C$7,2,FALSE),VLOOKUP(Mileage[[#This Row],[Date]],Combined[[Date]:[Primary Area]],8,FALSE))</f>
        <v>Portland</v>
      </c>
      <c r="W478" s="106">
        <v>0.72916666666666663</v>
      </c>
      <c r="X478" s="12">
        <v>4.42</v>
      </c>
      <c r="Y478" s="4">
        <v>102</v>
      </c>
      <c r="Z4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79" spans="2:26" x14ac:dyDescent="0.35">
      <c r="B479">
        <f t="shared" si="93"/>
        <v>477</v>
      </c>
      <c r="C479" t="s">
        <v>86</v>
      </c>
      <c r="D479" t="s">
        <v>175</v>
      </c>
      <c r="E479">
        <f>IF(WEEKNUM(Combined[[#This Row],[Date]], 1) = 53, 1, WEEKNUM(Combined[[#This Row],[Date]], 2))</f>
        <v>50</v>
      </c>
      <c r="F479" t="str">
        <f t="shared" si="102"/>
        <v>Friday</v>
      </c>
      <c r="G479" s="41">
        <v>44904</v>
      </c>
      <c r="H479">
        <v>5</v>
      </c>
      <c r="I479" s="1">
        <v>45.08</v>
      </c>
      <c r="J479" s="2">
        <v>9.4444444444444442E-2</v>
      </c>
      <c r="K479" s="12">
        <f>Combined[[#This Row],[Time Spent]]*24</f>
        <v>2.2666666666666666</v>
      </c>
      <c r="L479" s="12">
        <f>MROUND(Combined[[#This Row],[Time Spent 2]],0.25)</f>
        <v>2.25</v>
      </c>
      <c r="M479" s="2" t="s">
        <v>91</v>
      </c>
      <c r="N479" t="s">
        <v>80</v>
      </c>
      <c r="O479">
        <f>MATCH(Combined[[#This Row],[Primary Area]],KPIs!$C$4:$C$7,0)</f>
        <v>2</v>
      </c>
      <c r="Q479" s="40">
        <v>45391</v>
      </c>
      <c r="R479" s="40">
        <f t="shared" si="94"/>
        <v>45391</v>
      </c>
      <c r="S479" s="4" t="str">
        <f>TEXT(Mileage[[#This Row],[Date]],"dddd")</f>
        <v>Tuesday</v>
      </c>
      <c r="T479" s="4" t="s">
        <v>230</v>
      </c>
      <c r="U479" s="4">
        <v>52</v>
      </c>
      <c r="V479" t="str" cm="1">
        <f t="array" ref="V479">IFERROR(VLOOKUP(MODE(IF(Combined[Date]=Mileage[[#This Row],[Date]],Combined[Area '#])),KPIs!$B$4:$C$7,2,FALSE),VLOOKUP(Mileage[[#This Row],[Date]],Combined[[Date]:[Primary Area]],8,FALSE))</f>
        <v>Brunswick/Bath/Freeport</v>
      </c>
      <c r="W479" s="106">
        <v>0.74305555555555558</v>
      </c>
      <c r="X479" s="12">
        <v>3.98</v>
      </c>
      <c r="Y479" s="4">
        <v>113</v>
      </c>
      <c r="Z47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80" spans="2:26" x14ac:dyDescent="0.35">
      <c r="B480">
        <f t="shared" si="93"/>
        <v>478</v>
      </c>
      <c r="C480" t="s">
        <v>83</v>
      </c>
      <c r="D480" t="s">
        <v>176</v>
      </c>
      <c r="E480">
        <f>IF(WEEKNUM(Combined[[#This Row],[Date]], 1) = 53, 1, WEEKNUM(Combined[[#This Row],[Date]], 2))</f>
        <v>50</v>
      </c>
      <c r="F480" t="str">
        <f t="shared" ref="F480" si="103">TEXT(WEEKDAY(G480,1),"DDDD")</f>
        <v>Sunday</v>
      </c>
      <c r="G480" s="41">
        <v>44906</v>
      </c>
      <c r="H480">
        <v>5</v>
      </c>
      <c r="I480" s="1">
        <v>51.13</v>
      </c>
      <c r="J480" s="2">
        <v>0.14652777777777778</v>
      </c>
      <c r="K480" s="12">
        <f>Combined[[#This Row],[Time Spent]]*24</f>
        <v>3.5166666666666666</v>
      </c>
      <c r="L480" s="12">
        <f>MROUND(Combined[[#This Row],[Time Spent 2]],0.25)</f>
        <v>3.5</v>
      </c>
      <c r="M480" s="2" t="s">
        <v>91</v>
      </c>
      <c r="N480" t="s">
        <v>174</v>
      </c>
      <c r="O480">
        <f>MATCH(Combined[[#This Row],[Primary Area]],KPIs!$C$4:$C$7,0)</f>
        <v>1</v>
      </c>
      <c r="Q480" s="40">
        <v>45394</v>
      </c>
      <c r="R480" s="40">
        <f t="shared" si="94"/>
        <v>45394</v>
      </c>
      <c r="S480" s="4" t="str">
        <f>TEXT(Mileage[[#This Row],[Date]],"dddd")</f>
        <v>Friday</v>
      </c>
      <c r="T480" s="4" t="s">
        <v>276</v>
      </c>
      <c r="U480" s="4">
        <v>54</v>
      </c>
      <c r="V480" t="str" cm="1">
        <f t="array" ref="V480">IFERROR(VLOOKUP(MODE(IF(Combined[Date]=Mileage[[#This Row],[Date]],Combined[Area '#])),KPIs!$B$4:$C$7,2,FALSE),VLOOKUP(Mileage[[#This Row],[Date]],Combined[[Date]:[Primary Area]],8,FALSE))</f>
        <v>Brunswick/Bath/Freeport</v>
      </c>
      <c r="W480" s="106">
        <v>0.72916666666666663</v>
      </c>
      <c r="X480" s="12">
        <v>7.7</v>
      </c>
      <c r="Y480" s="4">
        <v>163</v>
      </c>
      <c r="Z4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81" spans="2:26" x14ac:dyDescent="0.35">
      <c r="B481">
        <f t="shared" si="93"/>
        <v>479</v>
      </c>
      <c r="C481" t="s">
        <v>83</v>
      </c>
      <c r="D481" t="s">
        <v>176</v>
      </c>
      <c r="E481">
        <f>IF(WEEKNUM(Combined[[#This Row],[Date]], 1) = 53, 1, WEEKNUM(Combined[[#This Row],[Date]], 2))</f>
        <v>51</v>
      </c>
      <c r="F481" t="str">
        <f>TEXT(WEEKDAY(G481,1),"DDDD")</f>
        <v>Monday</v>
      </c>
      <c r="G481" s="41">
        <v>44907</v>
      </c>
      <c r="H481">
        <v>3</v>
      </c>
      <c r="I481" s="1">
        <f>7.59+11.09+5.01</f>
        <v>23.689999999999998</v>
      </c>
      <c r="J481" s="2">
        <v>8.9583333333333334E-2</v>
      </c>
      <c r="K481" s="12">
        <f>Combined[[#This Row],[Time Spent]]*24</f>
        <v>2.15</v>
      </c>
      <c r="L481" s="12">
        <f>MROUND(Combined[[#This Row],[Time Spent 2]],0.25)</f>
        <v>2.25</v>
      </c>
      <c r="M481" s="2" t="s">
        <v>91</v>
      </c>
      <c r="N481" t="s">
        <v>82</v>
      </c>
      <c r="O481">
        <f>MATCH(Combined[[#This Row],[Primary Area]],KPIs!$C$4:$C$7,0)</f>
        <v>3</v>
      </c>
      <c r="Q481" s="40">
        <v>45395</v>
      </c>
      <c r="R481" s="40">
        <f t="shared" si="94"/>
        <v>45395</v>
      </c>
      <c r="S481" s="4" t="str">
        <f>TEXT(Mileage[[#This Row],[Date]],"dddd")</f>
        <v>Saturday</v>
      </c>
      <c r="T481" s="4" t="s">
        <v>231</v>
      </c>
      <c r="U481" s="4">
        <v>48</v>
      </c>
      <c r="V481" t="str" cm="1">
        <f t="array" ref="V481">IFERROR(VLOOKUP(MODE(IF(Combined[Date]=Mileage[[#This Row],[Date]],Combined[Area '#])),KPIs!$B$4:$C$7,2,FALSE),VLOOKUP(Mileage[[#This Row],[Date]],Combined[[Date]:[Primary Area]],8,FALSE))</f>
        <v>Augusta</v>
      </c>
      <c r="W481" s="106">
        <v>0.75347222222222221</v>
      </c>
      <c r="X481" s="12">
        <v>3.42</v>
      </c>
      <c r="Y481" s="4">
        <v>83</v>
      </c>
      <c r="Z48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2" spans="2:26" x14ac:dyDescent="0.35">
      <c r="B482">
        <f t="shared" si="93"/>
        <v>480</v>
      </c>
      <c r="C482" t="s">
        <v>83</v>
      </c>
      <c r="D482" t="s">
        <v>176</v>
      </c>
      <c r="E482">
        <f>IF(WEEKNUM(Combined[[#This Row],[Date]], 1) = 53, 1, WEEKNUM(Combined[[#This Row],[Date]], 2))</f>
        <v>51</v>
      </c>
      <c r="F482" t="str">
        <f>TEXT(WEEKDAY(G482,1),"DDDD")</f>
        <v>Monday</v>
      </c>
      <c r="G482" s="41">
        <v>44907</v>
      </c>
      <c r="H482">
        <v>3</v>
      </c>
      <c r="I482" s="1">
        <v>26.71</v>
      </c>
      <c r="J482" s="2">
        <v>7.3611111111111113E-2</v>
      </c>
      <c r="K482" s="12">
        <f>Combined[[#This Row],[Time Spent]]*24</f>
        <v>1.7666666666666666</v>
      </c>
      <c r="L482" s="12">
        <f>MROUND(Combined[[#This Row],[Time Spent 2]],0.25)</f>
        <v>1.75</v>
      </c>
      <c r="M482" s="2" t="s">
        <v>91</v>
      </c>
      <c r="N482" t="s">
        <v>82</v>
      </c>
      <c r="O482">
        <f>MATCH(Combined[[#This Row],[Primary Area]],KPIs!$C$4:$C$7,0)</f>
        <v>3</v>
      </c>
      <c r="Q482" s="40">
        <v>45398</v>
      </c>
      <c r="R482" s="40">
        <f t="shared" si="94"/>
        <v>45398</v>
      </c>
      <c r="S482" s="4" t="str">
        <f>TEXT(Mileage[[#This Row],[Date]],"dddd")</f>
        <v>Tuesday</v>
      </c>
      <c r="T482" s="4" t="s">
        <v>231</v>
      </c>
      <c r="U482" s="4">
        <v>54</v>
      </c>
      <c r="V482" t="str" cm="1">
        <f t="array" ref="V482">IFERROR(VLOOKUP(MODE(IF(Combined[Date]=Mileage[[#This Row],[Date]],Combined[Area '#])),KPIs!$B$4:$C$7,2,FALSE),VLOOKUP(Mileage[[#This Row],[Date]],Combined[[Date]:[Primary Area]],8,FALSE))</f>
        <v>Brunswick/Bath/Freeport</v>
      </c>
      <c r="W482" s="106">
        <v>0.74305555555555558</v>
      </c>
      <c r="X482" s="12">
        <v>5.75</v>
      </c>
      <c r="Y482" s="4">
        <v>126</v>
      </c>
      <c r="Z48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3" spans="2:26" x14ac:dyDescent="0.35">
      <c r="B483">
        <f t="shared" si="93"/>
        <v>481</v>
      </c>
      <c r="C483" t="s">
        <v>83</v>
      </c>
      <c r="D483" t="s">
        <v>176</v>
      </c>
      <c r="E483">
        <f>IF(WEEKNUM(Combined[[#This Row],[Date]], 1) = 53, 1, WEEKNUM(Combined[[#This Row],[Date]], 2))</f>
        <v>51</v>
      </c>
      <c r="F483" t="str">
        <f>TEXT(WEEKDAY(G483,1),"DDDD")</f>
        <v>Monday</v>
      </c>
      <c r="G483" s="41">
        <v>44907</v>
      </c>
      <c r="H483">
        <v>6</v>
      </c>
      <c r="I483" s="1">
        <v>34.5</v>
      </c>
      <c r="J483" s="2">
        <v>0.10277777777777779</v>
      </c>
      <c r="K483" s="12">
        <f>Combined[[#This Row],[Time Spent]]*24</f>
        <v>2.4666666666666668</v>
      </c>
      <c r="L483" s="12">
        <f>MROUND(Combined[[#This Row],[Time Spent 2]],0.25)</f>
        <v>2.5</v>
      </c>
      <c r="M483" s="2" t="s">
        <v>91</v>
      </c>
      <c r="N483" t="s">
        <v>82</v>
      </c>
      <c r="O483">
        <f>MATCH(Combined[[#This Row],[Primary Area]],KPIs!$C$4:$C$7,0)</f>
        <v>3</v>
      </c>
      <c r="Q483" s="40">
        <v>45399</v>
      </c>
      <c r="R483" s="40">
        <f t="shared" si="94"/>
        <v>45399</v>
      </c>
      <c r="S483" s="4" t="str">
        <f>TEXT(Mileage[[#This Row],[Date]],"dddd")</f>
        <v>Wednesday</v>
      </c>
      <c r="T483" s="4" t="s">
        <v>230</v>
      </c>
      <c r="U483" s="4">
        <v>54</v>
      </c>
      <c r="V483" t="str" cm="1">
        <f t="array" ref="V483">IFERROR(VLOOKUP(MODE(IF(Combined[Date]=Mileage[[#This Row],[Date]],Combined[Area '#])),KPIs!$B$4:$C$7,2,FALSE),VLOOKUP(Mileage[[#This Row],[Date]],Combined[[Date]:[Primary Area]],8,FALSE))</f>
        <v>Augusta</v>
      </c>
      <c r="W483" s="106">
        <v>0.72916666666666663</v>
      </c>
      <c r="X483" s="12">
        <v>3.42</v>
      </c>
      <c r="Y483" s="4">
        <v>93</v>
      </c>
      <c r="Z4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4" spans="2:26" x14ac:dyDescent="0.35">
      <c r="B484">
        <f t="shared" si="93"/>
        <v>482</v>
      </c>
      <c r="C484" t="s">
        <v>83</v>
      </c>
      <c r="D484" t="s">
        <v>176</v>
      </c>
      <c r="E484">
        <f>IF(WEEKNUM(Combined[[#This Row],[Date]], 1) = 53, 1, WEEKNUM(Combined[[#This Row],[Date]], 2))</f>
        <v>51</v>
      </c>
      <c r="F484" t="str">
        <f t="shared" ref="F484:F486" si="104">TEXT(WEEKDAY(G484,1),"DDDD")</f>
        <v>Tuesday</v>
      </c>
      <c r="G484" s="41">
        <v>44908</v>
      </c>
      <c r="H484">
        <v>2</v>
      </c>
      <c r="I484" s="1">
        <v>41.1</v>
      </c>
      <c r="J484" s="2">
        <v>7.9861111111111105E-2</v>
      </c>
      <c r="K484" s="12">
        <f>Combined[[#This Row],[Time Spent]]*24</f>
        <v>1.9166666666666665</v>
      </c>
      <c r="L484" s="12">
        <f>MROUND(Combined[[#This Row],[Time Spent 2]],0.25)</f>
        <v>2</v>
      </c>
      <c r="M484" s="2" t="s">
        <v>91</v>
      </c>
      <c r="N484" t="s">
        <v>80</v>
      </c>
      <c r="O484">
        <f>MATCH(Combined[[#This Row],[Primary Area]],KPIs!$C$4:$C$7,0)</f>
        <v>2</v>
      </c>
      <c r="Q484" s="40">
        <v>45401</v>
      </c>
      <c r="R484" s="40">
        <f t="shared" si="94"/>
        <v>45401</v>
      </c>
      <c r="S484" s="4" t="str">
        <f>TEXT(Mileage[[#This Row],[Date]],"dddd")</f>
        <v>Friday</v>
      </c>
      <c r="T484" s="4" t="s">
        <v>231</v>
      </c>
      <c r="U484" s="4">
        <v>48</v>
      </c>
      <c r="V484" t="str" cm="1">
        <f t="array" ref="V484">IFERROR(VLOOKUP(MODE(IF(Combined[Date]=Mileage[[#This Row],[Date]],Combined[Area '#])),KPIs!$B$4:$C$7,2,FALSE),VLOOKUP(Mileage[[#This Row],[Date]],Combined[[Date]:[Primary Area]],8,FALSE))</f>
        <v>Brunswick/Bath/Freeport</v>
      </c>
      <c r="W484" s="106">
        <v>0.72222222222222221</v>
      </c>
      <c r="X484" s="12">
        <v>4.0199999999999996</v>
      </c>
      <c r="Y484" s="4">
        <v>75</v>
      </c>
      <c r="Z48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5" spans="2:26" x14ac:dyDescent="0.35">
      <c r="B485">
        <f t="shared" si="93"/>
        <v>483</v>
      </c>
      <c r="C485" t="s">
        <v>86</v>
      </c>
      <c r="D485" t="s">
        <v>175</v>
      </c>
      <c r="E485">
        <f>IF(WEEKNUM(Combined[[#This Row],[Date]], 1) = 53, 1, WEEKNUM(Combined[[#This Row],[Date]], 2))</f>
        <v>51</v>
      </c>
      <c r="F485" t="str">
        <f t="shared" si="104"/>
        <v>Tuesday</v>
      </c>
      <c r="G485" s="41">
        <v>44908</v>
      </c>
      <c r="H485">
        <v>4</v>
      </c>
      <c r="I485" s="1">
        <v>35.72</v>
      </c>
      <c r="J485" s="2">
        <v>0.12361111111111112</v>
      </c>
      <c r="K485" s="12">
        <f>Combined[[#This Row],[Time Spent]]*24</f>
        <v>2.9666666666666668</v>
      </c>
      <c r="L485" s="12">
        <f>MROUND(Combined[[#This Row],[Time Spent 2]],0.25)</f>
        <v>3</v>
      </c>
      <c r="M485" s="2" t="s">
        <v>91</v>
      </c>
      <c r="N485" t="s">
        <v>80</v>
      </c>
      <c r="O485">
        <f>MATCH(Combined[[#This Row],[Primary Area]],KPIs!$C$4:$C$7,0)</f>
        <v>2</v>
      </c>
      <c r="Q485" s="40">
        <v>45402</v>
      </c>
      <c r="R485" s="40">
        <f t="shared" si="94"/>
        <v>45402</v>
      </c>
      <c r="S485" s="4" t="str">
        <f>TEXT(Mileage[[#This Row],[Date]],"dddd")</f>
        <v>Saturday</v>
      </c>
      <c r="T485" s="4" t="s">
        <v>231</v>
      </c>
      <c r="U485" s="4">
        <v>50</v>
      </c>
      <c r="V485" t="str" cm="1">
        <f t="array" ref="V485">IFERROR(VLOOKUP(MODE(IF(Combined[Date]=Mileage[[#This Row],[Date]],Combined[Area '#])),KPIs!$B$4:$C$7,2,FALSE),VLOOKUP(Mileage[[#This Row],[Date]],Combined[[Date]:[Primary Area]],8,FALSE))</f>
        <v>Brunswick/Bath/Freeport</v>
      </c>
      <c r="W485" s="106">
        <v>0.71180555555555558</v>
      </c>
      <c r="X485" s="12">
        <v>5.28</v>
      </c>
      <c r="Y485" s="4">
        <v>102</v>
      </c>
      <c r="Z4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6" spans="2:26" x14ac:dyDescent="0.35">
      <c r="B486">
        <f t="shared" si="93"/>
        <v>484</v>
      </c>
      <c r="C486" t="s">
        <v>86</v>
      </c>
      <c r="D486" t="s">
        <v>175</v>
      </c>
      <c r="E486">
        <f>IF(WEEKNUM(Combined[[#This Row],[Date]], 1) = 53, 1, WEEKNUM(Combined[[#This Row],[Date]], 2))</f>
        <v>51</v>
      </c>
      <c r="F486" t="str">
        <f t="shared" si="104"/>
        <v>Tuesday</v>
      </c>
      <c r="G486" s="41">
        <v>44908</v>
      </c>
      <c r="H486">
        <v>1</v>
      </c>
      <c r="I486" s="1">
        <v>8.23</v>
      </c>
      <c r="J486" s="2">
        <v>3.125E-2</v>
      </c>
      <c r="K486" s="12">
        <f>Combined[[#This Row],[Time Spent]]*24</f>
        <v>0.75</v>
      </c>
      <c r="L486" s="12">
        <f>MROUND(Combined[[#This Row],[Time Spent 2]],0.25)</f>
        <v>0.75</v>
      </c>
      <c r="M486" s="2" t="s">
        <v>91</v>
      </c>
      <c r="N486" t="s">
        <v>80</v>
      </c>
      <c r="O486">
        <f>MATCH(Combined[[#This Row],[Primary Area]],KPIs!$C$4:$C$7,0)</f>
        <v>2</v>
      </c>
      <c r="Q486" s="40">
        <v>45403</v>
      </c>
      <c r="R486" s="40">
        <f t="shared" si="94"/>
        <v>45403</v>
      </c>
      <c r="S486" s="4" t="str">
        <f>TEXT(Mileage[[#This Row],[Date]],"dddd")</f>
        <v>Sunday</v>
      </c>
      <c r="T486" s="4" t="s">
        <v>230</v>
      </c>
      <c r="U486" s="4">
        <v>50</v>
      </c>
      <c r="V486" t="str" cm="1">
        <f t="array" ref="V486">IFERROR(VLOOKUP(MODE(IF(Combined[Date]=Mileage[[#This Row],[Date]],Combined[Area '#])),KPIs!$B$4:$C$7,2,FALSE),VLOOKUP(Mileage[[#This Row],[Date]],Combined[[Date]:[Primary Area]],8,FALSE))</f>
        <v>Brunswick/Bath/Freeport</v>
      </c>
      <c r="W486" s="106">
        <v>0.71527777777777779</v>
      </c>
      <c r="X486" s="12">
        <v>4.8499999999999996</v>
      </c>
      <c r="Y486" s="4">
        <v>111</v>
      </c>
      <c r="Z48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87" spans="2:26" x14ac:dyDescent="0.35">
      <c r="B487">
        <f t="shared" si="93"/>
        <v>485</v>
      </c>
      <c r="C487" t="s">
        <v>86</v>
      </c>
      <c r="D487" t="s">
        <v>175</v>
      </c>
      <c r="E487">
        <f>IF(WEEKNUM(Combined[[#This Row],[Date]], 1) = 53, 1, WEEKNUM(Combined[[#This Row],[Date]], 2))</f>
        <v>51</v>
      </c>
      <c r="F487" t="str">
        <f t="shared" ref="F487:F488" si="105">TEXT(WEEKDAY(G487,1),"DDDD")</f>
        <v>Wednesday</v>
      </c>
      <c r="G487" s="41">
        <v>44909</v>
      </c>
      <c r="H487">
        <v>11</v>
      </c>
      <c r="I487" s="1">
        <v>98.96</v>
      </c>
      <c r="J487" s="2">
        <v>0.20833333333333334</v>
      </c>
      <c r="K487" s="12">
        <f>Combined[[#This Row],[Time Spent]]*24</f>
        <v>5</v>
      </c>
      <c r="L487" s="12">
        <f>MROUND(Combined[[#This Row],[Time Spent 2]],0.25)</f>
        <v>5</v>
      </c>
      <c r="M487" s="2" t="s">
        <v>91</v>
      </c>
      <c r="N487" t="s">
        <v>80</v>
      </c>
      <c r="O487">
        <f>MATCH(Combined[[#This Row],[Primary Area]],KPIs!$C$4:$C$7,0)</f>
        <v>2</v>
      </c>
      <c r="Q487" s="40">
        <v>45404</v>
      </c>
      <c r="R487" s="40">
        <f t="shared" si="94"/>
        <v>45404</v>
      </c>
      <c r="S487" s="4" t="str">
        <f>TEXT(Mileage[[#This Row],[Date]],"dddd")</f>
        <v>Monday</v>
      </c>
      <c r="T487" s="4" t="s">
        <v>230</v>
      </c>
      <c r="U487" s="4">
        <v>48</v>
      </c>
      <c r="V487" t="str" cm="1">
        <f t="array" ref="V487">IFERROR(VLOOKUP(MODE(IF(Combined[Date]=Mileage[[#This Row],[Date]],Combined[Area '#])),KPIs!$B$4:$C$7,2,FALSE),VLOOKUP(Mileage[[#This Row],[Date]],Combined[[Date]:[Primary Area]],8,FALSE))</f>
        <v>Brunswick/Bath/Freeport</v>
      </c>
      <c r="W487" s="106">
        <v>0.76388888888888884</v>
      </c>
      <c r="X487" s="12">
        <v>3.22</v>
      </c>
      <c r="Y487" s="4">
        <v>60</v>
      </c>
      <c r="Z48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8" spans="2:26" x14ac:dyDescent="0.35">
      <c r="B488">
        <f t="shared" si="93"/>
        <v>486</v>
      </c>
      <c r="C488" t="s">
        <v>86</v>
      </c>
      <c r="D488" t="s">
        <v>175</v>
      </c>
      <c r="E488">
        <f>IF(WEEKNUM(Combined[[#This Row],[Date]], 1) = 53, 1, WEEKNUM(Combined[[#This Row],[Date]], 2))</f>
        <v>51</v>
      </c>
      <c r="F488" t="str">
        <f t="shared" si="105"/>
        <v>Wednesday</v>
      </c>
      <c r="G488" s="41">
        <v>44909</v>
      </c>
      <c r="H488">
        <v>1</v>
      </c>
      <c r="I488" s="1">
        <f>3.9+1.25</f>
        <v>5.15</v>
      </c>
      <c r="J488" s="2">
        <v>9.3055555555555558E-2</v>
      </c>
      <c r="K488" s="12">
        <f>Combined[[#This Row],[Time Spent]]*24</f>
        <v>2.2333333333333334</v>
      </c>
      <c r="L488" s="12">
        <f>MROUND(Combined[[#This Row],[Time Spent 2]],0.25)</f>
        <v>2.25</v>
      </c>
      <c r="M488" s="2" t="s">
        <v>92</v>
      </c>
      <c r="N488" t="s">
        <v>80</v>
      </c>
      <c r="O488">
        <f>MATCH(Combined[[#This Row],[Primary Area]],KPIs!$C$4:$C$7,0)</f>
        <v>2</v>
      </c>
      <c r="Q488" s="40">
        <v>45405</v>
      </c>
      <c r="R488" s="40">
        <f t="shared" si="94"/>
        <v>45405</v>
      </c>
      <c r="S488" s="4" t="str">
        <f>TEXT(Mileage[[#This Row],[Date]],"dddd")</f>
        <v>Tuesday</v>
      </c>
      <c r="T488" s="4" t="s">
        <v>230</v>
      </c>
      <c r="U488" s="4">
        <v>50</v>
      </c>
      <c r="V488" t="str" cm="1">
        <f t="array" ref="V488">IFERROR(VLOOKUP(MODE(IF(Combined[Date]=Mileage[[#This Row],[Date]],Combined[Area '#])),KPIs!$B$4:$C$7,2,FALSE),VLOOKUP(Mileage[[#This Row],[Date]],Combined[[Date]:[Primary Area]],8,FALSE))</f>
        <v>Lewiston</v>
      </c>
      <c r="W488" s="106">
        <v>0.76041666666666663</v>
      </c>
      <c r="X488" s="12">
        <v>4.2</v>
      </c>
      <c r="Y488" s="4">
        <v>81</v>
      </c>
      <c r="Z48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89" spans="2:26" x14ac:dyDescent="0.35">
      <c r="B489">
        <f t="shared" si="93"/>
        <v>487</v>
      </c>
      <c r="C489" t="s">
        <v>83</v>
      </c>
      <c r="D489" t="s">
        <v>176</v>
      </c>
      <c r="E489">
        <f>IF(WEEKNUM(Combined[[#This Row],[Date]], 1) = 53, 1, WEEKNUM(Combined[[#This Row],[Date]], 2))</f>
        <v>51</v>
      </c>
      <c r="F489" t="str">
        <f t="shared" ref="F489:F490" si="106">TEXT(WEEKDAY(G489,1),"DDDD")</f>
        <v>Thursday</v>
      </c>
      <c r="G489" s="41">
        <v>44910</v>
      </c>
      <c r="H489">
        <v>4</v>
      </c>
      <c r="I489" s="1">
        <v>53.54</v>
      </c>
      <c r="J489" s="2">
        <v>0.19722222222222222</v>
      </c>
      <c r="K489" s="12">
        <f>Combined[[#This Row],[Time Spent]]*24</f>
        <v>4.7333333333333334</v>
      </c>
      <c r="L489" s="12">
        <f>MROUND(Combined[[#This Row],[Time Spent 2]],0.25)</f>
        <v>4.75</v>
      </c>
      <c r="M489" s="2" t="s">
        <v>91</v>
      </c>
      <c r="N489" t="s">
        <v>174</v>
      </c>
      <c r="O489">
        <f>MATCH(Combined[[#This Row],[Primary Area]],KPIs!$C$4:$C$7,0)</f>
        <v>1</v>
      </c>
      <c r="Q489" s="40">
        <v>45407</v>
      </c>
      <c r="R489" s="40">
        <f t="shared" si="94"/>
        <v>45407</v>
      </c>
      <c r="S489" s="4" t="str">
        <f>TEXT(Mileage[[#This Row],[Date]],"dddd")</f>
        <v>Thursday</v>
      </c>
      <c r="T489" s="4" t="s">
        <v>230</v>
      </c>
      <c r="U489" s="4">
        <v>48</v>
      </c>
      <c r="V489" t="str" cm="1">
        <f t="array" ref="V489">IFERROR(VLOOKUP(MODE(IF(Combined[Date]=Mileage[[#This Row],[Date]],Combined[Area '#])),KPIs!$B$4:$C$7,2,FALSE),VLOOKUP(Mileage[[#This Row],[Date]],Combined[[Date]:[Primary Area]],8,FALSE))</f>
        <v>Lewiston</v>
      </c>
      <c r="W489" s="106">
        <v>0.74652777777777779</v>
      </c>
      <c r="X489" s="12">
        <v>3.83</v>
      </c>
      <c r="Y489" s="4">
        <v>85</v>
      </c>
      <c r="Z48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90" spans="2:26" x14ac:dyDescent="0.35">
      <c r="B490">
        <f t="shared" si="93"/>
        <v>488</v>
      </c>
      <c r="C490" t="s">
        <v>86</v>
      </c>
      <c r="D490" t="s">
        <v>176</v>
      </c>
      <c r="E490">
        <f>IF(WEEKNUM(Combined[[#This Row],[Date]], 1) = 53, 1, WEEKNUM(Combined[[#This Row],[Date]], 2))</f>
        <v>51</v>
      </c>
      <c r="F490" t="str">
        <f t="shared" si="106"/>
        <v>Thursday</v>
      </c>
      <c r="G490" s="41">
        <v>44910</v>
      </c>
      <c r="H490">
        <v>12</v>
      </c>
      <c r="I490" s="1">
        <v>111.25</v>
      </c>
      <c r="J490" s="2">
        <v>0.3840277777777778</v>
      </c>
      <c r="K490" s="12">
        <f>Combined[[#This Row],[Time Spent]]*24</f>
        <v>9.2166666666666668</v>
      </c>
      <c r="L490" s="12">
        <f>MROUND(Combined[[#This Row],[Time Spent 2]],0.25)</f>
        <v>9.25</v>
      </c>
      <c r="M490" s="2" t="s">
        <v>91</v>
      </c>
      <c r="N490" t="s">
        <v>174</v>
      </c>
      <c r="O490">
        <f>MATCH(Combined[[#This Row],[Primary Area]],KPIs!$C$4:$C$7,0)</f>
        <v>1</v>
      </c>
      <c r="Q490" s="40">
        <v>45408</v>
      </c>
      <c r="R490" s="40">
        <f t="shared" si="94"/>
        <v>45408</v>
      </c>
      <c r="S490" s="4" t="str">
        <f>TEXT(Mileage[[#This Row],[Date]],"dddd")</f>
        <v>Friday</v>
      </c>
      <c r="T490" s="4" t="s">
        <v>230</v>
      </c>
      <c r="U490" s="4">
        <v>55</v>
      </c>
      <c r="V490" t="str" cm="1">
        <f t="array" ref="V490">IFERROR(VLOOKUP(MODE(IF(Combined[Date]=Mileage[[#This Row],[Date]],Combined[Area '#])),KPIs!$B$4:$C$7,2,FALSE),VLOOKUP(Mileage[[#This Row],[Date]],Combined[[Date]:[Primary Area]],8,FALSE))</f>
        <v>Brunswick/Bath/Freeport</v>
      </c>
      <c r="W490" s="106">
        <v>0.71875</v>
      </c>
      <c r="X490" s="12">
        <v>5.08</v>
      </c>
      <c r="Y490" s="4">
        <v>109</v>
      </c>
      <c r="Z4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1" spans="2:26" x14ac:dyDescent="0.35">
      <c r="B491">
        <f t="shared" si="93"/>
        <v>489</v>
      </c>
      <c r="C491" t="s">
        <v>83</v>
      </c>
      <c r="D491" t="s">
        <v>176</v>
      </c>
      <c r="E491">
        <f>IF(WEEKNUM(Combined[[#This Row],[Date]], 1) = 53, 1, WEEKNUM(Combined[[#This Row],[Date]], 2))</f>
        <v>51</v>
      </c>
      <c r="F491" t="str">
        <f t="shared" ref="F491:F492" si="107">TEXT(WEEKDAY(G491,1),"DDDD")</f>
        <v>Friday</v>
      </c>
      <c r="G491" s="41">
        <v>44911</v>
      </c>
      <c r="H491">
        <v>2</v>
      </c>
      <c r="I491" s="1">
        <v>54.52</v>
      </c>
      <c r="J491" s="2">
        <v>0.12569444444444444</v>
      </c>
      <c r="K491" s="12">
        <f>Combined[[#This Row],[Time Spent]]*24</f>
        <v>3.0166666666666666</v>
      </c>
      <c r="L491" s="12">
        <f>MROUND(Combined[[#This Row],[Time Spent 2]],0.25)</f>
        <v>3</v>
      </c>
      <c r="M491" s="2" t="s">
        <v>91</v>
      </c>
      <c r="N491" t="s">
        <v>80</v>
      </c>
      <c r="O491">
        <f>MATCH(Combined[[#This Row],[Primary Area]],KPIs!$C$4:$C$7,0)</f>
        <v>2</v>
      </c>
      <c r="Q491" s="40">
        <v>45409</v>
      </c>
      <c r="R491" s="40">
        <f t="shared" si="94"/>
        <v>45409</v>
      </c>
      <c r="S491" s="4" t="str">
        <f>TEXT(Mileage[[#This Row],[Date]],"dddd")</f>
        <v>Saturday</v>
      </c>
      <c r="T491" s="4" t="s">
        <v>230</v>
      </c>
      <c r="U491" s="4">
        <v>54</v>
      </c>
      <c r="V491" t="str" cm="1">
        <f t="array" ref="V491">IFERROR(VLOOKUP(MODE(IF(Combined[Date]=Mileage[[#This Row],[Date]],Combined[Area '#])),KPIs!$B$4:$C$7,2,FALSE),VLOOKUP(Mileage[[#This Row],[Date]],Combined[[Date]:[Primary Area]],8,FALSE))</f>
        <v>Brunswick/Bath/Freeport</v>
      </c>
      <c r="W491" s="106">
        <v>0.73611111111111116</v>
      </c>
      <c r="X491" s="12">
        <v>4.9000000000000004</v>
      </c>
      <c r="Y491" s="4">
        <v>116</v>
      </c>
      <c r="Z49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92" spans="2:26" x14ac:dyDescent="0.35">
      <c r="B492">
        <f t="shared" si="93"/>
        <v>490</v>
      </c>
      <c r="C492" t="s">
        <v>86</v>
      </c>
      <c r="D492" t="s">
        <v>175</v>
      </c>
      <c r="E492">
        <f>IF(WEEKNUM(Combined[[#This Row],[Date]], 1) = 53, 1, WEEKNUM(Combined[[#This Row],[Date]], 2))</f>
        <v>51</v>
      </c>
      <c r="F492" t="str">
        <f t="shared" si="107"/>
        <v>Friday</v>
      </c>
      <c r="G492" s="41">
        <v>44911</v>
      </c>
      <c r="H492">
        <v>5</v>
      </c>
      <c r="I492" s="1">
        <v>44.23</v>
      </c>
      <c r="J492" s="2">
        <v>0.15416666666666667</v>
      </c>
      <c r="K492" s="12">
        <f>Combined[[#This Row],[Time Spent]]*24</f>
        <v>3.7</v>
      </c>
      <c r="L492" s="12">
        <f>MROUND(Combined[[#This Row],[Time Spent 2]],0.25)</f>
        <v>3.75</v>
      </c>
      <c r="M492" s="2" t="s">
        <v>91</v>
      </c>
      <c r="N492" t="s">
        <v>80</v>
      </c>
      <c r="O492">
        <f>MATCH(Combined[[#This Row],[Primary Area]],KPIs!$C$4:$C$7,0)</f>
        <v>2</v>
      </c>
      <c r="Q492" s="40">
        <v>45410</v>
      </c>
      <c r="R492" s="40">
        <f t="shared" si="94"/>
        <v>45410</v>
      </c>
      <c r="S492" s="4" t="str">
        <f>TEXT(Mileage[[#This Row],[Date]],"dddd")</f>
        <v>Sunday</v>
      </c>
      <c r="T492" s="4" t="s">
        <v>285</v>
      </c>
      <c r="U492" s="4">
        <v>52</v>
      </c>
      <c r="V492" t="str" cm="1">
        <f t="array" ref="V492">IFERROR(VLOOKUP(MODE(IF(Combined[Date]=Mileage[[#This Row],[Date]],Combined[Area '#])),KPIs!$B$4:$C$7,2,FALSE),VLOOKUP(Mileage[[#This Row],[Date]],Combined[[Date]:[Primary Area]],8,FALSE))</f>
        <v>Augusta</v>
      </c>
      <c r="W492" s="106">
        <v>0.73263888888888884</v>
      </c>
      <c r="X492" s="12">
        <v>3.75</v>
      </c>
      <c r="Y492" s="4">
        <v>90</v>
      </c>
      <c r="Z49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3" spans="2:26" x14ac:dyDescent="0.35">
      <c r="B493">
        <f t="shared" si="93"/>
        <v>491</v>
      </c>
      <c r="C493" t="s">
        <v>86</v>
      </c>
      <c r="D493" t="s">
        <v>175</v>
      </c>
      <c r="E493">
        <f>IF(WEEKNUM(Combined[[#This Row],[Date]], 1) = 53, 1, WEEKNUM(Combined[[#This Row],[Date]], 2))</f>
        <v>51</v>
      </c>
      <c r="F493" t="str">
        <f>TEXT(WEEKDAY(G493,1),"DDDD")</f>
        <v>Friday</v>
      </c>
      <c r="G493" s="41">
        <v>44911</v>
      </c>
      <c r="H493">
        <v>3</v>
      </c>
      <c r="I493" s="1">
        <f>34.43+0.5+2.25</f>
        <v>37.18</v>
      </c>
      <c r="J493" s="2">
        <v>9.5833333333333326E-2</v>
      </c>
      <c r="K493" s="12">
        <f>Combined[[#This Row],[Time Spent]]*24</f>
        <v>2.2999999999999998</v>
      </c>
      <c r="L493" s="12">
        <f>MROUND(Combined[[#This Row],[Time Spent 2]],0.25)</f>
        <v>2.25</v>
      </c>
      <c r="M493" s="2" t="s">
        <v>92</v>
      </c>
      <c r="N493" t="s">
        <v>80</v>
      </c>
      <c r="O493">
        <f>MATCH(Combined[[#This Row],[Primary Area]],KPIs!$C$4:$C$7,0)</f>
        <v>2</v>
      </c>
      <c r="Q493" s="40">
        <v>45412</v>
      </c>
      <c r="R493" s="40">
        <f t="shared" si="94"/>
        <v>45412</v>
      </c>
      <c r="S493" s="4" t="str">
        <f>TEXT(Mileage[[#This Row],[Date]],"dddd")</f>
        <v>Tuesday</v>
      </c>
      <c r="T493" s="4" t="s">
        <v>236</v>
      </c>
      <c r="U493" s="4">
        <v>48</v>
      </c>
      <c r="V493" t="str" cm="1">
        <f t="array" ref="V493">IFERROR(VLOOKUP(MODE(IF(Combined[Date]=Mileage[[#This Row],[Date]],Combined[Area '#])),KPIs!$B$4:$C$7,2,FALSE),VLOOKUP(Mileage[[#This Row],[Date]],Combined[[Date]:[Primary Area]],8,FALSE))</f>
        <v>Brunswick/Bath/Freeport</v>
      </c>
      <c r="W493" s="106">
        <v>0.75</v>
      </c>
      <c r="X493" s="12">
        <v>4.03</v>
      </c>
      <c r="Y493" s="4">
        <v>99</v>
      </c>
      <c r="Z49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4" spans="2:26" x14ac:dyDescent="0.35">
      <c r="B494">
        <f t="shared" si="93"/>
        <v>492</v>
      </c>
      <c r="C494" t="s">
        <v>83</v>
      </c>
      <c r="D494" t="s">
        <v>176</v>
      </c>
      <c r="E494">
        <f>IF(WEEKNUM(Combined[[#This Row],[Date]], 1) = 53, 1, WEEKNUM(Combined[[#This Row],[Date]], 2))</f>
        <v>51</v>
      </c>
      <c r="F494" t="str">
        <f>TEXT(WEEKDAY(G494,1),"DDDD")</f>
        <v>Saturday</v>
      </c>
      <c r="G494" s="41">
        <v>44912</v>
      </c>
      <c r="H494">
        <v>1</v>
      </c>
      <c r="I494" s="1">
        <v>13.01</v>
      </c>
      <c r="J494" s="2">
        <v>4.5833333333333337E-2</v>
      </c>
      <c r="K494" s="12">
        <f>Combined[[#This Row],[Time Spent]]*24</f>
        <v>1.1000000000000001</v>
      </c>
      <c r="L494" s="12">
        <f>MROUND(Combined[[#This Row],[Time Spent 2]],0.25)</f>
        <v>1</v>
      </c>
      <c r="M494" s="2" t="s">
        <v>91</v>
      </c>
      <c r="N494" t="s">
        <v>82</v>
      </c>
      <c r="O494">
        <f>MATCH(Combined[[#This Row],[Primary Area]],KPIs!$C$4:$C$7,0)</f>
        <v>3</v>
      </c>
      <c r="Q494" s="40">
        <v>45413</v>
      </c>
      <c r="R494" s="40">
        <f t="shared" si="94"/>
        <v>45413</v>
      </c>
      <c r="S494" s="4" t="str">
        <f>TEXT(Mileage[[#This Row],[Date]],"dddd")</f>
        <v>Wednesday</v>
      </c>
      <c r="T494" s="4" t="s">
        <v>230</v>
      </c>
      <c r="U494" s="4">
        <v>54</v>
      </c>
      <c r="V494" t="str" cm="1">
        <f t="array" ref="V494">IFERROR(VLOOKUP(MODE(IF(Combined[Date]=Mileage[[#This Row],[Date]],Combined[Area '#])),KPIs!$B$4:$C$7,2,FALSE),VLOOKUP(Mileage[[#This Row],[Date]],Combined[[Date]:[Primary Area]],8,FALSE))</f>
        <v>Brunswick/Bath/Freeport</v>
      </c>
      <c r="W494" s="106">
        <v>0.72916666666666663</v>
      </c>
      <c r="X494" s="12">
        <v>5.3</v>
      </c>
      <c r="Y494" s="4">
        <v>91</v>
      </c>
      <c r="Z4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5" spans="2:26" x14ac:dyDescent="0.35">
      <c r="B495">
        <f t="shared" si="93"/>
        <v>493</v>
      </c>
      <c r="C495" t="s">
        <v>83</v>
      </c>
      <c r="D495" t="s">
        <v>176</v>
      </c>
      <c r="E495">
        <f>IF(WEEKNUM(Combined[[#This Row],[Date]], 1) = 53, 1, WEEKNUM(Combined[[#This Row],[Date]], 2))</f>
        <v>51</v>
      </c>
      <c r="F495" t="str">
        <f t="shared" ref="F495:F498" si="108">TEXT(WEEKDAY(G495,1),"DDDD")</f>
        <v>Sunday</v>
      </c>
      <c r="G495" s="41">
        <v>44913</v>
      </c>
      <c r="H495">
        <v>5</v>
      </c>
      <c r="I495" s="1">
        <v>33.75</v>
      </c>
      <c r="J495" s="2">
        <v>0.15763888888888888</v>
      </c>
      <c r="K495" s="12">
        <f>Combined[[#This Row],[Time Spent]]*24</f>
        <v>3.7833333333333332</v>
      </c>
      <c r="L495" s="12">
        <f>MROUND(Combined[[#This Row],[Time Spent 2]],0.25)</f>
        <v>3.75</v>
      </c>
      <c r="M495" s="2" t="s">
        <v>91</v>
      </c>
      <c r="N495" t="s">
        <v>85</v>
      </c>
      <c r="O495">
        <f>MATCH(Combined[[#This Row],[Primary Area]],KPIs!$C$4:$C$7,0)</f>
        <v>4</v>
      </c>
      <c r="Q495" s="40">
        <v>45414</v>
      </c>
      <c r="R495" s="40">
        <f t="shared" si="94"/>
        <v>45414</v>
      </c>
      <c r="S495" s="4" t="str">
        <f>TEXT(Mileage[[#This Row],[Date]],"dddd")</f>
        <v>Thursday</v>
      </c>
      <c r="T495" s="4" t="s">
        <v>231</v>
      </c>
      <c r="U495" s="4">
        <v>48</v>
      </c>
      <c r="V495" t="str" cm="1">
        <f t="array" ref="V495">IFERROR(VLOOKUP(MODE(IF(Combined[Date]=Mileage[[#This Row],[Date]],Combined[Area '#])),KPIs!$B$4:$C$7,2,FALSE),VLOOKUP(Mileage[[#This Row],[Date]],Combined[[Date]:[Primary Area]],8,FALSE))</f>
        <v>Augusta</v>
      </c>
      <c r="W495" s="106">
        <v>0.73263888888888884</v>
      </c>
      <c r="X495" s="12">
        <v>5</v>
      </c>
      <c r="Y495" s="4">
        <v>119</v>
      </c>
      <c r="Z49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496" spans="2:26" x14ac:dyDescent="0.35">
      <c r="B496">
        <f t="shared" si="93"/>
        <v>494</v>
      </c>
      <c r="C496" t="s">
        <v>86</v>
      </c>
      <c r="D496" t="s">
        <v>175</v>
      </c>
      <c r="E496">
        <f>IF(WEEKNUM(Combined[[#This Row],[Date]], 1) = 53, 1, WEEKNUM(Combined[[#This Row],[Date]], 2))</f>
        <v>51</v>
      </c>
      <c r="F496" t="str">
        <f t="shared" si="108"/>
        <v>Sunday</v>
      </c>
      <c r="G496" s="41">
        <v>44913</v>
      </c>
      <c r="H496">
        <v>4</v>
      </c>
      <c r="I496" s="1">
        <v>43.16</v>
      </c>
      <c r="J496" s="2">
        <v>7.013888888888889E-2</v>
      </c>
      <c r="K496" s="12">
        <f>Combined[[#This Row],[Time Spent]]*24</f>
        <v>1.6833333333333333</v>
      </c>
      <c r="L496" s="12">
        <f>MROUND(Combined[[#This Row],[Time Spent 2]],0.25)</f>
        <v>1.75</v>
      </c>
      <c r="M496" s="2" t="s">
        <v>90</v>
      </c>
      <c r="N496" t="s">
        <v>80</v>
      </c>
      <c r="O496">
        <f>MATCH(Combined[[#This Row],[Primary Area]],KPIs!$C$4:$C$7,0)</f>
        <v>2</v>
      </c>
      <c r="Q496" s="40">
        <v>45415</v>
      </c>
      <c r="R496" s="40">
        <f t="shared" si="94"/>
        <v>45415</v>
      </c>
      <c r="S496" s="4" t="str">
        <f>TEXT(Mileage[[#This Row],[Date]],"dddd")</f>
        <v>Friday</v>
      </c>
      <c r="T496" s="4" t="s">
        <v>230</v>
      </c>
      <c r="U496" s="4">
        <v>63</v>
      </c>
      <c r="V496" t="str" cm="1">
        <f t="array" ref="V496">IFERROR(VLOOKUP(MODE(IF(Combined[Date]=Mileage[[#This Row],[Date]],Combined[Area '#])),KPIs!$B$4:$C$7,2,FALSE),VLOOKUP(Mileage[[#This Row],[Date]],Combined[[Date]:[Primary Area]],8,FALSE))</f>
        <v>Lewiston</v>
      </c>
      <c r="W496" s="106">
        <v>0.75347222222222221</v>
      </c>
      <c r="X496" s="12">
        <v>5.45</v>
      </c>
      <c r="Y496" s="4">
        <v>91</v>
      </c>
      <c r="Z4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7" spans="2:26" x14ac:dyDescent="0.35">
      <c r="B497">
        <f t="shared" si="93"/>
        <v>495</v>
      </c>
      <c r="C497" t="s">
        <v>86</v>
      </c>
      <c r="D497" t="s">
        <v>175</v>
      </c>
      <c r="E497">
        <f>IF(WEEKNUM(Combined[[#This Row],[Date]], 1) = 53, 1, WEEKNUM(Combined[[#This Row],[Date]], 2))</f>
        <v>51</v>
      </c>
      <c r="F497" t="str">
        <f t="shared" si="108"/>
        <v>Sunday</v>
      </c>
      <c r="G497" s="41">
        <v>44913</v>
      </c>
      <c r="H497">
        <v>4</v>
      </c>
      <c r="I497" s="1">
        <v>26.19</v>
      </c>
      <c r="J497" s="2">
        <v>6.1805555555555558E-2</v>
      </c>
      <c r="K497" s="12">
        <f>Combined[[#This Row],[Time Spent]]*24</f>
        <v>1.4833333333333334</v>
      </c>
      <c r="L497" s="12">
        <f>MROUND(Combined[[#This Row],[Time Spent 2]],0.25)</f>
        <v>1.5</v>
      </c>
      <c r="M497" s="2" t="s">
        <v>92</v>
      </c>
      <c r="N497" t="s">
        <v>85</v>
      </c>
      <c r="O497">
        <f>MATCH(Combined[[#This Row],[Primary Area]],KPIs!$C$4:$C$7,0)</f>
        <v>4</v>
      </c>
      <c r="Q497" s="40">
        <v>45416</v>
      </c>
      <c r="R497" s="40">
        <f t="shared" si="94"/>
        <v>45416</v>
      </c>
      <c r="S497" s="4" t="str">
        <f>TEXT(Mileage[[#This Row],[Date]],"dddd")</f>
        <v>Saturday</v>
      </c>
      <c r="T497" s="4" t="s">
        <v>231</v>
      </c>
      <c r="U497" s="4">
        <v>54</v>
      </c>
      <c r="V497" t="str" cm="1">
        <f t="array" ref="V497">IFERROR(VLOOKUP(MODE(IF(Combined[Date]=Mileage[[#This Row],[Date]],Combined[Area '#])),KPIs!$B$4:$C$7,2,FALSE),VLOOKUP(Mileage[[#This Row],[Date]],Combined[[Date]:[Primary Area]],8,FALSE))</f>
        <v>Brunswick/Bath/Freeport</v>
      </c>
      <c r="W497" s="106">
        <v>0.78819444444444442</v>
      </c>
      <c r="X497" s="12">
        <v>3.63</v>
      </c>
      <c r="Y497" s="4">
        <v>103</v>
      </c>
      <c r="Z49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8" spans="2:26" x14ac:dyDescent="0.35">
      <c r="B498">
        <f t="shared" si="93"/>
        <v>496</v>
      </c>
      <c r="C498" t="s">
        <v>86</v>
      </c>
      <c r="D498" t="s">
        <v>175</v>
      </c>
      <c r="E498">
        <f>IF(WEEKNUM(Combined[[#This Row],[Date]], 1) = 53, 1, WEEKNUM(Combined[[#This Row],[Date]], 2))</f>
        <v>51</v>
      </c>
      <c r="F498" t="str">
        <f t="shared" si="108"/>
        <v>Sunday</v>
      </c>
      <c r="G498" s="41">
        <v>44913</v>
      </c>
      <c r="H498">
        <v>2</v>
      </c>
      <c r="I498" s="1">
        <v>23.86</v>
      </c>
      <c r="J498" s="2">
        <v>5.347222222222222E-2</v>
      </c>
      <c r="K498" s="12">
        <f>Combined[[#This Row],[Time Spent]]*24</f>
        <v>1.2833333333333332</v>
      </c>
      <c r="L498" s="12">
        <f>MROUND(Combined[[#This Row],[Time Spent 2]],0.25)</f>
        <v>1.25</v>
      </c>
      <c r="M498" s="2" t="s">
        <v>92</v>
      </c>
      <c r="N498" t="s">
        <v>85</v>
      </c>
      <c r="O498">
        <f>MATCH(Combined[[#This Row],[Primary Area]],KPIs!$C$4:$C$7,0)</f>
        <v>4</v>
      </c>
      <c r="Q498" s="40">
        <v>45417</v>
      </c>
      <c r="R498" s="40">
        <f t="shared" si="94"/>
        <v>45417</v>
      </c>
      <c r="S498" s="4" t="str">
        <f>TEXT(Mileage[[#This Row],[Date]],"dddd")</f>
        <v>Sunday</v>
      </c>
      <c r="T498" s="4" t="s">
        <v>236</v>
      </c>
      <c r="U498" s="4">
        <v>46</v>
      </c>
      <c r="V498" t="str" cm="1">
        <f t="array" ref="V498">IFERROR(VLOOKUP(MODE(IF(Combined[Date]=Mileage[[#This Row],[Date]],Combined[Area '#])),KPIs!$B$4:$C$7,2,FALSE),VLOOKUP(Mileage[[#This Row],[Date]],Combined[[Date]:[Primary Area]],8,FALSE))</f>
        <v>Brunswick/Bath/Freeport</v>
      </c>
      <c r="W498" s="106">
        <v>0.74652777777777779</v>
      </c>
      <c r="X498" s="12">
        <v>4.97</v>
      </c>
      <c r="Y498" s="4">
        <v>88</v>
      </c>
      <c r="Z4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499" spans="2:26" x14ac:dyDescent="0.35">
      <c r="B499">
        <f t="shared" si="93"/>
        <v>497</v>
      </c>
      <c r="C499" t="s">
        <v>86</v>
      </c>
      <c r="D499" t="s">
        <v>175</v>
      </c>
      <c r="E499">
        <f>IF(WEEKNUM(Combined[[#This Row],[Date]], 1) = 53, 1, WEEKNUM(Combined[[#This Row],[Date]], 2))</f>
        <v>51</v>
      </c>
      <c r="F499" t="str">
        <f>TEXT(WEEKDAY(G499,1),"DDDD")</f>
        <v>Sunday</v>
      </c>
      <c r="G499" s="41">
        <v>44913</v>
      </c>
      <c r="H499">
        <v>2</v>
      </c>
      <c r="I499" s="1">
        <v>21.18</v>
      </c>
      <c r="J499" s="2">
        <v>8.3333333333333329E-2</v>
      </c>
      <c r="K499" s="12">
        <f>Combined[[#This Row],[Time Spent]]*24</f>
        <v>2</v>
      </c>
      <c r="L499" s="12">
        <f>MROUND(Combined[[#This Row],[Time Spent 2]],0.25)</f>
        <v>2</v>
      </c>
      <c r="M499" s="2" t="s">
        <v>92</v>
      </c>
      <c r="N499" t="s">
        <v>85</v>
      </c>
      <c r="O499">
        <f>MATCH(Combined[[#This Row],[Primary Area]],KPIs!$C$4:$C$7,0)</f>
        <v>4</v>
      </c>
      <c r="Q499" s="40">
        <v>45418</v>
      </c>
      <c r="R499" s="40">
        <f t="shared" si="94"/>
        <v>45418</v>
      </c>
      <c r="S499" s="4" t="str">
        <f>TEXT(Mileage[[#This Row],[Date]],"dddd")</f>
        <v>Monday</v>
      </c>
      <c r="T499" s="4" t="s">
        <v>230</v>
      </c>
      <c r="U499" s="4">
        <v>66</v>
      </c>
      <c r="V499" t="str" cm="1">
        <f t="array" ref="V499">IFERROR(VLOOKUP(MODE(IF(Combined[Date]=Mileage[[#This Row],[Date]],Combined[Area '#])),KPIs!$B$4:$C$7,2,FALSE),VLOOKUP(Mileage[[#This Row],[Date]],Combined[[Date]:[Primary Area]],8,FALSE))</f>
        <v>Brunswick/Bath/Freeport</v>
      </c>
      <c r="W499" s="106">
        <v>0.73958333333333337</v>
      </c>
      <c r="X499" s="12">
        <v>5.22</v>
      </c>
      <c r="Y499" s="4">
        <v>114</v>
      </c>
      <c r="Z49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0" spans="2:26" x14ac:dyDescent="0.35">
      <c r="B500">
        <f t="shared" si="93"/>
        <v>498</v>
      </c>
      <c r="C500" t="s">
        <v>86</v>
      </c>
      <c r="D500" t="s">
        <v>176</v>
      </c>
      <c r="E500">
        <f>IF(WEEKNUM(Combined[[#This Row],[Date]], 1) = 53, 1, WEEKNUM(Combined[[#This Row],[Date]], 2))</f>
        <v>52</v>
      </c>
      <c r="F500" t="str">
        <f>TEXT(WEEKDAY(G500,1),"DDDD")</f>
        <v>Monday</v>
      </c>
      <c r="G500" s="41">
        <v>44914</v>
      </c>
      <c r="H500">
        <v>1</v>
      </c>
      <c r="I500" s="1">
        <v>16</v>
      </c>
      <c r="J500" s="2">
        <v>2.9166666666666664E-2</v>
      </c>
      <c r="K500" s="12">
        <f>Combined[[#This Row],[Time Spent]]*24</f>
        <v>0.7</v>
      </c>
      <c r="L500" s="12">
        <f>MROUND(Combined[[#This Row],[Time Spent 2]],0.25)</f>
        <v>0.75</v>
      </c>
      <c r="M500" s="2" t="s">
        <v>91</v>
      </c>
      <c r="N500" t="s">
        <v>82</v>
      </c>
      <c r="O500">
        <f>MATCH(Combined[[#This Row],[Primary Area]],KPIs!$C$4:$C$7,0)</f>
        <v>3</v>
      </c>
      <c r="Q500" s="40">
        <v>45419</v>
      </c>
      <c r="R500" s="40">
        <f t="shared" si="94"/>
        <v>45419</v>
      </c>
      <c r="S500" s="4" t="str">
        <f>TEXT(Mileage[[#This Row],[Date]],"dddd")</f>
        <v>Tuesday</v>
      </c>
      <c r="T500" s="4" t="s">
        <v>230</v>
      </c>
      <c r="U500" s="4">
        <v>61</v>
      </c>
      <c r="V500" t="str" cm="1">
        <f t="array" ref="V500">IFERROR(VLOOKUP(MODE(IF(Combined[Date]=Mileage[[#This Row],[Date]],Combined[Area '#])),KPIs!$B$4:$C$7,2,FALSE),VLOOKUP(Mileage[[#This Row],[Date]],Combined[[Date]:[Primary Area]],8,FALSE))</f>
        <v>Portland</v>
      </c>
      <c r="W500" s="106">
        <v>0.71875</v>
      </c>
      <c r="X500" s="12">
        <v>3.73</v>
      </c>
      <c r="Y500" s="4">
        <v>104</v>
      </c>
      <c r="Z5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1" spans="2:26" x14ac:dyDescent="0.35">
      <c r="B501">
        <f t="shared" si="93"/>
        <v>499</v>
      </c>
      <c r="C501" t="s">
        <v>83</v>
      </c>
      <c r="D501" t="s">
        <v>176</v>
      </c>
      <c r="E501">
        <f>IF(WEEKNUM(Combined[[#This Row],[Date]], 1) = 53, 1, WEEKNUM(Combined[[#This Row],[Date]], 2))</f>
        <v>52</v>
      </c>
      <c r="F501" t="str">
        <f t="shared" ref="F501:F505" si="109">TEXT(WEEKDAY(G501,1),"DDDD")</f>
        <v>Tuesday</v>
      </c>
      <c r="G501" s="41">
        <v>44915</v>
      </c>
      <c r="H501">
        <v>3</v>
      </c>
      <c r="I501" s="1">
        <v>27.49</v>
      </c>
      <c r="J501" s="2">
        <v>0.125</v>
      </c>
      <c r="K501" s="12">
        <f>Combined[[#This Row],[Time Spent]]*24</f>
        <v>3</v>
      </c>
      <c r="L501" s="12">
        <f>MROUND(Combined[[#This Row],[Time Spent 2]],0.25)</f>
        <v>3</v>
      </c>
      <c r="M501" s="2" t="s">
        <v>91</v>
      </c>
      <c r="N501" t="s">
        <v>80</v>
      </c>
      <c r="O501">
        <f>MATCH(Combined[[#This Row],[Primary Area]],KPIs!$C$4:$C$7,0)</f>
        <v>2</v>
      </c>
      <c r="Q501" s="40">
        <v>45421</v>
      </c>
      <c r="R501" s="40">
        <f t="shared" si="94"/>
        <v>45421</v>
      </c>
      <c r="S501" s="4" t="str">
        <f>TEXT(Mileage[[#This Row],[Date]],"dddd")</f>
        <v>Thursday</v>
      </c>
      <c r="T501" s="4" t="s">
        <v>230</v>
      </c>
      <c r="U501" s="4">
        <v>52</v>
      </c>
      <c r="V501" t="str" cm="1">
        <f t="array" ref="V501">IFERROR(VLOOKUP(MODE(IF(Combined[Date]=Mileage[[#This Row],[Date]],Combined[Area '#])),KPIs!$B$4:$C$7,2,FALSE),VLOOKUP(Mileage[[#This Row],[Date]],Combined[[Date]:[Primary Area]],8,FALSE))</f>
        <v>Brunswick/Bath/Freeport</v>
      </c>
      <c r="W501" s="106">
        <v>0.77083333333333337</v>
      </c>
      <c r="X501" s="12">
        <v>4.2</v>
      </c>
      <c r="Y501" s="4">
        <v>78</v>
      </c>
      <c r="Z50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2" spans="2:26" x14ac:dyDescent="0.35">
      <c r="B502">
        <f t="shared" si="93"/>
        <v>500</v>
      </c>
      <c r="C502" t="s">
        <v>86</v>
      </c>
      <c r="D502" t="s">
        <v>175</v>
      </c>
      <c r="E502">
        <f>IF(WEEKNUM(Combined[[#This Row],[Date]], 1) = 53, 1, WEEKNUM(Combined[[#This Row],[Date]], 2))</f>
        <v>52</v>
      </c>
      <c r="F502" t="str">
        <f t="shared" si="109"/>
        <v>Tuesday</v>
      </c>
      <c r="G502" s="41">
        <v>44915</v>
      </c>
      <c r="H502">
        <v>6</v>
      </c>
      <c r="I502" s="1">
        <v>47.17</v>
      </c>
      <c r="J502" s="2">
        <v>0.17083333333333331</v>
      </c>
      <c r="K502" s="12">
        <f>Combined[[#This Row],[Time Spent]]*24</f>
        <v>4.0999999999999996</v>
      </c>
      <c r="L502" s="12">
        <f>MROUND(Combined[[#This Row],[Time Spent 2]],0.25)</f>
        <v>4</v>
      </c>
      <c r="M502" s="2" t="s">
        <v>90</v>
      </c>
      <c r="N502" t="s">
        <v>80</v>
      </c>
      <c r="O502">
        <f>MATCH(Combined[[#This Row],[Primary Area]],KPIs!$C$4:$C$7,0)</f>
        <v>2</v>
      </c>
      <c r="Q502" s="40">
        <v>45425</v>
      </c>
      <c r="R502" s="40">
        <f t="shared" si="94"/>
        <v>45425</v>
      </c>
      <c r="S502" s="4" t="str">
        <f>TEXT(Mileage[[#This Row],[Date]],"dddd")</f>
        <v>Monday</v>
      </c>
      <c r="T502" s="4" t="s">
        <v>230</v>
      </c>
      <c r="U502" s="4">
        <v>59</v>
      </c>
      <c r="V502" t="str" cm="1">
        <f t="array" ref="V502">IFERROR(VLOOKUP(MODE(IF(Combined[Date]=Mileage[[#This Row],[Date]],Combined[Area '#])),KPIs!$B$4:$C$7,2,FALSE),VLOOKUP(Mileage[[#This Row],[Date]],Combined[[Date]:[Primary Area]],8,FALSE))</f>
        <v>Brunswick/Bath/Freeport</v>
      </c>
      <c r="W502" s="106">
        <v>0.73263888888888884</v>
      </c>
      <c r="X502" s="12">
        <v>5.32</v>
      </c>
      <c r="Y502" s="4">
        <v>115</v>
      </c>
      <c r="Z50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3" spans="2:26" x14ac:dyDescent="0.35">
      <c r="B503">
        <f t="shared" si="93"/>
        <v>501</v>
      </c>
      <c r="C503" t="s">
        <v>86</v>
      </c>
      <c r="D503" t="s">
        <v>176</v>
      </c>
      <c r="E503">
        <f>IF(WEEKNUM(Combined[[#This Row],[Date]], 1) = 53, 1, WEEKNUM(Combined[[#This Row],[Date]], 2))</f>
        <v>52</v>
      </c>
      <c r="F503" t="str">
        <f t="shared" si="109"/>
        <v>Tuesday</v>
      </c>
      <c r="G503" s="41">
        <v>44915</v>
      </c>
      <c r="H503">
        <v>4</v>
      </c>
      <c r="I503" s="1">
        <v>23.25</v>
      </c>
      <c r="J503" s="2">
        <v>6.1805555555555558E-2</v>
      </c>
      <c r="K503" s="12">
        <f>Combined[[#This Row],[Time Spent]]*24</f>
        <v>1.4833333333333334</v>
      </c>
      <c r="L503" s="12">
        <f>MROUND(Combined[[#This Row],[Time Spent 2]],0.25)</f>
        <v>1.5</v>
      </c>
      <c r="M503" s="2" t="s">
        <v>91</v>
      </c>
      <c r="N503" t="s">
        <v>80</v>
      </c>
      <c r="O503">
        <f>MATCH(Combined[[#This Row],[Primary Area]],KPIs!$C$4:$C$7,0)</f>
        <v>2</v>
      </c>
      <c r="Q503" s="40">
        <v>45426</v>
      </c>
      <c r="R503" s="40">
        <f t="shared" si="94"/>
        <v>45426</v>
      </c>
      <c r="S503" s="4" t="str">
        <f>TEXT(Mileage[[#This Row],[Date]],"dddd")</f>
        <v>Tuesday</v>
      </c>
      <c r="T503" s="4" t="s">
        <v>285</v>
      </c>
      <c r="U503" s="4">
        <v>64</v>
      </c>
      <c r="V503" t="str" cm="1">
        <f t="array" ref="V503">IFERROR(VLOOKUP(MODE(IF(Combined[Date]=Mileage[[#This Row],[Date]],Combined[Area '#])),KPIs!$B$4:$C$7,2,FALSE),VLOOKUP(Mileage[[#This Row],[Date]],Combined[[Date]:[Primary Area]],8,FALSE))</f>
        <v>Brunswick/Bath/Freeport</v>
      </c>
      <c r="W503" s="106">
        <v>0.72222222222222221</v>
      </c>
      <c r="X503" s="12">
        <v>6.35</v>
      </c>
      <c r="Y503" s="4">
        <v>130</v>
      </c>
      <c r="Z50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04" spans="2:26" x14ac:dyDescent="0.35">
      <c r="B504">
        <f t="shared" si="93"/>
        <v>502</v>
      </c>
      <c r="C504" t="s">
        <v>86</v>
      </c>
      <c r="D504" t="s">
        <v>176</v>
      </c>
      <c r="E504">
        <f>IF(WEEKNUM(Combined[[#This Row],[Date]], 1) = 53, 1, WEEKNUM(Combined[[#This Row],[Date]], 2))</f>
        <v>52</v>
      </c>
      <c r="F504" t="str">
        <f t="shared" si="109"/>
        <v>Tuesday</v>
      </c>
      <c r="G504" s="41">
        <v>44915</v>
      </c>
      <c r="H504">
        <v>2</v>
      </c>
      <c r="I504" s="1">
        <v>15.5</v>
      </c>
      <c r="J504" s="2">
        <v>4.4444444444444446E-2</v>
      </c>
      <c r="K504" s="12">
        <f>Combined[[#This Row],[Time Spent]]*24</f>
        <v>1.0666666666666667</v>
      </c>
      <c r="L504" s="12">
        <f>MROUND(Combined[[#This Row],[Time Spent 2]],0.25)</f>
        <v>1</v>
      </c>
      <c r="M504" s="2" t="s">
        <v>91</v>
      </c>
      <c r="N504" t="s">
        <v>80</v>
      </c>
      <c r="O504">
        <f>MATCH(Combined[[#This Row],[Primary Area]],KPIs!$C$4:$C$7,0)</f>
        <v>2</v>
      </c>
      <c r="Q504" s="40">
        <v>45427</v>
      </c>
      <c r="R504" s="40">
        <f t="shared" si="94"/>
        <v>45427</v>
      </c>
      <c r="S504" s="4" t="str">
        <f>TEXT(Mileage[[#This Row],[Date]],"dddd")</f>
        <v>Wednesday</v>
      </c>
      <c r="T504" s="4" t="s">
        <v>249</v>
      </c>
      <c r="U504" s="4">
        <v>66</v>
      </c>
      <c r="V504" t="str" cm="1">
        <f t="array" ref="V504">IFERROR(VLOOKUP(MODE(IF(Combined[Date]=Mileage[[#This Row],[Date]],Combined[Area '#])),KPIs!$B$4:$C$7,2,FALSE),VLOOKUP(Mileage[[#This Row],[Date]],Combined[[Date]:[Primary Area]],8,FALSE))</f>
        <v>Brunswick/Bath/Freeport</v>
      </c>
      <c r="W504" s="106">
        <v>0.76041666666666663</v>
      </c>
      <c r="X504" s="12">
        <v>5.35</v>
      </c>
      <c r="Y504" s="4">
        <v>105</v>
      </c>
      <c r="Z50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05" spans="2:26" x14ac:dyDescent="0.35">
      <c r="B505">
        <f t="shared" si="93"/>
        <v>503</v>
      </c>
      <c r="C505" t="s">
        <v>86</v>
      </c>
      <c r="D505" t="s">
        <v>176</v>
      </c>
      <c r="E505">
        <f>IF(WEEKNUM(Combined[[#This Row],[Date]], 1) = 53, 1, WEEKNUM(Combined[[#This Row],[Date]], 2))</f>
        <v>52</v>
      </c>
      <c r="F505" t="str">
        <f t="shared" si="109"/>
        <v>Tuesday</v>
      </c>
      <c r="G505" s="41">
        <v>44915</v>
      </c>
      <c r="H505">
        <v>3</v>
      </c>
      <c r="I505" s="1">
        <v>26.75</v>
      </c>
      <c r="J505" s="2">
        <v>6.6666666666666666E-2</v>
      </c>
      <c r="K505" s="12">
        <f>Combined[[#This Row],[Time Spent]]*24</f>
        <v>1.6</v>
      </c>
      <c r="L505" s="12">
        <f>MROUND(Combined[[#This Row],[Time Spent 2]],0.25)</f>
        <v>1.5</v>
      </c>
      <c r="M505" s="2" t="s">
        <v>91</v>
      </c>
      <c r="N505" t="s">
        <v>80</v>
      </c>
      <c r="O505">
        <f>MATCH(Combined[[#This Row],[Primary Area]],KPIs!$C$4:$C$7,0)</f>
        <v>2</v>
      </c>
      <c r="Q505" s="40">
        <v>45428</v>
      </c>
      <c r="R505" s="40">
        <f t="shared" si="94"/>
        <v>45428</v>
      </c>
      <c r="S505" s="4" t="str">
        <f>TEXT(Mileage[[#This Row],[Date]],"dddd")</f>
        <v>Thursday</v>
      </c>
      <c r="T505" s="4" t="s">
        <v>230</v>
      </c>
      <c r="U505" s="4">
        <v>70</v>
      </c>
      <c r="V505" t="str" cm="1">
        <f t="array" ref="V505">IFERROR(VLOOKUP(MODE(IF(Combined[Date]=Mileage[[#This Row],[Date]],Combined[Area '#])),KPIs!$B$4:$C$7,2,FALSE),VLOOKUP(Mileage[[#This Row],[Date]],Combined[[Date]:[Primary Area]],8,FALSE))</f>
        <v>Brunswick/Bath/Freeport</v>
      </c>
      <c r="W505" s="106">
        <v>0.72916666666666663</v>
      </c>
      <c r="X505" s="12">
        <v>5.62</v>
      </c>
      <c r="Y505" s="4">
        <v>155</v>
      </c>
      <c r="Z50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6" spans="2:26" x14ac:dyDescent="0.35">
      <c r="B506">
        <f t="shared" si="93"/>
        <v>504</v>
      </c>
      <c r="C506" t="s">
        <v>83</v>
      </c>
      <c r="D506" t="s">
        <v>176</v>
      </c>
      <c r="E506">
        <f>IF(WEEKNUM(Combined[[#This Row],[Date]], 1) = 53, 1, WEEKNUM(Combined[[#This Row],[Date]], 2))</f>
        <v>1</v>
      </c>
      <c r="F506" t="str">
        <f t="shared" ref="F506:F507" si="110">TEXT(WEEKDAY(G506,1),"DDDD")</f>
        <v>Tuesday</v>
      </c>
      <c r="G506" s="41">
        <v>44922</v>
      </c>
      <c r="H506">
        <v>4</v>
      </c>
      <c r="I506" s="1">
        <v>31.18</v>
      </c>
      <c r="J506" s="2">
        <v>0.10347222222222223</v>
      </c>
      <c r="K506" s="12">
        <f>Combined[[#This Row],[Time Spent]]*24</f>
        <v>2.4833333333333334</v>
      </c>
      <c r="L506" s="12">
        <f>MROUND(Combined[[#This Row],[Time Spent 2]],0.25)</f>
        <v>2.5</v>
      </c>
      <c r="M506" s="2" t="s">
        <v>91</v>
      </c>
      <c r="N506" t="s">
        <v>174</v>
      </c>
      <c r="O506">
        <f>MATCH(Combined[[#This Row],[Primary Area]],KPIs!$C$4:$C$7,0)</f>
        <v>1</v>
      </c>
      <c r="Q506" s="40">
        <v>45429</v>
      </c>
      <c r="R506" s="40">
        <f t="shared" si="94"/>
        <v>45429</v>
      </c>
      <c r="S506" s="4" t="str">
        <f>TEXT(Mileage[[#This Row],[Date]],"dddd")</f>
        <v>Friday</v>
      </c>
      <c r="T506" s="4" t="s">
        <v>249</v>
      </c>
      <c r="U506" s="4">
        <v>57</v>
      </c>
      <c r="V506" t="str" cm="1">
        <f t="array" ref="V506">IFERROR(VLOOKUP(MODE(IF(Combined[Date]=Mileage[[#This Row],[Date]],Combined[Area '#])),KPIs!$B$4:$C$7,2,FALSE),VLOOKUP(Mileage[[#This Row],[Date]],Combined[[Date]:[Primary Area]],8,FALSE))</f>
        <v>Portland</v>
      </c>
      <c r="W506" s="106">
        <v>0.74305555555555558</v>
      </c>
      <c r="X506" s="12">
        <v>6.28</v>
      </c>
      <c r="Y506" s="4">
        <v>121</v>
      </c>
      <c r="Z50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07" spans="2:26" x14ac:dyDescent="0.35">
      <c r="B507">
        <f t="shared" si="93"/>
        <v>505</v>
      </c>
      <c r="C507" t="s">
        <v>86</v>
      </c>
      <c r="D507" t="s">
        <v>176</v>
      </c>
      <c r="E507">
        <f>IF(WEEKNUM(Combined[[#This Row],[Date]], 1) = 53, 1, WEEKNUM(Combined[[#This Row],[Date]], 2))</f>
        <v>1</v>
      </c>
      <c r="F507" t="str">
        <f t="shared" si="110"/>
        <v>Tuesday</v>
      </c>
      <c r="G507" s="41">
        <v>44922</v>
      </c>
      <c r="H507">
        <v>4</v>
      </c>
      <c r="I507" s="1">
        <v>22</v>
      </c>
      <c r="J507" s="2">
        <v>0.1111111111111111</v>
      </c>
      <c r="K507" s="12">
        <f>Combined[[#This Row],[Time Spent]]*24</f>
        <v>2.6666666666666665</v>
      </c>
      <c r="L507" s="12">
        <f>MROUND(Combined[[#This Row],[Time Spent 2]],0.25)</f>
        <v>2.75</v>
      </c>
      <c r="M507" s="2" t="s">
        <v>91</v>
      </c>
      <c r="N507" t="s">
        <v>174</v>
      </c>
      <c r="O507">
        <f>MATCH(Combined[[#This Row],[Primary Area]],KPIs!$C$4:$C$7,0)</f>
        <v>1</v>
      </c>
      <c r="Q507" s="40">
        <v>45432</v>
      </c>
      <c r="R507" s="40">
        <f t="shared" si="94"/>
        <v>45432</v>
      </c>
      <c r="S507" s="4" t="str">
        <f>TEXT(Mileage[[#This Row],[Date]],"dddd")</f>
        <v>Monday</v>
      </c>
      <c r="T507" s="4" t="s">
        <v>281</v>
      </c>
      <c r="U507" s="4">
        <v>73</v>
      </c>
      <c r="V507" t="str" cm="1">
        <f t="array" ref="V507">IFERROR(VLOOKUP(MODE(IF(Combined[Date]=Mileage[[#This Row],[Date]],Combined[Area '#])),KPIs!$B$4:$C$7,2,FALSE),VLOOKUP(Mileage[[#This Row],[Date]],Combined[[Date]:[Primary Area]],8,FALSE))</f>
        <v>Brunswick/Bath/Freeport</v>
      </c>
      <c r="W507" s="106">
        <v>0.60416666666666663</v>
      </c>
      <c r="X507" s="12">
        <v>1.58</v>
      </c>
      <c r="Y507" s="4">
        <v>31</v>
      </c>
      <c r="Z50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08" spans="2:26" x14ac:dyDescent="0.35">
      <c r="B508">
        <f t="shared" si="93"/>
        <v>506</v>
      </c>
      <c r="C508" t="s">
        <v>86</v>
      </c>
      <c r="D508" t="s">
        <v>176</v>
      </c>
      <c r="E508">
        <f>IF(WEEKNUM(Combined[[#This Row],[Date]], 1) = 53, 1, WEEKNUM(Combined[[#This Row],[Date]], 2))</f>
        <v>1</v>
      </c>
      <c r="F508" t="str">
        <f>TEXT(WEEKDAY(G508,1),"DDDD")</f>
        <v>Tuesday</v>
      </c>
      <c r="G508" s="41">
        <v>44922</v>
      </c>
      <c r="H508">
        <v>1</v>
      </c>
      <c r="I508" s="1">
        <v>7</v>
      </c>
      <c r="J508" s="2">
        <v>1.5972222222222224E-2</v>
      </c>
      <c r="K508" s="12">
        <f>Combined[[#This Row],[Time Spent]]*24</f>
        <v>0.38333333333333341</v>
      </c>
      <c r="L508" s="12">
        <f>MROUND(Combined[[#This Row],[Time Spent 2]],0.25)</f>
        <v>0.5</v>
      </c>
      <c r="M508" s="2" t="s">
        <v>92</v>
      </c>
      <c r="N508" t="s">
        <v>174</v>
      </c>
      <c r="O508">
        <f>MATCH(Combined[[#This Row],[Primary Area]],KPIs!$C$4:$C$7,0)</f>
        <v>1</v>
      </c>
      <c r="Q508" s="40">
        <v>45434</v>
      </c>
      <c r="R508" s="40">
        <f t="shared" si="94"/>
        <v>45434</v>
      </c>
      <c r="S508" s="4" t="str">
        <f>TEXT(Mileage[[#This Row],[Date]],"dddd")</f>
        <v>Wednesday</v>
      </c>
      <c r="T508" s="4" t="s">
        <v>249</v>
      </c>
      <c r="U508" s="4">
        <v>79</v>
      </c>
      <c r="V508" t="str" cm="1">
        <f t="array" ref="V508">IFERROR(VLOOKUP(MODE(IF(Combined[Date]=Mileage[[#This Row],[Date]],Combined[Area '#])),KPIs!$B$4:$C$7,2,FALSE),VLOOKUP(Mileage[[#This Row],[Date]],Combined[[Date]:[Primary Area]],8,FALSE))</f>
        <v>Brunswick/Bath/Freeport</v>
      </c>
      <c r="W508" s="106">
        <v>0.76736111111111116</v>
      </c>
      <c r="X508" s="12">
        <v>5.22</v>
      </c>
      <c r="Y508" s="4">
        <v>158</v>
      </c>
      <c r="Z5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09" spans="2:26" x14ac:dyDescent="0.35">
      <c r="B509">
        <f t="shared" si="93"/>
        <v>507</v>
      </c>
      <c r="C509" t="s">
        <v>83</v>
      </c>
      <c r="D509" t="s">
        <v>176</v>
      </c>
      <c r="E509">
        <f>IF(WEEKNUM(Combined[[#This Row],[Date]], 1) = 53, 1, WEEKNUM(Combined[[#This Row],[Date]], 2))</f>
        <v>1</v>
      </c>
      <c r="F509" t="str">
        <f t="shared" ref="F509:F513" si="111">TEXT(WEEKDAY(G509,1),"DDDD")</f>
        <v>Thursday</v>
      </c>
      <c r="G509" s="41">
        <v>44924</v>
      </c>
      <c r="H509">
        <v>2</v>
      </c>
      <c r="I509" s="1">
        <v>24.66</v>
      </c>
      <c r="J509" s="2">
        <v>0.14166666666666666</v>
      </c>
      <c r="K509" s="12">
        <f>Combined[[#This Row],[Time Spent]]*24</f>
        <v>3.4</v>
      </c>
      <c r="L509" s="12">
        <f>MROUND(Combined[[#This Row],[Time Spent 2]],0.25)</f>
        <v>3.5</v>
      </c>
      <c r="M509" s="2" t="s">
        <v>91</v>
      </c>
      <c r="N509" t="s">
        <v>80</v>
      </c>
      <c r="O509">
        <f>MATCH(Combined[[#This Row],[Primary Area]],KPIs!$C$4:$C$7,0)</f>
        <v>2</v>
      </c>
      <c r="Q509" s="40">
        <v>45435</v>
      </c>
      <c r="R509" s="40">
        <f t="shared" si="94"/>
        <v>45435</v>
      </c>
      <c r="S509" s="4" t="str">
        <f>TEXT(Mileage[[#This Row],[Date]],"dddd")</f>
        <v>Thursday</v>
      </c>
      <c r="T509" s="4" t="s">
        <v>230</v>
      </c>
      <c r="U509" s="4">
        <v>72</v>
      </c>
      <c r="V509" t="str" cm="1">
        <f t="array" ref="V509">IFERROR(VLOOKUP(MODE(IF(Combined[Date]=Mileage[[#This Row],[Date]],Combined[Area '#])),KPIs!$B$4:$C$7,2,FALSE),VLOOKUP(Mileage[[#This Row],[Date]],Combined[[Date]:[Primary Area]],8,FALSE))</f>
        <v>Brunswick/Bath/Freeport</v>
      </c>
      <c r="W509" s="106">
        <v>0.73611111111111116</v>
      </c>
      <c r="X509" s="12">
        <v>3.67</v>
      </c>
      <c r="Y509" s="4">
        <v>77</v>
      </c>
      <c r="Z5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0" spans="2:26" x14ac:dyDescent="0.35">
      <c r="B510">
        <f t="shared" si="93"/>
        <v>508</v>
      </c>
      <c r="C510" t="s">
        <v>86</v>
      </c>
      <c r="D510" t="s">
        <v>176</v>
      </c>
      <c r="E510">
        <f>IF(WEEKNUM(Combined[[#This Row],[Date]], 1) = 53, 1, WEEKNUM(Combined[[#This Row],[Date]], 2))</f>
        <v>1</v>
      </c>
      <c r="F510" t="str">
        <f t="shared" si="111"/>
        <v>Thursday</v>
      </c>
      <c r="G510" s="41">
        <v>44924</v>
      </c>
      <c r="H510">
        <v>4</v>
      </c>
      <c r="I510" s="1">
        <v>33.75</v>
      </c>
      <c r="J510" s="2">
        <v>0.14166666666666666</v>
      </c>
      <c r="K510" s="12">
        <f>Combined[[#This Row],[Time Spent]]*24</f>
        <v>3.4</v>
      </c>
      <c r="L510" s="12">
        <f>MROUND(Combined[[#This Row],[Time Spent 2]],0.25)</f>
        <v>3.5</v>
      </c>
      <c r="M510" s="2" t="s">
        <v>91</v>
      </c>
      <c r="N510" t="s">
        <v>80</v>
      </c>
      <c r="O510">
        <f>MATCH(Combined[[#This Row],[Primary Area]],KPIs!$C$4:$C$7,0)</f>
        <v>2</v>
      </c>
      <c r="Q510" s="40">
        <v>45436</v>
      </c>
      <c r="R510" s="40">
        <f t="shared" si="94"/>
        <v>45436</v>
      </c>
      <c r="S510" s="4" t="str">
        <f>TEXT(Mileage[[#This Row],[Date]],"dddd")</f>
        <v>Friday</v>
      </c>
      <c r="T510" s="4" t="s">
        <v>230</v>
      </c>
      <c r="U510" s="4">
        <v>73</v>
      </c>
      <c r="V510" t="str" cm="1">
        <f t="array" ref="V510">IFERROR(VLOOKUP(MODE(IF(Combined[Date]=Mileage[[#This Row],[Date]],Combined[Area '#])),KPIs!$B$4:$C$7,2,FALSE),VLOOKUP(Mileage[[#This Row],[Date]],Combined[[Date]:[Primary Area]],8,FALSE))</f>
        <v>Brunswick/Bath/Freeport</v>
      </c>
      <c r="W510" s="106">
        <v>0.73611111111111116</v>
      </c>
      <c r="X510" s="12">
        <v>4.45</v>
      </c>
      <c r="Y510" s="4">
        <v>111</v>
      </c>
      <c r="Z5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1" spans="2:26" x14ac:dyDescent="0.35">
      <c r="B511">
        <f t="shared" si="93"/>
        <v>509</v>
      </c>
      <c r="C511" t="s">
        <v>86</v>
      </c>
      <c r="D511" t="s">
        <v>175</v>
      </c>
      <c r="E511">
        <f>IF(WEEKNUM(Combined[[#This Row],[Date]], 1) = 53, 1, WEEKNUM(Combined[[#This Row],[Date]], 2))</f>
        <v>1</v>
      </c>
      <c r="F511" t="str">
        <f t="shared" si="111"/>
        <v>Thursday</v>
      </c>
      <c r="G511" s="41">
        <v>44924</v>
      </c>
      <c r="H511">
        <v>4</v>
      </c>
      <c r="I511" s="1">
        <v>48.08</v>
      </c>
      <c r="J511" s="2">
        <v>0.15416666666666667</v>
      </c>
      <c r="K511" s="12">
        <f>Combined[[#This Row],[Time Spent]]*24</f>
        <v>3.7</v>
      </c>
      <c r="L511" s="12">
        <f>MROUND(Combined[[#This Row],[Time Spent 2]],0.25)</f>
        <v>3.75</v>
      </c>
      <c r="M511" s="2" t="s">
        <v>92</v>
      </c>
      <c r="N511" t="s">
        <v>80</v>
      </c>
      <c r="O511">
        <f>MATCH(Combined[[#This Row],[Primary Area]],KPIs!$C$4:$C$7,0)</f>
        <v>2</v>
      </c>
      <c r="Q511" s="40">
        <v>45439</v>
      </c>
      <c r="R511" s="40">
        <f t="shared" si="94"/>
        <v>45439</v>
      </c>
      <c r="S511" s="4" t="str">
        <f>TEXT(Mileage[[#This Row],[Date]],"dddd")</f>
        <v>Monday</v>
      </c>
      <c r="T511" s="4" t="s">
        <v>249</v>
      </c>
      <c r="U511" s="4">
        <v>75</v>
      </c>
      <c r="V511" t="str" cm="1">
        <f t="array" ref="V511">IFERROR(VLOOKUP(MODE(IF(Combined[Date]=Mileage[[#This Row],[Date]],Combined[Area '#])),KPIs!$B$4:$C$7,2,FALSE),VLOOKUP(Mileage[[#This Row],[Date]],Combined[[Date]:[Primary Area]],8,FALSE))</f>
        <v>Augusta</v>
      </c>
      <c r="W511" s="106">
        <v>0.69791666666666663</v>
      </c>
      <c r="X511" s="12">
        <v>6.37</v>
      </c>
      <c r="Y511" s="4">
        <v>172</v>
      </c>
      <c r="Z5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2" spans="2:26" x14ac:dyDescent="0.35">
      <c r="B512">
        <f t="shared" si="93"/>
        <v>510</v>
      </c>
      <c r="C512" t="s">
        <v>83</v>
      </c>
      <c r="D512" t="s">
        <v>176</v>
      </c>
      <c r="E512">
        <f>IF(WEEKNUM(Combined[[#This Row],[Date]], 1) = 53, 1, WEEKNUM(Combined[[#This Row],[Date]], 2))</f>
        <v>1</v>
      </c>
      <c r="F512" t="str">
        <f t="shared" si="111"/>
        <v>Friday</v>
      </c>
      <c r="G512" s="41">
        <v>44925</v>
      </c>
      <c r="H512">
        <v>3</v>
      </c>
      <c r="I512" s="1">
        <v>58.57</v>
      </c>
      <c r="J512" s="2">
        <v>0.17986111111111111</v>
      </c>
      <c r="K512" s="12">
        <f>Combined[[#This Row],[Time Spent]]*24</f>
        <v>4.3166666666666664</v>
      </c>
      <c r="L512" s="12">
        <f>MROUND(Combined[[#This Row],[Time Spent 2]],0.25)</f>
        <v>4.25</v>
      </c>
      <c r="M512" s="2" t="s">
        <v>91</v>
      </c>
      <c r="N512" t="s">
        <v>80</v>
      </c>
      <c r="O512">
        <f>MATCH(Combined[[#This Row],[Primary Area]],KPIs!$C$4:$C$7,0)</f>
        <v>2</v>
      </c>
      <c r="Q512" s="40">
        <v>45440</v>
      </c>
      <c r="R512" s="40">
        <f t="shared" si="94"/>
        <v>45440</v>
      </c>
      <c r="S512" s="4" t="str">
        <f>TEXT(Mileage[[#This Row],[Date]],"dddd")</f>
        <v>Tuesday</v>
      </c>
      <c r="T512" s="4" t="s">
        <v>249</v>
      </c>
      <c r="U512" s="4">
        <v>75</v>
      </c>
      <c r="V512" t="str" cm="1">
        <f t="array" ref="V512">IFERROR(VLOOKUP(MODE(IF(Combined[Date]=Mileage[[#This Row],[Date]],Combined[Area '#])),KPIs!$B$4:$C$7,2,FALSE),VLOOKUP(Mileage[[#This Row],[Date]],Combined[[Date]:[Primary Area]],8,FALSE))</f>
        <v>Brunswick/Bath/Freeport</v>
      </c>
      <c r="W512" s="106">
        <v>0.71180555555555558</v>
      </c>
      <c r="X512" s="12">
        <v>6.1</v>
      </c>
      <c r="Y512" s="4">
        <v>164</v>
      </c>
      <c r="Z5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3" spans="2:26" x14ac:dyDescent="0.35">
      <c r="B513">
        <f t="shared" si="93"/>
        <v>511</v>
      </c>
      <c r="C513" t="s">
        <v>86</v>
      </c>
      <c r="D513" t="s">
        <v>175</v>
      </c>
      <c r="E513">
        <f>IF(WEEKNUM(Combined[[#This Row],[Date]], 1) = 53, 1, WEEKNUM(Combined[[#This Row],[Date]], 2))</f>
        <v>1</v>
      </c>
      <c r="F513" t="str">
        <f t="shared" si="111"/>
        <v>Friday</v>
      </c>
      <c r="G513" s="41">
        <v>44925</v>
      </c>
      <c r="H513">
        <v>5</v>
      </c>
      <c r="I513" s="1">
        <v>54.29</v>
      </c>
      <c r="J513" s="2">
        <v>0.21180555555555555</v>
      </c>
      <c r="K513" s="12">
        <f>Combined[[#This Row],[Time Spent]]*24</f>
        <v>5.083333333333333</v>
      </c>
      <c r="L513" s="12">
        <f>MROUND(Combined[[#This Row],[Time Spent 2]],0.25)</f>
        <v>5</v>
      </c>
      <c r="M513" s="2" t="s">
        <v>91</v>
      </c>
      <c r="N513" t="s">
        <v>80</v>
      </c>
      <c r="O513">
        <f>MATCH(Combined[[#This Row],[Primary Area]],KPIs!$C$4:$C$7,0)</f>
        <v>2</v>
      </c>
      <c r="Q513" s="40">
        <v>45441</v>
      </c>
      <c r="R513" s="40">
        <f t="shared" si="94"/>
        <v>45441</v>
      </c>
      <c r="S513" s="4" t="str">
        <f>TEXT(Mileage[[#This Row],[Date]],"dddd")</f>
        <v>Wednesday</v>
      </c>
      <c r="T513" s="4" t="s">
        <v>230</v>
      </c>
      <c r="U513" s="4">
        <v>72</v>
      </c>
      <c r="V513" t="str" cm="1">
        <f t="array" ref="V513">IFERROR(VLOOKUP(MODE(IF(Combined[Date]=Mileage[[#This Row],[Date]],Combined[Area '#])),KPIs!$B$4:$C$7,2,FALSE),VLOOKUP(Mileage[[#This Row],[Date]],Combined[[Date]:[Primary Area]],8,FALSE))</f>
        <v>Brunswick/Bath/Freeport</v>
      </c>
      <c r="W513" s="106">
        <v>0.75694444444444442</v>
      </c>
      <c r="X513" s="12">
        <v>2.97</v>
      </c>
      <c r="Y513" s="4">
        <v>58</v>
      </c>
      <c r="Z5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4" spans="2:26" x14ac:dyDescent="0.35">
      <c r="B514">
        <f t="shared" si="93"/>
        <v>512</v>
      </c>
      <c r="C514" t="s">
        <v>83</v>
      </c>
      <c r="D514" t="s">
        <v>176</v>
      </c>
      <c r="E514">
        <f>IF(WEEKNUM(Combined[[#This Row],[Date]], 1) = 53, 1, WEEKNUM(Combined[[#This Row],[Date]], 2))</f>
        <v>1</v>
      </c>
      <c r="F514" t="str">
        <f t="shared" ref="F514:F516" si="112">TEXT(WEEKDAY(G514,1),"DDDD")</f>
        <v>Sunday</v>
      </c>
      <c r="G514" s="41">
        <v>44927</v>
      </c>
      <c r="H514">
        <v>2</v>
      </c>
      <c r="I514" s="1">
        <v>25.74</v>
      </c>
      <c r="J514" s="2">
        <v>0.14583333333333334</v>
      </c>
      <c r="K514" s="12">
        <f>Combined[[#This Row],[Time Spent]]*24</f>
        <v>3.5</v>
      </c>
      <c r="L514" s="12">
        <f>MROUND(Combined[[#This Row],[Time Spent 2]],0.25)</f>
        <v>3.5</v>
      </c>
      <c r="M514" s="2" t="s">
        <v>91</v>
      </c>
      <c r="N514" t="s">
        <v>80</v>
      </c>
      <c r="O514">
        <f>MATCH(Combined[[#This Row],[Primary Area]],KPIs!$C$4:$C$7,0)</f>
        <v>2</v>
      </c>
      <c r="Q514" s="40">
        <v>45442</v>
      </c>
      <c r="R514" s="40">
        <f t="shared" si="94"/>
        <v>45442</v>
      </c>
      <c r="S514" s="4" t="str">
        <f>TEXT(Mileage[[#This Row],[Date]],"dddd")</f>
        <v>Thursday</v>
      </c>
      <c r="T514" s="4" t="s">
        <v>281</v>
      </c>
      <c r="U514" s="4">
        <v>64</v>
      </c>
      <c r="V514" t="str" cm="1">
        <f t="array" ref="V514">IFERROR(VLOOKUP(MODE(IF(Combined[Date]=Mileage[[#This Row],[Date]],Combined[Area '#])),KPIs!$B$4:$C$7,2,FALSE),VLOOKUP(Mileage[[#This Row],[Date]],Combined[[Date]:[Primary Area]],8,FALSE))</f>
        <v>Brunswick/Bath/Freeport</v>
      </c>
      <c r="W514" s="106">
        <v>0.73958333333333337</v>
      </c>
      <c r="X514" s="12">
        <v>5.53</v>
      </c>
      <c r="Y514" s="4">
        <v>127</v>
      </c>
      <c r="Z51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15" spans="2:26" x14ac:dyDescent="0.35">
      <c r="B515">
        <f t="shared" ref="B515:B578" si="113">ROW()-2</f>
        <v>513</v>
      </c>
      <c r="C515" t="s">
        <v>86</v>
      </c>
      <c r="D515" t="s">
        <v>175</v>
      </c>
      <c r="E515">
        <f>IF(WEEKNUM(Combined[[#This Row],[Date]], 1) = 53, 1, WEEKNUM(Combined[[#This Row],[Date]], 2))</f>
        <v>1</v>
      </c>
      <c r="F515" t="str">
        <f t="shared" si="112"/>
        <v>Sunday</v>
      </c>
      <c r="G515" s="41">
        <v>44927</v>
      </c>
      <c r="H515">
        <v>10</v>
      </c>
      <c r="I515" s="1">
        <v>93.79</v>
      </c>
      <c r="J515" s="2">
        <v>0.22500000000000001</v>
      </c>
      <c r="K515" s="12">
        <f>Combined[[#This Row],[Time Spent]]*24</f>
        <v>5.4</v>
      </c>
      <c r="L515" s="12">
        <f>MROUND(Combined[[#This Row],[Time Spent 2]],0.25)</f>
        <v>5.5</v>
      </c>
      <c r="M515" s="2" t="s">
        <v>91</v>
      </c>
      <c r="N515" t="s">
        <v>80</v>
      </c>
      <c r="O515">
        <f>MATCH(Combined[[#This Row],[Primary Area]],KPIs!$C$4:$C$7,0)</f>
        <v>2</v>
      </c>
      <c r="Q515" s="40">
        <v>45443</v>
      </c>
      <c r="R515" s="40">
        <f t="shared" ref="R515:R578" si="114">Q515</f>
        <v>45443</v>
      </c>
      <c r="S515" s="4" t="str">
        <f>TEXT(Mileage[[#This Row],[Date]],"dddd")</f>
        <v>Friday</v>
      </c>
      <c r="T515" s="4" t="s">
        <v>230</v>
      </c>
      <c r="U515" s="4">
        <v>70</v>
      </c>
      <c r="V515" t="str" cm="1">
        <f t="array" ref="V515">IFERROR(VLOOKUP(MODE(IF(Combined[Date]=Mileage[[#This Row],[Date]],Combined[Area '#])),KPIs!$B$4:$C$7,2,FALSE),VLOOKUP(Mileage[[#This Row],[Date]],Combined[[Date]:[Primary Area]],8,FALSE))</f>
        <v>Brunswick/Bath/Freeport</v>
      </c>
      <c r="W515" s="106">
        <v>0.75</v>
      </c>
      <c r="X515" s="12">
        <v>5.9</v>
      </c>
      <c r="Y515" s="4">
        <v>126</v>
      </c>
      <c r="Z5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6" spans="2:26" x14ac:dyDescent="0.35">
      <c r="B516">
        <f t="shared" si="113"/>
        <v>514</v>
      </c>
      <c r="C516" t="s">
        <v>86</v>
      </c>
      <c r="D516" t="s">
        <v>175</v>
      </c>
      <c r="E516">
        <f>IF(WEEKNUM(Combined[[#This Row],[Date]], 1) = 53, 1, WEEKNUM(Combined[[#This Row],[Date]], 2))</f>
        <v>1</v>
      </c>
      <c r="F516" t="str">
        <f t="shared" si="112"/>
        <v>Sunday</v>
      </c>
      <c r="G516" s="41">
        <v>44927</v>
      </c>
      <c r="H516">
        <v>2</v>
      </c>
      <c r="I516" s="1">
        <v>21.68</v>
      </c>
      <c r="J516" s="2">
        <v>3.888888888888889E-2</v>
      </c>
      <c r="K516" s="12">
        <f>Combined[[#This Row],[Time Spent]]*24</f>
        <v>0.93333333333333335</v>
      </c>
      <c r="L516" s="12">
        <f>MROUND(Combined[[#This Row],[Time Spent 2]],0.25)</f>
        <v>1</v>
      </c>
      <c r="M516" s="2" t="s">
        <v>92</v>
      </c>
      <c r="N516" t="s">
        <v>80</v>
      </c>
      <c r="O516">
        <f>MATCH(Combined[[#This Row],[Primary Area]],KPIs!$C$4:$C$7,0)</f>
        <v>2</v>
      </c>
      <c r="Q516" s="40">
        <v>45444</v>
      </c>
      <c r="R516" s="40">
        <f t="shared" si="114"/>
        <v>45444</v>
      </c>
      <c r="S516" s="4" t="str">
        <f>TEXT(Mileage[[#This Row],[Date]],"dddd")</f>
        <v>Saturday</v>
      </c>
      <c r="T516" s="4" t="s">
        <v>249</v>
      </c>
      <c r="U516" s="4">
        <v>63</v>
      </c>
      <c r="V516" t="str" cm="1">
        <f t="array" ref="V516">IFERROR(VLOOKUP(MODE(IF(Combined[Date]=Mileage[[#This Row],[Date]],Combined[Area '#])),KPIs!$B$4:$C$7,2,FALSE),VLOOKUP(Mileage[[#This Row],[Date]],Combined[[Date]:[Primary Area]],8,FALSE))</f>
        <v>Portland</v>
      </c>
      <c r="W516" s="106">
        <v>0.67013888888888884</v>
      </c>
      <c r="X516" s="12">
        <v>5.05</v>
      </c>
      <c r="Y516" s="4">
        <v>142</v>
      </c>
      <c r="Z5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17" spans="2:26" x14ac:dyDescent="0.35">
      <c r="B517">
        <f t="shared" si="113"/>
        <v>515</v>
      </c>
      <c r="C517" t="s">
        <v>86</v>
      </c>
      <c r="D517" t="s">
        <v>175</v>
      </c>
      <c r="E517">
        <f>IF(WEEKNUM(Combined[[#This Row],[Date]], 1) = 53, 1, WEEKNUM(Combined[[#This Row],[Date]], 2))</f>
        <v>1</v>
      </c>
      <c r="F517" t="str">
        <f>TEXT(WEEKDAY(G517,1),"DDDD")</f>
        <v>Sunday</v>
      </c>
      <c r="G517" s="41">
        <v>44927</v>
      </c>
      <c r="H517">
        <v>1</v>
      </c>
      <c r="I517" s="1">
        <f>10.76+3.5</f>
        <v>14.26</v>
      </c>
      <c r="J517" s="2">
        <v>8.5416666666666655E-2</v>
      </c>
      <c r="K517" s="12">
        <f>Combined[[#This Row],[Time Spent]]*24</f>
        <v>2.0499999999999998</v>
      </c>
      <c r="L517" s="12">
        <f>MROUND(Combined[[#This Row],[Time Spent 2]],0.25)</f>
        <v>2</v>
      </c>
      <c r="M517" s="2" t="s">
        <v>92</v>
      </c>
      <c r="N517" t="s">
        <v>80</v>
      </c>
      <c r="O517">
        <f>MATCH(Combined[[#This Row],[Primary Area]],KPIs!$C$4:$C$7,0)</f>
        <v>2</v>
      </c>
      <c r="Q517" s="40">
        <v>45445</v>
      </c>
      <c r="R517" s="40">
        <f t="shared" si="114"/>
        <v>45445</v>
      </c>
      <c r="S517" s="4" t="str">
        <f>TEXT(Mileage[[#This Row],[Date]],"dddd")</f>
        <v>Sunday</v>
      </c>
      <c r="T517" s="4" t="s">
        <v>230</v>
      </c>
      <c r="U517" s="4">
        <v>77</v>
      </c>
      <c r="V517" t="str" cm="1">
        <f t="array" ref="V517">IFERROR(VLOOKUP(MODE(IF(Combined[Date]=Mileage[[#This Row],[Date]],Combined[Area '#])),KPIs!$B$4:$C$7,2,FALSE),VLOOKUP(Mileage[[#This Row],[Date]],Combined[[Date]:[Primary Area]],8,FALSE))</f>
        <v>Lewiston</v>
      </c>
      <c r="W517" s="106">
        <v>0.74305555555555558</v>
      </c>
      <c r="X517" s="12">
        <v>5.25</v>
      </c>
      <c r="Y517" s="4">
        <v>93</v>
      </c>
      <c r="Z51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8" spans="2:26" x14ac:dyDescent="0.35">
      <c r="B518">
        <f t="shared" si="113"/>
        <v>516</v>
      </c>
      <c r="C518" t="s">
        <v>86</v>
      </c>
      <c r="D518" t="s">
        <v>175</v>
      </c>
      <c r="E518">
        <f>IF(WEEKNUM(Combined[[#This Row],[Date]], 1) = 53, 1, WEEKNUM(Combined[[#This Row],[Date]], 2))</f>
        <v>2</v>
      </c>
      <c r="F518" t="str">
        <f t="shared" ref="F518:F519" si="115">TEXT(WEEKDAY(G518,1),"DDDD")</f>
        <v>Tuesday</v>
      </c>
      <c r="G518" s="41">
        <v>44929</v>
      </c>
      <c r="H518">
        <v>4</v>
      </c>
      <c r="I518" s="1">
        <v>35.85</v>
      </c>
      <c r="J518" s="2">
        <v>0.12083333333333333</v>
      </c>
      <c r="K518" s="12">
        <f>Combined[[#This Row],[Time Spent]]*24</f>
        <v>2.9</v>
      </c>
      <c r="L518" s="12">
        <f>MROUND(Combined[[#This Row],[Time Spent 2]],0.25)</f>
        <v>3</v>
      </c>
      <c r="M518" s="2" t="s">
        <v>91</v>
      </c>
      <c r="N518" t="s">
        <v>80</v>
      </c>
      <c r="O518">
        <f>MATCH(Combined[[#This Row],[Primary Area]],KPIs!$C$4:$C$7,0)</f>
        <v>2</v>
      </c>
      <c r="Q518" s="40">
        <v>45446</v>
      </c>
      <c r="R518" s="40">
        <f t="shared" si="114"/>
        <v>45446</v>
      </c>
      <c r="S518" s="4" t="str">
        <f>TEXT(Mileage[[#This Row],[Date]],"dddd")</f>
        <v>Monday</v>
      </c>
      <c r="T518" s="4" t="s">
        <v>230</v>
      </c>
      <c r="U518" s="4">
        <v>70</v>
      </c>
      <c r="V518" t="str" cm="1">
        <f t="array" ref="V518">IFERROR(VLOOKUP(MODE(IF(Combined[Date]=Mileage[[#This Row],[Date]],Combined[Area '#])),KPIs!$B$4:$C$7,2,FALSE),VLOOKUP(Mileage[[#This Row],[Date]],Combined[[Date]:[Primary Area]],8,FALSE))</f>
        <v>Brunswick/Bath/Freeport</v>
      </c>
      <c r="W518" s="106">
        <v>0.72569444444444442</v>
      </c>
      <c r="X518" s="12">
        <v>5.33</v>
      </c>
      <c r="Y518" s="4">
        <v>139</v>
      </c>
      <c r="Z5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19" spans="2:26" x14ac:dyDescent="0.35">
      <c r="B519">
        <f t="shared" si="113"/>
        <v>517</v>
      </c>
      <c r="C519" t="s">
        <v>86</v>
      </c>
      <c r="D519" t="s">
        <v>176</v>
      </c>
      <c r="E519">
        <f>IF(WEEKNUM(Combined[[#This Row],[Date]], 1) = 53, 1, WEEKNUM(Combined[[#This Row],[Date]], 2))</f>
        <v>2</v>
      </c>
      <c r="F519" t="str">
        <f t="shared" si="115"/>
        <v>Tuesday</v>
      </c>
      <c r="G519" s="41">
        <v>44929</v>
      </c>
      <c r="H519">
        <v>6</v>
      </c>
      <c r="I519" s="1">
        <v>55</v>
      </c>
      <c r="J519" s="2">
        <v>0.14722222222222223</v>
      </c>
      <c r="K519" s="12">
        <f>Combined[[#This Row],[Time Spent]]*24</f>
        <v>3.5333333333333332</v>
      </c>
      <c r="L519" s="12">
        <f>MROUND(Combined[[#This Row],[Time Spent 2]],0.25)</f>
        <v>3.5</v>
      </c>
      <c r="M519" s="2" t="s">
        <v>92</v>
      </c>
      <c r="N519" t="s">
        <v>80</v>
      </c>
      <c r="O519">
        <f>MATCH(Combined[[#This Row],[Primary Area]],KPIs!$C$4:$C$7,0)</f>
        <v>2</v>
      </c>
      <c r="Q519" s="40">
        <v>45447</v>
      </c>
      <c r="R519" s="40">
        <f t="shared" si="114"/>
        <v>45447</v>
      </c>
      <c r="S519" s="4" t="str">
        <f>TEXT(Mileage[[#This Row],[Date]],"dddd")</f>
        <v>Tuesday</v>
      </c>
      <c r="T519" s="4" t="s">
        <v>230</v>
      </c>
      <c r="U519" s="4">
        <v>70</v>
      </c>
      <c r="V519" t="str" cm="1">
        <f t="array" ref="V519">IFERROR(VLOOKUP(MODE(IF(Combined[Date]=Mileage[[#This Row],[Date]],Combined[Area '#])),KPIs!$B$4:$C$7,2,FALSE),VLOOKUP(Mileage[[#This Row],[Date]],Combined[[Date]:[Primary Area]],8,FALSE))</f>
        <v>Brunswick/Bath/Freeport</v>
      </c>
      <c r="W519" s="106">
        <v>0.73263888888888884</v>
      </c>
      <c r="X519" s="12">
        <v>4.2300000000000004</v>
      </c>
      <c r="Y519" s="4">
        <v>120</v>
      </c>
      <c r="Z51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0" spans="2:26" x14ac:dyDescent="0.35">
      <c r="B520">
        <f t="shared" si="113"/>
        <v>518</v>
      </c>
      <c r="C520" t="s">
        <v>83</v>
      </c>
      <c r="D520" t="s">
        <v>176</v>
      </c>
      <c r="E520">
        <f>IF(WEEKNUM(Combined[[#This Row],[Date]], 1) = 53, 1, WEEKNUM(Combined[[#This Row],[Date]], 2))</f>
        <v>2</v>
      </c>
      <c r="F520" t="str">
        <f t="shared" ref="F520:F523" si="116">TEXT(WEEKDAY(G520,1),"DDDD")</f>
        <v>Wednesday</v>
      </c>
      <c r="G520" s="41">
        <v>44930</v>
      </c>
      <c r="H520">
        <v>4</v>
      </c>
      <c r="I520" s="1">
        <v>38.630000000000003</v>
      </c>
      <c r="J520" s="2">
        <v>0.14375000000000002</v>
      </c>
      <c r="K520" s="12">
        <f>Combined[[#This Row],[Time Spent]]*24</f>
        <v>3.45</v>
      </c>
      <c r="L520" s="12">
        <f>MROUND(Combined[[#This Row],[Time Spent 2]],0.25)</f>
        <v>3.5</v>
      </c>
      <c r="M520" s="2" t="s">
        <v>91</v>
      </c>
      <c r="N520" t="s">
        <v>85</v>
      </c>
      <c r="O520">
        <f>MATCH(Combined[[#This Row],[Primary Area]],KPIs!$C$4:$C$7,0)</f>
        <v>4</v>
      </c>
      <c r="Q520" s="40">
        <v>45448</v>
      </c>
      <c r="R520" s="40">
        <f t="shared" si="114"/>
        <v>45448</v>
      </c>
      <c r="S520" s="4" t="str">
        <f>TEXT(Mileage[[#This Row],[Date]],"dddd")</f>
        <v>Wednesday</v>
      </c>
      <c r="T520" s="4" t="s">
        <v>249</v>
      </c>
      <c r="U520" s="4">
        <v>70</v>
      </c>
      <c r="V520" t="str" cm="1">
        <f t="array" ref="V520">IFERROR(VLOOKUP(MODE(IF(Combined[Date]=Mileage[[#This Row],[Date]],Combined[Area '#])),KPIs!$B$4:$C$7,2,FALSE),VLOOKUP(Mileage[[#This Row],[Date]],Combined[[Date]:[Primary Area]],8,FALSE))</f>
        <v>Portland</v>
      </c>
      <c r="W520" s="106">
        <v>0.71875</v>
      </c>
      <c r="X520" s="12">
        <v>5.6</v>
      </c>
      <c r="Y520" s="4">
        <v>121</v>
      </c>
      <c r="Z52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1" spans="2:26" x14ac:dyDescent="0.35">
      <c r="B521">
        <f t="shared" si="113"/>
        <v>519</v>
      </c>
      <c r="C521" t="s">
        <v>86</v>
      </c>
      <c r="D521" t="s">
        <v>175</v>
      </c>
      <c r="E521">
        <f>IF(WEEKNUM(Combined[[#This Row],[Date]], 1) = 53, 1, WEEKNUM(Combined[[#This Row],[Date]], 2))</f>
        <v>2</v>
      </c>
      <c r="F521" t="str">
        <f t="shared" si="116"/>
        <v>Wednesday</v>
      </c>
      <c r="G521" s="41">
        <v>44930</v>
      </c>
      <c r="H521">
        <v>2</v>
      </c>
      <c r="I521" s="1">
        <v>9.82</v>
      </c>
      <c r="J521" s="2">
        <v>4.0972222222222222E-2</v>
      </c>
      <c r="K521" s="12">
        <f>Combined[[#This Row],[Time Spent]]*24</f>
        <v>0.98333333333333339</v>
      </c>
      <c r="L521" s="12">
        <f>MROUND(Combined[[#This Row],[Time Spent 2]],0.25)</f>
        <v>1</v>
      </c>
      <c r="M521" s="2" t="s">
        <v>91</v>
      </c>
      <c r="N521" t="s">
        <v>85</v>
      </c>
      <c r="O521">
        <f>MATCH(Combined[[#This Row],[Primary Area]],KPIs!$C$4:$C$7,0)</f>
        <v>4</v>
      </c>
      <c r="Q521" s="40">
        <v>45449</v>
      </c>
      <c r="R521" s="40">
        <f t="shared" si="114"/>
        <v>45449</v>
      </c>
      <c r="S521" s="4" t="str">
        <f>TEXT(Mileage[[#This Row],[Date]],"dddd")</f>
        <v>Thursday</v>
      </c>
      <c r="T521" s="4" t="s">
        <v>276</v>
      </c>
      <c r="U521" s="4">
        <v>59</v>
      </c>
      <c r="V521" t="str" cm="1">
        <f t="array" ref="V521">IFERROR(VLOOKUP(MODE(IF(Combined[Date]=Mileage[[#This Row],[Date]],Combined[Area '#])),KPIs!$B$4:$C$7,2,FALSE),VLOOKUP(Mileage[[#This Row],[Date]],Combined[[Date]:[Primary Area]],8,FALSE))</f>
        <v>Portland</v>
      </c>
      <c r="W521" s="106">
        <v>0.70833333333333337</v>
      </c>
      <c r="X521" s="12">
        <v>6.13</v>
      </c>
      <c r="Y521" s="4">
        <v>119</v>
      </c>
      <c r="Z52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2" spans="2:26" x14ac:dyDescent="0.35">
      <c r="B522">
        <f t="shared" si="113"/>
        <v>520</v>
      </c>
      <c r="C522" t="s">
        <v>86</v>
      </c>
      <c r="D522" t="s">
        <v>175</v>
      </c>
      <c r="E522">
        <f>IF(WEEKNUM(Combined[[#This Row],[Date]], 1) = 53, 1, WEEKNUM(Combined[[#This Row],[Date]], 2))</f>
        <v>2</v>
      </c>
      <c r="F522" t="str">
        <f t="shared" si="116"/>
        <v>Wednesday</v>
      </c>
      <c r="G522" s="41">
        <v>44930</v>
      </c>
      <c r="H522">
        <v>4</v>
      </c>
      <c r="I522" s="1">
        <v>43.58</v>
      </c>
      <c r="J522" s="2">
        <v>8.6111111111111124E-2</v>
      </c>
      <c r="K522" s="12">
        <f>Combined[[#This Row],[Time Spent]]*24</f>
        <v>2.0666666666666669</v>
      </c>
      <c r="L522" s="12">
        <f>MROUND(Combined[[#This Row],[Time Spent 2]],0.25)</f>
        <v>2</v>
      </c>
      <c r="M522" s="2" t="s">
        <v>91</v>
      </c>
      <c r="N522" t="s">
        <v>85</v>
      </c>
      <c r="O522">
        <f>MATCH(Combined[[#This Row],[Primary Area]],KPIs!$C$4:$C$7,0)</f>
        <v>4</v>
      </c>
      <c r="Q522" s="40">
        <v>45450</v>
      </c>
      <c r="R522" s="40">
        <f t="shared" si="114"/>
        <v>45450</v>
      </c>
      <c r="S522" s="4" t="str">
        <f>TEXT(Mileage[[#This Row],[Date]],"dddd")</f>
        <v>Friday</v>
      </c>
      <c r="T522" s="4" t="s">
        <v>249</v>
      </c>
      <c r="U522" s="4">
        <v>64</v>
      </c>
      <c r="V522" t="str" cm="1">
        <f t="array" ref="V522">IFERROR(VLOOKUP(MODE(IF(Combined[Date]=Mileage[[#This Row],[Date]],Combined[Area '#])),KPIs!$B$4:$C$7,2,FALSE),VLOOKUP(Mileage[[#This Row],[Date]],Combined[[Date]:[Primary Area]],8,FALSE))</f>
        <v>Brunswick/Bath/Freeport</v>
      </c>
      <c r="W522" s="106">
        <v>0.74652777777777779</v>
      </c>
      <c r="X522" s="12">
        <v>6.08</v>
      </c>
      <c r="Y522" s="4">
        <v>165</v>
      </c>
      <c r="Z52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3" spans="2:26" x14ac:dyDescent="0.35">
      <c r="B523">
        <f t="shared" si="113"/>
        <v>521</v>
      </c>
      <c r="C523" t="s">
        <v>86</v>
      </c>
      <c r="D523" t="s">
        <v>175</v>
      </c>
      <c r="E523">
        <f>IF(WEEKNUM(Combined[[#This Row],[Date]], 1) = 53, 1, WEEKNUM(Combined[[#This Row],[Date]], 2))</f>
        <v>2</v>
      </c>
      <c r="F523" t="str">
        <f t="shared" si="116"/>
        <v>Wednesday</v>
      </c>
      <c r="G523" s="41">
        <v>44930</v>
      </c>
      <c r="H523">
        <v>2</v>
      </c>
      <c r="I523" s="1">
        <v>18.47</v>
      </c>
      <c r="J523" s="2">
        <v>3.6805555555555557E-2</v>
      </c>
      <c r="K523" s="12">
        <f>Combined[[#This Row],[Time Spent]]*24</f>
        <v>0.8833333333333333</v>
      </c>
      <c r="L523" s="12">
        <f>MROUND(Combined[[#This Row],[Time Spent 2]],0.25)</f>
        <v>1</v>
      </c>
      <c r="M523" s="2" t="s">
        <v>91</v>
      </c>
      <c r="N523" t="s">
        <v>85</v>
      </c>
      <c r="O523">
        <f>MATCH(Combined[[#This Row],[Primary Area]],KPIs!$C$4:$C$7,0)</f>
        <v>4</v>
      </c>
      <c r="Q523" s="40">
        <v>45451</v>
      </c>
      <c r="R523" s="40">
        <f t="shared" si="114"/>
        <v>45451</v>
      </c>
      <c r="S523" s="4" t="str">
        <f>TEXT(Mileage[[#This Row],[Date]],"dddd")</f>
        <v>Saturday</v>
      </c>
      <c r="T523" s="4" t="s">
        <v>230</v>
      </c>
      <c r="U523" s="4">
        <v>66</v>
      </c>
      <c r="V523" t="str" cm="1">
        <f t="array" ref="V523">IFERROR(VLOOKUP(MODE(IF(Combined[Date]=Mileage[[#This Row],[Date]],Combined[Area '#])),KPIs!$B$4:$C$7,2,FALSE),VLOOKUP(Mileage[[#This Row],[Date]],Combined[[Date]:[Primary Area]],8,FALSE))</f>
        <v>Brunswick/Bath/Freeport</v>
      </c>
      <c r="W523" s="106">
        <v>0.61111111111111116</v>
      </c>
      <c r="X523" s="12">
        <v>7.35</v>
      </c>
      <c r="Y523" s="4">
        <v>153</v>
      </c>
      <c r="Z52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24" spans="2:26" x14ac:dyDescent="0.35">
      <c r="B524">
        <f t="shared" si="113"/>
        <v>522</v>
      </c>
      <c r="C524" t="s">
        <v>86</v>
      </c>
      <c r="D524" t="s">
        <v>175</v>
      </c>
      <c r="E524">
        <f>IF(WEEKNUM(Combined[[#This Row],[Date]], 1) = 53, 1, WEEKNUM(Combined[[#This Row],[Date]], 2))</f>
        <v>2</v>
      </c>
      <c r="F524" t="str">
        <f>TEXT(WEEKDAY(G524,1),"DDDD")</f>
        <v>Wednesday</v>
      </c>
      <c r="G524" s="41">
        <v>44930</v>
      </c>
      <c r="H524">
        <v>1</v>
      </c>
      <c r="I524" s="1">
        <v>13.96</v>
      </c>
      <c r="J524" s="2">
        <v>3.2638888888888891E-2</v>
      </c>
      <c r="K524" s="12">
        <f>Combined[[#This Row],[Time Spent]]*24</f>
        <v>0.78333333333333344</v>
      </c>
      <c r="L524" s="12">
        <f>MROUND(Combined[[#This Row],[Time Spent 2]],0.25)</f>
        <v>0.75</v>
      </c>
      <c r="M524" s="2" t="s">
        <v>92</v>
      </c>
      <c r="N524" t="s">
        <v>85</v>
      </c>
      <c r="O524">
        <f>MATCH(Combined[[#This Row],[Primary Area]],KPIs!$C$4:$C$7,0)</f>
        <v>4</v>
      </c>
      <c r="Q524" s="40">
        <v>45452</v>
      </c>
      <c r="R524" s="40">
        <f t="shared" si="114"/>
        <v>45452</v>
      </c>
      <c r="S524" s="4" t="str">
        <f>TEXT(Mileage[[#This Row],[Date]],"dddd")</f>
        <v>Sunday</v>
      </c>
      <c r="T524" s="4" t="s">
        <v>249</v>
      </c>
      <c r="U524" s="4">
        <v>61</v>
      </c>
      <c r="V524" t="str" cm="1">
        <f t="array" ref="V524">IFERROR(VLOOKUP(MODE(IF(Combined[Date]=Mileage[[#This Row],[Date]],Combined[Area '#])),KPIs!$B$4:$C$7,2,FALSE),VLOOKUP(Mileage[[#This Row],[Date]],Combined[[Date]:[Primary Area]],8,FALSE))</f>
        <v>Portland</v>
      </c>
      <c r="W524" s="106">
        <v>0.66319444444444442</v>
      </c>
      <c r="X524" s="12">
        <v>6.62</v>
      </c>
      <c r="Y524" s="4">
        <v>155</v>
      </c>
      <c r="Z52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25" spans="2:26" x14ac:dyDescent="0.35">
      <c r="B525">
        <f t="shared" si="113"/>
        <v>523</v>
      </c>
      <c r="C525" t="s">
        <v>83</v>
      </c>
      <c r="D525" t="s">
        <v>176</v>
      </c>
      <c r="E525">
        <f>IF(WEEKNUM(Combined[[#This Row],[Date]], 1) = 53, 1, WEEKNUM(Combined[[#This Row],[Date]], 2))</f>
        <v>2</v>
      </c>
      <c r="F525" t="str">
        <f t="shared" ref="F525:F527" si="117">TEXT(WEEKDAY(G525,1),"DDDD")</f>
        <v>Thursday</v>
      </c>
      <c r="G525" s="41">
        <v>44931</v>
      </c>
      <c r="H525">
        <v>4</v>
      </c>
      <c r="I525" s="1">
        <v>30.13</v>
      </c>
      <c r="J525" s="2">
        <v>0.11875000000000001</v>
      </c>
      <c r="K525" s="12">
        <f>Combined[[#This Row],[Time Spent]]*24</f>
        <v>2.85</v>
      </c>
      <c r="L525" s="12">
        <f>MROUND(Combined[[#This Row],[Time Spent 2]],0.25)</f>
        <v>2.75</v>
      </c>
      <c r="M525" s="2" t="s">
        <v>91</v>
      </c>
      <c r="N525" t="s">
        <v>85</v>
      </c>
      <c r="O525">
        <f>MATCH(Combined[[#This Row],[Primary Area]],KPIs!$C$4:$C$7,0)</f>
        <v>4</v>
      </c>
      <c r="Q525" s="40">
        <v>45453</v>
      </c>
      <c r="R525" s="40">
        <f t="shared" si="114"/>
        <v>45453</v>
      </c>
      <c r="S525" s="4" t="str">
        <f>TEXT(Mileage[[#This Row],[Date]],"dddd")</f>
        <v>Monday</v>
      </c>
      <c r="T525" s="4" t="s">
        <v>230</v>
      </c>
      <c r="U525" s="4">
        <v>68</v>
      </c>
      <c r="V525" t="str" cm="1">
        <f t="array" ref="V525">IFERROR(VLOOKUP(MODE(IF(Combined[Date]=Mileage[[#This Row],[Date]],Combined[Area '#])),KPIs!$B$4:$C$7,2,FALSE),VLOOKUP(Mileage[[#This Row],[Date]],Combined[[Date]:[Primary Area]],8,FALSE))</f>
        <v>Portland</v>
      </c>
      <c r="W525" s="106">
        <v>0.72916666666666663</v>
      </c>
      <c r="X525" s="12">
        <v>5.16</v>
      </c>
      <c r="Y525" s="4">
        <v>111</v>
      </c>
      <c r="Z5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26" spans="2:26" x14ac:dyDescent="0.35">
      <c r="B526">
        <f t="shared" si="113"/>
        <v>524</v>
      </c>
      <c r="C526" t="s">
        <v>86</v>
      </c>
      <c r="D526" t="s">
        <v>175</v>
      </c>
      <c r="E526">
        <f>IF(WEEKNUM(Combined[[#This Row],[Date]], 1) = 53, 1, WEEKNUM(Combined[[#This Row],[Date]], 2))</f>
        <v>2</v>
      </c>
      <c r="F526" t="str">
        <f t="shared" si="117"/>
        <v>Thursday</v>
      </c>
      <c r="G526" s="41">
        <v>44931</v>
      </c>
      <c r="H526">
        <v>2</v>
      </c>
      <c r="I526" s="1">
        <v>17.82</v>
      </c>
      <c r="J526" s="2">
        <v>4.0972222222222222E-2</v>
      </c>
      <c r="K526" s="12">
        <f>Combined[[#This Row],[Time Spent]]*24</f>
        <v>0.98333333333333339</v>
      </c>
      <c r="L526" s="12">
        <f>MROUND(Combined[[#This Row],[Time Spent 2]],0.25)</f>
        <v>1</v>
      </c>
      <c r="M526" s="2" t="s">
        <v>91</v>
      </c>
      <c r="N526" t="s">
        <v>85</v>
      </c>
      <c r="O526">
        <f>MATCH(Combined[[#This Row],[Primary Area]],KPIs!$C$4:$C$7,0)</f>
        <v>4</v>
      </c>
      <c r="Q526" s="40">
        <v>45454</v>
      </c>
      <c r="R526" s="40">
        <f t="shared" si="114"/>
        <v>45454</v>
      </c>
      <c r="S526" s="4" t="str">
        <f>TEXT(Mileage[[#This Row],[Date]],"dddd")</f>
        <v>Tuesday</v>
      </c>
      <c r="T526" s="4" t="s">
        <v>231</v>
      </c>
      <c r="U526" s="4">
        <v>70</v>
      </c>
      <c r="V526" t="str" cm="1">
        <f t="array" ref="V526">IFERROR(VLOOKUP(MODE(IF(Combined[Date]=Mileage[[#This Row],[Date]],Combined[Area '#])),KPIs!$B$4:$C$7,2,FALSE),VLOOKUP(Mileage[[#This Row],[Date]],Combined[[Date]:[Primary Area]],8,FALSE))</f>
        <v>Brunswick/Bath/Freeport</v>
      </c>
      <c r="W526" s="106">
        <v>0.77083333333333337</v>
      </c>
      <c r="X526" s="12">
        <v>5.12</v>
      </c>
      <c r="Y526" s="4">
        <v>124</v>
      </c>
      <c r="Z52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27" spans="2:26" x14ac:dyDescent="0.35">
      <c r="B527">
        <f t="shared" si="113"/>
        <v>525</v>
      </c>
      <c r="C527" t="s">
        <v>86</v>
      </c>
      <c r="D527" t="s">
        <v>175</v>
      </c>
      <c r="E527">
        <f>IF(WEEKNUM(Combined[[#This Row],[Date]], 1) = 53, 1, WEEKNUM(Combined[[#This Row],[Date]], 2))</f>
        <v>2</v>
      </c>
      <c r="F527" t="str">
        <f t="shared" si="117"/>
        <v>Thursday</v>
      </c>
      <c r="G527" s="41">
        <v>44931</v>
      </c>
      <c r="H527">
        <v>4</v>
      </c>
      <c r="I527" s="1">
        <v>36.03</v>
      </c>
      <c r="J527" s="2">
        <v>8.6111111111111124E-2</v>
      </c>
      <c r="K527" s="12">
        <f>Combined[[#This Row],[Time Spent]]*24</f>
        <v>2.0666666666666669</v>
      </c>
      <c r="L527" s="12">
        <f>MROUND(Combined[[#This Row],[Time Spent 2]],0.25)</f>
        <v>2</v>
      </c>
      <c r="M527" s="2" t="s">
        <v>91</v>
      </c>
      <c r="N527" t="s">
        <v>85</v>
      </c>
      <c r="O527">
        <f>MATCH(Combined[[#This Row],[Primary Area]],KPIs!$C$4:$C$7,0)</f>
        <v>4</v>
      </c>
      <c r="Q527" s="40">
        <v>45455</v>
      </c>
      <c r="R527" s="40">
        <f t="shared" si="114"/>
        <v>45455</v>
      </c>
      <c r="S527" s="4" t="str">
        <f>TEXT(Mileage[[#This Row],[Date]],"dddd")</f>
        <v>Wednesday</v>
      </c>
      <c r="T527" s="4" t="s">
        <v>231</v>
      </c>
      <c r="U527" s="4">
        <v>64</v>
      </c>
      <c r="V527" t="str" cm="1">
        <f t="array" ref="V527">IFERROR(VLOOKUP(MODE(IF(Combined[Date]=Mileage[[#This Row],[Date]],Combined[Area '#])),KPIs!$B$4:$C$7,2,FALSE),VLOOKUP(Mileage[[#This Row],[Date]],Combined[[Date]:[Primary Area]],8,FALSE))</f>
        <v>Brunswick/Bath/Freeport</v>
      </c>
      <c r="W527" s="106">
        <v>0.72222222222222221</v>
      </c>
      <c r="X527" s="12">
        <v>5.72</v>
      </c>
      <c r="Y527" s="4">
        <v>104</v>
      </c>
      <c r="Z52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28" spans="2:26" x14ac:dyDescent="0.35">
      <c r="B528">
        <f t="shared" si="113"/>
        <v>526</v>
      </c>
      <c r="C528" t="s">
        <v>83</v>
      </c>
      <c r="D528" t="s">
        <v>176</v>
      </c>
      <c r="E528">
        <f>IF(WEEKNUM(Combined[[#This Row],[Date]], 1) = 53, 1, WEEKNUM(Combined[[#This Row],[Date]], 2))</f>
        <v>2</v>
      </c>
      <c r="F528" t="str">
        <f t="shared" ref="F528:F529" si="118">TEXT(WEEKDAY(G528,1),"DDDD")</f>
        <v>Sunday</v>
      </c>
      <c r="G528" s="41">
        <v>44934</v>
      </c>
      <c r="H528">
        <v>3</v>
      </c>
      <c r="I528" s="1">
        <v>35.299999999999997</v>
      </c>
      <c r="J528" s="2">
        <v>0.16250000000000001</v>
      </c>
      <c r="K528" s="12">
        <f>Combined[[#This Row],[Time Spent]]*24</f>
        <v>3.9000000000000004</v>
      </c>
      <c r="L528" s="12">
        <f>MROUND(Combined[[#This Row],[Time Spent 2]],0.25)</f>
        <v>4</v>
      </c>
      <c r="M528" s="2" t="s">
        <v>91</v>
      </c>
      <c r="N528" t="s">
        <v>174</v>
      </c>
      <c r="O528">
        <f>MATCH(Combined[[#This Row],[Primary Area]],KPIs!$C$4:$C$7,0)</f>
        <v>1</v>
      </c>
      <c r="Q528" s="40">
        <v>45456</v>
      </c>
      <c r="R528" s="40">
        <f t="shared" si="114"/>
        <v>45456</v>
      </c>
      <c r="S528" s="4" t="str">
        <f>TEXT(Mileage[[#This Row],[Date]],"dddd")</f>
        <v>Thursday</v>
      </c>
      <c r="T528" s="4" t="s">
        <v>230</v>
      </c>
      <c r="U528" s="4">
        <v>73</v>
      </c>
      <c r="V528" t="str" cm="1">
        <f t="array" ref="V528">IFERROR(VLOOKUP(MODE(IF(Combined[Date]=Mileage[[#This Row],[Date]],Combined[Area '#])),KPIs!$B$4:$C$7,2,FALSE),VLOOKUP(Mileage[[#This Row],[Date]],Combined[[Date]:[Primary Area]],8,FALSE))</f>
        <v>Brunswick/Bath/Freeport</v>
      </c>
      <c r="W528" s="106">
        <v>0.70833333333333337</v>
      </c>
      <c r="X528" s="12">
        <v>5.8</v>
      </c>
      <c r="Y528" s="4">
        <v>123</v>
      </c>
      <c r="Z5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29" spans="2:26" x14ac:dyDescent="0.35">
      <c r="B529">
        <f t="shared" si="113"/>
        <v>527</v>
      </c>
      <c r="C529" t="s">
        <v>86</v>
      </c>
      <c r="D529" t="s">
        <v>176</v>
      </c>
      <c r="E529">
        <f>IF(WEEKNUM(Combined[[#This Row],[Date]], 1) = 53, 1, WEEKNUM(Combined[[#This Row],[Date]], 2))</f>
        <v>2</v>
      </c>
      <c r="F529" t="str">
        <f t="shared" si="118"/>
        <v>Sunday</v>
      </c>
      <c r="G529" s="41">
        <v>44934</v>
      </c>
      <c r="H529">
        <v>6</v>
      </c>
      <c r="I529" s="1">
        <v>42</v>
      </c>
      <c r="J529" s="2">
        <v>0.12916666666666668</v>
      </c>
      <c r="K529" s="12">
        <f>Combined[[#This Row],[Time Spent]]*24</f>
        <v>3.1000000000000005</v>
      </c>
      <c r="L529" s="12">
        <f>MROUND(Combined[[#This Row],[Time Spent 2]],0.25)</f>
        <v>3</v>
      </c>
      <c r="M529" s="2" t="s">
        <v>91</v>
      </c>
      <c r="N529" t="s">
        <v>174</v>
      </c>
      <c r="O529">
        <f>MATCH(Combined[[#This Row],[Primary Area]],KPIs!$C$4:$C$7,0)</f>
        <v>1</v>
      </c>
      <c r="Q529" s="40">
        <v>45457</v>
      </c>
      <c r="R529" s="40">
        <f t="shared" si="114"/>
        <v>45457</v>
      </c>
      <c r="S529" s="4" t="str">
        <f>TEXT(Mileage[[#This Row],[Date]],"dddd")</f>
        <v>Friday</v>
      </c>
      <c r="T529" s="4" t="s">
        <v>245</v>
      </c>
      <c r="U529" s="4">
        <v>79</v>
      </c>
      <c r="V529" t="str" cm="1">
        <f t="array" ref="V529">IFERROR(VLOOKUP(MODE(IF(Combined[Date]=Mileage[[#This Row],[Date]],Combined[Area '#])),KPIs!$B$4:$C$7,2,FALSE),VLOOKUP(Mileage[[#This Row],[Date]],Combined[[Date]:[Primary Area]],8,FALSE))</f>
        <v>Brunswick/Bath/Freeport</v>
      </c>
      <c r="W529" s="106">
        <v>0.73263888888888884</v>
      </c>
      <c r="X529" s="12">
        <v>7.62</v>
      </c>
      <c r="Y529" s="4">
        <v>185</v>
      </c>
      <c r="Z5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0" spans="2:26" x14ac:dyDescent="0.35">
      <c r="B530">
        <f t="shared" si="113"/>
        <v>528</v>
      </c>
      <c r="C530" t="s">
        <v>83</v>
      </c>
      <c r="D530" t="s">
        <v>176</v>
      </c>
      <c r="E530">
        <f>IF(WEEKNUM(Combined[[#This Row],[Date]], 1) = 53, 1, WEEKNUM(Combined[[#This Row],[Date]], 2))</f>
        <v>3</v>
      </c>
      <c r="F530" t="str">
        <f t="shared" ref="F530:F533" si="119">TEXT(WEEKDAY(G530,1),"DDDD")</f>
        <v>Monday</v>
      </c>
      <c r="G530" s="41">
        <v>44935</v>
      </c>
      <c r="H530">
        <v>4</v>
      </c>
      <c r="I530" s="1">
        <v>33.200000000000003</v>
      </c>
      <c r="J530" s="2">
        <v>0.1277777777777778</v>
      </c>
      <c r="K530" s="12">
        <f>Combined[[#This Row],[Time Spent]]*24</f>
        <v>3.0666666666666673</v>
      </c>
      <c r="L530" s="12">
        <f>MROUND(Combined[[#This Row],[Time Spent 2]],0.25)</f>
        <v>3</v>
      </c>
      <c r="M530" s="2" t="s">
        <v>91</v>
      </c>
      <c r="N530" t="s">
        <v>82</v>
      </c>
      <c r="O530">
        <f>MATCH(Combined[[#This Row],[Primary Area]],KPIs!$C$4:$C$7,0)</f>
        <v>3</v>
      </c>
      <c r="Q530" s="40">
        <v>45458</v>
      </c>
      <c r="R530" s="40">
        <f t="shared" si="114"/>
        <v>45458</v>
      </c>
      <c r="S530" s="4" t="str">
        <f>TEXT(Mileage[[#This Row],[Date]],"dddd")</f>
        <v>Saturday</v>
      </c>
      <c r="T530" s="4" t="s">
        <v>230</v>
      </c>
      <c r="U530" s="4">
        <v>66</v>
      </c>
      <c r="V530" t="str" cm="1">
        <f t="array" ref="V530">IFERROR(VLOOKUP(MODE(IF(Combined[Date]=Mileage[[#This Row],[Date]],Combined[Area '#])),KPIs!$B$4:$C$7,2,FALSE),VLOOKUP(Mileage[[#This Row],[Date]],Combined[[Date]:[Primary Area]],8,FALSE))</f>
        <v>Brunswick/Bath/Freeport</v>
      </c>
      <c r="W530" s="106">
        <v>0.69444444444444442</v>
      </c>
      <c r="X530" s="12">
        <v>5.93</v>
      </c>
      <c r="Y530" s="4">
        <v>174</v>
      </c>
      <c r="Z53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1" spans="2:26" x14ac:dyDescent="0.35">
      <c r="B531">
        <f t="shared" si="113"/>
        <v>529</v>
      </c>
      <c r="C531" t="s">
        <v>86</v>
      </c>
      <c r="D531" t="s">
        <v>176</v>
      </c>
      <c r="E531">
        <f>IF(WEEKNUM(Combined[[#This Row],[Date]], 1) = 53, 1, WEEKNUM(Combined[[#This Row],[Date]], 2))</f>
        <v>3</v>
      </c>
      <c r="F531" t="str">
        <f t="shared" si="119"/>
        <v>Monday</v>
      </c>
      <c r="G531" s="41">
        <v>44935</v>
      </c>
      <c r="H531">
        <v>5</v>
      </c>
      <c r="I531" s="1">
        <v>53.27</v>
      </c>
      <c r="J531" s="2">
        <v>0.18541666666666667</v>
      </c>
      <c r="K531" s="12">
        <f>Combined[[#This Row],[Time Spent]]*24</f>
        <v>4.45</v>
      </c>
      <c r="L531" s="12">
        <f>MROUND(Combined[[#This Row],[Time Spent 2]],0.25)</f>
        <v>4.5</v>
      </c>
      <c r="M531" s="2" t="s">
        <v>91</v>
      </c>
      <c r="N531" t="s">
        <v>82</v>
      </c>
      <c r="O531">
        <f>MATCH(Combined[[#This Row],[Primary Area]],KPIs!$C$4:$C$7,0)</f>
        <v>3</v>
      </c>
      <c r="Q531" s="40">
        <v>45460</v>
      </c>
      <c r="R531" s="40">
        <f t="shared" si="114"/>
        <v>45460</v>
      </c>
      <c r="S531" s="4" t="str">
        <f>TEXT(Mileage[[#This Row],[Date]],"dddd")</f>
        <v>Monday</v>
      </c>
      <c r="T531" s="4" t="s">
        <v>249</v>
      </c>
      <c r="U531" s="4">
        <v>66</v>
      </c>
      <c r="V531" t="str" cm="1">
        <f t="array" ref="V531">IFERROR(VLOOKUP(MODE(IF(Combined[Date]=Mileage[[#This Row],[Date]],Combined[Area '#])),KPIs!$B$4:$C$7,2,FALSE),VLOOKUP(Mileage[[#This Row],[Date]],Combined[[Date]:[Primary Area]],8,FALSE))</f>
        <v>Portland</v>
      </c>
      <c r="W531" s="106">
        <v>0.73958333333333337</v>
      </c>
      <c r="X531" s="12">
        <v>5.38</v>
      </c>
      <c r="Y531" s="4">
        <v>104</v>
      </c>
      <c r="Z53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32" spans="2:26" x14ac:dyDescent="0.35">
      <c r="B532">
        <f t="shared" si="113"/>
        <v>530</v>
      </c>
      <c r="C532" t="s">
        <v>86</v>
      </c>
      <c r="D532" t="s">
        <v>176</v>
      </c>
      <c r="E532">
        <f>IF(WEEKNUM(Combined[[#This Row],[Date]], 1) = 53, 1, WEEKNUM(Combined[[#This Row],[Date]], 2))</f>
        <v>3</v>
      </c>
      <c r="F532" t="str">
        <f t="shared" si="119"/>
        <v>Monday</v>
      </c>
      <c r="G532" s="41">
        <v>44935</v>
      </c>
      <c r="H532">
        <v>1</v>
      </c>
      <c r="I532" s="1">
        <v>8.25</v>
      </c>
      <c r="J532" s="2">
        <v>2.2916666666666669E-2</v>
      </c>
      <c r="K532" s="12">
        <f>Combined[[#This Row],[Time Spent]]*24</f>
        <v>0.55000000000000004</v>
      </c>
      <c r="L532" s="12">
        <f>MROUND(Combined[[#This Row],[Time Spent 2]],0.25)</f>
        <v>0.5</v>
      </c>
      <c r="M532" s="2" t="s">
        <v>92</v>
      </c>
      <c r="N532" t="s">
        <v>82</v>
      </c>
      <c r="O532">
        <f>MATCH(Combined[[#This Row],[Primary Area]],KPIs!$C$4:$C$7,0)</f>
        <v>3</v>
      </c>
      <c r="Q532" s="40">
        <v>45461</v>
      </c>
      <c r="R532" s="40">
        <f t="shared" si="114"/>
        <v>45461</v>
      </c>
      <c r="S532" s="4" t="str">
        <f>TEXT(Mileage[[#This Row],[Date]],"dddd")</f>
        <v>Tuesday</v>
      </c>
      <c r="T532" s="4" t="s">
        <v>230</v>
      </c>
      <c r="U532" s="4">
        <v>84</v>
      </c>
      <c r="V532" t="str" cm="1">
        <f t="array" ref="V532">IFERROR(VLOOKUP(MODE(IF(Combined[Date]=Mileage[[#This Row],[Date]],Combined[Area '#])),KPIs!$B$4:$C$7,2,FALSE),VLOOKUP(Mileage[[#This Row],[Date]],Combined[[Date]:[Primary Area]],8,FALSE))</f>
        <v>Brunswick/Bath/Freeport</v>
      </c>
      <c r="W532" s="106">
        <v>0.72916666666666663</v>
      </c>
      <c r="X532" s="12">
        <v>5.28</v>
      </c>
      <c r="Y532" s="4">
        <v>122</v>
      </c>
      <c r="Z5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3" spans="2:26" x14ac:dyDescent="0.35">
      <c r="B533">
        <f t="shared" si="113"/>
        <v>531</v>
      </c>
      <c r="C533" t="s">
        <v>86</v>
      </c>
      <c r="D533" t="s">
        <v>176</v>
      </c>
      <c r="E533">
        <f>IF(WEEKNUM(Combined[[#This Row],[Date]], 1) = 53, 1, WEEKNUM(Combined[[#This Row],[Date]], 2))</f>
        <v>3</v>
      </c>
      <c r="F533" t="str">
        <f t="shared" si="119"/>
        <v>Monday</v>
      </c>
      <c r="G533" s="41">
        <v>44935</v>
      </c>
      <c r="H533">
        <v>1</v>
      </c>
      <c r="I533" s="1">
        <v>10</v>
      </c>
      <c r="J533" s="2">
        <v>3.5416666666666666E-2</v>
      </c>
      <c r="K533" s="12">
        <f>Combined[[#This Row],[Time Spent]]*24</f>
        <v>0.85</v>
      </c>
      <c r="L533" s="12">
        <f>MROUND(Combined[[#This Row],[Time Spent 2]],0.25)</f>
        <v>0.75</v>
      </c>
      <c r="M533" s="2" t="s">
        <v>92</v>
      </c>
      <c r="N533" t="s">
        <v>82</v>
      </c>
      <c r="O533">
        <f>MATCH(Combined[[#This Row],[Primary Area]],KPIs!$C$4:$C$7,0)</f>
        <v>3</v>
      </c>
      <c r="Q533" s="40">
        <v>45462</v>
      </c>
      <c r="R533" s="40">
        <f t="shared" si="114"/>
        <v>45462</v>
      </c>
      <c r="S533" s="4" t="str">
        <f>TEXT(Mileage[[#This Row],[Date]],"dddd")</f>
        <v>Wednesday</v>
      </c>
      <c r="T533" s="4" t="s">
        <v>230</v>
      </c>
      <c r="U533" s="4">
        <v>82</v>
      </c>
      <c r="V533" t="str" cm="1">
        <f t="array" ref="V533">IFERROR(VLOOKUP(MODE(IF(Combined[Date]=Mileage[[#This Row],[Date]],Combined[Area '#])),KPIs!$B$4:$C$7,2,FALSE),VLOOKUP(Mileage[[#This Row],[Date]],Combined[[Date]:[Primary Area]],8,FALSE))</f>
        <v>Brunswick/Bath/Freeport</v>
      </c>
      <c r="W533" s="106">
        <v>0.73611111111111116</v>
      </c>
      <c r="X533" s="12">
        <v>5.85</v>
      </c>
      <c r="Y533" s="4">
        <v>122</v>
      </c>
      <c r="Z5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4" spans="2:26" x14ac:dyDescent="0.35">
      <c r="B534">
        <f t="shared" si="113"/>
        <v>532</v>
      </c>
      <c r="C534" t="s">
        <v>83</v>
      </c>
      <c r="D534" t="s">
        <v>176</v>
      </c>
      <c r="E534">
        <f>IF(WEEKNUM(Combined[[#This Row],[Date]], 1) = 53, 1, WEEKNUM(Combined[[#This Row],[Date]], 2))</f>
        <v>3</v>
      </c>
      <c r="F534" t="str">
        <f t="shared" ref="F534:F541" si="120">TEXT(WEEKDAY(G534,1),"DDDD")</f>
        <v>Tuesday</v>
      </c>
      <c r="G534" s="41">
        <v>44936</v>
      </c>
      <c r="H534">
        <v>6</v>
      </c>
      <c r="I534" s="1">
        <v>65.650000000000006</v>
      </c>
      <c r="J534" s="2">
        <v>0.18958333333333333</v>
      </c>
      <c r="K534" s="12">
        <f>Combined[[#This Row],[Time Spent]]*24</f>
        <v>4.55</v>
      </c>
      <c r="L534" s="12">
        <f>MROUND(Combined[[#This Row],[Time Spent 2]],0.25)</f>
        <v>4.5</v>
      </c>
      <c r="M534" s="2" t="s">
        <v>91</v>
      </c>
      <c r="N534" t="s">
        <v>174</v>
      </c>
      <c r="O534">
        <f>MATCH(Combined[[#This Row],[Primary Area]],KPIs!$C$4:$C$7,0)</f>
        <v>1</v>
      </c>
      <c r="Q534" s="40">
        <v>45463</v>
      </c>
      <c r="R534" s="40">
        <f t="shared" si="114"/>
        <v>45463</v>
      </c>
      <c r="S534" s="4" t="str">
        <f>TEXT(Mileage[[#This Row],[Date]],"dddd")</f>
        <v>Thursday</v>
      </c>
      <c r="T534" s="4" t="s">
        <v>245</v>
      </c>
      <c r="U534" s="4">
        <v>82</v>
      </c>
      <c r="V534" t="str" cm="1">
        <f t="array" ref="V534">IFERROR(VLOOKUP(MODE(IF(Combined[Date]=Mileage[[#This Row],[Date]],Combined[Area '#])),KPIs!$B$4:$C$7,2,FALSE),VLOOKUP(Mileage[[#This Row],[Date]],Combined[[Date]:[Primary Area]],8,FALSE))</f>
        <v>Brunswick/Bath/Freeport</v>
      </c>
      <c r="W534" s="106">
        <v>0.70833333333333337</v>
      </c>
      <c r="X534" s="12">
        <v>5.55</v>
      </c>
      <c r="Y534" s="4">
        <v>102</v>
      </c>
      <c r="Z5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5" spans="2:26" x14ac:dyDescent="0.35">
      <c r="B535">
        <f t="shared" si="113"/>
        <v>533</v>
      </c>
      <c r="C535" t="s">
        <v>86</v>
      </c>
      <c r="D535" t="s">
        <v>176</v>
      </c>
      <c r="E535">
        <f>IF(WEEKNUM(Combined[[#This Row],[Date]], 1) = 53, 1, WEEKNUM(Combined[[#This Row],[Date]], 2))</f>
        <v>3</v>
      </c>
      <c r="F535" t="str">
        <f t="shared" si="120"/>
        <v>Tuesday</v>
      </c>
      <c r="G535" s="41">
        <v>44936</v>
      </c>
      <c r="H535">
        <v>1</v>
      </c>
      <c r="I535" s="1">
        <v>7</v>
      </c>
      <c r="J535" s="2">
        <v>1.8055555555555557E-2</v>
      </c>
      <c r="K535" s="12">
        <f>Combined[[#This Row],[Time Spent]]*24</f>
        <v>0.43333333333333335</v>
      </c>
      <c r="L535" s="12">
        <f>MROUND(Combined[[#This Row],[Time Spent 2]],0.25)</f>
        <v>0.5</v>
      </c>
      <c r="M535" s="2" t="s">
        <v>91</v>
      </c>
      <c r="N535" t="s">
        <v>174</v>
      </c>
      <c r="O535">
        <f>MATCH(Combined[[#This Row],[Primary Area]],KPIs!$C$4:$C$7,0)</f>
        <v>1</v>
      </c>
      <c r="Q535" s="40">
        <v>45464</v>
      </c>
      <c r="R535" s="40">
        <f t="shared" si="114"/>
        <v>45464</v>
      </c>
      <c r="S535" s="4" t="str">
        <f>TEXT(Mileage[[#This Row],[Date]],"dddd")</f>
        <v>Friday</v>
      </c>
      <c r="T535" s="4" t="s">
        <v>231</v>
      </c>
      <c r="U535" s="4">
        <v>75</v>
      </c>
      <c r="V535" t="str" cm="1">
        <f t="array" ref="V535">IFERROR(VLOOKUP(MODE(IF(Combined[Date]=Mileage[[#This Row],[Date]],Combined[Area '#])),KPIs!$B$4:$C$7,2,FALSE),VLOOKUP(Mileage[[#This Row],[Date]],Combined[[Date]:[Primary Area]],8,FALSE))</f>
        <v>Brunswick/Bath/Freeport</v>
      </c>
      <c r="W535" s="106">
        <v>0.71180555555555558</v>
      </c>
      <c r="X535" s="12">
        <v>4.7699999999999996</v>
      </c>
      <c r="Y535" s="4">
        <v>117</v>
      </c>
      <c r="Z5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36" spans="2:26" x14ac:dyDescent="0.35">
      <c r="B536">
        <f t="shared" si="113"/>
        <v>534</v>
      </c>
      <c r="C536" t="s">
        <v>86</v>
      </c>
      <c r="D536" t="s">
        <v>176</v>
      </c>
      <c r="E536">
        <f>IF(WEEKNUM(Combined[[#This Row],[Date]], 1) = 53, 1, WEEKNUM(Combined[[#This Row],[Date]], 2))</f>
        <v>3</v>
      </c>
      <c r="F536" t="str">
        <f t="shared" si="120"/>
        <v>Tuesday</v>
      </c>
      <c r="G536" s="41">
        <v>44936</v>
      </c>
      <c r="H536">
        <v>1</v>
      </c>
      <c r="I536" s="1">
        <v>8.5</v>
      </c>
      <c r="J536" s="2">
        <v>3.888888888888889E-2</v>
      </c>
      <c r="K536" s="12">
        <f>Combined[[#This Row],[Time Spent]]*24</f>
        <v>0.93333333333333335</v>
      </c>
      <c r="L536" s="12">
        <f>MROUND(Combined[[#This Row],[Time Spent 2]],0.25)</f>
        <v>1</v>
      </c>
      <c r="M536" s="2" t="s">
        <v>91</v>
      </c>
      <c r="N536" t="s">
        <v>174</v>
      </c>
      <c r="O536">
        <f>MATCH(Combined[[#This Row],[Primary Area]],KPIs!$C$4:$C$7,0)</f>
        <v>1</v>
      </c>
      <c r="Q536" s="40">
        <v>45466</v>
      </c>
      <c r="R536" s="40">
        <f t="shared" si="114"/>
        <v>45466</v>
      </c>
      <c r="S536" s="4" t="str">
        <f>TEXT(Mileage[[#This Row],[Date]],"dddd")</f>
        <v>Sunday</v>
      </c>
      <c r="T536" s="4" t="s">
        <v>249</v>
      </c>
      <c r="U536" s="4">
        <v>79</v>
      </c>
      <c r="V536" t="str" cm="1">
        <f t="array" ref="V536">IFERROR(VLOOKUP(MODE(IF(Combined[Date]=Mileage[[#This Row],[Date]],Combined[Area '#])),KPIs!$B$4:$C$7,2,FALSE),VLOOKUP(Mileage[[#This Row],[Date]],Combined[[Date]:[Primary Area]],8,FALSE))</f>
        <v>Portland</v>
      </c>
      <c r="W536" s="106">
        <v>0.58680555555555558</v>
      </c>
      <c r="X536" s="12">
        <v>5.18</v>
      </c>
      <c r="Y536" s="4">
        <v>95</v>
      </c>
      <c r="Z53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37" spans="2:26" x14ac:dyDescent="0.35">
      <c r="B537">
        <f t="shared" si="113"/>
        <v>535</v>
      </c>
      <c r="C537" t="s">
        <v>86</v>
      </c>
      <c r="D537" t="s">
        <v>176</v>
      </c>
      <c r="E537">
        <f>IF(WEEKNUM(Combined[[#This Row],[Date]], 1) = 53, 1, WEEKNUM(Combined[[#This Row],[Date]], 2))</f>
        <v>3</v>
      </c>
      <c r="F537" t="str">
        <f t="shared" si="120"/>
        <v>Tuesday</v>
      </c>
      <c r="G537" s="41">
        <v>44936</v>
      </c>
      <c r="H537">
        <v>1</v>
      </c>
      <c r="I537" s="1">
        <v>11.5</v>
      </c>
      <c r="J537" s="2">
        <v>5.0694444444444452E-2</v>
      </c>
      <c r="K537" s="12">
        <f>Combined[[#This Row],[Time Spent]]*24</f>
        <v>1.2166666666666668</v>
      </c>
      <c r="L537" s="12">
        <f>MROUND(Combined[[#This Row],[Time Spent 2]],0.25)</f>
        <v>1.25</v>
      </c>
      <c r="M537" s="2" t="s">
        <v>92</v>
      </c>
      <c r="N537" t="s">
        <v>174</v>
      </c>
      <c r="O537">
        <f>MATCH(Combined[[#This Row],[Primary Area]],KPIs!$C$4:$C$7,0)</f>
        <v>1</v>
      </c>
      <c r="Q537" s="40">
        <v>45474</v>
      </c>
      <c r="R537" s="40">
        <f t="shared" si="114"/>
        <v>45474</v>
      </c>
      <c r="S537" s="4" t="str">
        <f>TEXT(Mileage[[#This Row],[Date]],"dddd")</f>
        <v>Monday</v>
      </c>
      <c r="T537" s="4" t="s">
        <v>281</v>
      </c>
      <c r="U537" s="4">
        <v>79</v>
      </c>
      <c r="V537" t="str" cm="1">
        <f t="array" ref="V537">IFERROR(VLOOKUP(MODE(IF(Combined[Date]=Mileage[[#This Row],[Date]],Combined[Area '#])),KPIs!$B$4:$C$7,2,FALSE),VLOOKUP(Mileage[[#This Row],[Date]],Combined[[Date]:[Primary Area]],8,FALSE))</f>
        <v>Lewiston</v>
      </c>
      <c r="W537" s="106">
        <v>0.75347222222222221</v>
      </c>
      <c r="X537" s="12">
        <v>5.0199999999999996</v>
      </c>
      <c r="Y537" s="4">
        <v>92</v>
      </c>
      <c r="Z53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38" spans="2:26" x14ac:dyDescent="0.35">
      <c r="B538">
        <f t="shared" si="113"/>
        <v>536</v>
      </c>
      <c r="C538" t="s">
        <v>86</v>
      </c>
      <c r="D538" t="s">
        <v>176</v>
      </c>
      <c r="E538">
        <f>IF(WEEKNUM(Combined[[#This Row],[Date]], 1) = 53, 1, WEEKNUM(Combined[[#This Row],[Date]], 2))</f>
        <v>3</v>
      </c>
      <c r="F538" t="str">
        <f t="shared" si="120"/>
        <v>Wednesday</v>
      </c>
      <c r="G538" s="41">
        <v>44937</v>
      </c>
      <c r="H538">
        <v>1</v>
      </c>
      <c r="I538" s="1">
        <v>7.5</v>
      </c>
      <c r="J538" s="2">
        <v>9.4444444444444442E-2</v>
      </c>
      <c r="K538" s="12">
        <f>Combined[[#This Row],[Time Spent]]*24</f>
        <v>2.2666666666666666</v>
      </c>
      <c r="L538" s="12">
        <f>MROUND(Combined[[#This Row],[Time Spent 2]],0.25)</f>
        <v>2.25</v>
      </c>
      <c r="M538" s="2" t="s">
        <v>91</v>
      </c>
      <c r="N538" t="s">
        <v>82</v>
      </c>
      <c r="O538">
        <f>MATCH(Combined[[#This Row],[Primary Area]],KPIs!$C$4:$C$7,0)</f>
        <v>3</v>
      </c>
      <c r="Q538" s="40">
        <v>45475</v>
      </c>
      <c r="R538" s="40">
        <f t="shared" si="114"/>
        <v>45475</v>
      </c>
      <c r="S538" s="4" t="str">
        <f>TEXT(Mileage[[#This Row],[Date]],"dddd")</f>
        <v>Tuesday</v>
      </c>
      <c r="T538" s="4" t="s">
        <v>230</v>
      </c>
      <c r="U538" s="4">
        <v>77</v>
      </c>
      <c r="V538" t="str" cm="1">
        <f t="array" ref="V538">IFERROR(VLOOKUP(MODE(IF(Combined[Date]=Mileage[[#This Row],[Date]],Combined[Area '#])),KPIs!$B$4:$C$7,2,FALSE),VLOOKUP(Mileage[[#This Row],[Date]],Combined[[Date]:[Primary Area]],8,FALSE))</f>
        <v>Portland</v>
      </c>
      <c r="W538" s="106">
        <v>0.73611111111111116</v>
      </c>
      <c r="X538" s="12">
        <v>5.48</v>
      </c>
      <c r="Y538" s="4">
        <v>104</v>
      </c>
      <c r="Z53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39" spans="2:26" x14ac:dyDescent="0.35">
      <c r="B539">
        <f t="shared" si="113"/>
        <v>537</v>
      </c>
      <c r="C539" t="s">
        <v>83</v>
      </c>
      <c r="D539" t="s">
        <v>176</v>
      </c>
      <c r="E539">
        <f>IF(WEEKNUM(Combined[[#This Row],[Date]], 1) = 53, 1, WEEKNUM(Combined[[#This Row],[Date]], 2))</f>
        <v>3</v>
      </c>
      <c r="F539" t="str">
        <f t="shared" si="120"/>
        <v>Thursday</v>
      </c>
      <c r="G539" s="41">
        <v>44938</v>
      </c>
      <c r="H539">
        <v>4</v>
      </c>
      <c r="I539" s="1">
        <v>45.88</v>
      </c>
      <c r="J539" s="2">
        <v>0.18888888888888888</v>
      </c>
      <c r="K539" s="12">
        <f>Combined[[#This Row],[Time Spent]]*24</f>
        <v>4.5333333333333332</v>
      </c>
      <c r="L539" s="12">
        <f>MROUND(Combined[[#This Row],[Time Spent 2]],0.25)</f>
        <v>4.5</v>
      </c>
      <c r="M539" s="2" t="s">
        <v>91</v>
      </c>
      <c r="N539" t="s">
        <v>174</v>
      </c>
      <c r="O539">
        <f>MATCH(Combined[[#This Row],[Primary Area]],KPIs!$C$4:$C$7,0)</f>
        <v>1</v>
      </c>
      <c r="Q539" s="40">
        <v>45476</v>
      </c>
      <c r="R539" s="40">
        <f t="shared" si="114"/>
        <v>45476</v>
      </c>
      <c r="S539" s="4" t="str">
        <f>TEXT(Mileage[[#This Row],[Date]],"dddd")</f>
        <v>Wednesday</v>
      </c>
      <c r="T539" s="4" t="s">
        <v>230</v>
      </c>
      <c r="U539" s="4">
        <v>75</v>
      </c>
      <c r="V539" t="str" cm="1">
        <f t="array" ref="V539">IFERROR(VLOOKUP(MODE(IF(Combined[Date]=Mileage[[#This Row],[Date]],Combined[Area '#])),KPIs!$B$4:$C$7,2,FALSE),VLOOKUP(Mileage[[#This Row],[Date]],Combined[[Date]:[Primary Area]],8,FALSE))</f>
        <v>Brunswick/Bath/Freeport</v>
      </c>
      <c r="W539" s="106">
        <v>0.73611111111111116</v>
      </c>
      <c r="X539" s="12">
        <v>5.3</v>
      </c>
      <c r="Y539" s="4">
        <v>109</v>
      </c>
      <c r="Z53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40" spans="2:26" x14ac:dyDescent="0.35">
      <c r="B540">
        <f t="shared" si="113"/>
        <v>538</v>
      </c>
      <c r="C540" t="s">
        <v>86</v>
      </c>
      <c r="D540" t="s">
        <v>176</v>
      </c>
      <c r="E540">
        <f>IF(WEEKNUM(Combined[[#This Row],[Date]], 1) = 53, 1, WEEKNUM(Combined[[#This Row],[Date]], 2))</f>
        <v>3</v>
      </c>
      <c r="F540" t="str">
        <f t="shared" si="120"/>
        <v>Thursday</v>
      </c>
      <c r="G540" s="41">
        <v>44938</v>
      </c>
      <c r="H540">
        <v>2</v>
      </c>
      <c r="I540" s="1">
        <v>11.89</v>
      </c>
      <c r="J540" s="2">
        <v>2.361111111111111E-2</v>
      </c>
      <c r="K540" s="12">
        <f>Combined[[#This Row],[Time Spent]]*24</f>
        <v>0.56666666666666665</v>
      </c>
      <c r="L540" s="12">
        <f>MROUND(Combined[[#This Row],[Time Spent 2]],0.25)</f>
        <v>0.5</v>
      </c>
      <c r="M540" s="2" t="s">
        <v>91</v>
      </c>
      <c r="N540" t="s">
        <v>174</v>
      </c>
      <c r="O540">
        <f>MATCH(Combined[[#This Row],[Primary Area]],KPIs!$C$4:$C$7,0)</f>
        <v>1</v>
      </c>
      <c r="Q540" s="40">
        <v>45477</v>
      </c>
      <c r="R540" s="40">
        <f t="shared" si="114"/>
        <v>45477</v>
      </c>
      <c r="S540" s="4" t="str">
        <f>TEXT(Mileage[[#This Row],[Date]],"dddd")</f>
        <v>Thursday</v>
      </c>
      <c r="T540" s="4" t="s">
        <v>230</v>
      </c>
      <c r="U540" s="4">
        <v>68</v>
      </c>
      <c r="V540" t="str" cm="1">
        <f t="array" ref="V540">IFERROR(VLOOKUP(MODE(IF(Combined[Date]=Mileage[[#This Row],[Date]],Combined[Area '#])),KPIs!$B$4:$C$7,2,FALSE),VLOOKUP(Mileage[[#This Row],[Date]],Combined[[Date]:[Primary Area]],8,FALSE))</f>
        <v>Portland</v>
      </c>
      <c r="W540" s="106">
        <v>0.69097222222222221</v>
      </c>
      <c r="X540" s="12">
        <v>5.98</v>
      </c>
      <c r="Y540" s="4">
        <v>131</v>
      </c>
      <c r="Z54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1" spans="2:26" x14ac:dyDescent="0.35">
      <c r="B541">
        <f t="shared" si="113"/>
        <v>539</v>
      </c>
      <c r="C541" t="s">
        <v>86</v>
      </c>
      <c r="D541" t="s">
        <v>176</v>
      </c>
      <c r="E541">
        <f>IF(WEEKNUM(Combined[[#This Row],[Date]], 1) = 53, 1, WEEKNUM(Combined[[#This Row],[Date]], 2))</f>
        <v>3</v>
      </c>
      <c r="F541" t="str">
        <f t="shared" si="120"/>
        <v>Thursday</v>
      </c>
      <c r="G541" s="41">
        <v>44938</v>
      </c>
      <c r="H541">
        <v>2</v>
      </c>
      <c r="I541" s="1">
        <f>9+12.25</f>
        <v>21.25</v>
      </c>
      <c r="J541" s="2">
        <v>9.4444444444444442E-2</v>
      </c>
      <c r="K541" s="12">
        <f>Combined[[#This Row],[Time Spent]]*24</f>
        <v>2.2666666666666666</v>
      </c>
      <c r="L541" s="12">
        <f>MROUND(Combined[[#This Row],[Time Spent 2]],0.25)</f>
        <v>2.25</v>
      </c>
      <c r="M541" s="2" t="s">
        <v>92</v>
      </c>
      <c r="N541" t="s">
        <v>174</v>
      </c>
      <c r="O541">
        <f>MATCH(Combined[[#This Row],[Primary Area]],KPIs!$C$4:$C$7,0)</f>
        <v>1</v>
      </c>
      <c r="Q541" s="40">
        <v>45482</v>
      </c>
      <c r="R541" s="40">
        <f t="shared" si="114"/>
        <v>45482</v>
      </c>
      <c r="S541" s="4" t="str">
        <f>TEXT(Mileage[[#This Row],[Date]],"dddd")</f>
        <v>Tuesday</v>
      </c>
      <c r="T541" s="4" t="s">
        <v>230</v>
      </c>
      <c r="U541" s="4">
        <v>79</v>
      </c>
      <c r="V541" t="str" cm="1">
        <f t="array" ref="V541">IFERROR(VLOOKUP(MODE(IF(Combined[Date]=Mileage[[#This Row],[Date]],Combined[Area '#])),KPIs!$B$4:$C$7,2,FALSE),VLOOKUP(Mileage[[#This Row],[Date]],Combined[[Date]:[Primary Area]],8,FALSE))</f>
        <v>Portland</v>
      </c>
      <c r="W541" s="106">
        <v>0.72569444444444442</v>
      </c>
      <c r="X541" s="12">
        <v>2.2799999999999998</v>
      </c>
      <c r="Y541" s="4">
        <v>62</v>
      </c>
      <c r="Z54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42" spans="2:26" x14ac:dyDescent="0.35">
      <c r="B542">
        <f t="shared" si="113"/>
        <v>540</v>
      </c>
      <c r="C542" t="s">
        <v>83</v>
      </c>
      <c r="D542" t="s">
        <v>176</v>
      </c>
      <c r="E542">
        <f>IF(WEEKNUM(Combined[[#This Row],[Date]], 1) = 53, 1, WEEKNUM(Combined[[#This Row],[Date]], 2))</f>
        <v>3</v>
      </c>
      <c r="F542" t="str">
        <f t="shared" ref="F542:F543" si="121">TEXT(WEEKDAY(G542,1),"DDDD")</f>
        <v>Friday</v>
      </c>
      <c r="G542" s="41">
        <v>44939</v>
      </c>
      <c r="H542">
        <v>10</v>
      </c>
      <c r="I542" s="1">
        <v>113.57</v>
      </c>
      <c r="J542" s="2">
        <v>0.24374999999999999</v>
      </c>
      <c r="K542" s="12">
        <f>Combined[[#This Row],[Time Spent]]*24</f>
        <v>5.85</v>
      </c>
      <c r="L542" s="12">
        <f>MROUND(Combined[[#This Row],[Time Spent 2]],0.25)</f>
        <v>5.75</v>
      </c>
      <c r="M542" s="2" t="s">
        <v>91</v>
      </c>
      <c r="N542" t="s">
        <v>82</v>
      </c>
      <c r="O542">
        <f>MATCH(Combined[[#This Row],[Primary Area]],KPIs!$C$4:$C$7,0)</f>
        <v>3</v>
      </c>
      <c r="Q542" s="40">
        <v>45484</v>
      </c>
      <c r="R542" s="40">
        <f t="shared" si="114"/>
        <v>45484</v>
      </c>
      <c r="S542" s="4" t="str">
        <f>TEXT(Mileage[[#This Row],[Date]],"dddd")</f>
        <v>Thursday</v>
      </c>
      <c r="T542" s="4" t="s">
        <v>249</v>
      </c>
      <c r="U542" s="4">
        <v>81</v>
      </c>
      <c r="V542" t="str" cm="1">
        <f t="array" ref="V542">IFERROR(VLOOKUP(MODE(IF(Combined[Date]=Mileage[[#This Row],[Date]],Combined[Area '#])),KPIs!$B$4:$C$7,2,FALSE),VLOOKUP(Mileage[[#This Row],[Date]],Combined[[Date]:[Primary Area]],8,FALSE))</f>
        <v>Brunswick/Bath/Freeport</v>
      </c>
      <c r="W542" s="106">
        <v>0.75694444444444442</v>
      </c>
      <c r="X542" s="12">
        <v>0.6</v>
      </c>
      <c r="Y542" s="4">
        <v>19</v>
      </c>
      <c r="Z54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3" spans="2:26" x14ac:dyDescent="0.35">
      <c r="B543">
        <f t="shared" si="113"/>
        <v>541</v>
      </c>
      <c r="C543" t="s">
        <v>86</v>
      </c>
      <c r="D543" t="s">
        <v>176</v>
      </c>
      <c r="E543">
        <f>IF(WEEKNUM(Combined[[#This Row],[Date]], 1) = 53, 1, WEEKNUM(Combined[[#This Row],[Date]], 2))</f>
        <v>3</v>
      </c>
      <c r="F543" t="str">
        <f t="shared" si="121"/>
        <v>Friday</v>
      </c>
      <c r="G543" s="41">
        <v>44939</v>
      </c>
      <c r="H543">
        <v>11</v>
      </c>
      <c r="I543" s="1">
        <v>94.5</v>
      </c>
      <c r="J543" s="2">
        <v>0.21180555555555555</v>
      </c>
      <c r="K543" s="12">
        <f>Combined[[#This Row],[Time Spent]]*24</f>
        <v>5.083333333333333</v>
      </c>
      <c r="L543" s="12">
        <f>MROUND(Combined[[#This Row],[Time Spent 2]],0.25)</f>
        <v>5</v>
      </c>
      <c r="M543" s="2" t="s">
        <v>92</v>
      </c>
      <c r="N543" t="s">
        <v>82</v>
      </c>
      <c r="O543">
        <f>MATCH(Combined[[#This Row],[Primary Area]],KPIs!$C$4:$C$7,0)</f>
        <v>3</v>
      </c>
      <c r="Q543" s="40">
        <v>45485</v>
      </c>
      <c r="R543" s="40">
        <f t="shared" si="114"/>
        <v>45485</v>
      </c>
      <c r="S543" s="4" t="str">
        <f>TEXT(Mileage[[#This Row],[Date]],"dddd")</f>
        <v>Friday</v>
      </c>
      <c r="T543" s="4" t="s">
        <v>249</v>
      </c>
      <c r="U543" s="4">
        <v>81</v>
      </c>
      <c r="V543" t="str" cm="1">
        <f t="array" ref="V543">IFERROR(VLOOKUP(MODE(IF(Combined[Date]=Mileage[[#This Row],[Date]],Combined[Area '#])),KPIs!$B$4:$C$7,2,FALSE),VLOOKUP(Mileage[[#This Row],[Date]],Combined[[Date]:[Primary Area]],8,FALSE))</f>
        <v>Portland</v>
      </c>
      <c r="W543" s="106">
        <v>0.72222222222222221</v>
      </c>
      <c r="X543" s="12">
        <v>6.28</v>
      </c>
      <c r="Y543" s="4">
        <v>134</v>
      </c>
      <c r="Z54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4" spans="2:26" x14ac:dyDescent="0.35">
      <c r="B544">
        <f t="shared" si="113"/>
        <v>542</v>
      </c>
      <c r="C544" t="s">
        <v>83</v>
      </c>
      <c r="D544" t="s">
        <v>176</v>
      </c>
      <c r="E544">
        <f>IF(WEEKNUM(Combined[[#This Row],[Date]], 1) = 53, 1, WEEKNUM(Combined[[#This Row],[Date]], 2))</f>
        <v>4</v>
      </c>
      <c r="F544" t="str">
        <f t="shared" ref="F544:F546" si="122">TEXT(WEEKDAY(G544,1),"DDDD")</f>
        <v>Monday</v>
      </c>
      <c r="G544" s="41">
        <v>44942</v>
      </c>
      <c r="H544">
        <v>1</v>
      </c>
      <c r="I544" s="1">
        <v>7.04</v>
      </c>
      <c r="J544" s="2">
        <v>9.9999999999999992E-2</v>
      </c>
      <c r="K544" s="12">
        <f>Combined[[#This Row],[Time Spent]]*24</f>
        <v>2.4</v>
      </c>
      <c r="L544" s="12">
        <f>MROUND(Combined[[#This Row],[Time Spent 2]],0.25)</f>
        <v>2.5</v>
      </c>
      <c r="M544" s="2" t="s">
        <v>91</v>
      </c>
      <c r="N544" t="s">
        <v>174</v>
      </c>
      <c r="O544">
        <f>MATCH(Combined[[#This Row],[Primary Area]],KPIs!$C$4:$C$7,0)</f>
        <v>1</v>
      </c>
      <c r="Q544" s="40">
        <v>45488</v>
      </c>
      <c r="R544" s="40">
        <f t="shared" si="114"/>
        <v>45488</v>
      </c>
      <c r="S544" s="4" t="str">
        <f>TEXT(Mileage[[#This Row],[Date]],"dddd")</f>
        <v>Monday</v>
      </c>
      <c r="T544" s="4" t="s">
        <v>230</v>
      </c>
      <c r="U544" s="4">
        <v>79</v>
      </c>
      <c r="V544" t="str" cm="1">
        <f t="array" ref="V544">IFERROR(VLOOKUP(MODE(IF(Combined[Date]=Mileage[[#This Row],[Date]],Combined[Area '#])),KPIs!$B$4:$C$7,2,FALSE),VLOOKUP(Mileage[[#This Row],[Date]],Combined[[Date]:[Primary Area]],8,FALSE))</f>
        <v>Portland</v>
      </c>
      <c r="W544" s="106">
        <v>0.70138888888888884</v>
      </c>
      <c r="X544" s="12">
        <v>6.17</v>
      </c>
      <c r="Y544" s="4">
        <v>136</v>
      </c>
      <c r="Z54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5" spans="2:26" x14ac:dyDescent="0.35">
      <c r="B545">
        <f t="shared" si="113"/>
        <v>543</v>
      </c>
      <c r="C545" t="s">
        <v>86</v>
      </c>
      <c r="D545" t="s">
        <v>176</v>
      </c>
      <c r="E545">
        <f>IF(WEEKNUM(Combined[[#This Row],[Date]], 1) = 53, 1, WEEKNUM(Combined[[#This Row],[Date]], 2))</f>
        <v>4</v>
      </c>
      <c r="F545" t="str">
        <f t="shared" si="122"/>
        <v>Monday</v>
      </c>
      <c r="G545" s="41">
        <v>44942</v>
      </c>
      <c r="H545">
        <v>2</v>
      </c>
      <c r="I545" s="1">
        <v>17.5</v>
      </c>
      <c r="J545" s="2">
        <v>0.1076388888888889</v>
      </c>
      <c r="K545" s="12">
        <f>Combined[[#This Row],[Time Spent]]*24</f>
        <v>2.5833333333333335</v>
      </c>
      <c r="L545" s="12">
        <f>MROUND(Combined[[#This Row],[Time Spent 2]],0.25)</f>
        <v>2.5</v>
      </c>
      <c r="M545" s="2" t="s">
        <v>91</v>
      </c>
      <c r="N545" t="s">
        <v>174</v>
      </c>
      <c r="O545">
        <f>MATCH(Combined[[#This Row],[Primary Area]],KPIs!$C$4:$C$7,0)</f>
        <v>1</v>
      </c>
      <c r="Q545" s="40">
        <v>45489</v>
      </c>
      <c r="R545" s="40">
        <f t="shared" si="114"/>
        <v>45489</v>
      </c>
      <c r="S545" s="4" t="str">
        <f>TEXT(Mileage[[#This Row],[Date]],"dddd")</f>
        <v>Tuesday</v>
      </c>
      <c r="T545" s="4" t="s">
        <v>281</v>
      </c>
      <c r="U545" s="4">
        <v>82</v>
      </c>
      <c r="V545" t="str" cm="1">
        <f t="array" ref="V545">IFERROR(VLOOKUP(MODE(IF(Combined[Date]=Mileage[[#This Row],[Date]],Combined[Area '#])),KPIs!$B$4:$C$7,2,FALSE),VLOOKUP(Mileage[[#This Row],[Date]],Combined[[Date]:[Primary Area]],8,FALSE))</f>
        <v>Brunswick/Bath/Freeport</v>
      </c>
      <c r="W545" s="106">
        <v>0.70486111111111116</v>
      </c>
      <c r="X545" s="12">
        <v>5</v>
      </c>
      <c r="Y545" s="4">
        <v>110</v>
      </c>
      <c r="Z5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46" spans="2:26" x14ac:dyDescent="0.35">
      <c r="B546">
        <f t="shared" si="113"/>
        <v>544</v>
      </c>
      <c r="C546" t="s">
        <v>86</v>
      </c>
      <c r="D546" t="s">
        <v>176</v>
      </c>
      <c r="E546">
        <f>IF(WEEKNUM(Combined[[#This Row],[Date]], 1) = 53, 1, WEEKNUM(Combined[[#This Row],[Date]], 2))</f>
        <v>4</v>
      </c>
      <c r="F546" t="str">
        <f t="shared" si="122"/>
        <v>Monday</v>
      </c>
      <c r="G546" s="41">
        <v>44942</v>
      </c>
      <c r="H546">
        <v>7</v>
      </c>
      <c r="I546" s="1">
        <f>64.88+3.87</f>
        <v>68.75</v>
      </c>
      <c r="J546" s="2">
        <v>0.14791666666666667</v>
      </c>
      <c r="K546" s="12">
        <f>Combined[[#This Row],[Time Spent]]*24</f>
        <v>3.55</v>
      </c>
      <c r="L546" s="12">
        <f>MROUND(Combined[[#This Row],[Time Spent 2]],0.25)</f>
        <v>3.5</v>
      </c>
      <c r="M546" s="2" t="s">
        <v>91</v>
      </c>
      <c r="N546" t="s">
        <v>174</v>
      </c>
      <c r="O546">
        <f>MATCH(Combined[[#This Row],[Primary Area]],KPIs!$C$4:$C$7,0)</f>
        <v>1</v>
      </c>
      <c r="Q546" s="40">
        <v>45490</v>
      </c>
      <c r="R546" s="40">
        <f t="shared" si="114"/>
        <v>45490</v>
      </c>
      <c r="S546" s="4" t="str">
        <f>TEXT(Mileage[[#This Row],[Date]],"dddd")</f>
        <v>Wednesday</v>
      </c>
      <c r="T546" s="4" t="s">
        <v>249</v>
      </c>
      <c r="U546" s="4">
        <v>81</v>
      </c>
      <c r="V546" t="str" cm="1">
        <f t="array" ref="V546">IFERROR(VLOOKUP(MODE(IF(Combined[Date]=Mileage[[#This Row],[Date]],Combined[Area '#])),KPIs!$B$4:$C$7,2,FALSE),VLOOKUP(Mileage[[#This Row],[Date]],Combined[[Date]:[Primary Area]],8,FALSE))</f>
        <v>Lewiston</v>
      </c>
      <c r="W546" s="106">
        <v>0.71875</v>
      </c>
      <c r="X546" s="12">
        <v>3.37</v>
      </c>
      <c r="Y546" s="4">
        <v>76</v>
      </c>
      <c r="Z5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47" spans="2:26" x14ac:dyDescent="0.35">
      <c r="B547">
        <f t="shared" si="113"/>
        <v>545</v>
      </c>
      <c r="C547" t="s">
        <v>83</v>
      </c>
      <c r="D547" t="s">
        <v>176</v>
      </c>
      <c r="E547">
        <f>IF(WEEKNUM(Combined[[#This Row],[Date]], 1) = 53, 1, WEEKNUM(Combined[[#This Row],[Date]], 2))</f>
        <v>4</v>
      </c>
      <c r="F547" t="str">
        <f t="shared" ref="F547:F549" si="123">TEXT(WEEKDAY(G547,1),"DDDD")</f>
        <v>Thursday</v>
      </c>
      <c r="G547" s="41">
        <v>44945</v>
      </c>
      <c r="H547">
        <v>4</v>
      </c>
      <c r="I547" s="1">
        <v>40</v>
      </c>
      <c r="J547" s="2">
        <v>0.12847222222222224</v>
      </c>
      <c r="K547" s="12">
        <f>Combined[[#This Row],[Time Spent]]*24</f>
        <v>3.0833333333333339</v>
      </c>
      <c r="L547" s="12">
        <f>MROUND(Combined[[#This Row],[Time Spent 2]],0.25)</f>
        <v>3</v>
      </c>
      <c r="M547" s="2" t="s">
        <v>91</v>
      </c>
      <c r="N547" t="s">
        <v>82</v>
      </c>
      <c r="O547">
        <f>MATCH(Combined[[#This Row],[Primary Area]],KPIs!$C$4:$C$7,0)</f>
        <v>3</v>
      </c>
      <c r="Q547" s="40">
        <v>45491</v>
      </c>
      <c r="R547" s="40">
        <f t="shared" si="114"/>
        <v>45491</v>
      </c>
      <c r="S547" s="4" t="str">
        <f>TEXT(Mileage[[#This Row],[Date]],"dddd")</f>
        <v>Thursday</v>
      </c>
      <c r="T547" s="4" t="s">
        <v>249</v>
      </c>
      <c r="U547" s="4">
        <v>81</v>
      </c>
      <c r="V547" t="str" cm="1">
        <f t="array" ref="V547">IFERROR(VLOOKUP(MODE(IF(Combined[Date]=Mileage[[#This Row],[Date]],Combined[Area '#])),KPIs!$B$4:$C$7,2,FALSE),VLOOKUP(Mileage[[#This Row],[Date]],Combined[[Date]:[Primary Area]],8,FALSE))</f>
        <v>Portland</v>
      </c>
      <c r="W547" s="106">
        <v>0.70833333333333337</v>
      </c>
      <c r="X547" s="12">
        <v>6.3</v>
      </c>
      <c r="Y547" s="4">
        <v>146</v>
      </c>
      <c r="Z54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48" spans="2:26" x14ac:dyDescent="0.35">
      <c r="B548">
        <f t="shared" si="113"/>
        <v>546</v>
      </c>
      <c r="C548" t="s">
        <v>86</v>
      </c>
      <c r="D548" t="s">
        <v>176</v>
      </c>
      <c r="E548">
        <f>IF(WEEKNUM(Combined[[#This Row],[Date]], 1) = 53, 1, WEEKNUM(Combined[[#This Row],[Date]], 2))</f>
        <v>4</v>
      </c>
      <c r="F548" t="str">
        <f t="shared" si="123"/>
        <v>Thursday</v>
      </c>
      <c r="G548" s="41">
        <v>44945</v>
      </c>
      <c r="H548">
        <v>6</v>
      </c>
      <c r="I548" s="1">
        <v>52.5</v>
      </c>
      <c r="J548" s="2">
        <v>0.13541666666666666</v>
      </c>
      <c r="K548" s="12">
        <f>Combined[[#This Row],[Time Spent]]*24</f>
        <v>3.25</v>
      </c>
      <c r="L548" s="12">
        <f>MROUND(Combined[[#This Row],[Time Spent 2]],0.25)</f>
        <v>3.25</v>
      </c>
      <c r="M548" s="2" t="s">
        <v>91</v>
      </c>
      <c r="N548" t="s">
        <v>82</v>
      </c>
      <c r="O548">
        <f>MATCH(Combined[[#This Row],[Primary Area]],KPIs!$C$4:$C$7,0)</f>
        <v>3</v>
      </c>
      <c r="Q548" s="40">
        <v>45492</v>
      </c>
      <c r="R548" s="40">
        <f t="shared" si="114"/>
        <v>45492</v>
      </c>
      <c r="S548" s="4" t="str">
        <f>TEXT(Mileage[[#This Row],[Date]],"dddd")</f>
        <v>Friday</v>
      </c>
      <c r="T548" s="4" t="s">
        <v>249</v>
      </c>
      <c r="U548" s="4">
        <v>81</v>
      </c>
      <c r="V548" t="str" cm="1">
        <f t="array" ref="V548">IFERROR(VLOOKUP(MODE(IF(Combined[Date]=Mileage[[#This Row],[Date]],Combined[Area '#])),KPIs!$B$4:$C$7,2,FALSE),VLOOKUP(Mileage[[#This Row],[Date]],Combined[[Date]:[Primary Area]],8,FALSE))</f>
        <v>Brunswick/Bath/Freeport</v>
      </c>
      <c r="W548" s="106">
        <v>0.71875</v>
      </c>
      <c r="X548" s="12">
        <v>7.23</v>
      </c>
      <c r="Y548" s="4">
        <v>158</v>
      </c>
      <c r="Z54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49" spans="2:26" x14ac:dyDescent="0.35">
      <c r="B549">
        <f t="shared" si="113"/>
        <v>547</v>
      </c>
      <c r="C549" t="s">
        <v>86</v>
      </c>
      <c r="D549" t="s">
        <v>176</v>
      </c>
      <c r="E549">
        <f>IF(WEEKNUM(Combined[[#This Row],[Date]], 1) = 53, 1, WEEKNUM(Combined[[#This Row],[Date]], 2))</f>
        <v>4</v>
      </c>
      <c r="F549" t="str">
        <f t="shared" si="123"/>
        <v>Thursday</v>
      </c>
      <c r="G549" s="41">
        <v>44945</v>
      </c>
      <c r="H549">
        <v>1</v>
      </c>
      <c r="I549" s="1">
        <v>7</v>
      </c>
      <c r="J549" s="2">
        <v>2.9166666666666664E-2</v>
      </c>
      <c r="K549" s="12">
        <f>Combined[[#This Row],[Time Spent]]*24</f>
        <v>0.7</v>
      </c>
      <c r="L549" s="12">
        <f>MROUND(Combined[[#This Row],[Time Spent 2]],0.25)</f>
        <v>0.75</v>
      </c>
      <c r="M549" s="2" t="s">
        <v>91</v>
      </c>
      <c r="N549" t="s">
        <v>82</v>
      </c>
      <c r="O549">
        <f>MATCH(Combined[[#This Row],[Primary Area]],KPIs!$C$4:$C$7,0)</f>
        <v>3</v>
      </c>
      <c r="Q549" s="40">
        <v>45493</v>
      </c>
      <c r="R549" s="40">
        <f t="shared" si="114"/>
        <v>45493</v>
      </c>
      <c r="S549" s="4" t="str">
        <f>TEXT(Mileage[[#This Row],[Date]],"dddd")</f>
        <v>Saturday</v>
      </c>
      <c r="T549" s="4" t="s">
        <v>230</v>
      </c>
      <c r="U549" s="4">
        <v>81</v>
      </c>
      <c r="V549" t="str" cm="1">
        <f t="array" ref="V549">IFERROR(VLOOKUP(MODE(IF(Combined[Date]=Mileage[[#This Row],[Date]],Combined[Area '#])),KPIs!$B$4:$C$7,2,FALSE),VLOOKUP(Mileage[[#This Row],[Date]],Combined[[Date]:[Primary Area]],8,FALSE))</f>
        <v>Augusta</v>
      </c>
      <c r="W549" s="106">
        <v>0.57638888888888884</v>
      </c>
      <c r="X549" s="12">
        <v>6.92</v>
      </c>
      <c r="Y549" s="4">
        <v>170</v>
      </c>
      <c r="Z5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0" spans="2:26" x14ac:dyDescent="0.35">
      <c r="B550">
        <f t="shared" si="113"/>
        <v>548</v>
      </c>
      <c r="C550" t="s">
        <v>86</v>
      </c>
      <c r="D550" t="s">
        <v>176</v>
      </c>
      <c r="E550">
        <f>IF(WEEKNUM(Combined[[#This Row],[Date]], 1) = 53, 1, WEEKNUM(Combined[[#This Row],[Date]], 2))</f>
        <v>4</v>
      </c>
      <c r="F550" t="str">
        <f t="shared" ref="F550:F551" si="124">TEXT(WEEKDAY(G550,1),"DDDD")</f>
        <v>Thursday</v>
      </c>
      <c r="G550" s="41">
        <v>44945</v>
      </c>
      <c r="H550">
        <v>1</v>
      </c>
      <c r="I550" s="1">
        <v>15.25</v>
      </c>
      <c r="J550" s="2">
        <v>2.4999999999999998E-2</v>
      </c>
      <c r="K550" s="12">
        <f>Combined[[#This Row],[Time Spent]]*24</f>
        <v>0.6</v>
      </c>
      <c r="L550" s="12">
        <f>MROUND(Combined[[#This Row],[Time Spent 2]],0.25)</f>
        <v>0.5</v>
      </c>
      <c r="M550" s="2" t="s">
        <v>92</v>
      </c>
      <c r="N550" t="s">
        <v>82</v>
      </c>
      <c r="O550">
        <f>MATCH(Combined[[#This Row],[Primary Area]],KPIs!$C$4:$C$7,0)</f>
        <v>3</v>
      </c>
      <c r="Q550" s="40">
        <v>45495</v>
      </c>
      <c r="R550" s="40">
        <f t="shared" si="114"/>
        <v>45495</v>
      </c>
      <c r="S550" s="4" t="str">
        <f>TEXT(Mileage[[#This Row],[Date]],"dddd")</f>
        <v>Monday</v>
      </c>
      <c r="T550" s="4" t="s">
        <v>230</v>
      </c>
      <c r="U550" s="4">
        <v>73</v>
      </c>
      <c r="V550" t="str" cm="1">
        <f t="array" ref="V550">IFERROR(VLOOKUP(MODE(IF(Combined[Date]=Mileage[[#This Row],[Date]],Combined[Area '#])),KPIs!$B$4:$C$7,2,FALSE),VLOOKUP(Mileage[[#This Row],[Date]],Combined[[Date]:[Primary Area]],8,FALSE))</f>
        <v>Portland</v>
      </c>
      <c r="W550" s="106">
        <v>0.72569444444444442</v>
      </c>
      <c r="X550" s="12">
        <v>6.08</v>
      </c>
      <c r="Y550" s="4">
        <v>137</v>
      </c>
      <c r="Z55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51" spans="2:26" x14ac:dyDescent="0.35">
      <c r="B551">
        <f t="shared" si="113"/>
        <v>549</v>
      </c>
      <c r="C551" t="s">
        <v>86</v>
      </c>
      <c r="D551" t="s">
        <v>176</v>
      </c>
      <c r="E551">
        <f>IF(WEEKNUM(Combined[[#This Row],[Date]], 1) = 53, 1, WEEKNUM(Combined[[#This Row],[Date]], 2))</f>
        <v>4</v>
      </c>
      <c r="F551" t="str">
        <f t="shared" si="124"/>
        <v>Thursday</v>
      </c>
      <c r="G551" s="41">
        <v>44945</v>
      </c>
      <c r="H551">
        <v>2</v>
      </c>
      <c r="I551" s="1">
        <v>14.5</v>
      </c>
      <c r="J551" s="2">
        <v>3.5416666666666666E-2</v>
      </c>
      <c r="K551" s="12">
        <f>Combined[[#This Row],[Time Spent]]*24</f>
        <v>0.85</v>
      </c>
      <c r="L551" s="12">
        <f>MROUND(Combined[[#This Row],[Time Spent 2]],0.25)</f>
        <v>0.75</v>
      </c>
      <c r="M551" s="2" t="s">
        <v>92</v>
      </c>
      <c r="N551" t="s">
        <v>82</v>
      </c>
      <c r="O551">
        <f>MATCH(Combined[[#This Row],[Primary Area]],KPIs!$C$4:$C$7,0)</f>
        <v>3</v>
      </c>
      <c r="Q551" s="40">
        <v>45496</v>
      </c>
      <c r="R551" s="40">
        <f t="shared" si="114"/>
        <v>45496</v>
      </c>
      <c r="S551" s="4" t="str">
        <f>TEXT(Mileage[[#This Row],[Date]],"dddd")</f>
        <v>Tuesday</v>
      </c>
      <c r="T551" s="4" t="s">
        <v>285</v>
      </c>
      <c r="U551" s="4">
        <v>73</v>
      </c>
      <c r="V551" t="str" cm="1">
        <f t="array" ref="V551">IFERROR(VLOOKUP(MODE(IF(Combined[Date]=Mileage[[#This Row],[Date]],Combined[Area '#])),KPIs!$B$4:$C$7,2,FALSE),VLOOKUP(Mileage[[#This Row],[Date]],Combined[[Date]:[Primary Area]],8,FALSE))</f>
        <v>Brunswick/Bath/Freeport</v>
      </c>
      <c r="W551" s="106">
        <v>0.72222222222222221</v>
      </c>
      <c r="X551" s="12">
        <v>4.87</v>
      </c>
      <c r="Y551" s="4">
        <v>96</v>
      </c>
      <c r="Z55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2" spans="2:26" x14ac:dyDescent="0.35">
      <c r="B552">
        <f t="shared" si="113"/>
        <v>550</v>
      </c>
      <c r="C552" t="s">
        <v>83</v>
      </c>
      <c r="D552" t="s">
        <v>176</v>
      </c>
      <c r="E552">
        <f>IF(WEEKNUM(Combined[[#This Row],[Date]], 1) = 53, 1, WEEKNUM(Combined[[#This Row],[Date]], 2))</f>
        <v>4</v>
      </c>
      <c r="F552" t="str">
        <f t="shared" ref="F552:F555" si="125">TEXT(WEEKDAY(G552,1),"DDDD")</f>
        <v>Saturday</v>
      </c>
      <c r="G552" s="41">
        <v>44947</v>
      </c>
      <c r="H552">
        <v>4</v>
      </c>
      <c r="I552" s="1">
        <v>57.23</v>
      </c>
      <c r="J552" s="2">
        <v>0.19375000000000001</v>
      </c>
      <c r="K552" s="12">
        <f>Combined[[#This Row],[Time Spent]]*24</f>
        <v>4.6500000000000004</v>
      </c>
      <c r="L552" s="12">
        <f>MROUND(Combined[[#This Row],[Time Spent 2]],0.25)</f>
        <v>4.75</v>
      </c>
      <c r="M552" s="2" t="s">
        <v>91</v>
      </c>
      <c r="N552" t="s">
        <v>174</v>
      </c>
      <c r="O552">
        <f>MATCH(Combined[[#This Row],[Primary Area]],KPIs!$C$4:$C$7,0)</f>
        <v>1</v>
      </c>
      <c r="Q552" s="40">
        <v>45497</v>
      </c>
      <c r="R552" s="40">
        <f t="shared" si="114"/>
        <v>45497</v>
      </c>
      <c r="S552" s="4" t="str">
        <f>TEXT(Mileage[[#This Row],[Date]],"dddd")</f>
        <v>Wednesday</v>
      </c>
      <c r="T552" s="4" t="s">
        <v>231</v>
      </c>
      <c r="U552" s="4">
        <v>74</v>
      </c>
      <c r="V552" t="str" cm="1">
        <f t="array" ref="V552">IFERROR(VLOOKUP(MODE(IF(Combined[Date]=Mileage[[#This Row],[Date]],Combined[Area '#])),KPIs!$B$4:$C$7,2,FALSE),VLOOKUP(Mileage[[#This Row],[Date]],Combined[[Date]:[Primary Area]],8,FALSE))</f>
        <v>Brunswick/Bath/Freeport</v>
      </c>
      <c r="W552" s="106">
        <v>0.71875</v>
      </c>
      <c r="X552" s="12">
        <v>6.45</v>
      </c>
      <c r="Y552" s="4">
        <v>142</v>
      </c>
      <c r="Z5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3" spans="2:26" x14ac:dyDescent="0.35">
      <c r="B553">
        <f t="shared" si="113"/>
        <v>551</v>
      </c>
      <c r="C553" t="s">
        <v>86</v>
      </c>
      <c r="D553" t="s">
        <v>176</v>
      </c>
      <c r="E553">
        <f>IF(WEEKNUM(Combined[[#This Row],[Date]], 1) = 53, 1, WEEKNUM(Combined[[#This Row],[Date]], 2))</f>
        <v>4</v>
      </c>
      <c r="F553" t="str">
        <f t="shared" si="125"/>
        <v>Saturday</v>
      </c>
      <c r="G553" s="41">
        <v>44947</v>
      </c>
      <c r="H553">
        <v>3</v>
      </c>
      <c r="I553" s="1">
        <v>38</v>
      </c>
      <c r="J553" s="2">
        <v>9.0972222222222218E-2</v>
      </c>
      <c r="K553" s="12">
        <f>Combined[[#This Row],[Time Spent]]*24</f>
        <v>2.1833333333333331</v>
      </c>
      <c r="L553" s="12">
        <f>MROUND(Combined[[#This Row],[Time Spent 2]],0.25)</f>
        <v>2.25</v>
      </c>
      <c r="M553" s="2" t="s">
        <v>91</v>
      </c>
      <c r="N553" t="s">
        <v>174</v>
      </c>
      <c r="O553">
        <f>MATCH(Combined[[#This Row],[Primary Area]],KPIs!$C$4:$C$7,0)</f>
        <v>1</v>
      </c>
      <c r="Q553" s="40">
        <v>45499</v>
      </c>
      <c r="R553" s="40">
        <f t="shared" si="114"/>
        <v>45499</v>
      </c>
      <c r="S553" s="4" t="str">
        <f>TEXT(Mileage[[#This Row],[Date]],"dddd")</f>
        <v>Friday</v>
      </c>
      <c r="T553" s="4" t="s">
        <v>230</v>
      </c>
      <c r="U553" s="4">
        <v>81</v>
      </c>
      <c r="V553" t="str" cm="1">
        <f t="array" ref="V553">IFERROR(VLOOKUP(MODE(IF(Combined[Date]=Mileage[[#This Row],[Date]],Combined[Area '#])),KPIs!$B$4:$C$7,2,FALSE),VLOOKUP(Mileage[[#This Row],[Date]],Combined[[Date]:[Primary Area]],8,FALSE))</f>
        <v>Portland</v>
      </c>
      <c r="W553" s="106">
        <v>0.72222222222222221</v>
      </c>
      <c r="X553" s="12">
        <v>8.6999999999999993</v>
      </c>
      <c r="Y553" s="4">
        <v>230</v>
      </c>
      <c r="Z55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54" spans="2:26" x14ac:dyDescent="0.35">
      <c r="B554">
        <f t="shared" si="113"/>
        <v>552</v>
      </c>
      <c r="C554" t="s">
        <v>86</v>
      </c>
      <c r="D554" t="s">
        <v>176</v>
      </c>
      <c r="E554">
        <f>IF(WEEKNUM(Combined[[#This Row],[Date]], 1) = 53, 1, WEEKNUM(Combined[[#This Row],[Date]], 2))</f>
        <v>4</v>
      </c>
      <c r="F554" t="str">
        <f t="shared" si="125"/>
        <v>Saturday</v>
      </c>
      <c r="G554" s="41">
        <v>44947</v>
      </c>
      <c r="H554">
        <v>3</v>
      </c>
      <c r="I554" s="1">
        <v>20.25</v>
      </c>
      <c r="J554" s="2">
        <v>7.6388888888888895E-2</v>
      </c>
      <c r="K554" s="12">
        <f>Combined[[#This Row],[Time Spent]]*24</f>
        <v>1.8333333333333335</v>
      </c>
      <c r="L554" s="12">
        <f>MROUND(Combined[[#This Row],[Time Spent 2]],0.25)</f>
        <v>1.75</v>
      </c>
      <c r="M554" s="2" t="s">
        <v>92</v>
      </c>
      <c r="N554" t="s">
        <v>174</v>
      </c>
      <c r="O554">
        <f>MATCH(Combined[[#This Row],[Primary Area]],KPIs!$C$4:$C$7,0)</f>
        <v>1</v>
      </c>
      <c r="Q554" s="40">
        <v>45500</v>
      </c>
      <c r="R554" s="40">
        <f t="shared" si="114"/>
        <v>45500</v>
      </c>
      <c r="S554" s="4" t="str">
        <f>TEXT(Mileage[[#This Row],[Date]],"dddd")</f>
        <v>Saturday</v>
      </c>
      <c r="T554" s="4" t="s">
        <v>230</v>
      </c>
      <c r="U554" s="4">
        <v>81</v>
      </c>
      <c r="V554" t="str" cm="1">
        <f t="array" ref="V554">IFERROR(VLOOKUP(MODE(IF(Combined[Date]=Mileage[[#This Row],[Date]],Combined[Area '#])),KPIs!$B$4:$C$7,2,FALSE),VLOOKUP(Mileage[[#This Row],[Date]],Combined[[Date]:[Primary Area]],8,FALSE))</f>
        <v>Lewiston</v>
      </c>
      <c r="W554" s="106">
        <v>0.6875</v>
      </c>
      <c r="X554" s="12">
        <v>5.45</v>
      </c>
      <c r="Y554" s="4">
        <v>87</v>
      </c>
      <c r="Z5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5" spans="2:26" x14ac:dyDescent="0.35">
      <c r="B555">
        <f t="shared" si="113"/>
        <v>553</v>
      </c>
      <c r="C555" t="s">
        <v>86</v>
      </c>
      <c r="D555" t="s">
        <v>176</v>
      </c>
      <c r="E555">
        <f>IF(WEEKNUM(Combined[[#This Row],[Date]], 1) = 53, 1, WEEKNUM(Combined[[#This Row],[Date]], 2))</f>
        <v>4</v>
      </c>
      <c r="F555" t="str">
        <f t="shared" si="125"/>
        <v>Saturday</v>
      </c>
      <c r="G555" s="41">
        <v>44947</v>
      </c>
      <c r="H555">
        <v>3</v>
      </c>
      <c r="I555" s="1">
        <v>33</v>
      </c>
      <c r="J555" s="2">
        <v>8.1250000000000003E-2</v>
      </c>
      <c r="K555" s="12">
        <f>Combined[[#This Row],[Time Spent]]*24</f>
        <v>1.9500000000000002</v>
      </c>
      <c r="L555" s="12">
        <f>MROUND(Combined[[#This Row],[Time Spent 2]],0.25)</f>
        <v>2</v>
      </c>
      <c r="M555" s="2" t="s">
        <v>92</v>
      </c>
      <c r="N555" t="s">
        <v>174</v>
      </c>
      <c r="O555">
        <f>MATCH(Combined[[#This Row],[Primary Area]],KPIs!$C$4:$C$7,0)</f>
        <v>1</v>
      </c>
      <c r="Q555" s="40">
        <v>45502</v>
      </c>
      <c r="R555" s="40">
        <f t="shared" si="114"/>
        <v>45502</v>
      </c>
      <c r="S555" s="4" t="str">
        <f>TEXT(Mileage[[#This Row],[Date]],"dddd")</f>
        <v>Monday</v>
      </c>
      <c r="T555" s="4" t="s">
        <v>285</v>
      </c>
      <c r="U555" s="4">
        <v>64</v>
      </c>
      <c r="V555" t="str" cm="1">
        <f t="array" ref="V555">IFERROR(VLOOKUP(MODE(IF(Combined[Date]=Mileage[[#This Row],[Date]],Combined[Area '#])),KPIs!$B$4:$C$7,2,FALSE),VLOOKUP(Mileage[[#This Row],[Date]],Combined[[Date]:[Primary Area]],8,FALSE))</f>
        <v>Portland</v>
      </c>
      <c r="W555" s="106">
        <v>0.73263888888888884</v>
      </c>
      <c r="X555" s="12">
        <v>5.83</v>
      </c>
      <c r="Y555" s="4">
        <v>121</v>
      </c>
      <c r="Z5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56" spans="2:26" x14ac:dyDescent="0.35">
      <c r="B556">
        <f t="shared" si="113"/>
        <v>554</v>
      </c>
      <c r="C556" t="s">
        <v>83</v>
      </c>
      <c r="D556" t="s">
        <v>176</v>
      </c>
      <c r="E556">
        <f>IF(WEEKNUM(Combined[[#This Row],[Date]], 1) = 53, 1, WEEKNUM(Combined[[#This Row],[Date]], 2))</f>
        <v>5</v>
      </c>
      <c r="F556" t="str">
        <f t="shared" ref="F556:F557" si="126">TEXT(WEEKDAY(G556,1),"DDDD")</f>
        <v>Wednesday</v>
      </c>
      <c r="G556" s="41">
        <v>44951</v>
      </c>
      <c r="H556">
        <v>1</v>
      </c>
      <c r="I556" s="1">
        <v>11.54</v>
      </c>
      <c r="J556" s="2">
        <v>4.6527777777777779E-2</v>
      </c>
      <c r="K556" s="12">
        <f>Combined[[#This Row],[Time Spent]]*24</f>
        <v>1.1166666666666667</v>
      </c>
      <c r="L556" s="12">
        <f>MROUND(Combined[[#This Row],[Time Spent 2]],0.25)</f>
        <v>1</v>
      </c>
      <c r="M556" s="2" t="s">
        <v>91</v>
      </c>
      <c r="N556" t="s">
        <v>174</v>
      </c>
      <c r="O556">
        <f>MATCH(Combined[[#This Row],[Primary Area]],KPIs!$C$4:$C$7,0)</f>
        <v>1</v>
      </c>
      <c r="Q556" s="40">
        <v>45503</v>
      </c>
      <c r="R556" s="40">
        <f t="shared" si="114"/>
        <v>45503</v>
      </c>
      <c r="S556" s="4" t="str">
        <f>TEXT(Mileage[[#This Row],[Date]],"dddd")</f>
        <v>Tuesday</v>
      </c>
      <c r="T556" s="4" t="s">
        <v>249</v>
      </c>
      <c r="U556" s="4">
        <v>79</v>
      </c>
      <c r="V556" t="str" cm="1">
        <f t="array" ref="V556">IFERROR(VLOOKUP(MODE(IF(Combined[Date]=Mileage[[#This Row],[Date]],Combined[Area '#])),KPIs!$B$4:$C$7,2,FALSE),VLOOKUP(Mileage[[#This Row],[Date]],Combined[[Date]:[Primary Area]],8,FALSE))</f>
        <v>Brunswick/Bath/Freeport</v>
      </c>
      <c r="W556" s="106">
        <v>0.74652777777777779</v>
      </c>
      <c r="X556" s="12">
        <v>4.9000000000000004</v>
      </c>
      <c r="Y556" s="4">
        <v>93</v>
      </c>
      <c r="Z55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7" spans="2:26" x14ac:dyDescent="0.35">
      <c r="B557">
        <f t="shared" si="113"/>
        <v>555</v>
      </c>
      <c r="C557" t="s">
        <v>86</v>
      </c>
      <c r="D557" t="s">
        <v>176</v>
      </c>
      <c r="E557">
        <f>IF(WEEKNUM(Combined[[#This Row],[Date]], 1) = 53, 1, WEEKNUM(Combined[[#This Row],[Date]], 2))</f>
        <v>5</v>
      </c>
      <c r="F557" t="str">
        <f t="shared" si="126"/>
        <v>Wednesday</v>
      </c>
      <c r="G557" s="41">
        <v>44951</v>
      </c>
      <c r="H557">
        <v>5</v>
      </c>
      <c r="I557" s="1">
        <v>32</v>
      </c>
      <c r="J557" s="2">
        <v>0.11041666666666666</v>
      </c>
      <c r="K557" s="12">
        <f>Combined[[#This Row],[Time Spent]]*24</f>
        <v>2.65</v>
      </c>
      <c r="L557" s="12">
        <f>MROUND(Combined[[#This Row],[Time Spent 2]],0.25)</f>
        <v>2.75</v>
      </c>
      <c r="M557" s="2" t="s">
        <v>91</v>
      </c>
      <c r="N557" t="s">
        <v>174</v>
      </c>
      <c r="O557">
        <f>MATCH(Combined[[#This Row],[Primary Area]],KPIs!$C$4:$C$7,0)</f>
        <v>1</v>
      </c>
      <c r="Q557" s="40">
        <v>45504</v>
      </c>
      <c r="R557" s="40">
        <f t="shared" si="114"/>
        <v>45504</v>
      </c>
      <c r="S557" s="4" t="str">
        <f>TEXT(Mileage[[#This Row],[Date]],"dddd")</f>
        <v>Wednesday</v>
      </c>
      <c r="T557" s="4" t="s">
        <v>249</v>
      </c>
      <c r="U557" s="4">
        <v>75</v>
      </c>
      <c r="V557" t="str" cm="1">
        <f t="array" ref="V557">IFERROR(VLOOKUP(MODE(IF(Combined[Date]=Mileage[[#This Row],[Date]],Combined[Area '#])),KPIs!$B$4:$C$7,2,FALSE),VLOOKUP(Mileage[[#This Row],[Date]],Combined[[Date]:[Primary Area]],8,FALSE))</f>
        <v>Brunswick/Bath/Freeport</v>
      </c>
      <c r="W557" s="106">
        <v>0.77083333333333337</v>
      </c>
      <c r="X557" s="12">
        <v>2.93</v>
      </c>
      <c r="Y557" s="4">
        <v>82</v>
      </c>
      <c r="Z55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8" spans="2:26" x14ac:dyDescent="0.35">
      <c r="B558">
        <f t="shared" si="113"/>
        <v>556</v>
      </c>
      <c r="C558" t="s">
        <v>83</v>
      </c>
      <c r="D558" t="s">
        <v>176</v>
      </c>
      <c r="E558">
        <f>IF(WEEKNUM(Combined[[#This Row],[Date]], 1) = 53, 1, WEEKNUM(Combined[[#This Row],[Date]], 2))</f>
        <v>5</v>
      </c>
      <c r="F558" t="str">
        <f t="shared" ref="F558:F561" si="127">TEXT(WEEKDAY(G558,1),"DDDD")</f>
        <v>Thursday</v>
      </c>
      <c r="G558" s="41">
        <v>44952</v>
      </c>
      <c r="H558">
        <v>3</v>
      </c>
      <c r="I558" s="1">
        <v>46.52</v>
      </c>
      <c r="J558" s="2">
        <v>0.10486111111111111</v>
      </c>
      <c r="K558" s="12">
        <f>Combined[[#This Row],[Time Spent]]*24</f>
        <v>2.5166666666666666</v>
      </c>
      <c r="L558" s="12">
        <f>MROUND(Combined[[#This Row],[Time Spent 2]],0.25)</f>
        <v>2.5</v>
      </c>
      <c r="M558" s="2" t="s">
        <v>91</v>
      </c>
      <c r="N558" t="s">
        <v>82</v>
      </c>
      <c r="O558">
        <f>MATCH(Combined[[#This Row],[Primary Area]],KPIs!$C$4:$C$7,0)</f>
        <v>3</v>
      </c>
      <c r="Q558" s="40">
        <v>45505</v>
      </c>
      <c r="R558" s="40">
        <f t="shared" si="114"/>
        <v>45505</v>
      </c>
      <c r="S558" s="4" t="str">
        <f>TEXT(Mileage[[#This Row],[Date]],"dddd")</f>
        <v>Thursday</v>
      </c>
      <c r="T558" s="4" t="s">
        <v>230</v>
      </c>
      <c r="U558" s="4">
        <v>88</v>
      </c>
      <c r="V558" t="str" cm="1">
        <f t="array" ref="V558">IFERROR(VLOOKUP(MODE(IF(Combined[Date]=Mileage[[#This Row],[Date]],Combined[Area '#])),KPIs!$B$4:$C$7,2,FALSE),VLOOKUP(Mileage[[#This Row],[Date]],Combined[[Date]:[Primary Area]],8,FALSE))</f>
        <v>Lewiston</v>
      </c>
      <c r="W558" s="106">
        <v>0.75347222222222221</v>
      </c>
      <c r="X558" s="12">
        <v>4.7699999999999996</v>
      </c>
      <c r="Y558" s="4">
        <v>73</v>
      </c>
      <c r="Z55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59" spans="2:26" x14ac:dyDescent="0.35">
      <c r="B559">
        <f t="shared" si="113"/>
        <v>557</v>
      </c>
      <c r="C559" t="s">
        <v>86</v>
      </c>
      <c r="D559" t="s">
        <v>176</v>
      </c>
      <c r="E559">
        <f>IF(WEEKNUM(Combined[[#This Row],[Date]], 1) = 53, 1, WEEKNUM(Combined[[#This Row],[Date]], 2))</f>
        <v>5</v>
      </c>
      <c r="F559" t="str">
        <f t="shared" si="127"/>
        <v>Thursday</v>
      </c>
      <c r="G559" s="41">
        <v>44952</v>
      </c>
      <c r="H559">
        <v>4</v>
      </c>
      <c r="I559" s="1">
        <v>31.2</v>
      </c>
      <c r="J559" s="2">
        <v>8.5416666666666655E-2</v>
      </c>
      <c r="K559" s="12">
        <f>Combined[[#This Row],[Time Spent]]*24</f>
        <v>2.0499999999999998</v>
      </c>
      <c r="L559" s="12">
        <f>MROUND(Combined[[#This Row],[Time Spent 2]],0.25)</f>
        <v>2</v>
      </c>
      <c r="M559" s="2" t="s">
        <v>91</v>
      </c>
      <c r="N559" t="s">
        <v>82</v>
      </c>
      <c r="O559">
        <f>MATCH(Combined[[#This Row],[Primary Area]],KPIs!$C$4:$C$7,0)</f>
        <v>3</v>
      </c>
      <c r="Q559" s="40">
        <v>45507</v>
      </c>
      <c r="R559" s="40">
        <f t="shared" si="114"/>
        <v>45507</v>
      </c>
      <c r="S559" s="4" t="str">
        <f>TEXT(Mileage[[#This Row],[Date]],"dddd")</f>
        <v>Saturday</v>
      </c>
      <c r="T559" s="4" t="s">
        <v>281</v>
      </c>
      <c r="U559" s="4">
        <v>82</v>
      </c>
      <c r="V559" t="str" cm="1">
        <f t="array" ref="V559">IFERROR(VLOOKUP(MODE(IF(Combined[Date]=Mileage[[#This Row],[Date]],Combined[Area '#])),KPIs!$B$4:$C$7,2,FALSE),VLOOKUP(Mileage[[#This Row],[Date]],Combined[[Date]:[Primary Area]],8,FALSE))</f>
        <v>Lewiston</v>
      </c>
      <c r="W559" s="106">
        <v>0.64583333333333337</v>
      </c>
      <c r="X559" s="12">
        <v>7.62</v>
      </c>
      <c r="Y559" s="4">
        <v>123</v>
      </c>
      <c r="Z5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0" spans="2:26" x14ac:dyDescent="0.35">
      <c r="B560">
        <f t="shared" si="113"/>
        <v>558</v>
      </c>
      <c r="C560" t="s">
        <v>86</v>
      </c>
      <c r="D560" t="s">
        <v>176</v>
      </c>
      <c r="E560">
        <f>IF(WEEKNUM(Combined[[#This Row],[Date]], 1) = 53, 1, WEEKNUM(Combined[[#This Row],[Date]], 2))</f>
        <v>5</v>
      </c>
      <c r="F560" t="str">
        <f t="shared" si="127"/>
        <v>Thursday</v>
      </c>
      <c r="G560" s="41">
        <v>44952</v>
      </c>
      <c r="H560">
        <v>1</v>
      </c>
      <c r="I560" s="1">
        <v>14.75</v>
      </c>
      <c r="J560" s="2">
        <v>1.8055555555555557E-2</v>
      </c>
      <c r="K560" s="12">
        <f>Combined[[#This Row],[Time Spent]]*24</f>
        <v>0.43333333333333335</v>
      </c>
      <c r="L560" s="12">
        <f>MROUND(Combined[[#This Row],[Time Spent 2]],0.25)</f>
        <v>0.5</v>
      </c>
      <c r="M560" s="2" t="s">
        <v>91</v>
      </c>
      <c r="N560" t="s">
        <v>82</v>
      </c>
      <c r="O560">
        <f>MATCH(Combined[[#This Row],[Primary Area]],KPIs!$C$4:$C$7,0)</f>
        <v>3</v>
      </c>
      <c r="Q560" s="40">
        <v>45508</v>
      </c>
      <c r="R560" s="40">
        <f t="shared" si="114"/>
        <v>45508</v>
      </c>
      <c r="S560" s="4" t="str">
        <f>TEXT(Mileage[[#This Row],[Date]],"dddd")</f>
        <v>Sunday</v>
      </c>
      <c r="T560" s="4" t="s">
        <v>281</v>
      </c>
      <c r="U560" s="4">
        <v>77</v>
      </c>
      <c r="V560" t="str" cm="1">
        <f t="array" ref="V560">IFERROR(VLOOKUP(MODE(IF(Combined[Date]=Mileage[[#This Row],[Date]],Combined[Area '#])),KPIs!$B$4:$C$7,2,FALSE),VLOOKUP(Mileage[[#This Row],[Date]],Combined[[Date]:[Primary Area]],8,FALSE))</f>
        <v>Augusta</v>
      </c>
      <c r="W560" s="106">
        <v>0.57986111111111116</v>
      </c>
      <c r="X560" s="12">
        <v>6.18</v>
      </c>
      <c r="Y560" s="4">
        <v>164</v>
      </c>
      <c r="Z5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1" spans="2:26" x14ac:dyDescent="0.35">
      <c r="B561">
        <f t="shared" si="113"/>
        <v>559</v>
      </c>
      <c r="C561" t="s">
        <v>86</v>
      </c>
      <c r="D561" t="s">
        <v>176</v>
      </c>
      <c r="E561">
        <f>IF(WEEKNUM(Combined[[#This Row],[Date]], 1) = 53, 1, WEEKNUM(Combined[[#This Row],[Date]], 2))</f>
        <v>5</v>
      </c>
      <c r="F561" t="str">
        <f t="shared" si="127"/>
        <v>Thursday</v>
      </c>
      <c r="G561" s="41">
        <v>44952</v>
      </c>
      <c r="H561">
        <v>5</v>
      </c>
      <c r="I561" s="1">
        <f>34.5+3.35</f>
        <v>37.85</v>
      </c>
      <c r="J561" s="2">
        <v>0.11805555555555557</v>
      </c>
      <c r="K561" s="12">
        <f>Combined[[#This Row],[Time Spent]]*24</f>
        <v>2.8333333333333335</v>
      </c>
      <c r="L561" s="12">
        <f>MROUND(Combined[[#This Row],[Time Spent 2]],0.25)</f>
        <v>2.75</v>
      </c>
      <c r="M561" s="2" t="s">
        <v>92</v>
      </c>
      <c r="N561" t="s">
        <v>82</v>
      </c>
      <c r="O561">
        <f>MATCH(Combined[[#This Row],[Primary Area]],KPIs!$C$4:$C$7,0)</f>
        <v>3</v>
      </c>
      <c r="Q561" s="40">
        <v>45510</v>
      </c>
      <c r="R561" s="40">
        <f t="shared" si="114"/>
        <v>45510</v>
      </c>
      <c r="S561" s="4" t="str">
        <f>TEXT(Mileage[[#This Row],[Date]],"dddd")</f>
        <v>Tuesday</v>
      </c>
      <c r="T561" s="4" t="s">
        <v>249</v>
      </c>
      <c r="U561" s="4">
        <v>64</v>
      </c>
      <c r="V561" t="str" cm="1">
        <f t="array" ref="V561">IFERROR(VLOOKUP(MODE(IF(Combined[Date]=Mileage[[#This Row],[Date]],Combined[Area '#])),KPIs!$B$4:$C$7,2,FALSE),VLOOKUP(Mileage[[#This Row],[Date]],Combined[[Date]:[Primary Area]],8,FALSE))</f>
        <v>Portland</v>
      </c>
      <c r="W561" s="106">
        <v>0.70138888888888884</v>
      </c>
      <c r="X561" s="12">
        <v>6.52</v>
      </c>
      <c r="Y561" s="4">
        <v>119</v>
      </c>
      <c r="Z5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2" spans="2:26" x14ac:dyDescent="0.35">
      <c r="B562">
        <f t="shared" si="113"/>
        <v>560</v>
      </c>
      <c r="C562" t="s">
        <v>83</v>
      </c>
      <c r="D562" t="s">
        <v>176</v>
      </c>
      <c r="E562">
        <f>IF(WEEKNUM(Combined[[#This Row],[Date]], 1) = 53, 1, WEEKNUM(Combined[[#This Row],[Date]], 2))</f>
        <v>5</v>
      </c>
      <c r="F562" t="str">
        <f t="shared" ref="F562:F563" si="128">TEXT(WEEKDAY(G562,1),"DDDD")</f>
        <v>Friday</v>
      </c>
      <c r="G562" s="41">
        <v>44953</v>
      </c>
      <c r="H562">
        <v>3</v>
      </c>
      <c r="I562" s="1">
        <v>24.33</v>
      </c>
      <c r="J562" s="2">
        <v>0.13402777777777777</v>
      </c>
      <c r="K562" s="12">
        <f>Combined[[#This Row],[Time Spent]]*24</f>
        <v>3.2166666666666668</v>
      </c>
      <c r="L562" s="12">
        <f>MROUND(Combined[[#This Row],[Time Spent 2]],0.25)</f>
        <v>3.25</v>
      </c>
      <c r="M562" s="2" t="s">
        <v>91</v>
      </c>
      <c r="N562" t="s">
        <v>174</v>
      </c>
      <c r="O562">
        <f>MATCH(Combined[[#This Row],[Primary Area]],KPIs!$C$4:$C$7,0)</f>
        <v>1</v>
      </c>
      <c r="Q562" s="40">
        <v>45513</v>
      </c>
      <c r="R562" s="40">
        <f t="shared" si="114"/>
        <v>45513</v>
      </c>
      <c r="S562" s="4" t="str">
        <f>TEXT(Mileage[[#This Row],[Date]],"dddd")</f>
        <v>Friday</v>
      </c>
      <c r="T562" s="4" t="s">
        <v>276</v>
      </c>
      <c r="U562" s="4">
        <v>73</v>
      </c>
      <c r="V562" t="str" cm="1">
        <f t="array" ref="V562">IFERROR(VLOOKUP(MODE(IF(Combined[Date]=Mileage[[#This Row],[Date]],Combined[Area '#])),KPIs!$B$4:$C$7,2,FALSE),VLOOKUP(Mileage[[#This Row],[Date]],Combined[[Date]:[Primary Area]],8,FALSE))</f>
        <v>Portland</v>
      </c>
      <c r="W562" s="106">
        <v>0.71180555555555558</v>
      </c>
      <c r="X562" s="12">
        <v>7.78</v>
      </c>
      <c r="Y562" s="4">
        <v>129</v>
      </c>
      <c r="Z5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3" spans="2:26" x14ac:dyDescent="0.35">
      <c r="B563">
        <f t="shared" si="113"/>
        <v>561</v>
      </c>
      <c r="C563" t="s">
        <v>86</v>
      </c>
      <c r="D563" t="s">
        <v>176</v>
      </c>
      <c r="E563">
        <f>IF(WEEKNUM(Combined[[#This Row],[Date]], 1) = 53, 1, WEEKNUM(Combined[[#This Row],[Date]], 2))</f>
        <v>5</v>
      </c>
      <c r="F563" t="str">
        <f t="shared" si="128"/>
        <v>Friday</v>
      </c>
      <c r="G563" s="41">
        <v>44953</v>
      </c>
      <c r="H563">
        <v>8</v>
      </c>
      <c r="I563" s="1">
        <v>58.75</v>
      </c>
      <c r="J563" s="2">
        <v>0.19930555555555554</v>
      </c>
      <c r="K563" s="12">
        <f>Combined[[#This Row],[Time Spent]]*24</f>
        <v>4.7833333333333332</v>
      </c>
      <c r="L563" s="12">
        <f>MROUND(Combined[[#This Row],[Time Spent 2]],0.25)</f>
        <v>4.75</v>
      </c>
      <c r="M563" s="2" t="s">
        <v>91</v>
      </c>
      <c r="N563" t="s">
        <v>174</v>
      </c>
      <c r="O563">
        <f>MATCH(Combined[[#This Row],[Primary Area]],KPIs!$C$4:$C$7,0)</f>
        <v>1</v>
      </c>
      <c r="Q563" s="40">
        <v>45514</v>
      </c>
      <c r="R563" s="40">
        <f t="shared" si="114"/>
        <v>45514</v>
      </c>
      <c r="S563" s="4" t="str">
        <f>TEXT(Mileage[[#This Row],[Date]],"dddd")</f>
        <v>Saturday</v>
      </c>
      <c r="T563" s="4" t="s">
        <v>230</v>
      </c>
      <c r="U563" s="4">
        <v>81</v>
      </c>
      <c r="V563" t="str" cm="1">
        <f t="array" ref="V563">IFERROR(VLOOKUP(MODE(IF(Combined[Date]=Mileage[[#This Row],[Date]],Combined[Area '#])),KPIs!$B$4:$C$7,2,FALSE),VLOOKUP(Mileage[[#This Row],[Date]],Combined[[Date]:[Primary Area]],8,FALSE))</f>
        <v>Lewiston</v>
      </c>
      <c r="W563" s="106">
        <v>0.72916666666666663</v>
      </c>
      <c r="X563" s="12">
        <v>7.63</v>
      </c>
      <c r="Y563" s="4">
        <v>119</v>
      </c>
      <c r="Z56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64" spans="2:26" x14ac:dyDescent="0.35">
      <c r="B564">
        <f t="shared" si="113"/>
        <v>562</v>
      </c>
      <c r="C564" t="s">
        <v>83</v>
      </c>
      <c r="D564" t="s">
        <v>176</v>
      </c>
      <c r="E564">
        <f>IF(WEEKNUM(Combined[[#This Row],[Date]], 1) = 53, 1, WEEKNUM(Combined[[#This Row],[Date]], 2))</f>
        <v>5</v>
      </c>
      <c r="F564" t="str">
        <f t="shared" ref="F564:F566" si="129">TEXT(WEEKDAY(G564,1),"DDDD")</f>
        <v>Saturday</v>
      </c>
      <c r="G564" s="41">
        <v>44954</v>
      </c>
      <c r="H564">
        <v>2</v>
      </c>
      <c r="I564" s="1">
        <v>25.1</v>
      </c>
      <c r="J564" s="2">
        <v>9.8611111111111108E-2</v>
      </c>
      <c r="K564" s="12">
        <f>Combined[[#This Row],[Time Spent]]*24</f>
        <v>2.3666666666666667</v>
      </c>
      <c r="L564" s="12">
        <f>MROUND(Combined[[#This Row],[Time Spent 2]],0.25)</f>
        <v>2.25</v>
      </c>
      <c r="M564" s="2" t="s">
        <v>91</v>
      </c>
      <c r="N564" t="s">
        <v>80</v>
      </c>
      <c r="O564">
        <f>MATCH(Combined[[#This Row],[Primary Area]],KPIs!$C$4:$C$7,0)</f>
        <v>2</v>
      </c>
      <c r="Q564" s="40">
        <v>45515</v>
      </c>
      <c r="R564" s="40">
        <f t="shared" si="114"/>
        <v>45515</v>
      </c>
      <c r="S564" s="4" t="str">
        <f>TEXT(Mileage[[#This Row],[Date]],"dddd")</f>
        <v>Sunday</v>
      </c>
      <c r="T564" s="4" t="s">
        <v>249</v>
      </c>
      <c r="U564" s="4">
        <v>72</v>
      </c>
      <c r="V564" t="str" cm="1">
        <f t="array" ref="V564">IFERROR(VLOOKUP(MODE(IF(Combined[Date]=Mileage[[#This Row],[Date]],Combined[Area '#])),KPIs!$B$4:$C$7,2,FALSE),VLOOKUP(Mileage[[#This Row],[Date]],Combined[[Date]:[Primary Area]],8,FALSE))</f>
        <v>Portland</v>
      </c>
      <c r="W564" s="106">
        <v>0.71180555555555558</v>
      </c>
      <c r="X564" s="12">
        <v>6.45</v>
      </c>
      <c r="Y564" s="4">
        <v>163</v>
      </c>
      <c r="Z56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65" spans="2:26" x14ac:dyDescent="0.35">
      <c r="B565">
        <f t="shared" si="113"/>
        <v>563</v>
      </c>
      <c r="C565" t="s">
        <v>86</v>
      </c>
      <c r="D565" t="s">
        <v>175</v>
      </c>
      <c r="E565">
        <f>IF(WEEKNUM(Combined[[#This Row],[Date]], 1) = 53, 1, WEEKNUM(Combined[[#This Row],[Date]], 2))</f>
        <v>5</v>
      </c>
      <c r="F565" t="str">
        <f t="shared" si="129"/>
        <v>Saturday</v>
      </c>
      <c r="G565" s="41">
        <v>44954</v>
      </c>
      <c r="H565">
        <v>4</v>
      </c>
      <c r="I565" s="1">
        <v>39.86</v>
      </c>
      <c r="J565" s="2">
        <v>8.7500000000000008E-2</v>
      </c>
      <c r="K565" s="12">
        <f>Combined[[#This Row],[Time Spent]]*24</f>
        <v>2.1</v>
      </c>
      <c r="L565" s="12">
        <f>MROUND(Combined[[#This Row],[Time Spent 2]],0.25)</f>
        <v>2</v>
      </c>
      <c r="M565" s="2" t="s">
        <v>91</v>
      </c>
      <c r="N565" t="s">
        <v>80</v>
      </c>
      <c r="O565">
        <f>MATCH(Combined[[#This Row],[Primary Area]],KPIs!$C$4:$C$7,0)</f>
        <v>2</v>
      </c>
      <c r="Q565" s="40">
        <v>45516</v>
      </c>
      <c r="R565" s="40">
        <f t="shared" si="114"/>
        <v>45516</v>
      </c>
      <c r="S565" s="4" t="str">
        <f>TEXT(Mileage[[#This Row],[Date]],"dddd")</f>
        <v>Monday</v>
      </c>
      <c r="T565" s="4" t="s">
        <v>230</v>
      </c>
      <c r="U565" s="4">
        <v>72</v>
      </c>
      <c r="V565" t="str" cm="1">
        <f t="array" ref="V565">IFERROR(VLOOKUP(MODE(IF(Combined[Date]=Mileage[[#This Row],[Date]],Combined[Area '#])),KPIs!$B$4:$C$7,2,FALSE),VLOOKUP(Mileage[[#This Row],[Date]],Combined[[Date]:[Primary Area]],8,FALSE))</f>
        <v>Portland</v>
      </c>
      <c r="W565" s="105">
        <v>0.71180555555555558</v>
      </c>
      <c r="X565" s="12">
        <v>6.45</v>
      </c>
      <c r="Y565">
        <v>104</v>
      </c>
      <c r="Z5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66" spans="2:26" x14ac:dyDescent="0.35">
      <c r="B566">
        <f t="shared" si="113"/>
        <v>564</v>
      </c>
      <c r="C566" t="s">
        <v>86</v>
      </c>
      <c r="D566" t="s">
        <v>175</v>
      </c>
      <c r="E566">
        <f>IF(WEEKNUM(Combined[[#This Row],[Date]], 1) = 53, 1, WEEKNUM(Combined[[#This Row],[Date]], 2))</f>
        <v>5</v>
      </c>
      <c r="F566" t="str">
        <f t="shared" si="129"/>
        <v>Saturday</v>
      </c>
      <c r="G566" s="41">
        <v>44954</v>
      </c>
      <c r="H566">
        <v>2</v>
      </c>
      <c r="I566" s="1">
        <v>11.4</v>
      </c>
      <c r="J566" s="2">
        <v>7.013888888888889E-2</v>
      </c>
      <c r="K566" s="12">
        <f>Combined[[#This Row],[Time Spent]]*24</f>
        <v>1.6833333333333333</v>
      </c>
      <c r="L566" s="12">
        <f>MROUND(Combined[[#This Row],[Time Spent 2]],0.25)</f>
        <v>1.75</v>
      </c>
      <c r="M566" s="2" t="s">
        <v>92</v>
      </c>
      <c r="N566" t="s">
        <v>80</v>
      </c>
      <c r="O566">
        <f>MATCH(Combined[[#This Row],[Primary Area]],KPIs!$C$4:$C$7,0)</f>
        <v>2</v>
      </c>
      <c r="Q566" s="40">
        <v>45517</v>
      </c>
      <c r="R566" s="40">
        <f t="shared" si="114"/>
        <v>45517</v>
      </c>
      <c r="S566" s="4" t="str">
        <f>TEXT(Mileage[[#This Row],[Date]],"dddd")</f>
        <v>Tuesday</v>
      </c>
      <c r="T566" s="4" t="s">
        <v>230</v>
      </c>
      <c r="U566" s="4">
        <v>79</v>
      </c>
      <c r="V566" t="str" cm="1">
        <f t="array" ref="V566">IFERROR(VLOOKUP(MODE(IF(Combined[Date]=Mileage[[#This Row],[Date]],Combined[Area '#])),KPIs!$B$4:$C$7,2,FALSE),VLOOKUP(Mileage[[#This Row],[Date]],Combined[[Date]:[Primary Area]],8,FALSE))</f>
        <v>Lewiston</v>
      </c>
      <c r="W566" s="105">
        <v>0.71875</v>
      </c>
      <c r="X566" s="12">
        <v>3.77</v>
      </c>
      <c r="Y566">
        <v>99</v>
      </c>
      <c r="Z5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7" spans="2:26" x14ac:dyDescent="0.35">
      <c r="B567">
        <f t="shared" si="113"/>
        <v>565</v>
      </c>
      <c r="C567" t="s">
        <v>86</v>
      </c>
      <c r="D567" t="s">
        <v>176</v>
      </c>
      <c r="E567">
        <f>IF(WEEKNUM(Combined[[#This Row],[Date]], 1) = 53, 1, WEEKNUM(Combined[[#This Row],[Date]], 2))</f>
        <v>5</v>
      </c>
      <c r="F567" t="str">
        <f>TEXT(WEEKDAY(G567,1),"DDDD")</f>
        <v>Saturday</v>
      </c>
      <c r="G567" s="41">
        <v>44954</v>
      </c>
      <c r="H567">
        <v>3</v>
      </c>
      <c r="I567" s="1">
        <v>20.75</v>
      </c>
      <c r="J567" s="2">
        <v>7.4305555555555555E-2</v>
      </c>
      <c r="K567" s="12">
        <f>Combined[[#This Row],[Time Spent]]*24</f>
        <v>1.7833333333333332</v>
      </c>
      <c r="L567" s="12">
        <f>MROUND(Combined[[#This Row],[Time Spent 2]],0.25)</f>
        <v>1.75</v>
      </c>
      <c r="M567" s="2" t="s">
        <v>92</v>
      </c>
      <c r="N567" t="s">
        <v>80</v>
      </c>
      <c r="O567">
        <f>MATCH(Combined[[#This Row],[Primary Area]],KPIs!$C$4:$C$7,0)</f>
        <v>2</v>
      </c>
      <c r="Q567" s="40">
        <v>45518</v>
      </c>
      <c r="R567" s="40">
        <f t="shared" si="114"/>
        <v>45518</v>
      </c>
      <c r="S567" s="4" t="str">
        <f>TEXT(Mileage[[#This Row],[Date]],"dddd")</f>
        <v>Wednesday</v>
      </c>
      <c r="T567" s="4" t="s">
        <v>249</v>
      </c>
      <c r="U567" s="4">
        <v>70</v>
      </c>
      <c r="V567" t="str" cm="1">
        <f t="array" ref="V567">IFERROR(VLOOKUP(MODE(IF(Combined[Date]=Mileage[[#This Row],[Date]],Combined[Area '#])),KPIs!$B$4:$C$7,2,FALSE),VLOOKUP(Mileage[[#This Row],[Date]],Combined[[Date]:[Primary Area]],8,FALSE))</f>
        <v>Portland</v>
      </c>
      <c r="W567" s="105">
        <v>0.70486111111111116</v>
      </c>
      <c r="X567" s="12">
        <v>7.1</v>
      </c>
      <c r="Y567">
        <v>137</v>
      </c>
      <c r="Z5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68" spans="2:26" x14ac:dyDescent="0.35">
      <c r="B568">
        <f t="shared" si="113"/>
        <v>566</v>
      </c>
      <c r="C568" t="s">
        <v>83</v>
      </c>
      <c r="D568" t="s">
        <v>176</v>
      </c>
      <c r="E568">
        <f>IF(WEEKNUM(Combined[[#This Row],[Date]], 1) = 53, 1, WEEKNUM(Combined[[#This Row],[Date]], 2))</f>
        <v>6</v>
      </c>
      <c r="F568" t="str">
        <f t="shared" ref="F568:F569" si="130">TEXT(WEEKDAY(G568,1),"DDDD")</f>
        <v>Tuesday</v>
      </c>
      <c r="G568" s="41">
        <v>44957</v>
      </c>
      <c r="H568">
        <v>9</v>
      </c>
      <c r="I568" s="1">
        <v>169.18</v>
      </c>
      <c r="J568" s="2">
        <v>0.2076388888888889</v>
      </c>
      <c r="K568" s="12">
        <f>Combined[[#This Row],[Time Spent]]*24</f>
        <v>4.9833333333333334</v>
      </c>
      <c r="L568" s="12">
        <f>MROUND(Combined[[#This Row],[Time Spent 2]],0.25)</f>
        <v>5</v>
      </c>
      <c r="M568" s="2" t="s">
        <v>91</v>
      </c>
      <c r="N568" t="s">
        <v>80</v>
      </c>
      <c r="O568">
        <f>MATCH(Combined[[#This Row],[Primary Area]],KPIs!$C$4:$C$7,0)</f>
        <v>2</v>
      </c>
      <c r="Q568" s="40">
        <v>45519</v>
      </c>
      <c r="R568" s="40">
        <f t="shared" si="114"/>
        <v>45519</v>
      </c>
      <c r="S568" s="4" t="str">
        <f>TEXT(Mileage[[#This Row],[Date]],"dddd")</f>
        <v>Thursday</v>
      </c>
      <c r="T568" s="4" t="s">
        <v>276</v>
      </c>
      <c r="U568" s="4">
        <v>68</v>
      </c>
      <c r="V568" t="str" cm="1">
        <f t="array" ref="V568">IFERROR(VLOOKUP(MODE(IF(Combined[Date]=Mileage[[#This Row],[Date]],Combined[Area '#])),KPIs!$B$4:$C$7,2,FALSE),VLOOKUP(Mileage[[#This Row],[Date]],Combined[[Date]:[Primary Area]],8,FALSE))</f>
        <v>Lewiston</v>
      </c>
      <c r="W568" s="105">
        <v>0.71527777777777779</v>
      </c>
      <c r="X568" s="12">
        <v>6.3</v>
      </c>
      <c r="Y568">
        <v>92</v>
      </c>
      <c r="Z5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69" spans="2:26" x14ac:dyDescent="0.35">
      <c r="B569">
        <f t="shared" si="113"/>
        <v>567</v>
      </c>
      <c r="C569" t="s">
        <v>86</v>
      </c>
      <c r="D569" t="s">
        <v>176</v>
      </c>
      <c r="E569">
        <f>IF(WEEKNUM(Combined[[#This Row],[Date]], 1) = 53, 1, WEEKNUM(Combined[[#This Row],[Date]], 2))</f>
        <v>6</v>
      </c>
      <c r="F569" t="str">
        <f t="shared" si="130"/>
        <v>Tuesday</v>
      </c>
      <c r="G569" s="41">
        <v>44957</v>
      </c>
      <c r="H569">
        <v>2</v>
      </c>
      <c r="I569" s="1">
        <v>29.72</v>
      </c>
      <c r="J569" s="2">
        <v>7.8472222222222221E-2</v>
      </c>
      <c r="K569" s="12">
        <f>Combined[[#This Row],[Time Spent]]*24</f>
        <v>1.8833333333333333</v>
      </c>
      <c r="L569" s="12">
        <f>MROUND(Combined[[#This Row],[Time Spent 2]],0.25)</f>
        <v>2</v>
      </c>
      <c r="M569" s="2" t="s">
        <v>92</v>
      </c>
      <c r="N569" t="s">
        <v>80</v>
      </c>
      <c r="O569">
        <f>MATCH(Combined[[#This Row],[Primary Area]],KPIs!$C$4:$C$7,0)</f>
        <v>2</v>
      </c>
      <c r="Q569" s="40">
        <v>45520</v>
      </c>
      <c r="R569" s="40">
        <f t="shared" si="114"/>
        <v>45520</v>
      </c>
      <c r="S569" s="4" t="str">
        <f>TEXT(Mileage[[#This Row],[Date]],"dddd")</f>
        <v>Friday</v>
      </c>
      <c r="T569" s="4" t="s">
        <v>276</v>
      </c>
      <c r="U569" s="4">
        <v>66</v>
      </c>
      <c r="V569" t="str" cm="1">
        <f t="array" ref="V569">IFERROR(VLOOKUP(MODE(IF(Combined[Date]=Mileage[[#This Row],[Date]],Combined[Area '#])),KPIs!$B$4:$C$7,2,FALSE),VLOOKUP(Mileage[[#This Row],[Date]],Combined[[Date]:[Primary Area]],8,FALSE))</f>
        <v>Portland</v>
      </c>
      <c r="W569" s="105">
        <v>0.72222222222222221</v>
      </c>
      <c r="X569" s="12">
        <v>6.57</v>
      </c>
      <c r="Y569">
        <v>140</v>
      </c>
      <c r="Z56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70" spans="2:26" x14ac:dyDescent="0.35">
      <c r="B570">
        <f t="shared" si="113"/>
        <v>568</v>
      </c>
      <c r="C570" t="s">
        <v>83</v>
      </c>
      <c r="D570" t="s">
        <v>176</v>
      </c>
      <c r="E570">
        <f>IF(WEEKNUM(Combined[[#This Row],[Date]], 1) = 53, 1, WEEKNUM(Combined[[#This Row],[Date]], 2))</f>
        <v>6</v>
      </c>
      <c r="F570" t="str">
        <f t="shared" ref="F570:F573" si="131">TEXT(WEEKDAY(G570,1),"DDDD")</f>
        <v>Wednesday</v>
      </c>
      <c r="G570" s="41">
        <v>44958</v>
      </c>
      <c r="H570">
        <v>6</v>
      </c>
      <c r="I570" s="1">
        <v>63.64</v>
      </c>
      <c r="J570" s="2">
        <v>0.12430555555555556</v>
      </c>
      <c r="K570" s="12">
        <f>Combined[[#This Row],[Time Spent]]*24</f>
        <v>2.9833333333333334</v>
      </c>
      <c r="L570" s="12">
        <f>MROUND(Combined[[#This Row],[Time Spent 2]],0.25)</f>
        <v>3</v>
      </c>
      <c r="M570" s="2" t="s">
        <v>91</v>
      </c>
      <c r="N570" t="s">
        <v>82</v>
      </c>
      <c r="O570">
        <f>MATCH(Combined[[#This Row],[Primary Area]],KPIs!$C$4:$C$7,0)</f>
        <v>3</v>
      </c>
      <c r="Q570" s="40">
        <v>45521</v>
      </c>
      <c r="R570" s="40">
        <f t="shared" si="114"/>
        <v>45521</v>
      </c>
      <c r="S570" s="4" t="str">
        <f>TEXT(Mileage[[#This Row],[Date]],"dddd")</f>
        <v>Saturday</v>
      </c>
      <c r="T570" s="4" t="s">
        <v>249</v>
      </c>
      <c r="U570" s="4">
        <v>66</v>
      </c>
      <c r="V570" t="str" cm="1">
        <f t="array" ref="V570">IFERROR(VLOOKUP(MODE(IF(Combined[Date]=Mileage[[#This Row],[Date]],Combined[Area '#])),KPIs!$B$4:$C$7,2,FALSE),VLOOKUP(Mileage[[#This Row],[Date]],Combined[[Date]:[Primary Area]],8,FALSE))</f>
        <v>Portland</v>
      </c>
      <c r="W570" s="105">
        <v>0.72222222222222221</v>
      </c>
      <c r="X570" s="12">
        <v>6.35</v>
      </c>
      <c r="Y570">
        <v>131</v>
      </c>
      <c r="Z57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1" spans="2:26" x14ac:dyDescent="0.35">
      <c r="B571">
        <f t="shared" si="113"/>
        <v>569</v>
      </c>
      <c r="C571" t="s">
        <v>86</v>
      </c>
      <c r="D571" t="s">
        <v>176</v>
      </c>
      <c r="E571">
        <f>IF(WEEKNUM(Combined[[#This Row],[Date]], 1) = 53, 1, WEEKNUM(Combined[[#This Row],[Date]], 2))</f>
        <v>6</v>
      </c>
      <c r="F571" t="str">
        <f t="shared" si="131"/>
        <v>Wednesday</v>
      </c>
      <c r="G571" s="41">
        <v>44958</v>
      </c>
      <c r="H571">
        <v>1</v>
      </c>
      <c r="I571" s="1">
        <v>8</v>
      </c>
      <c r="J571" s="2">
        <v>3.5416666666666666E-2</v>
      </c>
      <c r="K571" s="12">
        <f>Combined[[#This Row],[Time Spent]]*24</f>
        <v>0.85</v>
      </c>
      <c r="L571" s="12">
        <f>MROUND(Combined[[#This Row],[Time Spent 2]],0.25)</f>
        <v>0.75</v>
      </c>
      <c r="M571" s="2" t="s">
        <v>91</v>
      </c>
      <c r="N571" t="s">
        <v>82</v>
      </c>
      <c r="O571">
        <f>MATCH(Combined[[#This Row],[Primary Area]],KPIs!$C$4:$C$7,0)</f>
        <v>3</v>
      </c>
      <c r="Q571" s="40">
        <v>45522</v>
      </c>
      <c r="R571" s="40">
        <f t="shared" si="114"/>
        <v>45522</v>
      </c>
      <c r="S571" s="4" t="str">
        <f>TEXT(Mileage[[#This Row],[Date]],"dddd")</f>
        <v>Sunday</v>
      </c>
      <c r="T571" s="4" t="s">
        <v>249</v>
      </c>
      <c r="U571" s="4">
        <v>68</v>
      </c>
      <c r="V571" t="str" cm="1">
        <f t="array" ref="V571">IFERROR(VLOOKUP(MODE(IF(Combined[Date]=Mileage[[#This Row],[Date]],Combined[Area '#])),KPIs!$B$4:$C$7,2,FALSE),VLOOKUP(Mileage[[#This Row],[Date]],Combined[[Date]:[Primary Area]],8,FALSE))</f>
        <v>Portland</v>
      </c>
      <c r="W571" s="105">
        <v>0.80208333333333337</v>
      </c>
      <c r="X571" s="12">
        <v>4.1500000000000004</v>
      </c>
      <c r="Y571">
        <v>64</v>
      </c>
      <c r="Z5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72" spans="2:26" x14ac:dyDescent="0.35">
      <c r="B572">
        <f t="shared" si="113"/>
        <v>570</v>
      </c>
      <c r="C572" t="s">
        <v>86</v>
      </c>
      <c r="D572" t="s">
        <v>176</v>
      </c>
      <c r="E572">
        <f>IF(WEEKNUM(Combined[[#This Row],[Date]], 1) = 53, 1, WEEKNUM(Combined[[#This Row],[Date]], 2))</f>
        <v>6</v>
      </c>
      <c r="F572" t="str">
        <f t="shared" si="131"/>
        <v>Wednesday</v>
      </c>
      <c r="G572" s="41">
        <v>44958</v>
      </c>
      <c r="H572">
        <v>1</v>
      </c>
      <c r="I572" s="1">
        <v>3.75</v>
      </c>
      <c r="J572" s="2">
        <v>1.6666666666666666E-2</v>
      </c>
      <c r="K572" s="12">
        <f>Combined[[#This Row],[Time Spent]]*24</f>
        <v>0.4</v>
      </c>
      <c r="L572" s="12">
        <f>MROUND(Combined[[#This Row],[Time Spent 2]],0.25)</f>
        <v>0.5</v>
      </c>
      <c r="M572" s="2" t="s">
        <v>91</v>
      </c>
      <c r="N572" t="s">
        <v>82</v>
      </c>
      <c r="O572">
        <f>MATCH(Combined[[#This Row],[Primary Area]],KPIs!$C$4:$C$7,0)</f>
        <v>3</v>
      </c>
      <c r="Q572" s="40">
        <v>45525</v>
      </c>
      <c r="R572" s="40">
        <f t="shared" si="114"/>
        <v>45525</v>
      </c>
      <c r="S572" s="4" t="str">
        <f>TEXT(Mileage[[#This Row],[Date]],"dddd")</f>
        <v>Wednesday</v>
      </c>
      <c r="T572" s="4" t="s">
        <v>230</v>
      </c>
      <c r="U572" s="4">
        <v>64</v>
      </c>
      <c r="V572" t="str" cm="1">
        <f t="array" ref="V572">IFERROR(VLOOKUP(MODE(IF(Combined[Date]=Mileage[[#This Row],[Date]],Combined[Area '#])),KPIs!$B$4:$C$7,2,FALSE),VLOOKUP(Mileage[[#This Row],[Date]],Combined[[Date]:[Primary Area]],8,FALSE))</f>
        <v>Portland</v>
      </c>
      <c r="W572" s="105">
        <v>0.71875</v>
      </c>
      <c r="X572" s="12">
        <v>6.02</v>
      </c>
      <c r="Y572">
        <v>136</v>
      </c>
      <c r="Z5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3" spans="2:26" x14ac:dyDescent="0.35">
      <c r="B573">
        <f t="shared" si="113"/>
        <v>571</v>
      </c>
      <c r="C573" t="s">
        <v>86</v>
      </c>
      <c r="D573" t="s">
        <v>176</v>
      </c>
      <c r="E573">
        <f>IF(WEEKNUM(Combined[[#This Row],[Date]], 1) = 53, 1, WEEKNUM(Combined[[#This Row],[Date]], 2))</f>
        <v>6</v>
      </c>
      <c r="F573" t="str">
        <f t="shared" si="131"/>
        <v>Wednesday</v>
      </c>
      <c r="G573" s="41">
        <v>44958</v>
      </c>
      <c r="H573">
        <v>3</v>
      </c>
      <c r="I573" s="1">
        <v>31.01</v>
      </c>
      <c r="J573" s="2">
        <v>9.3055555555555558E-2</v>
      </c>
      <c r="K573" s="12">
        <f>Combined[[#This Row],[Time Spent]]*24</f>
        <v>2.2333333333333334</v>
      </c>
      <c r="L573" s="12">
        <f>MROUND(Combined[[#This Row],[Time Spent 2]],0.25)</f>
        <v>2.25</v>
      </c>
      <c r="M573" s="2" t="s">
        <v>92</v>
      </c>
      <c r="N573" t="s">
        <v>82</v>
      </c>
      <c r="O573">
        <f>MATCH(Combined[[#This Row],[Primary Area]],KPIs!$C$4:$C$7,0)</f>
        <v>3</v>
      </c>
      <c r="Q573" s="40">
        <v>45526</v>
      </c>
      <c r="R573" s="40">
        <f t="shared" si="114"/>
        <v>45526</v>
      </c>
      <c r="S573" s="4" t="str">
        <f>TEXT(Mileage[[#This Row],[Date]],"dddd")</f>
        <v>Thursday</v>
      </c>
      <c r="T573" s="4" t="s">
        <v>249</v>
      </c>
      <c r="U573" s="4">
        <v>68</v>
      </c>
      <c r="V573" t="str" cm="1">
        <f t="array" ref="V573">IFERROR(VLOOKUP(MODE(IF(Combined[Date]=Mileage[[#This Row],[Date]],Combined[Area '#])),KPIs!$B$4:$C$7,2,FALSE),VLOOKUP(Mileage[[#This Row],[Date]],Combined[[Date]:[Primary Area]],8,FALSE))</f>
        <v>Portland</v>
      </c>
      <c r="W573" s="105">
        <v>0.73958333333333337</v>
      </c>
      <c r="X573" s="12">
        <v>6.22</v>
      </c>
      <c r="Y573">
        <v>112</v>
      </c>
      <c r="Z57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4" spans="2:26" x14ac:dyDescent="0.35">
      <c r="B574">
        <f t="shared" si="113"/>
        <v>572</v>
      </c>
      <c r="C574" t="s">
        <v>83</v>
      </c>
      <c r="D574" t="s">
        <v>176</v>
      </c>
      <c r="E574">
        <f>IF(WEEKNUM(Combined[[#This Row],[Date]], 1) = 53, 1, WEEKNUM(Combined[[#This Row],[Date]], 2))</f>
        <v>7</v>
      </c>
      <c r="F574" t="str">
        <f t="shared" ref="F574:F577" si="132">TEXT(WEEKDAY(G574,1),"DDDD")</f>
        <v>Tuesday</v>
      </c>
      <c r="G574" s="41">
        <v>44964</v>
      </c>
      <c r="H574">
        <v>6</v>
      </c>
      <c r="I574" s="1">
        <v>69.31</v>
      </c>
      <c r="J574" s="2">
        <v>0.14861111111111111</v>
      </c>
      <c r="K574" s="12">
        <f>Combined[[#This Row],[Time Spent]]*24</f>
        <v>3.5666666666666664</v>
      </c>
      <c r="L574" s="12">
        <f>MROUND(Combined[[#This Row],[Time Spent 2]],0.25)</f>
        <v>3.5</v>
      </c>
      <c r="M574" s="2" t="s">
        <v>91</v>
      </c>
      <c r="N574" t="s">
        <v>82</v>
      </c>
      <c r="O574">
        <f>MATCH(Combined[[#This Row],[Primary Area]],KPIs!$C$4:$C$7,0)</f>
        <v>3</v>
      </c>
      <c r="Q574" s="40">
        <v>45527</v>
      </c>
      <c r="R574" s="40">
        <f t="shared" si="114"/>
        <v>45527</v>
      </c>
      <c r="S574" s="4" t="str">
        <f>TEXT(Mileage[[#This Row],[Date]],"dddd")</f>
        <v>Friday</v>
      </c>
      <c r="T574" s="4" t="s">
        <v>249</v>
      </c>
      <c r="U574" s="4">
        <v>68</v>
      </c>
      <c r="V574" t="str" cm="1">
        <f t="array" ref="V574">IFERROR(VLOOKUP(MODE(IF(Combined[Date]=Mileage[[#This Row],[Date]],Combined[Area '#])),KPIs!$B$4:$C$7,2,FALSE),VLOOKUP(Mileage[[#This Row],[Date]],Combined[[Date]:[Primary Area]],8,FALSE))</f>
        <v>Portland</v>
      </c>
      <c r="W574" s="105">
        <v>0.71180555555555558</v>
      </c>
      <c r="X574" s="12">
        <v>7.52</v>
      </c>
      <c r="Y574">
        <v>163</v>
      </c>
      <c r="Z57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5" spans="2:26" x14ac:dyDescent="0.35">
      <c r="B575">
        <f t="shared" si="113"/>
        <v>573</v>
      </c>
      <c r="C575" t="s">
        <v>86</v>
      </c>
      <c r="D575" t="s">
        <v>176</v>
      </c>
      <c r="E575">
        <f>IF(WEEKNUM(Combined[[#This Row],[Date]], 1) = 53, 1, WEEKNUM(Combined[[#This Row],[Date]], 2))</f>
        <v>7</v>
      </c>
      <c r="F575" t="str">
        <f t="shared" si="132"/>
        <v>Tuesday</v>
      </c>
      <c r="G575" s="41">
        <v>44964</v>
      </c>
      <c r="H575">
        <v>1</v>
      </c>
      <c r="I575" s="1">
        <v>3.75</v>
      </c>
      <c r="J575" s="2">
        <v>2.0833333333333332E-2</v>
      </c>
      <c r="K575" s="12">
        <f>Combined[[#This Row],[Time Spent]]*24</f>
        <v>0.5</v>
      </c>
      <c r="L575" s="12">
        <f>MROUND(Combined[[#This Row],[Time Spent 2]],0.25)</f>
        <v>0.5</v>
      </c>
      <c r="M575" s="2" t="s">
        <v>91</v>
      </c>
      <c r="N575" t="s">
        <v>82</v>
      </c>
      <c r="O575">
        <f>MATCH(Combined[[#This Row],[Primary Area]],KPIs!$C$4:$C$7,0)</f>
        <v>3</v>
      </c>
      <c r="Q575" s="40">
        <v>45528</v>
      </c>
      <c r="R575" s="40">
        <f t="shared" si="114"/>
        <v>45528</v>
      </c>
      <c r="S575" s="4" t="str">
        <f>TEXT(Mileage[[#This Row],[Date]],"dddd")</f>
        <v>Saturday</v>
      </c>
      <c r="T575" s="4" t="s">
        <v>249</v>
      </c>
      <c r="U575" s="4">
        <v>70</v>
      </c>
      <c r="V575" t="str" cm="1">
        <f t="array" ref="V575">IFERROR(VLOOKUP(MODE(IF(Combined[Date]=Mileage[[#This Row],[Date]],Combined[Area '#])),KPIs!$B$4:$C$7,2,FALSE),VLOOKUP(Mileage[[#This Row],[Date]],Combined[[Date]:[Primary Area]],8,FALSE))</f>
        <v>Portland</v>
      </c>
      <c r="W575" s="105">
        <v>0.68402777777777779</v>
      </c>
      <c r="X575" s="12">
        <v>6.93</v>
      </c>
      <c r="Y575">
        <v>131</v>
      </c>
      <c r="Z57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6" spans="2:26" x14ac:dyDescent="0.35">
      <c r="B576">
        <f t="shared" si="113"/>
        <v>574</v>
      </c>
      <c r="C576" t="s">
        <v>86</v>
      </c>
      <c r="D576" t="s">
        <v>176</v>
      </c>
      <c r="E576">
        <f>IF(WEEKNUM(Combined[[#This Row],[Date]], 1) = 53, 1, WEEKNUM(Combined[[#This Row],[Date]], 2))</f>
        <v>7</v>
      </c>
      <c r="F576" t="str">
        <f t="shared" si="132"/>
        <v>Tuesday</v>
      </c>
      <c r="G576" s="41">
        <v>44964</v>
      </c>
      <c r="H576">
        <v>4</v>
      </c>
      <c r="I576" s="1">
        <v>47</v>
      </c>
      <c r="J576" s="2">
        <v>0.10416666666666667</v>
      </c>
      <c r="K576" s="12">
        <f>Combined[[#This Row],[Time Spent]]*24</f>
        <v>2.5</v>
      </c>
      <c r="L576" s="12">
        <f>MROUND(Combined[[#This Row],[Time Spent 2]],0.25)</f>
        <v>2.5</v>
      </c>
      <c r="M576" s="2" t="s">
        <v>91</v>
      </c>
      <c r="N576" t="s">
        <v>82</v>
      </c>
      <c r="O576">
        <f>MATCH(Combined[[#This Row],[Primary Area]],KPIs!$C$4:$C$7,0)</f>
        <v>3</v>
      </c>
      <c r="Q576" s="40">
        <v>45529</v>
      </c>
      <c r="R576" s="40">
        <f t="shared" si="114"/>
        <v>45529</v>
      </c>
      <c r="S576" s="4" t="str">
        <f>TEXT(Mileage[[#This Row],[Date]],"dddd")</f>
        <v>Sunday</v>
      </c>
      <c r="T576" s="4" t="s">
        <v>285</v>
      </c>
      <c r="U576" s="4">
        <v>72</v>
      </c>
      <c r="V576" t="str" cm="1">
        <f t="array" ref="V576">IFERROR(VLOOKUP(MODE(IF(Combined[Date]=Mileage[[#This Row],[Date]],Combined[Area '#])),KPIs!$B$4:$C$7,2,FALSE),VLOOKUP(Mileage[[#This Row],[Date]],Combined[[Date]:[Primary Area]],8,FALSE))</f>
        <v>Portland</v>
      </c>
      <c r="W576" s="105">
        <v>0.72569444444444442</v>
      </c>
      <c r="X576" s="12">
        <v>5.92</v>
      </c>
      <c r="Y576">
        <v>144</v>
      </c>
      <c r="Z57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7" spans="2:26" x14ac:dyDescent="0.35">
      <c r="B577">
        <f t="shared" si="113"/>
        <v>575</v>
      </c>
      <c r="C577" t="s">
        <v>86</v>
      </c>
      <c r="D577" t="s">
        <v>176</v>
      </c>
      <c r="E577">
        <f>IF(WEEKNUM(Combined[[#This Row],[Date]], 1) = 53, 1, WEEKNUM(Combined[[#This Row],[Date]], 2))</f>
        <v>7</v>
      </c>
      <c r="F577" t="str">
        <f t="shared" si="132"/>
        <v>Tuesday</v>
      </c>
      <c r="G577" s="41">
        <v>44964</v>
      </c>
      <c r="H577">
        <v>1</v>
      </c>
      <c r="I577" s="1">
        <v>6.05</v>
      </c>
      <c r="J577" s="2">
        <v>2.361111111111111E-2</v>
      </c>
      <c r="K577" s="12">
        <f>Combined[[#This Row],[Time Spent]]*24</f>
        <v>0.56666666666666665</v>
      </c>
      <c r="L577" s="12">
        <f>MROUND(Combined[[#This Row],[Time Spent 2]],0.25)</f>
        <v>0.5</v>
      </c>
      <c r="M577" s="2" t="s">
        <v>92</v>
      </c>
      <c r="N577" t="s">
        <v>82</v>
      </c>
      <c r="O577">
        <f>MATCH(Combined[[#This Row],[Primary Area]],KPIs!$C$4:$C$7,0)</f>
        <v>3</v>
      </c>
      <c r="Q577" s="40">
        <v>45530</v>
      </c>
      <c r="R577" s="40">
        <f t="shared" si="114"/>
        <v>45530</v>
      </c>
      <c r="S577" s="4" t="str">
        <f>TEXT(Mileage[[#This Row],[Date]],"dddd")</f>
        <v>Monday</v>
      </c>
      <c r="T577" s="4" t="s">
        <v>276</v>
      </c>
      <c r="U577" s="4">
        <v>66</v>
      </c>
      <c r="V577" t="str" cm="1">
        <f t="array" ref="V577">IFERROR(VLOOKUP(MODE(IF(Combined[Date]=Mileage[[#This Row],[Date]],Combined[Area '#])),KPIs!$B$4:$C$7,2,FALSE),VLOOKUP(Mileage[[#This Row],[Date]],Combined[[Date]:[Primary Area]],8,FALSE))</f>
        <v>Portland</v>
      </c>
      <c r="W577" s="105">
        <v>0.72569444444444442</v>
      </c>
      <c r="X577" s="12">
        <v>5.7</v>
      </c>
      <c r="Y577">
        <v>145</v>
      </c>
      <c r="Z57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78" spans="2:26" x14ac:dyDescent="0.35">
      <c r="B578">
        <f t="shared" si="113"/>
        <v>576</v>
      </c>
      <c r="C578" t="s">
        <v>83</v>
      </c>
      <c r="D578" t="s">
        <v>176</v>
      </c>
      <c r="E578">
        <f>IF(WEEKNUM(Combined[[#This Row],[Date]], 1) = 53, 1, WEEKNUM(Combined[[#This Row],[Date]], 2))</f>
        <v>7</v>
      </c>
      <c r="F578" t="str">
        <f t="shared" ref="F578:F579" si="133">TEXT(WEEKDAY(G578,1),"DDDD")</f>
        <v>Wednesday</v>
      </c>
      <c r="G578" s="41">
        <v>44965</v>
      </c>
      <c r="H578">
        <v>7</v>
      </c>
      <c r="I578" s="1">
        <v>90.58</v>
      </c>
      <c r="J578" s="2">
        <v>0.17986111111111111</v>
      </c>
      <c r="K578" s="12">
        <f>Combined[[#This Row],[Time Spent]]*24</f>
        <v>4.3166666666666664</v>
      </c>
      <c r="L578" s="12">
        <f>MROUND(Combined[[#This Row],[Time Spent 2]],0.25)</f>
        <v>4.25</v>
      </c>
      <c r="M578" s="2" t="s">
        <v>91</v>
      </c>
      <c r="N578" t="s">
        <v>80</v>
      </c>
      <c r="O578">
        <f>MATCH(Combined[[#This Row],[Primary Area]],KPIs!$C$4:$C$7,0)</f>
        <v>2</v>
      </c>
      <c r="Q578" s="40">
        <v>45531</v>
      </c>
      <c r="R578" s="40">
        <f t="shared" si="114"/>
        <v>45531</v>
      </c>
      <c r="S578" s="4" t="str">
        <f>TEXT(Mileage[[#This Row],[Date]],"dddd")</f>
        <v>Tuesday</v>
      </c>
      <c r="T578" s="4" t="s">
        <v>230</v>
      </c>
      <c r="U578" s="4">
        <v>68</v>
      </c>
      <c r="V578" t="str" cm="1">
        <f t="array" ref="V578">IFERROR(VLOOKUP(MODE(IF(Combined[Date]=Mileage[[#This Row],[Date]],Combined[Area '#])),KPIs!$B$4:$C$7,2,FALSE),VLOOKUP(Mileage[[#This Row],[Date]],Combined[[Date]:[Primary Area]],8,FALSE))</f>
        <v>Portland</v>
      </c>
      <c r="W578" s="105">
        <v>0.71875</v>
      </c>
      <c r="X578" s="12">
        <v>5.47</v>
      </c>
      <c r="Y578">
        <v>90</v>
      </c>
      <c r="Z5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79" spans="2:26" x14ac:dyDescent="0.35">
      <c r="B579">
        <f t="shared" ref="B579:B642" si="134">ROW()-2</f>
        <v>577</v>
      </c>
      <c r="C579" t="s">
        <v>86</v>
      </c>
      <c r="D579" t="s">
        <v>175</v>
      </c>
      <c r="E579">
        <f>IF(WEEKNUM(Combined[[#This Row],[Date]], 1) = 53, 1, WEEKNUM(Combined[[#This Row],[Date]], 2))</f>
        <v>7</v>
      </c>
      <c r="F579" t="str">
        <f t="shared" si="133"/>
        <v>Wednesday</v>
      </c>
      <c r="G579" s="41">
        <v>44965</v>
      </c>
      <c r="H579">
        <v>1</v>
      </c>
      <c r="I579" s="1">
        <v>10.37</v>
      </c>
      <c r="J579" s="2">
        <v>7.6388888888888895E-2</v>
      </c>
      <c r="K579" s="12">
        <f>Combined[[#This Row],[Time Spent]]*24</f>
        <v>1.8333333333333335</v>
      </c>
      <c r="L579" s="12">
        <f>MROUND(Combined[[#This Row],[Time Spent 2]],0.25)</f>
        <v>1.75</v>
      </c>
      <c r="M579" s="2" t="s">
        <v>91</v>
      </c>
      <c r="N579" t="s">
        <v>80</v>
      </c>
      <c r="O579">
        <f>MATCH(Combined[[#This Row],[Primary Area]],KPIs!$C$4:$C$7,0)</f>
        <v>2</v>
      </c>
      <c r="Q579" s="40">
        <v>45532</v>
      </c>
      <c r="R579" s="40">
        <f t="shared" ref="R579:R642" si="135">Q579</f>
        <v>45532</v>
      </c>
      <c r="S579" s="4" t="str">
        <f>TEXT(Mileage[[#This Row],[Date]],"dddd")</f>
        <v>Wednesday</v>
      </c>
      <c r="T579" s="4" t="s">
        <v>230</v>
      </c>
      <c r="U579" s="4">
        <v>66</v>
      </c>
      <c r="V579" t="str" cm="1">
        <f t="array" ref="V579">IFERROR(VLOOKUP(MODE(IF(Combined[Date]=Mileage[[#This Row],[Date]],Combined[Area '#])),KPIs!$B$4:$C$7,2,FALSE),VLOOKUP(Mileage[[#This Row],[Date]],Combined[[Date]:[Primary Area]],8,FALSE))</f>
        <v>Brunswick/Bath/Freeport</v>
      </c>
      <c r="W579" s="105">
        <v>0.70486111111111116</v>
      </c>
      <c r="X579" s="12">
        <v>2.73</v>
      </c>
      <c r="Y579">
        <v>50</v>
      </c>
      <c r="Z57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80" spans="2:26" x14ac:dyDescent="0.35">
      <c r="B580">
        <f t="shared" si="134"/>
        <v>578</v>
      </c>
      <c r="C580" t="s">
        <v>86</v>
      </c>
      <c r="D580" t="s">
        <v>176</v>
      </c>
      <c r="E580">
        <f>IF(WEEKNUM(Combined[[#This Row],[Date]], 1) = 53, 1, WEEKNUM(Combined[[#This Row],[Date]], 2))</f>
        <v>7</v>
      </c>
      <c r="F580" t="str">
        <f t="shared" ref="F580" si="136">TEXT(WEEKDAY(G580,1),"DDDD")</f>
        <v>Thursday</v>
      </c>
      <c r="G580" s="41">
        <v>44966</v>
      </c>
      <c r="H580">
        <v>9</v>
      </c>
      <c r="I580" s="1">
        <v>75.209999999999994</v>
      </c>
      <c r="J580" s="2">
        <v>0.14166666666666666</v>
      </c>
      <c r="K580" s="12">
        <f>Combined[[#This Row],[Time Spent]]*24</f>
        <v>3.4</v>
      </c>
      <c r="L580" s="12">
        <f>MROUND(Combined[[#This Row],[Time Spent 2]],0.25)</f>
        <v>3.5</v>
      </c>
      <c r="M580" s="2" t="s">
        <v>91</v>
      </c>
      <c r="N580" t="s">
        <v>82</v>
      </c>
      <c r="O580">
        <f>MATCH(Combined[[#This Row],[Primary Area]],KPIs!$C$4:$C$7,0)</f>
        <v>3</v>
      </c>
      <c r="Q580" s="40">
        <v>45537</v>
      </c>
      <c r="R580" s="40">
        <f t="shared" si="135"/>
        <v>45537</v>
      </c>
      <c r="S580" s="4" t="str">
        <f>TEXT(Mileage[[#This Row],[Date]],"dddd")</f>
        <v>Monday</v>
      </c>
      <c r="T580" s="4" t="s">
        <v>230</v>
      </c>
      <c r="U580" s="4">
        <v>64</v>
      </c>
      <c r="V580" t="str" cm="1">
        <f t="array" ref="V580">IFERROR(VLOOKUP(MODE(IF(Combined[Date]=Mileage[[#This Row],[Date]],Combined[Area '#])),KPIs!$B$4:$C$7,2,FALSE),VLOOKUP(Mileage[[#This Row],[Date]],Combined[[Date]:[Primary Area]],8,FALSE))</f>
        <v>Portland</v>
      </c>
      <c r="W580" s="105">
        <v>0.65277777777777779</v>
      </c>
      <c r="X580" s="12">
        <v>6.78</v>
      </c>
      <c r="Y580">
        <v>103</v>
      </c>
      <c r="Z5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81" spans="2:26" x14ac:dyDescent="0.35">
      <c r="B581">
        <f t="shared" si="134"/>
        <v>579</v>
      </c>
      <c r="C581" t="s">
        <v>83</v>
      </c>
      <c r="D581" t="s">
        <v>176</v>
      </c>
      <c r="E581">
        <f>IF(WEEKNUM(Combined[[#This Row],[Date]], 1) = 53, 1, WEEKNUM(Combined[[#This Row],[Date]], 2))</f>
        <v>7</v>
      </c>
      <c r="F581" t="str">
        <f t="shared" ref="F581:F583" si="137">TEXT(WEEKDAY(G581,1),"DDDD")</f>
        <v>Friday</v>
      </c>
      <c r="G581" s="41">
        <v>44967</v>
      </c>
      <c r="H581">
        <v>1</v>
      </c>
      <c r="I581" s="1">
        <v>6.4</v>
      </c>
      <c r="J581" s="2">
        <v>9.0277777777777776E-2</v>
      </c>
      <c r="K581" s="12">
        <f>Combined[[#This Row],[Time Spent]]*24</f>
        <v>2.1666666666666665</v>
      </c>
      <c r="L581" s="12">
        <f>MROUND(Combined[[#This Row],[Time Spent 2]],0.25)</f>
        <v>2.25</v>
      </c>
      <c r="M581" s="2" t="s">
        <v>91</v>
      </c>
      <c r="N581" t="s">
        <v>82</v>
      </c>
      <c r="O581">
        <f>MATCH(Combined[[#This Row],[Primary Area]],KPIs!$C$4:$C$7,0)</f>
        <v>3</v>
      </c>
      <c r="Q581" s="40">
        <v>45540</v>
      </c>
      <c r="R581" s="40">
        <f t="shared" si="135"/>
        <v>45540</v>
      </c>
      <c r="S581" s="4" t="str">
        <f>TEXT(Mileage[[#This Row],[Date]],"dddd")</f>
        <v>Thursday</v>
      </c>
      <c r="T581" s="4" t="s">
        <v>230</v>
      </c>
      <c r="U581" s="4">
        <v>70</v>
      </c>
      <c r="V581" t="str" cm="1">
        <f t="array" ref="V581">IFERROR(VLOOKUP(MODE(IF(Combined[Date]=Mileage[[#This Row],[Date]],Combined[Area '#])),KPIs!$B$4:$C$7,2,FALSE),VLOOKUP(Mileage[[#This Row],[Date]],Combined[[Date]:[Primary Area]],8,FALSE))</f>
        <v>Lewiston</v>
      </c>
      <c r="W581" s="105">
        <v>0.78472222222222221</v>
      </c>
      <c r="X581" s="12">
        <v>3.58</v>
      </c>
      <c r="Y581">
        <v>46</v>
      </c>
      <c r="Z58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2" spans="2:26" x14ac:dyDescent="0.35">
      <c r="B582">
        <f t="shared" si="134"/>
        <v>580</v>
      </c>
      <c r="C582" t="s">
        <v>86</v>
      </c>
      <c r="D582" t="s">
        <v>176</v>
      </c>
      <c r="E582">
        <f>IF(WEEKNUM(Combined[[#This Row],[Date]], 1) = 53, 1, WEEKNUM(Combined[[#This Row],[Date]], 2))</f>
        <v>7</v>
      </c>
      <c r="F582" t="str">
        <f t="shared" si="137"/>
        <v>Friday</v>
      </c>
      <c r="G582" s="41">
        <v>44967</v>
      </c>
      <c r="H582">
        <v>17</v>
      </c>
      <c r="I582" s="1">
        <v>117</v>
      </c>
      <c r="J582" s="2">
        <v>0.28402777777777777</v>
      </c>
      <c r="K582" s="12">
        <f>Combined[[#This Row],[Time Spent]]*24</f>
        <v>6.8166666666666664</v>
      </c>
      <c r="L582" s="12">
        <f>MROUND(Combined[[#This Row],[Time Spent 2]],0.25)</f>
        <v>6.75</v>
      </c>
      <c r="M582" s="2" t="s">
        <v>91</v>
      </c>
      <c r="N582" t="s">
        <v>82</v>
      </c>
      <c r="O582">
        <f>MATCH(Combined[[#This Row],[Primary Area]],KPIs!$C$4:$C$7,0)</f>
        <v>3</v>
      </c>
      <c r="Q582" s="40">
        <v>45541</v>
      </c>
      <c r="R582" s="40">
        <f t="shared" si="135"/>
        <v>45541</v>
      </c>
      <c r="S582" s="4" t="str">
        <f>TEXT(Mileage[[#This Row],[Date]],"dddd")</f>
        <v>Friday</v>
      </c>
      <c r="T582" s="4" t="s">
        <v>249</v>
      </c>
      <c r="U582" s="4">
        <v>63</v>
      </c>
      <c r="V582" t="str" cm="1">
        <f t="array" ref="V582">IFERROR(VLOOKUP(MODE(IF(Combined[Date]=Mileage[[#This Row],[Date]],Combined[Area '#])),KPIs!$B$4:$C$7,2,FALSE),VLOOKUP(Mileage[[#This Row],[Date]],Combined[[Date]:[Primary Area]],8,FALSE))</f>
        <v>Portland</v>
      </c>
      <c r="W582" s="105">
        <v>0.72222222222222221</v>
      </c>
      <c r="X582" s="12">
        <v>6.05</v>
      </c>
      <c r="Y582">
        <v>109</v>
      </c>
      <c r="Z58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3" spans="2:26" x14ac:dyDescent="0.35">
      <c r="B583">
        <f t="shared" si="134"/>
        <v>581</v>
      </c>
      <c r="C583" t="s">
        <v>86</v>
      </c>
      <c r="D583" t="s">
        <v>176</v>
      </c>
      <c r="E583">
        <f>IF(WEEKNUM(Combined[[#This Row],[Date]], 1) = 53, 1, WEEKNUM(Combined[[#This Row],[Date]], 2))</f>
        <v>7</v>
      </c>
      <c r="F583" t="str">
        <f t="shared" si="137"/>
        <v>Friday</v>
      </c>
      <c r="G583" s="41">
        <v>44967</v>
      </c>
      <c r="H583">
        <v>1</v>
      </c>
      <c r="I583" s="1">
        <v>10</v>
      </c>
      <c r="J583" s="2">
        <v>2.2916666666666669E-2</v>
      </c>
      <c r="K583" s="12">
        <f>Combined[[#This Row],[Time Spent]]*24</f>
        <v>0.55000000000000004</v>
      </c>
      <c r="L583" s="12">
        <f>MROUND(Combined[[#This Row],[Time Spent 2]],0.25)</f>
        <v>0.5</v>
      </c>
      <c r="M583" s="2" t="s">
        <v>92</v>
      </c>
      <c r="N583" t="s">
        <v>82</v>
      </c>
      <c r="O583">
        <f>MATCH(Combined[[#This Row],[Primary Area]],KPIs!$C$4:$C$7,0)</f>
        <v>3</v>
      </c>
      <c r="Q583" s="40">
        <v>45542</v>
      </c>
      <c r="R583" s="40">
        <f t="shared" si="135"/>
        <v>45542</v>
      </c>
      <c r="S583" s="4" t="str">
        <f>TEXT(Mileage[[#This Row],[Date]],"dddd")</f>
        <v>Saturday</v>
      </c>
      <c r="T583" s="4" t="s">
        <v>285</v>
      </c>
      <c r="U583" s="4">
        <v>64</v>
      </c>
      <c r="V583" t="str" cm="1">
        <f t="array" ref="V583">IFERROR(VLOOKUP(MODE(IF(Combined[Date]=Mileage[[#This Row],[Date]],Combined[Area '#])),KPIs!$B$4:$C$7,2,FALSE),VLOOKUP(Mileage[[#This Row],[Date]],Combined[[Date]:[Primary Area]],8,FALSE))</f>
        <v>Portland</v>
      </c>
      <c r="W583" s="105">
        <v>0.80555555555555558</v>
      </c>
      <c r="X583" s="12">
        <v>3.95</v>
      </c>
      <c r="Y583">
        <v>104</v>
      </c>
      <c r="Z5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4" spans="2:26" x14ac:dyDescent="0.35">
      <c r="B584">
        <f t="shared" si="134"/>
        <v>582</v>
      </c>
      <c r="C584" t="s">
        <v>83</v>
      </c>
      <c r="D584" t="s">
        <v>176</v>
      </c>
      <c r="E584">
        <f>IF(WEEKNUM(Combined[[#This Row],[Date]], 1) = 53, 1, WEEKNUM(Combined[[#This Row],[Date]], 2))</f>
        <v>7</v>
      </c>
      <c r="F584" t="str">
        <f t="shared" ref="F584:F585" si="138">TEXT(WEEKDAY(G584,1),"DDDD")</f>
        <v>Saturday</v>
      </c>
      <c r="G584" s="41">
        <v>44968</v>
      </c>
      <c r="H584">
        <v>2</v>
      </c>
      <c r="I584" s="1">
        <v>31.78</v>
      </c>
      <c r="J584" s="2">
        <v>6.458333333333334E-2</v>
      </c>
      <c r="K584" s="12">
        <f>Combined[[#This Row],[Time Spent]]*24</f>
        <v>1.5500000000000003</v>
      </c>
      <c r="L584" s="12">
        <f>MROUND(Combined[[#This Row],[Time Spent 2]],0.25)</f>
        <v>1.5</v>
      </c>
      <c r="M584" s="2" t="s">
        <v>91</v>
      </c>
      <c r="N584" t="s">
        <v>80</v>
      </c>
      <c r="O584">
        <f>MATCH(Combined[[#This Row],[Primary Area]],KPIs!$C$4:$C$7,0)</f>
        <v>2</v>
      </c>
      <c r="Q584" s="40">
        <v>45544</v>
      </c>
      <c r="R584" s="40">
        <f t="shared" si="135"/>
        <v>45544</v>
      </c>
      <c r="S584" s="4" t="str">
        <f>TEXT(Mileage[[#This Row],[Date]],"dddd")</f>
        <v>Monday</v>
      </c>
      <c r="T584" s="4" t="s">
        <v>249</v>
      </c>
      <c r="U584" s="4">
        <v>64</v>
      </c>
      <c r="V584" t="str" cm="1">
        <f t="array" ref="V584">IFERROR(VLOOKUP(MODE(IF(Combined[Date]=Mileage[[#This Row],[Date]],Combined[Area '#])),KPIs!$B$4:$C$7,2,FALSE),VLOOKUP(Mileage[[#This Row],[Date]],Combined[[Date]:[Primary Area]],8,FALSE))</f>
        <v>Brunswick/Bath/Freeport</v>
      </c>
      <c r="W584" s="105">
        <v>0.74305555555555558</v>
      </c>
      <c r="X584" s="12">
        <v>5.8</v>
      </c>
      <c r="Y584">
        <v>133</v>
      </c>
      <c r="Z58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85" spans="2:26" x14ac:dyDescent="0.35">
      <c r="B585">
        <f t="shared" si="134"/>
        <v>583</v>
      </c>
      <c r="C585" t="s">
        <v>86</v>
      </c>
      <c r="D585" t="s">
        <v>176</v>
      </c>
      <c r="E585">
        <f>IF(WEEKNUM(Combined[[#This Row],[Date]], 1) = 53, 1, WEEKNUM(Combined[[#This Row],[Date]], 2))</f>
        <v>7</v>
      </c>
      <c r="F585" t="str">
        <f t="shared" si="138"/>
        <v>Saturday</v>
      </c>
      <c r="G585" s="41">
        <v>44968</v>
      </c>
      <c r="H585">
        <v>8</v>
      </c>
      <c r="I585" s="1">
        <v>86.25</v>
      </c>
      <c r="J585" s="2">
        <v>0.18819444444444444</v>
      </c>
      <c r="K585" s="12">
        <f>Combined[[#This Row],[Time Spent]]*24</f>
        <v>4.5166666666666666</v>
      </c>
      <c r="L585" s="12">
        <f>MROUND(Combined[[#This Row],[Time Spent 2]],0.25)</f>
        <v>4.5</v>
      </c>
      <c r="M585" s="2" t="s">
        <v>91</v>
      </c>
      <c r="N585" t="s">
        <v>80</v>
      </c>
      <c r="O585">
        <f>MATCH(Combined[[#This Row],[Primary Area]],KPIs!$C$4:$C$7,0)</f>
        <v>2</v>
      </c>
      <c r="Q585" s="40">
        <v>45545</v>
      </c>
      <c r="R585" s="40">
        <f t="shared" si="135"/>
        <v>45545</v>
      </c>
      <c r="S585" s="4" t="str">
        <f>TEXT(Mileage[[#This Row],[Date]],"dddd")</f>
        <v>Tuesday</v>
      </c>
      <c r="T585" s="4" t="s">
        <v>230</v>
      </c>
      <c r="U585" s="4">
        <v>63</v>
      </c>
      <c r="V585" t="str" cm="1">
        <f t="array" ref="V585">IFERROR(VLOOKUP(MODE(IF(Combined[Date]=Mileage[[#This Row],[Date]],Combined[Area '#])),KPIs!$B$4:$C$7,2,FALSE),VLOOKUP(Mileage[[#This Row],[Date]],Combined[[Date]:[Primary Area]],8,FALSE))</f>
        <v>Brunswick/Bath/Freeport</v>
      </c>
      <c r="W585" s="105">
        <v>0.73611111111111116</v>
      </c>
      <c r="X585" s="12">
        <v>5.3</v>
      </c>
      <c r="Y585">
        <v>119</v>
      </c>
      <c r="Z58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6" spans="2:26" x14ac:dyDescent="0.35">
      <c r="B586">
        <f t="shared" si="134"/>
        <v>584</v>
      </c>
      <c r="C586" t="s">
        <v>83</v>
      </c>
      <c r="D586" t="s">
        <v>176</v>
      </c>
      <c r="E586">
        <f>IF(WEEKNUM(Combined[[#This Row],[Date]], 1) = 53, 1, WEEKNUM(Combined[[#This Row],[Date]], 2))</f>
        <v>7</v>
      </c>
      <c r="F586" t="str">
        <f t="shared" ref="F586:F587" si="139">TEXT(WEEKDAY(G586,1),"DDDD")</f>
        <v>Sunday</v>
      </c>
      <c r="G586" s="41">
        <v>44969</v>
      </c>
      <c r="H586">
        <v>3</v>
      </c>
      <c r="I586" s="1">
        <v>40.67</v>
      </c>
      <c r="J586" s="2">
        <v>9.6527777777777768E-2</v>
      </c>
      <c r="K586" s="12">
        <f>Combined[[#This Row],[Time Spent]]*24</f>
        <v>2.3166666666666664</v>
      </c>
      <c r="L586" s="12">
        <f>MROUND(Combined[[#This Row],[Time Spent 2]],0.25)</f>
        <v>2.25</v>
      </c>
      <c r="M586" s="2" t="s">
        <v>91</v>
      </c>
      <c r="N586" t="s">
        <v>82</v>
      </c>
      <c r="O586">
        <f>MATCH(Combined[[#This Row],[Primary Area]],KPIs!$C$4:$C$7,0)</f>
        <v>3</v>
      </c>
      <c r="Q586" s="40">
        <v>45546</v>
      </c>
      <c r="R586" s="40">
        <f t="shared" si="135"/>
        <v>45546</v>
      </c>
      <c r="S586" s="4" t="str">
        <f>TEXT(Mileage[[#This Row],[Date]],"dddd")</f>
        <v>Wednesday</v>
      </c>
      <c r="T586" s="4" t="s">
        <v>230</v>
      </c>
      <c r="U586" s="4">
        <v>66</v>
      </c>
      <c r="V586" t="str" cm="1">
        <f t="array" ref="V586">IFERROR(VLOOKUP(MODE(IF(Combined[Date]=Mileage[[#This Row],[Date]],Combined[Area '#])),KPIs!$B$4:$C$7,2,FALSE),VLOOKUP(Mileage[[#This Row],[Date]],Combined[[Date]:[Primary Area]],8,FALSE))</f>
        <v>Brunswick/Bath/Freeport</v>
      </c>
      <c r="W586" s="105">
        <v>0.71527777777777779</v>
      </c>
      <c r="X586" s="12">
        <v>5.98</v>
      </c>
      <c r="Y586">
        <v>119</v>
      </c>
      <c r="Z5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7" spans="2:26" x14ac:dyDescent="0.35">
      <c r="B587">
        <f t="shared" si="134"/>
        <v>585</v>
      </c>
      <c r="C587" t="s">
        <v>86</v>
      </c>
      <c r="D587" t="s">
        <v>176</v>
      </c>
      <c r="E587">
        <f>IF(WEEKNUM(Combined[[#This Row],[Date]], 1) = 53, 1, WEEKNUM(Combined[[#This Row],[Date]], 2))</f>
        <v>7</v>
      </c>
      <c r="F587" t="str">
        <f t="shared" si="139"/>
        <v>Sunday</v>
      </c>
      <c r="G587" s="41">
        <v>44969</v>
      </c>
      <c r="H587">
        <v>8</v>
      </c>
      <c r="I587" s="1">
        <v>65</v>
      </c>
      <c r="J587" s="2">
        <v>0.21388888888888891</v>
      </c>
      <c r="K587" s="12">
        <f>Combined[[#This Row],[Time Spent]]*24</f>
        <v>5.1333333333333337</v>
      </c>
      <c r="L587" s="12">
        <f>MROUND(Combined[[#This Row],[Time Spent 2]],0.25)</f>
        <v>5.25</v>
      </c>
      <c r="M587" s="2" t="s">
        <v>91</v>
      </c>
      <c r="N587" t="s">
        <v>82</v>
      </c>
      <c r="O587">
        <f>MATCH(Combined[[#This Row],[Primary Area]],KPIs!$C$4:$C$7,0)</f>
        <v>3</v>
      </c>
      <c r="Q587" s="40">
        <v>45547</v>
      </c>
      <c r="R587" s="40">
        <f t="shared" si="135"/>
        <v>45547</v>
      </c>
      <c r="S587" s="4" t="str">
        <f>TEXT(Mileage[[#This Row],[Date]],"dddd")</f>
        <v>Thursday</v>
      </c>
      <c r="T587" s="4" t="s">
        <v>230</v>
      </c>
      <c r="U587" s="4">
        <v>70</v>
      </c>
      <c r="V587" t="str" cm="1">
        <f t="array" ref="V587">IFERROR(VLOOKUP(MODE(IF(Combined[Date]=Mileage[[#This Row],[Date]],Combined[Area '#])),KPIs!$B$4:$C$7,2,FALSE),VLOOKUP(Mileage[[#This Row],[Date]],Combined[[Date]:[Primary Area]],8,FALSE))</f>
        <v>Lewiston</v>
      </c>
      <c r="W587" s="105">
        <v>0.72222222222222221</v>
      </c>
      <c r="X587" s="12">
        <v>6.2</v>
      </c>
      <c r="Y587">
        <v>101</v>
      </c>
      <c r="Z58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88" spans="2:26" x14ac:dyDescent="0.35">
      <c r="B588">
        <f t="shared" si="134"/>
        <v>586</v>
      </c>
      <c r="C588" t="s">
        <v>83</v>
      </c>
      <c r="D588" t="s">
        <v>176</v>
      </c>
      <c r="E588">
        <f>IF(WEEKNUM(Combined[[#This Row],[Date]], 1) = 53, 1, WEEKNUM(Combined[[#This Row],[Date]], 2))</f>
        <v>8</v>
      </c>
      <c r="F588" t="str">
        <f t="shared" ref="F588:F589" si="140">TEXT(WEEKDAY(G588,1),"DDDD")</f>
        <v>Tuesday</v>
      </c>
      <c r="G588" s="41">
        <v>44971</v>
      </c>
      <c r="H588">
        <v>8</v>
      </c>
      <c r="I588" s="1">
        <v>154.87</v>
      </c>
      <c r="J588" s="2">
        <v>0.13125000000000001</v>
      </c>
      <c r="K588" s="12">
        <f>Combined[[#This Row],[Time Spent]]*24</f>
        <v>3.1500000000000004</v>
      </c>
      <c r="L588" s="12">
        <f>MROUND(Combined[[#This Row],[Time Spent 2]],0.25)</f>
        <v>3.25</v>
      </c>
      <c r="M588" s="2" t="s">
        <v>91</v>
      </c>
      <c r="N588" t="s">
        <v>80</v>
      </c>
      <c r="O588">
        <f>MATCH(Combined[[#This Row],[Primary Area]],KPIs!$C$4:$C$7,0)</f>
        <v>2</v>
      </c>
      <c r="Q588" s="40">
        <v>45548</v>
      </c>
      <c r="R588" s="40">
        <f t="shared" si="135"/>
        <v>45548</v>
      </c>
      <c r="S588" s="4" t="str">
        <f>TEXT(Mileage[[#This Row],[Date]],"dddd")</f>
        <v>Friday</v>
      </c>
      <c r="T588" s="4" t="s">
        <v>230</v>
      </c>
      <c r="U588" s="4">
        <v>79</v>
      </c>
      <c r="V588" t="str" cm="1">
        <f t="array" ref="V588">IFERROR(VLOOKUP(MODE(IF(Combined[Date]=Mileage[[#This Row],[Date]],Combined[Area '#])),KPIs!$B$4:$C$7,2,FALSE),VLOOKUP(Mileage[[#This Row],[Date]],Combined[[Date]:[Primary Area]],8,FALSE))</f>
        <v>Lewiston</v>
      </c>
      <c r="W588" s="105">
        <v>0.73958333333333337</v>
      </c>
      <c r="X588" s="12">
        <v>7.1</v>
      </c>
      <c r="Y588">
        <v>147</v>
      </c>
      <c r="Z58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89" spans="2:26" x14ac:dyDescent="0.35">
      <c r="B589">
        <f t="shared" si="134"/>
        <v>587</v>
      </c>
      <c r="C589" t="s">
        <v>86</v>
      </c>
      <c r="D589" t="s">
        <v>176</v>
      </c>
      <c r="E589">
        <f>IF(WEEKNUM(Combined[[#This Row],[Date]], 1) = 53, 1, WEEKNUM(Combined[[#This Row],[Date]], 2))</f>
        <v>8</v>
      </c>
      <c r="F589" t="str">
        <f t="shared" si="140"/>
        <v>Tuesday</v>
      </c>
      <c r="G589" s="41">
        <v>44971</v>
      </c>
      <c r="H589">
        <v>6</v>
      </c>
      <c r="I589" s="1">
        <v>39.75</v>
      </c>
      <c r="J589" s="2">
        <v>9.7916666666666666E-2</v>
      </c>
      <c r="K589" s="12">
        <f>Combined[[#This Row],[Time Spent]]*24</f>
        <v>2.35</v>
      </c>
      <c r="L589" s="12">
        <f>MROUND(Combined[[#This Row],[Time Spent 2]],0.25)</f>
        <v>2.25</v>
      </c>
      <c r="M589" s="2" t="s">
        <v>91</v>
      </c>
      <c r="N589" t="s">
        <v>80</v>
      </c>
      <c r="O589">
        <f>MATCH(Combined[[#This Row],[Primary Area]],KPIs!$C$4:$C$7,0)</f>
        <v>2</v>
      </c>
      <c r="Q589" s="40">
        <v>45549</v>
      </c>
      <c r="R589" s="40">
        <f t="shared" si="135"/>
        <v>45549</v>
      </c>
      <c r="S589" s="4" t="str">
        <f>TEXT(Mileage[[#This Row],[Date]],"dddd")</f>
        <v>Saturday</v>
      </c>
      <c r="T589" s="4" t="s">
        <v>230</v>
      </c>
      <c r="U589" s="4">
        <v>68</v>
      </c>
      <c r="V589" t="str" cm="1">
        <f t="array" ref="V589">IFERROR(VLOOKUP(MODE(IF(Combined[Date]=Mileage[[#This Row],[Date]],Combined[Area '#])),KPIs!$B$4:$C$7,2,FALSE),VLOOKUP(Mileage[[#This Row],[Date]],Combined[[Date]:[Primary Area]],8,FALSE))</f>
        <v>Lewiston</v>
      </c>
      <c r="W589" s="105">
        <v>0.68402777777777779</v>
      </c>
      <c r="X589" s="12">
        <v>5.88</v>
      </c>
      <c r="Y589">
        <v>122</v>
      </c>
      <c r="Z58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0" spans="2:26" x14ac:dyDescent="0.35">
      <c r="B590">
        <f t="shared" si="134"/>
        <v>588</v>
      </c>
      <c r="C590" t="s">
        <v>83</v>
      </c>
      <c r="D590" t="s">
        <v>176</v>
      </c>
      <c r="E590">
        <f>IF(WEEKNUM(Combined[[#This Row],[Date]], 1) = 53, 1, WEEKNUM(Combined[[#This Row],[Date]], 2))</f>
        <v>8</v>
      </c>
      <c r="F590" t="str">
        <f t="shared" ref="F590:F592" si="141">TEXT(WEEKDAY(G590,1),"DDDD")</f>
        <v>Wednesday</v>
      </c>
      <c r="G590" s="41">
        <v>44972</v>
      </c>
      <c r="H590">
        <v>1</v>
      </c>
      <c r="I590" s="1">
        <v>14.09</v>
      </c>
      <c r="J590" s="2">
        <v>4.7916666666666663E-2</v>
      </c>
      <c r="K590" s="12">
        <f>Combined[[#This Row],[Time Spent]]*24</f>
        <v>1.1499999999999999</v>
      </c>
      <c r="L590" s="12">
        <f>MROUND(Combined[[#This Row],[Time Spent 2]],0.25)</f>
        <v>1.25</v>
      </c>
      <c r="M590" s="2" t="s">
        <v>91</v>
      </c>
      <c r="N590" t="s">
        <v>80</v>
      </c>
      <c r="O590">
        <f>MATCH(Combined[[#This Row],[Primary Area]],KPIs!$C$4:$C$7,0)</f>
        <v>2</v>
      </c>
      <c r="Q590" s="40">
        <v>45550</v>
      </c>
      <c r="R590" s="40">
        <f t="shared" si="135"/>
        <v>45550</v>
      </c>
      <c r="S590" s="4" t="str">
        <f>TEXT(Mileage[[#This Row],[Date]],"dddd")</f>
        <v>Sunday</v>
      </c>
      <c r="T590" s="4" t="s">
        <v>281</v>
      </c>
      <c r="U590" s="4">
        <v>81</v>
      </c>
      <c r="V590" t="str" cm="1">
        <f t="array" ref="V590">IFERROR(VLOOKUP(MODE(IF(Combined[Date]=Mileage[[#This Row],[Date]],Combined[Area '#])),KPIs!$B$4:$C$7,2,FALSE),VLOOKUP(Mileage[[#This Row],[Date]],Combined[[Date]:[Primary Area]],8,FALSE))</f>
        <v>Brunswick/Bath/Freeport</v>
      </c>
      <c r="W590" s="105">
        <v>0.46180555555555558</v>
      </c>
      <c r="X590" s="12">
        <v>4.58</v>
      </c>
      <c r="Y590">
        <v>101</v>
      </c>
      <c r="Z5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1" spans="2:26" x14ac:dyDescent="0.35">
      <c r="B591">
        <f t="shared" si="134"/>
        <v>589</v>
      </c>
      <c r="C591" t="s">
        <v>86</v>
      </c>
      <c r="D591" t="s">
        <v>176</v>
      </c>
      <c r="E591">
        <f>IF(WEEKNUM(Combined[[#This Row],[Date]], 1) = 53, 1, WEEKNUM(Combined[[#This Row],[Date]], 2))</f>
        <v>8</v>
      </c>
      <c r="F591" t="str">
        <f t="shared" si="141"/>
        <v>Wednesday</v>
      </c>
      <c r="G591" s="41">
        <v>44972</v>
      </c>
      <c r="H591">
        <v>8</v>
      </c>
      <c r="I591" s="1">
        <v>68.25</v>
      </c>
      <c r="J591" s="2">
        <v>0.15208333333333332</v>
      </c>
      <c r="K591" s="12">
        <f>Combined[[#This Row],[Time Spent]]*24</f>
        <v>3.6499999999999995</v>
      </c>
      <c r="L591" s="12">
        <f>MROUND(Combined[[#This Row],[Time Spent 2]],0.25)</f>
        <v>3.75</v>
      </c>
      <c r="M591" s="2" t="s">
        <v>91</v>
      </c>
      <c r="N591" t="s">
        <v>80</v>
      </c>
      <c r="O591">
        <f>MATCH(Combined[[#This Row],[Primary Area]],KPIs!$C$4:$C$7,0)</f>
        <v>2</v>
      </c>
      <c r="Q591" s="40">
        <v>45555</v>
      </c>
      <c r="R591" s="40">
        <f t="shared" si="135"/>
        <v>45555</v>
      </c>
      <c r="S591" s="4" t="str">
        <f>TEXT(Mileage[[#This Row],[Date]],"dddd")</f>
        <v>Friday</v>
      </c>
      <c r="T591" s="4" t="s">
        <v>325</v>
      </c>
      <c r="U591" s="4">
        <v>63</v>
      </c>
      <c r="V591" t="str" cm="1">
        <f t="array" ref="V591">IFERROR(VLOOKUP(MODE(IF(Combined[Date]=Mileage[[#This Row],[Date]],Combined[Area '#])),KPIs!$B$4:$C$7,2,FALSE),VLOOKUP(Mileage[[#This Row],[Date]],Combined[[Date]:[Primary Area]],8,FALSE))</f>
        <v>Portland</v>
      </c>
      <c r="W591" s="105">
        <v>0.73611111111111116</v>
      </c>
      <c r="X591" s="12">
        <v>7.13</v>
      </c>
      <c r="Y591">
        <v>141</v>
      </c>
      <c r="Z59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92" spans="2:26" x14ac:dyDescent="0.35">
      <c r="B592">
        <f t="shared" si="134"/>
        <v>590</v>
      </c>
      <c r="C592" t="s">
        <v>86</v>
      </c>
      <c r="D592" t="s">
        <v>175</v>
      </c>
      <c r="E592">
        <f>IF(WEEKNUM(Combined[[#This Row],[Date]], 1) = 53, 1, WEEKNUM(Combined[[#This Row],[Date]], 2))</f>
        <v>8</v>
      </c>
      <c r="F592" t="str">
        <f t="shared" si="141"/>
        <v>Wednesday</v>
      </c>
      <c r="G592" s="41">
        <v>44972</v>
      </c>
      <c r="H592">
        <v>2</v>
      </c>
      <c r="I592" s="1">
        <v>20.89</v>
      </c>
      <c r="J592" s="2">
        <v>3.4027777777777775E-2</v>
      </c>
      <c r="K592" s="12">
        <f>Combined[[#This Row],[Time Spent]]*24</f>
        <v>0.81666666666666665</v>
      </c>
      <c r="L592" s="12">
        <f>MROUND(Combined[[#This Row],[Time Spent 2]],0.25)</f>
        <v>0.75</v>
      </c>
      <c r="M592" s="2" t="s">
        <v>92</v>
      </c>
      <c r="N592" t="s">
        <v>80</v>
      </c>
      <c r="O592">
        <f>MATCH(Combined[[#This Row],[Primary Area]],KPIs!$C$4:$C$7,0)</f>
        <v>2</v>
      </c>
      <c r="Q592" s="40">
        <v>45557</v>
      </c>
      <c r="R592" s="40">
        <f t="shared" si="135"/>
        <v>45557</v>
      </c>
      <c r="S592" s="4" t="str">
        <f>TEXT(Mileage[[#This Row],[Date]],"dddd")</f>
        <v>Sunday</v>
      </c>
      <c r="T592" s="4" t="s">
        <v>249</v>
      </c>
      <c r="U592" s="4">
        <v>70</v>
      </c>
      <c r="V592" t="str" cm="1">
        <f t="array" ref="V592">IFERROR(VLOOKUP(MODE(IF(Combined[Date]=Mileage[[#This Row],[Date]],Combined[Area '#])),KPIs!$B$4:$C$7,2,FALSE),VLOOKUP(Mileage[[#This Row],[Date]],Combined[[Date]:[Primary Area]],8,FALSE))</f>
        <v>Brunswick/Bath/Freeport</v>
      </c>
      <c r="W592" s="105">
        <v>0.52430555555555558</v>
      </c>
      <c r="X592" s="12">
        <v>2.5499999999999998</v>
      </c>
      <c r="Y592">
        <v>34</v>
      </c>
      <c r="Z59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3" spans="2:26" x14ac:dyDescent="0.35">
      <c r="B593">
        <f t="shared" si="134"/>
        <v>591</v>
      </c>
      <c r="C593" t="s">
        <v>83</v>
      </c>
      <c r="D593" t="s">
        <v>176</v>
      </c>
      <c r="E593">
        <f>IF(WEEKNUM(Combined[[#This Row],[Date]], 1) = 53, 1, WEEKNUM(Combined[[#This Row],[Date]], 2))</f>
        <v>8</v>
      </c>
      <c r="F593" t="str">
        <f t="shared" ref="F593:F595" si="142">TEXT(WEEKDAY(G593,1),"DDDD")</f>
        <v>Thursday</v>
      </c>
      <c r="G593" s="41">
        <v>44973</v>
      </c>
      <c r="H593">
        <v>2</v>
      </c>
      <c r="I593" s="1">
        <v>35.520000000000003</v>
      </c>
      <c r="J593" s="2">
        <v>0.11458333333333333</v>
      </c>
      <c r="K593" s="12">
        <f>Combined[[#This Row],[Time Spent]]*24</f>
        <v>2.75</v>
      </c>
      <c r="L593" s="12">
        <f>MROUND(Combined[[#This Row],[Time Spent 2]],0.25)</f>
        <v>2.75</v>
      </c>
      <c r="M593" s="2" t="s">
        <v>91</v>
      </c>
      <c r="N593" t="s">
        <v>82</v>
      </c>
      <c r="O593">
        <f>MATCH(Combined[[#This Row],[Primary Area]],KPIs!$C$4:$C$7,0)</f>
        <v>3</v>
      </c>
      <c r="Q593" s="40">
        <v>45558</v>
      </c>
      <c r="R593" s="40">
        <f t="shared" si="135"/>
        <v>45558</v>
      </c>
      <c r="S593" s="4" t="str">
        <f>TEXT(Mileage[[#This Row],[Date]],"dddd")</f>
        <v>Monday</v>
      </c>
      <c r="T593" s="4" t="s">
        <v>230</v>
      </c>
      <c r="U593" s="4">
        <v>61</v>
      </c>
      <c r="V593" t="str" cm="1">
        <f t="array" ref="V593">IFERROR(VLOOKUP(MODE(IF(Combined[Date]=Mileage[[#This Row],[Date]],Combined[Area '#])),KPIs!$B$4:$C$7,2,FALSE),VLOOKUP(Mileage[[#This Row],[Date]],Combined[[Date]:[Primary Area]],8,FALSE))</f>
        <v>Portland</v>
      </c>
      <c r="W593" s="105">
        <v>0.71875</v>
      </c>
      <c r="X593" s="12">
        <v>4.97</v>
      </c>
      <c r="Y593">
        <v>118</v>
      </c>
      <c r="Z59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94" spans="2:26" x14ac:dyDescent="0.35">
      <c r="B594">
        <f t="shared" si="134"/>
        <v>592</v>
      </c>
      <c r="C594" t="s">
        <v>86</v>
      </c>
      <c r="D594" t="s">
        <v>176</v>
      </c>
      <c r="E594">
        <f>IF(WEEKNUM(Combined[[#This Row],[Date]], 1) = 53, 1, WEEKNUM(Combined[[#This Row],[Date]], 2))</f>
        <v>8</v>
      </c>
      <c r="F594" t="str">
        <f t="shared" si="142"/>
        <v>Thursday</v>
      </c>
      <c r="G594" s="41">
        <v>44973</v>
      </c>
      <c r="H594">
        <v>2</v>
      </c>
      <c r="I594" s="1">
        <v>28</v>
      </c>
      <c r="J594" s="2">
        <v>7.7083333333333337E-2</v>
      </c>
      <c r="K594" s="12">
        <f>Combined[[#This Row],[Time Spent]]*24</f>
        <v>1.85</v>
      </c>
      <c r="L594" s="12">
        <f>MROUND(Combined[[#This Row],[Time Spent 2]],0.25)</f>
        <v>1.75</v>
      </c>
      <c r="M594" s="2" t="s">
        <v>91</v>
      </c>
      <c r="N594" t="s">
        <v>82</v>
      </c>
      <c r="O594">
        <f>MATCH(Combined[[#This Row],[Primary Area]],KPIs!$C$4:$C$7,0)</f>
        <v>3</v>
      </c>
      <c r="Q594" s="40">
        <v>45559</v>
      </c>
      <c r="R594" s="40">
        <f t="shared" si="135"/>
        <v>45559</v>
      </c>
      <c r="S594" s="4" t="str">
        <f>TEXT(Mileage[[#This Row],[Date]],"dddd")</f>
        <v>Tuesday</v>
      </c>
      <c r="T594" s="4" t="s">
        <v>230</v>
      </c>
      <c r="U594" s="4">
        <v>57</v>
      </c>
      <c r="V594" t="str" cm="1">
        <f t="array" ref="V594">IFERROR(VLOOKUP(MODE(IF(Combined[Date]=Mileage[[#This Row],[Date]],Combined[Area '#])),KPIs!$B$4:$C$7,2,FALSE),VLOOKUP(Mileage[[#This Row],[Date]],Combined[[Date]:[Primary Area]],8,FALSE))</f>
        <v>Brunswick/Bath/Freeport</v>
      </c>
      <c r="W594" s="105">
        <v>0.72222222222222221</v>
      </c>
      <c r="X594" s="12">
        <v>3.98</v>
      </c>
      <c r="Y594">
        <v>120</v>
      </c>
      <c r="Z5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5" spans="2:26" x14ac:dyDescent="0.35">
      <c r="B595">
        <f t="shared" si="134"/>
        <v>593</v>
      </c>
      <c r="C595" t="s">
        <v>86</v>
      </c>
      <c r="D595" t="s">
        <v>176</v>
      </c>
      <c r="E595">
        <f>IF(WEEKNUM(Combined[[#This Row],[Date]], 1) = 53, 1, WEEKNUM(Combined[[#This Row],[Date]], 2))</f>
        <v>8</v>
      </c>
      <c r="F595" t="str">
        <f t="shared" si="142"/>
        <v>Thursday</v>
      </c>
      <c r="G595" s="41">
        <v>44973</v>
      </c>
      <c r="H595">
        <v>6</v>
      </c>
      <c r="I595" s="1">
        <v>41.75</v>
      </c>
      <c r="J595" s="2">
        <v>0.11805555555555557</v>
      </c>
      <c r="K595" s="12">
        <f>Combined[[#This Row],[Time Spent]]*24</f>
        <v>2.8333333333333335</v>
      </c>
      <c r="L595" s="12">
        <f>MROUND(Combined[[#This Row],[Time Spent 2]],0.25)</f>
        <v>2.75</v>
      </c>
      <c r="M595" s="2" t="s">
        <v>92</v>
      </c>
      <c r="N595" t="s">
        <v>82</v>
      </c>
      <c r="O595">
        <f>MATCH(Combined[[#This Row],[Primary Area]],KPIs!$C$4:$C$7,0)</f>
        <v>3</v>
      </c>
      <c r="Q595" s="40">
        <v>45560</v>
      </c>
      <c r="R595" s="40">
        <f t="shared" si="135"/>
        <v>45560</v>
      </c>
      <c r="S595" s="4" t="str">
        <f>TEXT(Mileage[[#This Row],[Date]],"dddd")</f>
        <v>Wednesday</v>
      </c>
      <c r="T595" s="4" t="s">
        <v>231</v>
      </c>
      <c r="U595" s="4">
        <v>57</v>
      </c>
      <c r="V595" t="str" cm="1">
        <f t="array" ref="V595">IFERROR(VLOOKUP(MODE(IF(Combined[Date]=Mileage[[#This Row],[Date]],Combined[Area '#])),KPIs!$B$4:$C$7,2,FALSE),VLOOKUP(Mileage[[#This Row],[Date]],Combined[[Date]:[Primary Area]],8,FALSE))</f>
        <v>Brunswick/Bath/Freeport</v>
      </c>
      <c r="W595" s="105">
        <v>0.71875</v>
      </c>
      <c r="X595" s="12">
        <v>5.3</v>
      </c>
      <c r="Y595">
        <v>104</v>
      </c>
      <c r="Z5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596" spans="2:26" x14ac:dyDescent="0.35">
      <c r="B596">
        <f t="shared" si="134"/>
        <v>594</v>
      </c>
      <c r="C596" t="s">
        <v>83</v>
      </c>
      <c r="D596" t="s">
        <v>176</v>
      </c>
      <c r="E596">
        <f>IF(WEEKNUM(Combined[[#This Row],[Date]], 1) = 53, 1, WEEKNUM(Combined[[#This Row],[Date]], 2))</f>
        <v>8</v>
      </c>
      <c r="F596" t="str">
        <f t="shared" ref="F596:F599" si="143">TEXT(WEEKDAY(G596,1),"DDDD")</f>
        <v>Friday</v>
      </c>
      <c r="G596" s="41">
        <v>44974</v>
      </c>
      <c r="H596">
        <v>1</v>
      </c>
      <c r="I596" s="1">
        <v>5.0199999999999996</v>
      </c>
      <c r="J596" s="2">
        <v>7.2222222222222229E-2</v>
      </c>
      <c r="K596" s="12">
        <f>Combined[[#This Row],[Time Spent]]*24</f>
        <v>1.7333333333333334</v>
      </c>
      <c r="L596" s="12">
        <f>MROUND(Combined[[#This Row],[Time Spent 2]],0.25)</f>
        <v>1.75</v>
      </c>
      <c r="M596" s="2" t="s">
        <v>91</v>
      </c>
      <c r="N596" t="s">
        <v>82</v>
      </c>
      <c r="O596">
        <f>MATCH(Combined[[#This Row],[Primary Area]],KPIs!$C$4:$C$7,0)</f>
        <v>3</v>
      </c>
      <c r="Q596" s="40">
        <v>45562</v>
      </c>
      <c r="R596" s="40">
        <f t="shared" si="135"/>
        <v>45562</v>
      </c>
      <c r="S596" s="4" t="str">
        <f>TEXT(Mileage[[#This Row],[Date]],"dddd")</f>
        <v>Friday</v>
      </c>
      <c r="T596" s="4" t="s">
        <v>230</v>
      </c>
      <c r="U596" s="4">
        <v>64</v>
      </c>
      <c r="V596" t="str" cm="1">
        <f t="array" ref="V596">IFERROR(VLOOKUP(MODE(IF(Combined[Date]=Mileage[[#This Row],[Date]],Combined[Area '#])),KPIs!$B$4:$C$7,2,FALSE),VLOOKUP(Mileage[[#This Row],[Date]],Combined[[Date]:[Primary Area]],8,FALSE))</f>
        <v>Portland</v>
      </c>
      <c r="W596" s="105">
        <v>0.75</v>
      </c>
      <c r="X596" s="12">
        <v>8.18</v>
      </c>
      <c r="Y596">
        <v>166</v>
      </c>
      <c r="Z59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97" spans="2:26" x14ac:dyDescent="0.35">
      <c r="B597">
        <f t="shared" si="134"/>
        <v>595</v>
      </c>
      <c r="C597" t="s">
        <v>86</v>
      </c>
      <c r="D597" t="s">
        <v>176</v>
      </c>
      <c r="E597">
        <f>IF(WEEKNUM(Combined[[#This Row],[Date]], 1) = 53, 1, WEEKNUM(Combined[[#This Row],[Date]], 2))</f>
        <v>8</v>
      </c>
      <c r="F597" t="str">
        <f t="shared" si="143"/>
        <v>Friday</v>
      </c>
      <c r="G597" s="41">
        <v>44974</v>
      </c>
      <c r="H597">
        <v>2</v>
      </c>
      <c r="I597" s="1">
        <v>24</v>
      </c>
      <c r="J597" s="2">
        <v>7.013888888888889E-2</v>
      </c>
      <c r="K597" s="12">
        <f>Combined[[#This Row],[Time Spent]]*24</f>
        <v>1.6833333333333333</v>
      </c>
      <c r="L597" s="12">
        <f>MROUND(Combined[[#This Row],[Time Spent 2]],0.25)</f>
        <v>1.75</v>
      </c>
      <c r="M597" s="2" t="s">
        <v>91</v>
      </c>
      <c r="N597" t="s">
        <v>82</v>
      </c>
      <c r="O597">
        <f>MATCH(Combined[[#This Row],[Primary Area]],KPIs!$C$4:$C$7,0)</f>
        <v>3</v>
      </c>
      <c r="Q597" s="40">
        <v>45565</v>
      </c>
      <c r="R597" s="40">
        <f t="shared" si="135"/>
        <v>45565</v>
      </c>
      <c r="S597" s="4" t="str">
        <f>TEXT(Mileage[[#This Row],[Date]],"dddd")</f>
        <v>Monday</v>
      </c>
      <c r="T597" s="4" t="s">
        <v>249</v>
      </c>
      <c r="U597" s="4">
        <v>61</v>
      </c>
      <c r="V597" t="str" cm="1">
        <f t="array" ref="V597">IFERROR(VLOOKUP(MODE(IF(Combined[Date]=Mileage[[#This Row],[Date]],Combined[Area '#])),KPIs!$B$4:$C$7,2,FALSE),VLOOKUP(Mileage[[#This Row],[Date]],Combined[[Date]:[Primary Area]],8,FALSE))</f>
        <v>Portland</v>
      </c>
      <c r="W597" s="105">
        <v>0.71527777777777779</v>
      </c>
      <c r="X597" s="12">
        <v>5.32</v>
      </c>
      <c r="Y597">
        <v>101</v>
      </c>
      <c r="Z5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98" spans="2:26" x14ac:dyDescent="0.35">
      <c r="B598">
        <f t="shared" si="134"/>
        <v>596</v>
      </c>
      <c r="C598" t="s">
        <v>86</v>
      </c>
      <c r="D598" t="s">
        <v>176</v>
      </c>
      <c r="E598">
        <f>IF(WEEKNUM(Combined[[#This Row],[Date]], 1) = 53, 1, WEEKNUM(Combined[[#This Row],[Date]], 2))</f>
        <v>8</v>
      </c>
      <c r="F598" t="str">
        <f t="shared" si="143"/>
        <v>Friday</v>
      </c>
      <c r="G598" s="41">
        <v>44974</v>
      </c>
      <c r="H598">
        <v>2</v>
      </c>
      <c r="I598" s="1">
        <v>15</v>
      </c>
      <c r="J598" s="2">
        <v>2.2916666666666669E-2</v>
      </c>
      <c r="K598" s="12">
        <f>Combined[[#This Row],[Time Spent]]*24</f>
        <v>0.55000000000000004</v>
      </c>
      <c r="L598" s="12">
        <f>MROUND(Combined[[#This Row],[Time Spent 2]],0.25)</f>
        <v>0.5</v>
      </c>
      <c r="M598" s="2" t="s">
        <v>92</v>
      </c>
      <c r="N598" t="s">
        <v>82</v>
      </c>
      <c r="O598">
        <f>MATCH(Combined[[#This Row],[Primary Area]],KPIs!$C$4:$C$7,0)</f>
        <v>3</v>
      </c>
      <c r="Q598" s="40">
        <v>45566</v>
      </c>
      <c r="R598" s="40">
        <f t="shared" si="135"/>
        <v>45566</v>
      </c>
      <c r="S598" s="4" t="str">
        <f>TEXT(Mileage[[#This Row],[Date]],"dddd")</f>
        <v>Tuesday</v>
      </c>
      <c r="T598" s="4" t="s">
        <v>230</v>
      </c>
      <c r="U598" s="4">
        <v>54</v>
      </c>
      <c r="V598" t="str" cm="1">
        <f t="array" ref="V598">IFERROR(VLOOKUP(MODE(IF(Combined[Date]=Mileage[[#This Row],[Date]],Combined[Area '#])),KPIs!$B$4:$C$7,2,FALSE),VLOOKUP(Mileage[[#This Row],[Date]],Combined[[Date]:[Primary Area]],8,FALSE))</f>
        <v>Augusta</v>
      </c>
      <c r="W598" s="105">
        <v>0.71527777777777779</v>
      </c>
      <c r="X598" s="12">
        <v>4.55</v>
      </c>
      <c r="Y598">
        <v>101</v>
      </c>
      <c r="Z59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599" spans="2:26" x14ac:dyDescent="0.35">
      <c r="B599">
        <f t="shared" si="134"/>
        <v>597</v>
      </c>
      <c r="C599" t="s">
        <v>86</v>
      </c>
      <c r="D599" t="s">
        <v>176</v>
      </c>
      <c r="E599">
        <f>IF(WEEKNUM(Combined[[#This Row],[Date]], 1) = 53, 1, WEEKNUM(Combined[[#This Row],[Date]], 2))</f>
        <v>8</v>
      </c>
      <c r="F599" t="str">
        <f t="shared" si="143"/>
        <v>Friday</v>
      </c>
      <c r="G599" s="41">
        <v>44974</v>
      </c>
      <c r="H599">
        <v>7</v>
      </c>
      <c r="I599" s="1">
        <v>63.75</v>
      </c>
      <c r="J599" s="2">
        <v>0.16041666666666668</v>
      </c>
      <c r="K599" s="12">
        <f>Combined[[#This Row],[Time Spent]]*24</f>
        <v>3.8500000000000005</v>
      </c>
      <c r="L599" s="12">
        <f>MROUND(Combined[[#This Row],[Time Spent 2]],0.25)</f>
        <v>3.75</v>
      </c>
      <c r="M599" s="2" t="s">
        <v>92</v>
      </c>
      <c r="N599" t="s">
        <v>82</v>
      </c>
      <c r="O599">
        <f>MATCH(Combined[[#This Row],[Primary Area]],KPIs!$C$4:$C$7,0)</f>
        <v>3</v>
      </c>
      <c r="Q599" s="40">
        <v>45570</v>
      </c>
      <c r="R599" s="40">
        <f t="shared" si="135"/>
        <v>45570</v>
      </c>
      <c r="S599" s="4" t="str">
        <f>TEXT(Mileage[[#This Row],[Date]],"dddd")</f>
        <v>Saturday</v>
      </c>
      <c r="T599" s="4" t="s">
        <v>285</v>
      </c>
      <c r="U599" s="4">
        <v>53</v>
      </c>
      <c r="V599" t="str" cm="1">
        <f t="array" ref="V599">IFERROR(VLOOKUP(MODE(IF(Combined[Date]=Mileage[[#This Row],[Date]],Combined[Area '#])),KPIs!$B$4:$C$7,2,FALSE),VLOOKUP(Mileage[[#This Row],[Date]],Combined[[Date]:[Primary Area]],8,FALSE))</f>
        <v>Portland</v>
      </c>
      <c r="W599" s="105">
        <v>0.74305555555555558</v>
      </c>
      <c r="X599" s="12">
        <v>6.75</v>
      </c>
      <c r="Y599">
        <v>173</v>
      </c>
      <c r="Z59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00" spans="2:26" x14ac:dyDescent="0.35">
      <c r="B600">
        <f t="shared" si="134"/>
        <v>598</v>
      </c>
      <c r="C600" t="s">
        <v>86</v>
      </c>
      <c r="D600" t="s">
        <v>176</v>
      </c>
      <c r="E600">
        <f>IF(WEEKNUM(Combined[[#This Row],[Date]], 1) = 53, 1, WEEKNUM(Combined[[#This Row],[Date]], 2))</f>
        <v>9</v>
      </c>
      <c r="F600" t="str">
        <f>TEXT(WEEKDAY(G600,1),"DDDD")</f>
        <v>Thursday</v>
      </c>
      <c r="G600" s="41">
        <v>44980</v>
      </c>
      <c r="H600">
        <v>12</v>
      </c>
      <c r="I600" s="1">
        <v>116.25</v>
      </c>
      <c r="J600" s="2">
        <v>0.16944444444444443</v>
      </c>
      <c r="K600" s="12">
        <f>Combined[[#This Row],[Time Spent]]*24</f>
        <v>4.0666666666666664</v>
      </c>
      <c r="L600" s="12">
        <f>MROUND(Combined[[#This Row],[Time Spent 2]],0.25)</f>
        <v>4</v>
      </c>
      <c r="M600" s="2" t="s">
        <v>91</v>
      </c>
      <c r="N600" t="s">
        <v>82</v>
      </c>
      <c r="O600">
        <f>MATCH(Combined[[#This Row],[Primary Area]],KPIs!$C$4:$C$7,0)</f>
        <v>3</v>
      </c>
      <c r="Q600" s="40">
        <v>45571</v>
      </c>
      <c r="R600" s="40">
        <f t="shared" si="135"/>
        <v>45571</v>
      </c>
      <c r="S600" s="4" t="str">
        <f>TEXT(Mileage[[#This Row],[Date]],"dddd")</f>
        <v>Sunday</v>
      </c>
      <c r="T600" s="4" t="s">
        <v>231</v>
      </c>
      <c r="U600" s="4">
        <v>61</v>
      </c>
      <c r="V600" t="str" cm="1">
        <f t="array" ref="V600">IFERROR(VLOOKUP(MODE(IF(Combined[Date]=Mileage[[#This Row],[Date]],Combined[Area '#])),KPIs!$B$4:$C$7,2,FALSE),VLOOKUP(Mileage[[#This Row],[Date]],Combined[[Date]:[Primary Area]],8,FALSE))</f>
        <v>Brunswick/Bath/Freeport</v>
      </c>
      <c r="W600" s="105">
        <v>0.62152777777777779</v>
      </c>
      <c r="X600" s="12">
        <v>5.9</v>
      </c>
      <c r="Y600">
        <v>138</v>
      </c>
      <c r="Z6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01" spans="2:26" x14ac:dyDescent="0.35">
      <c r="B601">
        <f t="shared" si="134"/>
        <v>599</v>
      </c>
      <c r="C601" t="s">
        <v>86</v>
      </c>
      <c r="D601" t="s">
        <v>176</v>
      </c>
      <c r="E601">
        <f>IF(WEEKNUM(Combined[[#This Row],[Date]], 1) = 53, 1, WEEKNUM(Combined[[#This Row],[Date]], 2))</f>
        <v>9</v>
      </c>
      <c r="F601" t="str">
        <f t="shared" ref="F601:F602" si="144">TEXT(WEEKDAY(G601,1),"DDDD")</f>
        <v>Friday</v>
      </c>
      <c r="G601" s="41">
        <v>44981</v>
      </c>
      <c r="H601">
        <v>1</v>
      </c>
      <c r="I601" s="1">
        <v>7.25</v>
      </c>
      <c r="J601" s="2">
        <v>1.8749999999999999E-2</v>
      </c>
      <c r="K601" s="12">
        <f>Combined[[#This Row],[Time Spent]]*24</f>
        <v>0.44999999999999996</v>
      </c>
      <c r="L601" s="12">
        <f>MROUND(Combined[[#This Row],[Time Spent 2]],0.25)</f>
        <v>0.5</v>
      </c>
      <c r="M601" s="2" t="s">
        <v>91</v>
      </c>
      <c r="N601" t="s">
        <v>82</v>
      </c>
      <c r="O601">
        <f>MATCH(Combined[[#This Row],[Primary Area]],KPIs!$C$4:$C$7,0)</f>
        <v>3</v>
      </c>
      <c r="Q601" s="40">
        <v>45572</v>
      </c>
      <c r="R601" s="40">
        <f t="shared" si="135"/>
        <v>45572</v>
      </c>
      <c r="S601" s="4" t="str">
        <f>TEXT(Mileage[[#This Row],[Date]],"dddd")</f>
        <v>Monday</v>
      </c>
      <c r="T601" s="4" t="s">
        <v>276</v>
      </c>
      <c r="U601" s="4">
        <v>54</v>
      </c>
      <c r="V601" t="str" cm="1">
        <f t="array" ref="V601">IFERROR(VLOOKUP(MODE(IF(Combined[Date]=Mileage[[#This Row],[Date]],Combined[Area '#])),KPIs!$B$4:$C$7,2,FALSE),VLOOKUP(Mileage[[#This Row],[Date]],Combined[[Date]:[Primary Area]],8,FALSE))</f>
        <v>Brunswick/Bath/Freeport</v>
      </c>
      <c r="W601" s="105">
        <v>0.71875</v>
      </c>
      <c r="X601" s="12">
        <v>6.13</v>
      </c>
      <c r="Y601">
        <v>138</v>
      </c>
      <c r="Z60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2" spans="2:26" x14ac:dyDescent="0.35">
      <c r="B602">
        <f t="shared" si="134"/>
        <v>600</v>
      </c>
      <c r="C602" t="s">
        <v>86</v>
      </c>
      <c r="D602" t="s">
        <v>176</v>
      </c>
      <c r="E602">
        <f>IF(WEEKNUM(Combined[[#This Row],[Date]], 1) = 53, 1, WEEKNUM(Combined[[#This Row],[Date]], 2))</f>
        <v>9</v>
      </c>
      <c r="F602" t="str">
        <f t="shared" si="144"/>
        <v>Friday</v>
      </c>
      <c r="G602" s="41">
        <v>44981</v>
      </c>
      <c r="H602">
        <v>7</v>
      </c>
      <c r="I602" s="1">
        <v>47.5</v>
      </c>
      <c r="J602" s="2">
        <v>0.11666666666666665</v>
      </c>
      <c r="K602" s="12">
        <f>Combined[[#This Row],[Time Spent]]*24</f>
        <v>2.8</v>
      </c>
      <c r="L602" s="12">
        <f>MROUND(Combined[[#This Row],[Time Spent 2]],0.25)</f>
        <v>2.75</v>
      </c>
      <c r="M602" s="2" t="s">
        <v>91</v>
      </c>
      <c r="N602" t="s">
        <v>82</v>
      </c>
      <c r="O602">
        <f>MATCH(Combined[[#This Row],[Primary Area]],KPIs!$C$4:$C$7,0)</f>
        <v>3</v>
      </c>
      <c r="Q602" s="40">
        <v>45577</v>
      </c>
      <c r="R602" s="40">
        <f t="shared" si="135"/>
        <v>45577</v>
      </c>
      <c r="S602" s="4" t="str">
        <f>TEXT(Mileage[[#This Row],[Date]],"dddd")</f>
        <v>Saturday</v>
      </c>
      <c r="T602" s="4" t="s">
        <v>249</v>
      </c>
      <c r="U602" s="4">
        <v>63</v>
      </c>
      <c r="V602" t="str" cm="1">
        <f t="array" ref="V602">IFERROR(VLOOKUP(MODE(IF(Combined[Date]=Mileage[[#This Row],[Date]],Combined[Area '#])),KPIs!$B$4:$C$7,2,FALSE),VLOOKUP(Mileage[[#This Row],[Date]],Combined[[Date]:[Primary Area]],8,FALSE))</f>
        <v>Portland</v>
      </c>
      <c r="W602" s="105">
        <v>0.53472222222222221</v>
      </c>
      <c r="X602" s="12">
        <v>3.82</v>
      </c>
      <c r="Y602">
        <v>66</v>
      </c>
      <c r="Z60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3" spans="2:26" x14ac:dyDescent="0.35">
      <c r="B603">
        <f t="shared" si="134"/>
        <v>601</v>
      </c>
      <c r="C603" t="s">
        <v>83</v>
      </c>
      <c r="D603" t="s">
        <v>176</v>
      </c>
      <c r="E603">
        <f>IF(WEEKNUM(Combined[[#This Row],[Date]], 1) = 53, 1, WEEKNUM(Combined[[#This Row],[Date]], 2))</f>
        <v>9</v>
      </c>
      <c r="F603" t="str">
        <f t="shared" ref="F603:F605" si="145">TEXT(WEEKDAY(G603,1),"DDDD")</f>
        <v>Sunday</v>
      </c>
      <c r="G603" s="41">
        <v>44983</v>
      </c>
      <c r="H603">
        <v>2</v>
      </c>
      <c r="I603" s="1">
        <v>41.09</v>
      </c>
      <c r="J603" s="2">
        <v>8.9583333333333334E-2</v>
      </c>
      <c r="K603" s="12">
        <f>Combined[[#This Row],[Time Spent]]*24</f>
        <v>2.15</v>
      </c>
      <c r="L603" s="12">
        <f>MROUND(Combined[[#This Row],[Time Spent 2]],0.25)</f>
        <v>2.25</v>
      </c>
      <c r="M603" s="2" t="s">
        <v>91</v>
      </c>
      <c r="N603" t="s">
        <v>80</v>
      </c>
      <c r="O603">
        <f>MATCH(Combined[[#This Row],[Primary Area]],KPIs!$C$4:$C$7,0)</f>
        <v>2</v>
      </c>
      <c r="Q603" s="40">
        <v>45579</v>
      </c>
      <c r="R603" s="40">
        <f t="shared" si="135"/>
        <v>45579</v>
      </c>
      <c r="S603" s="4" t="str">
        <f>TEXT(Mileage[[#This Row],[Date]],"dddd")</f>
        <v>Monday</v>
      </c>
      <c r="T603" s="4" t="s">
        <v>285</v>
      </c>
      <c r="U603" s="4">
        <v>46</v>
      </c>
      <c r="V603" t="str" cm="1">
        <f t="array" ref="V603">IFERROR(VLOOKUP(MODE(IF(Combined[Date]=Mileage[[#This Row],[Date]],Combined[Area '#])),KPIs!$B$4:$C$7,2,FALSE),VLOOKUP(Mileage[[#This Row],[Date]],Combined[[Date]:[Primary Area]],8,FALSE))</f>
        <v>Brunswick/Bath/Freeport</v>
      </c>
      <c r="W603" s="105">
        <v>0.72916666666666663</v>
      </c>
      <c r="X603" s="12">
        <v>4</v>
      </c>
      <c r="Y603">
        <v>85</v>
      </c>
      <c r="Z60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4" spans="2:26" x14ac:dyDescent="0.35">
      <c r="B604">
        <f t="shared" si="134"/>
        <v>602</v>
      </c>
      <c r="C604" t="s">
        <v>86</v>
      </c>
      <c r="D604" t="s">
        <v>176</v>
      </c>
      <c r="E604">
        <f>IF(WEEKNUM(Combined[[#This Row],[Date]], 1) = 53, 1, WEEKNUM(Combined[[#This Row],[Date]], 2))</f>
        <v>9</v>
      </c>
      <c r="F604" t="str">
        <f t="shared" si="145"/>
        <v>Sunday</v>
      </c>
      <c r="G604" s="41">
        <v>44983</v>
      </c>
      <c r="H604">
        <v>12</v>
      </c>
      <c r="I604" s="1">
        <v>154.79</v>
      </c>
      <c r="J604" s="2">
        <v>0.18402777777777779</v>
      </c>
      <c r="K604" s="12">
        <f>Combined[[#This Row],[Time Spent]]*24</f>
        <v>4.416666666666667</v>
      </c>
      <c r="L604" s="12">
        <f>MROUND(Combined[[#This Row],[Time Spent 2]],0.25)</f>
        <v>4.5</v>
      </c>
      <c r="M604" s="2" t="s">
        <v>91</v>
      </c>
      <c r="N604" t="s">
        <v>80</v>
      </c>
      <c r="O604">
        <f>MATCH(Combined[[#This Row],[Primary Area]],KPIs!$C$4:$C$7,0)</f>
        <v>2</v>
      </c>
      <c r="Q604" s="40">
        <v>45581</v>
      </c>
      <c r="R604" s="40">
        <f t="shared" si="135"/>
        <v>45581</v>
      </c>
      <c r="S604" s="4" t="str">
        <f>TEXT(Mileage[[#This Row],[Date]],"dddd")</f>
        <v>Wednesday</v>
      </c>
      <c r="T604" s="4" t="s">
        <v>230</v>
      </c>
      <c r="U604" s="4">
        <v>45</v>
      </c>
      <c r="V604" t="str" cm="1">
        <f t="array" ref="V604">IFERROR(VLOOKUP(MODE(IF(Combined[Date]=Mileage[[#This Row],[Date]],Combined[Area '#])),KPIs!$B$4:$C$7,2,FALSE),VLOOKUP(Mileage[[#This Row],[Date]],Combined[[Date]:[Primary Area]],8,FALSE))</f>
        <v>Lewiston</v>
      </c>
      <c r="W604" s="105">
        <v>0.76736111111111116</v>
      </c>
      <c r="X604" s="12">
        <v>3.35</v>
      </c>
      <c r="Y604">
        <v>68</v>
      </c>
      <c r="Z60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05" spans="2:26" x14ac:dyDescent="0.35">
      <c r="B605">
        <f t="shared" si="134"/>
        <v>603</v>
      </c>
      <c r="C605" t="s">
        <v>86</v>
      </c>
      <c r="D605" t="s">
        <v>176</v>
      </c>
      <c r="E605">
        <f>IF(WEEKNUM(Combined[[#This Row],[Date]], 1) = 53, 1, WEEKNUM(Combined[[#This Row],[Date]], 2))</f>
        <v>9</v>
      </c>
      <c r="F605" t="str">
        <f t="shared" si="145"/>
        <v>Sunday</v>
      </c>
      <c r="G605" s="41">
        <v>44983</v>
      </c>
      <c r="H605">
        <v>7</v>
      </c>
      <c r="I605" s="1">
        <v>82</v>
      </c>
      <c r="J605" s="2">
        <v>0.1076388888888889</v>
      </c>
      <c r="K605" s="12">
        <f>Combined[[#This Row],[Time Spent]]*24</f>
        <v>2.5833333333333335</v>
      </c>
      <c r="L605" s="12">
        <f>MROUND(Combined[[#This Row],[Time Spent 2]],0.25)</f>
        <v>2.5</v>
      </c>
      <c r="M605" s="2" t="s">
        <v>91</v>
      </c>
      <c r="N605" t="s">
        <v>80</v>
      </c>
      <c r="O605">
        <f>MATCH(Combined[[#This Row],[Primary Area]],KPIs!$C$4:$C$7,0)</f>
        <v>2</v>
      </c>
      <c r="Q605" s="40">
        <v>45582</v>
      </c>
      <c r="R605" s="40">
        <f t="shared" si="135"/>
        <v>45582</v>
      </c>
      <c r="S605" s="4" t="str">
        <f>TEXT(Mileage[[#This Row],[Date]],"dddd")</f>
        <v>Thursday</v>
      </c>
      <c r="T605" s="4" t="s">
        <v>230</v>
      </c>
      <c r="U605" s="4">
        <v>54</v>
      </c>
      <c r="V605" t="str" cm="1">
        <f t="array" ref="V605">IFERROR(VLOOKUP(MODE(IF(Combined[Date]=Mileage[[#This Row],[Date]],Combined[Area '#])),KPIs!$B$4:$C$7,2,FALSE),VLOOKUP(Mileage[[#This Row],[Date]],Combined[[Date]:[Primary Area]],8,FALSE))</f>
        <v>Lewiston</v>
      </c>
      <c r="W605" s="105">
        <v>0.76388888888888884</v>
      </c>
      <c r="X605" s="12">
        <v>4.18</v>
      </c>
      <c r="Y605">
        <v>81</v>
      </c>
      <c r="Z60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6" spans="2:26" x14ac:dyDescent="0.35">
      <c r="B606">
        <f t="shared" si="134"/>
        <v>604</v>
      </c>
      <c r="C606" t="s">
        <v>83</v>
      </c>
      <c r="D606" t="s">
        <v>176</v>
      </c>
      <c r="E606">
        <f>IF(WEEKNUM(Combined[[#This Row],[Date]], 1) = 53, 1, WEEKNUM(Combined[[#This Row],[Date]], 2))</f>
        <v>10</v>
      </c>
      <c r="F606" t="str">
        <f t="shared" ref="F606:F607" si="146">TEXT(WEEKDAY(G606,1),"DDDD")</f>
        <v>Tuesday</v>
      </c>
      <c r="G606" s="41">
        <v>44985</v>
      </c>
      <c r="H606">
        <v>2</v>
      </c>
      <c r="I606" s="1">
        <v>9.1</v>
      </c>
      <c r="J606" s="2">
        <v>2.9166666666666664E-2</v>
      </c>
      <c r="K606" s="12">
        <f>Combined[[#This Row],[Time Spent]]*24</f>
        <v>0.7</v>
      </c>
      <c r="L606" s="12">
        <f>MROUND(Combined[[#This Row],[Time Spent 2]],0.25)</f>
        <v>0.75</v>
      </c>
      <c r="M606" s="2" t="s">
        <v>91</v>
      </c>
      <c r="N606" t="s">
        <v>80</v>
      </c>
      <c r="O606">
        <f>MATCH(Combined[[#This Row],[Primary Area]],KPIs!$C$4:$C$7,0)</f>
        <v>2</v>
      </c>
      <c r="Q606" s="40">
        <v>45583</v>
      </c>
      <c r="R606" s="40">
        <f t="shared" si="135"/>
        <v>45583</v>
      </c>
      <c r="S606" s="4" t="str">
        <f>TEXT(Mileage[[#This Row],[Date]],"dddd")</f>
        <v>Friday</v>
      </c>
      <c r="T606" s="4" t="s">
        <v>230</v>
      </c>
      <c r="U606" s="4">
        <v>55</v>
      </c>
      <c r="V606" t="str" cm="1">
        <f t="array" ref="V606">IFERROR(VLOOKUP(MODE(IF(Combined[Date]=Mileage[[#This Row],[Date]],Combined[Area '#])),KPIs!$B$4:$C$7,2,FALSE),VLOOKUP(Mileage[[#This Row],[Date]],Combined[[Date]:[Primary Area]],8,FALSE))</f>
        <v>Brunswick/Bath/Freeport</v>
      </c>
      <c r="W606" s="105">
        <v>0.76736111111111116</v>
      </c>
      <c r="X606" s="12">
        <v>6.5</v>
      </c>
      <c r="Y606">
        <v>102</v>
      </c>
      <c r="Z60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7" spans="2:26" x14ac:dyDescent="0.35">
      <c r="B607">
        <f t="shared" si="134"/>
        <v>605</v>
      </c>
      <c r="C607" t="s">
        <v>86</v>
      </c>
      <c r="D607" t="s">
        <v>176</v>
      </c>
      <c r="E607">
        <f>IF(WEEKNUM(Combined[[#This Row],[Date]], 1) = 53, 1, WEEKNUM(Combined[[#This Row],[Date]], 2))</f>
        <v>10</v>
      </c>
      <c r="F607" t="str">
        <f t="shared" si="146"/>
        <v>Tuesday</v>
      </c>
      <c r="G607" s="41">
        <v>44985</v>
      </c>
      <c r="H607">
        <v>7</v>
      </c>
      <c r="I607" s="1">
        <f>108.5+7.87</f>
        <v>116.37</v>
      </c>
      <c r="J607" s="2">
        <v>0.18541666666666667</v>
      </c>
      <c r="K607" s="12">
        <f>Combined[[#This Row],[Time Spent]]*24</f>
        <v>4.45</v>
      </c>
      <c r="L607" s="12">
        <f>MROUND(Combined[[#This Row],[Time Spent 2]],0.25)</f>
        <v>4.5</v>
      </c>
      <c r="M607" s="2" t="s">
        <v>91</v>
      </c>
      <c r="N607" t="s">
        <v>80</v>
      </c>
      <c r="O607">
        <f>MATCH(Combined[[#This Row],[Primary Area]],KPIs!$C$4:$C$7,0)</f>
        <v>2</v>
      </c>
      <c r="Q607" s="40">
        <v>45584</v>
      </c>
      <c r="R607" s="40">
        <f t="shared" si="135"/>
        <v>45584</v>
      </c>
      <c r="S607" s="4" t="str">
        <f>TEXT(Mileage[[#This Row],[Date]],"dddd")</f>
        <v>Saturday</v>
      </c>
      <c r="T607" s="4" t="s">
        <v>230</v>
      </c>
      <c r="U607" s="4">
        <v>57</v>
      </c>
      <c r="V607" t="str" cm="1">
        <f t="array" ref="V607">IFERROR(VLOOKUP(MODE(IF(Combined[Date]=Mileage[[#This Row],[Date]],Combined[Area '#])),KPIs!$B$4:$C$7,2,FALSE),VLOOKUP(Mileage[[#This Row],[Date]],Combined[[Date]:[Primary Area]],8,FALSE))</f>
        <v>Brunswick/Bath/Freeport</v>
      </c>
      <c r="W607" s="105">
        <v>0.86458333333333337</v>
      </c>
      <c r="X607" s="12">
        <v>1.52</v>
      </c>
      <c r="Y607">
        <v>33</v>
      </c>
      <c r="Z60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8" spans="2:26" x14ac:dyDescent="0.35">
      <c r="B608">
        <f t="shared" si="134"/>
        <v>606</v>
      </c>
      <c r="C608" t="s">
        <v>86</v>
      </c>
      <c r="D608" t="s">
        <v>176</v>
      </c>
      <c r="E608">
        <f>IF(WEEKNUM(Combined[[#This Row],[Date]], 1) = 53, 1, WEEKNUM(Combined[[#This Row],[Date]], 2))</f>
        <v>10</v>
      </c>
      <c r="F608" t="str">
        <f t="shared" ref="F608:F609" si="147">TEXT(WEEKDAY(G608,1),"DDDD")</f>
        <v>Wednesday</v>
      </c>
      <c r="G608" s="41">
        <v>44986</v>
      </c>
      <c r="H608">
        <v>5</v>
      </c>
      <c r="I608" s="1">
        <v>59.25</v>
      </c>
      <c r="J608" s="2">
        <v>0.15694444444444444</v>
      </c>
      <c r="K608" s="12">
        <f>Combined[[#This Row],[Time Spent]]*24</f>
        <v>3.7666666666666666</v>
      </c>
      <c r="L608" s="12">
        <f>MROUND(Combined[[#This Row],[Time Spent 2]],0.25)</f>
        <v>3.75</v>
      </c>
      <c r="M608" s="2" t="s">
        <v>91</v>
      </c>
      <c r="N608" t="s">
        <v>174</v>
      </c>
      <c r="O608">
        <f>MATCH(Combined[[#This Row],[Primary Area]],KPIs!$C$4:$C$7,0)</f>
        <v>1</v>
      </c>
      <c r="Q608" s="40">
        <v>45585</v>
      </c>
      <c r="R608" s="40">
        <f t="shared" si="135"/>
        <v>45585</v>
      </c>
      <c r="S608" s="4" t="str">
        <f>TEXT(Mileage[[#This Row],[Date]],"dddd")</f>
        <v>Sunday</v>
      </c>
      <c r="T608" s="4" t="s">
        <v>230</v>
      </c>
      <c r="U608" s="4">
        <v>61</v>
      </c>
      <c r="V608" t="str" cm="1">
        <f t="array" ref="V608">IFERROR(VLOOKUP(MODE(IF(Combined[Date]=Mileage[[#This Row],[Date]],Combined[Area '#])),KPIs!$B$4:$C$7,2,FALSE),VLOOKUP(Mileage[[#This Row],[Date]],Combined[[Date]:[Primary Area]],8,FALSE))</f>
        <v>Lewiston</v>
      </c>
      <c r="W608" s="105">
        <v>0.82986111111111116</v>
      </c>
      <c r="X608" s="12">
        <v>3.98</v>
      </c>
      <c r="Y608">
        <v>71</v>
      </c>
      <c r="Z6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09" spans="2:26" x14ac:dyDescent="0.35">
      <c r="B609">
        <f t="shared" si="134"/>
        <v>607</v>
      </c>
      <c r="C609" t="s">
        <v>86</v>
      </c>
      <c r="D609" t="s">
        <v>176</v>
      </c>
      <c r="E609">
        <f>IF(WEEKNUM(Combined[[#This Row],[Date]], 1) = 53, 1, WEEKNUM(Combined[[#This Row],[Date]], 2))</f>
        <v>10</v>
      </c>
      <c r="F609" t="str">
        <f t="shared" si="147"/>
        <v>Wednesday</v>
      </c>
      <c r="G609" s="41">
        <v>44986</v>
      </c>
      <c r="H609">
        <v>3</v>
      </c>
      <c r="I609" s="1">
        <v>16.5</v>
      </c>
      <c r="J609" s="2">
        <v>3.7499999999999999E-2</v>
      </c>
      <c r="K609" s="12">
        <f>Combined[[#This Row],[Time Spent]]*24</f>
        <v>0.89999999999999991</v>
      </c>
      <c r="L609" s="12">
        <f>MROUND(Combined[[#This Row],[Time Spent 2]],0.25)</f>
        <v>1</v>
      </c>
      <c r="M609" s="2" t="s">
        <v>92</v>
      </c>
      <c r="N609" t="s">
        <v>174</v>
      </c>
      <c r="O609">
        <f>MATCH(Combined[[#This Row],[Primary Area]],KPIs!$C$4:$C$7,0)</f>
        <v>1</v>
      </c>
      <c r="Q609" s="40">
        <v>45586</v>
      </c>
      <c r="R609" s="40">
        <f t="shared" si="135"/>
        <v>45586</v>
      </c>
      <c r="S609" s="4" t="str">
        <f>TEXT(Mileage[[#This Row],[Date]],"dddd")</f>
        <v>Monday</v>
      </c>
      <c r="T609" s="4" t="s">
        <v>230</v>
      </c>
      <c r="U609" s="4">
        <v>30</v>
      </c>
      <c r="V609" t="str" cm="1">
        <f t="array" ref="V609">IFERROR(VLOOKUP(MODE(IF(Combined[Date]=Mileage[[#This Row],[Date]],Combined[Area '#])),KPIs!$B$4:$C$7,2,FALSE),VLOOKUP(Mileage[[#This Row],[Date]],Combined[[Date]:[Primary Area]],8,FALSE))</f>
        <v>Augusta</v>
      </c>
      <c r="W609" s="105">
        <v>0.74305555555555558</v>
      </c>
      <c r="X609" s="12">
        <v>4.93</v>
      </c>
      <c r="Y609">
        <v>146</v>
      </c>
      <c r="Z60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10" spans="2:26" x14ac:dyDescent="0.35">
      <c r="B610">
        <f t="shared" si="134"/>
        <v>608</v>
      </c>
      <c r="C610" t="s">
        <v>83</v>
      </c>
      <c r="D610" t="s">
        <v>176</v>
      </c>
      <c r="E610">
        <f>IF(WEEKNUM(Combined[[#This Row],[Date]], 1) = 53, 1, WEEKNUM(Combined[[#This Row],[Date]], 2))</f>
        <v>10</v>
      </c>
      <c r="F610" t="str">
        <f t="shared" ref="F610:F611" si="148">TEXT(WEEKDAY(G610,1),"DDDD")</f>
        <v>Friday</v>
      </c>
      <c r="G610" s="41">
        <v>44988</v>
      </c>
      <c r="H610">
        <v>2</v>
      </c>
      <c r="I610" s="1">
        <v>31.93</v>
      </c>
      <c r="J610" s="2">
        <v>3.8194444444444441E-2</v>
      </c>
      <c r="K610" s="12">
        <f>Combined[[#This Row],[Time Spent]]*24</f>
        <v>0.91666666666666652</v>
      </c>
      <c r="L610" s="12">
        <f>MROUND(Combined[[#This Row],[Time Spent 2]],0.25)</f>
        <v>1</v>
      </c>
      <c r="M610" s="2" t="s">
        <v>91</v>
      </c>
      <c r="N610" t="s">
        <v>82</v>
      </c>
      <c r="O610">
        <f>MATCH(Combined[[#This Row],[Primary Area]],KPIs!$C$4:$C$7,0)</f>
        <v>3</v>
      </c>
      <c r="Q610" s="40">
        <v>45587</v>
      </c>
      <c r="R610" s="40">
        <f t="shared" si="135"/>
        <v>45587</v>
      </c>
      <c r="S610" s="4" t="str">
        <f>TEXT(Mileage[[#This Row],[Date]],"dddd")</f>
        <v>Tuesday</v>
      </c>
      <c r="T610" s="4" t="s">
        <v>276</v>
      </c>
      <c r="U610" s="4">
        <v>52</v>
      </c>
      <c r="V610" t="str" cm="1">
        <f t="array" ref="V610">IFERROR(VLOOKUP(MODE(IF(Combined[Date]=Mileage[[#This Row],[Date]],Combined[Area '#])),KPIs!$B$4:$C$7,2,FALSE),VLOOKUP(Mileage[[#This Row],[Date]],Combined[[Date]:[Primary Area]],8,FALSE))</f>
        <v>Brunswick/Bath/Freeport</v>
      </c>
      <c r="W610" s="105">
        <v>0.75555555555555554</v>
      </c>
      <c r="X610" s="12">
        <v>4.55</v>
      </c>
      <c r="Y610">
        <v>55</v>
      </c>
      <c r="Z6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1" spans="2:26" x14ac:dyDescent="0.35">
      <c r="B611">
        <f t="shared" si="134"/>
        <v>609</v>
      </c>
      <c r="C611" t="s">
        <v>86</v>
      </c>
      <c r="D611" t="s">
        <v>176</v>
      </c>
      <c r="E611">
        <f>IF(WEEKNUM(Combined[[#This Row],[Date]], 1) = 53, 1, WEEKNUM(Combined[[#This Row],[Date]], 2))</f>
        <v>10</v>
      </c>
      <c r="F611" t="str">
        <f t="shared" si="148"/>
        <v>Friday</v>
      </c>
      <c r="G611" s="41">
        <v>44988</v>
      </c>
      <c r="H611">
        <v>1</v>
      </c>
      <c r="I611" s="1">
        <v>9</v>
      </c>
      <c r="J611" s="2">
        <v>3.1944444444444449E-2</v>
      </c>
      <c r="K611" s="12">
        <f>Combined[[#This Row],[Time Spent]]*24</f>
        <v>0.76666666666666683</v>
      </c>
      <c r="L611" s="12">
        <f>MROUND(Combined[[#This Row],[Time Spent 2]],0.25)</f>
        <v>0.75</v>
      </c>
      <c r="M611" s="2" t="s">
        <v>91</v>
      </c>
      <c r="N611" t="s">
        <v>82</v>
      </c>
      <c r="O611">
        <f>MATCH(Combined[[#This Row],[Primary Area]],KPIs!$C$4:$C$7,0)</f>
        <v>3</v>
      </c>
      <c r="Q611" s="40">
        <v>45590</v>
      </c>
      <c r="R611" s="40">
        <f t="shared" si="135"/>
        <v>45590</v>
      </c>
      <c r="S611" s="4" t="str">
        <f>TEXT(Mileage[[#This Row],[Date]],"dddd")</f>
        <v>Friday</v>
      </c>
      <c r="T611" s="4" t="s">
        <v>230</v>
      </c>
      <c r="U611" s="4">
        <v>50</v>
      </c>
      <c r="V611" t="str" cm="1">
        <f t="array" ref="V611">IFERROR(VLOOKUP(MODE(IF(Combined[Date]=Mileage[[#This Row],[Date]],Combined[Area '#])),KPIs!$B$4:$C$7,2,FALSE),VLOOKUP(Mileage[[#This Row],[Date]],Combined[[Date]:[Primary Area]],8,FALSE))</f>
        <v>Brunswick/Bath/Freeport</v>
      </c>
      <c r="W611" s="105">
        <v>0.76041666666666663</v>
      </c>
      <c r="X611" s="12">
        <v>5.23</v>
      </c>
      <c r="Y611">
        <v>104</v>
      </c>
      <c r="Z6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2" spans="2:26" x14ac:dyDescent="0.35">
      <c r="B612">
        <f t="shared" si="134"/>
        <v>610</v>
      </c>
      <c r="C612" t="s">
        <v>83</v>
      </c>
      <c r="D612" t="s">
        <v>176</v>
      </c>
      <c r="E612">
        <f>IF(WEEKNUM(Combined[[#This Row],[Date]], 1) = 53, 1, WEEKNUM(Combined[[#This Row],[Date]], 2))</f>
        <v>10</v>
      </c>
      <c r="F612" t="str">
        <f t="shared" ref="F612:F613" si="149">TEXT(WEEKDAY(G612,1),"DDDD")</f>
        <v>Saturday</v>
      </c>
      <c r="G612" s="41">
        <v>44989</v>
      </c>
      <c r="H612">
        <v>6</v>
      </c>
      <c r="I612" s="1">
        <v>121.15</v>
      </c>
      <c r="J612" s="2">
        <v>0.16666666666666666</v>
      </c>
      <c r="K612" s="12">
        <f>Combined[[#This Row],[Time Spent]]*24</f>
        <v>4</v>
      </c>
      <c r="L612" s="12">
        <f>MROUND(Combined[[#This Row],[Time Spent 2]],0.25)</f>
        <v>4</v>
      </c>
      <c r="M612" s="2" t="s">
        <v>91</v>
      </c>
      <c r="N612" t="s">
        <v>80</v>
      </c>
      <c r="O612">
        <f>MATCH(Combined[[#This Row],[Primary Area]],KPIs!$C$4:$C$7,0)</f>
        <v>2</v>
      </c>
      <c r="Q612" s="40">
        <v>45592</v>
      </c>
      <c r="R612" s="40">
        <f t="shared" si="135"/>
        <v>45592</v>
      </c>
      <c r="S612" s="4" t="str">
        <f>TEXT(Mileage[[#This Row],[Date]],"dddd")</f>
        <v>Sunday</v>
      </c>
      <c r="T612" s="4" t="s">
        <v>285</v>
      </c>
      <c r="U612" s="4">
        <v>45</v>
      </c>
      <c r="V612" t="str" cm="1">
        <f t="array" ref="V612">IFERROR(VLOOKUP(MODE(IF(Combined[Date]=Mileage[[#This Row],[Date]],Combined[Area '#])),KPIs!$B$4:$C$7,2,FALSE),VLOOKUP(Mileage[[#This Row],[Date]],Combined[[Date]:[Primary Area]],8,FALSE))</f>
        <v>Brunswick/Bath/Freeport</v>
      </c>
      <c r="W612" s="105">
        <v>0.75694444444444442</v>
      </c>
      <c r="X612" s="12">
        <v>4.63</v>
      </c>
      <c r="Y612">
        <v>93</v>
      </c>
      <c r="Z6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3" spans="2:26" x14ac:dyDescent="0.35">
      <c r="B613">
        <f t="shared" si="134"/>
        <v>611</v>
      </c>
      <c r="C613" t="s">
        <v>86</v>
      </c>
      <c r="D613" t="s">
        <v>176</v>
      </c>
      <c r="E613">
        <f>IF(WEEKNUM(Combined[[#This Row],[Date]], 1) = 53, 1, WEEKNUM(Combined[[#This Row],[Date]], 2))</f>
        <v>10</v>
      </c>
      <c r="F613" t="str">
        <f t="shared" si="149"/>
        <v>Saturday</v>
      </c>
      <c r="G613" s="41">
        <v>44989</v>
      </c>
      <c r="H613">
        <v>1</v>
      </c>
      <c r="I613" s="1">
        <v>35.5</v>
      </c>
      <c r="J613" s="2">
        <v>9.1666666666666674E-2</v>
      </c>
      <c r="K613" s="12">
        <f>Combined[[#This Row],[Time Spent]]*24</f>
        <v>2.2000000000000002</v>
      </c>
      <c r="L613" s="12">
        <f>MROUND(Combined[[#This Row],[Time Spent 2]],0.25)</f>
        <v>2.25</v>
      </c>
      <c r="M613" s="2" t="s">
        <v>92</v>
      </c>
      <c r="N613" t="s">
        <v>80</v>
      </c>
      <c r="O613">
        <f>MATCH(Combined[[#This Row],[Primary Area]],KPIs!$C$4:$C$7,0)</f>
        <v>2</v>
      </c>
      <c r="Q613" s="40">
        <v>45593</v>
      </c>
      <c r="R613" s="40">
        <f t="shared" si="135"/>
        <v>45593</v>
      </c>
      <c r="S613" s="4" t="str">
        <f>TEXT(Mileage[[#This Row],[Date]],"dddd")</f>
        <v>Monday</v>
      </c>
      <c r="T613" s="4" t="s">
        <v>230</v>
      </c>
      <c r="U613" s="4">
        <v>41</v>
      </c>
      <c r="V613" t="str" cm="1">
        <f t="array" ref="V613">IFERROR(VLOOKUP(MODE(IF(Combined[Date]=Mileage[[#This Row],[Date]],Combined[Area '#])),KPIs!$B$4:$C$7,2,FALSE),VLOOKUP(Mileage[[#This Row],[Date]],Combined[[Date]:[Primary Area]],8,FALSE))</f>
        <v>Brunswick/Bath/Freeport</v>
      </c>
      <c r="W613" s="105">
        <v>0.72916666666666663</v>
      </c>
      <c r="X613" s="12">
        <v>1.42</v>
      </c>
      <c r="Y613">
        <v>28</v>
      </c>
      <c r="Z6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4" spans="2:26" x14ac:dyDescent="0.35">
      <c r="B614">
        <f t="shared" si="134"/>
        <v>612</v>
      </c>
      <c r="C614" t="s">
        <v>86</v>
      </c>
      <c r="D614" t="s">
        <v>176</v>
      </c>
      <c r="E614">
        <f>IF(WEEKNUM(Combined[[#This Row],[Date]], 1) = 53, 1, WEEKNUM(Combined[[#This Row],[Date]], 2))</f>
        <v>11</v>
      </c>
      <c r="F614" t="str">
        <f t="shared" ref="F614" si="150">TEXT(WEEKDAY(G614,1),"DDDD")</f>
        <v>Tuesday</v>
      </c>
      <c r="G614" s="41">
        <v>44992</v>
      </c>
      <c r="H614">
        <v>8</v>
      </c>
      <c r="I614" s="1">
        <v>68</v>
      </c>
      <c r="J614" s="2">
        <v>0.17222222222222225</v>
      </c>
      <c r="K614" s="12">
        <f>Combined[[#This Row],[Time Spent]]*24</f>
        <v>4.1333333333333337</v>
      </c>
      <c r="L614" s="12">
        <f>MROUND(Combined[[#This Row],[Time Spent 2]],0.25)</f>
        <v>4.25</v>
      </c>
      <c r="M614" s="2" t="s">
        <v>91</v>
      </c>
      <c r="N614" t="s">
        <v>80</v>
      </c>
      <c r="O614">
        <f>MATCH(Combined[[#This Row],[Primary Area]],KPIs!$C$4:$C$7,0)</f>
        <v>2</v>
      </c>
      <c r="Q614" s="40">
        <v>45594</v>
      </c>
      <c r="R614" s="40">
        <f t="shared" si="135"/>
        <v>45594</v>
      </c>
      <c r="S614" s="4" t="str">
        <f>TEXT(Mileage[[#This Row],[Date]],"dddd")</f>
        <v>Tuesday</v>
      </c>
      <c r="T614" s="4" t="s">
        <v>231</v>
      </c>
      <c r="U614" s="4">
        <v>52</v>
      </c>
      <c r="V614" t="str" cm="1">
        <f t="array" ref="V614">IFERROR(VLOOKUP(MODE(IF(Combined[Date]=Mileage[[#This Row],[Date]],Combined[Area '#])),KPIs!$B$4:$C$7,2,FALSE),VLOOKUP(Mileage[[#This Row],[Date]],Combined[[Date]:[Primary Area]],8,FALSE))</f>
        <v>Portland</v>
      </c>
      <c r="W614" s="105">
        <v>0.72916666666666663</v>
      </c>
      <c r="X614" s="12">
        <v>4.9800000000000004</v>
      </c>
      <c r="Y614">
        <v>126</v>
      </c>
      <c r="Z61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15" spans="2:26" x14ac:dyDescent="0.35">
      <c r="B615">
        <f t="shared" si="134"/>
        <v>613</v>
      </c>
      <c r="C615" t="s">
        <v>83</v>
      </c>
      <c r="D615" t="s">
        <v>176</v>
      </c>
      <c r="E615">
        <f>IF(WEEKNUM(Combined[[#This Row],[Date]], 1) = 53, 1, WEEKNUM(Combined[[#This Row],[Date]], 2))</f>
        <v>11</v>
      </c>
      <c r="F615" t="str">
        <f t="shared" ref="F615:F616" si="151">TEXT(WEEKDAY(G615,1),"DDDD")</f>
        <v>Thursday</v>
      </c>
      <c r="G615" s="41">
        <v>44994</v>
      </c>
      <c r="H615">
        <v>3</v>
      </c>
      <c r="I615" s="1">
        <v>43.83</v>
      </c>
      <c r="J615" s="2">
        <v>8.0555555555555561E-2</v>
      </c>
      <c r="K615" s="12">
        <f>Combined[[#This Row],[Time Spent]]*24</f>
        <v>1.9333333333333336</v>
      </c>
      <c r="L615" s="12">
        <f>MROUND(Combined[[#This Row],[Time Spent 2]],0.25)</f>
        <v>2</v>
      </c>
      <c r="M615" s="2" t="s">
        <v>91</v>
      </c>
      <c r="N615" t="s">
        <v>85</v>
      </c>
      <c r="O615">
        <f>MATCH(Combined[[#This Row],[Primary Area]],KPIs!$C$4:$C$7,0)</f>
        <v>4</v>
      </c>
      <c r="Q615" s="40">
        <v>45595</v>
      </c>
      <c r="R615" s="40">
        <f t="shared" si="135"/>
        <v>45595</v>
      </c>
      <c r="S615" s="4" t="str">
        <f>TEXT(Mileage[[#This Row],[Date]],"dddd")</f>
        <v>Wednesday</v>
      </c>
      <c r="T615" s="4" t="s">
        <v>276</v>
      </c>
      <c r="U615" s="4">
        <v>54</v>
      </c>
      <c r="V615" t="str" cm="1">
        <f t="array" ref="V615">IFERROR(VLOOKUP(MODE(IF(Combined[Date]=Mileage[[#This Row],[Date]],Combined[Area '#])),KPIs!$B$4:$C$7,2,FALSE),VLOOKUP(Mileage[[#This Row],[Date]],Combined[[Date]:[Primary Area]],8,FALSE))</f>
        <v>Brunswick/Bath/Freeport</v>
      </c>
      <c r="W615" s="105">
        <v>0.71527777777777779</v>
      </c>
      <c r="X615" s="12">
        <v>4.0199999999999996</v>
      </c>
      <c r="Y615">
        <v>74</v>
      </c>
      <c r="Z6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6" spans="2:26" x14ac:dyDescent="0.35">
      <c r="B616">
        <f t="shared" si="134"/>
        <v>614</v>
      </c>
      <c r="C616" t="s">
        <v>86</v>
      </c>
      <c r="D616" t="s">
        <v>176</v>
      </c>
      <c r="E616">
        <f>IF(WEEKNUM(Combined[[#This Row],[Date]], 1) = 53, 1, WEEKNUM(Combined[[#This Row],[Date]], 2))</f>
        <v>11</v>
      </c>
      <c r="F616" t="str">
        <f t="shared" si="151"/>
        <v>Thursday</v>
      </c>
      <c r="G616" s="41">
        <v>44994</v>
      </c>
      <c r="H616">
        <v>2</v>
      </c>
      <c r="I616" s="1">
        <v>15</v>
      </c>
      <c r="J616" s="2">
        <v>7.1527777777777787E-2</v>
      </c>
      <c r="K616" s="12">
        <f>Combined[[#This Row],[Time Spent]]*24</f>
        <v>1.7166666666666668</v>
      </c>
      <c r="L616" s="12">
        <f>MROUND(Combined[[#This Row],[Time Spent 2]],0.25)</f>
        <v>1.75</v>
      </c>
      <c r="M616" s="2" t="s">
        <v>91</v>
      </c>
      <c r="N616" t="s">
        <v>85</v>
      </c>
      <c r="O616">
        <f>MATCH(Combined[[#This Row],[Primary Area]],KPIs!$C$4:$C$7,0)</f>
        <v>4</v>
      </c>
      <c r="Q616" s="40">
        <v>45597</v>
      </c>
      <c r="R616" s="40">
        <f t="shared" si="135"/>
        <v>45597</v>
      </c>
      <c r="S616" s="4" t="str">
        <f>TEXT(Mileage[[#This Row],[Date]],"dddd")</f>
        <v>Friday</v>
      </c>
      <c r="T616" s="4" t="s">
        <v>230</v>
      </c>
      <c r="U616" s="4">
        <v>59</v>
      </c>
      <c r="V616" t="str" cm="1">
        <f t="array" ref="V616">IFERROR(VLOOKUP(MODE(IF(Combined[Date]=Mileage[[#This Row],[Date]],Combined[Area '#])),KPIs!$B$4:$C$7,2,FALSE),VLOOKUP(Mileage[[#This Row],[Date]],Combined[[Date]:[Primary Area]],8,FALSE))</f>
        <v>Brunswick/Bath/Freeport</v>
      </c>
      <c r="W616" s="105">
        <v>0.75347222222222221</v>
      </c>
      <c r="X616" s="12">
        <v>6.88</v>
      </c>
      <c r="Y616">
        <v>172</v>
      </c>
      <c r="Z6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17" spans="2:26" x14ac:dyDescent="0.35">
      <c r="B617">
        <f t="shared" si="134"/>
        <v>615</v>
      </c>
      <c r="C617" t="s">
        <v>83</v>
      </c>
      <c r="D617" t="s">
        <v>176</v>
      </c>
      <c r="E617">
        <f>IF(WEEKNUM(Combined[[#This Row],[Date]], 1) = 53, 1, WEEKNUM(Combined[[#This Row],[Date]], 2))</f>
        <v>11</v>
      </c>
      <c r="F617" t="str">
        <f t="shared" ref="F617:F618" si="152">TEXT(WEEKDAY(G617,1),"DDDD")</f>
        <v>Friday</v>
      </c>
      <c r="G617" s="41">
        <v>44995</v>
      </c>
      <c r="H617">
        <v>1</v>
      </c>
      <c r="I617" s="1">
        <v>4.7</v>
      </c>
      <c r="J617" s="2">
        <v>4.8611111111111112E-2</v>
      </c>
      <c r="K617" s="12">
        <f>Combined[[#This Row],[Time Spent]]*24</f>
        <v>1.1666666666666667</v>
      </c>
      <c r="L617" s="12">
        <f>MROUND(Combined[[#This Row],[Time Spent 2]],0.25)</f>
        <v>1.25</v>
      </c>
      <c r="M617" s="2" t="s">
        <v>91</v>
      </c>
      <c r="N617" t="s">
        <v>82</v>
      </c>
      <c r="O617">
        <f>MATCH(Combined[[#This Row],[Primary Area]],KPIs!$C$4:$C$7,0)</f>
        <v>3</v>
      </c>
      <c r="Q617" s="40">
        <v>45598</v>
      </c>
      <c r="R617" s="40">
        <f t="shared" si="135"/>
        <v>45598</v>
      </c>
      <c r="S617" s="4" t="str">
        <f>TEXT(Mileage[[#This Row],[Date]],"dddd")</f>
        <v>Saturday</v>
      </c>
      <c r="T617" s="4" t="s">
        <v>230</v>
      </c>
      <c r="U617" s="4">
        <v>37</v>
      </c>
      <c r="V617" t="str" cm="1">
        <f t="array" ref="V617">IFERROR(VLOOKUP(MODE(IF(Combined[Date]=Mileage[[#This Row],[Date]],Combined[Area '#])),KPIs!$B$4:$C$7,2,FALSE),VLOOKUP(Mileage[[#This Row],[Date]],Combined[[Date]:[Primary Area]],8,FALSE))</f>
        <v>Portland</v>
      </c>
      <c r="W617" s="105">
        <v>0.57291666666666663</v>
      </c>
      <c r="X617" s="12">
        <v>6.3</v>
      </c>
      <c r="Y617">
        <v>128</v>
      </c>
      <c r="Z61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18" spans="2:26" x14ac:dyDescent="0.35">
      <c r="B618">
        <f t="shared" si="134"/>
        <v>616</v>
      </c>
      <c r="C618" t="s">
        <v>86</v>
      </c>
      <c r="D618" t="s">
        <v>176</v>
      </c>
      <c r="E618">
        <f>IF(WEEKNUM(Combined[[#This Row],[Date]], 1) = 53, 1, WEEKNUM(Combined[[#This Row],[Date]], 2))</f>
        <v>11</v>
      </c>
      <c r="F618" t="str">
        <f t="shared" si="152"/>
        <v>Friday</v>
      </c>
      <c r="G618" s="41">
        <v>44995</v>
      </c>
      <c r="H618">
        <v>8</v>
      </c>
      <c r="I618" s="1">
        <f>1.88+57.5</f>
        <v>59.38</v>
      </c>
      <c r="J618" s="2">
        <v>0.14791666666666667</v>
      </c>
      <c r="K618" s="12">
        <f>Combined[[#This Row],[Time Spent]]*24</f>
        <v>3.55</v>
      </c>
      <c r="L618" s="12">
        <f>MROUND(Combined[[#This Row],[Time Spent 2]],0.25)</f>
        <v>3.5</v>
      </c>
      <c r="M618" s="2" t="s">
        <v>91</v>
      </c>
      <c r="N618" t="s">
        <v>82</v>
      </c>
      <c r="O618">
        <f>MATCH(Combined[[#This Row],[Primary Area]],KPIs!$C$4:$C$7,0)</f>
        <v>3</v>
      </c>
      <c r="Q618" s="40">
        <v>45599</v>
      </c>
      <c r="R618" s="40">
        <f t="shared" si="135"/>
        <v>45599</v>
      </c>
      <c r="S618" s="4" t="str">
        <f>TEXT(Mileage[[#This Row],[Date]],"dddd")</f>
        <v>Sunday</v>
      </c>
      <c r="T618" s="4" t="s">
        <v>230</v>
      </c>
      <c r="U618" s="4">
        <v>41</v>
      </c>
      <c r="V618" t="str" cm="1">
        <f t="array" ref="V618">IFERROR(VLOOKUP(MODE(IF(Combined[Date]=Mileage[[#This Row],[Date]],Combined[Area '#])),KPIs!$B$4:$C$7,2,FALSE),VLOOKUP(Mileage[[#This Row],[Date]],Combined[[Date]:[Primary Area]],8,FALSE))</f>
        <v>Brunswick/Bath/Freeport</v>
      </c>
      <c r="W618" s="105">
        <v>0.69791666666666663</v>
      </c>
      <c r="X618" s="12">
        <v>6.13</v>
      </c>
      <c r="Y618">
        <v>121</v>
      </c>
      <c r="Z6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19" spans="2:26" x14ac:dyDescent="0.35">
      <c r="B619">
        <f t="shared" si="134"/>
        <v>617</v>
      </c>
      <c r="C619" t="s">
        <v>83</v>
      </c>
      <c r="D619" t="s">
        <v>176</v>
      </c>
      <c r="E619">
        <f>IF(WEEKNUM(Combined[[#This Row],[Date]], 1) = 53, 1, WEEKNUM(Combined[[#This Row],[Date]], 2))</f>
        <v>11</v>
      </c>
      <c r="F619" t="str">
        <f t="shared" ref="F619:F620" si="153">TEXT(WEEKDAY(G619,1),"DDDD")</f>
        <v>Saturday</v>
      </c>
      <c r="G619" s="41">
        <v>44996</v>
      </c>
      <c r="H619">
        <v>4</v>
      </c>
      <c r="I619" s="1">
        <v>42.7</v>
      </c>
      <c r="J619" s="2">
        <v>0.15</v>
      </c>
      <c r="K619" s="12">
        <f>Combined[[#This Row],[Time Spent]]*24</f>
        <v>3.5999999999999996</v>
      </c>
      <c r="L619" s="12">
        <f>MROUND(Combined[[#This Row],[Time Spent 2]],0.25)</f>
        <v>3.5</v>
      </c>
      <c r="M619" s="2" t="s">
        <v>91</v>
      </c>
      <c r="N619" t="s">
        <v>80</v>
      </c>
      <c r="O619">
        <f>MATCH(Combined[[#This Row],[Primary Area]],KPIs!$C$4:$C$7,0)</f>
        <v>2</v>
      </c>
      <c r="Q619" s="40">
        <v>45600</v>
      </c>
      <c r="R619" s="40">
        <f t="shared" si="135"/>
        <v>45600</v>
      </c>
      <c r="S619" s="4" t="str">
        <f>TEXT(Mileage[[#This Row],[Date]],"dddd")</f>
        <v>Monday</v>
      </c>
      <c r="T619" s="4" t="s">
        <v>285</v>
      </c>
      <c r="U619" s="4">
        <v>43</v>
      </c>
      <c r="V619" t="str" cm="1">
        <f t="array" ref="V619">IFERROR(VLOOKUP(MODE(IF(Combined[Date]=Mileage[[#This Row],[Date]],Combined[Area '#])),KPIs!$B$4:$C$7,2,FALSE),VLOOKUP(Mileage[[#This Row],[Date]],Combined[[Date]:[Primary Area]],8,FALSE))</f>
        <v>Brunswick/Bath/Freeport</v>
      </c>
      <c r="W619" s="105">
        <v>0.72569444444444442</v>
      </c>
      <c r="X619" s="12">
        <v>5.35</v>
      </c>
      <c r="Y619">
        <v>87</v>
      </c>
      <c r="Z6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0" spans="2:26" x14ac:dyDescent="0.35">
      <c r="B620">
        <f t="shared" si="134"/>
        <v>618</v>
      </c>
      <c r="C620" t="s">
        <v>86</v>
      </c>
      <c r="D620" t="s">
        <v>176</v>
      </c>
      <c r="E620">
        <f>IF(WEEKNUM(Combined[[#This Row],[Date]], 1) = 53, 1, WEEKNUM(Combined[[#This Row],[Date]], 2))</f>
        <v>11</v>
      </c>
      <c r="F620" t="str">
        <f t="shared" si="153"/>
        <v>Saturday</v>
      </c>
      <c r="G620" s="41">
        <v>44996</v>
      </c>
      <c r="H620">
        <v>4</v>
      </c>
      <c r="I620" s="1">
        <v>50.25</v>
      </c>
      <c r="J620" s="2">
        <v>0.10347222222222223</v>
      </c>
      <c r="K620" s="12">
        <f>Combined[[#This Row],[Time Spent]]*24</f>
        <v>2.4833333333333334</v>
      </c>
      <c r="L620" s="12">
        <f>MROUND(Combined[[#This Row],[Time Spent 2]],0.25)</f>
        <v>2.5</v>
      </c>
      <c r="M620" s="2" t="s">
        <v>91</v>
      </c>
      <c r="N620" t="s">
        <v>80</v>
      </c>
      <c r="O620">
        <f>MATCH(Combined[[#This Row],[Primary Area]],KPIs!$C$4:$C$7,0)</f>
        <v>2</v>
      </c>
      <c r="Q620" s="40">
        <v>45601</v>
      </c>
      <c r="R620" s="40">
        <f t="shared" si="135"/>
        <v>45601</v>
      </c>
      <c r="S620" s="4" t="str">
        <f>TEXT(Mileage[[#This Row],[Date]],"dddd")</f>
        <v>Tuesday</v>
      </c>
      <c r="T620" s="4" t="s">
        <v>230</v>
      </c>
      <c r="U620" s="4">
        <v>52</v>
      </c>
      <c r="V620" t="str" cm="1">
        <f t="array" ref="V620">IFERROR(VLOOKUP(MODE(IF(Combined[Date]=Mileage[[#This Row],[Date]],Combined[Area '#])),KPIs!$B$4:$C$7,2,FALSE),VLOOKUP(Mileage[[#This Row],[Date]],Combined[[Date]:[Primary Area]],8,FALSE))</f>
        <v>Brunswick/Bath/Freeport</v>
      </c>
      <c r="W620" s="105">
        <v>0.75694444444444442</v>
      </c>
      <c r="X620" s="12">
        <v>5.07</v>
      </c>
      <c r="Y620">
        <v>87</v>
      </c>
      <c r="Z62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1" spans="2:26" x14ac:dyDescent="0.35">
      <c r="B621">
        <f t="shared" si="134"/>
        <v>619</v>
      </c>
      <c r="C621" t="s">
        <v>86</v>
      </c>
      <c r="D621" t="s">
        <v>176</v>
      </c>
      <c r="E621">
        <f>IF(WEEKNUM(Combined[[#This Row],[Date]], 1) = 53, 1, WEEKNUM(Combined[[#This Row],[Date]], 2))</f>
        <v>11</v>
      </c>
      <c r="F621" t="str">
        <f>TEXT(WEEKDAY(G621,1),"DDDD")</f>
        <v>Saturday</v>
      </c>
      <c r="G621" s="41">
        <v>44996</v>
      </c>
      <c r="H621">
        <v>3</v>
      </c>
      <c r="I621" s="1">
        <v>29.5</v>
      </c>
      <c r="J621" s="2">
        <v>7.1527777777777787E-2</v>
      </c>
      <c r="K621" s="12">
        <f>Combined[[#This Row],[Time Spent]]*24</f>
        <v>1.7166666666666668</v>
      </c>
      <c r="L621" s="12">
        <f>MROUND(Combined[[#This Row],[Time Spent 2]],0.25)</f>
        <v>1.75</v>
      </c>
      <c r="M621" s="2" t="s">
        <v>92</v>
      </c>
      <c r="N621" t="s">
        <v>80</v>
      </c>
      <c r="O621">
        <f>MATCH(Combined[[#This Row],[Primary Area]],KPIs!$C$4:$C$7,0)</f>
        <v>2</v>
      </c>
      <c r="Q621" s="40">
        <v>45603</v>
      </c>
      <c r="R621" s="40">
        <f t="shared" si="135"/>
        <v>45603</v>
      </c>
      <c r="S621" s="4" t="str">
        <f>TEXT(Mileage[[#This Row],[Date]],"dddd")</f>
        <v>Thursday</v>
      </c>
      <c r="T621" s="4" t="s">
        <v>230</v>
      </c>
      <c r="U621" s="4">
        <v>46</v>
      </c>
      <c r="V621" t="str" cm="1">
        <f t="array" ref="V621">IFERROR(VLOOKUP(MODE(IF(Combined[Date]=Mileage[[#This Row],[Date]],Combined[Area '#])),KPIs!$B$4:$C$7,2,FALSE),VLOOKUP(Mileage[[#This Row],[Date]],Combined[[Date]:[Primary Area]],8,FALSE))</f>
        <v>Brunswick/Bath/Freeport</v>
      </c>
      <c r="W621" s="105">
        <v>0.73263888888888884</v>
      </c>
      <c r="X621" s="12">
        <v>2.58</v>
      </c>
      <c r="Y621">
        <v>28</v>
      </c>
      <c r="Z62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22" spans="2:26" x14ac:dyDescent="0.35">
      <c r="B622">
        <f t="shared" si="134"/>
        <v>620</v>
      </c>
      <c r="C622" t="s">
        <v>83</v>
      </c>
      <c r="D622" t="s">
        <v>176</v>
      </c>
      <c r="E622">
        <f>IF(WEEKNUM(Combined[[#This Row],[Date]], 1) = 53, 1, WEEKNUM(Combined[[#This Row],[Date]], 2))</f>
        <v>12</v>
      </c>
      <c r="F622" t="str">
        <f t="shared" ref="F622:F623" si="154">TEXT(WEEKDAY(G622,1),"DDDD")</f>
        <v>Tuesday</v>
      </c>
      <c r="G622" s="41">
        <v>44999</v>
      </c>
      <c r="H622">
        <v>1</v>
      </c>
      <c r="I622" s="1">
        <v>17.3</v>
      </c>
      <c r="J622" s="2">
        <v>2.8472222222222222E-2</v>
      </c>
      <c r="K622" s="12">
        <f>Combined[[#This Row],[Time Spent]]*24</f>
        <v>0.68333333333333335</v>
      </c>
      <c r="L622" s="12">
        <f>MROUND(Combined[[#This Row],[Time Spent 2]],0.25)</f>
        <v>0.75</v>
      </c>
      <c r="M622" s="2" t="s">
        <v>91</v>
      </c>
      <c r="N622" t="s">
        <v>80</v>
      </c>
      <c r="O622">
        <f>MATCH(Combined[[#This Row],[Primary Area]],KPIs!$C$4:$C$7,0)</f>
        <v>2</v>
      </c>
      <c r="Q622" s="40">
        <v>45607</v>
      </c>
      <c r="R622" s="40">
        <f t="shared" si="135"/>
        <v>45607</v>
      </c>
      <c r="S622" s="4" t="str">
        <f>TEXT(Mileage[[#This Row],[Date]],"dddd")</f>
        <v>Monday</v>
      </c>
      <c r="T622" s="4" t="s">
        <v>231</v>
      </c>
      <c r="U622" s="4">
        <v>55</v>
      </c>
      <c r="V622" t="str" cm="1">
        <f t="array" ref="V622">IFERROR(VLOOKUP(MODE(IF(Combined[Date]=Mileage[[#This Row],[Date]],Combined[Area '#])),KPIs!$B$4:$C$7,2,FALSE),VLOOKUP(Mileage[[#This Row],[Date]],Combined[[Date]:[Primary Area]],8,FALSE))</f>
        <v>Brunswick/Bath/Freeport</v>
      </c>
      <c r="W622" s="105">
        <v>0.76736111111111116</v>
      </c>
      <c r="X622" s="12">
        <v>5.03</v>
      </c>
      <c r="Y622">
        <v>88</v>
      </c>
      <c r="Z62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3" spans="2:26" x14ac:dyDescent="0.35">
      <c r="B623">
        <f t="shared" si="134"/>
        <v>621</v>
      </c>
      <c r="C623" t="s">
        <v>86</v>
      </c>
      <c r="D623" t="s">
        <v>176</v>
      </c>
      <c r="E623">
        <f>IF(WEEKNUM(Combined[[#This Row],[Date]], 1) = 53, 1, WEEKNUM(Combined[[#This Row],[Date]], 2))</f>
        <v>12</v>
      </c>
      <c r="F623" t="str">
        <f t="shared" si="154"/>
        <v>Tuesday</v>
      </c>
      <c r="G623" s="41">
        <v>44999</v>
      </c>
      <c r="H623">
        <v>2</v>
      </c>
      <c r="I623" s="1">
        <f>9.37+9+24.75</f>
        <v>43.12</v>
      </c>
      <c r="J623" s="2">
        <v>0.13402777777777777</v>
      </c>
      <c r="K623" s="12">
        <f>Combined[[#This Row],[Time Spent]]*24</f>
        <v>3.2166666666666668</v>
      </c>
      <c r="L623" s="12">
        <f>MROUND(Combined[[#This Row],[Time Spent 2]],0.25)</f>
        <v>3.25</v>
      </c>
      <c r="M623" s="2" t="s">
        <v>91</v>
      </c>
      <c r="N623" t="s">
        <v>80</v>
      </c>
      <c r="O623">
        <f>MATCH(Combined[[#This Row],[Primary Area]],KPIs!$C$4:$C$7,0)</f>
        <v>2</v>
      </c>
      <c r="Q623" s="40">
        <v>45608</v>
      </c>
      <c r="R623" s="40">
        <f t="shared" si="135"/>
        <v>45608</v>
      </c>
      <c r="S623" s="4" t="str">
        <f>TEXT(Mileage[[#This Row],[Date]],"dddd")</f>
        <v>Tuesday</v>
      </c>
      <c r="T623" s="4" t="s">
        <v>230</v>
      </c>
      <c r="U623" s="4">
        <v>34</v>
      </c>
      <c r="V623" t="str" cm="1">
        <f t="array" ref="V623">IFERROR(VLOOKUP(MODE(IF(Combined[Date]=Mileage[[#This Row],[Date]],Combined[Area '#])),KPIs!$B$4:$C$7,2,FALSE),VLOOKUP(Mileage[[#This Row],[Date]],Combined[[Date]:[Primary Area]],8,FALSE))</f>
        <v>Brunswick/Bath/Freeport</v>
      </c>
      <c r="W623" s="105">
        <v>0.78125</v>
      </c>
      <c r="X623" s="12">
        <v>4.67</v>
      </c>
      <c r="Y623">
        <v>71</v>
      </c>
      <c r="Z62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4" spans="2:26" x14ac:dyDescent="0.35">
      <c r="B624">
        <f t="shared" si="134"/>
        <v>622</v>
      </c>
      <c r="C624" t="s">
        <v>83</v>
      </c>
      <c r="D624" t="s">
        <v>176</v>
      </c>
      <c r="E624">
        <f>IF(WEEKNUM(Combined[[#This Row],[Date]], 1) = 53, 1, WEEKNUM(Combined[[#This Row],[Date]], 2))</f>
        <v>12</v>
      </c>
      <c r="F624" t="str">
        <f t="shared" ref="F624:F627" si="155">TEXT(WEEKDAY(G624,1),"DDDD")</f>
        <v>Wednesday</v>
      </c>
      <c r="G624" s="41">
        <v>45000</v>
      </c>
      <c r="H624">
        <v>6</v>
      </c>
      <c r="I624" s="1">
        <v>29.21</v>
      </c>
      <c r="J624" s="2">
        <v>8.6111111111111124E-2</v>
      </c>
      <c r="K624" s="12">
        <f>Combined[[#This Row],[Time Spent]]*24</f>
        <v>2.0666666666666669</v>
      </c>
      <c r="L624" s="12">
        <f>MROUND(Combined[[#This Row],[Time Spent 2]],0.25)</f>
        <v>2</v>
      </c>
      <c r="M624" s="2" t="s">
        <v>91</v>
      </c>
      <c r="N624" t="s">
        <v>82</v>
      </c>
      <c r="O624">
        <f>MATCH(Combined[[#This Row],[Primary Area]],KPIs!$C$4:$C$7,0)</f>
        <v>3</v>
      </c>
      <c r="Q624" s="40">
        <v>45611</v>
      </c>
      <c r="R624" s="40">
        <f t="shared" si="135"/>
        <v>45611</v>
      </c>
      <c r="S624" s="4" t="str">
        <f>TEXT(Mileage[[#This Row],[Date]],"dddd")</f>
        <v>Friday</v>
      </c>
      <c r="T624" s="4" t="s">
        <v>249</v>
      </c>
      <c r="U624" s="4">
        <v>50</v>
      </c>
      <c r="V624" t="str" cm="1">
        <f t="array" ref="V624">IFERROR(VLOOKUP(MODE(IF(Combined[Date]=Mileage[[#This Row],[Date]],Combined[Area '#])),KPIs!$B$4:$C$7,2,FALSE),VLOOKUP(Mileage[[#This Row],[Date]],Combined[[Date]:[Primary Area]],8,FALSE))</f>
        <v>Brunswick/Bath/Freeport</v>
      </c>
      <c r="W624" s="105">
        <v>0.71875</v>
      </c>
      <c r="X624" s="12">
        <v>6.27</v>
      </c>
      <c r="Y624">
        <v>114</v>
      </c>
      <c r="Z6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5" spans="2:26" x14ac:dyDescent="0.35">
      <c r="B625">
        <f t="shared" si="134"/>
        <v>623</v>
      </c>
      <c r="C625" t="s">
        <v>86</v>
      </c>
      <c r="D625" t="s">
        <v>176</v>
      </c>
      <c r="E625">
        <f>IF(WEEKNUM(Combined[[#This Row],[Date]], 1) = 53, 1, WEEKNUM(Combined[[#This Row],[Date]], 2))</f>
        <v>12</v>
      </c>
      <c r="F625" t="str">
        <f t="shared" si="155"/>
        <v>Wednesday</v>
      </c>
      <c r="G625" s="41">
        <v>45000</v>
      </c>
      <c r="H625">
        <v>4</v>
      </c>
      <c r="I625" s="1">
        <v>29</v>
      </c>
      <c r="J625" s="2">
        <v>0.10555555555555556</v>
      </c>
      <c r="K625" s="12">
        <f>Combined[[#This Row],[Time Spent]]*24</f>
        <v>2.5333333333333332</v>
      </c>
      <c r="L625" s="12">
        <f>MROUND(Combined[[#This Row],[Time Spent 2]],0.25)</f>
        <v>2.5</v>
      </c>
      <c r="M625" s="2" t="s">
        <v>91</v>
      </c>
      <c r="N625" t="s">
        <v>82</v>
      </c>
      <c r="O625">
        <f>MATCH(Combined[[#This Row],[Primary Area]],KPIs!$C$4:$C$7,0)</f>
        <v>3</v>
      </c>
      <c r="Q625" s="40">
        <v>45612</v>
      </c>
      <c r="R625" s="40">
        <f t="shared" si="135"/>
        <v>45612</v>
      </c>
      <c r="S625" s="4" t="str">
        <f>TEXT(Mileage[[#This Row],[Date]],"dddd")</f>
        <v>Saturday</v>
      </c>
      <c r="T625" s="4" t="s">
        <v>230</v>
      </c>
      <c r="U625" s="4">
        <v>46</v>
      </c>
      <c r="V625" t="str" cm="1">
        <f t="array" ref="V625">IFERROR(VLOOKUP(MODE(IF(Combined[Date]=Mileage[[#This Row],[Date]],Combined[Area '#])),KPIs!$B$4:$C$7,2,FALSE),VLOOKUP(Mileage[[#This Row],[Date]],Combined[[Date]:[Primary Area]],8,FALSE))</f>
        <v>Lewiston</v>
      </c>
      <c r="W625" s="105">
        <v>0.71875</v>
      </c>
      <c r="X625" s="12">
        <v>8</v>
      </c>
      <c r="Y625">
        <v>116</v>
      </c>
      <c r="Z6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6" spans="2:26" x14ac:dyDescent="0.35">
      <c r="B626">
        <f t="shared" si="134"/>
        <v>624</v>
      </c>
      <c r="C626" t="s">
        <v>86</v>
      </c>
      <c r="D626" t="s">
        <v>176</v>
      </c>
      <c r="E626">
        <f>IF(WEEKNUM(Combined[[#This Row],[Date]], 1) = 53, 1, WEEKNUM(Combined[[#This Row],[Date]], 2))</f>
        <v>12</v>
      </c>
      <c r="F626" t="str">
        <f t="shared" si="155"/>
        <v>Wednesday</v>
      </c>
      <c r="G626" s="41">
        <v>45000</v>
      </c>
      <c r="H626">
        <v>2</v>
      </c>
      <c r="I626" s="1">
        <v>20</v>
      </c>
      <c r="J626" s="2">
        <v>5.4166666666666669E-2</v>
      </c>
      <c r="K626" s="12">
        <f>Combined[[#This Row],[Time Spent]]*24</f>
        <v>1.3</v>
      </c>
      <c r="L626" s="12">
        <f>MROUND(Combined[[#This Row],[Time Spent 2]],0.25)</f>
        <v>1.25</v>
      </c>
      <c r="M626" s="2" t="s">
        <v>91</v>
      </c>
      <c r="N626" t="s">
        <v>82</v>
      </c>
      <c r="O626">
        <f>MATCH(Combined[[#This Row],[Primary Area]],KPIs!$C$4:$C$7,0)</f>
        <v>3</v>
      </c>
      <c r="Q626" s="40">
        <v>45614</v>
      </c>
      <c r="R626" s="40">
        <f t="shared" si="135"/>
        <v>45614</v>
      </c>
      <c r="S626" s="4" t="str">
        <f>TEXT(Mileage[[#This Row],[Date]],"dddd")</f>
        <v>Monday</v>
      </c>
      <c r="T626" s="4" t="s">
        <v>231</v>
      </c>
      <c r="U626" s="4">
        <v>50</v>
      </c>
      <c r="V626" t="str" cm="1">
        <f t="array" ref="V626">IFERROR(VLOOKUP(MODE(IF(Combined[Date]=Mileage[[#This Row],[Date]],Combined[Area '#])),KPIs!$B$4:$C$7,2,FALSE),VLOOKUP(Mileage[[#This Row],[Date]],Combined[[Date]:[Primary Area]],8,FALSE))</f>
        <v>Brunswick/Bath/Freeport</v>
      </c>
      <c r="W626" s="105">
        <v>0.76388888888888884</v>
      </c>
      <c r="X626" s="12">
        <v>3.02</v>
      </c>
      <c r="Y626">
        <v>59</v>
      </c>
      <c r="Z6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27" spans="2:26" x14ac:dyDescent="0.35">
      <c r="B627">
        <f t="shared" si="134"/>
        <v>625</v>
      </c>
      <c r="C627" t="s">
        <v>86</v>
      </c>
      <c r="D627" t="s">
        <v>176</v>
      </c>
      <c r="E627">
        <f>IF(WEEKNUM(Combined[[#This Row],[Date]], 1) = 53, 1, WEEKNUM(Combined[[#This Row],[Date]], 2))</f>
        <v>12</v>
      </c>
      <c r="F627" t="str">
        <f t="shared" si="155"/>
        <v>Wednesday</v>
      </c>
      <c r="G627" s="41">
        <v>45000</v>
      </c>
      <c r="H627">
        <v>1</v>
      </c>
      <c r="I627" s="1">
        <v>7.75</v>
      </c>
      <c r="J627" s="2">
        <v>1.6666666666666666E-2</v>
      </c>
      <c r="K627" s="12">
        <f>Combined[[#This Row],[Time Spent]]*24</f>
        <v>0.4</v>
      </c>
      <c r="L627" s="12">
        <f>MROUND(Combined[[#This Row],[Time Spent 2]],0.25)</f>
        <v>0.5</v>
      </c>
      <c r="M627" s="2" t="s">
        <v>92</v>
      </c>
      <c r="N627" t="s">
        <v>82</v>
      </c>
      <c r="O627">
        <f>MATCH(Combined[[#This Row],[Primary Area]],KPIs!$C$4:$C$7,0)</f>
        <v>3</v>
      </c>
      <c r="Q627" s="40">
        <v>45617</v>
      </c>
      <c r="R627" s="40">
        <f t="shared" si="135"/>
        <v>45617</v>
      </c>
      <c r="S627" s="4" t="str">
        <f>TEXT(Mileage[[#This Row],[Date]],"dddd")</f>
        <v>Thursday</v>
      </c>
      <c r="T627" s="4" t="s">
        <v>276</v>
      </c>
      <c r="U627" s="4">
        <v>45</v>
      </c>
      <c r="V627" t="str" cm="1">
        <f t="array" ref="V627">IFERROR(VLOOKUP(MODE(IF(Combined[Date]=Mileage[[#This Row],[Date]],Combined[Area '#])),KPIs!$B$4:$C$7,2,FALSE),VLOOKUP(Mileage[[#This Row],[Date]],Combined[[Date]:[Primary Area]],8,FALSE))</f>
        <v>Brunswick/Bath/Freeport</v>
      </c>
      <c r="W627" s="105">
        <v>0.76388888888888884</v>
      </c>
      <c r="X627" s="12">
        <v>0.6</v>
      </c>
      <c r="Y627">
        <v>19</v>
      </c>
      <c r="Z62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28" spans="2:26" x14ac:dyDescent="0.35">
      <c r="B628">
        <f t="shared" si="134"/>
        <v>626</v>
      </c>
      <c r="C628" t="s">
        <v>214</v>
      </c>
      <c r="D628" t="s">
        <v>176</v>
      </c>
      <c r="E628">
        <f>IF(WEEKNUM(Combined[[#This Row],[Date]], 1) = 53, 1, WEEKNUM(Combined[[#This Row],[Date]], 2))</f>
        <v>12</v>
      </c>
      <c r="F628" t="str">
        <f t="shared" ref="F628:F629" si="156">TEXT(WEEKDAY(G628,1),"DDDD")</f>
        <v>Thursday</v>
      </c>
      <c r="G628" s="41">
        <v>45001</v>
      </c>
      <c r="H628">
        <v>3</v>
      </c>
      <c r="I628" s="1">
        <v>61.69</v>
      </c>
      <c r="J628" s="2">
        <v>0.16944444444444443</v>
      </c>
      <c r="K628" s="12">
        <f>Combined[[#This Row],[Time Spent]]*24</f>
        <v>4.0666666666666664</v>
      </c>
      <c r="L628" s="12">
        <f>MROUND(Combined[[#This Row],[Time Spent 2]],0.25)</f>
        <v>4</v>
      </c>
      <c r="M628" s="2" t="s">
        <v>91</v>
      </c>
      <c r="N628" t="s">
        <v>80</v>
      </c>
      <c r="O628">
        <f>MATCH(Combined[[#This Row],[Primary Area]],KPIs!$C$4:$C$7,0)</f>
        <v>2</v>
      </c>
      <c r="Q628" s="40">
        <v>45618</v>
      </c>
      <c r="R628" s="40">
        <f t="shared" si="135"/>
        <v>45618</v>
      </c>
      <c r="S628" s="4" t="str">
        <f>TEXT(Mileage[[#This Row],[Date]],"dddd")</f>
        <v>Friday</v>
      </c>
      <c r="T628" s="4" t="s">
        <v>325</v>
      </c>
      <c r="U628" s="4">
        <v>46</v>
      </c>
      <c r="V628" t="str" cm="1">
        <f t="array" ref="V628">IFERROR(VLOOKUP(MODE(IF(Combined[Date]=Mileage[[#This Row],[Date]],Combined[Area '#])),KPIs!$B$4:$C$7,2,FALSE),VLOOKUP(Mileage[[#This Row],[Date]],Combined[[Date]:[Primary Area]],8,FALSE))</f>
        <v>Brunswick/Bath/Freeport</v>
      </c>
      <c r="W628" s="105">
        <v>0.75</v>
      </c>
      <c r="X628" s="12">
        <v>3.83</v>
      </c>
      <c r="Y628">
        <v>85</v>
      </c>
      <c r="Z6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29" spans="2:26" x14ac:dyDescent="0.35">
      <c r="B629">
        <f t="shared" si="134"/>
        <v>627</v>
      </c>
      <c r="C629" t="s">
        <v>86</v>
      </c>
      <c r="D629" t="s">
        <v>176</v>
      </c>
      <c r="E629">
        <f>IF(WEEKNUM(Combined[[#This Row],[Date]], 1) = 53, 1, WEEKNUM(Combined[[#This Row],[Date]], 2))</f>
        <v>12</v>
      </c>
      <c r="F629" t="str">
        <f t="shared" si="156"/>
        <v>Thursday</v>
      </c>
      <c r="G629" s="41">
        <v>45001</v>
      </c>
      <c r="H629">
        <v>1</v>
      </c>
      <c r="I629" s="1">
        <v>8.5</v>
      </c>
      <c r="J629" s="2">
        <v>2.8472222222222222E-2</v>
      </c>
      <c r="K629" s="12">
        <f>Combined[[#This Row],[Time Spent]]*24</f>
        <v>0.68333333333333335</v>
      </c>
      <c r="L629" s="12">
        <f>MROUND(Combined[[#This Row],[Time Spent 2]],0.25)</f>
        <v>0.75</v>
      </c>
      <c r="M629" s="2" t="s">
        <v>92</v>
      </c>
      <c r="N629" t="s">
        <v>80</v>
      </c>
      <c r="O629">
        <f>MATCH(Combined[[#This Row],[Primary Area]],KPIs!$C$4:$C$7,0)</f>
        <v>2</v>
      </c>
      <c r="Q629" s="40">
        <v>45621</v>
      </c>
      <c r="R629" s="40">
        <f t="shared" si="135"/>
        <v>45621</v>
      </c>
      <c r="S629" s="4" t="str">
        <f>TEXT(Mileage[[#This Row],[Date]],"dddd")</f>
        <v>Monday</v>
      </c>
      <c r="T629" s="4" t="s">
        <v>230</v>
      </c>
      <c r="U629" s="4">
        <v>36</v>
      </c>
      <c r="V629" t="str" cm="1">
        <f t="array" ref="V629">IFERROR(VLOOKUP(MODE(IF(Combined[Date]=Mileage[[#This Row],[Date]],Combined[Area '#])),KPIs!$B$4:$C$7,2,FALSE),VLOOKUP(Mileage[[#This Row],[Date]],Combined[[Date]:[Primary Area]],8,FALSE))</f>
        <v>Brunswick/Bath/Freeport</v>
      </c>
      <c r="W629" s="105">
        <v>0.72569444444444442</v>
      </c>
      <c r="X629" s="12">
        <v>3</v>
      </c>
      <c r="Y629">
        <v>52</v>
      </c>
      <c r="Z6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0" spans="2:26" x14ac:dyDescent="0.35">
      <c r="B630">
        <f t="shared" si="134"/>
        <v>628</v>
      </c>
      <c r="C630" t="s">
        <v>86</v>
      </c>
      <c r="D630" t="s">
        <v>176</v>
      </c>
      <c r="E630">
        <f>IF(WEEKNUM(Combined[[#This Row],[Date]], 1) = 53, 1, WEEKNUM(Combined[[#This Row],[Date]], 2))</f>
        <v>12</v>
      </c>
      <c r="F630" t="str">
        <f t="shared" ref="F630" si="157">TEXT(WEEKDAY(G630,1),"DDDD")</f>
        <v>Friday</v>
      </c>
      <c r="G630" s="41">
        <v>45002</v>
      </c>
      <c r="H630">
        <v>8</v>
      </c>
      <c r="I630" s="1">
        <v>51.5</v>
      </c>
      <c r="J630" s="2">
        <v>0.1673611111111111</v>
      </c>
      <c r="K630" s="12">
        <f>Combined[[#This Row],[Time Spent]]*24</f>
        <v>4.0166666666666666</v>
      </c>
      <c r="L630" s="12">
        <f>MROUND(Combined[[#This Row],[Time Spent 2]],0.25)</f>
        <v>4</v>
      </c>
      <c r="M630" s="2" t="s">
        <v>91</v>
      </c>
      <c r="N630" t="s">
        <v>82</v>
      </c>
      <c r="O630">
        <f>MATCH(Combined[[#This Row],[Primary Area]],KPIs!$C$4:$C$7,0)</f>
        <v>3</v>
      </c>
      <c r="Q630" s="40">
        <v>45623</v>
      </c>
      <c r="R630" s="40">
        <f t="shared" si="135"/>
        <v>45623</v>
      </c>
      <c r="S630" s="4" t="str">
        <f>TEXT(Mileage[[#This Row],[Date]],"dddd")</f>
        <v>Wednesday</v>
      </c>
      <c r="T630" s="4" t="s">
        <v>230</v>
      </c>
      <c r="U630" s="4">
        <v>34</v>
      </c>
      <c r="V630" t="str" cm="1">
        <f t="array" ref="V630">IFERROR(VLOOKUP(MODE(IF(Combined[Date]=Mileage[[#This Row],[Date]],Combined[Area '#])),KPIs!$B$4:$C$7,2,FALSE),VLOOKUP(Mileage[[#This Row],[Date]],Combined[[Date]:[Primary Area]],8,FALSE))</f>
        <v>Brunswick/Bath/Freeport</v>
      </c>
      <c r="W630" s="105">
        <v>0.75347222222222221</v>
      </c>
      <c r="X630" s="12">
        <v>2.77</v>
      </c>
      <c r="Y630">
        <v>56</v>
      </c>
      <c r="Z63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1" spans="2:26" x14ac:dyDescent="0.35">
      <c r="B631">
        <f t="shared" si="134"/>
        <v>629</v>
      </c>
      <c r="C631" t="s">
        <v>83</v>
      </c>
      <c r="D631" t="s">
        <v>176</v>
      </c>
      <c r="E631">
        <f>IF(WEEKNUM(Combined[[#This Row],[Date]], 1) = 53, 1, WEEKNUM(Combined[[#This Row],[Date]], 2))</f>
        <v>12</v>
      </c>
      <c r="F631" t="str">
        <f t="shared" ref="F631:F633" si="158">TEXT(WEEKDAY(G631,1),"DDDD")</f>
        <v>Saturday</v>
      </c>
      <c r="G631" s="41">
        <v>45003</v>
      </c>
      <c r="H631">
        <v>1</v>
      </c>
      <c r="I631" s="1">
        <v>13.41</v>
      </c>
      <c r="J631" s="2">
        <v>8.7500000000000008E-2</v>
      </c>
      <c r="K631" s="12">
        <f>Combined[[#This Row],[Time Spent]]*24</f>
        <v>2.1</v>
      </c>
      <c r="L631" s="12">
        <f>MROUND(Combined[[#This Row],[Time Spent 2]],0.25)</f>
        <v>2</v>
      </c>
      <c r="M631" s="2" t="s">
        <v>91</v>
      </c>
      <c r="N631" t="s">
        <v>80</v>
      </c>
      <c r="O631">
        <f>MATCH(Combined[[#This Row],[Primary Area]],KPIs!$C$4:$C$7,0)</f>
        <v>2</v>
      </c>
      <c r="Q631" s="40">
        <v>45625</v>
      </c>
      <c r="R631" s="40">
        <f t="shared" si="135"/>
        <v>45625</v>
      </c>
      <c r="S631" s="4" t="str">
        <f>TEXT(Mileage[[#This Row],[Date]],"dddd")</f>
        <v>Friday</v>
      </c>
      <c r="T631" s="4" t="s">
        <v>230</v>
      </c>
      <c r="U631" s="4">
        <v>36</v>
      </c>
      <c r="V631" t="str" cm="1">
        <f t="array" ref="V631">IFERROR(VLOOKUP(MODE(IF(Combined[Date]=Mileage[[#This Row],[Date]],Combined[Area '#])),KPIs!$B$4:$C$7,2,FALSE),VLOOKUP(Mileage[[#This Row],[Date]],Combined[[Date]:[Primary Area]],8,FALSE))</f>
        <v>Augusta</v>
      </c>
      <c r="W631" s="105">
        <v>0.71180555555555558</v>
      </c>
      <c r="X631" s="12">
        <v>5.97</v>
      </c>
      <c r="Y631">
        <v>116</v>
      </c>
      <c r="Z6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2" spans="2:26" x14ac:dyDescent="0.35">
      <c r="B632">
        <f t="shared" si="134"/>
        <v>630</v>
      </c>
      <c r="C632" t="s">
        <v>86</v>
      </c>
      <c r="D632" t="s">
        <v>176</v>
      </c>
      <c r="E632">
        <f>IF(WEEKNUM(Combined[[#This Row],[Date]], 1) = 53, 1, WEEKNUM(Combined[[#This Row],[Date]], 2))</f>
        <v>12</v>
      </c>
      <c r="F632" t="str">
        <f t="shared" si="158"/>
        <v>Saturday</v>
      </c>
      <c r="G632" s="41">
        <v>45003</v>
      </c>
      <c r="H632">
        <v>3</v>
      </c>
      <c r="I632" s="1">
        <v>33.75</v>
      </c>
      <c r="J632" s="2">
        <v>5.9027777777777783E-2</v>
      </c>
      <c r="K632" s="12">
        <f>Combined[[#This Row],[Time Spent]]*24</f>
        <v>1.4166666666666667</v>
      </c>
      <c r="L632" s="12">
        <f>MROUND(Combined[[#This Row],[Time Spent 2]],0.25)</f>
        <v>1.5</v>
      </c>
      <c r="M632" s="2" t="s">
        <v>91</v>
      </c>
      <c r="N632" t="s">
        <v>80</v>
      </c>
      <c r="O632">
        <f>MATCH(Combined[[#This Row],[Primary Area]],KPIs!$C$4:$C$7,0)</f>
        <v>2</v>
      </c>
      <c r="Q632" s="40">
        <v>45628</v>
      </c>
      <c r="R632" s="40">
        <f t="shared" si="135"/>
        <v>45628</v>
      </c>
      <c r="S632" s="4" t="str">
        <f>TEXT(Mileage[[#This Row],[Date]],"dddd")</f>
        <v>Monday</v>
      </c>
      <c r="T632" s="4" t="s">
        <v>249</v>
      </c>
      <c r="U632" s="4">
        <v>28</v>
      </c>
      <c r="V632" t="str" cm="1">
        <f t="array" ref="V632">IFERROR(VLOOKUP(MODE(IF(Combined[Date]=Mileage[[#This Row],[Date]],Combined[Area '#])),KPIs!$B$4:$C$7,2,FALSE),VLOOKUP(Mileage[[#This Row],[Date]],Combined[[Date]:[Primary Area]],8,FALSE))</f>
        <v>Brunswick/Bath/Freeport</v>
      </c>
      <c r="W632" s="105">
        <v>0.74305555555555558</v>
      </c>
      <c r="X632" s="12">
        <v>2.23</v>
      </c>
      <c r="Y632">
        <v>57</v>
      </c>
      <c r="Z63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33" spans="2:26" x14ac:dyDescent="0.35">
      <c r="B633">
        <f t="shared" si="134"/>
        <v>631</v>
      </c>
      <c r="C633" t="s">
        <v>86</v>
      </c>
      <c r="D633" t="s">
        <v>176</v>
      </c>
      <c r="E633">
        <f>IF(WEEKNUM(Combined[[#This Row],[Date]], 1) = 53, 1, WEEKNUM(Combined[[#This Row],[Date]], 2))</f>
        <v>12</v>
      </c>
      <c r="F633" t="str">
        <f t="shared" si="158"/>
        <v>Saturday</v>
      </c>
      <c r="G633" s="41">
        <v>45003</v>
      </c>
      <c r="H633">
        <v>5</v>
      </c>
      <c r="I633" s="1">
        <v>47.75</v>
      </c>
      <c r="J633" s="2">
        <v>0.17152777777777775</v>
      </c>
      <c r="K633" s="12">
        <f>Combined[[#This Row],[Time Spent]]*24</f>
        <v>4.1166666666666663</v>
      </c>
      <c r="L633" s="12">
        <f>MROUND(Combined[[#This Row],[Time Spent 2]],0.25)</f>
        <v>4</v>
      </c>
      <c r="M633" s="2" t="s">
        <v>92</v>
      </c>
      <c r="N633" t="s">
        <v>80</v>
      </c>
      <c r="O633">
        <f>MATCH(Combined[[#This Row],[Primary Area]],KPIs!$C$4:$C$7,0)</f>
        <v>2</v>
      </c>
      <c r="Q633" s="40">
        <v>45629</v>
      </c>
      <c r="R633" s="40">
        <f t="shared" si="135"/>
        <v>45629</v>
      </c>
      <c r="S633" s="4" t="str">
        <f>TEXT(Mileage[[#This Row],[Date]],"dddd")</f>
        <v>Tuesday</v>
      </c>
      <c r="T633" s="4" t="s">
        <v>285</v>
      </c>
      <c r="U633" s="4">
        <v>30</v>
      </c>
      <c r="V633" t="str" cm="1">
        <f t="array" ref="V633">IFERROR(VLOOKUP(MODE(IF(Combined[Date]=Mileage[[#This Row],[Date]],Combined[Area '#])),KPIs!$B$4:$C$7,2,FALSE),VLOOKUP(Mileage[[#This Row],[Date]],Combined[[Date]:[Primary Area]],8,FALSE))</f>
        <v>Brunswick/Bath/Freeport</v>
      </c>
      <c r="W633" s="105">
        <v>0.86458333333333337</v>
      </c>
      <c r="X633" s="12">
        <v>1.23</v>
      </c>
      <c r="Y633">
        <v>14</v>
      </c>
      <c r="Z63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4" spans="2:26" x14ac:dyDescent="0.35">
      <c r="B634">
        <f t="shared" si="134"/>
        <v>632</v>
      </c>
      <c r="C634" t="s">
        <v>83</v>
      </c>
      <c r="D634" t="s">
        <v>176</v>
      </c>
      <c r="E634">
        <f>IF(WEEKNUM(Combined[[#This Row],[Date]], 1) = 53, 1, WEEKNUM(Combined[[#This Row],[Date]], 2))</f>
        <v>13</v>
      </c>
      <c r="F634" t="str">
        <f t="shared" ref="F634:F635" si="159">TEXT(WEEKDAY(G634,1),"DDDD")</f>
        <v>Thursday</v>
      </c>
      <c r="G634" s="41">
        <v>45008</v>
      </c>
      <c r="H634">
        <v>5</v>
      </c>
      <c r="I634" s="1">
        <v>49.99</v>
      </c>
      <c r="J634" s="2">
        <v>9.5833333333333326E-2</v>
      </c>
      <c r="K634" s="12">
        <f>Combined[[#This Row],[Time Spent]]*24</f>
        <v>2.2999999999999998</v>
      </c>
      <c r="L634" s="12">
        <f>MROUND(Combined[[#This Row],[Time Spent 2]],0.25)</f>
        <v>2.25</v>
      </c>
      <c r="M634" s="2" t="s">
        <v>91</v>
      </c>
      <c r="N634" t="s">
        <v>85</v>
      </c>
      <c r="O634">
        <f>MATCH(Combined[[#This Row],[Primary Area]],KPIs!$C$4:$C$7,0)</f>
        <v>4</v>
      </c>
      <c r="Q634" s="40">
        <v>45630</v>
      </c>
      <c r="R634" s="40">
        <f t="shared" si="135"/>
        <v>45630</v>
      </c>
      <c r="S634" s="4" t="str">
        <f>TEXT(Mileage[[#This Row],[Date]],"dddd")</f>
        <v>Wednesday</v>
      </c>
      <c r="T634" s="4" t="s">
        <v>232</v>
      </c>
      <c r="U634" s="4">
        <v>34</v>
      </c>
      <c r="V634" t="str" cm="1">
        <f t="array" ref="V634">IFERROR(VLOOKUP(MODE(IF(Combined[Date]=Mileage[[#This Row],[Date]],Combined[Area '#])),KPIs!$B$4:$C$7,2,FALSE),VLOOKUP(Mileage[[#This Row],[Date]],Combined[[Date]:[Primary Area]],8,FALSE))</f>
        <v>Brunswick/Bath/Freeport</v>
      </c>
      <c r="W634" s="105">
        <v>0.81944444444444442</v>
      </c>
      <c r="X634" s="12">
        <v>3.27</v>
      </c>
      <c r="Y634">
        <v>68</v>
      </c>
      <c r="Z6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5" spans="2:26" x14ac:dyDescent="0.35">
      <c r="B635">
        <f t="shared" si="134"/>
        <v>633</v>
      </c>
      <c r="C635" t="s">
        <v>86</v>
      </c>
      <c r="D635" t="s">
        <v>176</v>
      </c>
      <c r="E635">
        <f>IF(WEEKNUM(Combined[[#This Row],[Date]], 1) = 53, 1, WEEKNUM(Combined[[#This Row],[Date]], 2))</f>
        <v>13</v>
      </c>
      <c r="F635" t="str">
        <f t="shared" si="159"/>
        <v>Thursday</v>
      </c>
      <c r="G635" s="41">
        <v>45008</v>
      </c>
      <c r="H635">
        <v>5</v>
      </c>
      <c r="I635" s="1">
        <v>48.25</v>
      </c>
      <c r="J635" s="2">
        <v>0.10694444444444444</v>
      </c>
      <c r="K635" s="12">
        <f>Combined[[#This Row],[Time Spent]]*24</f>
        <v>2.5666666666666664</v>
      </c>
      <c r="L635" s="12">
        <f>MROUND(Combined[[#This Row],[Time Spent 2]],0.25)</f>
        <v>2.5</v>
      </c>
      <c r="M635" s="2" t="s">
        <v>92</v>
      </c>
      <c r="N635" t="s">
        <v>85</v>
      </c>
      <c r="O635">
        <f>MATCH(Combined[[#This Row],[Primary Area]],KPIs!$C$4:$C$7,0)</f>
        <v>4</v>
      </c>
      <c r="Q635" s="40">
        <v>45632</v>
      </c>
      <c r="R635" s="40">
        <f t="shared" si="135"/>
        <v>45632</v>
      </c>
      <c r="S635" s="4" t="str">
        <f>TEXT(Mileage[[#This Row],[Date]],"dddd")</f>
        <v>Friday</v>
      </c>
      <c r="T635" s="4" t="s">
        <v>230</v>
      </c>
      <c r="U635" s="4">
        <v>19</v>
      </c>
      <c r="V635" t="str" cm="1">
        <f t="array" ref="V635">IFERROR(VLOOKUP(MODE(IF(Combined[Date]=Mileage[[#This Row],[Date]],Combined[Area '#])),KPIs!$B$4:$C$7,2,FALSE),VLOOKUP(Mileage[[#This Row],[Date]],Combined[[Date]:[Primary Area]],8,FALSE))</f>
        <v>Brunswick/Bath/Freeport</v>
      </c>
      <c r="W635" s="105">
        <v>0.80555555555555558</v>
      </c>
      <c r="X635" s="12">
        <v>2.02</v>
      </c>
      <c r="Y635">
        <v>55</v>
      </c>
      <c r="Z6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6" spans="2:26" x14ac:dyDescent="0.35">
      <c r="B636">
        <f t="shared" si="134"/>
        <v>634</v>
      </c>
      <c r="C636" t="s">
        <v>86</v>
      </c>
      <c r="D636" t="s">
        <v>176</v>
      </c>
      <c r="E636">
        <f>IF(WEEKNUM(Combined[[#This Row],[Date]], 1) = 53, 1, WEEKNUM(Combined[[#This Row],[Date]], 2))</f>
        <v>13</v>
      </c>
      <c r="F636" t="str">
        <f t="shared" ref="F636:F637" si="160">TEXT(WEEKDAY(G636,1),"DDDD")</f>
        <v>Friday</v>
      </c>
      <c r="G636" s="41">
        <v>45009</v>
      </c>
      <c r="H636">
        <v>7</v>
      </c>
      <c r="I636" s="1">
        <v>56.25</v>
      </c>
      <c r="J636" s="2">
        <v>0.10277777777777779</v>
      </c>
      <c r="K636" s="12">
        <f>Combined[[#This Row],[Time Spent]]*24</f>
        <v>2.4666666666666668</v>
      </c>
      <c r="L636" s="12">
        <f>MROUND(Combined[[#This Row],[Time Spent 2]],0.25)</f>
        <v>2.5</v>
      </c>
      <c r="M636" s="2" t="s">
        <v>91</v>
      </c>
      <c r="N636" t="s">
        <v>80</v>
      </c>
      <c r="O636">
        <f>MATCH(Combined[[#This Row],[Primary Area]],KPIs!$C$4:$C$7,0)</f>
        <v>2</v>
      </c>
      <c r="Q636" s="40">
        <v>45635</v>
      </c>
      <c r="R636" s="40">
        <f t="shared" si="135"/>
        <v>45635</v>
      </c>
      <c r="S636" s="4" t="str">
        <f>TEXT(Mileage[[#This Row],[Date]],"dddd")</f>
        <v>Monday</v>
      </c>
      <c r="T636" s="4" t="s">
        <v>234</v>
      </c>
      <c r="U636" s="4">
        <v>28</v>
      </c>
      <c r="V636" t="str" cm="1">
        <f t="array" ref="V636">IFERROR(VLOOKUP(MODE(IF(Combined[Date]=Mileage[[#This Row],[Date]],Combined[Area '#])),KPIs!$B$4:$C$7,2,FALSE),VLOOKUP(Mileage[[#This Row],[Date]],Combined[[Date]:[Primary Area]],8,FALSE))</f>
        <v>Brunswick/Bath/Freeport</v>
      </c>
      <c r="W636" s="105">
        <v>0.79861111111111116</v>
      </c>
      <c r="X636" s="12">
        <v>1.85</v>
      </c>
      <c r="Y636">
        <v>32</v>
      </c>
      <c r="Z63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7" spans="2:26" x14ac:dyDescent="0.35">
      <c r="B637">
        <f t="shared" si="134"/>
        <v>635</v>
      </c>
      <c r="C637" t="s">
        <v>86</v>
      </c>
      <c r="D637" t="s">
        <v>176</v>
      </c>
      <c r="E637">
        <f>IF(WEEKNUM(Combined[[#This Row],[Date]], 1) = 53, 1, WEEKNUM(Combined[[#This Row],[Date]], 2))</f>
        <v>13</v>
      </c>
      <c r="F637" t="str">
        <f t="shared" si="160"/>
        <v>Friday</v>
      </c>
      <c r="G637" s="41">
        <v>45009</v>
      </c>
      <c r="H637">
        <v>1</v>
      </c>
      <c r="I637" s="1">
        <v>9.5</v>
      </c>
      <c r="J637" s="2">
        <v>2.9861111111111113E-2</v>
      </c>
      <c r="K637" s="12">
        <f>Combined[[#This Row],[Time Spent]]*24</f>
        <v>0.71666666666666667</v>
      </c>
      <c r="L637" s="12">
        <f>MROUND(Combined[[#This Row],[Time Spent 2]],0.25)</f>
        <v>0.75</v>
      </c>
      <c r="M637" s="2" t="s">
        <v>92</v>
      </c>
      <c r="N637" t="s">
        <v>80</v>
      </c>
      <c r="O637">
        <f>MATCH(Combined[[#This Row],[Primary Area]],KPIs!$C$4:$C$7,0)</f>
        <v>2</v>
      </c>
      <c r="Q637" s="40">
        <v>45638</v>
      </c>
      <c r="R637" s="40">
        <f t="shared" si="135"/>
        <v>45638</v>
      </c>
      <c r="S637" s="4" t="str">
        <f>TEXT(Mileage[[#This Row],[Date]],"dddd")</f>
        <v>Thursday</v>
      </c>
      <c r="T637" s="4" t="s">
        <v>230</v>
      </c>
      <c r="U637" s="4">
        <v>34</v>
      </c>
      <c r="V637" t="str" cm="1">
        <f t="array" ref="V637">IFERROR(VLOOKUP(MODE(IF(Combined[Date]=Mileage[[#This Row],[Date]],Combined[Area '#])),KPIs!$B$4:$C$7,2,FALSE),VLOOKUP(Mileage[[#This Row],[Date]],Combined[[Date]:[Primary Area]],8,FALSE))</f>
        <v>Brunswick/Bath/Freeport</v>
      </c>
      <c r="W637" s="105">
        <v>0.82638888888888884</v>
      </c>
      <c r="X637" s="12">
        <v>2.12</v>
      </c>
      <c r="Y637">
        <v>19</v>
      </c>
      <c r="Z63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8" spans="2:26" x14ac:dyDescent="0.35">
      <c r="B638">
        <f t="shared" si="134"/>
        <v>636</v>
      </c>
      <c r="C638" t="s">
        <v>83</v>
      </c>
      <c r="D638" t="s">
        <v>176</v>
      </c>
      <c r="E638">
        <f>IF(WEEKNUM(Combined[[#This Row],[Date]], 1) = 53, 1, WEEKNUM(Combined[[#This Row],[Date]], 2))</f>
        <v>13</v>
      </c>
      <c r="F638" t="str">
        <f t="shared" ref="F638:F639" si="161">TEXT(WEEKDAY(G638,1),"DDDD")</f>
        <v>Saturday</v>
      </c>
      <c r="G638" s="41">
        <v>45010</v>
      </c>
      <c r="H638">
        <v>7</v>
      </c>
      <c r="I638" s="1">
        <v>112.55</v>
      </c>
      <c r="J638" s="2">
        <v>0.17500000000000002</v>
      </c>
      <c r="K638" s="12">
        <f>Combined[[#This Row],[Time Spent]]*24</f>
        <v>4.2</v>
      </c>
      <c r="L638" s="12">
        <f>MROUND(Combined[[#This Row],[Time Spent 2]],0.25)</f>
        <v>4.25</v>
      </c>
      <c r="M638" s="2" t="s">
        <v>91</v>
      </c>
      <c r="N638" t="s">
        <v>80</v>
      </c>
      <c r="O638">
        <f>MATCH(Combined[[#This Row],[Primary Area]],KPIs!$C$4:$C$7,0)</f>
        <v>2</v>
      </c>
      <c r="Q638" s="40">
        <v>45659</v>
      </c>
      <c r="R638" s="40">
        <f t="shared" si="135"/>
        <v>45659</v>
      </c>
      <c r="S638" s="4" t="str">
        <f>TEXT(Mileage[[#This Row],[Date]],"dddd")</f>
        <v>Thursday</v>
      </c>
      <c r="T638" s="4" t="s">
        <v>285</v>
      </c>
      <c r="U638" s="4">
        <v>34</v>
      </c>
      <c r="V638" t="str" cm="1">
        <f t="array" ref="V638">IFERROR(VLOOKUP(MODE(IF(Combined[Date]=Mileage[[#This Row],[Date]],Combined[Area '#])),KPIs!$B$4:$C$7,2,FALSE),VLOOKUP(Mileage[[#This Row],[Date]],Combined[[Date]:[Primary Area]],8,FALSE))</f>
        <v>Lewiston</v>
      </c>
      <c r="W638" s="105">
        <v>0.72569444444444442</v>
      </c>
      <c r="X638" s="12">
        <v>2.75</v>
      </c>
      <c r="Y638">
        <v>38</v>
      </c>
      <c r="Z63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39" spans="2:26" x14ac:dyDescent="0.35">
      <c r="B639">
        <f t="shared" si="134"/>
        <v>637</v>
      </c>
      <c r="C639" t="s">
        <v>86</v>
      </c>
      <c r="D639" t="s">
        <v>176</v>
      </c>
      <c r="E639">
        <f>IF(WEEKNUM(Combined[[#This Row],[Date]], 1) = 53, 1, WEEKNUM(Combined[[#This Row],[Date]], 2))</f>
        <v>13</v>
      </c>
      <c r="F639" t="str">
        <f t="shared" si="161"/>
        <v>Saturday</v>
      </c>
      <c r="G639" s="41">
        <v>45010</v>
      </c>
      <c r="H639">
        <v>1</v>
      </c>
      <c r="I639" s="1">
        <v>4.12</v>
      </c>
      <c r="J639" s="2">
        <v>3.472222222222222E-3</v>
      </c>
      <c r="K639" s="12">
        <f>Combined[[#This Row],[Time Spent]]*24</f>
        <v>8.3333333333333329E-2</v>
      </c>
      <c r="L639" s="12">
        <f>MROUND(Combined[[#This Row],[Time Spent 2]],0.25)</f>
        <v>0</v>
      </c>
      <c r="M639" s="2" t="s">
        <v>91</v>
      </c>
      <c r="N639" t="s">
        <v>80</v>
      </c>
      <c r="O639">
        <f>MATCH(Combined[[#This Row],[Primary Area]],KPIs!$C$4:$C$7,0)</f>
        <v>2</v>
      </c>
      <c r="Q639" s="40">
        <v>45660</v>
      </c>
      <c r="R639" s="40">
        <f t="shared" si="135"/>
        <v>45660</v>
      </c>
      <c r="S639" s="4" t="str">
        <f>TEXT(Mileage[[#This Row],[Date]],"dddd")</f>
        <v>Friday</v>
      </c>
      <c r="T639" s="4" t="s">
        <v>230</v>
      </c>
      <c r="U639" s="4">
        <v>30</v>
      </c>
      <c r="V639" t="str" cm="1">
        <f t="array" ref="V639">IFERROR(VLOOKUP(MODE(IF(Combined[Date]=Mileage[[#This Row],[Date]],Combined[Area '#])),KPIs!$B$4:$C$7,2,FALSE),VLOOKUP(Mileage[[#This Row],[Date]],Combined[[Date]:[Primary Area]],8,FALSE))</f>
        <v>Lewiston</v>
      </c>
      <c r="W639" s="105">
        <v>0.77777777777777779</v>
      </c>
      <c r="X639" s="12">
        <v>1.73</v>
      </c>
      <c r="Y639">
        <v>27</v>
      </c>
      <c r="Z63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0" spans="2:26" x14ac:dyDescent="0.35">
      <c r="B640">
        <f t="shared" si="134"/>
        <v>638</v>
      </c>
      <c r="C640" t="s">
        <v>83</v>
      </c>
      <c r="D640" t="s">
        <v>176</v>
      </c>
      <c r="E640">
        <f>IF(WEEKNUM(Combined[[#This Row],[Date]], 1) = 53, 1, WEEKNUM(Combined[[#This Row],[Date]], 2))</f>
        <v>13</v>
      </c>
      <c r="F640" t="str">
        <f t="shared" ref="F640:F642" si="162">TEXT(WEEKDAY(G640,1),"DDDD")</f>
        <v>Sunday</v>
      </c>
      <c r="G640" s="41">
        <v>45011</v>
      </c>
      <c r="H640">
        <v>7</v>
      </c>
      <c r="I640" s="1">
        <v>78.989999999999995</v>
      </c>
      <c r="J640" s="2">
        <v>0.13402777777777777</v>
      </c>
      <c r="K640" s="12">
        <f>Combined[[#This Row],[Time Spent]]*24</f>
        <v>3.2166666666666668</v>
      </c>
      <c r="L640" s="12">
        <f>MROUND(Combined[[#This Row],[Time Spent 2]],0.25)</f>
        <v>3.25</v>
      </c>
      <c r="M640" s="2" t="s">
        <v>91</v>
      </c>
      <c r="N640" t="s">
        <v>85</v>
      </c>
      <c r="O640">
        <f>MATCH(Combined[[#This Row],[Primary Area]],KPIs!$C$4:$C$7,0)</f>
        <v>4</v>
      </c>
      <c r="Q640" s="40">
        <v>45662</v>
      </c>
      <c r="R640" s="40">
        <f t="shared" si="135"/>
        <v>45662</v>
      </c>
      <c r="S640" s="4" t="str">
        <f>TEXT(Mileage[[#This Row],[Date]],"dddd")</f>
        <v>Sunday</v>
      </c>
      <c r="T640" s="4" t="s">
        <v>230</v>
      </c>
      <c r="U640" s="4">
        <v>9</v>
      </c>
      <c r="V640" t="str" cm="1">
        <f t="array" ref="V640">IFERROR(VLOOKUP(MODE(IF(Combined[Date]=Mileage[[#This Row],[Date]],Combined[Area '#])),KPIs!$B$4:$C$7,2,FALSE),VLOOKUP(Mileage[[#This Row],[Date]],Combined[[Date]:[Primary Area]],8,FALSE))</f>
        <v>Brunswick/Bath/Freeport</v>
      </c>
      <c r="W640" s="105">
        <v>0.75347222222222221</v>
      </c>
      <c r="X640" s="12">
        <v>2.85</v>
      </c>
      <c r="Y640">
        <v>62</v>
      </c>
      <c r="Z6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41" spans="2:26" x14ac:dyDescent="0.35">
      <c r="B641">
        <f t="shared" si="134"/>
        <v>639</v>
      </c>
      <c r="C641" t="s">
        <v>86</v>
      </c>
      <c r="D641" t="s">
        <v>176</v>
      </c>
      <c r="E641">
        <f>IF(WEEKNUM(Combined[[#This Row],[Date]], 1) = 53, 1, WEEKNUM(Combined[[#This Row],[Date]], 2))</f>
        <v>13</v>
      </c>
      <c r="F641" t="str">
        <f t="shared" si="162"/>
        <v>Sunday</v>
      </c>
      <c r="G641" s="41">
        <v>45011</v>
      </c>
      <c r="H641">
        <v>1</v>
      </c>
      <c r="I641" s="1">
        <v>10</v>
      </c>
      <c r="J641" s="2">
        <v>2.5694444444444447E-2</v>
      </c>
      <c r="K641" s="12">
        <f>Combined[[#This Row],[Time Spent]]*24</f>
        <v>0.6166666666666667</v>
      </c>
      <c r="L641" s="12">
        <f>MROUND(Combined[[#This Row],[Time Spent 2]],0.25)</f>
        <v>0.5</v>
      </c>
      <c r="M641" s="2" t="s">
        <v>92</v>
      </c>
      <c r="N641" t="s">
        <v>85</v>
      </c>
      <c r="O641">
        <f>MATCH(Combined[[#This Row],[Primary Area]],KPIs!$C$4:$C$7,0)</f>
        <v>4</v>
      </c>
      <c r="Q641" s="40">
        <v>45665</v>
      </c>
      <c r="R641" s="40">
        <f t="shared" si="135"/>
        <v>45665</v>
      </c>
      <c r="S641" s="4" t="str">
        <f>TEXT(Mileage[[#This Row],[Date]],"dddd")</f>
        <v>Wednesday</v>
      </c>
      <c r="T641" s="4" t="s">
        <v>231</v>
      </c>
      <c r="U641" s="4">
        <v>16</v>
      </c>
      <c r="V641" t="str" cm="1">
        <f t="array" ref="V641">IFERROR(VLOOKUP(MODE(IF(Combined[Date]=Mileage[[#This Row],[Date]],Combined[Area '#])),KPIs!$B$4:$C$7,2,FALSE),VLOOKUP(Mileage[[#This Row],[Date]],Combined[[Date]:[Primary Area]],8,FALSE))</f>
        <v>Brunswick/Bath/Freeport</v>
      </c>
      <c r="W641" s="105">
        <v>0.74305555555555558</v>
      </c>
      <c r="X641" s="12">
        <v>1.38</v>
      </c>
      <c r="Y641">
        <v>50</v>
      </c>
      <c r="Z64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2" spans="2:26" x14ac:dyDescent="0.35">
      <c r="B642">
        <f t="shared" si="134"/>
        <v>640</v>
      </c>
      <c r="C642" t="s">
        <v>86</v>
      </c>
      <c r="D642" t="s">
        <v>175</v>
      </c>
      <c r="E642">
        <f>IF(WEEKNUM(Combined[[#This Row],[Date]], 1) = 53, 1, WEEKNUM(Combined[[#This Row],[Date]], 2))</f>
        <v>13</v>
      </c>
      <c r="F642" t="str">
        <f t="shared" si="162"/>
        <v>Sunday</v>
      </c>
      <c r="G642" s="41">
        <v>45011</v>
      </c>
      <c r="H642">
        <v>2</v>
      </c>
      <c r="I642" s="1">
        <v>25.54</v>
      </c>
      <c r="J642" s="2">
        <v>4.0972222222222222E-2</v>
      </c>
      <c r="K642" s="12">
        <f>Combined[[#This Row],[Time Spent]]*24</f>
        <v>0.98333333333333339</v>
      </c>
      <c r="L642" s="12">
        <f>MROUND(Combined[[#This Row],[Time Spent 2]],0.25)</f>
        <v>1</v>
      </c>
      <c r="M642" s="2" t="s">
        <v>92</v>
      </c>
      <c r="N642" t="s">
        <v>85</v>
      </c>
      <c r="O642">
        <f>MATCH(Combined[[#This Row],[Primary Area]],KPIs!$C$4:$C$7,0)</f>
        <v>4</v>
      </c>
      <c r="Q642" s="40">
        <v>45666</v>
      </c>
      <c r="R642" s="40">
        <f t="shared" si="135"/>
        <v>45666</v>
      </c>
      <c r="S642" s="4" t="str">
        <f>TEXT(Mileage[[#This Row],[Date]],"dddd")</f>
        <v>Thursday</v>
      </c>
      <c r="T642" s="4" t="s">
        <v>230</v>
      </c>
      <c r="U642" s="4">
        <v>23</v>
      </c>
      <c r="V642" t="str" cm="1">
        <f t="array" ref="V642">IFERROR(VLOOKUP(MODE(IF(Combined[Date]=Mileage[[#This Row],[Date]],Combined[Area '#])),KPIs!$B$4:$C$7,2,FALSE),VLOOKUP(Mileage[[#This Row],[Date]],Combined[[Date]:[Primary Area]],8,FALSE))</f>
        <v>Lewiston</v>
      </c>
      <c r="W642" s="105">
        <v>0.73611111111111116</v>
      </c>
      <c r="X642" s="12">
        <v>2.0699999999999998</v>
      </c>
      <c r="Y642">
        <v>23</v>
      </c>
      <c r="Z64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3" spans="2:26" x14ac:dyDescent="0.35">
      <c r="B643">
        <f t="shared" ref="B643:B706" si="163">ROW()-2</f>
        <v>641</v>
      </c>
      <c r="C643" t="s">
        <v>83</v>
      </c>
      <c r="D643" t="s">
        <v>176</v>
      </c>
      <c r="E643">
        <f>IF(WEEKNUM(Combined[[#This Row],[Date]], 1) = 53, 1, WEEKNUM(Combined[[#This Row],[Date]], 2))</f>
        <v>14</v>
      </c>
      <c r="F643" t="str">
        <f t="shared" ref="F643:F645" si="164">TEXT(WEEKDAY(G643,1),"DDDD")</f>
        <v>Wednesday</v>
      </c>
      <c r="G643" s="41">
        <v>45014</v>
      </c>
      <c r="H643">
        <v>3</v>
      </c>
      <c r="I643" s="1">
        <v>25.73</v>
      </c>
      <c r="J643" s="2">
        <v>0.10416666666666667</v>
      </c>
      <c r="K643" s="12">
        <f>Combined[[#This Row],[Time Spent]]*24</f>
        <v>2.5</v>
      </c>
      <c r="L643" s="12">
        <f>MROUND(Combined[[#This Row],[Time Spent 2]],0.25)</f>
        <v>2.5</v>
      </c>
      <c r="M643" s="2" t="s">
        <v>91</v>
      </c>
      <c r="N643" t="s">
        <v>85</v>
      </c>
      <c r="O643">
        <f>MATCH(Combined[[#This Row],[Primary Area]],KPIs!$C$4:$C$7,0)</f>
        <v>4</v>
      </c>
      <c r="Q643" s="40">
        <v>45668</v>
      </c>
      <c r="R643" s="40">
        <f t="shared" ref="R643:R706" si="165">Q643</f>
        <v>45668</v>
      </c>
      <c r="S643" s="4" t="str">
        <f>TEXT(Mileage[[#This Row],[Date]],"dddd")</f>
        <v>Saturday</v>
      </c>
      <c r="T643" s="4" t="s">
        <v>234</v>
      </c>
      <c r="U643" s="4">
        <v>27</v>
      </c>
      <c r="V643" t="str" cm="1">
        <f t="array" ref="V643">IFERROR(VLOOKUP(MODE(IF(Combined[Date]=Mileage[[#This Row],[Date]],Combined[Area '#])),KPIs!$B$4:$C$7,2,FALSE),VLOOKUP(Mileage[[#This Row],[Date]],Combined[[Date]:[Primary Area]],8,FALSE))</f>
        <v>Portland</v>
      </c>
      <c r="W643" s="105">
        <v>0.6875</v>
      </c>
      <c r="X643" s="12">
        <v>6.78</v>
      </c>
      <c r="Y643">
        <v>116</v>
      </c>
      <c r="Z64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4" spans="2:26" x14ac:dyDescent="0.35">
      <c r="B644">
        <f t="shared" si="163"/>
        <v>642</v>
      </c>
      <c r="C644" t="s">
        <v>86</v>
      </c>
      <c r="D644" t="s">
        <v>176</v>
      </c>
      <c r="E644">
        <f>IF(WEEKNUM(Combined[[#This Row],[Date]], 1) = 53, 1, WEEKNUM(Combined[[#This Row],[Date]], 2))</f>
        <v>14</v>
      </c>
      <c r="F644" t="str">
        <f t="shared" si="164"/>
        <v>Wednesday</v>
      </c>
      <c r="G644" s="41">
        <v>45014</v>
      </c>
      <c r="H644">
        <v>2</v>
      </c>
      <c r="I644" s="1">
        <v>9.5</v>
      </c>
      <c r="J644" s="2">
        <v>3.4027777777777775E-2</v>
      </c>
      <c r="K644" s="12">
        <f>Combined[[#This Row],[Time Spent]]*24</f>
        <v>0.81666666666666665</v>
      </c>
      <c r="L644" s="12">
        <f>MROUND(Combined[[#This Row],[Time Spent 2]],0.25)</f>
        <v>0.75</v>
      </c>
      <c r="M644" s="2" t="s">
        <v>91</v>
      </c>
      <c r="N644" t="s">
        <v>85</v>
      </c>
      <c r="O644">
        <f>MATCH(Combined[[#This Row],[Primary Area]],KPIs!$C$4:$C$7,0)</f>
        <v>4</v>
      </c>
      <c r="Q644" s="40">
        <v>45670</v>
      </c>
      <c r="R644" s="40">
        <f t="shared" si="165"/>
        <v>45670</v>
      </c>
      <c r="S644" s="4" t="str">
        <f>TEXT(Mileage[[#This Row],[Date]],"dddd")</f>
        <v>Monday</v>
      </c>
      <c r="T644" s="4" t="s">
        <v>234</v>
      </c>
      <c r="U644" s="4">
        <v>34</v>
      </c>
      <c r="V644" t="str" cm="1">
        <f t="array" ref="V644">IFERROR(VLOOKUP(MODE(IF(Combined[Date]=Mileage[[#This Row],[Date]],Combined[Area '#])),KPIs!$B$4:$C$7,2,FALSE),VLOOKUP(Mileage[[#This Row],[Date]],Combined[[Date]:[Primary Area]],8,FALSE))</f>
        <v>Portland</v>
      </c>
      <c r="W644" s="105">
        <v>0.73263888888888884</v>
      </c>
      <c r="X644" s="12">
        <v>4.38</v>
      </c>
      <c r="Y644">
        <v>68</v>
      </c>
      <c r="Z6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45" spans="2:26" x14ac:dyDescent="0.35">
      <c r="B645">
        <f t="shared" si="163"/>
        <v>643</v>
      </c>
      <c r="C645" t="s">
        <v>86</v>
      </c>
      <c r="D645" t="s">
        <v>176</v>
      </c>
      <c r="E645">
        <f>IF(WEEKNUM(Combined[[#This Row],[Date]], 1) = 53, 1, WEEKNUM(Combined[[#This Row],[Date]], 2))</f>
        <v>14</v>
      </c>
      <c r="F645" t="str">
        <f t="shared" si="164"/>
        <v>Wednesday</v>
      </c>
      <c r="G645" s="41">
        <v>45014</v>
      </c>
      <c r="H645">
        <v>5</v>
      </c>
      <c r="I645" s="1">
        <f>28+3.75</f>
        <v>31.75</v>
      </c>
      <c r="J645" s="2">
        <v>7.9166666666666663E-2</v>
      </c>
      <c r="K645" s="12">
        <f>Combined[[#This Row],[Time Spent]]*24</f>
        <v>1.9</v>
      </c>
      <c r="L645" s="12">
        <f>MROUND(Combined[[#This Row],[Time Spent 2]],0.25)</f>
        <v>2</v>
      </c>
      <c r="M645" s="2" t="s">
        <v>91</v>
      </c>
      <c r="N645" t="s">
        <v>85</v>
      </c>
      <c r="O645">
        <f>MATCH(Combined[[#This Row],[Primary Area]],KPIs!$C$4:$C$7,0)</f>
        <v>4</v>
      </c>
      <c r="Q645" s="40">
        <v>45673</v>
      </c>
      <c r="R645" s="40">
        <f t="shared" si="165"/>
        <v>45673</v>
      </c>
      <c r="S645" s="4" t="str">
        <f>TEXT(Mileage[[#This Row],[Date]],"dddd")</f>
        <v>Thursday</v>
      </c>
      <c r="T645" s="4" t="s">
        <v>230</v>
      </c>
      <c r="U645" s="4">
        <v>16</v>
      </c>
      <c r="V645" t="str" cm="1">
        <f t="array" ref="V645">IFERROR(VLOOKUP(MODE(IF(Combined[Date]=Mileage[[#This Row],[Date]],Combined[Area '#])),KPIs!$B$4:$C$7,2,FALSE),VLOOKUP(Mileage[[#This Row],[Date]],Combined[[Date]:[Primary Area]],8,FALSE))</f>
        <v>Lewiston</v>
      </c>
      <c r="W645" s="105">
        <v>0.71527777777777779</v>
      </c>
      <c r="X645" s="12">
        <v>4.1500000000000004</v>
      </c>
      <c r="Y645">
        <v>40</v>
      </c>
      <c r="Z6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46" spans="2:26" x14ac:dyDescent="0.35">
      <c r="B646">
        <f t="shared" si="163"/>
        <v>644</v>
      </c>
      <c r="C646" t="s">
        <v>83</v>
      </c>
      <c r="D646" t="s">
        <v>176</v>
      </c>
      <c r="E646">
        <f>IF(WEEKNUM(Combined[[#This Row],[Date]], 1) = 53, 1, WEEKNUM(Combined[[#This Row],[Date]], 2))</f>
        <v>14</v>
      </c>
      <c r="F646" t="str">
        <f t="shared" ref="F646:F648" si="166">TEXT(WEEKDAY(G646,1),"DDDD")</f>
        <v>Thursday</v>
      </c>
      <c r="G646" s="41">
        <v>45015</v>
      </c>
      <c r="H646">
        <v>3</v>
      </c>
      <c r="I646" s="1">
        <v>39.200000000000003</v>
      </c>
      <c r="J646" s="2">
        <v>0.11041666666666666</v>
      </c>
      <c r="K646" s="12">
        <f>Combined[[#This Row],[Time Spent]]*24</f>
        <v>2.65</v>
      </c>
      <c r="L646" s="12">
        <f>MROUND(Combined[[#This Row],[Time Spent 2]],0.25)</f>
        <v>2.75</v>
      </c>
      <c r="M646" s="2" t="s">
        <v>91</v>
      </c>
      <c r="N646" t="s">
        <v>82</v>
      </c>
      <c r="O646">
        <f>MATCH(Combined[[#This Row],[Primary Area]],KPIs!$C$4:$C$7,0)</f>
        <v>3</v>
      </c>
      <c r="Q646" s="40">
        <v>45674</v>
      </c>
      <c r="R646" s="40">
        <f t="shared" si="165"/>
        <v>45674</v>
      </c>
      <c r="S646" s="4" t="str">
        <f>TEXT(Mileage[[#This Row],[Date]],"dddd")</f>
        <v>Friday</v>
      </c>
      <c r="T646" s="4" t="s">
        <v>230</v>
      </c>
      <c r="U646" s="4">
        <v>25</v>
      </c>
      <c r="V646" t="str" cm="1">
        <f t="array" ref="V646">IFERROR(VLOOKUP(MODE(IF(Combined[Date]=Mileage[[#This Row],[Date]],Combined[Area '#])),KPIs!$B$4:$C$7,2,FALSE),VLOOKUP(Mileage[[#This Row],[Date]],Combined[[Date]:[Primary Area]],8,FALSE))</f>
        <v>Lewiston</v>
      </c>
      <c r="W646" s="105">
        <v>0.76388888888888884</v>
      </c>
      <c r="X646" s="12">
        <v>5.47</v>
      </c>
      <c r="Y646">
        <v>110</v>
      </c>
      <c r="Z6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47" spans="2:26" x14ac:dyDescent="0.35">
      <c r="B647">
        <f t="shared" si="163"/>
        <v>645</v>
      </c>
      <c r="C647" t="s">
        <v>86</v>
      </c>
      <c r="D647" t="s">
        <v>176</v>
      </c>
      <c r="E647">
        <f>IF(WEEKNUM(Combined[[#This Row],[Date]], 1) = 53, 1, WEEKNUM(Combined[[#This Row],[Date]], 2))</f>
        <v>14</v>
      </c>
      <c r="F647" t="str">
        <f t="shared" si="166"/>
        <v>Thursday</v>
      </c>
      <c r="G647" s="41">
        <v>45015</v>
      </c>
      <c r="H647">
        <v>3</v>
      </c>
      <c r="I647" s="1">
        <v>32.19</v>
      </c>
      <c r="J647" s="2">
        <v>7.7777777777777779E-2</v>
      </c>
      <c r="K647" s="12">
        <f>Combined[[#This Row],[Time Spent]]*24</f>
        <v>1.8666666666666667</v>
      </c>
      <c r="L647" s="12">
        <f>MROUND(Combined[[#This Row],[Time Spent 2]],0.25)</f>
        <v>1.75</v>
      </c>
      <c r="M647" s="2" t="s">
        <v>91</v>
      </c>
      <c r="N647" t="s">
        <v>82</v>
      </c>
      <c r="O647">
        <f>MATCH(Combined[[#This Row],[Primary Area]],KPIs!$C$4:$C$7,0)</f>
        <v>3</v>
      </c>
      <c r="Q647" s="40">
        <v>45675</v>
      </c>
      <c r="R647" s="40">
        <f t="shared" si="165"/>
        <v>45675</v>
      </c>
      <c r="S647" s="4" t="str">
        <f>TEXT(Mileage[[#This Row],[Date]],"dddd")</f>
        <v>Saturday</v>
      </c>
      <c r="T647" s="4" t="s">
        <v>325</v>
      </c>
      <c r="U647" s="4">
        <v>39</v>
      </c>
      <c r="V647" t="str" cm="1">
        <f t="array" ref="V647">IFERROR(VLOOKUP(MODE(IF(Combined[Date]=Mileage[[#This Row],[Date]],Combined[Area '#])),KPIs!$B$4:$C$7,2,FALSE),VLOOKUP(Mileage[[#This Row],[Date]],Combined[[Date]:[Primary Area]],8,FALSE))</f>
        <v>Brunswick/Bath/Freeport</v>
      </c>
      <c r="W647" s="105">
        <v>0.78819444444444442</v>
      </c>
      <c r="X647" s="12">
        <v>4.4000000000000004</v>
      </c>
      <c r="Y647">
        <v>106</v>
      </c>
      <c r="Z64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8" spans="2:26" x14ac:dyDescent="0.35">
      <c r="B648">
        <f t="shared" si="163"/>
        <v>646</v>
      </c>
      <c r="C648" t="s">
        <v>86</v>
      </c>
      <c r="D648" t="s">
        <v>176</v>
      </c>
      <c r="E648">
        <f>IF(WEEKNUM(Combined[[#This Row],[Date]], 1) = 53, 1, WEEKNUM(Combined[[#This Row],[Date]], 2))</f>
        <v>14</v>
      </c>
      <c r="F648" t="str">
        <f t="shared" si="166"/>
        <v>Thursday</v>
      </c>
      <c r="G648" s="41">
        <v>45015</v>
      </c>
      <c r="H648">
        <v>5</v>
      </c>
      <c r="I648" s="1">
        <v>32</v>
      </c>
      <c r="J648" s="2">
        <v>0.12083333333333333</v>
      </c>
      <c r="K648" s="12">
        <f>Combined[[#This Row],[Time Spent]]*24</f>
        <v>2.9</v>
      </c>
      <c r="L648" s="12">
        <f>MROUND(Combined[[#This Row],[Time Spent 2]],0.25)</f>
        <v>3</v>
      </c>
      <c r="M648" s="2" t="s">
        <v>92</v>
      </c>
      <c r="N648" t="s">
        <v>82</v>
      </c>
      <c r="O648">
        <f>MATCH(Combined[[#This Row],[Primary Area]],KPIs!$C$4:$C$7,0)</f>
        <v>3</v>
      </c>
      <c r="Q648" s="40">
        <v>45676</v>
      </c>
      <c r="R648" s="40">
        <f t="shared" si="165"/>
        <v>45676</v>
      </c>
      <c r="S648" s="4" t="str">
        <f>TEXT(Mileage[[#This Row],[Date]],"dddd")</f>
        <v>Sunday</v>
      </c>
      <c r="T648" s="4" t="s">
        <v>232</v>
      </c>
      <c r="U648" s="4">
        <v>32</v>
      </c>
      <c r="V648" t="str" cm="1">
        <f t="array" ref="V648">IFERROR(VLOOKUP(MODE(IF(Combined[Date]=Mileage[[#This Row],[Date]],Combined[Area '#])),KPIs!$B$4:$C$7,2,FALSE),VLOOKUP(Mileage[[#This Row],[Date]],Combined[[Date]:[Primary Area]],8,FALSE))</f>
        <v>Portland</v>
      </c>
      <c r="W648" s="105">
        <v>0.83333333333333337</v>
      </c>
      <c r="X648" s="12">
        <v>3.53</v>
      </c>
      <c r="Y648">
        <v>73</v>
      </c>
      <c r="Z64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49" spans="2:26" x14ac:dyDescent="0.35">
      <c r="B649">
        <f t="shared" si="163"/>
        <v>647</v>
      </c>
      <c r="C649" t="s">
        <v>83</v>
      </c>
      <c r="D649" t="s">
        <v>176</v>
      </c>
      <c r="E649">
        <f>IF(WEEKNUM(Combined[[#This Row],[Date]], 1) = 53, 1, WEEKNUM(Combined[[#This Row],[Date]], 2))</f>
        <v>14</v>
      </c>
      <c r="F649" t="str">
        <f t="shared" ref="F649:F652" si="167">TEXT(WEEKDAY(G649,1),"DDDD")</f>
        <v>Friday</v>
      </c>
      <c r="G649" s="41">
        <v>45016</v>
      </c>
      <c r="H649">
        <v>11</v>
      </c>
      <c r="I649" s="1">
        <f>149.27-29.82</f>
        <v>119.45000000000002</v>
      </c>
      <c r="J649" s="2">
        <v>0.28333333333333333</v>
      </c>
      <c r="K649" s="12">
        <f>Combined[[#This Row],[Time Spent]]*24</f>
        <v>6.8</v>
      </c>
      <c r="L649" s="12">
        <f>MROUND(Combined[[#This Row],[Time Spent 2]],0.25)</f>
        <v>6.75</v>
      </c>
      <c r="M649" s="2" t="s">
        <v>91</v>
      </c>
      <c r="N649" t="s">
        <v>85</v>
      </c>
      <c r="O649">
        <f>MATCH(Combined[[#This Row],[Primary Area]],KPIs!$C$4:$C$7,0)</f>
        <v>4</v>
      </c>
      <c r="Q649" s="40">
        <v>45678</v>
      </c>
      <c r="R649" s="40">
        <f t="shared" si="165"/>
        <v>45678</v>
      </c>
      <c r="S649" s="4" t="str">
        <f>TEXT(Mileage[[#This Row],[Date]],"dddd")</f>
        <v>Tuesday</v>
      </c>
      <c r="T649" s="4" t="s">
        <v>230</v>
      </c>
      <c r="U649" s="4">
        <v>12</v>
      </c>
      <c r="V649" t="str" cm="1">
        <f t="array" ref="V649">IFERROR(VLOOKUP(MODE(IF(Combined[Date]=Mileage[[#This Row],[Date]],Combined[Area '#])),KPIs!$B$4:$C$7,2,FALSE),VLOOKUP(Mileage[[#This Row],[Date]],Combined[[Date]:[Primary Area]],8,FALSE))</f>
        <v>Portland</v>
      </c>
      <c r="W649" s="105">
        <v>0.7944444444444444</v>
      </c>
      <c r="X649" s="12">
        <v>1.7</v>
      </c>
      <c r="Y649">
        <v>47</v>
      </c>
      <c r="Z64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0" spans="2:26" x14ac:dyDescent="0.35">
      <c r="B650">
        <f t="shared" si="163"/>
        <v>648</v>
      </c>
      <c r="C650" t="s">
        <v>86</v>
      </c>
      <c r="D650" t="s">
        <v>176</v>
      </c>
      <c r="E650">
        <f>IF(WEEKNUM(Combined[[#This Row],[Date]], 1) = 53, 1, WEEKNUM(Combined[[#This Row],[Date]], 2))</f>
        <v>14</v>
      </c>
      <c r="F650" t="str">
        <f t="shared" si="167"/>
        <v>Friday</v>
      </c>
      <c r="G650" s="41">
        <v>45016</v>
      </c>
      <c r="H650">
        <v>1</v>
      </c>
      <c r="I650" s="1">
        <v>6.7</v>
      </c>
      <c r="J650" s="2">
        <v>1.7361111111111112E-2</v>
      </c>
      <c r="K650" s="12">
        <f>Combined[[#This Row],[Time Spent]]*24</f>
        <v>0.41666666666666669</v>
      </c>
      <c r="L650" s="12">
        <f>MROUND(Combined[[#This Row],[Time Spent 2]],0.25)</f>
        <v>0.5</v>
      </c>
      <c r="M650" s="2" t="s">
        <v>91</v>
      </c>
      <c r="N650" t="s">
        <v>85</v>
      </c>
      <c r="O650">
        <f>MATCH(Combined[[#This Row],[Primary Area]],KPIs!$C$4:$C$7,0)</f>
        <v>4</v>
      </c>
      <c r="Q650" s="40">
        <v>45679</v>
      </c>
      <c r="R650" s="40">
        <f t="shared" si="165"/>
        <v>45679</v>
      </c>
      <c r="S650" s="4" t="str">
        <f>TEXT(Mileage[[#This Row],[Date]],"dddd")</f>
        <v>Wednesday</v>
      </c>
      <c r="T650" s="4" t="s">
        <v>230</v>
      </c>
      <c r="U650" s="4">
        <v>12</v>
      </c>
      <c r="V650" t="str" cm="1">
        <f t="array" ref="V650">IFERROR(VLOOKUP(MODE(IF(Combined[Date]=Mileage[[#This Row],[Date]],Combined[Area '#])),KPIs!$B$4:$C$7,2,FALSE),VLOOKUP(Mileage[[#This Row],[Date]],Combined[[Date]:[Primary Area]],8,FALSE))</f>
        <v>Brunswick/Bath/Freeport</v>
      </c>
      <c r="W650" s="105">
        <v>0.71875</v>
      </c>
      <c r="X650" s="12">
        <v>2.35</v>
      </c>
      <c r="Y650">
        <v>57</v>
      </c>
      <c r="Z65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51" spans="2:26" x14ac:dyDescent="0.35">
      <c r="B651">
        <f t="shared" si="163"/>
        <v>649</v>
      </c>
      <c r="C651" t="s">
        <v>86</v>
      </c>
      <c r="D651" t="s">
        <v>176</v>
      </c>
      <c r="E651">
        <f>IF(WEEKNUM(Combined[[#This Row],[Date]], 1) = 53, 1, WEEKNUM(Combined[[#This Row],[Date]], 2))</f>
        <v>14</v>
      </c>
      <c r="F651" t="str">
        <f t="shared" si="167"/>
        <v>Friday</v>
      </c>
      <c r="G651" s="41">
        <v>45016</v>
      </c>
      <c r="H651">
        <v>3</v>
      </c>
      <c r="I651" s="1">
        <v>47.5</v>
      </c>
      <c r="J651" s="2">
        <v>5.9722222222222225E-2</v>
      </c>
      <c r="K651" s="12">
        <f>Combined[[#This Row],[Time Spent]]*24</f>
        <v>1.4333333333333333</v>
      </c>
      <c r="L651" s="12">
        <f>MROUND(Combined[[#This Row],[Time Spent 2]],0.25)</f>
        <v>1.5</v>
      </c>
      <c r="M651" s="2" t="s">
        <v>92</v>
      </c>
      <c r="N651" t="s">
        <v>85</v>
      </c>
      <c r="O651">
        <f>MATCH(Combined[[#This Row],[Primary Area]],KPIs!$C$4:$C$7,0)</f>
        <v>4</v>
      </c>
      <c r="Q651" s="40">
        <v>45681</v>
      </c>
      <c r="R651" s="40">
        <f t="shared" si="165"/>
        <v>45681</v>
      </c>
      <c r="S651" s="4" t="str">
        <f>TEXT(Mileage[[#This Row],[Date]],"dddd")</f>
        <v>Friday</v>
      </c>
      <c r="T651" s="4" t="s">
        <v>230</v>
      </c>
      <c r="U651" s="4">
        <v>19</v>
      </c>
      <c r="V651" t="str" cm="1">
        <f t="array" ref="V651">IFERROR(VLOOKUP(MODE(IF(Combined[Date]=Mileage[[#This Row],[Date]],Combined[Area '#])),KPIs!$B$4:$C$7,2,FALSE),VLOOKUP(Mileage[[#This Row],[Date]],Combined[[Date]:[Primary Area]],8,FALSE))</f>
        <v>Lewiston</v>
      </c>
      <c r="W651" s="105">
        <v>0.78819444444444442</v>
      </c>
      <c r="X651" s="12">
        <v>5.03</v>
      </c>
      <c r="Y651">
        <v>67</v>
      </c>
      <c r="Z65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52" spans="2:26" x14ac:dyDescent="0.35">
      <c r="B652">
        <f t="shared" si="163"/>
        <v>650</v>
      </c>
      <c r="C652" t="s">
        <v>86</v>
      </c>
      <c r="D652" t="s">
        <v>176</v>
      </c>
      <c r="E652">
        <f>IF(WEEKNUM(Combined[[#This Row],[Date]], 1) = 53, 1, WEEKNUM(Combined[[#This Row],[Date]], 2))</f>
        <v>14</v>
      </c>
      <c r="F652" t="str">
        <f t="shared" si="167"/>
        <v>Friday</v>
      </c>
      <c r="G652" s="41">
        <v>45016</v>
      </c>
      <c r="H652">
        <v>3</v>
      </c>
      <c r="I652" s="1">
        <f>25.31+7.5</f>
        <v>32.81</v>
      </c>
      <c r="J652" s="2">
        <v>0.10347222222222223</v>
      </c>
      <c r="K652" s="12">
        <f>Combined[[#This Row],[Time Spent]]*24</f>
        <v>2.4833333333333334</v>
      </c>
      <c r="L652" s="12">
        <f>MROUND(Combined[[#This Row],[Time Spent 2]],0.25)</f>
        <v>2.5</v>
      </c>
      <c r="M652" s="2" t="s">
        <v>92</v>
      </c>
      <c r="N652" t="s">
        <v>85</v>
      </c>
      <c r="O652">
        <f>MATCH(Combined[[#This Row],[Primary Area]],KPIs!$C$4:$C$7,0)</f>
        <v>4</v>
      </c>
      <c r="Q652" s="40">
        <v>45683</v>
      </c>
      <c r="R652" s="40">
        <f t="shared" si="165"/>
        <v>45683</v>
      </c>
      <c r="S652" s="4" t="str">
        <f>TEXT(Mileage[[#This Row],[Date]],"dddd")</f>
        <v>Sunday</v>
      </c>
      <c r="T652" s="4" t="s">
        <v>230</v>
      </c>
      <c r="U652" s="4">
        <v>30</v>
      </c>
      <c r="V652" t="str" cm="1">
        <f t="array" ref="V652">IFERROR(VLOOKUP(MODE(IF(Combined[Date]=Mileage[[#This Row],[Date]],Combined[Area '#])),KPIs!$B$4:$C$7,2,FALSE),VLOOKUP(Mileage[[#This Row],[Date]],Combined[[Date]:[Primary Area]],8,FALSE))</f>
        <v>Brunswick/Bath/Freeport</v>
      </c>
      <c r="W652" s="105">
        <v>0.81597222222222221</v>
      </c>
      <c r="X652" s="12">
        <v>2.5</v>
      </c>
      <c r="Y652">
        <v>71</v>
      </c>
      <c r="Z6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53" spans="2:26" x14ac:dyDescent="0.35">
      <c r="B653">
        <f t="shared" si="163"/>
        <v>651</v>
      </c>
      <c r="C653" t="s">
        <v>83</v>
      </c>
      <c r="D653" t="s">
        <v>176</v>
      </c>
      <c r="E653">
        <f>IF(WEEKNUM(Combined[[#This Row],[Date]], 1) = 53, 1, WEEKNUM(Combined[[#This Row],[Date]], 2))</f>
        <v>14</v>
      </c>
      <c r="F653" t="str">
        <f t="shared" ref="F653:F655" si="168">TEXT(WEEKDAY(G653,1),"DDDD")</f>
        <v>Saturday</v>
      </c>
      <c r="G653" s="41">
        <v>45017</v>
      </c>
      <c r="H653">
        <v>8</v>
      </c>
      <c r="I653" s="1">
        <f>38.33+29.82</f>
        <v>68.150000000000006</v>
      </c>
      <c r="J653" s="2">
        <v>0.16527777777777777</v>
      </c>
      <c r="K653" s="12">
        <f>Combined[[#This Row],[Time Spent]]*24</f>
        <v>3.9666666666666668</v>
      </c>
      <c r="L653" s="12">
        <f>MROUND(Combined[[#This Row],[Time Spent 2]],0.25)</f>
        <v>4</v>
      </c>
      <c r="M653" s="2" t="s">
        <v>91</v>
      </c>
      <c r="N653" t="s">
        <v>85</v>
      </c>
      <c r="O653">
        <f>MATCH(Combined[[#This Row],[Primary Area]],KPIs!$C$4:$C$7,0)</f>
        <v>4</v>
      </c>
      <c r="Q653" s="40">
        <v>45685</v>
      </c>
      <c r="R653" s="40">
        <f t="shared" si="165"/>
        <v>45685</v>
      </c>
      <c r="S653" s="4" t="str">
        <f>TEXT(Mileage[[#This Row],[Date]],"dddd")</f>
        <v>Tuesday</v>
      </c>
      <c r="T653" s="4" t="s">
        <v>230</v>
      </c>
      <c r="U653" s="4">
        <v>12</v>
      </c>
      <c r="V653" t="str" cm="1">
        <f t="array" ref="V653">IFERROR(VLOOKUP(MODE(IF(Combined[Date]=Mileage[[#This Row],[Date]],Combined[Area '#])),KPIs!$B$4:$C$7,2,FALSE),VLOOKUP(Mileage[[#This Row],[Date]],Combined[[Date]:[Primary Area]],8,FALSE))</f>
        <v>Augusta</v>
      </c>
      <c r="W653" s="105">
        <v>0.73958333333333337</v>
      </c>
      <c r="X653" s="12">
        <v>4.17</v>
      </c>
      <c r="Y653">
        <v>130</v>
      </c>
      <c r="Z65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4" spans="2:26" x14ac:dyDescent="0.35">
      <c r="B654">
        <f t="shared" si="163"/>
        <v>652</v>
      </c>
      <c r="C654" t="s">
        <v>86</v>
      </c>
      <c r="D654" t="s">
        <v>176</v>
      </c>
      <c r="E654">
        <f>IF(WEEKNUM(Combined[[#This Row],[Date]], 1) = 53, 1, WEEKNUM(Combined[[#This Row],[Date]], 2))</f>
        <v>14</v>
      </c>
      <c r="F654" t="str">
        <f t="shared" si="168"/>
        <v>Saturday</v>
      </c>
      <c r="G654" s="41">
        <v>45017</v>
      </c>
      <c r="H654">
        <v>1</v>
      </c>
      <c r="I654" s="1">
        <v>5.5</v>
      </c>
      <c r="J654" s="2">
        <v>4.027777777777778E-2</v>
      </c>
      <c r="K654" s="12">
        <f>Combined[[#This Row],[Time Spent]]*24</f>
        <v>0.96666666666666679</v>
      </c>
      <c r="L654" s="12">
        <f>MROUND(Combined[[#This Row],[Time Spent 2]],0.25)</f>
        <v>1</v>
      </c>
      <c r="M654" s="2" t="s">
        <v>92</v>
      </c>
      <c r="N654" t="s">
        <v>85</v>
      </c>
      <c r="O654">
        <f>MATCH(Combined[[#This Row],[Primary Area]],KPIs!$C$4:$C$7,0)</f>
        <v>4</v>
      </c>
      <c r="Q654" s="40">
        <v>45689</v>
      </c>
      <c r="R654" s="40">
        <f t="shared" si="165"/>
        <v>45689</v>
      </c>
      <c r="S654" s="4" t="str">
        <f>TEXT(Mileage[[#This Row],[Date]],"dddd")</f>
        <v>Saturday</v>
      </c>
      <c r="T654" s="4" t="s">
        <v>281</v>
      </c>
      <c r="U654" s="4">
        <v>21</v>
      </c>
      <c r="V654" t="str" cm="1">
        <f t="array" ref="V654">IFERROR(VLOOKUP(MODE(IF(Combined[Date]=Mileage[[#This Row],[Date]],Combined[Area '#])),KPIs!$B$4:$C$7,2,FALSE),VLOOKUP(Mileage[[#This Row],[Date]],Combined[[Date]:[Primary Area]],8,FALSE))</f>
        <v>Brunswick/Bath/Freeport</v>
      </c>
      <c r="W654" s="105">
        <v>0.63541666666666663</v>
      </c>
      <c r="X654" s="12">
        <v>2</v>
      </c>
      <c r="Y654">
        <v>54</v>
      </c>
      <c r="Z6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55" spans="2:26" x14ac:dyDescent="0.35">
      <c r="B655">
        <f t="shared" si="163"/>
        <v>653</v>
      </c>
      <c r="C655" t="s">
        <v>86</v>
      </c>
      <c r="D655" t="s">
        <v>176</v>
      </c>
      <c r="E655">
        <f>IF(WEEKNUM(Combined[[#This Row],[Date]], 1) = 53, 1, WEEKNUM(Combined[[#This Row],[Date]], 2))</f>
        <v>14</v>
      </c>
      <c r="F655" t="str">
        <f t="shared" si="168"/>
        <v>Saturday</v>
      </c>
      <c r="G655" s="41">
        <v>45017</v>
      </c>
      <c r="H655">
        <v>1</v>
      </c>
      <c r="I655" s="1">
        <v>5.25</v>
      </c>
      <c r="J655" s="2">
        <v>6.5972222222222224E-2</v>
      </c>
      <c r="K655" s="12">
        <f>Combined[[#This Row],[Time Spent]]*24</f>
        <v>1.5833333333333335</v>
      </c>
      <c r="L655" s="12">
        <f>MROUND(Combined[[#This Row],[Time Spent 2]],0.25)</f>
        <v>1.5</v>
      </c>
      <c r="M655" s="2" t="s">
        <v>92</v>
      </c>
      <c r="N655" t="s">
        <v>85</v>
      </c>
      <c r="O655">
        <f>MATCH(Combined[[#This Row],[Primary Area]],KPIs!$C$4:$C$7,0)</f>
        <v>4</v>
      </c>
      <c r="Q655" s="40">
        <v>45691</v>
      </c>
      <c r="R655" s="40">
        <f t="shared" si="165"/>
        <v>45691</v>
      </c>
      <c r="S655" s="4" t="str">
        <f>TEXT(Mileage[[#This Row],[Date]],"dddd")</f>
        <v>Monday</v>
      </c>
      <c r="T655" s="4" t="s">
        <v>234</v>
      </c>
      <c r="U655" s="4">
        <v>34</v>
      </c>
      <c r="V655" t="str" cm="1">
        <f t="array" ref="V655">IFERROR(VLOOKUP(MODE(IF(Combined[Date]=Mileage[[#This Row],[Date]],Combined[Area '#])),KPIs!$B$4:$C$7,2,FALSE),VLOOKUP(Mileage[[#This Row],[Date]],Combined[[Date]:[Primary Area]],8,FALSE))</f>
        <v>Augusta</v>
      </c>
      <c r="W655" s="105">
        <v>0.70486111111111116</v>
      </c>
      <c r="X655" s="12">
        <v>2.82</v>
      </c>
      <c r="Y655">
        <v>68</v>
      </c>
      <c r="Z65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56" spans="2:26" x14ac:dyDescent="0.35">
      <c r="B656">
        <f t="shared" si="163"/>
        <v>654</v>
      </c>
      <c r="C656" t="s">
        <v>86</v>
      </c>
      <c r="D656" t="s">
        <v>176</v>
      </c>
      <c r="E656">
        <f>IF(WEEKNUM(Combined[[#This Row],[Date]], 1) = 53, 1, WEEKNUM(Combined[[#This Row],[Date]], 2))</f>
        <v>15</v>
      </c>
      <c r="F656" t="str">
        <f t="shared" ref="F656" si="169">TEXT(WEEKDAY(G656,1),"DDDD")</f>
        <v>Tuesday</v>
      </c>
      <c r="G656" s="41">
        <v>45020</v>
      </c>
      <c r="H656">
        <v>3</v>
      </c>
      <c r="I656" s="1">
        <v>25.5</v>
      </c>
      <c r="J656" s="2">
        <v>7.7083333333333337E-2</v>
      </c>
      <c r="K656" s="12">
        <f>Combined[[#This Row],[Time Spent]]*24</f>
        <v>1.85</v>
      </c>
      <c r="L656" s="12">
        <f>MROUND(Combined[[#This Row],[Time Spent 2]],0.25)</f>
        <v>1.75</v>
      </c>
      <c r="M656" s="2" t="s">
        <v>91</v>
      </c>
      <c r="N656" t="s">
        <v>80</v>
      </c>
      <c r="O656">
        <f>MATCH(Combined[[#This Row],[Primary Area]],KPIs!$C$4:$C$7,0)</f>
        <v>2</v>
      </c>
      <c r="Q656" s="40">
        <v>45693</v>
      </c>
      <c r="R656" s="40">
        <f t="shared" si="165"/>
        <v>45693</v>
      </c>
      <c r="S656" s="4" t="str">
        <f>TEXT(Mileage[[#This Row],[Date]],"dddd")</f>
        <v>Wednesday</v>
      </c>
      <c r="T656" s="4" t="s">
        <v>230</v>
      </c>
      <c r="U656" s="4">
        <v>16</v>
      </c>
      <c r="V656" t="str" cm="1">
        <f t="array" ref="V656">IFERROR(VLOOKUP(MODE(IF(Combined[Date]=Mileage[[#This Row],[Date]],Combined[Area '#])),KPIs!$B$4:$C$7,2,FALSE),VLOOKUP(Mileage[[#This Row],[Date]],Combined[[Date]:[Primary Area]],8,FALSE))</f>
        <v>Portland</v>
      </c>
      <c r="W656" s="105">
        <v>0.74305555555555558</v>
      </c>
      <c r="X656" s="12">
        <v>2.7</v>
      </c>
      <c r="Y656">
        <v>69</v>
      </c>
      <c r="Z65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7" spans="2:26" x14ac:dyDescent="0.35">
      <c r="B657">
        <f t="shared" si="163"/>
        <v>655</v>
      </c>
      <c r="C657" t="s">
        <v>83</v>
      </c>
      <c r="D657" t="s">
        <v>176</v>
      </c>
      <c r="E657">
        <f>IF(WEEKNUM(Combined[[#This Row],[Date]], 1) = 53, 1, WEEKNUM(Combined[[#This Row],[Date]], 2))</f>
        <v>16</v>
      </c>
      <c r="F657" t="str">
        <f t="shared" ref="F657:F664" si="170">TEXT(WEEKDAY(G657,1),"DDDD")</f>
        <v>Thursday</v>
      </c>
      <c r="G657" s="41">
        <v>45029</v>
      </c>
      <c r="H657">
        <v>3</v>
      </c>
      <c r="I657" s="1">
        <v>55.17</v>
      </c>
      <c r="J657" s="2">
        <v>0.12569444444444444</v>
      </c>
      <c r="K657" s="12">
        <f>Combined[[#This Row],[Time Spent]]*24</f>
        <v>3.0166666666666666</v>
      </c>
      <c r="L657" s="12">
        <f>MROUND(Combined[[#This Row],[Time Spent 2]],0.25)</f>
        <v>3</v>
      </c>
      <c r="M657" s="2" t="s">
        <v>91</v>
      </c>
      <c r="N657" t="s">
        <v>80</v>
      </c>
      <c r="O657">
        <f>MATCH(Combined[[#This Row],[Primary Area]],KPIs!$C$4:$C$7,0)</f>
        <v>2</v>
      </c>
      <c r="Q657" s="40">
        <v>45694</v>
      </c>
      <c r="R657" s="40">
        <f t="shared" si="165"/>
        <v>45694</v>
      </c>
      <c r="S657" s="4" t="str">
        <f>TEXT(Mileage[[#This Row],[Date]],"dddd")</f>
        <v>Thursday</v>
      </c>
      <c r="T657" s="4" t="s">
        <v>232</v>
      </c>
      <c r="U657" s="4">
        <v>18</v>
      </c>
      <c r="V657" t="str" cm="1">
        <f t="array" ref="V657">IFERROR(VLOOKUP(MODE(IF(Combined[Date]=Mileage[[#This Row],[Date]],Combined[Area '#])),KPIs!$B$4:$C$7,2,FALSE),VLOOKUP(Mileage[[#This Row],[Date]],Combined[[Date]:[Primary Area]],8,FALSE))</f>
        <v>Lewiston</v>
      </c>
      <c r="W657" s="105">
        <v>0.71527777777777779</v>
      </c>
      <c r="X657" s="12">
        <v>1.1499999999999999</v>
      </c>
      <c r="Y657">
        <v>21</v>
      </c>
      <c r="Z65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8" spans="2:26" x14ac:dyDescent="0.35">
      <c r="B658">
        <f t="shared" si="163"/>
        <v>656</v>
      </c>
      <c r="C658" t="s">
        <v>86</v>
      </c>
      <c r="D658" t="s">
        <v>176</v>
      </c>
      <c r="E658">
        <f>IF(WEEKNUM(Combined[[#This Row],[Date]], 1) = 53, 1, WEEKNUM(Combined[[#This Row],[Date]], 2))</f>
        <v>16</v>
      </c>
      <c r="F658" t="str">
        <f t="shared" si="170"/>
        <v>Thursday</v>
      </c>
      <c r="G658" s="41">
        <v>45029</v>
      </c>
      <c r="H658">
        <v>2</v>
      </c>
      <c r="I658" s="1">
        <v>12</v>
      </c>
      <c r="J658" s="2">
        <v>6.25E-2</v>
      </c>
      <c r="K658" s="12">
        <f>Combined[[#This Row],[Time Spent]]*24</f>
        <v>1.5</v>
      </c>
      <c r="L658" s="12">
        <f>MROUND(Combined[[#This Row],[Time Spent 2]],0.25)</f>
        <v>1.5</v>
      </c>
      <c r="M658" s="2" t="s">
        <v>91</v>
      </c>
      <c r="N658" t="s">
        <v>80</v>
      </c>
      <c r="O658">
        <f>MATCH(Combined[[#This Row],[Primary Area]],KPIs!$C$4:$C$7,0)</f>
        <v>2</v>
      </c>
      <c r="Q658" s="40">
        <v>45695</v>
      </c>
      <c r="R658" s="40">
        <f t="shared" si="165"/>
        <v>45695</v>
      </c>
      <c r="S658" s="4" t="str">
        <f>TEXT(Mileage[[#This Row],[Date]],"dddd")</f>
        <v>Friday</v>
      </c>
      <c r="T658" s="4" t="s">
        <v>231</v>
      </c>
      <c r="U658" s="4">
        <v>27</v>
      </c>
      <c r="V658" t="str" cm="1">
        <f t="array" ref="V658">IFERROR(VLOOKUP(MODE(IF(Combined[Date]=Mileage[[#This Row],[Date]],Combined[Area '#])),KPIs!$B$4:$C$7,2,FALSE),VLOOKUP(Mileage[[#This Row],[Date]],Combined[[Date]:[Primary Area]],8,FALSE))</f>
        <v>Lewiston</v>
      </c>
      <c r="W658" s="105">
        <v>0.81944444444444442</v>
      </c>
      <c r="X658" s="12">
        <v>3.6</v>
      </c>
      <c r="Y658">
        <v>65</v>
      </c>
      <c r="Z65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59" spans="2:26" x14ac:dyDescent="0.35">
      <c r="B659">
        <f t="shared" si="163"/>
        <v>657</v>
      </c>
      <c r="C659" t="s">
        <v>86</v>
      </c>
      <c r="D659" t="s">
        <v>176</v>
      </c>
      <c r="E659">
        <f>IF(WEEKNUM(Combined[[#This Row],[Date]], 1) = 53, 1, WEEKNUM(Combined[[#This Row],[Date]], 2))</f>
        <v>16</v>
      </c>
      <c r="F659" t="str">
        <f t="shared" si="170"/>
        <v>Thursday</v>
      </c>
      <c r="G659" s="41">
        <v>45029</v>
      </c>
      <c r="H659">
        <v>1</v>
      </c>
      <c r="I659" s="1">
        <v>17.5</v>
      </c>
      <c r="J659" s="2">
        <v>4.4444444444444446E-2</v>
      </c>
      <c r="K659" s="12">
        <f>Combined[[#This Row],[Time Spent]]*24</f>
        <v>1.0666666666666667</v>
      </c>
      <c r="L659" s="12">
        <f>MROUND(Combined[[#This Row],[Time Spent 2]],0.25)</f>
        <v>1</v>
      </c>
      <c r="M659" s="2" t="s">
        <v>91</v>
      </c>
      <c r="N659" t="s">
        <v>80</v>
      </c>
      <c r="O659">
        <f>MATCH(Combined[[#This Row],[Primary Area]],KPIs!$C$4:$C$7,0)</f>
        <v>2</v>
      </c>
      <c r="Q659" s="40">
        <v>45697</v>
      </c>
      <c r="R659" s="40">
        <f t="shared" si="165"/>
        <v>45697</v>
      </c>
      <c r="S659" s="4" t="str">
        <f>TEXT(Mileage[[#This Row],[Date]],"dddd")</f>
        <v>Sunday</v>
      </c>
      <c r="T659" s="4" t="s">
        <v>249</v>
      </c>
      <c r="U659" s="4">
        <v>21</v>
      </c>
      <c r="V659" t="str" cm="1">
        <f t="array" ref="V659">IFERROR(VLOOKUP(MODE(IF(Combined[Date]=Mileage[[#This Row],[Date]],Combined[Area '#])),KPIs!$B$4:$C$7,2,FALSE),VLOOKUP(Mileage[[#This Row],[Date]],Combined[[Date]:[Primary Area]],8,FALSE))</f>
        <v>Brunswick/Bath/Freeport</v>
      </c>
      <c r="W659" s="105">
        <v>0.625</v>
      </c>
      <c r="X659" s="12">
        <v>3.6</v>
      </c>
      <c r="Y659">
        <v>77</v>
      </c>
      <c r="Z65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60" spans="2:26" x14ac:dyDescent="0.35">
      <c r="B660">
        <f t="shared" si="163"/>
        <v>658</v>
      </c>
      <c r="C660" t="s">
        <v>86</v>
      </c>
      <c r="D660" t="s">
        <v>176</v>
      </c>
      <c r="E660">
        <f>IF(WEEKNUM(Combined[[#This Row],[Date]], 1) = 53, 1, WEEKNUM(Combined[[#This Row],[Date]], 2))</f>
        <v>16</v>
      </c>
      <c r="F660" t="str">
        <f>TEXT(WEEKDAY(G660,1),"DDDD")</f>
        <v>Thursday</v>
      </c>
      <c r="G660" s="41">
        <v>45029</v>
      </c>
      <c r="H660">
        <v>2</v>
      </c>
      <c r="I660" s="1">
        <v>20</v>
      </c>
      <c r="J660" s="2">
        <v>4.2361111111111106E-2</v>
      </c>
      <c r="K660" s="12">
        <f>Combined[[#This Row],[Time Spent]]*24</f>
        <v>1.0166666666666666</v>
      </c>
      <c r="L660" s="12">
        <f>MROUND(Combined[[#This Row],[Time Spent 2]],0.25)</f>
        <v>1</v>
      </c>
      <c r="M660" s="2" t="s">
        <v>91</v>
      </c>
      <c r="N660" t="s">
        <v>80</v>
      </c>
      <c r="O660">
        <f>MATCH(Combined[[#This Row],[Primary Area]],KPIs!$C$4:$C$7,0)</f>
        <v>2</v>
      </c>
      <c r="Q660" s="40">
        <v>45698</v>
      </c>
      <c r="R660" s="40">
        <f t="shared" si="165"/>
        <v>45698</v>
      </c>
      <c r="S660" s="4" t="str">
        <f>TEXT(Mileage[[#This Row],[Date]],"dddd")</f>
        <v>Monday</v>
      </c>
      <c r="T660" s="4" t="s">
        <v>230</v>
      </c>
      <c r="U660" s="4">
        <v>19</v>
      </c>
      <c r="V660" t="str" cm="1">
        <f t="array" ref="V660">IFERROR(VLOOKUP(MODE(IF(Combined[Date]=Mileage[[#This Row],[Date]],Combined[Area '#])),KPIs!$B$4:$C$7,2,FALSE),VLOOKUP(Mileage[[#This Row],[Date]],Combined[[Date]:[Primary Area]],8,FALSE))</f>
        <v>Brunswick/Bath/Freeport</v>
      </c>
      <c r="W660" s="105">
        <v>0.71527777777777779</v>
      </c>
      <c r="X660" s="12">
        <v>3.75</v>
      </c>
      <c r="Y660">
        <v>75</v>
      </c>
      <c r="Z66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61" spans="2:26" x14ac:dyDescent="0.35">
      <c r="B661">
        <f t="shared" si="163"/>
        <v>659</v>
      </c>
      <c r="C661" t="s">
        <v>83</v>
      </c>
      <c r="D661" t="s">
        <v>176</v>
      </c>
      <c r="E661">
        <f>IF(WEEKNUM(Combined[[#This Row],[Date]], 1) = 53, 1, WEEKNUM(Combined[[#This Row],[Date]], 2))</f>
        <v>16</v>
      </c>
      <c r="F661" t="str">
        <f t="shared" si="170"/>
        <v>Saturday</v>
      </c>
      <c r="G661" s="41">
        <v>45031</v>
      </c>
      <c r="H661">
        <v>2</v>
      </c>
      <c r="I661" s="1">
        <v>26.93</v>
      </c>
      <c r="J661" s="2">
        <v>0.10208333333333335</v>
      </c>
      <c r="K661" s="12">
        <f>Combined[[#This Row],[Time Spent]]*24</f>
        <v>2.4500000000000002</v>
      </c>
      <c r="L661" s="12">
        <f>MROUND(Combined[[#This Row],[Time Spent 2]],0.25)</f>
        <v>2.5</v>
      </c>
      <c r="M661" s="2" t="s">
        <v>91</v>
      </c>
      <c r="N661" t="s">
        <v>80</v>
      </c>
      <c r="O661">
        <f>MATCH(Combined[[#This Row],[Primary Area]],KPIs!$C$4:$C$7,0)</f>
        <v>2</v>
      </c>
      <c r="Q661" s="40">
        <v>45701</v>
      </c>
      <c r="R661" s="40">
        <f t="shared" si="165"/>
        <v>45701</v>
      </c>
      <c r="S661" s="4" t="str">
        <f>TEXT(Mileage[[#This Row],[Date]],"dddd")</f>
        <v>Thursday</v>
      </c>
      <c r="T661" s="4" t="s">
        <v>231</v>
      </c>
      <c r="U661" s="4">
        <v>27</v>
      </c>
      <c r="V661" t="str" cm="1">
        <f t="array" ref="V661">IFERROR(VLOOKUP(MODE(IF(Combined[Date]=Mileage[[#This Row],[Date]],Combined[Area '#])),KPIs!$B$4:$C$7,2,FALSE),VLOOKUP(Mileage[[#This Row],[Date]],Combined[[Date]:[Primary Area]],8,FALSE))</f>
        <v>Lewiston</v>
      </c>
      <c r="W661" s="105">
        <v>0.71527777777777779</v>
      </c>
      <c r="X661" s="12">
        <v>4.07</v>
      </c>
      <c r="Y661">
        <v>26</v>
      </c>
      <c r="Z6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2" spans="2:26" x14ac:dyDescent="0.35">
      <c r="B662">
        <f t="shared" si="163"/>
        <v>660</v>
      </c>
      <c r="C662" t="s">
        <v>86</v>
      </c>
      <c r="D662" t="s">
        <v>176</v>
      </c>
      <c r="E662">
        <f>IF(WEEKNUM(Combined[[#This Row],[Date]], 1) = 53, 1, WEEKNUM(Combined[[#This Row],[Date]], 2))</f>
        <v>16</v>
      </c>
      <c r="F662" t="str">
        <f t="shared" si="170"/>
        <v>Saturday</v>
      </c>
      <c r="G662" s="41">
        <v>45031</v>
      </c>
      <c r="H662">
        <v>5</v>
      </c>
      <c r="I662" s="1">
        <v>54.06</v>
      </c>
      <c r="J662" s="2">
        <v>0.11527777777777777</v>
      </c>
      <c r="K662" s="12">
        <f>Combined[[#This Row],[Time Spent]]*24</f>
        <v>2.7666666666666666</v>
      </c>
      <c r="L662" s="12">
        <f>MROUND(Combined[[#This Row],[Time Spent 2]],0.25)</f>
        <v>2.75</v>
      </c>
      <c r="M662" s="2" t="s">
        <v>91</v>
      </c>
      <c r="N662" t="s">
        <v>80</v>
      </c>
      <c r="O662">
        <f>MATCH(Combined[[#This Row],[Primary Area]],KPIs!$C$4:$C$7,0)</f>
        <v>2</v>
      </c>
      <c r="Q662" s="40">
        <v>45703</v>
      </c>
      <c r="R662" s="40">
        <f t="shared" si="165"/>
        <v>45703</v>
      </c>
      <c r="S662" s="4" t="str">
        <f>TEXT(Mileage[[#This Row],[Date]],"dddd")</f>
        <v>Saturday</v>
      </c>
      <c r="T662" s="4" t="s">
        <v>234</v>
      </c>
      <c r="U662" s="4">
        <v>27</v>
      </c>
      <c r="V662" t="str" cm="1">
        <f t="array" ref="V662">IFERROR(VLOOKUP(MODE(IF(Combined[Date]=Mileage[[#This Row],[Date]],Combined[Area '#])),KPIs!$B$4:$C$7,2,FALSE),VLOOKUP(Mileage[[#This Row],[Date]],Combined[[Date]:[Primary Area]],8,FALSE))</f>
        <v>Augusta</v>
      </c>
      <c r="W662" s="105">
        <v>0.8125</v>
      </c>
      <c r="X662" s="12">
        <v>3.2</v>
      </c>
      <c r="Y662">
        <v>106</v>
      </c>
      <c r="Z6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3" spans="2:26" x14ac:dyDescent="0.35">
      <c r="B663">
        <f t="shared" si="163"/>
        <v>661</v>
      </c>
      <c r="C663" t="s">
        <v>86</v>
      </c>
      <c r="D663" t="s">
        <v>176</v>
      </c>
      <c r="E663">
        <f>IF(WEEKNUM(Combined[[#This Row],[Date]], 1) = 53, 1, WEEKNUM(Combined[[#This Row],[Date]], 2))</f>
        <v>16</v>
      </c>
      <c r="F663" t="str">
        <f t="shared" si="170"/>
        <v>Saturday</v>
      </c>
      <c r="G663" s="41">
        <v>45031</v>
      </c>
      <c r="H663">
        <v>1</v>
      </c>
      <c r="I663" s="1">
        <v>5</v>
      </c>
      <c r="J663" s="2">
        <v>1.5277777777777777E-2</v>
      </c>
      <c r="K663" s="12">
        <f>Combined[[#This Row],[Time Spent]]*24</f>
        <v>0.36666666666666664</v>
      </c>
      <c r="L663" s="12">
        <f>MROUND(Combined[[#This Row],[Time Spent 2]],0.25)</f>
        <v>0.25</v>
      </c>
      <c r="M663" s="2" t="s">
        <v>91</v>
      </c>
      <c r="N663" t="s">
        <v>80</v>
      </c>
      <c r="O663">
        <f>MATCH(Combined[[#This Row],[Primary Area]],KPIs!$C$4:$C$7,0)</f>
        <v>2</v>
      </c>
      <c r="Q663" s="40">
        <v>45706</v>
      </c>
      <c r="R663" s="40">
        <f t="shared" si="165"/>
        <v>45706</v>
      </c>
      <c r="S663" s="4" t="str">
        <f>TEXT(Mileage[[#This Row],[Date]],"dddd")</f>
        <v>Tuesday</v>
      </c>
      <c r="T663" s="4" t="s">
        <v>230</v>
      </c>
      <c r="U663" s="4">
        <v>10</v>
      </c>
      <c r="V663" t="str" cm="1">
        <f t="array" ref="V663">IFERROR(VLOOKUP(MODE(IF(Combined[Date]=Mileage[[#This Row],[Date]],Combined[Area '#])),KPIs!$B$4:$C$7,2,FALSE),VLOOKUP(Mileage[[#This Row],[Date]],Combined[[Date]:[Primary Area]],8,FALSE))</f>
        <v>Brunswick/Bath/Freeport</v>
      </c>
      <c r="W663" s="105">
        <v>0.73263888888888884</v>
      </c>
      <c r="X663" s="12">
        <v>5.2</v>
      </c>
      <c r="Y663">
        <v>103</v>
      </c>
      <c r="Z6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4" spans="2:26" x14ac:dyDescent="0.35">
      <c r="B664">
        <f t="shared" si="163"/>
        <v>662</v>
      </c>
      <c r="C664" t="s">
        <v>86</v>
      </c>
      <c r="D664" t="s">
        <v>176</v>
      </c>
      <c r="E664">
        <f>IF(WEEKNUM(Combined[[#This Row],[Date]], 1) = 53, 1, WEEKNUM(Combined[[#This Row],[Date]], 2))</f>
        <v>16</v>
      </c>
      <c r="F664" t="str">
        <f t="shared" si="170"/>
        <v>Saturday</v>
      </c>
      <c r="G664" s="41">
        <v>45031</v>
      </c>
      <c r="H664">
        <v>5</v>
      </c>
      <c r="I664" s="1">
        <v>45.5</v>
      </c>
      <c r="J664" s="2">
        <v>0.10069444444444443</v>
      </c>
      <c r="K664" s="12">
        <f>Combined[[#This Row],[Time Spent]]*24</f>
        <v>2.4166666666666665</v>
      </c>
      <c r="L664" s="12">
        <f>MROUND(Combined[[#This Row],[Time Spent 2]],0.25)</f>
        <v>2.5</v>
      </c>
      <c r="M664" s="2" t="s">
        <v>92</v>
      </c>
      <c r="N664" t="s">
        <v>80</v>
      </c>
      <c r="O664">
        <f>MATCH(Combined[[#This Row],[Primary Area]],KPIs!$C$4:$C$7,0)</f>
        <v>2</v>
      </c>
      <c r="Q664" s="40">
        <v>45708</v>
      </c>
      <c r="R664" s="40">
        <f t="shared" si="165"/>
        <v>45708</v>
      </c>
      <c r="S664" s="4" t="str">
        <f>TEXT(Mileage[[#This Row],[Date]],"dddd")</f>
        <v>Thursday</v>
      </c>
      <c r="T664" s="4" t="s">
        <v>249</v>
      </c>
      <c r="U664" s="4">
        <v>28</v>
      </c>
      <c r="V664" t="str" cm="1">
        <f t="array" ref="V664">IFERROR(VLOOKUP(MODE(IF(Combined[Date]=Mileage[[#This Row],[Date]],Combined[Area '#])),KPIs!$B$4:$C$7,2,FALSE),VLOOKUP(Mileage[[#This Row],[Date]],Combined[[Date]:[Primary Area]],8,FALSE))</f>
        <v>Augusta</v>
      </c>
      <c r="W664" s="105">
        <v>0.75347222222222221</v>
      </c>
      <c r="X664" s="12">
        <v>4.92</v>
      </c>
      <c r="Y664">
        <v>118</v>
      </c>
      <c r="Z66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5" spans="2:26" x14ac:dyDescent="0.35">
      <c r="B665">
        <f t="shared" si="163"/>
        <v>663</v>
      </c>
      <c r="C665" t="s">
        <v>83</v>
      </c>
      <c r="D665" t="s">
        <v>176</v>
      </c>
      <c r="E665">
        <f>IF(WEEKNUM(Combined[[#This Row],[Date]], 1) = 53, 1, WEEKNUM(Combined[[#This Row],[Date]], 2))</f>
        <v>17</v>
      </c>
      <c r="F665" t="str">
        <f t="shared" ref="F665:F666" si="171">TEXT(WEEKDAY(G665,1),"DDDD")</f>
        <v>Wednesday</v>
      </c>
      <c r="G665" s="41">
        <v>45035</v>
      </c>
      <c r="H665">
        <v>1</v>
      </c>
      <c r="I665" s="1">
        <v>14.59</v>
      </c>
      <c r="J665" s="2">
        <v>9.1666666666666674E-2</v>
      </c>
      <c r="K665" s="12">
        <f>Combined[[#This Row],[Time Spent]]*24</f>
        <v>2.2000000000000002</v>
      </c>
      <c r="L665" s="12">
        <f>MROUND(Combined[[#This Row],[Time Spent 2]],0.25)</f>
        <v>2.25</v>
      </c>
      <c r="M665" s="2" t="s">
        <v>91</v>
      </c>
      <c r="N665" t="s">
        <v>80</v>
      </c>
      <c r="O665">
        <f>MATCH(Combined[[#This Row],[Primary Area]],KPIs!$C$4:$C$7,0)</f>
        <v>2</v>
      </c>
      <c r="Q665" s="40">
        <v>45709</v>
      </c>
      <c r="R665" s="40">
        <f t="shared" si="165"/>
        <v>45709</v>
      </c>
      <c r="S665" s="4" t="str">
        <f>TEXT(Mileage[[#This Row],[Date]],"dddd")</f>
        <v>Friday</v>
      </c>
      <c r="T665" s="4" t="s">
        <v>230</v>
      </c>
      <c r="U665" s="4">
        <v>25</v>
      </c>
      <c r="V665" t="str" cm="1">
        <f t="array" ref="V665">IFERROR(VLOOKUP(MODE(IF(Combined[Date]=Mileage[[#This Row],[Date]],Combined[Area '#])),KPIs!$B$4:$C$7,2,FALSE),VLOOKUP(Mileage[[#This Row],[Date]],Combined[[Date]:[Primary Area]],8,FALSE))</f>
        <v>Portland</v>
      </c>
      <c r="W665" s="105">
        <v>0.72222222222222221</v>
      </c>
      <c r="X665" s="12">
        <v>8.6199999999999992</v>
      </c>
      <c r="Y665">
        <v>159</v>
      </c>
      <c r="Z6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66" spans="2:26" x14ac:dyDescent="0.35">
      <c r="B666">
        <f t="shared" si="163"/>
        <v>664</v>
      </c>
      <c r="C666" t="s">
        <v>86</v>
      </c>
      <c r="D666" t="s">
        <v>176</v>
      </c>
      <c r="E666">
        <f>IF(WEEKNUM(Combined[[#This Row],[Date]], 1) = 53, 1, WEEKNUM(Combined[[#This Row],[Date]], 2))</f>
        <v>17</v>
      </c>
      <c r="F666" t="str">
        <f t="shared" si="171"/>
        <v>Wednesday</v>
      </c>
      <c r="G666" s="41">
        <v>45035</v>
      </c>
      <c r="H666">
        <v>9</v>
      </c>
      <c r="I666" s="1">
        <v>76.599999999999994</v>
      </c>
      <c r="J666" s="2">
        <v>0.16874999999999998</v>
      </c>
      <c r="K666" s="12">
        <f>Combined[[#This Row],[Time Spent]]*24</f>
        <v>4.05</v>
      </c>
      <c r="L666" s="12">
        <f>MROUND(Combined[[#This Row],[Time Spent 2]],0.25)</f>
        <v>4</v>
      </c>
      <c r="M666" s="2" t="s">
        <v>91</v>
      </c>
      <c r="N666" t="s">
        <v>80</v>
      </c>
      <c r="O666">
        <f>MATCH(Combined[[#This Row],[Primary Area]],KPIs!$C$4:$C$7,0)</f>
        <v>2</v>
      </c>
      <c r="Q666" s="40">
        <v>45710</v>
      </c>
      <c r="R666" s="40">
        <f t="shared" si="165"/>
        <v>45710</v>
      </c>
      <c r="S666" s="4" t="str">
        <f>TEXT(Mileage[[#This Row],[Date]],"dddd")</f>
        <v>Saturday</v>
      </c>
      <c r="T666" s="4" t="s">
        <v>281</v>
      </c>
      <c r="U666" s="4">
        <v>32</v>
      </c>
      <c r="V666" t="str" cm="1">
        <f t="array" ref="V666">IFERROR(VLOOKUP(MODE(IF(Combined[Date]=Mileage[[#This Row],[Date]],Combined[Area '#])),KPIs!$B$4:$C$7,2,FALSE),VLOOKUP(Mileage[[#This Row],[Date]],Combined[[Date]:[Primary Area]],8,FALSE))</f>
        <v>Brunswick/Bath/Freeport</v>
      </c>
      <c r="W666" s="105">
        <v>0.58333333333333337</v>
      </c>
      <c r="X666" s="12">
        <v>5.6</v>
      </c>
      <c r="Y666">
        <v>66</v>
      </c>
      <c r="Z6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7" spans="2:26" x14ac:dyDescent="0.35">
      <c r="B667">
        <f t="shared" si="163"/>
        <v>665</v>
      </c>
      <c r="C667" t="s">
        <v>83</v>
      </c>
      <c r="D667" t="s">
        <v>176</v>
      </c>
      <c r="E667">
        <f>IF(WEEKNUM(Combined[[#This Row],[Date]], 1) = 53, 1, WEEKNUM(Combined[[#This Row],[Date]], 2))</f>
        <v>17</v>
      </c>
      <c r="F667" t="str">
        <f t="shared" ref="F667:F669" si="172">TEXT(WEEKDAY(G667,1),"DDDD")</f>
        <v>Thursday</v>
      </c>
      <c r="G667" s="41">
        <v>45036</v>
      </c>
      <c r="H667">
        <v>4</v>
      </c>
      <c r="I667" s="1">
        <v>76.72</v>
      </c>
      <c r="J667" s="2">
        <v>0.13402777777777777</v>
      </c>
      <c r="K667" s="12">
        <f>Combined[[#This Row],[Time Spent]]*24</f>
        <v>3.2166666666666668</v>
      </c>
      <c r="L667" s="12">
        <f>MROUND(Combined[[#This Row],[Time Spent 2]],0.25)</f>
        <v>3.25</v>
      </c>
      <c r="M667" s="2" t="s">
        <v>91</v>
      </c>
      <c r="N667" t="s">
        <v>80</v>
      </c>
      <c r="O667">
        <f>MATCH(Combined[[#This Row],[Primary Area]],KPIs!$C$4:$C$7,0)</f>
        <v>2</v>
      </c>
      <c r="Q667" s="40">
        <v>45712</v>
      </c>
      <c r="R667" s="40">
        <f t="shared" si="165"/>
        <v>45712</v>
      </c>
      <c r="S667" s="4" t="str">
        <f>TEXT(Mileage[[#This Row],[Date]],"dddd")</f>
        <v>Monday</v>
      </c>
      <c r="T667" s="4" t="s">
        <v>231</v>
      </c>
      <c r="U667" s="4">
        <v>37</v>
      </c>
      <c r="V667" t="str" cm="1">
        <f t="array" ref="V667">IFERROR(VLOOKUP(MODE(IF(Combined[Date]=Mileage[[#This Row],[Date]],Combined[Area '#])),KPIs!$B$4:$C$7,2,FALSE),VLOOKUP(Mileage[[#This Row],[Date]],Combined[[Date]:[Primary Area]],8,FALSE))</f>
        <v>Brunswick/Bath/Freeport</v>
      </c>
      <c r="W667" s="105">
        <v>0.72916666666666663</v>
      </c>
      <c r="X667" s="12">
        <v>3.73</v>
      </c>
      <c r="Y667">
        <v>66</v>
      </c>
      <c r="Z6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68" spans="2:26" x14ac:dyDescent="0.35">
      <c r="B668">
        <f t="shared" si="163"/>
        <v>666</v>
      </c>
      <c r="C668" t="s">
        <v>86</v>
      </c>
      <c r="D668" t="s">
        <v>176</v>
      </c>
      <c r="E668">
        <f>IF(WEEKNUM(Combined[[#This Row],[Date]], 1) = 53, 1, WEEKNUM(Combined[[#This Row],[Date]], 2))</f>
        <v>17</v>
      </c>
      <c r="F668" t="str">
        <f t="shared" si="172"/>
        <v>Thursday</v>
      </c>
      <c r="G668" s="41">
        <v>45036</v>
      </c>
      <c r="H668">
        <v>8</v>
      </c>
      <c r="I668" s="1">
        <v>44.7</v>
      </c>
      <c r="J668" s="2">
        <v>0.15138888888888888</v>
      </c>
      <c r="K668" s="12">
        <f>Combined[[#This Row],[Time Spent]]*24</f>
        <v>3.6333333333333329</v>
      </c>
      <c r="L668" s="12">
        <f>MROUND(Combined[[#This Row],[Time Spent 2]],0.25)</f>
        <v>3.75</v>
      </c>
      <c r="M668" s="2" t="s">
        <v>91</v>
      </c>
      <c r="N668" t="s">
        <v>80</v>
      </c>
      <c r="O668">
        <f>MATCH(Combined[[#This Row],[Primary Area]],KPIs!$C$4:$C$7,0)</f>
        <v>2</v>
      </c>
      <c r="Q668" s="40">
        <v>45714</v>
      </c>
      <c r="R668" s="40">
        <f t="shared" si="165"/>
        <v>45714</v>
      </c>
      <c r="S668" s="4" t="str">
        <f>TEXT(Mileage[[#This Row],[Date]],"dddd")</f>
        <v>Wednesday</v>
      </c>
      <c r="T668" s="4" t="s">
        <v>230</v>
      </c>
      <c r="U668" s="4">
        <v>36</v>
      </c>
      <c r="V668" t="str" cm="1">
        <f t="array" ref="V668">IFERROR(VLOOKUP(MODE(IF(Combined[Date]=Mileage[[#This Row],[Date]],Combined[Area '#])),KPIs!$B$4:$C$7,2,FALSE),VLOOKUP(Mileage[[#This Row],[Date]],Combined[[Date]:[Primary Area]],8,FALSE))</f>
        <v>Augusta</v>
      </c>
      <c r="W668" s="105">
        <v>0.72222222222222221</v>
      </c>
      <c r="X668" s="12">
        <v>5.25</v>
      </c>
      <c r="Y668">
        <v>137</v>
      </c>
      <c r="Z6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69" spans="2:26" x14ac:dyDescent="0.35">
      <c r="B669">
        <f t="shared" si="163"/>
        <v>667</v>
      </c>
      <c r="C669" t="s">
        <v>86</v>
      </c>
      <c r="D669" t="s">
        <v>176</v>
      </c>
      <c r="E669">
        <f>IF(WEEKNUM(Combined[[#This Row],[Date]], 1) = 53, 1, WEEKNUM(Combined[[#This Row],[Date]], 2))</f>
        <v>17</v>
      </c>
      <c r="F669" t="str">
        <f t="shared" si="172"/>
        <v>Thursday</v>
      </c>
      <c r="G669" s="41">
        <v>45036</v>
      </c>
      <c r="H669">
        <v>2</v>
      </c>
      <c r="I669" s="1">
        <v>13</v>
      </c>
      <c r="J669" s="2">
        <v>4.027777777777778E-2</v>
      </c>
      <c r="K669" s="12">
        <f>Combined[[#This Row],[Time Spent]]*24</f>
        <v>0.96666666666666679</v>
      </c>
      <c r="L669" s="12">
        <f>MROUND(Combined[[#This Row],[Time Spent 2]],0.25)</f>
        <v>1</v>
      </c>
      <c r="M669" s="2" t="s">
        <v>92</v>
      </c>
      <c r="N669" t="s">
        <v>80</v>
      </c>
      <c r="O669">
        <f>MATCH(Combined[[#This Row],[Primary Area]],KPIs!$C$4:$C$7,0)</f>
        <v>2</v>
      </c>
      <c r="Q669" s="40">
        <v>45717</v>
      </c>
      <c r="R669" s="40">
        <f t="shared" si="165"/>
        <v>45717</v>
      </c>
      <c r="S669" s="4" t="str">
        <f>TEXT(Mileage[[#This Row],[Date]],"dddd")</f>
        <v>Saturday</v>
      </c>
      <c r="T669" s="4" t="s">
        <v>234</v>
      </c>
      <c r="U669" s="4">
        <v>18</v>
      </c>
      <c r="V669" t="str" cm="1">
        <f t="array" ref="V669">IFERROR(VLOOKUP(MODE(IF(Combined[Date]=Mileage[[#This Row],[Date]],Combined[Area '#])),KPIs!$B$4:$C$7,2,FALSE),VLOOKUP(Mileage[[#This Row],[Date]],Combined[[Date]:[Primary Area]],8,FALSE))</f>
        <v>Brunswick/Bath/Freeport</v>
      </c>
      <c r="W669" s="105">
        <v>0.67361111111111116</v>
      </c>
      <c r="X669" s="12">
        <v>5.3</v>
      </c>
      <c r="Y669">
        <v>108</v>
      </c>
      <c r="Z66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0" spans="2:26" x14ac:dyDescent="0.35">
      <c r="B670">
        <f t="shared" si="163"/>
        <v>668</v>
      </c>
      <c r="C670" t="s">
        <v>83</v>
      </c>
      <c r="D670" t="s">
        <v>176</v>
      </c>
      <c r="E670">
        <f>IF(WEEKNUM(Combined[[#This Row],[Date]], 1) = 53, 1, WEEKNUM(Combined[[#This Row],[Date]], 2))</f>
        <v>17</v>
      </c>
      <c r="F670" t="str">
        <f t="shared" ref="F670:F678" si="173">TEXT(WEEKDAY(G670,1),"DDDD")</f>
        <v>Friday</v>
      </c>
      <c r="G670" s="41">
        <v>45037</v>
      </c>
      <c r="H670">
        <v>2</v>
      </c>
      <c r="I670" s="1">
        <f>11.09+18.43</f>
        <v>29.52</v>
      </c>
      <c r="J670" s="2">
        <v>5.2083333333333336E-2</v>
      </c>
      <c r="K670" s="12">
        <f>Combined[[#This Row],[Time Spent]]*24</f>
        <v>1.25</v>
      </c>
      <c r="L670" s="12">
        <f>MROUND(Combined[[#This Row],[Time Spent 2]],0.25)</f>
        <v>1.25</v>
      </c>
      <c r="M670" s="2" t="s">
        <v>91</v>
      </c>
      <c r="N670" t="s">
        <v>80</v>
      </c>
      <c r="O670">
        <f>MATCH(Combined[[#This Row],[Primary Area]],KPIs!$C$4:$C$7,0)</f>
        <v>2</v>
      </c>
      <c r="Q670" s="40">
        <v>45719</v>
      </c>
      <c r="R670" s="40">
        <f t="shared" si="165"/>
        <v>45719</v>
      </c>
      <c r="S670" s="4" t="str">
        <f>TEXT(Mileage[[#This Row],[Date]],"dddd")</f>
        <v>Monday</v>
      </c>
      <c r="T670" s="4" t="s">
        <v>230</v>
      </c>
      <c r="U670" s="4">
        <v>21</v>
      </c>
      <c r="V670" t="str" cm="1">
        <f t="array" ref="V670">IFERROR(VLOOKUP(MODE(IF(Combined[Date]=Mileage[[#This Row],[Date]],Combined[Area '#])),KPIs!$B$4:$C$7,2,FALSE),VLOOKUP(Mileage[[#This Row],[Date]],Combined[[Date]:[Primary Area]],8,FALSE))</f>
        <v>Brunswick/Bath/Freeport</v>
      </c>
      <c r="W670" s="105">
        <v>0.74652777777777779</v>
      </c>
      <c r="X670" s="12">
        <v>5.23</v>
      </c>
      <c r="Y670">
        <v>125</v>
      </c>
      <c r="Z6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1" spans="2:26" x14ac:dyDescent="0.35">
      <c r="B671">
        <f t="shared" si="163"/>
        <v>669</v>
      </c>
      <c r="C671" t="s">
        <v>86</v>
      </c>
      <c r="D671" t="s">
        <v>176</v>
      </c>
      <c r="E671">
        <f>IF(WEEKNUM(Combined[[#This Row],[Date]], 1) = 53, 1, WEEKNUM(Combined[[#This Row],[Date]], 2))</f>
        <v>17</v>
      </c>
      <c r="F671" t="str">
        <f t="shared" si="173"/>
        <v>Friday</v>
      </c>
      <c r="G671" s="41">
        <v>45037</v>
      </c>
      <c r="H671">
        <v>5</v>
      </c>
      <c r="I671" s="1">
        <v>46.9</v>
      </c>
      <c r="J671" s="2">
        <v>0.13125000000000001</v>
      </c>
      <c r="K671" s="12">
        <f>Combined[[#This Row],[Time Spent]]*24</f>
        <v>3.1500000000000004</v>
      </c>
      <c r="L671" s="12">
        <f>MROUND(Combined[[#This Row],[Time Spent 2]],0.25)</f>
        <v>3.25</v>
      </c>
      <c r="M671" s="2" t="s">
        <v>91</v>
      </c>
      <c r="N671" t="s">
        <v>80</v>
      </c>
      <c r="O671">
        <f>MATCH(Combined[[#This Row],[Primary Area]],KPIs!$C$4:$C$7,0)</f>
        <v>2</v>
      </c>
      <c r="Q671" s="40">
        <v>45720</v>
      </c>
      <c r="R671" s="40">
        <f t="shared" si="165"/>
        <v>45720</v>
      </c>
      <c r="S671" s="4" t="str">
        <f>TEXT(Mileage[[#This Row],[Date]],"dddd")</f>
        <v>Tuesday</v>
      </c>
      <c r="T671" s="4" t="s">
        <v>231</v>
      </c>
      <c r="U671" s="4">
        <v>37</v>
      </c>
      <c r="V671" t="str" cm="1">
        <f t="array" ref="V671">IFERROR(VLOOKUP(MODE(IF(Combined[Date]=Mileage[[#This Row],[Date]],Combined[Area '#])),KPIs!$B$4:$C$7,2,FALSE),VLOOKUP(Mileage[[#This Row],[Date]],Combined[[Date]:[Primary Area]],8,FALSE))</f>
        <v>Brunswick/Bath/Freeport</v>
      </c>
      <c r="W671" s="105">
        <v>0.72569444444444442</v>
      </c>
      <c r="X671" s="12">
        <v>4.5199999999999996</v>
      </c>
      <c r="Y671">
        <v>95</v>
      </c>
      <c r="Z6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2" spans="2:26" x14ac:dyDescent="0.35">
      <c r="B672">
        <f t="shared" si="163"/>
        <v>670</v>
      </c>
      <c r="C672" t="s">
        <v>83</v>
      </c>
      <c r="D672" t="s">
        <v>176</v>
      </c>
      <c r="E672">
        <f>IF(WEEKNUM(Combined[[#This Row],[Date]], 1) = 53, 1, WEEKNUM(Combined[[#This Row],[Date]], 2))</f>
        <v>17</v>
      </c>
      <c r="F672" t="str">
        <f t="shared" si="173"/>
        <v>Saturday</v>
      </c>
      <c r="G672" s="41">
        <v>45038</v>
      </c>
      <c r="H672">
        <v>7</v>
      </c>
      <c r="I672" s="1">
        <f>18.42+27.88+4.59+4+14.06+19.02+22.03</f>
        <v>110</v>
      </c>
      <c r="J672" s="2">
        <v>0.21736111111111112</v>
      </c>
      <c r="K672" s="12">
        <f>Combined[[#This Row],[Time Spent]]*24</f>
        <v>5.2166666666666668</v>
      </c>
      <c r="L672" s="12">
        <f>MROUND(Combined[[#This Row],[Time Spent 2]],0.25)</f>
        <v>5.25</v>
      </c>
      <c r="M672" s="2" t="s">
        <v>91</v>
      </c>
      <c r="N672" t="s">
        <v>80</v>
      </c>
      <c r="O672">
        <f>MATCH(Combined[[#This Row],[Primary Area]],KPIs!$C$4:$C$7,0)</f>
        <v>2</v>
      </c>
      <c r="Q672" s="40">
        <v>45724</v>
      </c>
      <c r="R672" s="40">
        <f t="shared" si="165"/>
        <v>45724</v>
      </c>
      <c r="S672" s="4" t="str">
        <f>TEXT(Mileage[[#This Row],[Date]],"dddd")</f>
        <v>Saturday</v>
      </c>
      <c r="T672" s="4" t="s">
        <v>231</v>
      </c>
      <c r="U672" s="4">
        <v>28</v>
      </c>
      <c r="V672" t="str" cm="1">
        <f t="array" ref="V672">IFERROR(VLOOKUP(MODE(IF(Combined[Date]=Mileage[[#This Row],[Date]],Combined[Area '#])),KPIs!$B$4:$C$7,2,FALSE),VLOOKUP(Mileage[[#This Row],[Date]],Combined[[Date]:[Primary Area]],8,FALSE))</f>
        <v>Brunswick/Bath/Freeport</v>
      </c>
      <c r="W672" s="105">
        <v>0.59027777777777779</v>
      </c>
      <c r="X672" s="12">
        <v>6.85</v>
      </c>
      <c r="Y672">
        <v>134</v>
      </c>
      <c r="Z6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73" spans="2:26" x14ac:dyDescent="0.35">
      <c r="B673">
        <f t="shared" si="163"/>
        <v>671</v>
      </c>
      <c r="C673" t="s">
        <v>86</v>
      </c>
      <c r="D673" t="s">
        <v>176</v>
      </c>
      <c r="E673">
        <f>IF(WEEKNUM(Combined[[#This Row],[Date]], 1) = 53, 1, WEEKNUM(Combined[[#This Row],[Date]], 2))</f>
        <v>17</v>
      </c>
      <c r="F673" t="str">
        <f t="shared" si="173"/>
        <v>Saturday</v>
      </c>
      <c r="G673" s="41">
        <v>45038</v>
      </c>
      <c r="H673">
        <v>4</v>
      </c>
      <c r="I673" s="1">
        <v>24.5</v>
      </c>
      <c r="J673" s="2">
        <v>6.3194444444444442E-2</v>
      </c>
      <c r="K673" s="12">
        <f>Combined[[#This Row],[Time Spent]]*24</f>
        <v>1.5166666666666666</v>
      </c>
      <c r="L673" s="12">
        <f>MROUND(Combined[[#This Row],[Time Spent 2]],0.25)</f>
        <v>1.5</v>
      </c>
      <c r="M673" s="2" t="s">
        <v>91</v>
      </c>
      <c r="N673" t="s">
        <v>80</v>
      </c>
      <c r="O673">
        <f>MATCH(Combined[[#This Row],[Primary Area]],KPIs!$C$4:$C$7,0)</f>
        <v>2</v>
      </c>
      <c r="Q673" s="40">
        <v>45725</v>
      </c>
      <c r="R673" s="40">
        <f t="shared" si="165"/>
        <v>45725</v>
      </c>
      <c r="S673" s="4" t="str">
        <f>TEXT(Mileage[[#This Row],[Date]],"dddd")</f>
        <v>Sunday</v>
      </c>
      <c r="T673" s="4" t="s">
        <v>231</v>
      </c>
      <c r="U673" s="4">
        <v>37</v>
      </c>
      <c r="V673" t="str" cm="1">
        <f t="array" ref="V673">IFERROR(VLOOKUP(MODE(IF(Combined[Date]=Mileage[[#This Row],[Date]],Combined[Area '#])),KPIs!$B$4:$C$7,2,FALSE),VLOOKUP(Mileage[[#This Row],[Date]],Combined[[Date]:[Primary Area]],8,FALSE))</f>
        <v>Brunswick/Bath/Freeport</v>
      </c>
      <c r="W673" s="105">
        <v>0.4236111111111111</v>
      </c>
      <c r="X673" s="12">
        <v>1.03</v>
      </c>
      <c r="Y673">
        <v>29</v>
      </c>
      <c r="Z67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4" spans="2:26" x14ac:dyDescent="0.35">
      <c r="B674">
        <f t="shared" si="163"/>
        <v>672</v>
      </c>
      <c r="C674" t="s">
        <v>86</v>
      </c>
      <c r="D674" t="s">
        <v>176</v>
      </c>
      <c r="E674">
        <f>IF(WEEKNUM(Combined[[#This Row],[Date]], 1) = 53, 1, WEEKNUM(Combined[[#This Row],[Date]], 2))</f>
        <v>17</v>
      </c>
      <c r="F674" t="str">
        <f t="shared" si="173"/>
        <v>Saturday</v>
      </c>
      <c r="G674" s="41">
        <v>45038</v>
      </c>
      <c r="H674">
        <v>2</v>
      </c>
      <c r="I674" s="1">
        <v>10.5</v>
      </c>
      <c r="J674" s="2">
        <v>4.4444444444444446E-2</v>
      </c>
      <c r="K674" s="12">
        <f>Combined[[#This Row],[Time Spent]]*24</f>
        <v>1.0666666666666667</v>
      </c>
      <c r="L674" s="12">
        <f>MROUND(Combined[[#This Row],[Time Spent 2]],0.25)</f>
        <v>1</v>
      </c>
      <c r="M674" s="2" t="s">
        <v>91</v>
      </c>
      <c r="N674" t="s">
        <v>80</v>
      </c>
      <c r="O674">
        <f>MATCH(Combined[[#This Row],[Primary Area]],KPIs!$C$4:$C$7,0)</f>
        <v>2</v>
      </c>
      <c r="Q674" s="40">
        <v>45726</v>
      </c>
      <c r="R674" s="40">
        <f t="shared" si="165"/>
        <v>45726</v>
      </c>
      <c r="S674" s="4" t="str">
        <f>TEXT(Mileage[[#This Row],[Date]],"dddd")</f>
        <v>Monday</v>
      </c>
      <c r="T674" s="4" t="s">
        <v>249</v>
      </c>
      <c r="U674" s="4">
        <v>39</v>
      </c>
      <c r="V674" t="str" cm="1">
        <f t="array" ref="V674">IFERROR(VLOOKUP(MODE(IF(Combined[Date]=Mileage[[#This Row],[Date]],Combined[Area '#])),KPIs!$B$4:$C$7,2,FALSE),VLOOKUP(Mileage[[#This Row],[Date]],Combined[[Date]:[Primary Area]],8,FALSE))</f>
        <v>Brunswick/Bath/Freeport</v>
      </c>
      <c r="W674" s="105">
        <v>0.73958333333333337</v>
      </c>
      <c r="X674" s="12">
        <v>4.4800000000000004</v>
      </c>
      <c r="Y674">
        <v>71</v>
      </c>
      <c r="Z6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5" spans="2:26" x14ac:dyDescent="0.35">
      <c r="B675">
        <f t="shared" si="163"/>
        <v>673</v>
      </c>
      <c r="C675" t="s">
        <v>86</v>
      </c>
      <c r="D675" t="s">
        <v>176</v>
      </c>
      <c r="E675">
        <f>IF(WEEKNUM(Combined[[#This Row],[Date]], 1) = 53, 1, WEEKNUM(Combined[[#This Row],[Date]], 2))</f>
        <v>17</v>
      </c>
      <c r="F675" t="str">
        <f t="shared" si="173"/>
        <v>Saturday</v>
      </c>
      <c r="G675" s="41">
        <v>45038</v>
      </c>
      <c r="H675">
        <v>2</v>
      </c>
      <c r="I675" s="1">
        <v>16</v>
      </c>
      <c r="J675" s="2">
        <v>4.7222222222222221E-2</v>
      </c>
      <c r="K675" s="12">
        <f>Combined[[#This Row],[Time Spent]]*24</f>
        <v>1.1333333333333333</v>
      </c>
      <c r="L675" s="12">
        <f>MROUND(Combined[[#This Row],[Time Spent 2]],0.25)</f>
        <v>1.25</v>
      </c>
      <c r="M675" s="2" t="s">
        <v>91</v>
      </c>
      <c r="N675" t="s">
        <v>80</v>
      </c>
      <c r="O675">
        <f>MATCH(Combined[[#This Row],[Primary Area]],KPIs!$C$4:$C$7,0)</f>
        <v>2</v>
      </c>
      <c r="Q675" s="40">
        <v>45728</v>
      </c>
      <c r="R675" s="40">
        <f t="shared" si="165"/>
        <v>45728</v>
      </c>
      <c r="S675" s="4" t="str">
        <f>TEXT(Mileage[[#This Row],[Date]],"dddd")</f>
        <v>Wednesday</v>
      </c>
      <c r="T675" s="4" t="s">
        <v>230</v>
      </c>
      <c r="U675" s="4">
        <v>36</v>
      </c>
      <c r="V675" t="str" cm="1">
        <f t="array" ref="V675">IFERROR(VLOOKUP(MODE(IF(Combined[Date]=Mileage[[#This Row],[Date]],Combined[Area '#])),KPIs!$B$4:$C$7,2,FALSE),VLOOKUP(Mileage[[#This Row],[Date]],Combined[[Date]:[Primary Area]],8,FALSE))</f>
        <v>Brunswick/Bath/Freeport</v>
      </c>
      <c r="W675" s="105">
        <v>0.71527777777777779</v>
      </c>
      <c r="X675" s="12">
        <v>2.52</v>
      </c>
      <c r="Y675">
        <v>33</v>
      </c>
      <c r="Z67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6" spans="2:26" x14ac:dyDescent="0.35">
      <c r="B676">
        <f t="shared" si="163"/>
        <v>674</v>
      </c>
      <c r="C676" t="s">
        <v>83</v>
      </c>
      <c r="D676" t="s">
        <v>176</v>
      </c>
      <c r="E676">
        <f>IF(WEEKNUM(Combined[[#This Row],[Date]], 1) = 53, 1, WEEKNUM(Combined[[#This Row],[Date]], 2))</f>
        <v>17</v>
      </c>
      <c r="F676" t="str">
        <f t="shared" si="173"/>
        <v>Sunday</v>
      </c>
      <c r="G676" s="41">
        <v>45039</v>
      </c>
      <c r="H676">
        <v>5</v>
      </c>
      <c r="I676" s="1">
        <f>18.21+2+10.03+16.08+7.01+2</f>
        <v>55.33</v>
      </c>
      <c r="J676" s="2">
        <v>0.14722222222222223</v>
      </c>
      <c r="K676" s="12">
        <f>Combined[[#This Row],[Time Spent]]*24</f>
        <v>3.5333333333333332</v>
      </c>
      <c r="L676" s="12">
        <f>MROUND(Combined[[#This Row],[Time Spent 2]],0.25)</f>
        <v>3.5</v>
      </c>
      <c r="M676" s="2" t="s">
        <v>91</v>
      </c>
      <c r="N676" t="s">
        <v>174</v>
      </c>
      <c r="O676">
        <f>MATCH(Combined[[#This Row],[Primary Area]],KPIs!$C$4:$C$7,0)</f>
        <v>1</v>
      </c>
      <c r="Q676" s="40">
        <v>45729</v>
      </c>
      <c r="R676" s="40">
        <f t="shared" si="165"/>
        <v>45729</v>
      </c>
      <c r="S676" s="4" t="str">
        <f>TEXT(Mileage[[#This Row],[Date]],"dddd")</f>
        <v>Thursday</v>
      </c>
      <c r="T676" s="4" t="s">
        <v>230</v>
      </c>
      <c r="U676" s="4">
        <v>34</v>
      </c>
      <c r="V676" t="str" cm="1">
        <f t="array" ref="V676">IFERROR(VLOOKUP(MODE(IF(Combined[Date]=Mileage[[#This Row],[Date]],Combined[Area '#])),KPIs!$B$4:$C$7,2,FALSE),VLOOKUP(Mileage[[#This Row],[Date]],Combined[[Date]:[Primary Area]],8,FALSE))</f>
        <v>Brunswick/Bath/Freeport</v>
      </c>
      <c r="W676" s="105">
        <v>0.73958333333333337</v>
      </c>
      <c r="X676" s="12">
        <v>5.03</v>
      </c>
      <c r="Y676">
        <v>127</v>
      </c>
      <c r="Z67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77" spans="2:26" x14ac:dyDescent="0.35">
      <c r="B677">
        <f t="shared" si="163"/>
        <v>675</v>
      </c>
      <c r="C677" t="s">
        <v>86</v>
      </c>
      <c r="D677" t="s">
        <v>176</v>
      </c>
      <c r="E677">
        <f>IF(WEEKNUM(Combined[[#This Row],[Date]], 1) = 53, 1, WEEKNUM(Combined[[#This Row],[Date]], 2))</f>
        <v>17</v>
      </c>
      <c r="F677" t="str">
        <f t="shared" si="173"/>
        <v>Sunday</v>
      </c>
      <c r="G677" s="41">
        <v>45039</v>
      </c>
      <c r="H677">
        <v>3</v>
      </c>
      <c r="I677" s="1">
        <v>30.5</v>
      </c>
      <c r="J677" s="2">
        <v>6.25E-2</v>
      </c>
      <c r="K677" s="12">
        <f>Combined[[#This Row],[Time Spent]]*24</f>
        <v>1.5</v>
      </c>
      <c r="L677" s="12">
        <f>MROUND(Combined[[#This Row],[Time Spent 2]],0.25)</f>
        <v>1.5</v>
      </c>
      <c r="M677" s="2" t="s">
        <v>91</v>
      </c>
      <c r="N677" t="s">
        <v>174</v>
      </c>
      <c r="O677">
        <f>MATCH(Combined[[#This Row],[Primary Area]],KPIs!$C$4:$C$7,0)</f>
        <v>1</v>
      </c>
      <c r="Q677" s="40">
        <v>45732</v>
      </c>
      <c r="R677" s="40">
        <f t="shared" si="165"/>
        <v>45732</v>
      </c>
      <c r="S677" s="4" t="str">
        <f>TEXT(Mileage[[#This Row],[Date]],"dddd")</f>
        <v>Sunday</v>
      </c>
      <c r="T677" s="4" t="s">
        <v>249</v>
      </c>
      <c r="U677" s="4">
        <v>55</v>
      </c>
      <c r="V677" t="str" cm="1">
        <f t="array" ref="V677">IFERROR(VLOOKUP(MODE(IF(Combined[Date]=Mileage[[#This Row],[Date]],Combined[Area '#])),KPIs!$B$4:$C$7,2,FALSE),VLOOKUP(Mileage[[#This Row],[Date]],Combined[[Date]:[Primary Area]],8,FALSE))</f>
        <v>Augusta</v>
      </c>
      <c r="W677" s="105">
        <v>0.67361111111111116</v>
      </c>
      <c r="X677" s="12">
        <v>8.1300000000000008</v>
      </c>
      <c r="Y677">
        <v>205</v>
      </c>
      <c r="Z67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78" spans="2:26" x14ac:dyDescent="0.35">
      <c r="B678">
        <f t="shared" si="163"/>
        <v>676</v>
      </c>
      <c r="C678" t="s">
        <v>86</v>
      </c>
      <c r="D678" t="s">
        <v>176</v>
      </c>
      <c r="E678">
        <f>IF(WEEKNUM(Combined[[#This Row],[Date]], 1) = 53, 1, WEEKNUM(Combined[[#This Row],[Date]], 2))</f>
        <v>17</v>
      </c>
      <c r="F678" t="str">
        <f t="shared" si="173"/>
        <v>Sunday</v>
      </c>
      <c r="G678" s="41">
        <v>45039</v>
      </c>
      <c r="H678">
        <v>1</v>
      </c>
      <c r="I678" s="1">
        <v>13.25</v>
      </c>
      <c r="J678" s="2">
        <v>2.9166666666666664E-2</v>
      </c>
      <c r="K678" s="12">
        <f>Combined[[#This Row],[Time Spent]]*24</f>
        <v>0.7</v>
      </c>
      <c r="L678" s="12">
        <f>MROUND(Combined[[#This Row],[Time Spent 2]],0.25)</f>
        <v>0.75</v>
      </c>
      <c r="M678" s="2" t="s">
        <v>92</v>
      </c>
      <c r="N678" t="s">
        <v>174</v>
      </c>
      <c r="O678">
        <f>MATCH(Combined[[#This Row],[Primary Area]],KPIs!$C$4:$C$7,0)</f>
        <v>1</v>
      </c>
      <c r="Q678" s="40">
        <v>45733</v>
      </c>
      <c r="R678" s="40">
        <f t="shared" si="165"/>
        <v>45733</v>
      </c>
      <c r="S678" s="4" t="str">
        <f>TEXT(Mileage[[#This Row],[Date]],"dddd")</f>
        <v>Monday</v>
      </c>
      <c r="T678" s="4" t="s">
        <v>325</v>
      </c>
      <c r="U678" s="4">
        <v>45</v>
      </c>
      <c r="V678" t="str" cm="1">
        <f t="array" ref="V678">IFERROR(VLOOKUP(MODE(IF(Combined[Date]=Mileage[[#This Row],[Date]],Combined[Area '#])),KPIs!$B$4:$C$7,2,FALSE),VLOOKUP(Mileage[[#This Row],[Date]],Combined[[Date]:[Primary Area]],8,FALSE))</f>
        <v>Brunswick/Bath/Freeport</v>
      </c>
      <c r="W678" s="105">
        <v>0.75347222222222221</v>
      </c>
      <c r="X678" s="12">
        <v>2.78</v>
      </c>
      <c r="Y678">
        <v>39</v>
      </c>
      <c r="Z6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79" spans="2:26" x14ac:dyDescent="0.35">
      <c r="B679">
        <f t="shared" si="163"/>
        <v>677</v>
      </c>
      <c r="C679" t="s">
        <v>83</v>
      </c>
      <c r="D679" t="s">
        <v>176</v>
      </c>
      <c r="E679">
        <f>IF(WEEKNUM(Combined[[#This Row],[Date]], 1) = 53, 1, WEEKNUM(Combined[[#This Row],[Date]], 2))</f>
        <v>18</v>
      </c>
      <c r="F679" t="str">
        <f t="shared" ref="F679:F682" si="174">TEXT(WEEKDAY(G679,1),"DDDD")</f>
        <v>Wednesday</v>
      </c>
      <c r="G679" s="41">
        <v>45042</v>
      </c>
      <c r="H679">
        <v>2</v>
      </c>
      <c r="I679" s="1">
        <v>40.56</v>
      </c>
      <c r="J679" s="2">
        <v>8.8888888888888892E-2</v>
      </c>
      <c r="K679" s="12">
        <f>Combined[[#This Row],[Time Spent]]*24</f>
        <v>2.1333333333333333</v>
      </c>
      <c r="L679" s="12">
        <f>MROUND(Combined[[#This Row],[Time Spent 2]],0.25)</f>
        <v>2.25</v>
      </c>
      <c r="M679" s="2" t="s">
        <v>91</v>
      </c>
      <c r="N679" t="s">
        <v>85</v>
      </c>
      <c r="O679">
        <f>MATCH(Combined[[#This Row],[Primary Area]],KPIs!$C$4:$C$7,0)</f>
        <v>4</v>
      </c>
      <c r="Q679" s="40">
        <v>45734</v>
      </c>
      <c r="R679" s="40">
        <f t="shared" si="165"/>
        <v>45734</v>
      </c>
      <c r="S679" s="4" t="str">
        <f>TEXT(Mileage[[#This Row],[Date]],"dddd")</f>
        <v>Tuesday</v>
      </c>
      <c r="T679" s="4" t="s">
        <v>230</v>
      </c>
      <c r="U679" s="4">
        <v>45</v>
      </c>
      <c r="V679" t="str" cm="1">
        <f t="array" ref="V679">IFERROR(VLOOKUP(MODE(IF(Combined[Date]=Mileage[[#This Row],[Date]],Combined[Area '#])),KPIs!$B$4:$C$7,2,FALSE),VLOOKUP(Mileage[[#This Row],[Date]],Combined[[Date]:[Primary Area]],8,FALSE))</f>
        <v>Brunswick/Bath/Freeport</v>
      </c>
      <c r="W679" s="105">
        <v>0.72222222222222221</v>
      </c>
      <c r="X679" s="12">
        <v>4.87</v>
      </c>
      <c r="Y679">
        <v>92</v>
      </c>
      <c r="Z67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0" spans="2:26" x14ac:dyDescent="0.35">
      <c r="B680">
        <f t="shared" si="163"/>
        <v>678</v>
      </c>
      <c r="C680" t="s">
        <v>86</v>
      </c>
      <c r="D680" t="s">
        <v>176</v>
      </c>
      <c r="E680">
        <f>IF(WEEKNUM(Combined[[#This Row],[Date]], 1) = 53, 1, WEEKNUM(Combined[[#This Row],[Date]], 2))</f>
        <v>18</v>
      </c>
      <c r="F680" t="str">
        <f t="shared" si="174"/>
        <v>Wednesday</v>
      </c>
      <c r="G680" s="41">
        <v>45042</v>
      </c>
      <c r="H680">
        <v>1</v>
      </c>
      <c r="I680" s="1">
        <v>11</v>
      </c>
      <c r="J680" s="2">
        <v>2.013888888888889E-2</v>
      </c>
      <c r="K680" s="12">
        <f>Combined[[#This Row],[Time Spent]]*24</f>
        <v>0.48333333333333339</v>
      </c>
      <c r="L680" s="12">
        <f>MROUND(Combined[[#This Row],[Time Spent 2]],0.25)</f>
        <v>0.5</v>
      </c>
      <c r="M680" s="2" t="s">
        <v>91</v>
      </c>
      <c r="N680" t="s">
        <v>85</v>
      </c>
      <c r="O680">
        <f>MATCH(Combined[[#This Row],[Primary Area]],KPIs!$C$4:$C$7,0)</f>
        <v>4</v>
      </c>
      <c r="Q680" s="40">
        <v>45735</v>
      </c>
      <c r="R680" s="40">
        <f t="shared" si="165"/>
        <v>45735</v>
      </c>
      <c r="S680" s="4" t="str">
        <f>TEXT(Mileage[[#This Row],[Date]],"dddd")</f>
        <v>Wednesday</v>
      </c>
      <c r="T680" s="4" t="s">
        <v>230</v>
      </c>
      <c r="U680" s="4">
        <v>46</v>
      </c>
      <c r="V680" t="str" cm="1">
        <f t="array" ref="V680">IFERROR(VLOOKUP(MODE(IF(Combined[Date]=Mileage[[#This Row],[Date]],Combined[Area '#])),KPIs!$B$4:$C$7,2,FALSE),VLOOKUP(Mileage[[#This Row],[Date]],Combined[[Date]:[Primary Area]],8,FALSE))</f>
        <v>Brunswick/Bath/Freeport</v>
      </c>
      <c r="W680" s="105">
        <v>0.73611111111111116</v>
      </c>
      <c r="X680" s="12">
        <v>3.42</v>
      </c>
      <c r="Y680">
        <v>80</v>
      </c>
      <c r="Z68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1" spans="2:26" x14ac:dyDescent="0.35">
      <c r="B681">
        <f t="shared" si="163"/>
        <v>679</v>
      </c>
      <c r="C681" t="s">
        <v>86</v>
      </c>
      <c r="D681" t="s">
        <v>176</v>
      </c>
      <c r="E681">
        <f>IF(WEEKNUM(Combined[[#This Row],[Date]], 1) = 53, 1, WEEKNUM(Combined[[#This Row],[Date]], 2))</f>
        <v>18</v>
      </c>
      <c r="F681" t="str">
        <f t="shared" si="174"/>
        <v>Wednesday</v>
      </c>
      <c r="G681" s="41">
        <v>45042</v>
      </c>
      <c r="H681">
        <v>3</v>
      </c>
      <c r="I681" s="1">
        <v>29.25</v>
      </c>
      <c r="J681" s="2">
        <v>4.8611111111111112E-2</v>
      </c>
      <c r="K681" s="12">
        <f>Combined[[#This Row],[Time Spent]]*24</f>
        <v>1.1666666666666667</v>
      </c>
      <c r="L681" s="12">
        <f>MROUND(Combined[[#This Row],[Time Spent 2]],0.25)</f>
        <v>1.25</v>
      </c>
      <c r="M681" s="2" t="s">
        <v>91</v>
      </c>
      <c r="N681" t="s">
        <v>85</v>
      </c>
      <c r="O681">
        <f>MATCH(Combined[[#This Row],[Primary Area]],KPIs!$C$4:$C$7,0)</f>
        <v>4</v>
      </c>
      <c r="Q681" s="40">
        <v>45737</v>
      </c>
      <c r="R681" s="40">
        <f t="shared" si="165"/>
        <v>45737</v>
      </c>
      <c r="S681" s="4" t="str">
        <f>TEXT(Mileage[[#This Row],[Date]],"dddd")</f>
        <v>Friday</v>
      </c>
      <c r="T681" s="4" t="s">
        <v>285</v>
      </c>
      <c r="U681" s="4">
        <v>37</v>
      </c>
      <c r="V681" t="str" cm="1">
        <f t="array" ref="V681">IFERROR(VLOOKUP(MODE(IF(Combined[Date]=Mileage[[#This Row],[Date]],Combined[Area '#])),KPIs!$B$4:$C$7,2,FALSE),VLOOKUP(Mileage[[#This Row],[Date]],Combined[[Date]:[Primary Area]],8,FALSE))</f>
        <v>Augusta</v>
      </c>
      <c r="W681" s="105">
        <v>0.74652777777777779</v>
      </c>
      <c r="X681" s="12">
        <v>6.82</v>
      </c>
      <c r="Y681">
        <v>152</v>
      </c>
      <c r="Z68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2" spans="2:26" x14ac:dyDescent="0.35">
      <c r="B682">
        <f t="shared" si="163"/>
        <v>680</v>
      </c>
      <c r="C682" t="s">
        <v>86</v>
      </c>
      <c r="D682" t="s">
        <v>176</v>
      </c>
      <c r="E682">
        <f>IF(WEEKNUM(Combined[[#This Row],[Date]], 1) = 53, 1, WEEKNUM(Combined[[#This Row],[Date]], 2))</f>
        <v>18</v>
      </c>
      <c r="F682" t="str">
        <f t="shared" si="174"/>
        <v>Wednesday</v>
      </c>
      <c r="G682" s="41">
        <v>45042</v>
      </c>
      <c r="H682">
        <v>6</v>
      </c>
      <c r="I682" s="1">
        <v>40.25</v>
      </c>
      <c r="J682" s="2">
        <v>9.0277777777777776E-2</v>
      </c>
      <c r="K682" s="12">
        <f>Combined[[#This Row],[Time Spent]]*24</f>
        <v>2.1666666666666665</v>
      </c>
      <c r="L682" s="12">
        <f>MROUND(Combined[[#This Row],[Time Spent 2]],0.25)</f>
        <v>2.25</v>
      </c>
      <c r="M682" s="2" t="s">
        <v>91</v>
      </c>
      <c r="N682" t="s">
        <v>85</v>
      </c>
      <c r="O682">
        <f>MATCH(Combined[[#This Row],[Primary Area]],KPIs!$C$4:$C$7,0)</f>
        <v>4</v>
      </c>
      <c r="Q682" s="40">
        <v>45738</v>
      </c>
      <c r="R682" s="40">
        <f t="shared" si="165"/>
        <v>45738</v>
      </c>
      <c r="S682" s="4" t="str">
        <f>TEXT(Mileage[[#This Row],[Date]],"dddd")</f>
        <v>Saturday</v>
      </c>
      <c r="T682" s="4" t="s">
        <v>281</v>
      </c>
      <c r="U682" s="4">
        <v>57</v>
      </c>
      <c r="V682" t="str" cm="1">
        <f t="array" ref="V682">IFERROR(VLOOKUP(MODE(IF(Combined[Date]=Mileage[[#This Row],[Date]],Combined[Area '#])),KPIs!$B$4:$C$7,2,FALSE),VLOOKUP(Mileage[[#This Row],[Date]],Combined[[Date]:[Primary Area]],8,FALSE))</f>
        <v>Lewiston</v>
      </c>
      <c r="W682" s="105">
        <v>0.5493055555555556</v>
      </c>
      <c r="X682" s="12">
        <v>2.9</v>
      </c>
      <c r="Y682">
        <v>32</v>
      </c>
      <c r="Z68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3" spans="2:26" x14ac:dyDescent="0.35">
      <c r="B683">
        <f t="shared" si="163"/>
        <v>681</v>
      </c>
      <c r="C683" t="s">
        <v>86</v>
      </c>
      <c r="D683" t="s">
        <v>176</v>
      </c>
      <c r="E683">
        <f>IF(WEEKNUM(Combined[[#This Row],[Date]], 1) = 53, 1, WEEKNUM(Combined[[#This Row],[Date]], 2))</f>
        <v>18</v>
      </c>
      <c r="F683" t="str">
        <f t="shared" ref="F683:F684" si="175">TEXT(WEEKDAY(G683,1),"DDDD")</f>
        <v>Thursday</v>
      </c>
      <c r="G683" s="41">
        <v>45043</v>
      </c>
      <c r="H683">
        <v>3</v>
      </c>
      <c r="I683" s="1">
        <v>25.82</v>
      </c>
      <c r="J683" s="2">
        <v>7.8472222222222221E-2</v>
      </c>
      <c r="K683" s="12">
        <f>Combined[[#This Row],[Time Spent]]*24</f>
        <v>1.8833333333333333</v>
      </c>
      <c r="L683" s="12">
        <f>MROUND(Combined[[#This Row],[Time Spent 2]],0.25)</f>
        <v>2</v>
      </c>
      <c r="M683" s="2" t="s">
        <v>91</v>
      </c>
      <c r="N683" t="s">
        <v>174</v>
      </c>
      <c r="O683">
        <f>MATCH(Combined[[#This Row],[Primary Area]],KPIs!$C$4:$C$7,0)</f>
        <v>1</v>
      </c>
      <c r="Q683" s="40">
        <v>45739</v>
      </c>
      <c r="R683" s="40">
        <f t="shared" si="165"/>
        <v>45739</v>
      </c>
      <c r="S683" s="4" t="str">
        <f>TEXT(Mileage[[#This Row],[Date]],"dddd")</f>
        <v>Sunday</v>
      </c>
      <c r="T683" s="4" t="s">
        <v>230</v>
      </c>
      <c r="U683" s="4">
        <v>30</v>
      </c>
      <c r="V683" t="str" cm="1">
        <f t="array" ref="V683">IFERROR(VLOOKUP(MODE(IF(Combined[Date]=Mileage[[#This Row],[Date]],Combined[Area '#])),KPIs!$B$4:$C$7,2,FALSE),VLOOKUP(Mileage[[#This Row],[Date]],Combined[[Date]:[Primary Area]],8,FALSE))</f>
        <v>Brunswick/Bath/Freeport</v>
      </c>
      <c r="W683" s="105">
        <v>0.75</v>
      </c>
      <c r="X683" s="12">
        <v>4.43</v>
      </c>
      <c r="Y683">
        <v>130</v>
      </c>
      <c r="Z6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4" spans="2:26" x14ac:dyDescent="0.35">
      <c r="B684">
        <f t="shared" si="163"/>
        <v>682</v>
      </c>
      <c r="C684" t="s">
        <v>214</v>
      </c>
      <c r="D684" t="s">
        <v>176</v>
      </c>
      <c r="E684">
        <f>IF(WEEKNUM(Combined[[#This Row],[Date]], 1) = 53, 1, WEEKNUM(Combined[[#This Row],[Date]], 2))</f>
        <v>18</v>
      </c>
      <c r="F684" t="str">
        <f t="shared" si="175"/>
        <v>Thursday</v>
      </c>
      <c r="G684" s="41">
        <v>45043</v>
      </c>
      <c r="H684">
        <v>1</v>
      </c>
      <c r="I684" s="1">
        <v>16.63</v>
      </c>
      <c r="J684" s="2">
        <v>2.4999999999999998E-2</v>
      </c>
      <c r="K684" s="12">
        <f>Combined[[#This Row],[Time Spent]]*24</f>
        <v>0.6</v>
      </c>
      <c r="L684" s="12">
        <f>MROUND(Combined[[#This Row],[Time Spent 2]],0.25)</f>
        <v>0.5</v>
      </c>
      <c r="M684" s="2" t="s">
        <v>91</v>
      </c>
      <c r="N684" t="s">
        <v>174</v>
      </c>
      <c r="O684">
        <f>MATCH(Combined[[#This Row],[Primary Area]],KPIs!$C$4:$C$7,0)</f>
        <v>1</v>
      </c>
      <c r="Q684" s="40">
        <v>45740</v>
      </c>
      <c r="R684" s="40">
        <f t="shared" si="165"/>
        <v>45740</v>
      </c>
      <c r="S684" s="4" t="str">
        <f>TEXT(Mileage[[#This Row],[Date]],"dddd")</f>
        <v>Monday</v>
      </c>
      <c r="T684" s="4" t="s">
        <v>234</v>
      </c>
      <c r="U684" s="4">
        <v>30</v>
      </c>
      <c r="V684" t="str" cm="1">
        <f t="array" ref="V684">IFERROR(VLOOKUP(MODE(IF(Combined[Date]=Mileage[[#This Row],[Date]],Combined[Area '#])),KPIs!$B$4:$C$7,2,FALSE),VLOOKUP(Mileage[[#This Row],[Date]],Combined[[Date]:[Primary Area]],8,FALSE))</f>
        <v>Lewiston</v>
      </c>
      <c r="W684" s="105">
        <v>0.72916666666666663</v>
      </c>
      <c r="X684" s="12">
        <v>5.08</v>
      </c>
      <c r="Y684">
        <v>73</v>
      </c>
      <c r="Z68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5" spans="2:26" x14ac:dyDescent="0.35">
      <c r="B685">
        <f t="shared" si="163"/>
        <v>683</v>
      </c>
      <c r="C685" t="s">
        <v>83</v>
      </c>
      <c r="D685" t="s">
        <v>176</v>
      </c>
      <c r="E685">
        <f>IF(WEEKNUM(Combined[[#This Row],[Date]], 1) = 53, 1, WEEKNUM(Combined[[#This Row],[Date]], 2))</f>
        <v>18</v>
      </c>
      <c r="F685" t="str">
        <f t="shared" ref="F685:F687" si="176">TEXT(WEEKDAY(G685,1),"DDDD")</f>
        <v>Friday</v>
      </c>
      <c r="G685" s="41">
        <v>45044</v>
      </c>
      <c r="H685">
        <v>2</v>
      </c>
      <c r="I685" s="1">
        <v>42.84</v>
      </c>
      <c r="J685" s="2">
        <v>8.0555555555555561E-2</v>
      </c>
      <c r="K685" s="12">
        <f>Combined[[#This Row],[Time Spent]]*24</f>
        <v>1.9333333333333336</v>
      </c>
      <c r="L685" s="12">
        <f>MROUND(Combined[[#This Row],[Time Spent 2]],0.25)</f>
        <v>2</v>
      </c>
      <c r="M685" s="2" t="s">
        <v>91</v>
      </c>
      <c r="N685" t="s">
        <v>80</v>
      </c>
      <c r="O685">
        <f>MATCH(Combined[[#This Row],[Primary Area]],KPIs!$C$4:$C$7,0)</f>
        <v>2</v>
      </c>
      <c r="Q685" s="40">
        <v>45741</v>
      </c>
      <c r="R685" s="40">
        <f t="shared" si="165"/>
        <v>45741</v>
      </c>
      <c r="S685" s="4" t="str">
        <f>TEXT(Mileage[[#This Row],[Date]],"dddd")</f>
        <v>Tuesday</v>
      </c>
      <c r="T685" s="4" t="s">
        <v>231</v>
      </c>
      <c r="U685" s="4">
        <v>43</v>
      </c>
      <c r="V685" t="str" cm="1">
        <f t="array" ref="V685">IFERROR(VLOOKUP(MODE(IF(Combined[Date]=Mileage[[#This Row],[Date]],Combined[Area '#])),KPIs!$B$4:$C$7,2,FALSE),VLOOKUP(Mileage[[#This Row],[Date]],Combined[[Date]:[Primary Area]],8,FALSE))</f>
        <v>Lewiston</v>
      </c>
      <c r="W685" s="105">
        <v>0.71875</v>
      </c>
      <c r="X685" s="12">
        <v>2.4500000000000002</v>
      </c>
      <c r="Y685">
        <v>59</v>
      </c>
      <c r="Z68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86" spans="2:26" x14ac:dyDescent="0.35">
      <c r="B686">
        <f t="shared" si="163"/>
        <v>684</v>
      </c>
      <c r="C686" t="s">
        <v>86</v>
      </c>
      <c r="D686" t="s">
        <v>176</v>
      </c>
      <c r="E686">
        <f>IF(WEEKNUM(Combined[[#This Row],[Date]], 1) = 53, 1, WEEKNUM(Combined[[#This Row],[Date]], 2))</f>
        <v>18</v>
      </c>
      <c r="F686" t="str">
        <f t="shared" si="176"/>
        <v>Friday</v>
      </c>
      <c r="G686" s="41">
        <v>45044</v>
      </c>
      <c r="H686">
        <v>6</v>
      </c>
      <c r="I686" s="1">
        <v>68.08</v>
      </c>
      <c r="J686" s="2">
        <v>0.1076388888888889</v>
      </c>
      <c r="K686" s="12">
        <f>Combined[[#This Row],[Time Spent]]*24</f>
        <v>2.5833333333333335</v>
      </c>
      <c r="L686" s="12">
        <f>MROUND(Combined[[#This Row],[Time Spent 2]],0.25)</f>
        <v>2.5</v>
      </c>
      <c r="M686" s="2" t="s">
        <v>91</v>
      </c>
      <c r="N686" t="s">
        <v>80</v>
      </c>
      <c r="O686">
        <f>MATCH(Combined[[#This Row],[Primary Area]],KPIs!$C$4:$C$7,0)</f>
        <v>2</v>
      </c>
      <c r="Q686" s="40">
        <v>45744</v>
      </c>
      <c r="R686" s="40">
        <f t="shared" si="165"/>
        <v>45744</v>
      </c>
      <c r="S686" s="4" t="str">
        <f>TEXT(Mileage[[#This Row],[Date]],"dddd")</f>
        <v>Friday</v>
      </c>
      <c r="T686" s="4" t="s">
        <v>249</v>
      </c>
      <c r="U686" s="4">
        <v>46</v>
      </c>
      <c r="V686" t="str" cm="1">
        <f t="array" ref="V686">IFERROR(VLOOKUP(MODE(IF(Combined[Date]=Mileage[[#This Row],[Date]],Combined[Area '#])),KPIs!$B$4:$C$7,2,FALSE),VLOOKUP(Mileage[[#This Row],[Date]],Combined[[Date]:[Primary Area]],8,FALSE))</f>
        <v>Lewiston</v>
      </c>
      <c r="W686" s="105">
        <v>0.72569444444444442</v>
      </c>
      <c r="X686" s="12">
        <v>3.98</v>
      </c>
      <c r="Y686">
        <v>68</v>
      </c>
      <c r="Z6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7" spans="2:26" x14ac:dyDescent="0.35">
      <c r="B687">
        <f t="shared" si="163"/>
        <v>685</v>
      </c>
      <c r="C687" t="s">
        <v>86</v>
      </c>
      <c r="D687" t="s">
        <v>176</v>
      </c>
      <c r="E687">
        <f>IF(WEEKNUM(Combined[[#This Row],[Date]], 1) = 53, 1, WEEKNUM(Combined[[#This Row],[Date]], 2))</f>
        <v>18</v>
      </c>
      <c r="F687" t="str">
        <f t="shared" si="176"/>
        <v>Friday</v>
      </c>
      <c r="G687" s="41">
        <v>45044</v>
      </c>
      <c r="H687">
        <v>1</v>
      </c>
      <c r="I687" s="1">
        <v>5.5</v>
      </c>
      <c r="J687" s="2">
        <v>4.5833333333333337E-2</v>
      </c>
      <c r="K687" s="12">
        <f>Combined[[#This Row],[Time Spent]]*24</f>
        <v>1.1000000000000001</v>
      </c>
      <c r="L687" s="12">
        <f>MROUND(Combined[[#This Row],[Time Spent 2]],0.25)</f>
        <v>1</v>
      </c>
      <c r="M687" s="2" t="s">
        <v>92</v>
      </c>
      <c r="N687" t="s">
        <v>80</v>
      </c>
      <c r="O687">
        <f>MATCH(Combined[[#This Row],[Primary Area]],KPIs!$C$4:$C$7,0)</f>
        <v>2</v>
      </c>
      <c r="Q687" s="40">
        <v>45746</v>
      </c>
      <c r="R687" s="40">
        <f t="shared" si="165"/>
        <v>45746</v>
      </c>
      <c r="S687" s="4" t="str">
        <f>TEXT(Mileage[[#This Row],[Date]],"dddd")</f>
        <v>Sunday</v>
      </c>
      <c r="T687" s="4" t="s">
        <v>233</v>
      </c>
      <c r="U687" s="4">
        <v>34</v>
      </c>
      <c r="V687" t="str" cm="1">
        <f t="array" ref="V687">IFERROR(VLOOKUP(MODE(IF(Combined[Date]=Mileage[[#This Row],[Date]],Combined[Area '#])),KPIs!$B$4:$C$7,2,FALSE),VLOOKUP(Mileage[[#This Row],[Date]],Combined[[Date]:[Primary Area]],8,FALSE))</f>
        <v>Brunswick/Bath/Freeport</v>
      </c>
      <c r="W687" s="105">
        <v>0.71875</v>
      </c>
      <c r="X687" s="12">
        <v>6.28</v>
      </c>
      <c r="Y687">
        <v>115</v>
      </c>
      <c r="Z68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8" spans="2:26" x14ac:dyDescent="0.35">
      <c r="B688">
        <f t="shared" si="163"/>
        <v>686</v>
      </c>
      <c r="C688" t="s">
        <v>83</v>
      </c>
      <c r="D688" t="s">
        <v>176</v>
      </c>
      <c r="E688">
        <f>IF(WEEKNUM(Combined[[#This Row],[Date]], 1) = 53, 1, WEEKNUM(Combined[[#This Row],[Date]], 2))</f>
        <v>18</v>
      </c>
      <c r="F688" t="str">
        <f t="shared" ref="F688:F689" si="177">TEXT(WEEKDAY(G688,1),"DDDD")</f>
        <v>Saturday</v>
      </c>
      <c r="G688" s="41">
        <v>45045</v>
      </c>
      <c r="H688">
        <v>2</v>
      </c>
      <c r="I688" s="1">
        <v>27.67</v>
      </c>
      <c r="J688" s="2">
        <v>3.1944444444444449E-2</v>
      </c>
      <c r="K688" s="12">
        <f>Combined[[#This Row],[Time Spent]]*24</f>
        <v>0.76666666666666683</v>
      </c>
      <c r="L688" s="12">
        <f>MROUND(Combined[[#This Row],[Time Spent 2]],0.25)</f>
        <v>0.75</v>
      </c>
      <c r="M688" s="2" t="s">
        <v>91</v>
      </c>
      <c r="N688" t="s">
        <v>80</v>
      </c>
      <c r="O688">
        <f>MATCH(Combined[[#This Row],[Primary Area]],KPIs!$C$4:$C$7,0)</f>
        <v>2</v>
      </c>
      <c r="Q688" s="40">
        <v>45754</v>
      </c>
      <c r="R688" s="40">
        <f t="shared" si="165"/>
        <v>45754</v>
      </c>
      <c r="S688" s="4" t="str">
        <f>TEXT(Mileage[[#This Row],[Date]],"dddd")</f>
        <v>Monday</v>
      </c>
      <c r="T688" s="4" t="s">
        <v>285</v>
      </c>
      <c r="U688" s="4">
        <v>39</v>
      </c>
      <c r="V688" t="str" cm="1">
        <f t="array" ref="V688">IFERROR(VLOOKUP(MODE(IF(Combined[Date]=Mileage[[#This Row],[Date]],Combined[Area '#])),KPIs!$B$4:$C$7,2,FALSE),VLOOKUP(Mileage[[#This Row],[Date]],Combined[[Date]:[Primary Area]],8,FALSE))</f>
        <v>Brunswick/Bath/Freeport</v>
      </c>
      <c r="W688" s="105">
        <v>0.71527777777777779</v>
      </c>
      <c r="X688" s="12">
        <v>4.92</v>
      </c>
      <c r="Y688">
        <v>105</v>
      </c>
      <c r="Z68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89" spans="2:26" x14ac:dyDescent="0.35">
      <c r="B689">
        <f t="shared" si="163"/>
        <v>687</v>
      </c>
      <c r="C689" t="s">
        <v>86</v>
      </c>
      <c r="D689" t="s">
        <v>176</v>
      </c>
      <c r="E689">
        <f>IF(WEEKNUM(Combined[[#This Row],[Date]], 1) = 53, 1, WEEKNUM(Combined[[#This Row],[Date]], 2))</f>
        <v>18</v>
      </c>
      <c r="F689" t="str">
        <f t="shared" si="177"/>
        <v>Saturday</v>
      </c>
      <c r="G689" s="41">
        <v>45045</v>
      </c>
      <c r="H689">
        <v>1</v>
      </c>
      <c r="I689" s="1">
        <v>10</v>
      </c>
      <c r="J689" s="2">
        <v>5.9027777777777783E-2</v>
      </c>
      <c r="K689" s="12">
        <f>Combined[[#This Row],[Time Spent]]*24</f>
        <v>1.4166666666666667</v>
      </c>
      <c r="L689" s="12">
        <f>MROUND(Combined[[#This Row],[Time Spent 2]],0.25)</f>
        <v>1.5</v>
      </c>
      <c r="M689" s="2" t="s">
        <v>91</v>
      </c>
      <c r="N689" t="s">
        <v>80</v>
      </c>
      <c r="O689">
        <f>MATCH(Combined[[#This Row],[Primary Area]],KPIs!$C$4:$C$7,0)</f>
        <v>2</v>
      </c>
      <c r="Q689" s="40">
        <v>45755</v>
      </c>
      <c r="R689" s="40">
        <f t="shared" si="165"/>
        <v>45755</v>
      </c>
      <c r="S689" s="4" t="str">
        <f>TEXT(Mileage[[#This Row],[Date]],"dddd")</f>
        <v>Tuesday</v>
      </c>
      <c r="T689" s="4" t="s">
        <v>232</v>
      </c>
      <c r="U689" s="4">
        <v>34</v>
      </c>
      <c r="V689" t="str" cm="1">
        <f t="array" ref="V689">IFERROR(VLOOKUP(MODE(IF(Combined[Date]=Mileage[[#This Row],[Date]],Combined[Area '#])),KPIs!$B$4:$C$7,2,FALSE),VLOOKUP(Mileage[[#This Row],[Date]],Combined[[Date]:[Primary Area]],8,FALSE))</f>
        <v>Augusta</v>
      </c>
      <c r="W689" s="105">
        <v>0.75694444444444442</v>
      </c>
      <c r="X689" s="12">
        <v>5.57</v>
      </c>
      <c r="Y689">
        <v>119</v>
      </c>
      <c r="Z68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90" spans="2:26" x14ac:dyDescent="0.35">
      <c r="B690">
        <f t="shared" si="163"/>
        <v>688</v>
      </c>
      <c r="C690" t="s">
        <v>83</v>
      </c>
      <c r="D690" t="s">
        <v>176</v>
      </c>
      <c r="E690">
        <f>IF(WEEKNUM(Combined[[#This Row],[Date]], 1) = 53, 1, WEEKNUM(Combined[[#This Row],[Date]], 2))</f>
        <v>18</v>
      </c>
      <c r="F690" t="str">
        <f t="shared" ref="F690:F692" si="178">TEXT(WEEKDAY(G690,1),"DDDD")</f>
        <v>Sunday</v>
      </c>
      <c r="G690" s="41">
        <v>45046</v>
      </c>
      <c r="H690">
        <v>1</v>
      </c>
      <c r="I690" s="1">
        <v>10.029999999999999</v>
      </c>
      <c r="J690" s="2">
        <v>7.4999999999999997E-2</v>
      </c>
      <c r="K690" s="12">
        <f>Combined[[#This Row],[Time Spent]]*24</f>
        <v>1.7999999999999998</v>
      </c>
      <c r="L690" s="12">
        <f>MROUND(Combined[[#This Row],[Time Spent 2]],0.25)</f>
        <v>1.75</v>
      </c>
      <c r="M690" s="2" t="s">
        <v>91</v>
      </c>
      <c r="N690" t="s">
        <v>174</v>
      </c>
      <c r="O690">
        <f>MATCH(Combined[[#This Row],[Primary Area]],KPIs!$C$4:$C$7,0)</f>
        <v>1</v>
      </c>
      <c r="Q690" s="40">
        <v>45758</v>
      </c>
      <c r="R690" s="40">
        <f t="shared" si="165"/>
        <v>45758</v>
      </c>
      <c r="S690" s="4" t="str">
        <f>TEXT(Mileage[[#This Row],[Date]],"dddd")</f>
        <v>Friday</v>
      </c>
      <c r="T690" s="4" t="s">
        <v>231</v>
      </c>
      <c r="U690" s="4">
        <v>43</v>
      </c>
      <c r="V690" t="str" cm="1">
        <f t="array" ref="V690">IFERROR(VLOOKUP(MODE(IF(Combined[Date]=Mileage[[#This Row],[Date]],Combined[Area '#])),KPIs!$B$4:$C$7,2,FALSE),VLOOKUP(Mileage[[#This Row],[Date]],Combined[[Date]:[Primary Area]],8,FALSE))</f>
        <v>Augusta</v>
      </c>
      <c r="W690" s="105">
        <v>0.71875</v>
      </c>
      <c r="X690" s="12">
        <v>3.5</v>
      </c>
      <c r="Y690">
        <v>104</v>
      </c>
      <c r="Z6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1" spans="2:26" x14ac:dyDescent="0.35">
      <c r="B691">
        <f t="shared" si="163"/>
        <v>689</v>
      </c>
      <c r="C691" t="s">
        <v>86</v>
      </c>
      <c r="D691" t="s">
        <v>176</v>
      </c>
      <c r="E691">
        <f>IF(WEEKNUM(Combined[[#This Row],[Date]], 1) = 53, 1, WEEKNUM(Combined[[#This Row],[Date]], 2))</f>
        <v>18</v>
      </c>
      <c r="F691" t="str">
        <f t="shared" si="178"/>
        <v>Sunday</v>
      </c>
      <c r="G691" s="41">
        <v>45046</v>
      </c>
      <c r="H691">
        <v>6</v>
      </c>
      <c r="I691" s="1">
        <v>50.75</v>
      </c>
      <c r="J691" s="2">
        <v>0.1451388888888889</v>
      </c>
      <c r="K691" s="12">
        <f>Combined[[#This Row],[Time Spent]]*24</f>
        <v>3.4833333333333334</v>
      </c>
      <c r="L691" s="12">
        <f>MROUND(Combined[[#This Row],[Time Spent 2]],0.25)</f>
        <v>3.5</v>
      </c>
      <c r="M691" s="2" t="s">
        <v>91</v>
      </c>
      <c r="N691" t="s">
        <v>174</v>
      </c>
      <c r="O691">
        <f>MATCH(Combined[[#This Row],[Primary Area]],KPIs!$C$4:$C$7,0)</f>
        <v>1</v>
      </c>
      <c r="Q691" s="40">
        <v>45759</v>
      </c>
      <c r="R691" s="40">
        <f t="shared" si="165"/>
        <v>45759</v>
      </c>
      <c r="S691" s="4" t="str">
        <f>TEXT(Mileage[[#This Row],[Date]],"dddd")</f>
        <v>Saturday</v>
      </c>
      <c r="T691" s="4" t="s">
        <v>249</v>
      </c>
      <c r="U691" s="4">
        <v>37</v>
      </c>
      <c r="V691" t="str" cm="1">
        <f t="array" ref="V691">IFERROR(VLOOKUP(MODE(IF(Combined[Date]=Mileage[[#This Row],[Date]],Combined[Area '#])),KPIs!$B$4:$C$7,2,FALSE),VLOOKUP(Mileage[[#This Row],[Date]],Combined[[Date]:[Primary Area]],8,FALSE))</f>
        <v>Augusta</v>
      </c>
      <c r="W691" s="105">
        <v>0.77083333333333337</v>
      </c>
      <c r="X691" s="12">
        <v>5.0199999999999996</v>
      </c>
      <c r="Y691">
        <v>101</v>
      </c>
      <c r="Z69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2" spans="2:26" x14ac:dyDescent="0.35">
      <c r="B692">
        <f t="shared" si="163"/>
        <v>690</v>
      </c>
      <c r="C692" t="s">
        <v>86</v>
      </c>
      <c r="D692" t="s">
        <v>176</v>
      </c>
      <c r="E692">
        <f>IF(WEEKNUM(Combined[[#This Row],[Date]], 1) = 53, 1, WEEKNUM(Combined[[#This Row],[Date]], 2))</f>
        <v>18</v>
      </c>
      <c r="F692" t="str">
        <f t="shared" si="178"/>
        <v>Sunday</v>
      </c>
      <c r="G692" s="41">
        <v>45046</v>
      </c>
      <c r="H692">
        <v>1</v>
      </c>
      <c r="I692" s="1">
        <v>7</v>
      </c>
      <c r="J692" s="2">
        <v>2.7777777777777776E-2</v>
      </c>
      <c r="K692" s="12">
        <f>Combined[[#This Row],[Time Spent]]*24</f>
        <v>0.66666666666666663</v>
      </c>
      <c r="L692" s="12">
        <f>MROUND(Combined[[#This Row],[Time Spent 2]],0.25)</f>
        <v>0.75</v>
      </c>
      <c r="M692" s="2" t="s">
        <v>92</v>
      </c>
      <c r="N692" t="s">
        <v>174</v>
      </c>
      <c r="O692">
        <f>MATCH(Combined[[#This Row],[Primary Area]],KPIs!$C$4:$C$7,0)</f>
        <v>1</v>
      </c>
      <c r="Q692" s="40">
        <v>45761</v>
      </c>
      <c r="R692" s="40">
        <f t="shared" si="165"/>
        <v>45761</v>
      </c>
      <c r="S692" s="4" t="str">
        <f>TEXT(Mileage[[#This Row],[Date]],"dddd")</f>
        <v>Monday</v>
      </c>
      <c r="T692" s="4" t="s">
        <v>230</v>
      </c>
      <c r="U692" s="4">
        <v>57</v>
      </c>
      <c r="V692" t="str" cm="1">
        <f t="array" ref="V692">IFERROR(VLOOKUP(MODE(IF(Combined[Date]=Mileage[[#This Row],[Date]],Combined[Area '#])),KPIs!$B$4:$C$7,2,FALSE),VLOOKUP(Mileage[[#This Row],[Date]],Combined[[Date]:[Primary Area]],8,FALSE))</f>
        <v>Brunswick/Bath/Freeport</v>
      </c>
      <c r="W692" s="105">
        <v>0.73958333333333337</v>
      </c>
      <c r="X692" s="12">
        <v>4.9800000000000004</v>
      </c>
      <c r="Y692">
        <v>135</v>
      </c>
      <c r="Z69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93" spans="2:26" x14ac:dyDescent="0.35">
      <c r="B693">
        <f t="shared" si="163"/>
        <v>691</v>
      </c>
      <c r="C693" t="s">
        <v>83</v>
      </c>
      <c r="D693" t="s">
        <v>176</v>
      </c>
      <c r="E693">
        <f>IF(WEEKNUM(Combined[[#This Row],[Date]], 1) = 53, 1, WEEKNUM(Combined[[#This Row],[Date]], 2))</f>
        <v>19</v>
      </c>
      <c r="F693" t="str">
        <f t="shared" ref="F693:F694" si="179">TEXT(WEEKDAY(G693,1),"DDDD")</f>
        <v>Tuesday</v>
      </c>
      <c r="G693" s="41">
        <v>45048</v>
      </c>
      <c r="H693">
        <v>1</v>
      </c>
      <c r="I693" s="1">
        <v>7.07</v>
      </c>
      <c r="J693" s="2">
        <v>8.3333333333333329E-2</v>
      </c>
      <c r="K693" s="12">
        <f>Combined[[#This Row],[Time Spent]]*24</f>
        <v>2</v>
      </c>
      <c r="L693" s="12">
        <f>MROUND(Combined[[#This Row],[Time Spent 2]],0.25)</f>
        <v>2</v>
      </c>
      <c r="M693" s="2" t="s">
        <v>91</v>
      </c>
      <c r="N693" t="s">
        <v>174</v>
      </c>
      <c r="O693">
        <f>MATCH(Combined[[#This Row],[Primary Area]],KPIs!$C$4:$C$7,0)</f>
        <v>1</v>
      </c>
      <c r="Q693" s="40">
        <v>45763</v>
      </c>
      <c r="R693" s="40">
        <f t="shared" si="165"/>
        <v>45763</v>
      </c>
      <c r="S693" s="4" t="str">
        <f>TEXT(Mileage[[#This Row],[Date]],"dddd")</f>
        <v>Wednesday</v>
      </c>
      <c r="T693" s="4" t="s">
        <v>249</v>
      </c>
      <c r="U693" s="4">
        <v>43</v>
      </c>
      <c r="V693" t="str" cm="1">
        <f t="array" ref="V693">IFERROR(VLOOKUP(MODE(IF(Combined[Date]=Mileage[[#This Row],[Date]],Combined[Area '#])),KPIs!$B$4:$C$7,2,FALSE),VLOOKUP(Mileage[[#This Row],[Date]],Combined[[Date]:[Primary Area]],8,FALSE))</f>
        <v>Lewiston</v>
      </c>
      <c r="W693" s="105">
        <v>0.73263888888888884</v>
      </c>
      <c r="X693" s="12">
        <v>5.28</v>
      </c>
      <c r="Y693">
        <v>108</v>
      </c>
      <c r="Z69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4" spans="2:26" x14ac:dyDescent="0.35">
      <c r="B694">
        <f t="shared" si="163"/>
        <v>692</v>
      </c>
      <c r="C694" t="s">
        <v>86</v>
      </c>
      <c r="D694" t="s">
        <v>176</v>
      </c>
      <c r="E694">
        <f>IF(WEEKNUM(Combined[[#This Row],[Date]], 1) = 53, 1, WEEKNUM(Combined[[#This Row],[Date]], 2))</f>
        <v>19</v>
      </c>
      <c r="F694" t="str">
        <f t="shared" si="179"/>
        <v>Tuesday</v>
      </c>
      <c r="G694" s="41">
        <v>45048</v>
      </c>
      <c r="H694">
        <v>8</v>
      </c>
      <c r="I694" s="1">
        <v>73.75</v>
      </c>
      <c r="J694" s="2">
        <v>0.21111111111111111</v>
      </c>
      <c r="K694" s="12">
        <f>Combined[[#This Row],[Time Spent]]*24</f>
        <v>5.0666666666666664</v>
      </c>
      <c r="L694" s="12">
        <f>MROUND(Combined[[#This Row],[Time Spent 2]],0.25)</f>
        <v>5</v>
      </c>
      <c r="M694" s="2" t="s">
        <v>91</v>
      </c>
      <c r="N694" t="s">
        <v>174</v>
      </c>
      <c r="O694">
        <f>MATCH(Combined[[#This Row],[Primary Area]],KPIs!$C$4:$C$7,0)</f>
        <v>1</v>
      </c>
      <c r="Q694" s="40">
        <v>45764</v>
      </c>
      <c r="R694" s="40">
        <f t="shared" si="165"/>
        <v>45764</v>
      </c>
      <c r="S694" s="4" t="str">
        <f>TEXT(Mileage[[#This Row],[Date]],"dddd")</f>
        <v>Thursday</v>
      </c>
      <c r="T694" s="4" t="s">
        <v>230</v>
      </c>
      <c r="U694" s="4">
        <v>52</v>
      </c>
      <c r="V694" t="str" cm="1">
        <f t="array" ref="V694">IFERROR(VLOOKUP(MODE(IF(Combined[Date]=Mileage[[#This Row],[Date]],Combined[Area '#])),KPIs!$B$4:$C$7,2,FALSE),VLOOKUP(Mileage[[#This Row],[Date]],Combined[[Date]:[Primary Area]],8,FALSE))</f>
        <v>Lewiston</v>
      </c>
      <c r="W694" s="105">
        <v>0.78472222222222221</v>
      </c>
      <c r="X694" s="12">
        <v>3.93</v>
      </c>
      <c r="Y694">
        <v>81</v>
      </c>
      <c r="Z6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5" spans="2:26" x14ac:dyDescent="0.35">
      <c r="B695">
        <f t="shared" si="163"/>
        <v>693</v>
      </c>
      <c r="C695" t="s">
        <v>83</v>
      </c>
      <c r="D695" t="s">
        <v>176</v>
      </c>
      <c r="E695">
        <f>IF(WEEKNUM(Combined[[#This Row],[Date]], 1) = 53, 1, WEEKNUM(Combined[[#This Row],[Date]], 2))</f>
        <v>19</v>
      </c>
      <c r="F695" t="str">
        <f t="shared" ref="F695:F697" si="180">TEXT(WEEKDAY(G695,1),"DDDD")</f>
        <v>Wednesday</v>
      </c>
      <c r="G695" s="41">
        <v>45049</v>
      </c>
      <c r="H695">
        <v>6</v>
      </c>
      <c r="I695" s="1">
        <v>43.45</v>
      </c>
      <c r="J695" s="2">
        <v>0.13958333333333334</v>
      </c>
      <c r="K695" s="12">
        <f>Combined[[#This Row],[Time Spent]]*24</f>
        <v>3.35</v>
      </c>
      <c r="L695" s="12">
        <f>MROUND(Combined[[#This Row],[Time Spent 2]],0.25)</f>
        <v>3.25</v>
      </c>
      <c r="M695" s="2" t="s">
        <v>91</v>
      </c>
      <c r="N695" t="s">
        <v>85</v>
      </c>
      <c r="O695">
        <f>MATCH(Combined[[#This Row],[Primary Area]],KPIs!$C$4:$C$7,0)</f>
        <v>4</v>
      </c>
      <c r="Q695" s="40">
        <v>45768</v>
      </c>
      <c r="R695" s="40">
        <f t="shared" si="165"/>
        <v>45768</v>
      </c>
      <c r="S695" s="4" t="str">
        <f>TEXT(Mileage[[#This Row],[Date]],"dddd")</f>
        <v>Monday</v>
      </c>
      <c r="T695" s="4" t="s">
        <v>325</v>
      </c>
      <c r="U695" s="4">
        <v>48</v>
      </c>
      <c r="V695" t="str" cm="1">
        <f t="array" ref="V695">IFERROR(VLOOKUP(MODE(IF(Combined[Date]=Mileage[[#This Row],[Date]],Combined[Area '#])),KPIs!$B$4:$C$7,2,FALSE),VLOOKUP(Mileage[[#This Row],[Date]],Combined[[Date]:[Primary Area]],8,FALSE))</f>
        <v>Brunswick/Bath/Freeport</v>
      </c>
      <c r="W695" s="105">
        <v>0.75</v>
      </c>
      <c r="X695" s="12">
        <v>4.7</v>
      </c>
      <c r="Y695">
        <v>137</v>
      </c>
      <c r="Z69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6" spans="2:26" x14ac:dyDescent="0.35">
      <c r="B696">
        <f t="shared" si="163"/>
        <v>694</v>
      </c>
      <c r="C696" t="s">
        <v>86</v>
      </c>
      <c r="D696" t="s">
        <v>176</v>
      </c>
      <c r="E696">
        <f>IF(WEEKNUM(Combined[[#This Row],[Date]], 1) = 53, 1, WEEKNUM(Combined[[#This Row],[Date]], 2))</f>
        <v>19</v>
      </c>
      <c r="F696" t="str">
        <f t="shared" si="180"/>
        <v>Wednesday</v>
      </c>
      <c r="G696" s="41">
        <v>45049</v>
      </c>
      <c r="H696">
        <v>2</v>
      </c>
      <c r="I696" s="1">
        <v>11.37</v>
      </c>
      <c r="J696" s="2">
        <v>7.9166666666666663E-2</v>
      </c>
      <c r="K696" s="12">
        <f>Combined[[#This Row],[Time Spent]]*24</f>
        <v>1.9</v>
      </c>
      <c r="L696" s="12">
        <f>MROUND(Combined[[#This Row],[Time Spent 2]],0.25)</f>
        <v>2</v>
      </c>
      <c r="M696" s="2" t="s">
        <v>91</v>
      </c>
      <c r="N696" t="s">
        <v>85</v>
      </c>
      <c r="O696">
        <f>MATCH(Combined[[#This Row],[Primary Area]],KPIs!$C$4:$C$7,0)</f>
        <v>4</v>
      </c>
      <c r="Q696" s="40">
        <v>45769</v>
      </c>
      <c r="R696" s="40">
        <f t="shared" si="165"/>
        <v>45769</v>
      </c>
      <c r="S696" s="4" t="str">
        <f>TEXT(Mileage[[#This Row],[Date]],"dddd")</f>
        <v>Tuesday</v>
      </c>
      <c r="T696" s="4" t="s">
        <v>231</v>
      </c>
      <c r="U696" s="4">
        <v>61</v>
      </c>
      <c r="V696" t="str" cm="1">
        <f t="array" ref="V696">IFERROR(VLOOKUP(MODE(IF(Combined[Date]=Mileage[[#This Row],[Date]],Combined[Area '#])),KPIs!$B$4:$C$7,2,FALSE),VLOOKUP(Mileage[[#This Row],[Date]],Combined[[Date]:[Primary Area]],8,FALSE))</f>
        <v>Lewiston</v>
      </c>
      <c r="W696" s="105">
        <v>0.80902777777777779</v>
      </c>
      <c r="X696" s="12">
        <v>4.0999999999999996</v>
      </c>
      <c r="Y696">
        <v>94</v>
      </c>
      <c r="Z6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7" spans="2:26" x14ac:dyDescent="0.35">
      <c r="B697">
        <f t="shared" si="163"/>
        <v>695</v>
      </c>
      <c r="C697" t="s">
        <v>86</v>
      </c>
      <c r="D697" t="s">
        <v>176</v>
      </c>
      <c r="E697">
        <f>IF(WEEKNUM(Combined[[#This Row],[Date]], 1) = 53, 1, WEEKNUM(Combined[[#This Row],[Date]], 2))</f>
        <v>19</v>
      </c>
      <c r="F697" t="str">
        <f t="shared" si="180"/>
        <v>Wednesday</v>
      </c>
      <c r="G697" s="41">
        <v>45049</v>
      </c>
      <c r="H697">
        <v>8</v>
      </c>
      <c r="I697" s="1">
        <v>54.5</v>
      </c>
      <c r="J697" s="2">
        <v>0.15069444444444444</v>
      </c>
      <c r="K697" s="12">
        <f>Combined[[#This Row],[Time Spent]]*24</f>
        <v>3.6166666666666663</v>
      </c>
      <c r="L697" s="12">
        <f>MROUND(Combined[[#This Row],[Time Spent 2]],0.25)</f>
        <v>3.5</v>
      </c>
      <c r="M697" s="2" t="s">
        <v>92</v>
      </c>
      <c r="N697" t="s">
        <v>85</v>
      </c>
      <c r="O697">
        <f>MATCH(Combined[[#This Row],[Primary Area]],KPIs!$C$4:$C$7,0)</f>
        <v>4</v>
      </c>
      <c r="Q697" s="40">
        <v>45770</v>
      </c>
      <c r="R697" s="40">
        <f t="shared" si="165"/>
        <v>45770</v>
      </c>
      <c r="S697" s="4" t="str">
        <f>TEXT(Mileage[[#This Row],[Date]],"dddd")</f>
        <v>Wednesday</v>
      </c>
      <c r="T697" s="4" t="s">
        <v>230</v>
      </c>
      <c r="U697" s="4">
        <v>61</v>
      </c>
      <c r="V697" t="str" cm="1">
        <f t="array" ref="V697">IFERROR(VLOOKUP(MODE(IF(Combined[Date]=Mileage[[#This Row],[Date]],Combined[Area '#])),KPIs!$B$4:$C$7,2,FALSE),VLOOKUP(Mileage[[#This Row],[Date]],Combined[[Date]:[Primary Area]],8,FALSE))</f>
        <v>Brunswick/Bath/Freeport</v>
      </c>
      <c r="W697" s="105">
        <v>0.75</v>
      </c>
      <c r="X697" s="12">
        <v>5.33</v>
      </c>
      <c r="Y697">
        <v>144</v>
      </c>
      <c r="Z6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698" spans="2:26" x14ac:dyDescent="0.35">
      <c r="B698">
        <f t="shared" si="163"/>
        <v>696</v>
      </c>
      <c r="C698" t="s">
        <v>83</v>
      </c>
      <c r="D698" t="s">
        <v>176</v>
      </c>
      <c r="E698">
        <f>IF(WEEKNUM(Combined[[#This Row],[Date]], 1) = 53, 1, WEEKNUM(Combined[[#This Row],[Date]], 2))</f>
        <v>19</v>
      </c>
      <c r="F698" t="str">
        <f t="shared" ref="F698:F699" si="181">TEXT(WEEKDAY(G698,1),"DDDD")</f>
        <v>Thursday</v>
      </c>
      <c r="G698" s="41">
        <v>45050</v>
      </c>
      <c r="H698">
        <v>1</v>
      </c>
      <c r="I698" s="1">
        <v>10.7</v>
      </c>
      <c r="J698" s="2">
        <v>7.4305555555555555E-2</v>
      </c>
      <c r="K698" s="12">
        <f>Combined[[#This Row],[Time Spent]]*24</f>
        <v>1.7833333333333332</v>
      </c>
      <c r="L698" s="12">
        <f>MROUND(Combined[[#This Row],[Time Spent 2]],0.25)</f>
        <v>1.75</v>
      </c>
      <c r="M698" s="2" t="s">
        <v>91</v>
      </c>
      <c r="N698" t="s">
        <v>80</v>
      </c>
      <c r="O698">
        <f>MATCH(Combined[[#This Row],[Primary Area]],KPIs!$C$4:$C$7,0)</f>
        <v>2</v>
      </c>
      <c r="Q698" s="40">
        <v>45772</v>
      </c>
      <c r="R698" s="40">
        <f t="shared" si="165"/>
        <v>45772</v>
      </c>
      <c r="S698" s="4" t="str">
        <f>TEXT(Mileage[[#This Row],[Date]],"dddd")</f>
        <v>Friday</v>
      </c>
      <c r="T698" s="4" t="s">
        <v>325</v>
      </c>
      <c r="U698" s="4">
        <v>57</v>
      </c>
      <c r="V698" t="str" cm="1">
        <f t="array" ref="V698">IFERROR(VLOOKUP(MODE(IF(Combined[Date]=Mileage[[#This Row],[Date]],Combined[Area '#])),KPIs!$B$4:$C$7,2,FALSE),VLOOKUP(Mileage[[#This Row],[Date]],Combined[[Date]:[Primary Area]],8,FALSE))</f>
        <v>Lewiston</v>
      </c>
      <c r="W698" s="105">
        <v>0.74652777777777779</v>
      </c>
      <c r="X698" s="12">
        <v>4.5199999999999996</v>
      </c>
      <c r="Y698">
        <v>59</v>
      </c>
      <c r="Z6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699" spans="2:26" x14ac:dyDescent="0.35">
      <c r="B699">
        <f t="shared" si="163"/>
        <v>697</v>
      </c>
      <c r="C699" t="s">
        <v>86</v>
      </c>
      <c r="D699" t="s">
        <v>176</v>
      </c>
      <c r="E699">
        <f>IF(WEEKNUM(Combined[[#This Row],[Date]], 1) = 53, 1, WEEKNUM(Combined[[#This Row],[Date]], 2))</f>
        <v>19</v>
      </c>
      <c r="F699" t="str">
        <f t="shared" si="181"/>
        <v>Thursday</v>
      </c>
      <c r="G699" s="41">
        <v>45050</v>
      </c>
      <c r="H699">
        <v>7</v>
      </c>
      <c r="I699" s="1">
        <v>58.59</v>
      </c>
      <c r="J699" s="2">
        <v>0.15486111111111112</v>
      </c>
      <c r="K699" s="12">
        <f>Combined[[#This Row],[Time Spent]]*24</f>
        <v>3.7166666666666668</v>
      </c>
      <c r="L699" s="12">
        <f>MROUND(Combined[[#This Row],[Time Spent 2]],0.25)</f>
        <v>3.75</v>
      </c>
      <c r="M699" s="2" t="s">
        <v>91</v>
      </c>
      <c r="N699" t="s">
        <v>80</v>
      </c>
      <c r="O699">
        <f>MATCH(Combined[[#This Row],[Primary Area]],KPIs!$C$4:$C$7,0)</f>
        <v>2</v>
      </c>
      <c r="Q699" s="40">
        <v>45773</v>
      </c>
      <c r="R699" s="40">
        <f t="shared" si="165"/>
        <v>45773</v>
      </c>
      <c r="S699" s="4" t="str">
        <f>TEXT(Mileage[[#This Row],[Date]],"dddd")</f>
        <v>Saturday</v>
      </c>
      <c r="T699" s="4" t="s">
        <v>325</v>
      </c>
      <c r="U699" s="4">
        <v>55</v>
      </c>
      <c r="V699" t="str" cm="1">
        <f t="array" ref="V699">IFERROR(VLOOKUP(MODE(IF(Combined[Date]=Mileage[[#This Row],[Date]],Combined[Area '#])),KPIs!$B$4:$C$7,2,FALSE),VLOOKUP(Mileage[[#This Row],[Date]],Combined[[Date]:[Primary Area]],8,FALSE))</f>
        <v>Augusta</v>
      </c>
      <c r="W699" s="105">
        <v>0.65277777777777779</v>
      </c>
      <c r="X699" s="12">
        <v>4.5999999999999996</v>
      </c>
      <c r="Y699">
        <v>115</v>
      </c>
      <c r="Z69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0" spans="2:26" x14ac:dyDescent="0.35">
      <c r="B700">
        <f t="shared" si="163"/>
        <v>698</v>
      </c>
      <c r="C700" t="s">
        <v>83</v>
      </c>
      <c r="D700" t="s">
        <v>176</v>
      </c>
      <c r="E700">
        <f>IF(WEEKNUM(Combined[[#This Row],[Date]], 1) = 53, 1, WEEKNUM(Combined[[#This Row],[Date]], 2))</f>
        <v>19</v>
      </c>
      <c r="F700" t="str">
        <f t="shared" ref="F700:F701" si="182">TEXT(WEEKDAY(G700,1),"DDDD")</f>
        <v>Friday</v>
      </c>
      <c r="G700" s="41">
        <v>45051</v>
      </c>
      <c r="H700">
        <v>8</v>
      </c>
      <c r="I700" s="1">
        <v>93.94</v>
      </c>
      <c r="J700" s="2">
        <v>0.22847222222222222</v>
      </c>
      <c r="K700" s="12">
        <f>Combined[[#This Row],[Time Spent]]*24</f>
        <v>5.4833333333333334</v>
      </c>
      <c r="L700" s="12">
        <f>MROUND(Combined[[#This Row],[Time Spent 2]],0.25)</f>
        <v>5.5</v>
      </c>
      <c r="M700" s="2" t="s">
        <v>91</v>
      </c>
      <c r="N700" t="s">
        <v>85</v>
      </c>
      <c r="O700">
        <f>MATCH(Combined[[#This Row],[Primary Area]],KPIs!$C$4:$C$7,0)</f>
        <v>4</v>
      </c>
      <c r="Q700" s="40">
        <v>45774</v>
      </c>
      <c r="R700" s="40">
        <f t="shared" si="165"/>
        <v>45774</v>
      </c>
      <c r="S700" s="4" t="str">
        <f>TEXT(Mileage[[#This Row],[Date]],"dddd")</f>
        <v>Sunday</v>
      </c>
      <c r="T700" s="4" t="s">
        <v>325</v>
      </c>
      <c r="U700" s="4">
        <v>43</v>
      </c>
      <c r="V700" t="str" cm="1">
        <f t="array" ref="V700">IFERROR(VLOOKUP(MODE(IF(Combined[Date]=Mileage[[#This Row],[Date]],Combined[Area '#])),KPIs!$B$4:$C$7,2,FALSE),VLOOKUP(Mileage[[#This Row],[Date]],Combined[[Date]:[Primary Area]],8,FALSE))</f>
        <v>Augusta</v>
      </c>
      <c r="W700" s="105">
        <v>0.64930555555555558</v>
      </c>
      <c r="X700" s="12">
        <v>4.5999999999999996</v>
      </c>
      <c r="Y700">
        <v>108</v>
      </c>
      <c r="Z70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1" spans="2:26" x14ac:dyDescent="0.35">
      <c r="B701">
        <f t="shared" si="163"/>
        <v>699</v>
      </c>
      <c r="C701" t="s">
        <v>86</v>
      </c>
      <c r="D701" t="s">
        <v>176</v>
      </c>
      <c r="E701">
        <f>IF(WEEKNUM(Combined[[#This Row],[Date]], 1) = 53, 1, WEEKNUM(Combined[[#This Row],[Date]], 2))</f>
        <v>19</v>
      </c>
      <c r="F701" t="str">
        <f t="shared" si="182"/>
        <v>Friday</v>
      </c>
      <c r="G701" s="41">
        <v>45051</v>
      </c>
      <c r="H701">
        <v>7</v>
      </c>
      <c r="I701" s="1">
        <f>54.5+6.5</f>
        <v>61</v>
      </c>
      <c r="J701" s="2">
        <v>0.15208333333333332</v>
      </c>
      <c r="K701" s="12">
        <f>Combined[[#This Row],[Time Spent]]*24</f>
        <v>3.6499999999999995</v>
      </c>
      <c r="L701" s="12">
        <f>MROUND(Combined[[#This Row],[Time Spent 2]],0.25)</f>
        <v>3.75</v>
      </c>
      <c r="M701" s="2" t="s">
        <v>92</v>
      </c>
      <c r="N701" t="s">
        <v>85</v>
      </c>
      <c r="O701">
        <f>MATCH(Combined[[#This Row],[Primary Area]],KPIs!$C$4:$C$7,0)</f>
        <v>4</v>
      </c>
      <c r="Q701" s="40">
        <v>45775</v>
      </c>
      <c r="R701" s="40">
        <f t="shared" si="165"/>
        <v>45775</v>
      </c>
      <c r="S701" s="4" t="str">
        <f>TEXT(Mileage[[#This Row],[Date]],"dddd")</f>
        <v>Monday</v>
      </c>
      <c r="T701" s="4" t="s">
        <v>230</v>
      </c>
      <c r="U701" s="4">
        <v>64</v>
      </c>
      <c r="V701" t="str" cm="1">
        <f t="array" ref="V701">IFERROR(VLOOKUP(MODE(IF(Combined[Date]=Mileage[[#This Row],[Date]],Combined[Area '#])),KPIs!$B$4:$C$7,2,FALSE),VLOOKUP(Mileage[[#This Row],[Date]],Combined[[Date]:[Primary Area]],8,FALSE))</f>
        <v>Portland</v>
      </c>
      <c r="W701" s="105">
        <v>0.78125</v>
      </c>
      <c r="X701" s="12">
        <v>7.02</v>
      </c>
      <c r="Y701">
        <v>172</v>
      </c>
      <c r="Z70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2" spans="2:26" x14ac:dyDescent="0.35">
      <c r="B702">
        <f t="shared" si="163"/>
        <v>700</v>
      </c>
      <c r="C702" t="s">
        <v>83</v>
      </c>
      <c r="D702" t="s">
        <v>176</v>
      </c>
      <c r="E702">
        <f>IF(WEEKNUM(Combined[[#This Row],[Date]], 1) = 53, 1, WEEKNUM(Combined[[#This Row],[Date]], 2))</f>
        <v>19</v>
      </c>
      <c r="F702" t="str">
        <f t="shared" ref="F702:F703" si="183">TEXT(WEEKDAY(G702,1),"DDDD")</f>
        <v>Sunday</v>
      </c>
      <c r="G702" s="41">
        <v>45053</v>
      </c>
      <c r="H702">
        <v>6</v>
      </c>
      <c r="I702" s="1">
        <v>63.84</v>
      </c>
      <c r="J702" s="2">
        <v>0.15069444444444444</v>
      </c>
      <c r="K702" s="12">
        <f>Combined[[#This Row],[Time Spent]]*24</f>
        <v>3.6166666666666663</v>
      </c>
      <c r="L702" s="12">
        <f>MROUND(Combined[[#This Row],[Time Spent 2]],0.25)</f>
        <v>3.5</v>
      </c>
      <c r="M702" s="2" t="s">
        <v>91</v>
      </c>
      <c r="N702" t="s">
        <v>85</v>
      </c>
      <c r="O702">
        <f>MATCH(Combined[[#This Row],[Primary Area]],KPIs!$C$4:$C$7,0)</f>
        <v>4</v>
      </c>
      <c r="Q702" s="40">
        <v>45776</v>
      </c>
      <c r="R702" s="40">
        <f t="shared" si="165"/>
        <v>45776</v>
      </c>
      <c r="S702" s="4" t="str">
        <f>TEXT(Mileage[[#This Row],[Date]],"dddd")</f>
        <v>Tuesday</v>
      </c>
      <c r="T702" s="4" t="s">
        <v>230</v>
      </c>
      <c r="U702" s="4">
        <v>66</v>
      </c>
      <c r="V702" t="str" cm="1">
        <f t="array" ref="V702">IFERROR(VLOOKUP(MODE(IF(Combined[Date]=Mileage[[#This Row],[Date]],Combined[Area '#])),KPIs!$B$4:$C$7,2,FALSE),VLOOKUP(Mileage[[#This Row],[Date]],Combined[[Date]:[Primary Area]],8,FALSE))</f>
        <v>Brunswick/Bath/Freeport</v>
      </c>
      <c r="W702" s="105">
        <v>0.71875</v>
      </c>
      <c r="X702" s="12">
        <v>5.52</v>
      </c>
      <c r="Y702">
        <v>134</v>
      </c>
      <c r="Z70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3" spans="2:26" x14ac:dyDescent="0.35">
      <c r="B703">
        <f t="shared" si="163"/>
        <v>701</v>
      </c>
      <c r="C703" t="s">
        <v>86</v>
      </c>
      <c r="D703" t="s">
        <v>175</v>
      </c>
      <c r="E703">
        <f>IF(WEEKNUM(Combined[[#This Row],[Date]], 1) = 53, 1, WEEKNUM(Combined[[#This Row],[Date]], 2))</f>
        <v>19</v>
      </c>
      <c r="F703" t="str">
        <f t="shared" si="183"/>
        <v>Sunday</v>
      </c>
      <c r="G703" s="41">
        <v>45053</v>
      </c>
      <c r="H703">
        <v>1</v>
      </c>
      <c r="I703" s="1">
        <v>10.029999999999999</v>
      </c>
      <c r="J703" s="2">
        <v>2.7083333333333334E-2</v>
      </c>
      <c r="K703" s="12">
        <f>Combined[[#This Row],[Time Spent]]*24</f>
        <v>0.65</v>
      </c>
      <c r="L703" s="12">
        <f>MROUND(Combined[[#This Row],[Time Spent 2]],0.25)</f>
        <v>0.75</v>
      </c>
      <c r="M703" s="2" t="s">
        <v>91</v>
      </c>
      <c r="N703" t="s">
        <v>85</v>
      </c>
      <c r="O703">
        <f>MATCH(Combined[[#This Row],[Primary Area]],KPIs!$C$4:$C$7,0)</f>
        <v>4</v>
      </c>
      <c r="Q703" s="40">
        <v>45777</v>
      </c>
      <c r="R703" s="40">
        <f t="shared" si="165"/>
        <v>45777</v>
      </c>
      <c r="S703" s="4" t="str">
        <f>TEXT(Mileage[[#This Row],[Date]],"dddd")</f>
        <v>Wednesday</v>
      </c>
      <c r="T703" s="4" t="s">
        <v>230</v>
      </c>
      <c r="U703" s="4">
        <v>54</v>
      </c>
      <c r="V703" t="str" cm="1">
        <f t="array" ref="V703">IFERROR(VLOOKUP(MODE(IF(Combined[Date]=Mileage[[#This Row],[Date]],Combined[Area '#])),KPIs!$B$4:$C$7,2,FALSE),VLOOKUP(Mileage[[#This Row],[Date]],Combined[[Date]:[Primary Area]],8,FALSE))</f>
        <v>Brunswick/Bath/Freeport</v>
      </c>
      <c r="W703" s="105">
        <v>0.81944444444444442</v>
      </c>
      <c r="X703" s="12">
        <v>4.08</v>
      </c>
      <c r="Y703">
        <v>94</v>
      </c>
      <c r="Z70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4" spans="2:26" x14ac:dyDescent="0.35">
      <c r="B704">
        <f t="shared" si="163"/>
        <v>702</v>
      </c>
      <c r="C704" t="s">
        <v>83</v>
      </c>
      <c r="D704" t="s">
        <v>176</v>
      </c>
      <c r="E704">
        <f>IF(WEEKNUM(Combined[[#This Row],[Date]], 1) = 53, 1, WEEKNUM(Combined[[#This Row],[Date]], 2))</f>
        <v>20</v>
      </c>
      <c r="F704" t="str">
        <f t="shared" ref="F704:F705" si="184">TEXT(WEEKDAY(G704,1),"DDDD")</f>
        <v>Wednesday</v>
      </c>
      <c r="G704" s="41">
        <v>45056</v>
      </c>
      <c r="H704">
        <v>2</v>
      </c>
      <c r="I704" s="1">
        <v>36.46</v>
      </c>
      <c r="J704" s="2">
        <v>0.14791666666666667</v>
      </c>
      <c r="K704" s="12">
        <f>Combined[[#This Row],[Time Spent]]*24</f>
        <v>3.55</v>
      </c>
      <c r="L704" s="12">
        <f>MROUND(Combined[[#This Row],[Time Spent 2]],0.25)</f>
        <v>3.5</v>
      </c>
      <c r="M704" s="2" t="s">
        <v>91</v>
      </c>
      <c r="N704" t="s">
        <v>80</v>
      </c>
      <c r="O704">
        <f>MATCH(Combined[[#This Row],[Primary Area]],KPIs!$C$4:$C$7,0)</f>
        <v>2</v>
      </c>
      <c r="Q704" s="40">
        <v>45778</v>
      </c>
      <c r="R704" s="40">
        <f t="shared" si="165"/>
        <v>45778</v>
      </c>
      <c r="S704" s="4" t="str">
        <f>TEXT(Mileage[[#This Row],[Date]],"dddd")</f>
        <v>Thursday</v>
      </c>
      <c r="T704" s="4" t="s">
        <v>230</v>
      </c>
      <c r="U704" s="4">
        <v>54</v>
      </c>
      <c r="V704" t="str" cm="1">
        <f t="array" ref="V704">IFERROR(VLOOKUP(MODE(IF(Combined[Date]=Mileage[[#This Row],[Date]],Combined[Area '#])),KPIs!$B$4:$C$7,2,FALSE),VLOOKUP(Mileage[[#This Row],[Date]],Combined[[Date]:[Primary Area]],8,FALSE))</f>
        <v>Brunswick/Bath/Freeport</v>
      </c>
      <c r="W704" s="105">
        <v>0.79513888888888884</v>
      </c>
      <c r="X704" s="12">
        <v>4.67</v>
      </c>
      <c r="Y704">
        <v>97</v>
      </c>
      <c r="Z70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5" spans="2:26" x14ac:dyDescent="0.35">
      <c r="B705">
        <f t="shared" si="163"/>
        <v>703</v>
      </c>
      <c r="C705" t="s">
        <v>86</v>
      </c>
      <c r="D705" t="s">
        <v>176</v>
      </c>
      <c r="E705">
        <f>IF(WEEKNUM(Combined[[#This Row],[Date]], 1) = 53, 1, WEEKNUM(Combined[[#This Row],[Date]], 2))</f>
        <v>20</v>
      </c>
      <c r="F705" t="str">
        <f t="shared" si="184"/>
        <v>Wednesday</v>
      </c>
      <c r="G705" s="41">
        <v>45056</v>
      </c>
      <c r="H705">
        <v>4</v>
      </c>
      <c r="I705" s="1">
        <v>43.5</v>
      </c>
      <c r="J705" s="2">
        <v>9.9999999999999992E-2</v>
      </c>
      <c r="K705" s="12">
        <f>Combined[[#This Row],[Time Spent]]*24</f>
        <v>2.4</v>
      </c>
      <c r="L705" s="12">
        <f>MROUND(Combined[[#This Row],[Time Spent 2]],0.25)</f>
        <v>2.5</v>
      </c>
      <c r="M705" s="2" t="s">
        <v>91</v>
      </c>
      <c r="N705" t="s">
        <v>80</v>
      </c>
      <c r="O705">
        <f>MATCH(Combined[[#This Row],[Primary Area]],KPIs!$C$4:$C$7,0)</f>
        <v>2</v>
      </c>
      <c r="Q705" s="40">
        <v>45780</v>
      </c>
      <c r="R705" s="40">
        <f t="shared" si="165"/>
        <v>45780</v>
      </c>
      <c r="S705" s="4" t="str">
        <f>TEXT(Mileage[[#This Row],[Date]],"dddd")</f>
        <v>Saturday</v>
      </c>
      <c r="T705" s="4" t="s">
        <v>285</v>
      </c>
      <c r="U705" s="4">
        <v>72</v>
      </c>
      <c r="V705" t="str" cm="1">
        <f t="array" ref="V705">IFERROR(VLOOKUP(MODE(IF(Combined[Date]=Mileage[[#This Row],[Date]],Combined[Area '#])),KPIs!$B$4:$C$7,2,FALSE),VLOOKUP(Mileage[[#This Row],[Date]],Combined[[Date]:[Primary Area]],8,FALSE))</f>
        <v>Brunswick/Bath/Freeport</v>
      </c>
      <c r="W705" s="105">
        <v>0.51736111111111116</v>
      </c>
      <c r="X705" s="12">
        <v>3.42</v>
      </c>
      <c r="Y705">
        <v>67</v>
      </c>
      <c r="Z70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6" spans="2:26" x14ac:dyDescent="0.35">
      <c r="B706">
        <f t="shared" si="163"/>
        <v>704</v>
      </c>
      <c r="C706" t="s">
        <v>86</v>
      </c>
      <c r="D706" t="s">
        <v>176</v>
      </c>
      <c r="E706">
        <f>IF(WEEKNUM(Combined[[#This Row],[Date]], 1) = 53, 1, WEEKNUM(Combined[[#This Row],[Date]], 2))</f>
        <v>20</v>
      </c>
      <c r="F706" t="str">
        <f t="shared" ref="F706:F708" si="185">TEXT(WEEKDAY(G706,1),"DDDD")</f>
        <v>Friday</v>
      </c>
      <c r="G706" s="41">
        <v>45058</v>
      </c>
      <c r="H706">
        <v>5</v>
      </c>
      <c r="I706" s="1">
        <v>47.5</v>
      </c>
      <c r="J706" s="2">
        <v>0.10902777777777778</v>
      </c>
      <c r="K706" s="12">
        <f>Combined[[#This Row],[Time Spent]]*24</f>
        <v>2.6166666666666667</v>
      </c>
      <c r="L706" s="12">
        <f>MROUND(Combined[[#This Row],[Time Spent 2]],0.25)</f>
        <v>2.5</v>
      </c>
      <c r="M706" s="2" t="s">
        <v>91</v>
      </c>
      <c r="N706" t="s">
        <v>80</v>
      </c>
      <c r="O706">
        <f>MATCH(Combined[[#This Row],[Primary Area]],KPIs!$C$4:$C$7,0)</f>
        <v>2</v>
      </c>
      <c r="Q706" s="40">
        <v>45781</v>
      </c>
      <c r="R706" s="40">
        <f t="shared" si="165"/>
        <v>45781</v>
      </c>
      <c r="S706" s="4" t="str">
        <f>TEXT(Mileage[[#This Row],[Date]],"dddd")</f>
        <v>Sunday</v>
      </c>
      <c r="T706" s="4" t="s">
        <v>325</v>
      </c>
      <c r="U706" s="4">
        <v>57</v>
      </c>
      <c r="V706" t="str" cm="1">
        <f t="array" ref="V706">IFERROR(VLOOKUP(MODE(IF(Combined[Date]=Mileage[[#This Row],[Date]],Combined[Area '#])),KPIs!$B$4:$C$7,2,FALSE),VLOOKUP(Mileage[[#This Row],[Date]],Combined[[Date]:[Primary Area]],8,FALSE))</f>
        <v>Brunswick/Bath/Freeport</v>
      </c>
      <c r="W706" s="105">
        <v>0.4548611111111111</v>
      </c>
      <c r="X706" s="12">
        <v>4.22</v>
      </c>
      <c r="Y706">
        <v>94</v>
      </c>
      <c r="Z70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7" spans="2:26" x14ac:dyDescent="0.35">
      <c r="B707">
        <f t="shared" ref="B707:B770" si="186">ROW()-2</f>
        <v>705</v>
      </c>
      <c r="C707" t="s">
        <v>86</v>
      </c>
      <c r="D707" t="s">
        <v>175</v>
      </c>
      <c r="E707">
        <f>IF(WEEKNUM(Combined[[#This Row],[Date]], 1) = 53, 1, WEEKNUM(Combined[[#This Row],[Date]], 2))</f>
        <v>20</v>
      </c>
      <c r="F707" t="str">
        <f t="shared" si="185"/>
        <v>Friday</v>
      </c>
      <c r="G707" s="41">
        <v>45058</v>
      </c>
      <c r="H707">
        <v>2</v>
      </c>
      <c r="I707" s="1">
        <v>19.93</v>
      </c>
      <c r="J707" s="2">
        <v>5.7638888888888885E-2</v>
      </c>
      <c r="K707" s="12">
        <f>Combined[[#This Row],[Time Spent]]*24</f>
        <v>1.3833333333333333</v>
      </c>
      <c r="L707" s="12">
        <f>MROUND(Combined[[#This Row],[Time Spent 2]],0.25)</f>
        <v>1.5</v>
      </c>
      <c r="M707" s="2" t="s">
        <v>91</v>
      </c>
      <c r="N707" t="s">
        <v>80</v>
      </c>
      <c r="O707">
        <f>MATCH(Combined[[#This Row],[Primary Area]],KPIs!$C$4:$C$7,0)</f>
        <v>2</v>
      </c>
      <c r="Q707" s="40">
        <v>45782</v>
      </c>
      <c r="R707" s="40">
        <f t="shared" ref="R707:R770" si="187">Q707</f>
        <v>45782</v>
      </c>
      <c r="S707" s="4" t="str">
        <f>TEXT(Mileage[[#This Row],[Date]],"dddd")</f>
        <v>Monday</v>
      </c>
      <c r="T707" s="4" t="s">
        <v>276</v>
      </c>
      <c r="U707" s="4">
        <v>50</v>
      </c>
      <c r="V707" t="str" cm="1">
        <f t="array" ref="V707">IFERROR(VLOOKUP(MODE(IF(Combined[Date]=Mileage[[#This Row],[Date]],Combined[Area '#])),KPIs!$B$4:$C$7,2,FALSE),VLOOKUP(Mileage[[#This Row],[Date]],Combined[[Date]:[Primary Area]],8,FALSE))</f>
        <v>Portland</v>
      </c>
      <c r="W707" s="105">
        <v>0.70833333333333337</v>
      </c>
      <c r="X707" s="12">
        <v>6.85</v>
      </c>
      <c r="Y707">
        <v>211</v>
      </c>
      <c r="Z70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08" spans="2:26" x14ac:dyDescent="0.35">
      <c r="B708">
        <f t="shared" si="186"/>
        <v>706</v>
      </c>
      <c r="C708" t="s">
        <v>86</v>
      </c>
      <c r="D708" t="s">
        <v>175</v>
      </c>
      <c r="E708">
        <f>IF(WEEKNUM(Combined[[#This Row],[Date]], 1) = 53, 1, WEEKNUM(Combined[[#This Row],[Date]], 2))</f>
        <v>20</v>
      </c>
      <c r="F708" t="str">
        <f t="shared" si="185"/>
        <v>Friday</v>
      </c>
      <c r="G708" s="41">
        <v>45058</v>
      </c>
      <c r="H708">
        <v>6</v>
      </c>
      <c r="I708" s="1">
        <f>50.99+9.38</f>
        <v>60.370000000000005</v>
      </c>
      <c r="J708" s="2">
        <v>9.9999999999999992E-2</v>
      </c>
      <c r="K708" s="12">
        <f>Combined[[#This Row],[Time Spent]]*24</f>
        <v>2.4</v>
      </c>
      <c r="L708" s="12">
        <f>MROUND(Combined[[#This Row],[Time Spent 2]],0.25)</f>
        <v>2.5</v>
      </c>
      <c r="M708" s="2" t="s">
        <v>92</v>
      </c>
      <c r="N708" t="s">
        <v>80</v>
      </c>
      <c r="O708">
        <f>MATCH(Combined[[#This Row],[Primary Area]],KPIs!$C$4:$C$7,0)</f>
        <v>2</v>
      </c>
      <c r="Q708" s="40">
        <v>45783</v>
      </c>
      <c r="R708" s="40">
        <f t="shared" si="187"/>
        <v>45783</v>
      </c>
      <c r="S708" s="4" t="str">
        <f>TEXT(Mileage[[#This Row],[Date]],"dddd")</f>
        <v>Tuesday</v>
      </c>
      <c r="T708" s="4" t="s">
        <v>236</v>
      </c>
      <c r="U708" s="4">
        <v>55</v>
      </c>
      <c r="V708" t="str" cm="1">
        <f t="array" ref="V708">IFERROR(VLOOKUP(MODE(IF(Combined[Date]=Mileage[[#This Row],[Date]],Combined[Area '#])),KPIs!$B$4:$C$7,2,FALSE),VLOOKUP(Mileage[[#This Row],[Date]],Combined[[Date]:[Primary Area]],8,FALSE))</f>
        <v>Brunswick/Bath/Freeport</v>
      </c>
      <c r="W708" s="105">
        <v>0.72569444444444442</v>
      </c>
      <c r="X708" s="12">
        <v>4.7699999999999996</v>
      </c>
      <c r="Y708">
        <v>103</v>
      </c>
      <c r="Z7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09" spans="2:26" x14ac:dyDescent="0.35">
      <c r="B709">
        <f t="shared" si="186"/>
        <v>707</v>
      </c>
      <c r="C709" t="s">
        <v>83</v>
      </c>
      <c r="D709" t="s">
        <v>176</v>
      </c>
      <c r="E709">
        <f>IF(WEEKNUM(Combined[[#This Row],[Date]], 1) = 53, 1, WEEKNUM(Combined[[#This Row],[Date]], 2))</f>
        <v>21</v>
      </c>
      <c r="F709" t="str">
        <f t="shared" ref="F709:F711" si="188">TEXT(WEEKDAY(G709,1),"DDDD")</f>
        <v>Thursday</v>
      </c>
      <c r="G709" s="41">
        <v>45064</v>
      </c>
      <c r="H709">
        <v>5</v>
      </c>
      <c r="I709" s="1">
        <v>47.07</v>
      </c>
      <c r="J709" s="2">
        <v>0.14027777777777778</v>
      </c>
      <c r="K709" s="12">
        <f>Combined[[#This Row],[Time Spent]]*24</f>
        <v>3.3666666666666667</v>
      </c>
      <c r="L709" s="12">
        <f>MROUND(Combined[[#This Row],[Time Spent 2]],0.25)</f>
        <v>3.25</v>
      </c>
      <c r="M709" s="2" t="s">
        <v>91</v>
      </c>
      <c r="N709" t="s">
        <v>85</v>
      </c>
      <c r="O709">
        <f>MATCH(Combined[[#This Row],[Primary Area]],KPIs!$C$4:$C$7,0)</f>
        <v>4</v>
      </c>
      <c r="Q709" s="40">
        <v>45784</v>
      </c>
      <c r="R709" s="40">
        <f t="shared" si="187"/>
        <v>45784</v>
      </c>
      <c r="S709" s="4" t="str">
        <f>TEXT(Mileage[[#This Row],[Date]],"dddd")</f>
        <v>Wednesday</v>
      </c>
      <c r="T709" s="4" t="s">
        <v>325</v>
      </c>
      <c r="U709" s="4">
        <v>57</v>
      </c>
      <c r="V709" t="str" cm="1">
        <f t="array" ref="V709">IFERROR(VLOOKUP(MODE(IF(Combined[Date]=Mileage[[#This Row],[Date]],Combined[Area '#])),KPIs!$B$4:$C$7,2,FALSE),VLOOKUP(Mileage[[#This Row],[Date]],Combined[[Date]:[Primary Area]],8,FALSE))</f>
        <v>Brunswick/Bath/Freeport</v>
      </c>
      <c r="W709" s="105">
        <v>0.77777777777777779</v>
      </c>
      <c r="X709" s="12">
        <v>5.55</v>
      </c>
      <c r="Y709">
        <v>134</v>
      </c>
      <c r="Z7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0" spans="2:26" x14ac:dyDescent="0.35">
      <c r="B710">
        <f t="shared" si="186"/>
        <v>708</v>
      </c>
      <c r="C710" t="s">
        <v>86</v>
      </c>
      <c r="D710" t="s">
        <v>175</v>
      </c>
      <c r="E710">
        <f>IF(WEEKNUM(Combined[[#This Row],[Date]], 1) = 53, 1, WEEKNUM(Combined[[#This Row],[Date]], 2))</f>
        <v>21</v>
      </c>
      <c r="F710" t="str">
        <f t="shared" si="188"/>
        <v>Thursday</v>
      </c>
      <c r="G710" s="41">
        <v>45064</v>
      </c>
      <c r="H710">
        <v>1</v>
      </c>
      <c r="I710" s="1">
        <v>5.5</v>
      </c>
      <c r="J710" s="2">
        <v>0.1013888888888889</v>
      </c>
      <c r="K710" s="12">
        <f>Combined[[#This Row],[Time Spent]]*24</f>
        <v>2.4333333333333336</v>
      </c>
      <c r="L710" s="12">
        <f>MROUND(Combined[[#This Row],[Time Spent 2]],0.25)</f>
        <v>2.5</v>
      </c>
      <c r="M710" s="2" t="s">
        <v>91</v>
      </c>
      <c r="N710" t="s">
        <v>85</v>
      </c>
      <c r="O710">
        <f>MATCH(Combined[[#This Row],[Primary Area]],KPIs!$C$4:$C$7,0)</f>
        <v>4</v>
      </c>
      <c r="Q710" s="40">
        <v>45785</v>
      </c>
      <c r="R710" s="40">
        <f t="shared" si="187"/>
        <v>45785</v>
      </c>
      <c r="S710" s="4" t="str">
        <f>TEXT(Mileage[[#This Row],[Date]],"dddd")</f>
        <v>Thursday</v>
      </c>
      <c r="T710" s="4" t="s">
        <v>285</v>
      </c>
      <c r="U710" s="4">
        <v>61</v>
      </c>
      <c r="V710" t="str" cm="1">
        <f t="array" ref="V710">IFERROR(VLOOKUP(MODE(IF(Combined[Date]=Mileage[[#This Row],[Date]],Combined[Area '#])),KPIs!$B$4:$C$7,2,FALSE),VLOOKUP(Mileage[[#This Row],[Date]],Combined[[Date]:[Primary Area]],8,FALSE))</f>
        <v>Brunswick/Bath/Freeport</v>
      </c>
      <c r="W710" s="105">
        <v>0.76041666666666663</v>
      </c>
      <c r="X710" s="12">
        <v>5.8</v>
      </c>
      <c r="Y710">
        <v>155</v>
      </c>
      <c r="Z7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1" spans="2:26" x14ac:dyDescent="0.35">
      <c r="B711">
        <f t="shared" si="186"/>
        <v>709</v>
      </c>
      <c r="C711" t="s">
        <v>86</v>
      </c>
      <c r="D711" t="s">
        <v>175</v>
      </c>
      <c r="E711">
        <f>IF(WEEKNUM(Combined[[#This Row],[Date]], 1) = 53, 1, WEEKNUM(Combined[[#This Row],[Date]], 2))</f>
        <v>21</v>
      </c>
      <c r="F711" t="str">
        <f t="shared" si="188"/>
        <v>Thursday</v>
      </c>
      <c r="G711" s="41">
        <v>45064</v>
      </c>
      <c r="H711">
        <v>1</v>
      </c>
      <c r="I711" s="1">
        <v>6.7</v>
      </c>
      <c r="J711" s="2">
        <v>1.1111111111111112E-2</v>
      </c>
      <c r="K711" s="12">
        <f>Combined[[#This Row],[Time Spent]]*24</f>
        <v>0.26666666666666666</v>
      </c>
      <c r="L711" s="12">
        <f>MROUND(Combined[[#This Row],[Time Spent 2]],0.25)</f>
        <v>0.25</v>
      </c>
      <c r="M711" s="2" t="s">
        <v>92</v>
      </c>
      <c r="N711" t="s">
        <v>85</v>
      </c>
      <c r="O711">
        <f>MATCH(Combined[[#This Row],[Primary Area]],KPIs!$C$4:$C$7,0)</f>
        <v>4</v>
      </c>
      <c r="Q711" s="40">
        <v>45787</v>
      </c>
      <c r="R711" s="40">
        <f t="shared" si="187"/>
        <v>45787</v>
      </c>
      <c r="S711" s="4" t="str">
        <f>TEXT(Mileage[[#This Row],[Date]],"dddd")</f>
        <v>Saturday</v>
      </c>
      <c r="T711" s="4" t="s">
        <v>230</v>
      </c>
      <c r="U711" s="4">
        <v>59</v>
      </c>
      <c r="V711" t="str" cm="1">
        <f t="array" ref="V711">IFERROR(VLOOKUP(MODE(IF(Combined[Date]=Mileage[[#This Row],[Date]],Combined[Area '#])),KPIs!$B$4:$C$7,2,FALSE),VLOOKUP(Mileage[[#This Row],[Date]],Combined[[Date]:[Primary Area]],8,FALSE))</f>
        <v>Lewiston</v>
      </c>
      <c r="W711" s="105">
        <v>0.74305555555555558</v>
      </c>
      <c r="X711" s="12">
        <v>4.68</v>
      </c>
      <c r="Y711">
        <v>106</v>
      </c>
      <c r="Z71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12" spans="2:26" x14ac:dyDescent="0.35">
      <c r="B712">
        <f t="shared" si="186"/>
        <v>710</v>
      </c>
      <c r="C712" t="s">
        <v>83</v>
      </c>
      <c r="D712" t="s">
        <v>176</v>
      </c>
      <c r="E712">
        <f>IF(WEEKNUM(Combined[[#This Row],[Date]], 1) = 53, 1, WEEKNUM(Combined[[#This Row],[Date]], 2))</f>
        <v>21</v>
      </c>
      <c r="F712" t="str">
        <f t="shared" ref="F712" si="189">TEXT(WEEKDAY(G712,1),"DDDD")</f>
        <v>Sunday</v>
      </c>
      <c r="G712" s="41">
        <v>45067</v>
      </c>
      <c r="H712">
        <v>3</v>
      </c>
      <c r="I712" s="1">
        <v>19.8</v>
      </c>
      <c r="J712" s="2">
        <v>9.375E-2</v>
      </c>
      <c r="K712" s="12">
        <f>Combined[[#This Row],[Time Spent]]*24</f>
        <v>2.25</v>
      </c>
      <c r="L712" s="12">
        <f>MROUND(Combined[[#This Row],[Time Spent 2]],0.25)</f>
        <v>2.25</v>
      </c>
      <c r="M712" s="2" t="s">
        <v>91</v>
      </c>
      <c r="N712" t="s">
        <v>85</v>
      </c>
      <c r="O712">
        <f>MATCH(Combined[[#This Row],[Primary Area]],KPIs!$C$4:$C$7,0)</f>
        <v>4</v>
      </c>
      <c r="Q712" s="40">
        <v>45788</v>
      </c>
      <c r="R712" s="40">
        <f t="shared" si="187"/>
        <v>45788</v>
      </c>
      <c r="S712" s="4" t="str">
        <f>TEXT(Mileage[[#This Row],[Date]],"dddd")</f>
        <v>Sunday</v>
      </c>
      <c r="T712" s="4" t="s">
        <v>230</v>
      </c>
      <c r="U712" s="4">
        <v>59</v>
      </c>
      <c r="V712" t="str" cm="1">
        <f t="array" ref="V712">IFERROR(VLOOKUP(MODE(IF(Combined[Date]=Mileage[[#This Row],[Date]],Combined[Area '#])),KPIs!$B$4:$C$7,2,FALSE),VLOOKUP(Mileage[[#This Row],[Date]],Combined[[Date]:[Primary Area]],8,FALSE))</f>
        <v>Brunswick/Bath/Freeport</v>
      </c>
      <c r="W712" s="105">
        <v>0.54861111111111116</v>
      </c>
      <c r="X712" s="12">
        <v>4.88</v>
      </c>
      <c r="Y712">
        <v>76</v>
      </c>
      <c r="Z7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3" spans="2:26" x14ac:dyDescent="0.35">
      <c r="B713">
        <f t="shared" si="186"/>
        <v>711</v>
      </c>
      <c r="C713" t="s">
        <v>83</v>
      </c>
      <c r="D713" t="s">
        <v>176</v>
      </c>
      <c r="E713">
        <f>IF(WEEKNUM(Combined[[#This Row],[Date]], 1) = 53, 1, WEEKNUM(Combined[[#This Row],[Date]], 2))</f>
        <v>22</v>
      </c>
      <c r="F713" t="str">
        <f t="shared" ref="F713:F714" si="190">TEXT(WEEKDAY(G713,1),"DDDD")</f>
        <v>Monday</v>
      </c>
      <c r="G713" s="41">
        <v>45068</v>
      </c>
      <c r="H713">
        <v>3</v>
      </c>
      <c r="I713" s="1">
        <v>28.11</v>
      </c>
      <c r="J713" s="2">
        <v>0.11597222222222221</v>
      </c>
      <c r="K713" s="12">
        <f>Combined[[#This Row],[Time Spent]]*24</f>
        <v>2.7833333333333332</v>
      </c>
      <c r="L713" s="12">
        <f>MROUND(Combined[[#This Row],[Time Spent 2]],0.25)</f>
        <v>2.75</v>
      </c>
      <c r="M713" s="2" t="s">
        <v>91</v>
      </c>
      <c r="N713" t="s">
        <v>174</v>
      </c>
      <c r="O713">
        <f>MATCH(Combined[[#This Row],[Primary Area]],KPIs!$C$4:$C$7,0)</f>
        <v>1</v>
      </c>
      <c r="Q713" s="40">
        <v>45789</v>
      </c>
      <c r="R713" s="40">
        <f t="shared" si="187"/>
        <v>45789</v>
      </c>
      <c r="S713" s="4" t="str">
        <f>TEXT(Mileage[[#This Row],[Date]],"dddd")</f>
        <v>Monday</v>
      </c>
      <c r="T713" s="4" t="s">
        <v>230</v>
      </c>
      <c r="U713" s="4">
        <v>61</v>
      </c>
      <c r="V713" t="str" cm="1">
        <f t="array" ref="V713">IFERROR(VLOOKUP(MODE(IF(Combined[Date]=Mileage[[#This Row],[Date]],Combined[Area '#])),KPIs!$B$4:$C$7,2,FALSE),VLOOKUP(Mileage[[#This Row],[Date]],Combined[[Date]:[Primary Area]],8,FALSE))</f>
        <v>Brunswick/Bath/Freeport</v>
      </c>
      <c r="W713" s="105">
        <v>0.72222222222222221</v>
      </c>
      <c r="X713" s="12">
        <v>3.2</v>
      </c>
      <c r="Y713">
        <v>54</v>
      </c>
      <c r="Z7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4" spans="2:26" x14ac:dyDescent="0.35">
      <c r="B714">
        <f t="shared" si="186"/>
        <v>712</v>
      </c>
      <c r="C714" t="s">
        <v>86</v>
      </c>
      <c r="D714" t="s">
        <v>176</v>
      </c>
      <c r="E714">
        <f>IF(WEEKNUM(Combined[[#This Row],[Date]], 1) = 53, 1, WEEKNUM(Combined[[#This Row],[Date]], 2))</f>
        <v>22</v>
      </c>
      <c r="F714" t="str">
        <f t="shared" si="190"/>
        <v>Monday</v>
      </c>
      <c r="G714" s="41">
        <v>45068</v>
      </c>
      <c r="H714">
        <v>4</v>
      </c>
      <c r="I714" s="1">
        <v>44.25</v>
      </c>
      <c r="J714" s="2">
        <v>9.4444444444444442E-2</v>
      </c>
      <c r="K714" s="12">
        <f>Combined[[#This Row],[Time Spent]]*24</f>
        <v>2.2666666666666666</v>
      </c>
      <c r="L714" s="12">
        <f>MROUND(Combined[[#This Row],[Time Spent 2]],0.25)</f>
        <v>2.25</v>
      </c>
      <c r="M714" s="2" t="s">
        <v>91</v>
      </c>
      <c r="N714" t="s">
        <v>174</v>
      </c>
      <c r="O714">
        <f>MATCH(Combined[[#This Row],[Primary Area]],KPIs!$C$4:$C$7,0)</f>
        <v>1</v>
      </c>
      <c r="Q714" s="40">
        <v>45790</v>
      </c>
      <c r="R714" s="40">
        <f t="shared" si="187"/>
        <v>45790</v>
      </c>
      <c r="S714" s="4" t="str">
        <f>TEXT(Mileage[[#This Row],[Date]],"dddd")</f>
        <v>Tuesday</v>
      </c>
      <c r="T714" s="4" t="s">
        <v>230</v>
      </c>
      <c r="U714" s="4">
        <v>61</v>
      </c>
      <c r="V714" t="str" cm="1">
        <f t="array" ref="V714">IFERROR(VLOOKUP(MODE(IF(Combined[Date]=Mileage[[#This Row],[Date]],Combined[Area '#])),KPIs!$B$4:$C$7,2,FALSE),VLOOKUP(Mileage[[#This Row],[Date]],Combined[[Date]:[Primary Area]],8,FALSE))</f>
        <v>Brunswick/Bath/Freeport</v>
      </c>
      <c r="W714" s="105">
        <v>0.76736111111111116</v>
      </c>
      <c r="X714" s="12">
        <v>4.53</v>
      </c>
      <c r="Y714">
        <v>96</v>
      </c>
      <c r="Z71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15" spans="2:26" x14ac:dyDescent="0.35">
      <c r="B715">
        <f t="shared" si="186"/>
        <v>713</v>
      </c>
      <c r="C715" t="s">
        <v>86</v>
      </c>
      <c r="D715" t="s">
        <v>176</v>
      </c>
      <c r="E715">
        <f>IF(WEEKNUM(Combined[[#This Row],[Date]], 1) = 53, 1, WEEKNUM(Combined[[#This Row],[Date]], 2))</f>
        <v>22</v>
      </c>
      <c r="F715" t="str">
        <f>TEXT(WEEKDAY(G715,1),"DDDD")</f>
        <v>Monday</v>
      </c>
      <c r="G715" s="41">
        <v>45068</v>
      </c>
      <c r="H715">
        <v>1</v>
      </c>
      <c r="I715" s="1">
        <v>18</v>
      </c>
      <c r="J715" s="2">
        <v>4.1666666666666664E-2</v>
      </c>
      <c r="K715" s="12">
        <f>Combined[[#This Row],[Time Spent]]*24</f>
        <v>1</v>
      </c>
      <c r="L715" s="12">
        <f>MROUND(Combined[[#This Row],[Time Spent 2]],0.25)</f>
        <v>1</v>
      </c>
      <c r="M715" s="2" t="s">
        <v>92</v>
      </c>
      <c r="N715" t="s">
        <v>174</v>
      </c>
      <c r="O715">
        <f>MATCH(Combined[[#This Row],[Primary Area]],KPIs!$C$4:$C$7,0)</f>
        <v>1</v>
      </c>
      <c r="Q715" s="40">
        <v>45791</v>
      </c>
      <c r="R715" s="40">
        <f t="shared" si="187"/>
        <v>45791</v>
      </c>
      <c r="S715" s="4" t="str">
        <f>TEXT(Mileage[[#This Row],[Date]],"dddd")</f>
        <v>Wednesday</v>
      </c>
      <c r="T715" s="4" t="s">
        <v>230</v>
      </c>
      <c r="U715" s="4">
        <v>66</v>
      </c>
      <c r="V715" t="str" cm="1">
        <f t="array" ref="V715">IFERROR(VLOOKUP(MODE(IF(Combined[Date]=Mileage[[#This Row],[Date]],Combined[Area '#])),KPIs!$B$4:$C$7,2,FALSE),VLOOKUP(Mileage[[#This Row],[Date]],Combined[[Date]:[Primary Area]],8,FALSE))</f>
        <v>Brunswick/Bath/Freeport</v>
      </c>
      <c r="W715" s="105">
        <v>0.76041666666666663</v>
      </c>
      <c r="X715" s="12">
        <v>4.78</v>
      </c>
      <c r="Y715">
        <v>101</v>
      </c>
      <c r="Z7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6" spans="2:26" x14ac:dyDescent="0.35">
      <c r="B716">
        <f t="shared" si="186"/>
        <v>714</v>
      </c>
      <c r="C716" t="s">
        <v>83</v>
      </c>
      <c r="D716" t="s">
        <v>176</v>
      </c>
      <c r="E716">
        <f>IF(WEEKNUM(Combined[[#This Row],[Date]], 1) = 53, 1, WEEKNUM(Combined[[#This Row],[Date]], 2))</f>
        <v>22</v>
      </c>
      <c r="F716" t="str">
        <f t="shared" ref="F716:F718" si="191">TEXT(WEEKDAY(G716,1),"DDDD")</f>
        <v>Wednesday</v>
      </c>
      <c r="G716" s="41">
        <v>45070</v>
      </c>
      <c r="H716">
        <v>1</v>
      </c>
      <c r="I716" s="1">
        <v>12.76</v>
      </c>
      <c r="J716" s="2">
        <v>7.4999999999999997E-2</v>
      </c>
      <c r="K716" s="12">
        <f>Combined[[#This Row],[Time Spent]]*24</f>
        <v>1.7999999999999998</v>
      </c>
      <c r="L716" s="12">
        <f>MROUND(Combined[[#This Row],[Time Spent 2]],0.25)</f>
        <v>1.75</v>
      </c>
      <c r="M716" s="2" t="s">
        <v>91</v>
      </c>
      <c r="N716" t="s">
        <v>85</v>
      </c>
      <c r="O716">
        <f>MATCH(Combined[[#This Row],[Primary Area]],KPIs!$C$4:$C$7,0)</f>
        <v>4</v>
      </c>
      <c r="Q716" s="40">
        <v>45793</v>
      </c>
      <c r="R716" s="40">
        <f t="shared" si="187"/>
        <v>45793</v>
      </c>
      <c r="S716" s="4" t="str">
        <f>TEXT(Mileage[[#This Row],[Date]],"dddd")</f>
        <v>Friday</v>
      </c>
      <c r="T716" s="4" t="s">
        <v>249</v>
      </c>
      <c r="U716" s="4">
        <v>68</v>
      </c>
      <c r="V716" t="str" cm="1">
        <f t="array" ref="V716">IFERROR(VLOOKUP(MODE(IF(Combined[Date]=Mileage[[#This Row],[Date]],Combined[Area '#])),KPIs!$B$4:$C$7,2,FALSE),VLOOKUP(Mileage[[#This Row],[Date]],Combined[[Date]:[Primary Area]],8,FALSE))</f>
        <v>Brunswick/Bath/Freeport</v>
      </c>
      <c r="W716" s="105">
        <v>0.73263888888888884</v>
      </c>
      <c r="X716" s="12">
        <v>7.08</v>
      </c>
      <c r="Y716">
        <v>159</v>
      </c>
      <c r="Z71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7" spans="2:26" x14ac:dyDescent="0.35">
      <c r="B717">
        <f t="shared" si="186"/>
        <v>715</v>
      </c>
      <c r="C717" t="s">
        <v>86</v>
      </c>
      <c r="D717" t="s">
        <v>176</v>
      </c>
      <c r="E717">
        <f>IF(WEEKNUM(Combined[[#This Row],[Date]], 1) = 53, 1, WEEKNUM(Combined[[#This Row],[Date]], 2))</f>
        <v>22</v>
      </c>
      <c r="F717" t="str">
        <f t="shared" si="191"/>
        <v>Wednesday</v>
      </c>
      <c r="G717" s="41">
        <v>45070</v>
      </c>
      <c r="H717">
        <v>5</v>
      </c>
      <c r="I717" s="1">
        <v>37.25</v>
      </c>
      <c r="J717" s="2">
        <v>7.3611111111111113E-2</v>
      </c>
      <c r="K717" s="12">
        <f>Combined[[#This Row],[Time Spent]]*24</f>
        <v>1.7666666666666666</v>
      </c>
      <c r="L717" s="12">
        <f>MROUND(Combined[[#This Row],[Time Spent 2]],0.25)</f>
        <v>1.75</v>
      </c>
      <c r="M717" s="2" t="s">
        <v>91</v>
      </c>
      <c r="N717" t="s">
        <v>85</v>
      </c>
      <c r="O717">
        <f>MATCH(Combined[[#This Row],[Primary Area]],KPIs!$C$4:$C$7,0)</f>
        <v>4</v>
      </c>
      <c r="Q717" s="40">
        <v>45794</v>
      </c>
      <c r="R717" s="40">
        <f t="shared" si="187"/>
        <v>45794</v>
      </c>
      <c r="S717" s="4" t="str">
        <f>TEXT(Mileage[[#This Row],[Date]],"dddd")</f>
        <v>Saturday</v>
      </c>
      <c r="T717" s="4" t="s">
        <v>325</v>
      </c>
      <c r="U717" s="4">
        <v>55</v>
      </c>
      <c r="V717" t="str" cm="1">
        <f t="array" ref="V717">IFERROR(VLOOKUP(MODE(IF(Combined[Date]=Mileage[[#This Row],[Date]],Combined[Area '#])),KPIs!$B$4:$C$7,2,FALSE),VLOOKUP(Mileage[[#This Row],[Date]],Combined[[Date]:[Primary Area]],8,FALSE))</f>
        <v>Lewiston</v>
      </c>
      <c r="W717" s="105">
        <v>0.70833333333333337</v>
      </c>
      <c r="X717" s="12">
        <v>5.53</v>
      </c>
      <c r="Y717">
        <v>91</v>
      </c>
      <c r="Z71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8" spans="2:26" x14ac:dyDescent="0.35">
      <c r="B718">
        <f t="shared" si="186"/>
        <v>716</v>
      </c>
      <c r="C718" t="s">
        <v>86</v>
      </c>
      <c r="D718" t="s">
        <v>176</v>
      </c>
      <c r="E718">
        <f>IF(WEEKNUM(Combined[[#This Row],[Date]], 1) = 53, 1, WEEKNUM(Combined[[#This Row],[Date]], 2))</f>
        <v>22</v>
      </c>
      <c r="F718" t="str">
        <f t="shared" si="191"/>
        <v>Wednesday</v>
      </c>
      <c r="G718" s="41">
        <v>45070</v>
      </c>
      <c r="H718">
        <v>5</v>
      </c>
      <c r="I718" s="1">
        <v>50.25</v>
      </c>
      <c r="J718" s="2">
        <v>8.3333333333333329E-2</v>
      </c>
      <c r="K718" s="12">
        <f>Combined[[#This Row],[Time Spent]]*24</f>
        <v>2</v>
      </c>
      <c r="L718" s="12">
        <f>MROUND(Combined[[#This Row],[Time Spent 2]],0.25)</f>
        <v>2</v>
      </c>
      <c r="M718" s="2" t="s">
        <v>92</v>
      </c>
      <c r="N718" t="s">
        <v>85</v>
      </c>
      <c r="O718">
        <f>MATCH(Combined[[#This Row],[Primary Area]],KPIs!$C$4:$C$7,0)</f>
        <v>4</v>
      </c>
      <c r="Q718" s="40">
        <v>45797</v>
      </c>
      <c r="R718" s="40">
        <f t="shared" si="187"/>
        <v>45797</v>
      </c>
      <c r="S718" s="4" t="str">
        <f>TEXT(Mileage[[#This Row],[Date]],"dddd")</f>
        <v>Tuesday</v>
      </c>
      <c r="T718" s="4" t="s">
        <v>231</v>
      </c>
      <c r="U718" s="4">
        <v>54</v>
      </c>
      <c r="V718" t="str" cm="1">
        <f t="array" ref="V718">IFERROR(VLOOKUP(MODE(IF(Combined[Date]=Mileage[[#This Row],[Date]],Combined[Area '#])),KPIs!$B$4:$C$7,2,FALSE),VLOOKUP(Mileage[[#This Row],[Date]],Combined[[Date]:[Primary Area]],8,FALSE))</f>
        <v>Brunswick/Bath/Freeport</v>
      </c>
      <c r="W718" s="105">
        <v>0.73611111111111116</v>
      </c>
      <c r="X718" s="12">
        <v>5.0999999999999996</v>
      </c>
      <c r="Y718">
        <v>104</v>
      </c>
      <c r="Z7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19" spans="2:26" x14ac:dyDescent="0.35">
      <c r="B719">
        <f t="shared" si="186"/>
        <v>717</v>
      </c>
      <c r="C719" t="s">
        <v>83</v>
      </c>
      <c r="D719" t="s">
        <v>176</v>
      </c>
      <c r="E719">
        <f>IF(WEEKNUM(Combined[[#This Row],[Date]], 1) = 53, 1, WEEKNUM(Combined[[#This Row],[Date]], 2))</f>
        <v>22</v>
      </c>
      <c r="F719" t="str">
        <f t="shared" ref="F719:F721" si="192">TEXT(WEEKDAY(G719,1),"DDDD")</f>
        <v>Friday</v>
      </c>
      <c r="G719" s="41">
        <v>45072</v>
      </c>
      <c r="H719">
        <v>3</v>
      </c>
      <c r="I719" s="1">
        <v>60.95</v>
      </c>
      <c r="J719" s="2">
        <v>0.14444444444444446</v>
      </c>
      <c r="K719" s="12">
        <f>Combined[[#This Row],[Time Spent]]*24</f>
        <v>3.4666666666666668</v>
      </c>
      <c r="L719" s="12">
        <f>MROUND(Combined[[#This Row],[Time Spent 2]],0.25)</f>
        <v>3.5</v>
      </c>
      <c r="M719" s="2" t="s">
        <v>90</v>
      </c>
      <c r="N719" t="s">
        <v>80</v>
      </c>
      <c r="O719">
        <f>MATCH(Combined[[#This Row],[Primary Area]],KPIs!$C$4:$C$7,0)</f>
        <v>2</v>
      </c>
      <c r="Q719" s="40">
        <v>45798</v>
      </c>
      <c r="R719" s="40">
        <f t="shared" si="187"/>
        <v>45798</v>
      </c>
      <c r="S719" s="4" t="str">
        <f>TEXT(Mileage[[#This Row],[Date]],"dddd")</f>
        <v>Wednesday</v>
      </c>
      <c r="T719" s="4" t="s">
        <v>231</v>
      </c>
      <c r="U719" s="4">
        <v>52</v>
      </c>
      <c r="V719" t="str" cm="1">
        <f t="array" ref="V719">IFERROR(VLOOKUP(MODE(IF(Combined[Date]=Mileage[[#This Row],[Date]],Combined[Area '#])),KPIs!$B$4:$C$7,2,FALSE),VLOOKUP(Mileage[[#This Row],[Date]],Combined[[Date]:[Primary Area]],8,FALSE))</f>
        <v>Augusta</v>
      </c>
      <c r="W719" s="105">
        <v>0.77777777777777779</v>
      </c>
      <c r="X719" s="12">
        <v>5.0199999999999996</v>
      </c>
      <c r="Y719">
        <v>142</v>
      </c>
      <c r="Z7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0" spans="2:26" x14ac:dyDescent="0.35">
      <c r="B720">
        <f t="shared" si="186"/>
        <v>718</v>
      </c>
      <c r="C720" t="s">
        <v>86</v>
      </c>
      <c r="D720" t="s">
        <v>175</v>
      </c>
      <c r="E720">
        <f>IF(WEEKNUM(Combined[[#This Row],[Date]], 1) = 53, 1, WEEKNUM(Combined[[#This Row],[Date]], 2))</f>
        <v>22</v>
      </c>
      <c r="F720" t="str">
        <f t="shared" si="192"/>
        <v>Friday</v>
      </c>
      <c r="G720" s="41">
        <v>45072</v>
      </c>
      <c r="H720">
        <v>4</v>
      </c>
      <c r="I720" s="1">
        <v>37.53</v>
      </c>
      <c r="J720" s="2">
        <v>8.5416666666666655E-2</v>
      </c>
      <c r="K720" s="12">
        <f>Combined[[#This Row],[Time Spent]]*24</f>
        <v>2.0499999999999998</v>
      </c>
      <c r="L720" s="12">
        <f>MROUND(Combined[[#This Row],[Time Spent 2]],0.25)</f>
        <v>2</v>
      </c>
      <c r="M720" s="2" t="s">
        <v>90</v>
      </c>
      <c r="N720" t="s">
        <v>80</v>
      </c>
      <c r="O720">
        <f>MATCH(Combined[[#This Row],[Primary Area]],KPIs!$C$4:$C$7,0)</f>
        <v>2</v>
      </c>
      <c r="Q720" s="40">
        <v>45799</v>
      </c>
      <c r="R720" s="40">
        <f t="shared" si="187"/>
        <v>45799</v>
      </c>
      <c r="S720" s="4" t="str">
        <f>TEXT(Mileage[[#This Row],[Date]],"dddd")</f>
        <v>Thursday</v>
      </c>
      <c r="T720" s="4" t="s">
        <v>231</v>
      </c>
      <c r="U720" s="4">
        <v>50</v>
      </c>
      <c r="V720" t="str" cm="1">
        <f t="array" ref="V720">IFERROR(VLOOKUP(MODE(IF(Combined[Date]=Mileage[[#This Row],[Date]],Combined[Area '#])),KPIs!$B$4:$C$7,2,FALSE),VLOOKUP(Mileage[[#This Row],[Date]],Combined[[Date]:[Primary Area]],8,FALSE))</f>
        <v>Brunswick/Bath/Freeport</v>
      </c>
      <c r="W720" s="105">
        <v>0.73263888888888884</v>
      </c>
      <c r="X720" s="12">
        <v>5.53</v>
      </c>
      <c r="Y720">
        <v>162</v>
      </c>
      <c r="Z72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1" spans="2:26" x14ac:dyDescent="0.35">
      <c r="B721">
        <f t="shared" si="186"/>
        <v>719</v>
      </c>
      <c r="C721" t="s">
        <v>86</v>
      </c>
      <c r="D721" t="s">
        <v>175</v>
      </c>
      <c r="E721">
        <f>IF(WEEKNUM(Combined[[#This Row],[Date]], 1) = 53, 1, WEEKNUM(Combined[[#This Row],[Date]], 2))</f>
        <v>22</v>
      </c>
      <c r="F721" t="str">
        <f t="shared" si="192"/>
        <v>Friday</v>
      </c>
      <c r="G721" s="41">
        <v>45072</v>
      </c>
      <c r="H721">
        <v>8</v>
      </c>
      <c r="I721" s="1">
        <v>84.17</v>
      </c>
      <c r="J721" s="2">
        <v>0.17361111111111113</v>
      </c>
      <c r="K721" s="12">
        <f>Combined[[#This Row],[Time Spent]]*24</f>
        <v>4.166666666666667</v>
      </c>
      <c r="L721" s="12">
        <f>MROUND(Combined[[#This Row],[Time Spent 2]],0.25)</f>
        <v>4.25</v>
      </c>
      <c r="M721" s="2" t="s">
        <v>91</v>
      </c>
      <c r="N721" t="s">
        <v>80</v>
      </c>
      <c r="O721">
        <f>MATCH(Combined[[#This Row],[Primary Area]],KPIs!$C$4:$C$7,0)</f>
        <v>2</v>
      </c>
      <c r="Q721" s="40">
        <v>45803</v>
      </c>
      <c r="R721" s="40">
        <f t="shared" si="187"/>
        <v>45803</v>
      </c>
      <c r="S721" s="4" t="str">
        <f>TEXT(Mileage[[#This Row],[Date]],"dddd")</f>
        <v>Monday</v>
      </c>
      <c r="T721" s="4" t="s">
        <v>249</v>
      </c>
      <c r="U721" s="4">
        <v>72</v>
      </c>
      <c r="V721" t="str" cm="1">
        <f t="array" ref="V721">IFERROR(VLOOKUP(MODE(IF(Combined[Date]=Mileage[[#This Row],[Date]],Combined[Area '#])),KPIs!$B$4:$C$7,2,FALSE),VLOOKUP(Mileage[[#This Row],[Date]],Combined[[Date]:[Primary Area]],8,FALSE))</f>
        <v>Brunswick/Bath/Freeport</v>
      </c>
      <c r="W721" s="105">
        <v>0.49652777777777779</v>
      </c>
      <c r="X721" s="12">
        <v>5.75</v>
      </c>
      <c r="Y721">
        <v>143</v>
      </c>
      <c r="Z7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2" spans="2:26" x14ac:dyDescent="0.35">
      <c r="B722">
        <f t="shared" si="186"/>
        <v>720</v>
      </c>
      <c r="C722" t="s">
        <v>83</v>
      </c>
      <c r="D722" t="s">
        <v>176</v>
      </c>
      <c r="E722">
        <f>IF(WEEKNUM(Combined[[#This Row],[Date]], 1) = 53, 1, WEEKNUM(Combined[[#This Row],[Date]], 2))</f>
        <v>23</v>
      </c>
      <c r="F722" t="str">
        <f t="shared" ref="F722" si="193">TEXT(WEEKDAY(G722,1),"DDDD")</f>
        <v>Wednesday</v>
      </c>
      <c r="G722" s="41">
        <v>45077</v>
      </c>
      <c r="H722">
        <v>5</v>
      </c>
      <c r="I722" s="1">
        <v>52.38</v>
      </c>
      <c r="J722" s="2">
        <v>0.16527777777777777</v>
      </c>
      <c r="K722" s="12">
        <f>Combined[[#This Row],[Time Spent]]*24</f>
        <v>3.9666666666666668</v>
      </c>
      <c r="L722" s="12">
        <f>MROUND(Combined[[#This Row],[Time Spent 2]],0.25)</f>
        <v>4</v>
      </c>
      <c r="M722" s="2" t="s">
        <v>91</v>
      </c>
      <c r="N722" t="s">
        <v>85</v>
      </c>
      <c r="O722">
        <f>MATCH(Combined[[#This Row],[Primary Area]],KPIs!$C$4:$C$7,0)</f>
        <v>4</v>
      </c>
      <c r="Q722" s="40">
        <v>45804</v>
      </c>
      <c r="R722" s="40">
        <f t="shared" si="187"/>
        <v>45804</v>
      </c>
      <c r="S722" s="4" t="str">
        <f>TEXT(Mileage[[#This Row],[Date]],"dddd")</f>
        <v>Tuesday</v>
      </c>
      <c r="T722" s="4" t="s">
        <v>249</v>
      </c>
      <c r="U722" s="4">
        <v>73</v>
      </c>
      <c r="V722" t="str" cm="1">
        <f t="array" ref="V722">IFERROR(VLOOKUP(MODE(IF(Combined[Date]=Mileage[[#This Row],[Date]],Combined[Area '#])),KPIs!$B$4:$C$7,2,FALSE),VLOOKUP(Mileage[[#This Row],[Date]],Combined[[Date]:[Primary Area]],8,FALSE))</f>
        <v>Brunswick/Bath/Freeport</v>
      </c>
      <c r="W722" s="105">
        <v>0.76041666666666663</v>
      </c>
      <c r="X722" s="12">
        <v>5.0199999999999996</v>
      </c>
      <c r="Y722">
        <v>120</v>
      </c>
      <c r="Z72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23" spans="2:26" x14ac:dyDescent="0.35">
      <c r="B723">
        <f t="shared" si="186"/>
        <v>721</v>
      </c>
      <c r="C723" t="s">
        <v>86</v>
      </c>
      <c r="D723" t="s">
        <v>176</v>
      </c>
      <c r="E723">
        <f>IF(WEEKNUM(Combined[[#This Row],[Date]], 1) = 53, 1, WEEKNUM(Combined[[#This Row],[Date]], 2))</f>
        <v>23</v>
      </c>
      <c r="F723" t="str">
        <f t="shared" ref="F723" si="194">TEXT(WEEKDAY(G723,1),"DDDD")</f>
        <v>Thursday</v>
      </c>
      <c r="G723" s="41">
        <v>45078</v>
      </c>
      <c r="H723">
        <v>13</v>
      </c>
      <c r="I723" s="1">
        <v>108</v>
      </c>
      <c r="J723" s="2">
        <v>0.20972222222222223</v>
      </c>
      <c r="K723" s="12">
        <f>Combined[[#This Row],[Time Spent]]*24</f>
        <v>5.0333333333333332</v>
      </c>
      <c r="L723" s="12">
        <f>MROUND(Combined[[#This Row],[Time Spent 2]],0.25)</f>
        <v>5</v>
      </c>
      <c r="M723" s="2" t="s">
        <v>91</v>
      </c>
      <c r="N723" t="s">
        <v>80</v>
      </c>
      <c r="O723">
        <f>MATCH(Combined[[#This Row],[Primary Area]],KPIs!$C$4:$C$7,0)</f>
        <v>2</v>
      </c>
      <c r="Q723" s="40">
        <v>45805</v>
      </c>
      <c r="R723" s="40">
        <f t="shared" si="187"/>
        <v>45805</v>
      </c>
      <c r="S723" s="4" t="str">
        <f>TEXT(Mileage[[#This Row],[Date]],"dddd")</f>
        <v>Wednesday</v>
      </c>
      <c r="T723" s="4" t="s">
        <v>230</v>
      </c>
      <c r="U723" s="4">
        <v>72</v>
      </c>
      <c r="V723" t="str" cm="1">
        <f t="array" ref="V723">IFERROR(VLOOKUP(MODE(IF(Combined[Date]=Mileage[[#This Row],[Date]],Combined[Area '#])),KPIs!$B$4:$C$7,2,FALSE),VLOOKUP(Mileage[[#This Row],[Date]],Combined[[Date]:[Primary Area]],8,FALSE))</f>
        <v>Portland</v>
      </c>
      <c r="W723" s="105">
        <v>0.78472222222222221</v>
      </c>
      <c r="X723" s="12">
        <v>5.77</v>
      </c>
      <c r="Y723">
        <v>147</v>
      </c>
      <c r="Z7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24" spans="2:26" x14ac:dyDescent="0.35">
      <c r="B724">
        <f t="shared" si="186"/>
        <v>722</v>
      </c>
      <c r="C724" t="s">
        <v>83</v>
      </c>
      <c r="D724" t="s">
        <v>176</v>
      </c>
      <c r="E724">
        <f>IF(WEEKNUM(Combined[[#This Row],[Date]], 1) = 53, 1, WEEKNUM(Combined[[#This Row],[Date]], 2))</f>
        <v>23</v>
      </c>
      <c r="F724" t="str">
        <f>TEXT(WEEKDAY(G724,1),"DDDD")</f>
        <v>Friday</v>
      </c>
      <c r="G724" s="41">
        <v>45079</v>
      </c>
      <c r="H724">
        <v>3</v>
      </c>
      <c r="I724" s="1">
        <v>50.08</v>
      </c>
      <c r="J724" s="2">
        <v>0.12222222222222223</v>
      </c>
      <c r="K724" s="12">
        <f>Combined[[#This Row],[Time Spent]]*24</f>
        <v>2.9333333333333336</v>
      </c>
      <c r="L724" s="12">
        <f>MROUND(Combined[[#This Row],[Time Spent 2]],0.25)</f>
        <v>3</v>
      </c>
      <c r="M724" s="2" t="s">
        <v>91</v>
      </c>
      <c r="N724" t="s">
        <v>80</v>
      </c>
      <c r="O724">
        <f>MATCH(Combined[[#This Row],[Primary Area]],KPIs!$C$4:$C$7,0)</f>
        <v>2</v>
      </c>
      <c r="Q724" s="40">
        <v>45806</v>
      </c>
      <c r="R724" s="40">
        <f t="shared" si="187"/>
        <v>45806</v>
      </c>
      <c r="S724" s="4" t="str">
        <f>TEXT(Mileage[[#This Row],[Date]],"dddd")</f>
        <v>Thursday</v>
      </c>
      <c r="T724" s="4" t="s">
        <v>249</v>
      </c>
      <c r="U724" s="4">
        <v>73</v>
      </c>
      <c r="V724" t="str" cm="1">
        <f t="array" ref="V724">IFERROR(VLOOKUP(MODE(IF(Combined[Date]=Mileage[[#This Row],[Date]],Combined[Area '#])),KPIs!$B$4:$C$7,2,FALSE),VLOOKUP(Mileage[[#This Row],[Date]],Combined[[Date]:[Primary Area]],8,FALSE))</f>
        <v>Brunswick/Bath/Freeport</v>
      </c>
      <c r="W724" s="105">
        <v>0.76736111111111116</v>
      </c>
      <c r="X724" s="12">
        <v>4.82</v>
      </c>
      <c r="Y724">
        <v>108</v>
      </c>
      <c r="Z7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5" spans="2:26" x14ac:dyDescent="0.35">
      <c r="B725">
        <f t="shared" si="186"/>
        <v>723</v>
      </c>
      <c r="C725" t="s">
        <v>86</v>
      </c>
      <c r="D725" t="s">
        <v>176</v>
      </c>
      <c r="E725">
        <f>IF(WEEKNUM(Combined[[#This Row],[Date]], 1) = 53, 1, WEEKNUM(Combined[[#This Row],[Date]], 2))</f>
        <v>23</v>
      </c>
      <c r="F725" t="str">
        <f t="shared" ref="F725" si="195">TEXT(WEEKDAY(G725,1),"DDDD")</f>
        <v>Friday</v>
      </c>
      <c r="G725" s="41">
        <v>45079</v>
      </c>
      <c r="H725">
        <v>6</v>
      </c>
      <c r="I725" s="1">
        <v>63.5</v>
      </c>
      <c r="J725" s="2">
        <v>0.20555555555555557</v>
      </c>
      <c r="K725" s="12">
        <f>Combined[[#This Row],[Time Spent]]*24</f>
        <v>4.9333333333333336</v>
      </c>
      <c r="L725" s="12">
        <f>MROUND(Combined[[#This Row],[Time Spent 2]],0.25)</f>
        <v>5</v>
      </c>
      <c r="M725" s="2" t="s">
        <v>91</v>
      </c>
      <c r="N725" t="s">
        <v>80</v>
      </c>
      <c r="O725">
        <f>MATCH(Combined[[#This Row],[Primary Area]],KPIs!$C$4:$C$7,0)</f>
        <v>2</v>
      </c>
      <c r="Q725" s="40">
        <v>45807</v>
      </c>
      <c r="R725" s="40">
        <f t="shared" si="187"/>
        <v>45807</v>
      </c>
      <c r="S725" s="4" t="str">
        <f>TEXT(Mileage[[#This Row],[Date]],"dddd")</f>
        <v>Friday</v>
      </c>
      <c r="T725" s="4" t="s">
        <v>249</v>
      </c>
      <c r="U725" s="4">
        <v>70</v>
      </c>
      <c r="V725" t="str" cm="1">
        <f t="array" ref="V725">IFERROR(VLOOKUP(MODE(IF(Combined[Date]=Mileage[[#This Row],[Date]],Combined[Area '#])),KPIs!$B$4:$C$7,2,FALSE),VLOOKUP(Mileage[[#This Row],[Date]],Combined[[Date]:[Primary Area]],8,FALSE))</f>
        <v>Brunswick/Bath/Freeport</v>
      </c>
      <c r="W725" s="105">
        <v>0.75694444444444442</v>
      </c>
      <c r="X725" s="12">
        <v>6.73</v>
      </c>
      <c r="Y725">
        <v>127</v>
      </c>
      <c r="Z7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6" spans="2:26" x14ac:dyDescent="0.35">
      <c r="B726">
        <f t="shared" si="186"/>
        <v>724</v>
      </c>
      <c r="C726" t="s">
        <v>83</v>
      </c>
      <c r="D726" t="s">
        <v>176</v>
      </c>
      <c r="E726">
        <f>IF(WEEKNUM(Combined[[#This Row],[Date]], 1) = 53, 1, WEEKNUM(Combined[[#This Row],[Date]], 2))</f>
        <v>24</v>
      </c>
      <c r="F726" t="str">
        <f t="shared" ref="F726:F728" si="196">TEXT(WEEKDAY(G726,1),"DDDD")</f>
        <v>Friday</v>
      </c>
      <c r="G726" s="41">
        <v>45086</v>
      </c>
      <c r="H726">
        <v>4</v>
      </c>
      <c r="I726" s="1">
        <v>40.590000000000003</v>
      </c>
      <c r="J726" s="2">
        <v>0.12569444444444444</v>
      </c>
      <c r="K726" s="12">
        <f>Combined[[#This Row],[Time Spent]]*24</f>
        <v>3.0166666666666666</v>
      </c>
      <c r="L726" s="12">
        <f>MROUND(Combined[[#This Row],[Time Spent 2]],0.25)</f>
        <v>3</v>
      </c>
      <c r="M726" s="2" t="s">
        <v>91</v>
      </c>
      <c r="N726" t="s">
        <v>80</v>
      </c>
      <c r="O726">
        <f>MATCH(Combined[[#This Row],[Primary Area]],KPIs!$C$4:$C$7,0)</f>
        <v>2</v>
      </c>
      <c r="Q726" s="40">
        <v>45809</v>
      </c>
      <c r="R726" s="40">
        <f t="shared" si="187"/>
        <v>45809</v>
      </c>
      <c r="S726" s="4" t="str">
        <f>TEXT(Mileage[[#This Row],[Date]],"dddd")</f>
        <v>Sunday</v>
      </c>
      <c r="T726" s="4" t="s">
        <v>249</v>
      </c>
      <c r="U726" s="4">
        <v>61</v>
      </c>
      <c r="V726" t="str" cm="1">
        <f t="array" ref="V726">IFERROR(VLOOKUP(MODE(IF(Combined[Date]=Mileage[[#This Row],[Date]],Combined[Area '#])),KPIs!$B$4:$C$7,2,FALSE),VLOOKUP(Mileage[[#This Row],[Date]],Combined[[Date]:[Primary Area]],8,FALSE))</f>
        <v>Brunswick/Bath/Freeport</v>
      </c>
      <c r="W726" s="105">
        <v>0.75694444444444442</v>
      </c>
      <c r="X726" s="12">
        <v>3.6</v>
      </c>
      <c r="Y726">
        <v>64</v>
      </c>
      <c r="Z72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7" spans="2:26" x14ac:dyDescent="0.35">
      <c r="B727">
        <f t="shared" si="186"/>
        <v>725</v>
      </c>
      <c r="C727" t="s">
        <v>86</v>
      </c>
      <c r="D727" t="s">
        <v>175</v>
      </c>
      <c r="E727">
        <f>IF(WEEKNUM(Combined[[#This Row],[Date]], 1) = 53, 1, WEEKNUM(Combined[[#This Row],[Date]], 2))</f>
        <v>24</v>
      </c>
      <c r="F727" t="str">
        <f t="shared" si="196"/>
        <v>Friday</v>
      </c>
      <c r="G727" s="41">
        <v>45086</v>
      </c>
      <c r="H727">
        <v>3</v>
      </c>
      <c r="I727" s="1">
        <v>26.63</v>
      </c>
      <c r="J727" s="2">
        <v>7.013888888888889E-2</v>
      </c>
      <c r="K727" s="12">
        <f>Combined[[#This Row],[Time Spent]]*24</f>
        <v>1.6833333333333333</v>
      </c>
      <c r="L727" s="12">
        <f>MROUND(Combined[[#This Row],[Time Spent 2]],0.25)</f>
        <v>1.75</v>
      </c>
      <c r="M727" s="2" t="s">
        <v>91</v>
      </c>
      <c r="N727" t="s">
        <v>80</v>
      </c>
      <c r="O727">
        <f>MATCH(Combined[[#This Row],[Primary Area]],KPIs!$C$4:$C$7,0)</f>
        <v>2</v>
      </c>
      <c r="Q727" s="40">
        <v>45810</v>
      </c>
      <c r="R727" s="40">
        <f t="shared" si="187"/>
        <v>45810</v>
      </c>
      <c r="S727" s="4" t="str">
        <f>TEXT(Mileage[[#This Row],[Date]],"dddd")</f>
        <v>Monday</v>
      </c>
      <c r="T727" s="4" t="s">
        <v>249</v>
      </c>
      <c r="U727" s="4">
        <v>63</v>
      </c>
      <c r="V727" t="str" cm="1">
        <f t="array" ref="V727">IFERROR(VLOOKUP(MODE(IF(Combined[Date]=Mileage[[#This Row],[Date]],Combined[Area '#])),KPIs!$B$4:$C$7,2,FALSE),VLOOKUP(Mileage[[#This Row],[Date]],Combined[[Date]:[Primary Area]],8,FALSE))</f>
        <v>Brunswick/Bath/Freeport</v>
      </c>
      <c r="W727" s="105">
        <v>0.75347222222222221</v>
      </c>
      <c r="X727" s="12">
        <v>4.03</v>
      </c>
      <c r="Y727">
        <v>101</v>
      </c>
      <c r="Z72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8" spans="2:26" x14ac:dyDescent="0.35">
      <c r="B728">
        <f t="shared" si="186"/>
        <v>726</v>
      </c>
      <c r="C728" t="s">
        <v>86</v>
      </c>
      <c r="D728" t="s">
        <v>175</v>
      </c>
      <c r="E728">
        <f>IF(WEEKNUM(Combined[[#This Row],[Date]], 1) = 53, 1, WEEKNUM(Combined[[#This Row],[Date]], 2))</f>
        <v>24</v>
      </c>
      <c r="F728" t="str">
        <f t="shared" si="196"/>
        <v>Friday</v>
      </c>
      <c r="G728" s="41">
        <v>45086</v>
      </c>
      <c r="H728">
        <v>3</v>
      </c>
      <c r="I728" s="1">
        <v>45.66</v>
      </c>
      <c r="J728" s="2">
        <v>0.10347222222222223</v>
      </c>
      <c r="K728" s="12">
        <f>Combined[[#This Row],[Time Spent]]*24</f>
        <v>2.4833333333333334</v>
      </c>
      <c r="L728" s="12">
        <f>MROUND(Combined[[#This Row],[Time Spent 2]],0.25)</f>
        <v>2.5</v>
      </c>
      <c r="M728" s="2" t="s">
        <v>91</v>
      </c>
      <c r="N728" t="s">
        <v>80</v>
      </c>
      <c r="O728">
        <f>MATCH(Combined[[#This Row],[Primary Area]],KPIs!$C$4:$C$7,0)</f>
        <v>2</v>
      </c>
      <c r="Q728" s="40">
        <v>45811</v>
      </c>
      <c r="R728" s="40">
        <f t="shared" si="187"/>
        <v>45811</v>
      </c>
      <c r="S728" s="4" t="str">
        <f>TEXT(Mileage[[#This Row],[Date]],"dddd")</f>
        <v>Tuesday</v>
      </c>
      <c r="T728" s="4" t="s">
        <v>281</v>
      </c>
      <c r="U728" s="4">
        <v>70</v>
      </c>
      <c r="V728" t="str" cm="1">
        <f t="array" ref="V728">IFERROR(VLOOKUP(MODE(IF(Combined[Date]=Mileage[[#This Row],[Date]],Combined[Area '#])),KPIs!$B$4:$C$7,2,FALSE),VLOOKUP(Mileage[[#This Row],[Date]],Combined[[Date]:[Primary Area]],8,FALSE))</f>
        <v>Brunswick/Bath/Freeport</v>
      </c>
      <c r="W728" s="105">
        <v>0.77777777777777779</v>
      </c>
      <c r="X728" s="12">
        <v>4.47</v>
      </c>
      <c r="Y728">
        <v>110</v>
      </c>
      <c r="Z7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29" spans="2:26" x14ac:dyDescent="0.35">
      <c r="B729">
        <f t="shared" si="186"/>
        <v>727</v>
      </c>
      <c r="C729" t="s">
        <v>83</v>
      </c>
      <c r="D729" t="s">
        <v>176</v>
      </c>
      <c r="E729">
        <f>IF(WEEKNUM(Combined[[#This Row],[Date]], 1) = 53, 1, WEEKNUM(Combined[[#This Row],[Date]], 2))</f>
        <v>24</v>
      </c>
      <c r="F729" t="str">
        <f t="shared" ref="F729:F731" si="197">TEXT(WEEKDAY(G729,1),"DDDD")</f>
        <v>Saturday</v>
      </c>
      <c r="G729" s="41">
        <v>45087</v>
      </c>
      <c r="H729">
        <v>6</v>
      </c>
      <c r="I729" s="1">
        <v>59.05</v>
      </c>
      <c r="J729" s="2">
        <v>9.5833333333333326E-2</v>
      </c>
      <c r="K729" s="12">
        <f>Combined[[#This Row],[Time Spent]]*24</f>
        <v>2.2999999999999998</v>
      </c>
      <c r="L729" s="12">
        <f>MROUND(Combined[[#This Row],[Time Spent 2]],0.25)</f>
        <v>2.25</v>
      </c>
      <c r="M729" s="2" t="s">
        <v>91</v>
      </c>
      <c r="N729" t="s">
        <v>80</v>
      </c>
      <c r="O729">
        <f>MATCH(Combined[[#This Row],[Primary Area]],KPIs!$C$4:$C$7,0)</f>
        <v>2</v>
      </c>
      <c r="Q729" s="40">
        <v>45812</v>
      </c>
      <c r="R729" s="40">
        <f t="shared" si="187"/>
        <v>45812</v>
      </c>
      <c r="S729" s="4" t="str">
        <f>TEXT(Mileage[[#This Row],[Date]],"dddd")</f>
        <v>Wednesday</v>
      </c>
      <c r="T729" s="4" t="s">
        <v>281</v>
      </c>
      <c r="U729" s="4">
        <v>75</v>
      </c>
      <c r="V729" t="str" cm="1">
        <f t="array" ref="V729">IFERROR(VLOOKUP(MODE(IF(Combined[Date]=Mileage[[#This Row],[Date]],Combined[Area '#])),KPIs!$B$4:$C$7,2,FALSE),VLOOKUP(Mileage[[#This Row],[Date]],Combined[[Date]:[Primary Area]],8,FALSE))</f>
        <v>Lewiston</v>
      </c>
      <c r="W729" s="105">
        <v>0.75694444444444442</v>
      </c>
      <c r="X729" s="12">
        <v>4.83</v>
      </c>
      <c r="Y729">
        <v>76</v>
      </c>
      <c r="Z7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0" spans="2:26" x14ac:dyDescent="0.35">
      <c r="B730">
        <f t="shared" si="186"/>
        <v>728</v>
      </c>
      <c r="C730" t="s">
        <v>86</v>
      </c>
      <c r="D730" t="s">
        <v>176</v>
      </c>
      <c r="E730">
        <f>IF(WEEKNUM(Combined[[#This Row],[Date]], 1) = 53, 1, WEEKNUM(Combined[[#This Row],[Date]], 2))</f>
        <v>24</v>
      </c>
      <c r="F730" t="str">
        <f t="shared" si="197"/>
        <v>Saturday</v>
      </c>
      <c r="G730" s="41">
        <v>45087</v>
      </c>
      <c r="H730">
        <v>6</v>
      </c>
      <c r="I730" s="1">
        <v>44.5</v>
      </c>
      <c r="J730" s="2">
        <v>6.458333333333334E-2</v>
      </c>
      <c r="K730" s="12">
        <f>Combined[[#This Row],[Time Spent]]*24</f>
        <v>1.5500000000000003</v>
      </c>
      <c r="L730" s="12">
        <f>MROUND(Combined[[#This Row],[Time Spent 2]],0.25)</f>
        <v>1.5</v>
      </c>
      <c r="M730" s="2" t="s">
        <v>91</v>
      </c>
      <c r="N730" t="s">
        <v>80</v>
      </c>
      <c r="O730">
        <f>MATCH(Combined[[#This Row],[Primary Area]],KPIs!$C$4:$C$7,0)</f>
        <v>2</v>
      </c>
      <c r="Q730" s="40">
        <v>45814</v>
      </c>
      <c r="R730" s="40">
        <f t="shared" si="187"/>
        <v>45814</v>
      </c>
      <c r="S730" s="4" t="str">
        <f>TEXT(Mileage[[#This Row],[Date]],"dddd")</f>
        <v>Friday</v>
      </c>
      <c r="T730" s="4" t="s">
        <v>325</v>
      </c>
      <c r="U730" s="4">
        <v>68</v>
      </c>
      <c r="V730" t="str" cm="1">
        <f t="array" ref="V730">IFERROR(VLOOKUP(MODE(IF(Combined[Date]=Mileage[[#This Row],[Date]],Combined[Area '#])),KPIs!$B$4:$C$7,2,FALSE),VLOOKUP(Mileage[[#This Row],[Date]],Combined[[Date]:[Primary Area]],8,FALSE))</f>
        <v>Lewiston</v>
      </c>
      <c r="W730" s="105">
        <v>0.74305555555555558</v>
      </c>
      <c r="X730" s="12">
        <v>4.97</v>
      </c>
      <c r="Y730">
        <v>74</v>
      </c>
      <c r="Z73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1" spans="2:26" x14ac:dyDescent="0.35">
      <c r="B731">
        <f t="shared" si="186"/>
        <v>729</v>
      </c>
      <c r="C731" t="s">
        <v>86</v>
      </c>
      <c r="D731" t="s">
        <v>176</v>
      </c>
      <c r="E731">
        <f>IF(WEEKNUM(Combined[[#This Row],[Date]], 1) = 53, 1, WEEKNUM(Combined[[#This Row],[Date]], 2))</f>
        <v>24</v>
      </c>
      <c r="F731" t="str">
        <f t="shared" si="197"/>
        <v>Saturday</v>
      </c>
      <c r="G731" s="41">
        <v>45087</v>
      </c>
      <c r="H731">
        <v>2</v>
      </c>
      <c r="I731" s="1">
        <v>15.25</v>
      </c>
      <c r="J731" s="2">
        <v>2.7083333333333334E-2</v>
      </c>
      <c r="K731" s="12">
        <f>Combined[[#This Row],[Time Spent]]*24</f>
        <v>0.65</v>
      </c>
      <c r="L731" s="12">
        <f>MROUND(Combined[[#This Row],[Time Spent 2]],0.25)</f>
        <v>0.75</v>
      </c>
      <c r="M731" s="2" t="s">
        <v>91</v>
      </c>
      <c r="N731" t="s">
        <v>80</v>
      </c>
      <c r="O731">
        <f>MATCH(Combined[[#This Row],[Primary Area]],KPIs!$C$4:$C$7,0)</f>
        <v>2</v>
      </c>
      <c r="Q731" s="40">
        <v>45815</v>
      </c>
      <c r="R731" s="40">
        <f t="shared" si="187"/>
        <v>45815</v>
      </c>
      <c r="S731" s="4" t="str">
        <f>TEXT(Mileage[[#This Row],[Date]],"dddd")</f>
        <v>Saturday</v>
      </c>
      <c r="T731" s="4" t="s">
        <v>230</v>
      </c>
      <c r="U731" s="4">
        <v>68</v>
      </c>
      <c r="V731" t="str" cm="1">
        <f t="array" ref="V731">IFERROR(VLOOKUP(MODE(IF(Combined[Date]=Mileage[[#This Row],[Date]],Combined[Area '#])),KPIs!$B$4:$C$7,2,FALSE),VLOOKUP(Mileage[[#This Row],[Date]],Combined[[Date]:[Primary Area]],8,FALSE))</f>
        <v>Brunswick/Bath/Freeport</v>
      </c>
      <c r="W731" s="105">
        <v>0.51736111111111116</v>
      </c>
      <c r="X731" s="12">
        <v>5.97</v>
      </c>
      <c r="Y731">
        <v>146</v>
      </c>
      <c r="Z73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2" spans="2:26" x14ac:dyDescent="0.35">
      <c r="B732">
        <f t="shared" si="186"/>
        <v>730</v>
      </c>
      <c r="C732" t="s">
        <v>83</v>
      </c>
      <c r="D732" t="s">
        <v>176</v>
      </c>
      <c r="E732">
        <f>IF(WEEKNUM(Combined[[#This Row],[Date]], 1) = 53, 1, WEEKNUM(Combined[[#This Row],[Date]], 2))</f>
        <v>26</v>
      </c>
      <c r="F732" t="str">
        <f t="shared" ref="F732:F734" si="198">TEXT(WEEKDAY(G732,1),"DDDD")</f>
        <v>Tuesday</v>
      </c>
      <c r="G732" s="41">
        <v>45097</v>
      </c>
      <c r="H732">
        <v>1</v>
      </c>
      <c r="I732" s="1">
        <v>14.77</v>
      </c>
      <c r="J732" s="2">
        <v>7.0833333333333331E-2</v>
      </c>
      <c r="K732" s="12">
        <f>Combined[[#This Row],[Time Spent]]*24</f>
        <v>1.7</v>
      </c>
      <c r="L732" s="12">
        <f>MROUND(Combined[[#This Row],[Time Spent 2]],0.25)</f>
        <v>1.75</v>
      </c>
      <c r="M732" s="2" t="s">
        <v>91</v>
      </c>
      <c r="N732" t="s">
        <v>174</v>
      </c>
      <c r="O732">
        <f>MATCH(Combined[[#This Row],[Primary Area]],KPIs!$C$4:$C$7,0)</f>
        <v>1</v>
      </c>
      <c r="Q732" s="40">
        <v>45817</v>
      </c>
      <c r="R732" s="40">
        <f t="shared" si="187"/>
        <v>45817</v>
      </c>
      <c r="S732" s="4" t="str">
        <f>TEXT(Mileage[[#This Row],[Date]],"dddd")</f>
        <v>Monday</v>
      </c>
      <c r="T732" s="4" t="s">
        <v>231</v>
      </c>
      <c r="U732" s="4">
        <v>63</v>
      </c>
      <c r="V732" t="str" cm="1">
        <f t="array" ref="V732">IFERROR(VLOOKUP(MODE(IF(Combined[Date]=Mileage[[#This Row],[Date]],Combined[Area '#])),KPIs!$B$4:$C$7,2,FALSE),VLOOKUP(Mileage[[#This Row],[Date]],Combined[[Date]:[Primary Area]],8,FALSE))</f>
        <v>Lewiston</v>
      </c>
      <c r="W732" s="105">
        <v>0.76736111111111116</v>
      </c>
      <c r="X732" s="12">
        <v>5.8</v>
      </c>
      <c r="Y732">
        <v>92</v>
      </c>
      <c r="Z7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3" spans="2:26" x14ac:dyDescent="0.35">
      <c r="B733">
        <f t="shared" si="186"/>
        <v>731</v>
      </c>
      <c r="C733" t="s">
        <v>86</v>
      </c>
      <c r="D733" t="s">
        <v>176</v>
      </c>
      <c r="E733">
        <f>IF(WEEKNUM(Combined[[#This Row],[Date]], 1) = 53, 1, WEEKNUM(Combined[[#This Row],[Date]], 2))</f>
        <v>26</v>
      </c>
      <c r="F733" t="str">
        <f t="shared" si="198"/>
        <v>Tuesday</v>
      </c>
      <c r="G733" s="41">
        <v>45097</v>
      </c>
      <c r="H733">
        <v>4</v>
      </c>
      <c r="I733" s="1">
        <v>47.05</v>
      </c>
      <c r="J733" s="2">
        <v>0.1013888888888889</v>
      </c>
      <c r="K733" s="12">
        <f>Combined[[#This Row],[Time Spent]]*24</f>
        <v>2.4333333333333336</v>
      </c>
      <c r="L733" s="12">
        <f>MROUND(Combined[[#This Row],[Time Spent 2]],0.25)</f>
        <v>2.5</v>
      </c>
      <c r="M733" s="2" t="s">
        <v>91</v>
      </c>
      <c r="N733" t="s">
        <v>174</v>
      </c>
      <c r="O733">
        <f>MATCH(Combined[[#This Row],[Primary Area]],KPIs!$C$4:$C$7,0)</f>
        <v>1</v>
      </c>
      <c r="Q733" s="40">
        <v>45818</v>
      </c>
      <c r="R733" s="40">
        <f t="shared" si="187"/>
        <v>45818</v>
      </c>
      <c r="S733" s="4" t="str">
        <f>TEXT(Mileage[[#This Row],[Date]],"dddd")</f>
        <v>Tuesday</v>
      </c>
      <c r="T733" s="4" t="s">
        <v>276</v>
      </c>
      <c r="U733" s="4">
        <v>61</v>
      </c>
      <c r="V733" t="str" cm="1">
        <f t="array" ref="V733">IFERROR(VLOOKUP(MODE(IF(Combined[Date]=Mileage[[#This Row],[Date]],Combined[Area '#])),KPIs!$B$4:$C$7,2,FALSE),VLOOKUP(Mileage[[#This Row],[Date]],Combined[[Date]:[Primary Area]],8,FALSE))</f>
        <v>Brunswick/Bath/Freeport</v>
      </c>
      <c r="W733" s="105">
        <v>0.75694444444444442</v>
      </c>
      <c r="X733" s="12">
        <v>3.67</v>
      </c>
      <c r="Y733">
        <v>80</v>
      </c>
      <c r="Z73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34" spans="2:26" x14ac:dyDescent="0.35">
      <c r="B734">
        <f t="shared" si="186"/>
        <v>732</v>
      </c>
      <c r="C734" t="s">
        <v>86</v>
      </c>
      <c r="D734" t="s">
        <v>176</v>
      </c>
      <c r="E734">
        <f>IF(WEEKNUM(Combined[[#This Row],[Date]], 1) = 53, 1, WEEKNUM(Combined[[#This Row],[Date]], 2))</f>
        <v>26</v>
      </c>
      <c r="F734" t="str">
        <f t="shared" si="198"/>
        <v>Tuesday</v>
      </c>
      <c r="G734" s="41">
        <v>45097</v>
      </c>
      <c r="H734">
        <v>2</v>
      </c>
      <c r="I734" s="1">
        <v>23.75</v>
      </c>
      <c r="J734" s="2">
        <v>5.347222222222222E-2</v>
      </c>
      <c r="K734" s="12">
        <f>Combined[[#This Row],[Time Spent]]*24</f>
        <v>1.2833333333333332</v>
      </c>
      <c r="L734" s="12">
        <f>MROUND(Combined[[#This Row],[Time Spent 2]],0.25)</f>
        <v>1.25</v>
      </c>
      <c r="M734" s="2" t="s">
        <v>91</v>
      </c>
      <c r="N734" t="s">
        <v>174</v>
      </c>
      <c r="O734">
        <f>MATCH(Combined[[#This Row],[Primary Area]],KPIs!$C$4:$C$7,0)</f>
        <v>1</v>
      </c>
      <c r="Q734" s="40">
        <v>45820</v>
      </c>
      <c r="R734" s="40">
        <f t="shared" si="187"/>
        <v>45820</v>
      </c>
      <c r="S734" s="4" t="str">
        <f>TEXT(Mileage[[#This Row],[Date]],"dddd")</f>
        <v>Thursday</v>
      </c>
      <c r="T734" s="4" t="s">
        <v>230</v>
      </c>
      <c r="U734" s="4">
        <v>73</v>
      </c>
      <c r="V734" t="str" cm="1">
        <f t="array" ref="V734">IFERROR(VLOOKUP(MODE(IF(Combined[Date]=Mileage[[#This Row],[Date]],Combined[Area '#])),KPIs!$B$4:$C$7,2,FALSE),VLOOKUP(Mileage[[#This Row],[Date]],Combined[[Date]:[Primary Area]],8,FALSE))</f>
        <v>Brunswick/Bath/Freeport</v>
      </c>
      <c r="W734" s="105">
        <v>0.75694444444444442</v>
      </c>
      <c r="X734" s="12">
        <v>6.82</v>
      </c>
      <c r="Y734">
        <v>167</v>
      </c>
      <c r="Z73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5" spans="2:26" x14ac:dyDescent="0.35">
      <c r="B735">
        <f t="shared" si="186"/>
        <v>733</v>
      </c>
      <c r="C735" t="s">
        <v>86</v>
      </c>
      <c r="D735" t="s">
        <v>176</v>
      </c>
      <c r="E735">
        <f>IF(WEEKNUM(Combined[[#This Row],[Date]], 1) = 53, 1, WEEKNUM(Combined[[#This Row],[Date]], 2))</f>
        <v>26</v>
      </c>
      <c r="F735" t="str">
        <f>TEXT(WEEKDAY(G735,1),"DDDD")</f>
        <v>Tuesday</v>
      </c>
      <c r="G735" s="41">
        <v>45097</v>
      </c>
      <c r="H735">
        <v>3</v>
      </c>
      <c r="I735" s="1">
        <v>19.75</v>
      </c>
      <c r="J735" s="2">
        <v>3.5416666666666666E-2</v>
      </c>
      <c r="K735" s="12">
        <f>Combined[[#This Row],[Time Spent]]*24</f>
        <v>0.85</v>
      </c>
      <c r="L735" s="12">
        <f>MROUND(Combined[[#This Row],[Time Spent 2]],0.25)</f>
        <v>0.75</v>
      </c>
      <c r="M735" s="2" t="s">
        <v>92</v>
      </c>
      <c r="N735" t="s">
        <v>174</v>
      </c>
      <c r="O735">
        <f>MATCH(Combined[[#This Row],[Primary Area]],KPIs!$C$4:$C$7,0)</f>
        <v>1</v>
      </c>
      <c r="Q735" s="40">
        <v>45821</v>
      </c>
      <c r="R735" s="40">
        <f t="shared" si="187"/>
        <v>45821</v>
      </c>
      <c r="S735" s="4" t="str">
        <f>TEXT(Mileage[[#This Row],[Date]],"dddd")</f>
        <v>Friday</v>
      </c>
      <c r="T735" s="4" t="s">
        <v>230</v>
      </c>
      <c r="U735" s="4">
        <v>68</v>
      </c>
      <c r="V735" t="str" cm="1">
        <f t="array" ref="V735">IFERROR(VLOOKUP(MODE(IF(Combined[Date]=Mileage[[#This Row],[Date]],Combined[Area '#])),KPIs!$B$4:$C$7,2,FALSE),VLOOKUP(Mileage[[#This Row],[Date]],Combined[[Date]:[Primary Area]],8,FALSE))</f>
        <v>Lewiston</v>
      </c>
      <c r="W735" s="105">
        <v>0.75347222222222221</v>
      </c>
      <c r="X735" s="12">
        <v>3.93</v>
      </c>
      <c r="Y735">
        <v>64</v>
      </c>
      <c r="Z73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6" spans="2:26" x14ac:dyDescent="0.35">
      <c r="B736">
        <f t="shared" si="186"/>
        <v>734</v>
      </c>
      <c r="C736" t="s">
        <v>83</v>
      </c>
      <c r="D736" t="s">
        <v>176</v>
      </c>
      <c r="E736">
        <f>IF(WEEKNUM(Combined[[#This Row],[Date]], 1) = 53, 1, WEEKNUM(Combined[[#This Row],[Date]], 2))</f>
        <v>26</v>
      </c>
      <c r="F736" t="str">
        <f t="shared" ref="F736:F740" si="199">TEXT(WEEKDAY(G736,1),"DDDD")</f>
        <v>Wednesday</v>
      </c>
      <c r="G736" s="41">
        <v>45098</v>
      </c>
      <c r="H736">
        <v>6</v>
      </c>
      <c r="I736" s="1">
        <v>54.19</v>
      </c>
      <c r="J736" s="2">
        <v>0.15486111111111112</v>
      </c>
      <c r="K736" s="12">
        <f>Combined[[#This Row],[Time Spent]]*24</f>
        <v>3.7166666666666668</v>
      </c>
      <c r="L736" s="12">
        <f>MROUND(Combined[[#This Row],[Time Spent 2]],0.25)</f>
        <v>3.75</v>
      </c>
      <c r="M736" s="2" t="s">
        <v>91</v>
      </c>
      <c r="N736" t="s">
        <v>85</v>
      </c>
      <c r="O736">
        <f>MATCH(Combined[[#This Row],[Primary Area]],KPIs!$C$4:$C$7,0)</f>
        <v>4</v>
      </c>
      <c r="Q736" s="40">
        <v>45824</v>
      </c>
      <c r="R736" s="40">
        <f t="shared" si="187"/>
        <v>45824</v>
      </c>
      <c r="S736" s="4" t="str">
        <f>TEXT(Mileage[[#This Row],[Date]],"dddd")</f>
        <v>Monday</v>
      </c>
      <c r="T736" s="4" t="s">
        <v>281</v>
      </c>
      <c r="U736" s="4">
        <v>66</v>
      </c>
      <c r="V736" t="str" cm="1">
        <f t="array" ref="V736">IFERROR(VLOOKUP(MODE(IF(Combined[Date]=Mileage[[#This Row],[Date]],Combined[Area '#])),KPIs!$B$4:$C$7,2,FALSE),VLOOKUP(Mileage[[#This Row],[Date]],Combined[[Date]:[Primary Area]],8,FALSE))</f>
        <v>Brunswick/Bath/Freeport</v>
      </c>
      <c r="W736" s="105">
        <v>0.72222222222222221</v>
      </c>
      <c r="X736" s="12">
        <v>5.23</v>
      </c>
      <c r="Y736">
        <v>131</v>
      </c>
      <c r="Z73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7" spans="2:26" x14ac:dyDescent="0.35">
      <c r="B737">
        <f t="shared" si="186"/>
        <v>735</v>
      </c>
      <c r="C737" t="s">
        <v>86</v>
      </c>
      <c r="D737" t="s">
        <v>175</v>
      </c>
      <c r="E737">
        <f>IF(WEEKNUM(Combined[[#This Row],[Date]], 1) = 53, 1, WEEKNUM(Combined[[#This Row],[Date]], 2))</f>
        <v>26</v>
      </c>
      <c r="F737" t="str">
        <f t="shared" si="199"/>
        <v>Wednesday</v>
      </c>
      <c r="G737" s="41">
        <v>45098</v>
      </c>
      <c r="H737">
        <v>1</v>
      </c>
      <c r="I737" s="1">
        <v>6.99</v>
      </c>
      <c r="J737" s="2">
        <v>3.7499999999999999E-2</v>
      </c>
      <c r="K737" s="12">
        <f>Combined[[#This Row],[Time Spent]]*24</f>
        <v>0.89999999999999991</v>
      </c>
      <c r="L737" s="12">
        <f>MROUND(Combined[[#This Row],[Time Spent 2]],0.25)</f>
        <v>1</v>
      </c>
      <c r="M737" s="2" t="s">
        <v>91</v>
      </c>
      <c r="N737" t="s">
        <v>85</v>
      </c>
      <c r="O737">
        <f>MATCH(Combined[[#This Row],[Primary Area]],KPIs!$C$4:$C$7,0)</f>
        <v>4</v>
      </c>
      <c r="Q737" s="40">
        <v>45827</v>
      </c>
      <c r="R737" s="40">
        <f t="shared" si="187"/>
        <v>45827</v>
      </c>
      <c r="S737" s="4" t="str">
        <f>TEXT(Mileage[[#This Row],[Date]],"dddd")</f>
        <v>Thursday</v>
      </c>
      <c r="T737" s="4" t="s">
        <v>281</v>
      </c>
      <c r="U737" s="4">
        <v>73</v>
      </c>
      <c r="V737" t="str" cm="1">
        <f t="array" ref="V737">IFERROR(VLOOKUP(MODE(IF(Combined[Date]=Mileage[[#This Row],[Date]],Combined[Area '#])),KPIs!$B$4:$C$7,2,FALSE),VLOOKUP(Mileage[[#This Row],[Date]],Combined[[Date]:[Primary Area]],8,FALSE))</f>
        <v>Augusta</v>
      </c>
      <c r="W737" s="105">
        <v>0.75694444444444442</v>
      </c>
      <c r="X737" s="12">
        <v>3.12</v>
      </c>
      <c r="Y737">
        <v>86</v>
      </c>
      <c r="Z73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8" spans="2:26" x14ac:dyDescent="0.35">
      <c r="B738">
        <f t="shared" si="186"/>
        <v>736</v>
      </c>
      <c r="C738" t="s">
        <v>83</v>
      </c>
      <c r="D738" t="s">
        <v>176</v>
      </c>
      <c r="E738">
        <f>IF(WEEKNUM(Combined[[#This Row],[Date]], 1) = 53, 1, WEEKNUM(Combined[[#This Row],[Date]], 2))</f>
        <v>26</v>
      </c>
      <c r="F738" t="str">
        <f t="shared" si="199"/>
        <v>Friday</v>
      </c>
      <c r="G738" s="41">
        <v>45100</v>
      </c>
      <c r="H738">
        <v>2</v>
      </c>
      <c r="I738" s="1">
        <v>53.06</v>
      </c>
      <c r="J738" s="2">
        <v>0.10208333333333335</v>
      </c>
      <c r="K738" s="12">
        <f>Combined[[#This Row],[Time Spent]]*24</f>
        <v>2.4500000000000002</v>
      </c>
      <c r="L738" s="12">
        <f>MROUND(Combined[[#This Row],[Time Spent 2]],0.25)</f>
        <v>2.5</v>
      </c>
      <c r="M738" s="2" t="s">
        <v>91</v>
      </c>
      <c r="N738" t="s">
        <v>174</v>
      </c>
      <c r="O738">
        <f>MATCH(Combined[[#This Row],[Primary Area]],KPIs!$C$4:$C$7,0)</f>
        <v>1</v>
      </c>
      <c r="Q738" s="40">
        <v>45829</v>
      </c>
      <c r="R738" s="40">
        <f t="shared" si="187"/>
        <v>45829</v>
      </c>
      <c r="S738" s="4" t="str">
        <f>TEXT(Mileage[[#This Row],[Date]],"dddd")</f>
        <v>Saturday</v>
      </c>
      <c r="T738" s="4" t="s">
        <v>230</v>
      </c>
      <c r="U738" s="4">
        <v>81</v>
      </c>
      <c r="V738" t="str" cm="1">
        <f t="array" ref="V738">IFERROR(VLOOKUP(MODE(IF(Combined[Date]=Mileage[[#This Row],[Date]],Combined[Area '#])),KPIs!$B$4:$C$7,2,FALSE),VLOOKUP(Mileage[[#This Row],[Date]],Combined[[Date]:[Primary Area]],8,FALSE))</f>
        <v>Brunswick/Bath/Freeport</v>
      </c>
      <c r="W738" s="105">
        <v>0.66666666666666663</v>
      </c>
      <c r="X738" s="12">
        <v>7.63</v>
      </c>
      <c r="Y738">
        <v>174</v>
      </c>
      <c r="Z73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39" spans="2:26" x14ac:dyDescent="0.35">
      <c r="B739">
        <f t="shared" si="186"/>
        <v>737</v>
      </c>
      <c r="C739" t="s">
        <v>86</v>
      </c>
      <c r="D739" t="s">
        <v>176</v>
      </c>
      <c r="E739">
        <f>IF(WEEKNUM(Combined[[#This Row],[Date]], 1) = 53, 1, WEEKNUM(Combined[[#This Row],[Date]], 2))</f>
        <v>26</v>
      </c>
      <c r="F739" t="str">
        <f t="shared" si="199"/>
        <v>Friday</v>
      </c>
      <c r="G739" s="41">
        <v>45100</v>
      </c>
      <c r="H739">
        <v>4</v>
      </c>
      <c r="I739" s="1">
        <v>41.5</v>
      </c>
      <c r="J739" s="2">
        <v>0.14652777777777778</v>
      </c>
      <c r="K739" s="12">
        <f>Combined[[#This Row],[Time Spent]]*24</f>
        <v>3.5166666666666666</v>
      </c>
      <c r="L739" s="12">
        <f>MROUND(Combined[[#This Row],[Time Spent 2]],0.25)</f>
        <v>3.5</v>
      </c>
      <c r="M739" s="2" t="s">
        <v>91</v>
      </c>
      <c r="N739" t="s">
        <v>174</v>
      </c>
      <c r="O739">
        <f>MATCH(Combined[[#This Row],[Primary Area]],KPIs!$C$4:$C$7,0)</f>
        <v>1</v>
      </c>
      <c r="Q739" s="40">
        <v>45830</v>
      </c>
      <c r="R739" s="40">
        <f t="shared" si="187"/>
        <v>45830</v>
      </c>
      <c r="S739" s="4" t="str">
        <f>TEXT(Mileage[[#This Row],[Date]],"dddd")</f>
        <v>Sunday</v>
      </c>
      <c r="T739" s="4" t="s">
        <v>231</v>
      </c>
      <c r="U739" s="4">
        <v>84</v>
      </c>
      <c r="V739" t="str" cm="1">
        <f t="array" ref="V739">IFERROR(VLOOKUP(MODE(IF(Combined[Date]=Mileage[[#This Row],[Date]],Combined[Area '#])),KPIs!$B$4:$C$7,2,FALSE),VLOOKUP(Mileage[[#This Row],[Date]],Combined[[Date]:[Primary Area]],8,FALSE))</f>
        <v>Brunswick/Bath/Freeport</v>
      </c>
      <c r="W739" s="105">
        <v>0.48958333333333331</v>
      </c>
      <c r="X739" s="12">
        <v>5.0199999999999996</v>
      </c>
      <c r="Y739">
        <v>148</v>
      </c>
      <c r="Z73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40" spans="2:26" x14ac:dyDescent="0.35">
      <c r="B740">
        <f t="shared" si="186"/>
        <v>738</v>
      </c>
      <c r="C740" t="s">
        <v>86</v>
      </c>
      <c r="D740" t="s">
        <v>176</v>
      </c>
      <c r="E740">
        <f>IF(WEEKNUM(Combined[[#This Row],[Date]], 1) = 53, 1, WEEKNUM(Combined[[#This Row],[Date]], 2))</f>
        <v>26</v>
      </c>
      <c r="F740" t="str">
        <f t="shared" si="199"/>
        <v>Friday</v>
      </c>
      <c r="G740" s="41">
        <v>45100</v>
      </c>
      <c r="H740">
        <v>2</v>
      </c>
      <c r="I740" s="1">
        <v>14.9</v>
      </c>
      <c r="J740" s="2">
        <v>6.805555555555555E-2</v>
      </c>
      <c r="K740" s="12">
        <f>Combined[[#This Row],[Time Spent]]*24</f>
        <v>1.6333333333333333</v>
      </c>
      <c r="L740" s="12">
        <f>MROUND(Combined[[#This Row],[Time Spent 2]],0.25)</f>
        <v>1.75</v>
      </c>
      <c r="M740" s="2" t="s">
        <v>92</v>
      </c>
      <c r="N740" t="s">
        <v>174</v>
      </c>
      <c r="O740">
        <f>MATCH(Combined[[#This Row],[Primary Area]],KPIs!$C$4:$C$7,0)</f>
        <v>1</v>
      </c>
      <c r="Q740" s="40">
        <v>45831</v>
      </c>
      <c r="R740" s="40">
        <f t="shared" si="187"/>
        <v>45831</v>
      </c>
      <c r="S740" s="4" t="str">
        <f>TEXT(Mileage[[#This Row],[Date]],"dddd")</f>
        <v>Monday</v>
      </c>
      <c r="T740" s="4" t="s">
        <v>230</v>
      </c>
      <c r="U740" s="4">
        <v>81</v>
      </c>
      <c r="V740" t="str" cm="1">
        <f t="array" ref="V740">IFERROR(VLOOKUP(MODE(IF(Combined[Date]=Mileage[[#This Row],[Date]],Combined[Area '#])),KPIs!$B$4:$C$7,2,FALSE),VLOOKUP(Mileage[[#This Row],[Date]],Combined[[Date]:[Primary Area]],8,FALSE))</f>
        <v>Brunswick/Bath/Freeport</v>
      </c>
      <c r="W740" s="105">
        <v>0.85416666666666663</v>
      </c>
      <c r="X740" s="12">
        <v>4.63</v>
      </c>
      <c r="Y740">
        <v>129</v>
      </c>
      <c r="Z7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1" spans="2:26" x14ac:dyDescent="0.35">
      <c r="B741">
        <f t="shared" si="186"/>
        <v>739</v>
      </c>
      <c r="C741" t="s">
        <v>83</v>
      </c>
      <c r="D741" t="s">
        <v>176</v>
      </c>
      <c r="E741">
        <f>IF(WEEKNUM(Combined[[#This Row],[Date]], 1) = 53, 1, WEEKNUM(Combined[[#This Row],[Date]], 2))</f>
        <v>28</v>
      </c>
      <c r="F741" t="str">
        <f t="shared" ref="F741:F745" si="200">TEXT(WEEKDAY(G741,1),"DDDD")</f>
        <v>Wednesday</v>
      </c>
      <c r="G741" s="41">
        <v>45112</v>
      </c>
      <c r="H741">
        <v>7</v>
      </c>
      <c r="I741" s="1">
        <v>80.33</v>
      </c>
      <c r="J741" s="2">
        <v>0.18124999999999999</v>
      </c>
      <c r="K741" s="12">
        <f>Combined[[#This Row],[Time Spent]]*24</f>
        <v>4.3499999999999996</v>
      </c>
      <c r="L741" s="12">
        <f>MROUND(Combined[[#This Row],[Time Spent 2]],0.25)</f>
        <v>4.25</v>
      </c>
      <c r="M741" s="2" t="s">
        <v>91</v>
      </c>
      <c r="N741" t="s">
        <v>85</v>
      </c>
      <c r="O741">
        <f>MATCH(Combined[[#This Row],[Primary Area]],KPIs!$C$4:$C$7,0)</f>
        <v>4</v>
      </c>
      <c r="Q741" s="40">
        <v>45832</v>
      </c>
      <c r="R741" s="40">
        <f t="shared" si="187"/>
        <v>45832</v>
      </c>
      <c r="S741" s="4" t="str">
        <f>TEXT(Mileage[[#This Row],[Date]],"dddd")</f>
        <v>Tuesday</v>
      </c>
      <c r="T741" s="4" t="s">
        <v>230</v>
      </c>
      <c r="U741" s="4">
        <v>79</v>
      </c>
      <c r="V741" t="str" cm="1">
        <f t="array" ref="V741">IFERROR(VLOOKUP(MODE(IF(Combined[Date]=Mileage[[#This Row],[Date]],Combined[Area '#])),KPIs!$B$4:$C$7,2,FALSE),VLOOKUP(Mileage[[#This Row],[Date]],Combined[[Date]:[Primary Area]],8,FALSE))</f>
        <v>Portland</v>
      </c>
      <c r="W741" s="105">
        <v>0.71180555555555558</v>
      </c>
      <c r="X741" s="12">
        <v>5.53</v>
      </c>
      <c r="Y741">
        <v>147</v>
      </c>
      <c r="Z74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42" spans="2:26" x14ac:dyDescent="0.35">
      <c r="B742">
        <f t="shared" si="186"/>
        <v>740</v>
      </c>
      <c r="C742" t="s">
        <v>86</v>
      </c>
      <c r="D742" t="s">
        <v>175</v>
      </c>
      <c r="E742">
        <f>IF(WEEKNUM(Combined[[#This Row],[Date]], 1) = 53, 1, WEEKNUM(Combined[[#This Row],[Date]], 2))</f>
        <v>28</v>
      </c>
      <c r="F742" t="str">
        <f t="shared" si="200"/>
        <v>Wednesday</v>
      </c>
      <c r="G742" s="41">
        <v>45112</v>
      </c>
      <c r="H742">
        <v>1</v>
      </c>
      <c r="I742" s="1">
        <v>7.78</v>
      </c>
      <c r="J742" s="2">
        <v>1.7361111111111112E-2</v>
      </c>
      <c r="K742" s="12">
        <f>Combined[[#This Row],[Time Spent]]*24</f>
        <v>0.41666666666666669</v>
      </c>
      <c r="L742" s="12">
        <f>MROUND(Combined[[#This Row],[Time Spent 2]],0.25)</f>
        <v>0.5</v>
      </c>
      <c r="M742" s="2" t="s">
        <v>91</v>
      </c>
      <c r="N742" t="s">
        <v>85</v>
      </c>
      <c r="O742">
        <f>MATCH(Combined[[#This Row],[Primary Area]],KPIs!$C$4:$C$7,0)</f>
        <v>4</v>
      </c>
      <c r="Q742" s="40">
        <v>45833</v>
      </c>
      <c r="R742" s="40">
        <f t="shared" si="187"/>
        <v>45833</v>
      </c>
      <c r="S742" s="4" t="str">
        <f>TEXT(Mileage[[#This Row],[Date]],"dddd")</f>
        <v>Wednesday</v>
      </c>
      <c r="T742" s="4" t="s">
        <v>230</v>
      </c>
      <c r="U742" s="4">
        <v>86</v>
      </c>
      <c r="V742" t="str" cm="1">
        <f t="array" ref="V742">IFERROR(VLOOKUP(MODE(IF(Combined[Date]=Mileage[[#This Row],[Date]],Combined[Area '#])),KPIs!$B$4:$C$7,2,FALSE),VLOOKUP(Mileage[[#This Row],[Date]],Combined[[Date]:[Primary Area]],8,FALSE))</f>
        <v>Lewiston</v>
      </c>
      <c r="W742" s="105">
        <v>0.80902777777777779</v>
      </c>
      <c r="X742" s="12">
        <v>3.52</v>
      </c>
      <c r="Y742">
        <v>75</v>
      </c>
      <c r="Z74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3" spans="2:26" x14ac:dyDescent="0.35">
      <c r="B743">
        <f t="shared" si="186"/>
        <v>741</v>
      </c>
      <c r="C743" t="s">
        <v>86</v>
      </c>
      <c r="D743" t="s">
        <v>175</v>
      </c>
      <c r="E743">
        <f>IF(WEEKNUM(Combined[[#This Row],[Date]], 1) = 53, 1, WEEKNUM(Combined[[#This Row],[Date]], 2))</f>
        <v>28</v>
      </c>
      <c r="F743" t="str">
        <f t="shared" si="200"/>
        <v>Wednesday</v>
      </c>
      <c r="G743" s="41">
        <v>45112</v>
      </c>
      <c r="H743">
        <v>5</v>
      </c>
      <c r="I743" s="1">
        <v>32.43</v>
      </c>
      <c r="J743" s="2">
        <v>5.347222222222222E-2</v>
      </c>
      <c r="K743" s="12">
        <f>Combined[[#This Row],[Time Spent]]*24</f>
        <v>1.2833333333333332</v>
      </c>
      <c r="L743" s="12">
        <f>MROUND(Combined[[#This Row],[Time Spent 2]],0.25)</f>
        <v>1.25</v>
      </c>
      <c r="M743" s="2" t="s">
        <v>92</v>
      </c>
      <c r="N743" t="s">
        <v>85</v>
      </c>
      <c r="O743">
        <f>MATCH(Combined[[#This Row],[Primary Area]],KPIs!$C$4:$C$7,0)</f>
        <v>4</v>
      </c>
      <c r="Q743" s="40">
        <v>45835</v>
      </c>
      <c r="R743" s="40">
        <f t="shared" si="187"/>
        <v>45835</v>
      </c>
      <c r="S743" s="4" t="str">
        <f>TEXT(Mileage[[#This Row],[Date]],"dddd")</f>
        <v>Friday</v>
      </c>
      <c r="T743" s="4" t="s">
        <v>249</v>
      </c>
      <c r="U743" s="4">
        <v>66</v>
      </c>
      <c r="V743" t="str" cm="1">
        <f t="array" ref="V743">IFERROR(VLOOKUP(MODE(IF(Combined[Date]=Mileage[[#This Row],[Date]],Combined[Area '#])),KPIs!$B$4:$C$7,2,FALSE),VLOOKUP(Mileage[[#This Row],[Date]],Combined[[Date]:[Primary Area]],8,FALSE))</f>
        <v>Portland</v>
      </c>
      <c r="W743" s="105">
        <v>0.77777777777777779</v>
      </c>
      <c r="X743" s="12">
        <v>9.07</v>
      </c>
      <c r="Y743">
        <v>196</v>
      </c>
      <c r="Z7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4" spans="2:26" x14ac:dyDescent="0.35">
      <c r="B744">
        <f t="shared" si="186"/>
        <v>742</v>
      </c>
      <c r="C744" t="s">
        <v>83</v>
      </c>
      <c r="D744" t="s">
        <v>176</v>
      </c>
      <c r="E744">
        <f>IF(WEEKNUM(Combined[[#This Row],[Date]], 1) = 53, 1, WEEKNUM(Combined[[#This Row],[Date]], 2))</f>
        <v>28</v>
      </c>
      <c r="F744" t="str">
        <f t="shared" si="200"/>
        <v>Friday</v>
      </c>
      <c r="G744" s="41">
        <v>45114</v>
      </c>
      <c r="H744">
        <v>6</v>
      </c>
      <c r="I744" s="1">
        <v>119.08</v>
      </c>
      <c r="J744" s="2">
        <v>0.24236111111111111</v>
      </c>
      <c r="K744" s="12">
        <f>Combined[[#This Row],[Time Spent]]*24</f>
        <v>5.8166666666666664</v>
      </c>
      <c r="L744" s="12">
        <f>MROUND(Combined[[#This Row],[Time Spent 2]],0.25)</f>
        <v>5.75</v>
      </c>
      <c r="M744" s="2" t="s">
        <v>91</v>
      </c>
      <c r="N744" t="s">
        <v>85</v>
      </c>
      <c r="O744">
        <f>MATCH(Combined[[#This Row],[Primary Area]],KPIs!$C$4:$C$7,0)</f>
        <v>4</v>
      </c>
      <c r="Q744" s="40">
        <v>45836</v>
      </c>
      <c r="R744" s="40">
        <f t="shared" si="187"/>
        <v>45836</v>
      </c>
      <c r="S744" s="4" t="str">
        <f>TEXT(Mileage[[#This Row],[Date]],"dddd")</f>
        <v>Saturday</v>
      </c>
      <c r="T744" s="4" t="s">
        <v>276</v>
      </c>
      <c r="U744" s="4">
        <v>61</v>
      </c>
      <c r="V744" t="str" cm="1">
        <f t="array" ref="V744">IFERROR(VLOOKUP(MODE(IF(Combined[Date]=Mileage[[#This Row],[Date]],Combined[Area '#])),KPIs!$B$4:$C$7,2,FALSE),VLOOKUP(Mileage[[#This Row],[Date]],Combined[[Date]:[Primary Area]],8,FALSE))</f>
        <v>Portland</v>
      </c>
      <c r="W744" s="105">
        <v>0.76736111111111116</v>
      </c>
      <c r="X744" s="12">
        <v>1.28</v>
      </c>
      <c r="Y744">
        <v>36</v>
      </c>
      <c r="Z7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5" spans="2:26" x14ac:dyDescent="0.35">
      <c r="B745">
        <f t="shared" si="186"/>
        <v>743</v>
      </c>
      <c r="C745" t="s">
        <v>86</v>
      </c>
      <c r="D745" t="s">
        <v>175</v>
      </c>
      <c r="E745">
        <f>IF(WEEKNUM(Combined[[#This Row],[Date]], 1) = 53, 1, WEEKNUM(Combined[[#This Row],[Date]], 2))</f>
        <v>28</v>
      </c>
      <c r="F745" t="str">
        <f t="shared" si="200"/>
        <v>Friday</v>
      </c>
      <c r="G745" s="41">
        <v>45114</v>
      </c>
      <c r="H745">
        <v>5</v>
      </c>
      <c r="I745" s="1">
        <v>56.05</v>
      </c>
      <c r="J745" s="2">
        <v>0.10555555555555556</v>
      </c>
      <c r="K745" s="12">
        <f>Combined[[#This Row],[Time Spent]]*24</f>
        <v>2.5333333333333332</v>
      </c>
      <c r="L745" s="12">
        <f>MROUND(Combined[[#This Row],[Time Spent 2]],0.25)</f>
        <v>2.5</v>
      </c>
      <c r="M745" s="2" t="s">
        <v>92</v>
      </c>
      <c r="N745" t="s">
        <v>85</v>
      </c>
      <c r="O745">
        <f>MATCH(Combined[[#This Row],[Primary Area]],KPIs!$C$4:$C$7,0)</f>
        <v>4</v>
      </c>
      <c r="Q745" s="40">
        <v>45837</v>
      </c>
      <c r="R745" s="40">
        <f t="shared" si="187"/>
        <v>45837</v>
      </c>
      <c r="S745" s="4" t="str">
        <f>TEXT(Mileage[[#This Row],[Date]],"dddd")</f>
        <v>Sunday</v>
      </c>
      <c r="T745" s="4" t="s">
        <v>231</v>
      </c>
      <c r="U745" s="4">
        <v>75</v>
      </c>
      <c r="V745" t="str" cm="1">
        <f t="array" ref="V745">IFERROR(VLOOKUP(MODE(IF(Combined[Date]=Mileage[[#This Row],[Date]],Combined[Area '#])),KPIs!$B$4:$C$7,2,FALSE),VLOOKUP(Mileage[[#This Row],[Date]],Combined[[Date]:[Primary Area]],8,FALSE))</f>
        <v>Brunswick/Bath/Freeport</v>
      </c>
      <c r="W745" s="105">
        <v>0.43402777777777779</v>
      </c>
      <c r="X745" s="12">
        <v>3.68</v>
      </c>
      <c r="Y745">
        <v>89</v>
      </c>
      <c r="Z74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6" spans="2:26" x14ac:dyDescent="0.35">
      <c r="B746">
        <f t="shared" si="186"/>
        <v>744</v>
      </c>
      <c r="C746" t="s">
        <v>83</v>
      </c>
      <c r="D746" t="s">
        <v>176</v>
      </c>
      <c r="E746">
        <f>IF(WEEKNUM(Combined[[#This Row],[Date]], 1) = 53, 1, WEEKNUM(Combined[[#This Row],[Date]], 2))</f>
        <v>28</v>
      </c>
      <c r="F746" t="str">
        <f t="shared" ref="F746:F750" si="201">TEXT(WEEKDAY(G746,1),"DDDD")</f>
        <v>Saturday</v>
      </c>
      <c r="G746" s="41">
        <v>45115</v>
      </c>
      <c r="H746">
        <v>1</v>
      </c>
      <c r="I746" s="1">
        <v>22</v>
      </c>
      <c r="J746" s="2">
        <v>9.8611111111111108E-2</v>
      </c>
      <c r="K746" s="12">
        <f>Combined[[#This Row],[Time Spent]]*24</f>
        <v>2.3666666666666667</v>
      </c>
      <c r="L746" s="12">
        <f>MROUND(Combined[[#This Row],[Time Spent 2]],0.25)</f>
        <v>2.25</v>
      </c>
      <c r="M746" s="2" t="s">
        <v>91</v>
      </c>
      <c r="N746" t="s">
        <v>174</v>
      </c>
      <c r="O746">
        <f>MATCH(Combined[[#This Row],[Primary Area]],KPIs!$C$4:$C$7,0)</f>
        <v>1</v>
      </c>
      <c r="Q746" s="40">
        <v>45838</v>
      </c>
      <c r="R746" s="40">
        <f t="shared" si="187"/>
        <v>45838</v>
      </c>
      <c r="S746" s="4" t="str">
        <f>TEXT(Mileage[[#This Row],[Date]],"dddd")</f>
        <v>Monday</v>
      </c>
      <c r="T746" s="4" t="s">
        <v>230</v>
      </c>
      <c r="U746" s="4">
        <v>73</v>
      </c>
      <c r="V746" t="str" cm="1">
        <f t="array" ref="V746">IFERROR(VLOOKUP(MODE(IF(Combined[Date]=Mileage[[#This Row],[Date]],Combined[Area '#])),KPIs!$B$4:$C$7,2,FALSE),VLOOKUP(Mileage[[#This Row],[Date]],Combined[[Date]:[Primary Area]],8,FALSE))</f>
        <v>Portland</v>
      </c>
      <c r="W746" s="105">
        <v>0.76388888888888884</v>
      </c>
      <c r="X746" s="12">
        <v>4.72</v>
      </c>
      <c r="Y746">
        <v>108</v>
      </c>
      <c r="Z74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47" spans="2:26" x14ac:dyDescent="0.35">
      <c r="B747">
        <f t="shared" si="186"/>
        <v>745</v>
      </c>
      <c r="C747" t="s">
        <v>86</v>
      </c>
      <c r="D747" t="s">
        <v>176</v>
      </c>
      <c r="E747">
        <f>IF(WEEKNUM(Combined[[#This Row],[Date]], 1) = 53, 1, WEEKNUM(Combined[[#This Row],[Date]], 2))</f>
        <v>28</v>
      </c>
      <c r="F747" t="str">
        <f t="shared" si="201"/>
        <v>Saturday</v>
      </c>
      <c r="G747" s="41">
        <v>45115</v>
      </c>
      <c r="H747">
        <v>7</v>
      </c>
      <c r="I747" s="1">
        <v>41.76</v>
      </c>
      <c r="J747" s="2">
        <v>0.13819444444444443</v>
      </c>
      <c r="K747" s="12">
        <f>Combined[[#This Row],[Time Spent]]*24</f>
        <v>3.3166666666666664</v>
      </c>
      <c r="L747" s="12">
        <f>MROUND(Combined[[#This Row],[Time Spent 2]],0.25)</f>
        <v>3.25</v>
      </c>
      <c r="M747" s="2" t="s">
        <v>91</v>
      </c>
      <c r="N747" t="s">
        <v>174</v>
      </c>
      <c r="O747">
        <f>MATCH(Combined[[#This Row],[Primary Area]],KPIs!$C$4:$C$7,0)</f>
        <v>1</v>
      </c>
      <c r="Q747" s="40">
        <v>45839</v>
      </c>
      <c r="R747" s="40">
        <f t="shared" si="187"/>
        <v>45839</v>
      </c>
      <c r="S747" s="4" t="str">
        <f>TEXT(Mileage[[#This Row],[Date]],"dddd")</f>
        <v>Tuesday</v>
      </c>
      <c r="T747" s="4" t="s">
        <v>249</v>
      </c>
      <c r="U747" s="4">
        <v>81</v>
      </c>
      <c r="V747" t="str" cm="1">
        <f t="array" ref="V747">IFERROR(VLOOKUP(MODE(IF(Combined[Date]=Mileage[[#This Row],[Date]],Combined[Area '#])),KPIs!$B$4:$C$7,2,FALSE),VLOOKUP(Mileage[[#This Row],[Date]],Combined[[Date]:[Primary Area]],8,FALSE))</f>
        <v>Brunswick/Bath/Freeport</v>
      </c>
      <c r="W747" s="105">
        <v>0.76736111111111116</v>
      </c>
      <c r="X747" s="12">
        <v>5.13</v>
      </c>
      <c r="Y747">
        <v>150</v>
      </c>
      <c r="Z74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48" spans="2:26" x14ac:dyDescent="0.35">
      <c r="B748">
        <f t="shared" si="186"/>
        <v>746</v>
      </c>
      <c r="C748" t="s">
        <v>86</v>
      </c>
      <c r="D748" t="s">
        <v>175</v>
      </c>
      <c r="E748">
        <f>IF(WEEKNUM(Combined[[#This Row],[Date]], 1) = 53, 1, WEEKNUM(Combined[[#This Row],[Date]], 2))</f>
        <v>28</v>
      </c>
      <c r="F748" t="str">
        <f t="shared" si="201"/>
        <v>Saturday</v>
      </c>
      <c r="G748" s="41">
        <v>45115</v>
      </c>
      <c r="H748">
        <v>4</v>
      </c>
      <c r="I748" s="1">
        <v>33.47</v>
      </c>
      <c r="J748" s="2">
        <v>8.6805555555555566E-2</v>
      </c>
      <c r="K748" s="12">
        <f>Combined[[#This Row],[Time Spent]]*24</f>
        <v>2.0833333333333335</v>
      </c>
      <c r="L748" s="12">
        <f>MROUND(Combined[[#This Row],[Time Spent 2]],0.25)</f>
        <v>2</v>
      </c>
      <c r="M748" s="2" t="s">
        <v>92</v>
      </c>
      <c r="N748" t="s">
        <v>174</v>
      </c>
      <c r="O748">
        <f>MATCH(Combined[[#This Row],[Primary Area]],KPIs!$C$4:$C$7,0)</f>
        <v>1</v>
      </c>
      <c r="Q748" s="40">
        <v>45840</v>
      </c>
      <c r="R748" s="40">
        <f t="shared" si="187"/>
        <v>45840</v>
      </c>
      <c r="S748" s="4" t="str">
        <f>TEXT(Mileage[[#This Row],[Date]],"dddd")</f>
        <v>Wednesday</v>
      </c>
      <c r="T748" s="4" t="s">
        <v>230</v>
      </c>
      <c r="U748" s="4">
        <v>82</v>
      </c>
      <c r="V748" t="str" cm="1">
        <f t="array" ref="V748">IFERROR(VLOOKUP(MODE(IF(Combined[Date]=Mileage[[#This Row],[Date]],Combined[Area '#])),KPIs!$B$4:$C$7,2,FALSE),VLOOKUP(Mileage[[#This Row],[Date]],Combined[[Date]:[Primary Area]],8,FALSE))</f>
        <v>Brunswick/Bath/Freeport</v>
      </c>
      <c r="W748" s="105">
        <v>0.78472222222222221</v>
      </c>
      <c r="X748" s="12">
        <v>2.98</v>
      </c>
      <c r="Y748">
        <v>61</v>
      </c>
      <c r="Z74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49" spans="2:26" x14ac:dyDescent="0.35">
      <c r="B749">
        <f t="shared" si="186"/>
        <v>747</v>
      </c>
      <c r="C749" t="s">
        <v>83</v>
      </c>
      <c r="D749" t="s">
        <v>176</v>
      </c>
      <c r="E749">
        <f>IF(WEEKNUM(Combined[[#This Row],[Date]], 1) = 53, 1, WEEKNUM(Combined[[#This Row],[Date]], 2))</f>
        <v>28</v>
      </c>
      <c r="F749" t="str">
        <f t="shared" si="201"/>
        <v>Sunday</v>
      </c>
      <c r="G749" s="41">
        <v>45116</v>
      </c>
      <c r="H749">
        <v>1</v>
      </c>
      <c r="I749" s="1">
        <v>5.05</v>
      </c>
      <c r="J749" s="2">
        <v>7.7083333333333337E-2</v>
      </c>
      <c r="K749" s="12">
        <f>Combined[[#This Row],[Time Spent]]*24</f>
        <v>1.85</v>
      </c>
      <c r="L749" s="12">
        <f>MROUND(Combined[[#This Row],[Time Spent 2]],0.25)</f>
        <v>1.75</v>
      </c>
      <c r="M749" s="2" t="s">
        <v>91</v>
      </c>
      <c r="N749" t="s">
        <v>82</v>
      </c>
      <c r="O749">
        <f>MATCH(Combined[[#This Row],[Primary Area]],KPIs!$C$4:$C$7,0)</f>
        <v>3</v>
      </c>
      <c r="Q749" s="40">
        <v>45841</v>
      </c>
      <c r="R749" s="40">
        <f t="shared" si="187"/>
        <v>45841</v>
      </c>
      <c r="S749" s="4" t="str">
        <f>TEXT(Mileage[[#This Row],[Date]],"dddd")</f>
        <v>Thursday</v>
      </c>
      <c r="T749" s="4" t="s">
        <v>230</v>
      </c>
      <c r="U749" s="4">
        <v>70</v>
      </c>
      <c r="V749" t="str" cm="1">
        <f t="array" ref="V749">IFERROR(VLOOKUP(MODE(IF(Combined[Date]=Mileage[[#This Row],[Date]],Combined[Area '#])),KPIs!$B$4:$C$7,2,FALSE),VLOOKUP(Mileage[[#This Row],[Date]],Combined[[Date]:[Primary Area]],8,FALSE))</f>
        <v>Lewiston</v>
      </c>
      <c r="W749" s="105">
        <v>0.82986111111111116</v>
      </c>
      <c r="X749" s="12">
        <v>2.17</v>
      </c>
      <c r="Y749">
        <v>57</v>
      </c>
      <c r="Z7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0" spans="2:26" x14ac:dyDescent="0.35">
      <c r="B750">
        <f t="shared" si="186"/>
        <v>748</v>
      </c>
      <c r="C750" t="s">
        <v>86</v>
      </c>
      <c r="D750" t="s">
        <v>176</v>
      </c>
      <c r="E750">
        <f>IF(WEEKNUM(Combined[[#This Row],[Date]], 1) = 53, 1, WEEKNUM(Combined[[#This Row],[Date]], 2))</f>
        <v>28</v>
      </c>
      <c r="F750" t="str">
        <f t="shared" si="201"/>
        <v>Sunday</v>
      </c>
      <c r="G750" s="41">
        <v>45116</v>
      </c>
      <c r="H750">
        <v>8</v>
      </c>
      <c r="I750" s="1">
        <v>66.14</v>
      </c>
      <c r="J750" s="2">
        <v>0.14166666666666666</v>
      </c>
      <c r="K750" s="12">
        <f>Combined[[#This Row],[Time Spent]]*24</f>
        <v>3.4</v>
      </c>
      <c r="L750" s="12">
        <f>MROUND(Combined[[#This Row],[Time Spent 2]],0.25)</f>
        <v>3.5</v>
      </c>
      <c r="M750" s="2" t="s">
        <v>91</v>
      </c>
      <c r="N750" t="s">
        <v>82</v>
      </c>
      <c r="O750">
        <f>MATCH(Combined[[#This Row],[Primary Area]],KPIs!$C$4:$C$7,0)</f>
        <v>3</v>
      </c>
      <c r="Q750" s="40">
        <v>45845</v>
      </c>
      <c r="R750" s="40">
        <f t="shared" si="187"/>
        <v>45845</v>
      </c>
      <c r="S750" s="4" t="str">
        <f>TEXT(Mileage[[#This Row],[Date]],"dddd")</f>
        <v>Monday</v>
      </c>
      <c r="T750" s="4" t="s">
        <v>249</v>
      </c>
      <c r="U750" s="4">
        <v>84</v>
      </c>
      <c r="V750" t="str" cm="1">
        <f t="array" ref="V750">IFERROR(VLOOKUP(MODE(IF(Combined[Date]=Mileage[[#This Row],[Date]],Combined[Area '#])),KPIs!$B$4:$C$7,2,FALSE),VLOOKUP(Mileage[[#This Row],[Date]],Combined[[Date]:[Primary Area]],8,FALSE))</f>
        <v>Portland</v>
      </c>
      <c r="W750" s="105">
        <v>0.56597222222222221</v>
      </c>
      <c r="X750" s="12">
        <v>4.93</v>
      </c>
      <c r="Y750">
        <v>84</v>
      </c>
      <c r="Z75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1" spans="2:26" x14ac:dyDescent="0.35">
      <c r="B751">
        <f t="shared" si="186"/>
        <v>749</v>
      </c>
      <c r="C751" t="s">
        <v>86</v>
      </c>
      <c r="D751" t="s">
        <v>176</v>
      </c>
      <c r="E751">
        <f>IF(WEEKNUM(Combined[[#This Row],[Date]], 1) = 53, 1, WEEKNUM(Combined[[#This Row],[Date]], 2))</f>
        <v>28</v>
      </c>
      <c r="F751" t="str">
        <f>TEXT(WEEKDAY(G751,1),"DDDD")</f>
        <v>Sunday</v>
      </c>
      <c r="G751" s="41">
        <v>45116</v>
      </c>
      <c r="H751">
        <v>1</v>
      </c>
      <c r="I751" s="1">
        <v>5</v>
      </c>
      <c r="J751" s="2">
        <v>1.7361111111111112E-2</v>
      </c>
      <c r="K751" s="12">
        <f>Combined[[#This Row],[Time Spent]]*24</f>
        <v>0.41666666666666669</v>
      </c>
      <c r="L751" s="12">
        <f>MROUND(Combined[[#This Row],[Time Spent 2]],0.25)</f>
        <v>0.5</v>
      </c>
      <c r="M751" s="2" t="s">
        <v>91</v>
      </c>
      <c r="N751" t="s">
        <v>82</v>
      </c>
      <c r="O751">
        <f>MATCH(Combined[[#This Row],[Primary Area]],KPIs!$C$4:$C$7,0)</f>
        <v>3</v>
      </c>
      <c r="Q751" s="40">
        <v>45856</v>
      </c>
      <c r="R751" s="40">
        <f t="shared" si="187"/>
        <v>45856</v>
      </c>
      <c r="S751" s="4" t="str">
        <f>TEXT(Mileage[[#This Row],[Date]],"dddd")</f>
        <v>Friday</v>
      </c>
      <c r="T751" s="4" t="s">
        <v>230</v>
      </c>
      <c r="U751" s="4">
        <v>77</v>
      </c>
      <c r="V751" t="str" cm="1">
        <f t="array" ref="V751">IFERROR(VLOOKUP(MODE(IF(Combined[Date]=Mileage[[#This Row],[Date]],Combined[Area '#])),KPIs!$B$4:$C$7,2,FALSE),VLOOKUP(Mileage[[#This Row],[Date]],Combined[[Date]:[Primary Area]],8,FALSE))</f>
        <v>Portland</v>
      </c>
      <c r="W751" s="105">
        <v>0.76388888888888884</v>
      </c>
      <c r="X751" s="12">
        <v>5.37</v>
      </c>
      <c r="Y751">
        <v>131</v>
      </c>
      <c r="Z75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2" spans="2:26" x14ac:dyDescent="0.35">
      <c r="B752">
        <f t="shared" si="186"/>
        <v>750</v>
      </c>
      <c r="C752" t="s">
        <v>86</v>
      </c>
      <c r="D752" t="s">
        <v>175</v>
      </c>
      <c r="E752">
        <f>IF(WEEKNUM(Combined[[#This Row],[Date]], 1) = 53, 1, WEEKNUM(Combined[[#This Row],[Date]], 2))</f>
        <v>28</v>
      </c>
      <c r="F752" t="str">
        <f>TEXT(WEEKDAY(G752,1),"DDDD")</f>
        <v>Sunday</v>
      </c>
      <c r="G752" s="41">
        <v>45116</v>
      </c>
      <c r="H752">
        <v>1</v>
      </c>
      <c r="I752" s="1">
        <v>10.68</v>
      </c>
      <c r="J752" s="2">
        <v>3.2638888888888891E-2</v>
      </c>
      <c r="K752" s="12">
        <f>Combined[[#This Row],[Time Spent]]*24</f>
        <v>0.78333333333333344</v>
      </c>
      <c r="L752" s="12">
        <f>MROUND(Combined[[#This Row],[Time Spent 2]],0.25)</f>
        <v>0.75</v>
      </c>
      <c r="M752" s="2" t="s">
        <v>92</v>
      </c>
      <c r="N752" t="s">
        <v>82</v>
      </c>
      <c r="O752">
        <f>MATCH(Combined[[#This Row],[Primary Area]],KPIs!$C$4:$C$7,0)</f>
        <v>3</v>
      </c>
      <c r="Q752" s="40">
        <v>45857</v>
      </c>
      <c r="R752" s="40">
        <f t="shared" si="187"/>
        <v>45857</v>
      </c>
      <c r="S752" s="4" t="str">
        <f>TEXT(Mileage[[#This Row],[Date]],"dddd")</f>
        <v>Saturday</v>
      </c>
      <c r="T752" s="4" t="s">
        <v>230</v>
      </c>
      <c r="U752" s="4">
        <v>75</v>
      </c>
      <c r="V752" t="str" cm="1">
        <f t="array" ref="V752">IFERROR(VLOOKUP(MODE(IF(Combined[Date]=Mileage[[#This Row],[Date]],Combined[Area '#])),KPIs!$B$4:$C$7,2,FALSE),VLOOKUP(Mileage[[#This Row],[Date]],Combined[[Date]:[Primary Area]],8,FALSE))</f>
        <v>Lewiston</v>
      </c>
      <c r="W752" s="105">
        <v>0.79861111111111116</v>
      </c>
      <c r="X752" s="12">
        <v>8.2200000000000006</v>
      </c>
      <c r="Y752">
        <v>198</v>
      </c>
      <c r="Z75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53" spans="2:26" x14ac:dyDescent="0.35">
      <c r="B753">
        <f t="shared" si="186"/>
        <v>751</v>
      </c>
      <c r="C753" t="s">
        <v>83</v>
      </c>
      <c r="D753" t="s">
        <v>176</v>
      </c>
      <c r="E753">
        <f>IF(WEEKNUM(Combined[[#This Row],[Date]], 1) = 53, 1, WEEKNUM(Combined[[#This Row],[Date]], 2))</f>
        <v>29</v>
      </c>
      <c r="F753" t="str">
        <f t="shared" ref="F753:F755" si="202">TEXT(WEEKDAY(G753,1),"DDDD")</f>
        <v>Tuesday</v>
      </c>
      <c r="G753" s="41">
        <v>45118</v>
      </c>
      <c r="H753">
        <v>5</v>
      </c>
      <c r="I753" s="1">
        <v>59.93</v>
      </c>
      <c r="J753" s="2">
        <v>0.17569444444444446</v>
      </c>
      <c r="K753" s="12">
        <f>Combined[[#This Row],[Time Spent]]*24</f>
        <v>4.2166666666666668</v>
      </c>
      <c r="L753" s="12">
        <f>MROUND(Combined[[#This Row],[Time Spent 2]],0.25)</f>
        <v>4.25</v>
      </c>
      <c r="M753" s="2" t="s">
        <v>91</v>
      </c>
      <c r="N753" t="s">
        <v>85</v>
      </c>
      <c r="O753">
        <f>MATCH(Combined[[#This Row],[Primary Area]],KPIs!$C$4:$C$7,0)</f>
        <v>4</v>
      </c>
      <c r="Q753" s="40">
        <v>45860</v>
      </c>
      <c r="R753" s="40">
        <f t="shared" si="187"/>
        <v>45860</v>
      </c>
      <c r="S753" s="4" t="str">
        <f>TEXT(Mileage[[#This Row],[Date]],"dddd")</f>
        <v>Tuesday</v>
      </c>
      <c r="T753" s="4" t="s">
        <v>249</v>
      </c>
      <c r="U753" s="4">
        <v>73</v>
      </c>
      <c r="V753" t="str" cm="1">
        <f t="array" ref="V753">IFERROR(VLOOKUP(MODE(IF(Combined[Date]=Mileage[[#This Row],[Date]],Combined[Area '#])),KPIs!$B$4:$C$7,2,FALSE),VLOOKUP(Mileage[[#This Row],[Date]],Combined[[Date]:[Primary Area]],8,FALSE))</f>
        <v>Brunswick/Bath/Freeport</v>
      </c>
      <c r="W753" s="105">
        <v>0.78472222222222221</v>
      </c>
      <c r="X753" s="12">
        <v>5</v>
      </c>
      <c r="Y753">
        <v>96</v>
      </c>
      <c r="Z75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4" spans="2:26" x14ac:dyDescent="0.35">
      <c r="B754">
        <f t="shared" si="186"/>
        <v>752</v>
      </c>
      <c r="C754" t="s">
        <v>86</v>
      </c>
      <c r="D754" t="s">
        <v>176</v>
      </c>
      <c r="E754">
        <f>IF(WEEKNUM(Combined[[#This Row],[Date]], 1) = 53, 1, WEEKNUM(Combined[[#This Row],[Date]], 2))</f>
        <v>29</v>
      </c>
      <c r="F754" t="str">
        <f t="shared" si="202"/>
        <v>Tuesday</v>
      </c>
      <c r="G754" s="41">
        <v>45118</v>
      </c>
      <c r="H754">
        <v>4</v>
      </c>
      <c r="I754" s="1">
        <v>23.5</v>
      </c>
      <c r="J754" s="2">
        <v>6.8749999999999992E-2</v>
      </c>
      <c r="K754" s="12">
        <f>Combined[[#This Row],[Time Spent]]*24</f>
        <v>1.65</v>
      </c>
      <c r="L754" s="12">
        <f>MROUND(Combined[[#This Row],[Time Spent 2]],0.25)</f>
        <v>1.75</v>
      </c>
      <c r="M754" s="2" t="s">
        <v>91</v>
      </c>
      <c r="N754" t="s">
        <v>85</v>
      </c>
      <c r="O754">
        <f>MATCH(Combined[[#This Row],[Primary Area]],KPIs!$C$4:$C$7,0)</f>
        <v>4</v>
      </c>
      <c r="Q754" s="40">
        <v>45862</v>
      </c>
      <c r="R754" s="40">
        <f t="shared" si="187"/>
        <v>45862</v>
      </c>
      <c r="S754" s="4" t="str">
        <f>TEXT(Mileage[[#This Row],[Date]],"dddd")</f>
        <v>Thursday</v>
      </c>
      <c r="T754" s="4" t="s">
        <v>230</v>
      </c>
      <c r="U754" s="4">
        <v>74</v>
      </c>
      <c r="V754" t="str" cm="1">
        <f t="array" ref="V754">IFERROR(VLOOKUP(MODE(IF(Combined[Date]=Mileage[[#This Row],[Date]],Combined[Area '#])),KPIs!$B$4:$C$7,2,FALSE),VLOOKUP(Mileage[[#This Row],[Date]],Combined[[Date]:[Primary Area]],8,FALSE))</f>
        <v>Portland</v>
      </c>
      <c r="W754" s="105">
        <v>0.73958333333333337</v>
      </c>
      <c r="X754" s="12">
        <v>9.92</v>
      </c>
      <c r="Y754">
        <v>256</v>
      </c>
      <c r="Z75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5" spans="2:26" x14ac:dyDescent="0.35">
      <c r="B755">
        <f t="shared" si="186"/>
        <v>753</v>
      </c>
      <c r="C755" t="s">
        <v>86</v>
      </c>
      <c r="D755" t="s">
        <v>176</v>
      </c>
      <c r="E755">
        <f>IF(WEEKNUM(Combined[[#This Row],[Date]], 1) = 53, 1, WEEKNUM(Combined[[#This Row],[Date]], 2))</f>
        <v>29</v>
      </c>
      <c r="F755" t="str">
        <f t="shared" si="202"/>
        <v>Tuesday</v>
      </c>
      <c r="G755" s="41">
        <v>45118</v>
      </c>
      <c r="H755">
        <v>3</v>
      </c>
      <c r="I755" s="1">
        <v>29.5</v>
      </c>
      <c r="J755" s="2">
        <v>6.5277777777777782E-2</v>
      </c>
      <c r="K755" s="12">
        <f>Combined[[#This Row],[Time Spent]]*24</f>
        <v>1.5666666666666669</v>
      </c>
      <c r="L755" s="12">
        <f>MROUND(Combined[[#This Row],[Time Spent 2]],0.25)</f>
        <v>1.5</v>
      </c>
      <c r="M755" s="2" t="s">
        <v>92</v>
      </c>
      <c r="N755" t="s">
        <v>85</v>
      </c>
      <c r="O755">
        <f>MATCH(Combined[[#This Row],[Primary Area]],KPIs!$C$4:$C$7,0)</f>
        <v>4</v>
      </c>
      <c r="Q755" s="40">
        <v>45866</v>
      </c>
      <c r="R755" s="40">
        <f t="shared" si="187"/>
        <v>45866</v>
      </c>
      <c r="S755" s="4" t="str">
        <f>TEXT(Mileage[[#This Row],[Date]],"dddd")</f>
        <v>Monday</v>
      </c>
      <c r="T755" s="4" t="s">
        <v>249</v>
      </c>
      <c r="U755" s="4">
        <v>82</v>
      </c>
      <c r="V755" t="str" cm="1">
        <f t="array" ref="V755">IFERROR(VLOOKUP(MODE(IF(Combined[Date]=Mileage[[#This Row],[Date]],Combined[Area '#])),KPIs!$B$4:$C$7,2,FALSE),VLOOKUP(Mileage[[#This Row],[Date]],Combined[[Date]:[Primary Area]],8,FALSE))</f>
        <v>Portland</v>
      </c>
      <c r="W755" s="105">
        <v>0.56944444444444442</v>
      </c>
      <c r="X755" s="12">
        <v>6.18</v>
      </c>
      <c r="Y755">
        <v>119</v>
      </c>
      <c r="Z7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56" spans="2:26" x14ac:dyDescent="0.35">
      <c r="B756">
        <f t="shared" si="186"/>
        <v>754</v>
      </c>
      <c r="C756" t="s">
        <v>83</v>
      </c>
      <c r="D756" t="s">
        <v>176</v>
      </c>
      <c r="E756">
        <f>IF(WEEKNUM(Combined[[#This Row],[Date]], 1) = 53, 1, WEEKNUM(Combined[[#This Row],[Date]], 2))</f>
        <v>29</v>
      </c>
      <c r="F756" t="str">
        <f t="shared" ref="F756:F759" si="203">TEXT(WEEKDAY(G756,1),"DDDD")</f>
        <v>Wednesday</v>
      </c>
      <c r="G756" s="41">
        <v>45119</v>
      </c>
      <c r="H756">
        <v>2</v>
      </c>
      <c r="I756" s="1">
        <v>18.170000000000002</v>
      </c>
      <c r="J756" s="2">
        <v>0.10208333333333335</v>
      </c>
      <c r="K756" s="12">
        <f>Combined[[#This Row],[Time Spent]]*24</f>
        <v>2.4500000000000002</v>
      </c>
      <c r="L756" s="12">
        <f>MROUND(Combined[[#This Row],[Time Spent 2]],0.25)</f>
        <v>2.5</v>
      </c>
      <c r="M756" s="2" t="s">
        <v>91</v>
      </c>
      <c r="N756" t="s">
        <v>85</v>
      </c>
      <c r="O756">
        <f>MATCH(Combined[[#This Row],[Primary Area]],KPIs!$C$4:$C$7,0)</f>
        <v>4</v>
      </c>
      <c r="Q756" s="40">
        <v>45868</v>
      </c>
      <c r="R756" s="40">
        <f t="shared" si="187"/>
        <v>45868</v>
      </c>
      <c r="S756" s="4" t="str">
        <f>TEXT(Mileage[[#This Row],[Date]],"dddd")</f>
        <v>Wednesday</v>
      </c>
      <c r="T756" s="4" t="s">
        <v>249</v>
      </c>
      <c r="U756" s="4">
        <v>82</v>
      </c>
      <c r="V756" t="str" cm="1">
        <f t="array" ref="V756">IFERROR(VLOOKUP(MODE(IF(Combined[Date]=Mileage[[#This Row],[Date]],Combined[Area '#])),KPIs!$B$4:$C$7,2,FALSE),VLOOKUP(Mileage[[#This Row],[Date]],Combined[[Date]:[Primary Area]],8,FALSE))</f>
        <v>Brunswick/Bath/Freeport</v>
      </c>
      <c r="W756" s="105">
        <v>0.74305555555555558</v>
      </c>
      <c r="X756" s="12">
        <v>5.42</v>
      </c>
      <c r="Y756">
        <v>134</v>
      </c>
      <c r="Z75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7" spans="2:26" x14ac:dyDescent="0.35">
      <c r="B757">
        <f t="shared" si="186"/>
        <v>755</v>
      </c>
      <c r="C757" t="s">
        <v>86</v>
      </c>
      <c r="D757" t="s">
        <v>175</v>
      </c>
      <c r="E757">
        <f>IF(WEEKNUM(Combined[[#This Row],[Date]], 1) = 53, 1, WEEKNUM(Combined[[#This Row],[Date]], 2))</f>
        <v>29</v>
      </c>
      <c r="F757" t="str">
        <f t="shared" si="203"/>
        <v>Wednesday</v>
      </c>
      <c r="G757" s="41">
        <v>45119</v>
      </c>
      <c r="H757">
        <v>6</v>
      </c>
      <c r="I757" s="1">
        <v>50.81</v>
      </c>
      <c r="J757" s="2">
        <v>0.1013888888888889</v>
      </c>
      <c r="K757" s="12">
        <f>Combined[[#This Row],[Time Spent]]*24</f>
        <v>2.4333333333333336</v>
      </c>
      <c r="L757" s="12">
        <f>MROUND(Combined[[#This Row],[Time Spent 2]],0.25)</f>
        <v>2.5</v>
      </c>
      <c r="M757" s="2" t="s">
        <v>91</v>
      </c>
      <c r="N757" t="s">
        <v>85</v>
      </c>
      <c r="O757">
        <f>MATCH(Combined[[#This Row],[Primary Area]],KPIs!$C$4:$C$7,0)</f>
        <v>4</v>
      </c>
      <c r="Q757" s="40">
        <v>45869</v>
      </c>
      <c r="R757" s="40">
        <f t="shared" si="187"/>
        <v>45869</v>
      </c>
      <c r="S757" s="4" t="str">
        <f>TEXT(Mileage[[#This Row],[Date]],"dddd")</f>
        <v>Thursday</v>
      </c>
      <c r="T757" s="4" t="s">
        <v>325</v>
      </c>
      <c r="U757" s="4">
        <v>64</v>
      </c>
      <c r="V757" t="str" cm="1">
        <f t="array" ref="V757">IFERROR(VLOOKUP(MODE(IF(Combined[Date]=Mileage[[#This Row],[Date]],Combined[Area '#])),KPIs!$B$4:$C$7,2,FALSE),VLOOKUP(Mileage[[#This Row],[Date]],Combined[[Date]:[Primary Area]],8,FALSE))</f>
        <v>Lewiston</v>
      </c>
      <c r="W757" s="105">
        <v>0.74652777777777779</v>
      </c>
      <c r="X757" s="12">
        <v>5.97</v>
      </c>
      <c r="Y757">
        <v>142</v>
      </c>
      <c r="Z75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58" spans="2:26" x14ac:dyDescent="0.35">
      <c r="B758">
        <f t="shared" si="186"/>
        <v>756</v>
      </c>
      <c r="C758" t="s">
        <v>86</v>
      </c>
      <c r="D758" t="s">
        <v>176</v>
      </c>
      <c r="E758">
        <f>IF(WEEKNUM(Combined[[#This Row],[Date]], 1) = 53, 1, WEEKNUM(Combined[[#This Row],[Date]], 2))</f>
        <v>29</v>
      </c>
      <c r="F758" t="str">
        <f t="shared" si="203"/>
        <v>Wednesday</v>
      </c>
      <c r="G758" s="41">
        <v>45119</v>
      </c>
      <c r="H758">
        <v>4</v>
      </c>
      <c r="I758" s="1">
        <v>35</v>
      </c>
      <c r="J758" s="2">
        <v>9.7222222222222224E-2</v>
      </c>
      <c r="K758" s="12">
        <f>Combined[[#This Row],[Time Spent]]*24</f>
        <v>2.3333333333333335</v>
      </c>
      <c r="L758" s="12">
        <f>MROUND(Combined[[#This Row],[Time Spent 2]],0.25)</f>
        <v>2.25</v>
      </c>
      <c r="M758" s="2" t="s">
        <v>91</v>
      </c>
      <c r="N758" t="s">
        <v>85</v>
      </c>
      <c r="O758">
        <f>MATCH(Combined[[#This Row],[Primary Area]],KPIs!$C$4:$C$7,0)</f>
        <v>4</v>
      </c>
      <c r="Q758" s="40">
        <v>45870</v>
      </c>
      <c r="R758" s="40">
        <f t="shared" si="187"/>
        <v>45870</v>
      </c>
      <c r="S758" s="4" t="str">
        <f>TEXT(Mileage[[#This Row],[Date]],"dddd")</f>
        <v>Friday</v>
      </c>
      <c r="T758" s="4" t="s">
        <v>249</v>
      </c>
      <c r="U758" s="4">
        <v>73</v>
      </c>
      <c r="V758" t="str" cm="1">
        <f t="array" ref="V758">IFERROR(VLOOKUP(MODE(IF(Combined[Date]=Mileage[[#This Row],[Date]],Combined[Area '#])),KPIs!$B$4:$C$7,2,FALSE),VLOOKUP(Mileage[[#This Row],[Date]],Combined[[Date]:[Primary Area]],8,FALSE))</f>
        <v>Brunswick/Bath/Freeport</v>
      </c>
      <c r="W758" s="105">
        <v>0.75</v>
      </c>
      <c r="X758" s="12">
        <v>6.45</v>
      </c>
      <c r="Y758">
        <v>153</v>
      </c>
      <c r="Z75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59" spans="2:26" x14ac:dyDescent="0.35">
      <c r="B759">
        <f t="shared" si="186"/>
        <v>757</v>
      </c>
      <c r="C759" t="s">
        <v>86</v>
      </c>
      <c r="D759" t="s">
        <v>176</v>
      </c>
      <c r="E759">
        <f>IF(WEEKNUM(Combined[[#This Row],[Date]], 1) = 53, 1, WEEKNUM(Combined[[#This Row],[Date]], 2))</f>
        <v>29</v>
      </c>
      <c r="F759" t="str">
        <f t="shared" si="203"/>
        <v>Thursday</v>
      </c>
      <c r="G759" s="41">
        <v>45120</v>
      </c>
      <c r="H759">
        <v>8</v>
      </c>
      <c r="I759" s="1">
        <v>64.75</v>
      </c>
      <c r="J759" s="2">
        <v>0.1986111111111111</v>
      </c>
      <c r="K759" s="12">
        <f>Combined[[#This Row],[Time Spent]]*24</f>
        <v>4.7666666666666666</v>
      </c>
      <c r="L759" s="12">
        <f>MROUND(Combined[[#This Row],[Time Spent 2]],0.25)</f>
        <v>4.75</v>
      </c>
      <c r="M759" s="2" t="s">
        <v>91</v>
      </c>
      <c r="N759" t="s">
        <v>174</v>
      </c>
      <c r="O759">
        <f>MATCH(Combined[[#This Row],[Primary Area]],KPIs!$C$4:$C$7,0)</f>
        <v>1</v>
      </c>
      <c r="Q759" s="40">
        <v>45873</v>
      </c>
      <c r="R759" s="40">
        <f t="shared" si="187"/>
        <v>45873</v>
      </c>
      <c r="S759" s="4" t="str">
        <f>TEXT(Mileage[[#This Row],[Date]],"dddd")</f>
        <v>Monday</v>
      </c>
      <c r="T759" s="4" t="s">
        <v>249</v>
      </c>
      <c r="U759" s="4">
        <v>81</v>
      </c>
      <c r="V759" t="str" cm="1">
        <f t="array" ref="V759">IFERROR(VLOOKUP(MODE(IF(Combined[Date]=Mileage[[#This Row],[Date]],Combined[Area '#])),KPIs!$B$4:$C$7,2,FALSE),VLOOKUP(Mileage[[#This Row],[Date]],Combined[[Date]:[Primary Area]],8,FALSE))</f>
        <v>Brunswick/Bath/Freeport</v>
      </c>
      <c r="W759" s="105">
        <v>0.73263888888888884</v>
      </c>
      <c r="X759" s="12">
        <v>5.85</v>
      </c>
      <c r="Y759">
        <v>138</v>
      </c>
      <c r="Z75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60" spans="2:26" x14ac:dyDescent="0.35">
      <c r="B760">
        <f t="shared" si="186"/>
        <v>758</v>
      </c>
      <c r="C760" t="s">
        <v>83</v>
      </c>
      <c r="D760" t="s">
        <v>176</v>
      </c>
      <c r="E760">
        <f>IF(WEEKNUM(Combined[[#This Row],[Date]], 1) = 53, 1, WEEKNUM(Combined[[#This Row],[Date]], 2))</f>
        <v>29</v>
      </c>
      <c r="F760" t="str">
        <f t="shared" ref="F760:F762" si="204">TEXT(WEEKDAY(G760,1),"DDDD")</f>
        <v>Friday</v>
      </c>
      <c r="G760" s="41">
        <v>45121</v>
      </c>
      <c r="H760">
        <v>11</v>
      </c>
      <c r="I760" s="1">
        <v>84.96</v>
      </c>
      <c r="J760" s="2">
        <v>0.22430555555555556</v>
      </c>
      <c r="K760" s="12">
        <f>Combined[[#This Row],[Time Spent]]*24</f>
        <v>5.3833333333333337</v>
      </c>
      <c r="L760" s="12">
        <f>MROUND(Combined[[#This Row],[Time Spent 2]],0.25)</f>
        <v>5.5</v>
      </c>
      <c r="M760" s="2" t="s">
        <v>91</v>
      </c>
      <c r="N760" t="s">
        <v>85</v>
      </c>
      <c r="O760">
        <f>MATCH(Combined[[#This Row],[Primary Area]],KPIs!$C$4:$C$7,0)</f>
        <v>4</v>
      </c>
      <c r="Q760" s="40">
        <v>45875</v>
      </c>
      <c r="R760" s="40">
        <f t="shared" si="187"/>
        <v>45875</v>
      </c>
      <c r="S760" s="4" t="str">
        <f>TEXT(Mileage[[#This Row],[Date]],"dddd")</f>
        <v>Wednesday</v>
      </c>
      <c r="T760" s="4" t="s">
        <v>230</v>
      </c>
      <c r="U760" s="4">
        <v>73</v>
      </c>
      <c r="V760" t="str" cm="1">
        <f t="array" ref="V760">IFERROR(VLOOKUP(MODE(IF(Combined[Date]=Mileage[[#This Row],[Date]],Combined[Area '#])),KPIs!$B$4:$C$7,2,FALSE),VLOOKUP(Mileage[[#This Row],[Date]],Combined[[Date]:[Primary Area]],8,FALSE))</f>
        <v>Lewiston</v>
      </c>
      <c r="W760" s="105">
        <v>0.76041666666666663</v>
      </c>
      <c r="X760" s="12">
        <v>4.3</v>
      </c>
      <c r="Y760">
        <v>88</v>
      </c>
      <c r="Z7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1" spans="2:26" x14ac:dyDescent="0.35">
      <c r="B761">
        <f t="shared" si="186"/>
        <v>759</v>
      </c>
      <c r="C761" t="s">
        <v>86</v>
      </c>
      <c r="D761" t="s">
        <v>175</v>
      </c>
      <c r="E761">
        <f>IF(WEEKNUM(Combined[[#This Row],[Date]], 1) = 53, 1, WEEKNUM(Combined[[#This Row],[Date]], 2))</f>
        <v>29</v>
      </c>
      <c r="F761" t="str">
        <f t="shared" si="204"/>
        <v>Friday</v>
      </c>
      <c r="G761" s="41">
        <v>45121</v>
      </c>
      <c r="H761">
        <v>1</v>
      </c>
      <c r="I761" s="1">
        <v>17.39</v>
      </c>
      <c r="J761" s="2">
        <v>3.6805555555555557E-2</v>
      </c>
      <c r="K761" s="12">
        <f>Combined[[#This Row],[Time Spent]]*24</f>
        <v>0.8833333333333333</v>
      </c>
      <c r="L761" s="12">
        <f>MROUND(Combined[[#This Row],[Time Spent 2]],0.25)</f>
        <v>1</v>
      </c>
      <c r="M761" s="2" t="s">
        <v>91</v>
      </c>
      <c r="N761" t="s">
        <v>85</v>
      </c>
      <c r="O761">
        <f>MATCH(Combined[[#This Row],[Primary Area]],KPIs!$C$4:$C$7,0)</f>
        <v>4</v>
      </c>
      <c r="Q761" s="40">
        <v>45877</v>
      </c>
      <c r="R761" s="40">
        <f t="shared" si="187"/>
        <v>45877</v>
      </c>
      <c r="S761" s="4" t="str">
        <f>TEXT(Mileage[[#This Row],[Date]],"dddd")</f>
        <v>Friday</v>
      </c>
      <c r="T761" s="4" t="s">
        <v>281</v>
      </c>
      <c r="U761" s="4">
        <v>73</v>
      </c>
      <c r="V761" t="str" cm="1">
        <f t="array" ref="V761">IFERROR(VLOOKUP(MODE(IF(Combined[Date]=Mileage[[#This Row],[Date]],Combined[Area '#])),KPIs!$B$4:$C$7,2,FALSE),VLOOKUP(Mileage[[#This Row],[Date]],Combined[[Date]:[Primary Area]],8,FALSE))</f>
        <v>Brunswick/Bath/Freeport</v>
      </c>
      <c r="W761" s="105">
        <v>0.80555555555555558</v>
      </c>
      <c r="X761" s="12">
        <v>3.18</v>
      </c>
      <c r="Y761">
        <v>45.8</v>
      </c>
      <c r="Z76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2" spans="2:26" x14ac:dyDescent="0.35">
      <c r="B762">
        <f t="shared" si="186"/>
        <v>760</v>
      </c>
      <c r="C762" t="s">
        <v>86</v>
      </c>
      <c r="D762" t="s">
        <v>175</v>
      </c>
      <c r="E762">
        <f>IF(WEEKNUM(Combined[[#This Row],[Date]], 1) = 53, 1, WEEKNUM(Combined[[#This Row],[Date]], 2))</f>
        <v>29</v>
      </c>
      <c r="F762" t="str">
        <f t="shared" si="204"/>
        <v>Friday</v>
      </c>
      <c r="G762" s="41">
        <v>45121</v>
      </c>
      <c r="H762">
        <v>1</v>
      </c>
      <c r="I762" s="1">
        <v>11.48</v>
      </c>
      <c r="J762" s="2">
        <v>3.5416666666666666E-2</v>
      </c>
      <c r="K762" s="12">
        <f>Combined[[#This Row],[Time Spent]]*24</f>
        <v>0.85</v>
      </c>
      <c r="L762" s="12">
        <f>MROUND(Combined[[#This Row],[Time Spent 2]],0.25)</f>
        <v>0.75</v>
      </c>
      <c r="M762" s="2" t="s">
        <v>92</v>
      </c>
      <c r="N762" t="s">
        <v>85</v>
      </c>
      <c r="O762">
        <f>MATCH(Combined[[#This Row],[Primary Area]],KPIs!$C$4:$C$7,0)</f>
        <v>4</v>
      </c>
      <c r="Q762" s="40">
        <v>45878</v>
      </c>
      <c r="R762" s="40">
        <f t="shared" si="187"/>
        <v>45878</v>
      </c>
      <c r="S762" s="4" t="str">
        <f>TEXT(Mileage[[#This Row],[Date]],"dddd")</f>
        <v>Saturday</v>
      </c>
      <c r="T762" s="4" t="s">
        <v>230</v>
      </c>
      <c r="U762" s="4">
        <v>75</v>
      </c>
      <c r="V762" t="str" cm="1">
        <f t="array" ref="V762">IFERROR(VLOOKUP(MODE(IF(Combined[Date]=Mileage[[#This Row],[Date]],Combined[Area '#])),KPIs!$B$4:$C$7,2,FALSE),VLOOKUP(Mileage[[#This Row],[Date]],Combined[[Date]:[Primary Area]],8,FALSE))</f>
        <v>Brunswick/Bath/Freeport</v>
      </c>
      <c r="W762" s="105">
        <v>0.71180555555555558</v>
      </c>
      <c r="X762" s="12">
        <v>6.57</v>
      </c>
      <c r="Y762">
        <v>128</v>
      </c>
      <c r="Z7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3" spans="2:26" x14ac:dyDescent="0.35">
      <c r="B763">
        <f t="shared" si="186"/>
        <v>761</v>
      </c>
      <c r="C763" t="s">
        <v>83</v>
      </c>
      <c r="D763" t="s">
        <v>176</v>
      </c>
      <c r="E763">
        <f>IF(WEEKNUM(Combined[[#This Row],[Date]], 1) = 53, 1, WEEKNUM(Combined[[#This Row],[Date]], 2))</f>
        <v>29</v>
      </c>
      <c r="F763" t="str">
        <f t="shared" ref="F763:F764" si="205">TEXT(WEEKDAY(G763,1),"DDDD")</f>
        <v>Saturday</v>
      </c>
      <c r="G763" s="41">
        <v>45122</v>
      </c>
      <c r="H763">
        <v>1</v>
      </c>
      <c r="I763" s="1">
        <v>7.54</v>
      </c>
      <c r="J763" s="2">
        <v>8.819444444444445E-2</v>
      </c>
      <c r="K763" s="12">
        <f>Combined[[#This Row],[Time Spent]]*24</f>
        <v>2.1166666666666667</v>
      </c>
      <c r="L763" s="12">
        <f>MROUND(Combined[[#This Row],[Time Spent 2]],0.25)</f>
        <v>2</v>
      </c>
      <c r="M763" s="2" t="s">
        <v>90</v>
      </c>
      <c r="N763" t="s">
        <v>82</v>
      </c>
      <c r="O763">
        <f>MATCH(Combined[[#This Row],[Primary Area]],KPIs!$C$4:$C$7,0)</f>
        <v>3</v>
      </c>
      <c r="Q763" s="40">
        <v>45879</v>
      </c>
      <c r="R763" s="40">
        <f t="shared" si="187"/>
        <v>45879</v>
      </c>
      <c r="S763" s="4" t="str">
        <f>TEXT(Mileage[[#This Row],[Date]],"dddd")</f>
        <v>Sunday</v>
      </c>
      <c r="T763" s="4" t="s">
        <v>230</v>
      </c>
      <c r="U763" s="4">
        <v>82</v>
      </c>
      <c r="V763" t="str" cm="1">
        <f t="array" ref="V763">IFERROR(VLOOKUP(MODE(IF(Combined[Date]=Mileage[[#This Row],[Date]],Combined[Area '#])),KPIs!$B$4:$C$7,2,FALSE),VLOOKUP(Mileage[[#This Row],[Date]],Combined[[Date]:[Primary Area]],8,FALSE))</f>
        <v>Lewiston</v>
      </c>
      <c r="W763" s="105">
        <v>0.71527777777777779</v>
      </c>
      <c r="X763" s="12">
        <v>6.22</v>
      </c>
      <c r="Y763">
        <v>112</v>
      </c>
      <c r="Z76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4" spans="2:26" x14ac:dyDescent="0.35">
      <c r="B764">
        <f t="shared" si="186"/>
        <v>762</v>
      </c>
      <c r="C764" t="s">
        <v>86</v>
      </c>
      <c r="D764" t="s">
        <v>176</v>
      </c>
      <c r="E764">
        <f>IF(WEEKNUM(Combined[[#This Row],[Date]], 1) = 53, 1, WEEKNUM(Combined[[#This Row],[Date]], 2))</f>
        <v>29</v>
      </c>
      <c r="F764" t="str">
        <f t="shared" si="205"/>
        <v>Saturday</v>
      </c>
      <c r="G764" s="41">
        <v>45122</v>
      </c>
      <c r="H764">
        <v>15</v>
      </c>
      <c r="I764" s="1">
        <v>116.25</v>
      </c>
      <c r="J764" s="2">
        <v>0.24027777777777778</v>
      </c>
      <c r="K764" s="12">
        <f>Combined[[#This Row],[Time Spent]]*24</f>
        <v>5.7666666666666666</v>
      </c>
      <c r="L764" s="12">
        <f>MROUND(Combined[[#This Row],[Time Spent 2]],0.25)</f>
        <v>5.75</v>
      </c>
      <c r="M764" s="2" t="s">
        <v>91</v>
      </c>
      <c r="N764" t="s">
        <v>82</v>
      </c>
      <c r="O764">
        <f>MATCH(Combined[[#This Row],[Primary Area]],KPIs!$C$4:$C$7,0)</f>
        <v>3</v>
      </c>
      <c r="Q764" s="40">
        <v>45880</v>
      </c>
      <c r="R764" s="40">
        <f t="shared" si="187"/>
        <v>45880</v>
      </c>
      <c r="S764" s="4" t="str">
        <f>TEXT(Mileage[[#This Row],[Date]],"dddd")</f>
        <v>Monday</v>
      </c>
      <c r="T764" s="4" t="s">
        <v>230</v>
      </c>
      <c r="U764" s="4">
        <v>88</v>
      </c>
      <c r="V764" t="str" cm="1">
        <f t="array" ref="V764">IFERROR(VLOOKUP(MODE(IF(Combined[Date]=Mileage[[#This Row],[Date]],Combined[Area '#])),KPIs!$B$4:$C$7,2,FALSE),VLOOKUP(Mileage[[#This Row],[Date]],Combined[[Date]:[Primary Area]],8,FALSE))</f>
        <v>Lewiston</v>
      </c>
      <c r="W764" s="105">
        <v>0.74652777777777779</v>
      </c>
      <c r="X764" s="12">
        <v>5.08</v>
      </c>
      <c r="Y764">
        <v>96</v>
      </c>
      <c r="Z76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5" spans="2:26" x14ac:dyDescent="0.35">
      <c r="B765">
        <f t="shared" si="186"/>
        <v>763</v>
      </c>
      <c r="C765" t="s">
        <v>83</v>
      </c>
      <c r="D765" t="s">
        <v>176</v>
      </c>
      <c r="E765">
        <f>IF(WEEKNUM(Combined[[#This Row],[Date]], 1) = 53, 1, WEEKNUM(Combined[[#This Row],[Date]], 2))</f>
        <v>29</v>
      </c>
      <c r="F765" t="str">
        <f t="shared" ref="F765:F767" si="206">TEXT(WEEKDAY(G765,1),"DDDD")</f>
        <v>Sunday</v>
      </c>
      <c r="G765" s="41">
        <v>45123</v>
      </c>
      <c r="H765">
        <v>1</v>
      </c>
      <c r="I765" s="1">
        <v>17.88</v>
      </c>
      <c r="J765" s="2">
        <v>5.4166666666666669E-2</v>
      </c>
      <c r="K765" s="12">
        <f>Combined[[#This Row],[Time Spent]]*24</f>
        <v>1.3</v>
      </c>
      <c r="L765" s="12">
        <f>MROUND(Combined[[#This Row],[Time Spent 2]],0.25)</f>
        <v>1.25</v>
      </c>
      <c r="M765" s="2" t="s">
        <v>91</v>
      </c>
      <c r="N765" t="s">
        <v>80</v>
      </c>
      <c r="O765">
        <f>MATCH(Combined[[#This Row],[Primary Area]],KPIs!$C$4:$C$7,0)</f>
        <v>2</v>
      </c>
      <c r="Q765" s="40">
        <v>45881</v>
      </c>
      <c r="R765" s="40">
        <f t="shared" si="187"/>
        <v>45881</v>
      </c>
      <c r="S765" s="4" t="str">
        <f>TEXT(Mileage[[#This Row],[Date]],"dddd")</f>
        <v>Tuesday</v>
      </c>
      <c r="T765" s="4" t="s">
        <v>230</v>
      </c>
      <c r="U765" s="4">
        <v>90</v>
      </c>
      <c r="V765" t="str" cm="1">
        <f t="array" ref="V765">IFERROR(VLOOKUP(MODE(IF(Combined[Date]=Mileage[[#This Row],[Date]],Combined[Area '#])),KPIs!$B$4:$C$7,2,FALSE),VLOOKUP(Mileage[[#This Row],[Date]],Combined[[Date]:[Primary Area]],8,FALSE))</f>
        <v>Lewiston</v>
      </c>
      <c r="W765" s="105">
        <v>0.73611111111111116</v>
      </c>
      <c r="X765" s="12">
        <v>5.85</v>
      </c>
      <c r="Y765">
        <v>140</v>
      </c>
      <c r="Z7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66" spans="2:26" x14ac:dyDescent="0.35">
      <c r="B766">
        <f t="shared" si="186"/>
        <v>764</v>
      </c>
      <c r="C766" t="s">
        <v>86</v>
      </c>
      <c r="D766" t="s">
        <v>176</v>
      </c>
      <c r="E766">
        <f>IF(WEEKNUM(Combined[[#This Row],[Date]], 1) = 53, 1, WEEKNUM(Combined[[#This Row],[Date]], 2))</f>
        <v>29</v>
      </c>
      <c r="F766" t="str">
        <f t="shared" si="206"/>
        <v>Sunday</v>
      </c>
      <c r="G766" s="41">
        <v>45123</v>
      </c>
      <c r="H766">
        <v>2</v>
      </c>
      <c r="I766" s="1">
        <v>20.75</v>
      </c>
      <c r="J766" s="2">
        <v>3.9583333333333331E-2</v>
      </c>
      <c r="K766" s="12">
        <f>Combined[[#This Row],[Time Spent]]*24</f>
        <v>0.95</v>
      </c>
      <c r="L766" s="12">
        <f>MROUND(Combined[[#This Row],[Time Spent 2]],0.25)</f>
        <v>1</v>
      </c>
      <c r="M766" s="2" t="s">
        <v>91</v>
      </c>
      <c r="N766" t="s">
        <v>80</v>
      </c>
      <c r="O766">
        <f>MATCH(Combined[[#This Row],[Primary Area]],KPIs!$C$4:$C$7,0)</f>
        <v>2</v>
      </c>
      <c r="Q766" s="40">
        <v>45882</v>
      </c>
      <c r="R766" s="40">
        <f t="shared" si="187"/>
        <v>45882</v>
      </c>
      <c r="S766" s="4" t="str">
        <f>TEXT(Mileage[[#This Row],[Date]],"dddd")</f>
        <v>Wednesday</v>
      </c>
      <c r="T766" s="4" t="s">
        <v>249</v>
      </c>
      <c r="U766" s="4">
        <v>79</v>
      </c>
      <c r="V766" t="str" cm="1">
        <f t="array" ref="V766">IFERROR(VLOOKUP(MODE(IF(Combined[Date]=Mileage[[#This Row],[Date]],Combined[Area '#])),KPIs!$B$4:$C$7,2,FALSE),VLOOKUP(Mileage[[#This Row],[Date]],Combined[[Date]:[Primary Area]],8,FALSE))</f>
        <v>Brunswick/Bath/Freeport</v>
      </c>
      <c r="W766" s="105">
        <v>0.81597222222222221</v>
      </c>
      <c r="X766" s="12">
        <v>3.13</v>
      </c>
      <c r="Y766">
        <v>54</v>
      </c>
      <c r="Z7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7" spans="2:26" x14ac:dyDescent="0.35">
      <c r="B767">
        <f t="shared" si="186"/>
        <v>765</v>
      </c>
      <c r="C767" t="s">
        <v>86</v>
      </c>
      <c r="D767" t="s">
        <v>176</v>
      </c>
      <c r="E767">
        <f>IF(WEEKNUM(Combined[[#This Row],[Date]], 1) = 53, 1, WEEKNUM(Combined[[#This Row],[Date]], 2))</f>
        <v>29</v>
      </c>
      <c r="F767" t="str">
        <f t="shared" si="206"/>
        <v>Sunday</v>
      </c>
      <c r="G767" s="41">
        <v>45123</v>
      </c>
      <c r="H767">
        <v>2</v>
      </c>
      <c r="I767" s="1">
        <v>20</v>
      </c>
      <c r="J767" s="2">
        <v>5.6250000000000001E-2</v>
      </c>
      <c r="K767" s="12">
        <f>Combined[[#This Row],[Time Spent]]*24</f>
        <v>1.35</v>
      </c>
      <c r="L767" s="12">
        <f>MROUND(Combined[[#This Row],[Time Spent 2]],0.25)</f>
        <v>1.25</v>
      </c>
      <c r="M767" s="2" t="s">
        <v>91</v>
      </c>
      <c r="N767" t="s">
        <v>80</v>
      </c>
      <c r="O767">
        <f>MATCH(Combined[[#This Row],[Primary Area]],KPIs!$C$4:$C$7,0)</f>
        <v>2</v>
      </c>
      <c r="Q767" s="40">
        <v>45883</v>
      </c>
      <c r="R767" s="40">
        <f t="shared" si="187"/>
        <v>45883</v>
      </c>
      <c r="S767" s="4" t="str">
        <f>TEXT(Mileage[[#This Row],[Date]],"dddd")</f>
        <v>Thursday</v>
      </c>
      <c r="T767" s="4" t="s">
        <v>249</v>
      </c>
      <c r="U767" s="4">
        <v>84</v>
      </c>
      <c r="V767" t="str" cm="1">
        <f t="array" ref="V767">IFERROR(VLOOKUP(MODE(IF(Combined[Date]=Mileage[[#This Row],[Date]],Combined[Area '#])),KPIs!$B$4:$C$7,2,FALSE),VLOOKUP(Mileage[[#This Row],[Date]],Combined[[Date]:[Primary Area]],8,FALSE))</f>
        <v>Lewiston</v>
      </c>
      <c r="W767" s="105">
        <v>0.80208333333333337</v>
      </c>
      <c r="X767" s="12">
        <v>4.07</v>
      </c>
      <c r="Y767">
        <v>82</v>
      </c>
      <c r="Z76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68" spans="2:26" x14ac:dyDescent="0.35">
      <c r="B768">
        <f t="shared" si="186"/>
        <v>766</v>
      </c>
      <c r="C768" t="s">
        <v>83</v>
      </c>
      <c r="D768" t="s">
        <v>176</v>
      </c>
      <c r="E768">
        <f>IF(WEEKNUM(Combined[[#This Row],[Date]], 1) = 53, 1, WEEKNUM(Combined[[#This Row],[Date]], 2))</f>
        <v>30</v>
      </c>
      <c r="F768" t="str">
        <f t="shared" ref="F768:F770" si="207">TEXT(WEEKDAY(G768,1),"DDDD")</f>
        <v>Monday</v>
      </c>
      <c r="G768" s="41">
        <v>45124</v>
      </c>
      <c r="H768">
        <v>11</v>
      </c>
      <c r="I768" s="1">
        <v>138.4</v>
      </c>
      <c r="J768" s="2">
        <v>0.25694444444444448</v>
      </c>
      <c r="K768" s="12">
        <f>Combined[[#This Row],[Time Spent]]*24</f>
        <v>6.1666666666666679</v>
      </c>
      <c r="L768" s="12">
        <f>MROUND(Combined[[#This Row],[Time Spent 2]],0.25)</f>
        <v>6.25</v>
      </c>
      <c r="M768" s="2" t="s">
        <v>91</v>
      </c>
      <c r="N768" t="s">
        <v>85</v>
      </c>
      <c r="O768">
        <f>MATCH(Combined[[#This Row],[Primary Area]],KPIs!$C$4:$C$7,0)</f>
        <v>4</v>
      </c>
      <c r="Q768" s="40">
        <v>45884</v>
      </c>
      <c r="R768" s="40">
        <f t="shared" si="187"/>
        <v>45884</v>
      </c>
      <c r="S768" s="4" t="str">
        <f>TEXT(Mileage[[#This Row],[Date]],"dddd")</f>
        <v>Friday</v>
      </c>
      <c r="T768" s="4" t="s">
        <v>230</v>
      </c>
      <c r="U768" s="4">
        <v>81</v>
      </c>
      <c r="V768" t="str" cm="1">
        <f t="array" ref="V768">IFERROR(VLOOKUP(MODE(IF(Combined[Date]=Mileage[[#This Row],[Date]],Combined[Area '#])),KPIs!$B$4:$C$7,2,FALSE),VLOOKUP(Mileage[[#This Row],[Date]],Combined[[Date]:[Primary Area]],8,FALSE))</f>
        <v>Brunswick/Bath/Freeport</v>
      </c>
      <c r="W768" s="105">
        <v>0.75694444444444442</v>
      </c>
      <c r="X768" s="12">
        <v>6.38</v>
      </c>
      <c r="Y768">
        <v>145</v>
      </c>
      <c r="Z76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69" spans="2:26" x14ac:dyDescent="0.35">
      <c r="B769">
        <f t="shared" si="186"/>
        <v>767</v>
      </c>
      <c r="C769" t="s">
        <v>86</v>
      </c>
      <c r="D769" t="s">
        <v>176</v>
      </c>
      <c r="E769">
        <f>IF(WEEKNUM(Combined[[#This Row],[Date]], 1) = 53, 1, WEEKNUM(Combined[[#This Row],[Date]], 2))</f>
        <v>30</v>
      </c>
      <c r="F769" t="str">
        <f t="shared" si="207"/>
        <v>Monday</v>
      </c>
      <c r="G769" s="41">
        <v>45124</v>
      </c>
      <c r="H769">
        <v>1</v>
      </c>
      <c r="I769" s="1">
        <v>9.5</v>
      </c>
      <c r="J769" s="2">
        <v>3.125E-2</v>
      </c>
      <c r="K769" s="12">
        <f>Combined[[#This Row],[Time Spent]]*24</f>
        <v>0.75</v>
      </c>
      <c r="L769" s="12">
        <f>MROUND(Combined[[#This Row],[Time Spent 2]],0.25)</f>
        <v>0.75</v>
      </c>
      <c r="M769" s="2" t="s">
        <v>92</v>
      </c>
      <c r="N769" t="s">
        <v>85</v>
      </c>
      <c r="O769">
        <f>MATCH(Combined[[#This Row],[Primary Area]],KPIs!$C$4:$C$7,0)</f>
        <v>4</v>
      </c>
      <c r="Q769" s="40">
        <v>45885</v>
      </c>
      <c r="R769" s="40">
        <f t="shared" si="187"/>
        <v>45885</v>
      </c>
      <c r="S769" s="4" t="str">
        <f>TEXT(Mileage[[#This Row],[Date]],"dddd")</f>
        <v>Saturday</v>
      </c>
      <c r="T769" s="4" t="s">
        <v>249</v>
      </c>
      <c r="U769" s="4">
        <v>81</v>
      </c>
      <c r="V769" t="str" cm="1">
        <f t="array" ref="V769">IFERROR(VLOOKUP(MODE(IF(Combined[Date]=Mileage[[#This Row],[Date]],Combined[Area '#])),KPIs!$B$4:$C$7,2,FALSE),VLOOKUP(Mileage[[#This Row],[Date]],Combined[[Date]:[Primary Area]],8,FALSE))</f>
        <v>Portland</v>
      </c>
      <c r="W769" s="105">
        <v>0.4375</v>
      </c>
      <c r="X769" s="12">
        <v>7.33</v>
      </c>
      <c r="Y769">
        <v>172</v>
      </c>
      <c r="Z76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0" spans="2:26" x14ac:dyDescent="0.35">
      <c r="B770">
        <f t="shared" si="186"/>
        <v>768</v>
      </c>
      <c r="C770" t="s">
        <v>86</v>
      </c>
      <c r="D770" t="s">
        <v>176</v>
      </c>
      <c r="E770">
        <f>IF(WEEKNUM(Combined[[#This Row],[Date]], 1) = 53, 1, WEEKNUM(Combined[[#This Row],[Date]], 2))</f>
        <v>30</v>
      </c>
      <c r="F770" t="str">
        <f t="shared" si="207"/>
        <v>Monday</v>
      </c>
      <c r="G770" s="41">
        <v>45124</v>
      </c>
      <c r="H770">
        <v>2</v>
      </c>
      <c r="I770" s="1">
        <v>15.5</v>
      </c>
      <c r="J770" s="2">
        <v>2.9166666666666664E-2</v>
      </c>
      <c r="K770" s="12">
        <f>Combined[[#This Row],[Time Spent]]*24</f>
        <v>0.7</v>
      </c>
      <c r="L770" s="12">
        <f>MROUND(Combined[[#This Row],[Time Spent 2]],0.25)</f>
        <v>0.75</v>
      </c>
      <c r="M770" s="2" t="s">
        <v>92</v>
      </c>
      <c r="N770" t="s">
        <v>85</v>
      </c>
      <c r="O770">
        <f>MATCH(Combined[[#This Row],[Primary Area]],KPIs!$C$4:$C$7,0)</f>
        <v>4</v>
      </c>
      <c r="Q770" s="40">
        <v>45886</v>
      </c>
      <c r="R770" s="40">
        <f t="shared" si="187"/>
        <v>45886</v>
      </c>
      <c r="S770" s="4" t="str">
        <f>TEXT(Mileage[[#This Row],[Date]],"dddd")</f>
        <v>Sunday</v>
      </c>
      <c r="T770" s="4" t="s">
        <v>249</v>
      </c>
      <c r="U770" s="4">
        <v>84</v>
      </c>
      <c r="V770" t="str" cm="1">
        <f t="array" ref="V770">IFERROR(VLOOKUP(MODE(IF(Combined[Date]=Mileage[[#This Row],[Date]],Combined[Area '#])),KPIs!$B$4:$C$7,2,FALSE),VLOOKUP(Mileage[[#This Row],[Date]],Combined[[Date]:[Primary Area]],8,FALSE))</f>
        <v>Portland</v>
      </c>
      <c r="W770" s="105">
        <v>0.52083333333333337</v>
      </c>
      <c r="X770" s="12">
        <v>3.02</v>
      </c>
      <c r="Y770">
        <v>56</v>
      </c>
      <c r="Z77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1" spans="2:26" x14ac:dyDescent="0.35">
      <c r="B771">
        <f t="shared" ref="B771:B834" si="208">ROW()-2</f>
        <v>769</v>
      </c>
      <c r="C771" t="s">
        <v>83</v>
      </c>
      <c r="D771" t="s">
        <v>176</v>
      </c>
      <c r="E771">
        <f>IF(WEEKNUM(Combined[[#This Row],[Date]], 1) = 53, 1, WEEKNUM(Combined[[#This Row],[Date]], 2))</f>
        <v>30</v>
      </c>
      <c r="F771" t="str">
        <f t="shared" ref="F771:F775" si="209">TEXT(WEEKDAY(G771,1),"DDDD")</f>
        <v>Tuesday</v>
      </c>
      <c r="G771" s="41">
        <v>45125</v>
      </c>
      <c r="H771">
        <v>6</v>
      </c>
      <c r="I771" s="1">
        <v>77.290000000000006</v>
      </c>
      <c r="J771" s="2">
        <v>0.17361111111111113</v>
      </c>
      <c r="K771" s="12">
        <f>Combined[[#This Row],[Time Spent]]*24</f>
        <v>4.166666666666667</v>
      </c>
      <c r="L771" s="12">
        <f>MROUND(Combined[[#This Row],[Time Spent 2]],0.25)</f>
        <v>4.25</v>
      </c>
      <c r="M771" s="2" t="s">
        <v>91</v>
      </c>
      <c r="N771" t="s">
        <v>85</v>
      </c>
      <c r="O771">
        <f>MATCH(Combined[[#This Row],[Primary Area]],KPIs!$C$4:$C$7,0)</f>
        <v>4</v>
      </c>
      <c r="Q771" s="40">
        <v>45887</v>
      </c>
      <c r="R771" s="40">
        <f t="shared" ref="R771:R835" si="210">Q771</f>
        <v>45887</v>
      </c>
      <c r="S771" s="4" t="str">
        <f>TEXT(Mileage[[#This Row],[Date]],"dddd")</f>
        <v>Monday</v>
      </c>
      <c r="T771" s="4" t="s">
        <v>230</v>
      </c>
      <c r="U771" s="4">
        <v>68</v>
      </c>
      <c r="V771" t="str" cm="1">
        <f t="array" ref="V771">IFERROR(VLOOKUP(MODE(IF(Combined[Date]=Mileage[[#This Row],[Date]],Combined[Area '#])),KPIs!$B$4:$C$7,2,FALSE),VLOOKUP(Mileage[[#This Row],[Date]],Combined[[Date]:[Primary Area]],8,FALSE))</f>
        <v>Portland</v>
      </c>
      <c r="W771" s="105">
        <v>0.76736111111111116</v>
      </c>
      <c r="X771" s="12">
        <v>5.13</v>
      </c>
      <c r="Y771">
        <v>114</v>
      </c>
      <c r="Z77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72" spans="2:26" x14ac:dyDescent="0.35">
      <c r="B772">
        <f t="shared" si="208"/>
        <v>770</v>
      </c>
      <c r="C772" t="s">
        <v>86</v>
      </c>
      <c r="D772" t="s">
        <v>176</v>
      </c>
      <c r="E772">
        <f>IF(WEEKNUM(Combined[[#This Row],[Date]], 1) = 53, 1, WEEKNUM(Combined[[#This Row],[Date]], 2))</f>
        <v>30</v>
      </c>
      <c r="F772" t="str">
        <f t="shared" si="209"/>
        <v>Tuesday</v>
      </c>
      <c r="G772" s="41">
        <v>45125</v>
      </c>
      <c r="H772">
        <v>2</v>
      </c>
      <c r="I772" s="1">
        <v>28</v>
      </c>
      <c r="J772" s="2">
        <v>0.11319444444444444</v>
      </c>
      <c r="K772" s="12">
        <f>Combined[[#This Row],[Time Spent]]*24</f>
        <v>2.7166666666666668</v>
      </c>
      <c r="L772" s="12">
        <f>MROUND(Combined[[#This Row],[Time Spent 2]],0.25)</f>
        <v>2.75</v>
      </c>
      <c r="M772" s="2" t="s">
        <v>91</v>
      </c>
      <c r="N772" t="s">
        <v>85</v>
      </c>
      <c r="O772">
        <f>MATCH(Combined[[#This Row],[Primary Area]],KPIs!$C$4:$C$7,0)</f>
        <v>4</v>
      </c>
      <c r="Q772" s="40">
        <v>45889</v>
      </c>
      <c r="R772" s="40">
        <f t="shared" si="210"/>
        <v>45889</v>
      </c>
      <c r="S772" s="4" t="str">
        <f>TEXT(Mileage[[#This Row],[Date]],"dddd")</f>
        <v>Wednesday</v>
      </c>
      <c r="T772" s="4" t="s">
        <v>230</v>
      </c>
      <c r="U772" s="4">
        <v>64</v>
      </c>
      <c r="V772" t="str" cm="1">
        <f t="array" ref="V772">IFERROR(VLOOKUP(MODE(IF(Combined[Date]=Mileage[[#This Row],[Date]],Combined[Area '#])),KPIs!$B$4:$C$7,2,FALSE),VLOOKUP(Mileage[[#This Row],[Date]],Combined[[Date]:[Primary Area]],8,FALSE))</f>
        <v>Portland</v>
      </c>
      <c r="W772" s="105">
        <v>0.77430555555555558</v>
      </c>
      <c r="X772" s="12">
        <v>7.05</v>
      </c>
      <c r="Y772">
        <v>155</v>
      </c>
      <c r="Z77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3" spans="2:26" x14ac:dyDescent="0.35">
      <c r="B773">
        <f t="shared" si="208"/>
        <v>771</v>
      </c>
      <c r="C773" t="s">
        <v>86</v>
      </c>
      <c r="D773" t="s">
        <v>176</v>
      </c>
      <c r="E773">
        <f>IF(WEEKNUM(Combined[[#This Row],[Date]], 1) = 53, 1, WEEKNUM(Combined[[#This Row],[Date]], 2))</f>
        <v>30</v>
      </c>
      <c r="F773" t="str">
        <f t="shared" si="209"/>
        <v>Tuesday</v>
      </c>
      <c r="G773" s="41">
        <v>45125</v>
      </c>
      <c r="H773">
        <v>1</v>
      </c>
      <c r="I773" s="1">
        <v>10.5</v>
      </c>
      <c r="J773" s="2">
        <v>2.1527777777777781E-2</v>
      </c>
      <c r="K773" s="12">
        <f>Combined[[#This Row],[Time Spent]]*24</f>
        <v>0.51666666666666672</v>
      </c>
      <c r="L773" s="12">
        <f>MROUND(Combined[[#This Row],[Time Spent 2]],0.25)</f>
        <v>0.5</v>
      </c>
      <c r="M773" s="2" t="s">
        <v>92</v>
      </c>
      <c r="N773" t="s">
        <v>85</v>
      </c>
      <c r="O773">
        <f>MATCH(Combined[[#This Row],[Primary Area]],KPIs!$C$4:$C$7,0)</f>
        <v>4</v>
      </c>
      <c r="Q773" s="40">
        <v>45890</v>
      </c>
      <c r="R773" s="40">
        <f t="shared" si="210"/>
        <v>45890</v>
      </c>
      <c r="S773" s="4" t="str">
        <f>TEXT(Mileage[[#This Row],[Date]],"dddd")</f>
        <v>Thursday</v>
      </c>
      <c r="T773" s="4" t="s">
        <v>230</v>
      </c>
      <c r="U773" s="4">
        <v>72</v>
      </c>
      <c r="V773" t="str" cm="1">
        <f t="array" ref="V773">IFERROR(VLOOKUP(MODE(IF(Combined[Date]=Mileage[[#This Row],[Date]],Combined[Area '#])),KPIs!$B$4:$C$7,2,FALSE),VLOOKUP(Mileage[[#This Row],[Date]],Combined[[Date]:[Primary Area]],8,FALSE))</f>
        <v>Lewiston</v>
      </c>
      <c r="W773" s="105">
        <v>0.73611111111111116</v>
      </c>
      <c r="X773" s="12">
        <v>6.88</v>
      </c>
      <c r="Y773">
        <v>168</v>
      </c>
      <c r="Z77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4" spans="2:26" x14ac:dyDescent="0.35">
      <c r="B774">
        <f t="shared" si="208"/>
        <v>772</v>
      </c>
      <c r="C774" t="s">
        <v>83</v>
      </c>
      <c r="D774" t="s">
        <v>176</v>
      </c>
      <c r="E774">
        <f>IF(WEEKNUM(Combined[[#This Row],[Date]], 1) = 53, 1, WEEKNUM(Combined[[#This Row],[Date]], 2))</f>
        <v>30</v>
      </c>
      <c r="F774" t="str">
        <f t="shared" si="209"/>
        <v>Saturday</v>
      </c>
      <c r="G774" s="41">
        <v>45129</v>
      </c>
      <c r="H774">
        <v>3</v>
      </c>
      <c r="I774" s="1">
        <v>46.56</v>
      </c>
      <c r="J774" s="2">
        <v>0.16874999999999998</v>
      </c>
      <c r="K774" s="12">
        <f>Combined[[#This Row],[Time Spent]]*24</f>
        <v>4.05</v>
      </c>
      <c r="L774" s="12">
        <f>MROUND(Combined[[#This Row],[Time Spent 2]],0.25)</f>
        <v>4</v>
      </c>
      <c r="M774" s="2" t="s">
        <v>91</v>
      </c>
      <c r="N774" t="s">
        <v>82</v>
      </c>
      <c r="O774">
        <f>MATCH(Combined[[#This Row],[Primary Area]],KPIs!$C$4:$C$7,0)</f>
        <v>3</v>
      </c>
      <c r="Q774" s="40">
        <v>45891</v>
      </c>
      <c r="R774" s="40">
        <f t="shared" si="210"/>
        <v>45891</v>
      </c>
      <c r="S774" s="4" t="str">
        <f>TEXT(Mileage[[#This Row],[Date]],"dddd")</f>
        <v>Friday</v>
      </c>
      <c r="T774" s="4" t="s">
        <v>230</v>
      </c>
      <c r="U774" s="4">
        <v>81</v>
      </c>
      <c r="V774" t="str" cm="1">
        <f t="array" ref="V774">IFERROR(VLOOKUP(MODE(IF(Combined[Date]=Mileage[[#This Row],[Date]],Combined[Area '#])),KPIs!$B$4:$C$7,2,FALSE),VLOOKUP(Mileage[[#This Row],[Date]],Combined[[Date]:[Primary Area]],8,FALSE))</f>
        <v>Brunswick/Bath/Freeport</v>
      </c>
      <c r="W774" s="105">
        <v>0.78472222222222221</v>
      </c>
      <c r="X774" s="12">
        <v>6.55</v>
      </c>
      <c r="Y774">
        <v>177</v>
      </c>
      <c r="Z77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5" spans="2:26" x14ac:dyDescent="0.35">
      <c r="B775">
        <f t="shared" si="208"/>
        <v>773</v>
      </c>
      <c r="C775" t="s">
        <v>86</v>
      </c>
      <c r="D775" t="s">
        <v>176</v>
      </c>
      <c r="E775">
        <f>IF(WEEKNUM(Combined[[#This Row],[Date]], 1) = 53, 1, WEEKNUM(Combined[[#This Row],[Date]], 2))</f>
        <v>30</v>
      </c>
      <c r="F775" t="str">
        <f t="shared" si="209"/>
        <v>Saturday</v>
      </c>
      <c r="G775" s="41">
        <v>45129</v>
      </c>
      <c r="H775">
        <v>4</v>
      </c>
      <c r="I775" s="1">
        <v>38.68</v>
      </c>
      <c r="J775" s="2">
        <v>9.5833333333333326E-2</v>
      </c>
      <c r="K775" s="12">
        <f>Combined[[#This Row],[Time Spent]]*24</f>
        <v>2.2999999999999998</v>
      </c>
      <c r="L775" s="12">
        <f>MROUND(Combined[[#This Row],[Time Spent 2]],0.25)</f>
        <v>2.25</v>
      </c>
      <c r="M775" s="2" t="s">
        <v>91</v>
      </c>
      <c r="N775" t="s">
        <v>82</v>
      </c>
      <c r="O775">
        <f>MATCH(Combined[[#This Row],[Primary Area]],KPIs!$C$4:$C$7,0)</f>
        <v>3</v>
      </c>
      <c r="Q775" s="40">
        <v>45894</v>
      </c>
      <c r="R775" s="40">
        <f t="shared" si="210"/>
        <v>45894</v>
      </c>
      <c r="S775" s="4" t="str">
        <f>TEXT(Mileage[[#This Row],[Date]],"dddd")</f>
        <v>Monday</v>
      </c>
      <c r="T775" s="4" t="s">
        <v>249</v>
      </c>
      <c r="U775" s="4">
        <v>66</v>
      </c>
      <c r="V775" t="str" cm="1">
        <f t="array" ref="V775">IFERROR(VLOOKUP(MODE(IF(Combined[Date]=Mileage[[#This Row],[Date]],Combined[Area '#])),KPIs!$B$4:$C$7,2,FALSE),VLOOKUP(Mileage[[#This Row],[Date]],Combined[[Date]:[Primary Area]],8,FALSE))</f>
        <v>Portland</v>
      </c>
      <c r="W775" s="105">
        <v>0.72569444444444442</v>
      </c>
      <c r="X775" s="12">
        <v>6.42</v>
      </c>
      <c r="Y775">
        <v>129</v>
      </c>
      <c r="Z77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76" spans="2:26" x14ac:dyDescent="0.35">
      <c r="B776">
        <f t="shared" si="208"/>
        <v>774</v>
      </c>
      <c r="C776" t="s">
        <v>86</v>
      </c>
      <c r="D776" t="s">
        <v>176</v>
      </c>
      <c r="E776">
        <f>IF(WEEKNUM(Combined[[#This Row],[Date]], 1) = 53, 1, WEEKNUM(Combined[[#This Row],[Date]], 2))</f>
        <v>30</v>
      </c>
      <c r="F776" t="str">
        <f t="shared" ref="F776:F778" si="211">TEXT(WEEKDAY(G776,1),"DDDD")</f>
        <v>Saturday</v>
      </c>
      <c r="G776" s="41">
        <v>45129</v>
      </c>
      <c r="H776">
        <v>5</v>
      </c>
      <c r="I776" s="1">
        <v>52.51</v>
      </c>
      <c r="J776" s="2">
        <v>7.6388888888888895E-2</v>
      </c>
      <c r="K776" s="12">
        <f>Combined[[#This Row],[Time Spent]]*24</f>
        <v>1.8333333333333335</v>
      </c>
      <c r="L776" s="12">
        <f>MROUND(Combined[[#This Row],[Time Spent 2]],0.25)</f>
        <v>1.75</v>
      </c>
      <c r="M776" s="2" t="s">
        <v>91</v>
      </c>
      <c r="N776" t="s">
        <v>82</v>
      </c>
      <c r="O776">
        <f>MATCH(Combined[[#This Row],[Primary Area]],KPIs!$C$4:$C$7,0)</f>
        <v>3</v>
      </c>
      <c r="Q776" s="40">
        <v>45896</v>
      </c>
      <c r="R776" s="40">
        <f t="shared" si="210"/>
        <v>45896</v>
      </c>
      <c r="S776" s="4" t="str">
        <f>TEXT(Mileage[[#This Row],[Date]],"dddd")</f>
        <v>Wednesday</v>
      </c>
      <c r="T776" s="4" t="s">
        <v>285</v>
      </c>
      <c r="U776" s="4">
        <v>63</v>
      </c>
      <c r="V776" t="str" cm="1">
        <f t="array" ref="V776">IFERROR(VLOOKUP(MODE(IF(Combined[Date]=Mileage[[#This Row],[Date]],Combined[Area '#])),KPIs!$B$4:$C$7,2,FALSE),VLOOKUP(Mileage[[#This Row],[Date]],Combined[[Date]:[Primary Area]],8,FALSE))</f>
        <v>Brunswick/Bath/Freeport</v>
      </c>
      <c r="W776" s="105">
        <v>0.70833333333333337</v>
      </c>
      <c r="X776" s="12">
        <v>6.45</v>
      </c>
      <c r="Y776">
        <v>150</v>
      </c>
      <c r="Z77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77" spans="2:26" x14ac:dyDescent="0.35">
      <c r="B777">
        <f t="shared" si="208"/>
        <v>775</v>
      </c>
      <c r="C777" t="s">
        <v>86</v>
      </c>
      <c r="D777" t="s">
        <v>176</v>
      </c>
      <c r="E777">
        <f>IF(WEEKNUM(Combined[[#This Row],[Date]], 1) = 53, 1, WEEKNUM(Combined[[#This Row],[Date]], 2))</f>
        <v>30</v>
      </c>
      <c r="F777" t="str">
        <f t="shared" si="211"/>
        <v>Saturday</v>
      </c>
      <c r="G777" s="41">
        <v>45129</v>
      </c>
      <c r="H777">
        <v>6</v>
      </c>
      <c r="I777" s="1">
        <v>50.5</v>
      </c>
      <c r="J777" s="2">
        <v>9.8611111111111108E-2</v>
      </c>
      <c r="K777" s="12">
        <f>Combined[[#This Row],[Time Spent]]*24</f>
        <v>2.3666666666666667</v>
      </c>
      <c r="L777" s="12">
        <f>MROUND(Combined[[#This Row],[Time Spent 2]],0.25)</f>
        <v>2.25</v>
      </c>
      <c r="M777" s="2" t="s">
        <v>91</v>
      </c>
      <c r="N777" t="s">
        <v>82</v>
      </c>
      <c r="O777">
        <f>MATCH(Combined[[#This Row],[Primary Area]],KPIs!$C$4:$C$7,0)</f>
        <v>3</v>
      </c>
      <c r="Q777" s="40">
        <v>45897</v>
      </c>
      <c r="R777" s="40">
        <f t="shared" si="210"/>
        <v>45897</v>
      </c>
      <c r="S777" s="4" t="str">
        <f>TEXT(Mileage[[#This Row],[Date]],"dddd")</f>
        <v>Thursday</v>
      </c>
      <c r="T777" s="4" t="s">
        <v>230</v>
      </c>
      <c r="U777" s="4">
        <v>66</v>
      </c>
      <c r="V777" t="str" cm="1">
        <f t="array" ref="V777">IFERROR(VLOOKUP(MODE(IF(Combined[Date]=Mileage[[#This Row],[Date]],Combined[Area '#])),KPIs!$B$4:$C$7,2,FALSE),VLOOKUP(Mileage[[#This Row],[Date]],Combined[[Date]:[Primary Area]],8,FALSE))</f>
        <v>Brunswick/Bath/Freeport</v>
      </c>
      <c r="W777" s="105">
        <v>0.78472222222222221</v>
      </c>
      <c r="X777" s="12">
        <v>6.13</v>
      </c>
      <c r="Y777">
        <v>154</v>
      </c>
      <c r="Z77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78" spans="2:26" x14ac:dyDescent="0.35">
      <c r="B778">
        <f t="shared" si="208"/>
        <v>776</v>
      </c>
      <c r="C778" t="s">
        <v>86</v>
      </c>
      <c r="D778" t="s">
        <v>176</v>
      </c>
      <c r="E778">
        <f>IF(WEEKNUM(Combined[[#This Row],[Date]], 1) = 53, 1, WEEKNUM(Combined[[#This Row],[Date]], 2))</f>
        <v>30</v>
      </c>
      <c r="F778" t="str">
        <f t="shared" si="211"/>
        <v>Saturday</v>
      </c>
      <c r="G778" s="41">
        <v>45129</v>
      </c>
      <c r="H778">
        <v>1</v>
      </c>
      <c r="I778" s="1">
        <v>5.5</v>
      </c>
      <c r="J778" s="2">
        <v>3.7499999999999999E-2</v>
      </c>
      <c r="K778" s="12">
        <f>Combined[[#This Row],[Time Spent]]*24</f>
        <v>0.89999999999999991</v>
      </c>
      <c r="L778" s="12">
        <f>MROUND(Combined[[#This Row],[Time Spent 2]],0.25)</f>
        <v>1</v>
      </c>
      <c r="M778" s="2" t="s">
        <v>92</v>
      </c>
      <c r="N778" t="s">
        <v>82</v>
      </c>
      <c r="O778">
        <f>MATCH(Combined[[#This Row],[Primary Area]],KPIs!$C$4:$C$7,0)</f>
        <v>3</v>
      </c>
      <c r="Q778" s="40">
        <v>45898</v>
      </c>
      <c r="R778" s="40">
        <f t="shared" si="210"/>
        <v>45898</v>
      </c>
      <c r="S778" s="4" t="str">
        <f>TEXT(Mileage[[#This Row],[Date]],"dddd")</f>
        <v>Friday</v>
      </c>
      <c r="T778" s="4" t="s">
        <v>231</v>
      </c>
      <c r="U778" s="4">
        <v>63</v>
      </c>
      <c r="V778" t="str" cm="1">
        <f t="array" ref="V778">IFERROR(VLOOKUP(MODE(IF(Combined[Date]=Mileage[[#This Row],[Date]],Combined[Area '#])),KPIs!$B$4:$C$7,2,FALSE),VLOOKUP(Mileage[[#This Row],[Date]],Combined[[Date]:[Primary Area]],8,FALSE))</f>
        <v>Brunswick/Bath/Freeport</v>
      </c>
      <c r="W778" s="105">
        <v>0.77777777777777779</v>
      </c>
      <c r="X778" s="12">
        <v>6.98</v>
      </c>
      <c r="Y778">
        <v>208</v>
      </c>
      <c r="Z7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79" spans="2:26" x14ac:dyDescent="0.35">
      <c r="B779">
        <f t="shared" si="208"/>
        <v>777</v>
      </c>
      <c r="C779" t="s">
        <v>83</v>
      </c>
      <c r="D779" t="s">
        <v>176</v>
      </c>
      <c r="E779">
        <f>IF(WEEKNUM(Combined[[#This Row],[Date]], 1) = 53, 1, WEEKNUM(Combined[[#This Row],[Date]], 2))</f>
        <v>31</v>
      </c>
      <c r="F779" t="str">
        <f t="shared" ref="F779:F784" si="212">TEXT(WEEKDAY(G779,1),"DDDD")</f>
        <v>Monday</v>
      </c>
      <c r="G779" s="41">
        <v>45131</v>
      </c>
      <c r="H779">
        <v>5</v>
      </c>
      <c r="I779" s="1">
        <v>42.69</v>
      </c>
      <c r="J779" s="2">
        <v>0.12152777777777778</v>
      </c>
      <c r="K779" s="12">
        <f>Combined[[#This Row],[Time Spent]]*24</f>
        <v>2.9166666666666665</v>
      </c>
      <c r="L779" s="12">
        <f>MROUND(Combined[[#This Row],[Time Spent 2]],0.25)</f>
        <v>3</v>
      </c>
      <c r="M779" s="2" t="s">
        <v>91</v>
      </c>
      <c r="N779" t="s">
        <v>85</v>
      </c>
      <c r="O779">
        <f>MATCH(Combined[[#This Row],[Primary Area]],KPIs!$C$4:$C$7,0)</f>
        <v>4</v>
      </c>
      <c r="Q779" s="40">
        <v>45900</v>
      </c>
      <c r="R779" s="40">
        <f t="shared" si="210"/>
        <v>45900</v>
      </c>
      <c r="S779" s="4" t="str">
        <f>TEXT(Mileage[[#This Row],[Date]],"dddd")</f>
        <v>Sunday</v>
      </c>
      <c r="T779" s="4" t="s">
        <v>230</v>
      </c>
      <c r="U779" s="4">
        <v>73</v>
      </c>
      <c r="V779" t="str" cm="1">
        <f t="array" ref="V779">IFERROR(VLOOKUP(MODE(IF(Combined[Date]=Mileage[[#This Row],[Date]],Combined[Area '#])),KPIs!$B$4:$C$7,2,FALSE),VLOOKUP(Mileage[[#This Row],[Date]],Combined[[Date]:[Primary Area]],8,FALSE))</f>
        <v>Brunswick/Bath/Freeport</v>
      </c>
      <c r="W779" s="105">
        <v>0.79166666666666663</v>
      </c>
      <c r="X779" s="12">
        <v>0.97</v>
      </c>
      <c r="Y779">
        <v>28</v>
      </c>
      <c r="Z77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0" spans="2:26" x14ac:dyDescent="0.35">
      <c r="B780">
        <f t="shared" si="208"/>
        <v>778</v>
      </c>
      <c r="C780" t="s">
        <v>86</v>
      </c>
      <c r="D780" t="s">
        <v>176</v>
      </c>
      <c r="E780">
        <f>IF(WEEKNUM(Combined[[#This Row],[Date]], 1) = 53, 1, WEEKNUM(Combined[[#This Row],[Date]], 2))</f>
        <v>31</v>
      </c>
      <c r="F780" t="str">
        <f t="shared" si="212"/>
        <v>Monday</v>
      </c>
      <c r="G780" s="41">
        <v>45131</v>
      </c>
      <c r="H780">
        <v>1</v>
      </c>
      <c r="I780" s="1">
        <v>8</v>
      </c>
      <c r="J780" s="2">
        <v>2.6388888888888889E-2</v>
      </c>
      <c r="K780" s="12">
        <f>Combined[[#This Row],[Time Spent]]*24</f>
        <v>0.6333333333333333</v>
      </c>
      <c r="L780" s="12">
        <f>MROUND(Combined[[#This Row],[Time Spent 2]],0.25)</f>
        <v>0.75</v>
      </c>
      <c r="M780" s="2" t="s">
        <v>91</v>
      </c>
      <c r="N780" t="s">
        <v>85</v>
      </c>
      <c r="O780">
        <f>MATCH(Combined[[#This Row],[Primary Area]],KPIs!$C$4:$C$7,0)</f>
        <v>4</v>
      </c>
      <c r="Q780" s="40">
        <v>45901</v>
      </c>
      <c r="R780" s="40">
        <f t="shared" si="210"/>
        <v>45901</v>
      </c>
      <c r="S780" s="4" t="str">
        <f>TEXT(Mileage[[#This Row],[Date]],"dddd")</f>
        <v>Monday</v>
      </c>
      <c r="T780" s="4" t="s">
        <v>230</v>
      </c>
      <c r="U780" s="4">
        <v>73</v>
      </c>
      <c r="V780" t="str" cm="1">
        <f t="array" ref="V780">IFERROR(VLOOKUP(MODE(IF(Combined[Date]=Mileage[[#This Row],[Date]],Combined[Area '#])),KPIs!$B$4:$C$7,2,FALSE),VLOOKUP(Mileage[[#This Row],[Date]],Combined[[Date]:[Primary Area]],8,FALSE))</f>
        <v>Brunswick/Bath/Freeport</v>
      </c>
      <c r="W780" s="105">
        <v>0.75694444444444442</v>
      </c>
      <c r="X780" s="12">
        <v>6.28</v>
      </c>
      <c r="Y780">
        <v>175</v>
      </c>
      <c r="Z7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1" spans="2:26" x14ac:dyDescent="0.35">
      <c r="B781">
        <f t="shared" si="208"/>
        <v>779</v>
      </c>
      <c r="C781" t="s">
        <v>83</v>
      </c>
      <c r="D781" t="s">
        <v>176</v>
      </c>
      <c r="E781">
        <f>IF(WEEKNUM(Combined[[#This Row],[Date]], 1) = 53, 1, WEEKNUM(Combined[[#This Row],[Date]], 2))</f>
        <v>31</v>
      </c>
      <c r="F781" t="str">
        <f t="shared" si="212"/>
        <v>Saturday</v>
      </c>
      <c r="G781" s="41">
        <v>45136</v>
      </c>
      <c r="H781">
        <v>12</v>
      </c>
      <c r="I781" s="1">
        <v>132.94</v>
      </c>
      <c r="J781" s="2">
        <v>0.25694444444444448</v>
      </c>
      <c r="K781" s="12">
        <f>Combined[[#This Row],[Time Spent]]*24</f>
        <v>6.1666666666666679</v>
      </c>
      <c r="L781" s="12">
        <f>MROUND(Combined[[#This Row],[Time Spent 2]],0.25)</f>
        <v>6.25</v>
      </c>
      <c r="M781" s="2" t="s">
        <v>91</v>
      </c>
      <c r="N781" t="s">
        <v>82</v>
      </c>
      <c r="O781">
        <f>MATCH(Combined[[#This Row],[Primary Area]],KPIs!$C$4:$C$7,0)</f>
        <v>3</v>
      </c>
      <c r="Q781" s="40">
        <v>45902</v>
      </c>
      <c r="R781" s="40">
        <f t="shared" si="210"/>
        <v>45902</v>
      </c>
      <c r="S781" s="4" t="str">
        <f>TEXT(Mileage[[#This Row],[Date]],"dddd")</f>
        <v>Tuesday</v>
      </c>
      <c r="T781" s="4" t="s">
        <v>230</v>
      </c>
      <c r="U781" s="4">
        <v>66</v>
      </c>
      <c r="V781" t="str" cm="1">
        <f t="array" ref="V781">IFERROR(VLOOKUP(MODE(IF(Combined[Date]=Mileage[[#This Row],[Date]],Combined[Area '#])),KPIs!$B$4:$C$7,2,FALSE),VLOOKUP(Mileage[[#This Row],[Date]],Combined[[Date]:[Primary Area]],8,FALSE))</f>
        <v>Portland</v>
      </c>
      <c r="W781" s="105">
        <v>0.63888888888888884</v>
      </c>
      <c r="X781" s="12">
        <v>4.5199999999999996</v>
      </c>
      <c r="Y781">
        <v>101</v>
      </c>
      <c r="Z78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2" spans="2:26" x14ac:dyDescent="0.35">
      <c r="B782">
        <f t="shared" si="208"/>
        <v>780</v>
      </c>
      <c r="C782" t="s">
        <v>86</v>
      </c>
      <c r="D782" t="s">
        <v>176</v>
      </c>
      <c r="E782">
        <f>IF(WEEKNUM(Combined[[#This Row],[Date]], 1) = 53, 1, WEEKNUM(Combined[[#This Row],[Date]], 2))</f>
        <v>31</v>
      </c>
      <c r="F782" t="str">
        <f t="shared" si="212"/>
        <v>Saturday</v>
      </c>
      <c r="G782" s="41">
        <v>45136</v>
      </c>
      <c r="H782">
        <v>1</v>
      </c>
      <c r="I782" s="1">
        <v>8</v>
      </c>
      <c r="J782" s="2">
        <v>1.1805555555555555E-2</v>
      </c>
      <c r="K782" s="12">
        <f>Combined[[#This Row],[Time Spent]]*24</f>
        <v>0.28333333333333333</v>
      </c>
      <c r="L782" s="12">
        <f>MROUND(Combined[[#This Row],[Time Spent 2]],0.25)</f>
        <v>0.25</v>
      </c>
      <c r="M782" s="2" t="s">
        <v>91</v>
      </c>
      <c r="N782" t="s">
        <v>82</v>
      </c>
      <c r="O782">
        <f>MATCH(Combined[[#This Row],[Primary Area]],KPIs!$C$4:$C$7,0)</f>
        <v>3</v>
      </c>
      <c r="Q782" s="40">
        <v>45904</v>
      </c>
      <c r="R782" s="40">
        <f t="shared" si="210"/>
        <v>45904</v>
      </c>
      <c r="S782" s="4" t="str">
        <f>TEXT(Mileage[[#This Row],[Date]],"dddd")</f>
        <v>Thursday</v>
      </c>
      <c r="T782" s="4" t="s">
        <v>231</v>
      </c>
      <c r="U782" s="4">
        <v>70</v>
      </c>
      <c r="V782" t="str" cm="1">
        <f t="array" ref="V782">IFERROR(VLOOKUP(MODE(IF(Combined[Date]=Mileage[[#This Row],[Date]],Combined[Area '#])),KPIs!$B$4:$C$7,2,FALSE),VLOOKUP(Mileage[[#This Row],[Date]],Combined[[Date]:[Primary Area]],8,FALSE))</f>
        <v>Lewiston</v>
      </c>
      <c r="W782" s="105">
        <v>0.75694444444444442</v>
      </c>
      <c r="X782" s="12">
        <v>1.37</v>
      </c>
      <c r="Y782">
        <v>49</v>
      </c>
      <c r="Z78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3" spans="2:26" x14ac:dyDescent="0.35">
      <c r="B783">
        <f t="shared" si="208"/>
        <v>781</v>
      </c>
      <c r="C783" t="s">
        <v>86</v>
      </c>
      <c r="D783" t="s">
        <v>176</v>
      </c>
      <c r="E783">
        <f>IF(WEEKNUM(Combined[[#This Row],[Date]], 1) = 53, 1, WEEKNUM(Combined[[#This Row],[Date]], 2))</f>
        <v>31</v>
      </c>
      <c r="F783" t="str">
        <f t="shared" si="212"/>
        <v>Saturday</v>
      </c>
      <c r="G783" s="41">
        <v>45136</v>
      </c>
      <c r="H783">
        <v>3</v>
      </c>
      <c r="I783" s="1">
        <v>35.64</v>
      </c>
      <c r="J783" s="2">
        <v>9.4444444444444442E-2</v>
      </c>
      <c r="K783" s="12">
        <f>Combined[[#This Row],[Time Spent]]*24</f>
        <v>2.2666666666666666</v>
      </c>
      <c r="L783" s="12">
        <f>MROUND(Combined[[#This Row],[Time Spent 2]],0.25)</f>
        <v>2.25</v>
      </c>
      <c r="M783" s="2" t="s">
        <v>91</v>
      </c>
      <c r="N783" t="s">
        <v>82</v>
      </c>
      <c r="O783">
        <f>MATCH(Combined[[#This Row],[Primary Area]],KPIs!$C$4:$C$7,0)</f>
        <v>3</v>
      </c>
      <c r="Q783" s="40">
        <v>45906</v>
      </c>
      <c r="R783" s="40">
        <f t="shared" si="210"/>
        <v>45906</v>
      </c>
      <c r="S783" s="4" t="str">
        <f>TEXT(Mileage[[#This Row],[Date]],"dddd")</f>
        <v>Saturday</v>
      </c>
      <c r="T783" s="4" t="s">
        <v>231</v>
      </c>
      <c r="U783" s="4">
        <v>63</v>
      </c>
      <c r="V783" t="str" cm="1">
        <f t="array" ref="V783">IFERROR(VLOOKUP(MODE(IF(Combined[Date]=Mileage[[#This Row],[Date]],Combined[Area '#])),KPIs!$B$4:$C$7,2,FALSE),VLOOKUP(Mileage[[#This Row],[Date]],Combined[[Date]:[Primary Area]],8,FALSE))</f>
        <v>Lewiston</v>
      </c>
      <c r="W783" s="105">
        <v>0.77777777777777779</v>
      </c>
      <c r="X783" s="12">
        <v>6.92</v>
      </c>
      <c r="Y783">
        <v>130</v>
      </c>
      <c r="Z78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84" spans="2:26" x14ac:dyDescent="0.35">
      <c r="B784">
        <f t="shared" si="208"/>
        <v>782</v>
      </c>
      <c r="C784" t="s">
        <v>86</v>
      </c>
      <c r="D784" t="s">
        <v>176</v>
      </c>
      <c r="E784">
        <f>IF(WEEKNUM(Combined[[#This Row],[Date]], 1) = 53, 1, WEEKNUM(Combined[[#This Row],[Date]], 2))</f>
        <v>31</v>
      </c>
      <c r="F784" t="str">
        <f t="shared" si="212"/>
        <v>Saturday</v>
      </c>
      <c r="G784" s="41">
        <v>45136</v>
      </c>
      <c r="H784">
        <v>3</v>
      </c>
      <c r="I784" s="1">
        <v>21.5</v>
      </c>
      <c r="J784" s="2">
        <v>6.1805555555555558E-2</v>
      </c>
      <c r="K784" s="12">
        <f>Combined[[#This Row],[Time Spent]]*24</f>
        <v>1.4833333333333334</v>
      </c>
      <c r="L784" s="12">
        <f>MROUND(Combined[[#This Row],[Time Spent 2]],0.25)</f>
        <v>1.5</v>
      </c>
      <c r="M784" s="2" t="s">
        <v>91</v>
      </c>
      <c r="N784" t="s">
        <v>82</v>
      </c>
      <c r="O784">
        <f>MATCH(Combined[[#This Row],[Primary Area]],KPIs!$C$4:$C$7,0)</f>
        <v>3</v>
      </c>
      <c r="Q784" s="40">
        <v>45907</v>
      </c>
      <c r="R784" s="40">
        <f t="shared" si="210"/>
        <v>45907</v>
      </c>
      <c r="S784" s="4" t="str">
        <f>TEXT(Mileage[[#This Row],[Date]],"dddd")</f>
        <v>Sunday</v>
      </c>
      <c r="T784" s="4" t="s">
        <v>249</v>
      </c>
      <c r="U784" s="4">
        <v>63</v>
      </c>
      <c r="V784" t="str" cm="1">
        <f t="array" ref="V784">IFERROR(VLOOKUP(MODE(IF(Combined[Date]=Mileage[[#This Row],[Date]],Combined[Area '#])),KPIs!$B$4:$C$7,2,FALSE),VLOOKUP(Mileage[[#This Row],[Date]],Combined[[Date]:[Primary Area]],8,FALSE))</f>
        <v>Brunswick/Bath/Freeport</v>
      </c>
      <c r="W784" s="105">
        <v>0.59722222222222221</v>
      </c>
      <c r="X784" s="12">
        <v>2.27</v>
      </c>
      <c r="Y784">
        <v>37</v>
      </c>
      <c r="Z78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85" spans="2:26" x14ac:dyDescent="0.35">
      <c r="B785">
        <f t="shared" si="208"/>
        <v>783</v>
      </c>
      <c r="C785" t="s">
        <v>83</v>
      </c>
      <c r="D785" t="s">
        <v>176</v>
      </c>
      <c r="E785">
        <f>IF(WEEKNUM(Combined[[#This Row],[Date]], 1) = 53, 1, WEEKNUM(Combined[[#This Row],[Date]], 2))</f>
        <v>32</v>
      </c>
      <c r="F785" t="str">
        <f t="shared" ref="F785:F787" si="213">TEXT(WEEKDAY(G785,1),"DDDD")</f>
        <v>Monday</v>
      </c>
      <c r="G785" s="41">
        <v>45138</v>
      </c>
      <c r="H785">
        <v>6</v>
      </c>
      <c r="I785" s="1">
        <v>71.400000000000006</v>
      </c>
      <c r="J785" s="2">
        <v>0.18680555555555556</v>
      </c>
      <c r="K785" s="12">
        <f>Combined[[#This Row],[Time Spent]]*24</f>
        <v>4.4833333333333334</v>
      </c>
      <c r="L785" s="12">
        <f>MROUND(Combined[[#This Row],[Time Spent 2]],0.25)</f>
        <v>4.5</v>
      </c>
      <c r="M785" s="2" t="s">
        <v>91</v>
      </c>
      <c r="N785" t="s">
        <v>85</v>
      </c>
      <c r="O785">
        <f>MATCH(Combined[[#This Row],[Primary Area]],KPIs!$C$4:$C$7,0)</f>
        <v>4</v>
      </c>
      <c r="Q785" s="40">
        <v>45908</v>
      </c>
      <c r="R785" s="40">
        <f t="shared" si="210"/>
        <v>45908</v>
      </c>
      <c r="S785" s="4" t="str">
        <f>TEXT(Mileage[[#This Row],[Date]],"dddd")</f>
        <v>Monday</v>
      </c>
      <c r="T785" s="4" t="s">
        <v>230</v>
      </c>
      <c r="U785" s="4">
        <v>63</v>
      </c>
      <c r="V785" t="str" cm="1">
        <f t="array" ref="V785">IFERROR(VLOOKUP(MODE(IF(Combined[Date]=Mileage[[#This Row],[Date]],Combined[Area '#])),KPIs!$B$4:$C$7,2,FALSE),VLOOKUP(Mileage[[#This Row],[Date]],Combined[[Date]:[Primary Area]],8,FALSE))</f>
        <v>Portland</v>
      </c>
      <c r="W785" s="105">
        <v>0.75</v>
      </c>
      <c r="X785" s="12">
        <v>5.53</v>
      </c>
      <c r="Y785">
        <v>119</v>
      </c>
      <c r="Z78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6" spans="2:26" x14ac:dyDescent="0.35">
      <c r="B786">
        <f t="shared" si="208"/>
        <v>784</v>
      </c>
      <c r="C786" t="s">
        <v>86</v>
      </c>
      <c r="D786" t="s">
        <v>176</v>
      </c>
      <c r="E786">
        <f>IF(WEEKNUM(Combined[[#This Row],[Date]], 1) = 53, 1, WEEKNUM(Combined[[#This Row],[Date]], 2))</f>
        <v>32</v>
      </c>
      <c r="F786" t="str">
        <f t="shared" si="213"/>
        <v>Monday</v>
      </c>
      <c r="G786" s="41">
        <v>45138</v>
      </c>
      <c r="H786">
        <v>2</v>
      </c>
      <c r="I786" s="1">
        <v>23</v>
      </c>
      <c r="J786" s="2">
        <v>2.4999999999999998E-2</v>
      </c>
      <c r="K786" s="12">
        <f>Combined[[#This Row],[Time Spent]]*24</f>
        <v>0.6</v>
      </c>
      <c r="L786" s="12">
        <f>MROUND(Combined[[#This Row],[Time Spent 2]],0.25)</f>
        <v>0.5</v>
      </c>
      <c r="M786" s="2" t="s">
        <v>91</v>
      </c>
      <c r="N786" t="s">
        <v>85</v>
      </c>
      <c r="O786">
        <f>MATCH(Combined[[#This Row],[Primary Area]],KPIs!$C$4:$C$7,0)</f>
        <v>4</v>
      </c>
      <c r="Q786" s="40">
        <v>45909</v>
      </c>
      <c r="R786" s="40">
        <f t="shared" si="210"/>
        <v>45909</v>
      </c>
      <c r="S786" s="4" t="str">
        <f>TEXT(Mileage[[#This Row],[Date]],"dddd")</f>
        <v>Tuesday</v>
      </c>
      <c r="T786" s="4" t="s">
        <v>230</v>
      </c>
      <c r="U786" s="4">
        <v>64</v>
      </c>
      <c r="V786" t="str" cm="1">
        <f t="array" ref="V786">IFERROR(VLOOKUP(MODE(IF(Combined[Date]=Mileage[[#This Row],[Date]],Combined[Area '#])),KPIs!$B$4:$C$7,2,FALSE),VLOOKUP(Mileage[[#This Row],[Date]],Combined[[Date]:[Primary Area]],8,FALSE))</f>
        <v>Brunswick/Bath/Freeport</v>
      </c>
      <c r="W786" s="105">
        <v>0.74652777777777779</v>
      </c>
      <c r="X786" s="12">
        <v>5.08</v>
      </c>
      <c r="Y786">
        <v>135</v>
      </c>
      <c r="Z78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87" spans="2:26" x14ac:dyDescent="0.35">
      <c r="B787">
        <f t="shared" si="208"/>
        <v>785</v>
      </c>
      <c r="C787" t="s">
        <v>86</v>
      </c>
      <c r="D787" t="s">
        <v>176</v>
      </c>
      <c r="E787">
        <f>IF(WEEKNUM(Combined[[#This Row],[Date]], 1) = 53, 1, WEEKNUM(Combined[[#This Row],[Date]], 2))</f>
        <v>32</v>
      </c>
      <c r="F787" t="str">
        <f t="shared" si="213"/>
        <v>Monday</v>
      </c>
      <c r="G787" s="41">
        <v>45138</v>
      </c>
      <c r="H787">
        <v>1</v>
      </c>
      <c r="I787" s="1">
        <v>10.5</v>
      </c>
      <c r="J787" s="2">
        <v>2.9166666666666664E-2</v>
      </c>
      <c r="K787" s="12">
        <f>Combined[[#This Row],[Time Spent]]*24</f>
        <v>0.7</v>
      </c>
      <c r="L787" s="12">
        <f>MROUND(Combined[[#This Row],[Time Spent 2]],0.25)</f>
        <v>0.75</v>
      </c>
      <c r="M787" s="2" t="s">
        <v>92</v>
      </c>
      <c r="N787" t="s">
        <v>85</v>
      </c>
      <c r="O787">
        <f>MATCH(Combined[[#This Row],[Primary Area]],KPIs!$C$4:$C$7,0)</f>
        <v>4</v>
      </c>
      <c r="Q787" s="40">
        <v>45911</v>
      </c>
      <c r="R787" s="40">
        <f t="shared" si="210"/>
        <v>45911</v>
      </c>
      <c r="S787" s="4" t="str">
        <f>TEXT(Mileage[[#This Row],[Date]],"dddd")</f>
        <v>Thursday</v>
      </c>
      <c r="T787" s="4" t="s">
        <v>249</v>
      </c>
      <c r="U787" s="4">
        <v>72</v>
      </c>
      <c r="V787" t="str" cm="1">
        <f t="array" ref="V787">IFERROR(VLOOKUP(MODE(IF(Combined[Date]=Mileage[[#This Row],[Date]],Combined[Area '#])),KPIs!$B$4:$C$7,2,FALSE),VLOOKUP(Mileage[[#This Row],[Date]],Combined[[Date]:[Primary Area]],8,FALSE))</f>
        <v>Portland</v>
      </c>
      <c r="W787" s="105">
        <v>0.78125</v>
      </c>
      <c r="X787" s="12">
        <v>5.43</v>
      </c>
      <c r="Y787">
        <v>138</v>
      </c>
      <c r="Z78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88" spans="2:26" x14ac:dyDescent="0.35">
      <c r="B788">
        <f t="shared" si="208"/>
        <v>786</v>
      </c>
      <c r="C788" t="s">
        <v>83</v>
      </c>
      <c r="D788" t="s">
        <v>176</v>
      </c>
      <c r="E788">
        <f>IF(WEEKNUM(Combined[[#This Row],[Date]], 1) = 53, 1, WEEKNUM(Combined[[#This Row],[Date]], 2))</f>
        <v>32</v>
      </c>
      <c r="F788" t="str">
        <f t="shared" ref="F788:F790" si="214">TEXT(WEEKDAY(G788,1),"DDDD")</f>
        <v>Wednesday</v>
      </c>
      <c r="G788" s="41">
        <v>45140</v>
      </c>
      <c r="H788">
        <v>4</v>
      </c>
      <c r="I788" s="1">
        <v>35.69</v>
      </c>
      <c r="J788" s="2">
        <v>0.14583333333333334</v>
      </c>
      <c r="K788" s="12">
        <f>Combined[[#This Row],[Time Spent]]*24</f>
        <v>3.5</v>
      </c>
      <c r="L788" s="12">
        <f>MROUND(Combined[[#This Row],[Time Spent 2]],0.25)</f>
        <v>3.5</v>
      </c>
      <c r="M788" s="2" t="s">
        <v>91</v>
      </c>
      <c r="N788" t="s">
        <v>174</v>
      </c>
      <c r="O788">
        <f>MATCH(Combined[[#This Row],[Primary Area]],KPIs!$C$4:$C$7,0)</f>
        <v>1</v>
      </c>
      <c r="Q788" s="40">
        <v>45912</v>
      </c>
      <c r="R788" s="40">
        <f t="shared" si="210"/>
        <v>45912</v>
      </c>
      <c r="S788" s="4" t="str">
        <f>TEXT(Mileage[[#This Row],[Date]],"dddd")</f>
        <v>Friday</v>
      </c>
      <c r="T788" s="4" t="s">
        <v>230</v>
      </c>
      <c r="U788" s="4">
        <v>70</v>
      </c>
      <c r="V788" t="str" cm="1">
        <f t="array" ref="V788">IFERROR(VLOOKUP(MODE(IF(Combined[Date]=Mileage[[#This Row],[Date]],Combined[Area '#])),KPIs!$B$4:$C$7,2,FALSE),VLOOKUP(Mileage[[#This Row],[Date]],Combined[[Date]:[Primary Area]],8,FALSE))</f>
        <v>Lewiston</v>
      </c>
      <c r="W788" s="105">
        <v>0.77777777777777779</v>
      </c>
      <c r="X788" s="12">
        <v>8.33</v>
      </c>
      <c r="Y788">
        <v>168</v>
      </c>
      <c r="Z78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89" spans="2:26" x14ac:dyDescent="0.35">
      <c r="B789">
        <f t="shared" si="208"/>
        <v>787</v>
      </c>
      <c r="C789" t="s">
        <v>86</v>
      </c>
      <c r="D789" t="s">
        <v>176</v>
      </c>
      <c r="E789">
        <f>IF(WEEKNUM(Combined[[#This Row],[Date]], 1) = 53, 1, WEEKNUM(Combined[[#This Row],[Date]], 2))</f>
        <v>32</v>
      </c>
      <c r="F789" t="str">
        <f t="shared" si="214"/>
        <v>Wednesday</v>
      </c>
      <c r="G789" s="41">
        <v>45140</v>
      </c>
      <c r="H789">
        <v>2</v>
      </c>
      <c r="I789" s="1">
        <v>12.75</v>
      </c>
      <c r="J789" s="2">
        <v>6.805555555555555E-2</v>
      </c>
      <c r="K789" s="12">
        <f>Combined[[#This Row],[Time Spent]]*24</f>
        <v>1.6333333333333333</v>
      </c>
      <c r="L789" s="12">
        <f>MROUND(Combined[[#This Row],[Time Spent 2]],0.25)</f>
        <v>1.75</v>
      </c>
      <c r="M789" s="2" t="s">
        <v>91</v>
      </c>
      <c r="N789" t="s">
        <v>174</v>
      </c>
      <c r="O789">
        <f>MATCH(Combined[[#This Row],[Primary Area]],KPIs!$C$4:$C$7,0)</f>
        <v>1</v>
      </c>
      <c r="Q789" s="40">
        <v>45914</v>
      </c>
      <c r="R789" s="40">
        <f t="shared" si="210"/>
        <v>45914</v>
      </c>
      <c r="S789" s="4" t="str">
        <f>TEXT(Mileage[[#This Row],[Date]],"dddd")</f>
        <v>Sunday</v>
      </c>
      <c r="T789" s="4" t="s">
        <v>230</v>
      </c>
      <c r="U789" s="4">
        <v>66</v>
      </c>
      <c r="V789" t="str" cm="1">
        <f t="array" ref="V789">IFERROR(VLOOKUP(MODE(IF(Combined[Date]=Mileage[[#This Row],[Date]],Combined[Area '#])),KPIs!$B$4:$C$7,2,FALSE),VLOOKUP(Mileage[[#This Row],[Date]],Combined[[Date]:[Primary Area]],8,FALSE))</f>
        <v>Portland</v>
      </c>
      <c r="W789" s="105">
        <v>0.70138888888888884</v>
      </c>
      <c r="X789" s="12">
        <v>5.12</v>
      </c>
      <c r="Y789">
        <v>149</v>
      </c>
      <c r="Z78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0" spans="2:26" x14ac:dyDescent="0.35">
      <c r="B790">
        <f t="shared" si="208"/>
        <v>788</v>
      </c>
      <c r="C790" t="s">
        <v>86</v>
      </c>
      <c r="D790" t="s">
        <v>176</v>
      </c>
      <c r="E790">
        <f>IF(WEEKNUM(Combined[[#This Row],[Date]], 1) = 53, 1, WEEKNUM(Combined[[#This Row],[Date]], 2))</f>
        <v>32</v>
      </c>
      <c r="F790" t="str">
        <f t="shared" si="214"/>
        <v>Wednesday</v>
      </c>
      <c r="G790" s="41">
        <v>45140</v>
      </c>
      <c r="H790">
        <v>2</v>
      </c>
      <c r="I790" s="1">
        <v>18.25</v>
      </c>
      <c r="J790" s="2">
        <v>0.10069444444444443</v>
      </c>
      <c r="K790" s="12">
        <f>Combined[[#This Row],[Time Spent]]*24</f>
        <v>2.4166666666666665</v>
      </c>
      <c r="L790" s="12">
        <f>MROUND(Combined[[#This Row],[Time Spent 2]],0.25)</f>
        <v>2.5</v>
      </c>
      <c r="M790" s="2" t="s">
        <v>91</v>
      </c>
      <c r="N790" t="s">
        <v>174</v>
      </c>
      <c r="O790">
        <f>MATCH(Combined[[#This Row],[Primary Area]],KPIs!$C$4:$C$7,0)</f>
        <v>1</v>
      </c>
      <c r="Q790" s="40">
        <v>45915</v>
      </c>
      <c r="R790" s="40">
        <f t="shared" si="210"/>
        <v>45915</v>
      </c>
      <c r="S790" s="4" t="str">
        <f>TEXT(Mileage[[#This Row],[Date]],"dddd")</f>
        <v>Monday</v>
      </c>
      <c r="T790" s="4" t="s">
        <v>230</v>
      </c>
      <c r="U790" s="4">
        <v>63</v>
      </c>
      <c r="V790" t="str" cm="1">
        <f t="array" ref="V790">IFERROR(VLOOKUP(MODE(IF(Combined[Date]=Mileage[[#This Row],[Date]],Combined[Area '#])),KPIs!$B$4:$C$7,2,FALSE),VLOOKUP(Mileage[[#This Row],[Date]],Combined[[Date]:[Primary Area]],8,FALSE))</f>
        <v>Portland</v>
      </c>
      <c r="W790" s="105">
        <v>0.76388888888888884</v>
      </c>
      <c r="X790" s="12">
        <v>5.73</v>
      </c>
      <c r="Y790">
        <v>97</v>
      </c>
      <c r="Z79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91" spans="2:26" x14ac:dyDescent="0.35">
      <c r="B791">
        <f t="shared" si="208"/>
        <v>789</v>
      </c>
      <c r="C791" t="s">
        <v>86</v>
      </c>
      <c r="D791" t="s">
        <v>176</v>
      </c>
      <c r="E791">
        <f>IF(WEEKNUM(Combined[[#This Row],[Date]], 1) = 53, 1, WEEKNUM(Combined[[#This Row],[Date]], 2))</f>
        <v>32</v>
      </c>
      <c r="F791" t="str">
        <f t="shared" ref="F791" si="215">TEXT(WEEKDAY(G791,1),"DDDD")</f>
        <v>Friday</v>
      </c>
      <c r="G791" s="41">
        <v>45142</v>
      </c>
      <c r="H791">
        <v>11</v>
      </c>
      <c r="I791" s="1">
        <v>73.69</v>
      </c>
      <c r="J791" s="2">
        <v>0.19097222222222221</v>
      </c>
      <c r="K791" s="12">
        <f>Combined[[#This Row],[Time Spent]]*24</f>
        <v>4.583333333333333</v>
      </c>
      <c r="L791" s="12">
        <f>MROUND(Combined[[#This Row],[Time Spent 2]],0.25)</f>
        <v>4.5</v>
      </c>
      <c r="M791" s="2" t="s">
        <v>91</v>
      </c>
      <c r="N791" t="s">
        <v>80</v>
      </c>
      <c r="O791">
        <f>MATCH(Combined[[#This Row],[Primary Area]],KPIs!$C$4:$C$7,0)</f>
        <v>2</v>
      </c>
      <c r="Q791" s="40">
        <v>45917</v>
      </c>
      <c r="R791" s="40">
        <f t="shared" si="210"/>
        <v>45917</v>
      </c>
      <c r="S791" s="4" t="str">
        <f>TEXT(Mileage[[#This Row],[Date]],"dddd")</f>
        <v>Wednesday</v>
      </c>
      <c r="T791" s="4" t="s">
        <v>230</v>
      </c>
      <c r="U791" s="4">
        <v>66</v>
      </c>
      <c r="V791" t="str" cm="1">
        <f t="array" ref="V791">IFERROR(VLOOKUP(MODE(IF(Combined[Date]=Mileage[[#This Row],[Date]],Combined[Area '#])),KPIs!$B$4:$C$7,2,FALSE),VLOOKUP(Mileage[[#This Row],[Date]],Combined[[Date]:[Primary Area]],8,FALSE))</f>
        <v>Lewiston</v>
      </c>
      <c r="W791" s="105">
        <v>0.78125</v>
      </c>
      <c r="X791" s="12">
        <v>6.98</v>
      </c>
      <c r="Y791">
        <v>129</v>
      </c>
      <c r="Z79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2" spans="2:26" x14ac:dyDescent="0.35">
      <c r="B792">
        <f t="shared" si="208"/>
        <v>790</v>
      </c>
      <c r="C792" t="s">
        <v>83</v>
      </c>
      <c r="D792" t="s">
        <v>176</v>
      </c>
      <c r="E792">
        <f>IF(WEEKNUM(Combined[[#This Row],[Date]], 1) = 53, 1, WEEKNUM(Combined[[#This Row],[Date]], 2))</f>
        <v>32</v>
      </c>
      <c r="F792" t="str">
        <f t="shared" ref="F792:F796" si="216">TEXT(WEEKDAY(G792,1),"DDDD")</f>
        <v>Saturday</v>
      </c>
      <c r="G792" s="41">
        <v>45143</v>
      </c>
      <c r="H792">
        <v>7</v>
      </c>
      <c r="I792" s="1">
        <v>83.28</v>
      </c>
      <c r="J792" s="2">
        <v>0.22708333333333333</v>
      </c>
      <c r="K792" s="12">
        <f>Combined[[#This Row],[Time Spent]]*24</f>
        <v>5.45</v>
      </c>
      <c r="L792" s="12">
        <f>MROUND(Combined[[#This Row],[Time Spent 2]],0.25)</f>
        <v>5.5</v>
      </c>
      <c r="M792" s="2" t="s">
        <v>91</v>
      </c>
      <c r="N792" t="s">
        <v>82</v>
      </c>
      <c r="O792">
        <f>MATCH(Combined[[#This Row],[Primary Area]],KPIs!$C$4:$C$7,0)</f>
        <v>3</v>
      </c>
      <c r="Q792" s="40">
        <v>45918</v>
      </c>
      <c r="R792" s="40">
        <f t="shared" si="210"/>
        <v>45918</v>
      </c>
      <c r="S792" s="4" t="str">
        <f>TEXT(Mileage[[#This Row],[Date]],"dddd")</f>
        <v>Thursday</v>
      </c>
      <c r="T792" s="4" t="s">
        <v>230</v>
      </c>
      <c r="U792" s="4">
        <v>64</v>
      </c>
      <c r="V792" t="str" cm="1">
        <f t="array" ref="V792">IFERROR(VLOOKUP(MODE(IF(Combined[Date]=Mileage[[#This Row],[Date]],Combined[Area '#])),KPIs!$B$4:$C$7,2,FALSE),VLOOKUP(Mileage[[#This Row],[Date]],Combined[[Date]:[Primary Area]],8,FALSE))</f>
        <v>Portland</v>
      </c>
      <c r="W792" s="105">
        <v>0.77083333333333337</v>
      </c>
      <c r="X792" s="12">
        <v>5.75</v>
      </c>
      <c r="Y792">
        <v>129</v>
      </c>
      <c r="Z79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3" spans="2:26" x14ac:dyDescent="0.35">
      <c r="B793">
        <f t="shared" si="208"/>
        <v>791</v>
      </c>
      <c r="C793" t="s">
        <v>86</v>
      </c>
      <c r="D793" t="s">
        <v>176</v>
      </c>
      <c r="E793">
        <f>IF(WEEKNUM(Combined[[#This Row],[Date]], 1) = 53, 1, WEEKNUM(Combined[[#This Row],[Date]], 2))</f>
        <v>32</v>
      </c>
      <c r="F793" t="str">
        <f t="shared" si="216"/>
        <v>Saturday</v>
      </c>
      <c r="G793" s="41">
        <v>45143</v>
      </c>
      <c r="H793">
        <v>6</v>
      </c>
      <c r="I793" s="1">
        <v>79.75</v>
      </c>
      <c r="J793" s="2">
        <v>0.18541666666666667</v>
      </c>
      <c r="K793" s="12">
        <f>Combined[[#This Row],[Time Spent]]*24</f>
        <v>4.45</v>
      </c>
      <c r="L793" s="12">
        <f>MROUND(Combined[[#This Row],[Time Spent 2]],0.25)</f>
        <v>4.5</v>
      </c>
      <c r="M793" s="2" t="s">
        <v>91</v>
      </c>
      <c r="N793" t="s">
        <v>82</v>
      </c>
      <c r="O793">
        <f>MATCH(Combined[[#This Row],[Primary Area]],KPIs!$C$4:$C$7,0)</f>
        <v>3</v>
      </c>
      <c r="Q793" s="40">
        <v>45919</v>
      </c>
      <c r="R793" s="40">
        <f t="shared" si="210"/>
        <v>45919</v>
      </c>
      <c r="S793" s="4" t="str">
        <f>TEXT(Mileage[[#This Row],[Date]],"dddd")</f>
        <v>Friday</v>
      </c>
      <c r="T793" s="4" t="s">
        <v>230</v>
      </c>
      <c r="U793" s="4">
        <v>68</v>
      </c>
      <c r="V793" t="str" cm="1">
        <f t="array" ref="V793">IFERROR(VLOOKUP(MODE(IF(Combined[Date]=Mileage[[#This Row],[Date]],Combined[Area '#])),KPIs!$B$4:$C$7,2,FALSE),VLOOKUP(Mileage[[#This Row],[Date]],Combined[[Date]:[Primary Area]],8,FALSE))</f>
        <v>Portland</v>
      </c>
      <c r="W793" s="105">
        <v>0.78472222222222221</v>
      </c>
      <c r="X793" s="12">
        <v>5.07</v>
      </c>
      <c r="Y793">
        <v>116</v>
      </c>
      <c r="Z79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4" spans="2:26" x14ac:dyDescent="0.35">
      <c r="B794">
        <f t="shared" si="208"/>
        <v>792</v>
      </c>
      <c r="C794" t="s">
        <v>86</v>
      </c>
      <c r="D794" t="s">
        <v>176</v>
      </c>
      <c r="E794">
        <f>IF(WEEKNUM(Combined[[#This Row],[Date]], 1) = 53, 1, WEEKNUM(Combined[[#This Row],[Date]], 2))</f>
        <v>32</v>
      </c>
      <c r="F794" t="str">
        <f t="shared" si="216"/>
        <v>Saturday</v>
      </c>
      <c r="G794" s="41">
        <v>45143</v>
      </c>
      <c r="H794">
        <v>5</v>
      </c>
      <c r="I794" s="1">
        <v>28.75</v>
      </c>
      <c r="J794" s="2">
        <v>9.2361111111111116E-2</v>
      </c>
      <c r="K794" s="12">
        <f>Combined[[#This Row],[Time Spent]]*24</f>
        <v>2.2166666666666668</v>
      </c>
      <c r="L794" s="12">
        <f>MROUND(Combined[[#This Row],[Time Spent 2]],0.25)</f>
        <v>2.25</v>
      </c>
      <c r="M794" s="2" t="s">
        <v>92</v>
      </c>
      <c r="N794" t="s">
        <v>82</v>
      </c>
      <c r="O794">
        <f>MATCH(Combined[[#This Row],[Primary Area]],KPIs!$C$4:$C$7,0)</f>
        <v>3</v>
      </c>
      <c r="Q794" s="40">
        <v>45921</v>
      </c>
      <c r="R794" s="40">
        <f t="shared" si="210"/>
        <v>45921</v>
      </c>
      <c r="S794" s="4" t="str">
        <f>TEXT(Mileage[[#This Row],[Date]],"dddd")</f>
        <v>Sunday</v>
      </c>
      <c r="T794" s="4" t="s">
        <v>230</v>
      </c>
      <c r="U794" s="4">
        <v>63</v>
      </c>
      <c r="V794" t="str" cm="1">
        <f t="array" ref="V794">IFERROR(VLOOKUP(MODE(IF(Combined[Date]=Mileage[[#This Row],[Date]],Combined[Area '#])),KPIs!$B$4:$C$7,2,FALSE),VLOOKUP(Mileage[[#This Row],[Date]],Combined[[Date]:[Primary Area]],8,FALSE))</f>
        <v>Brunswick/Bath/Freeport</v>
      </c>
      <c r="W794" s="105">
        <v>0.76041666666666663</v>
      </c>
      <c r="X794" s="12">
        <v>4</v>
      </c>
      <c r="Y794">
        <v>92</v>
      </c>
      <c r="Z79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95" spans="2:26" x14ac:dyDescent="0.35">
      <c r="B795">
        <f t="shared" si="208"/>
        <v>793</v>
      </c>
      <c r="C795" t="s">
        <v>83</v>
      </c>
      <c r="D795" t="s">
        <v>176</v>
      </c>
      <c r="E795">
        <f>IF(WEEKNUM(Combined[[#This Row],[Date]], 1) = 53, 1, WEEKNUM(Combined[[#This Row],[Date]], 2))</f>
        <v>32</v>
      </c>
      <c r="F795" t="str">
        <f t="shared" si="216"/>
        <v>Sunday</v>
      </c>
      <c r="G795" s="41">
        <v>45144</v>
      </c>
      <c r="H795">
        <v>3</v>
      </c>
      <c r="I795" s="1">
        <v>59.31</v>
      </c>
      <c r="J795" s="2">
        <v>0.10833333333333334</v>
      </c>
      <c r="K795" s="12">
        <f>Combined[[#This Row],[Time Spent]]*24</f>
        <v>2.6</v>
      </c>
      <c r="L795" s="12">
        <f>MROUND(Combined[[#This Row],[Time Spent 2]],0.25)</f>
        <v>2.5</v>
      </c>
      <c r="M795" s="2" t="s">
        <v>91</v>
      </c>
      <c r="N795" t="s">
        <v>82</v>
      </c>
      <c r="O795">
        <f>MATCH(Combined[[#This Row],[Primary Area]],KPIs!$C$4:$C$7,0)</f>
        <v>3</v>
      </c>
      <c r="Q795" s="40">
        <v>45922</v>
      </c>
      <c r="R795" s="40">
        <f t="shared" si="210"/>
        <v>45922</v>
      </c>
      <c r="S795" s="4" t="str">
        <f>TEXT(Mileage[[#This Row],[Date]],"dddd")</f>
        <v>Monday</v>
      </c>
      <c r="T795" s="4" t="s">
        <v>230</v>
      </c>
      <c r="U795" s="4">
        <v>63</v>
      </c>
      <c r="V795" t="str" cm="1">
        <f t="array" ref="V795">IFERROR(VLOOKUP(MODE(IF(Combined[Date]=Mileage[[#This Row],[Date]],Combined[Area '#])),KPIs!$B$4:$C$7,2,FALSE),VLOOKUP(Mileage[[#This Row],[Date]],Combined[[Date]:[Primary Area]],8,FALSE))</f>
        <v>Portland</v>
      </c>
      <c r="W795" s="105">
        <v>0.76736111111111116</v>
      </c>
      <c r="X795" s="12">
        <v>5.98</v>
      </c>
      <c r="Y795">
        <v>125</v>
      </c>
      <c r="Z79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6" spans="2:26" x14ac:dyDescent="0.35">
      <c r="B796">
        <f t="shared" si="208"/>
        <v>794</v>
      </c>
      <c r="C796" t="s">
        <v>86</v>
      </c>
      <c r="D796" t="s">
        <v>176</v>
      </c>
      <c r="E796">
        <f>IF(WEEKNUM(Combined[[#This Row],[Date]], 1) = 53, 1, WEEKNUM(Combined[[#This Row],[Date]], 2))</f>
        <v>32</v>
      </c>
      <c r="F796" t="str">
        <f t="shared" si="216"/>
        <v>Sunday</v>
      </c>
      <c r="G796" s="41">
        <v>45144</v>
      </c>
      <c r="H796">
        <v>3</v>
      </c>
      <c r="I796" s="1">
        <v>15.5</v>
      </c>
      <c r="J796" s="2">
        <v>0.1076388888888889</v>
      </c>
      <c r="K796" s="12">
        <f>Combined[[#This Row],[Time Spent]]*24</f>
        <v>2.5833333333333335</v>
      </c>
      <c r="L796" s="12">
        <f>MROUND(Combined[[#This Row],[Time Spent 2]],0.25)</f>
        <v>2.5</v>
      </c>
      <c r="M796" s="2" t="s">
        <v>91</v>
      </c>
      <c r="N796" t="s">
        <v>82</v>
      </c>
      <c r="O796">
        <f>MATCH(Combined[[#This Row],[Primary Area]],KPIs!$C$4:$C$7,0)</f>
        <v>3</v>
      </c>
      <c r="Q796" s="40">
        <v>45923</v>
      </c>
      <c r="R796" s="40">
        <f t="shared" si="210"/>
        <v>45923</v>
      </c>
      <c r="S796" s="4" t="str">
        <f>TEXT(Mileage[[#This Row],[Date]],"dddd")</f>
        <v>Tuesday</v>
      </c>
      <c r="T796" s="4" t="s">
        <v>276</v>
      </c>
      <c r="U796" s="4">
        <v>64</v>
      </c>
      <c r="V796" t="str" cm="1">
        <f t="array" ref="V796">IFERROR(VLOOKUP(MODE(IF(Combined[Date]=Mileage[[#This Row],[Date]],Combined[Area '#])),KPIs!$B$4:$C$7,2,FALSE),VLOOKUP(Mileage[[#This Row],[Date]],Combined[[Date]:[Primary Area]],8,FALSE))</f>
        <v>Lewiston</v>
      </c>
      <c r="W796" s="105">
        <v>0.79513888888888884</v>
      </c>
      <c r="X796" s="12">
        <v>0.83819444444444446</v>
      </c>
      <c r="Y796">
        <v>21.6</v>
      </c>
      <c r="Z79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97" spans="2:26" x14ac:dyDescent="0.35">
      <c r="B797">
        <f t="shared" si="208"/>
        <v>795</v>
      </c>
      <c r="C797" t="s">
        <v>86</v>
      </c>
      <c r="D797" t="s">
        <v>175</v>
      </c>
      <c r="E797">
        <f>IF(WEEKNUM(Combined[[#This Row],[Date]], 1) = 53, 1, WEEKNUM(Combined[[#This Row],[Date]], 2))</f>
        <v>32</v>
      </c>
      <c r="F797" t="str">
        <f>TEXT(WEEKDAY(G797,1),"DDDD")</f>
        <v>Sunday</v>
      </c>
      <c r="G797" s="41">
        <v>45144</v>
      </c>
      <c r="H797">
        <v>1</v>
      </c>
      <c r="I797" s="1">
        <v>4.1500000000000004</v>
      </c>
      <c r="J797" s="2">
        <v>1.2499999999999999E-2</v>
      </c>
      <c r="K797" s="12">
        <f>Combined[[#This Row],[Time Spent]]*24</f>
        <v>0.3</v>
      </c>
      <c r="L797" s="12">
        <f>MROUND(Combined[[#This Row],[Time Spent 2]],0.25)</f>
        <v>0.25</v>
      </c>
      <c r="M797" s="2" t="s">
        <v>91</v>
      </c>
      <c r="N797" t="s">
        <v>82</v>
      </c>
      <c r="O797">
        <f>MATCH(Combined[[#This Row],[Primary Area]],KPIs!$C$4:$C$7,0)</f>
        <v>3</v>
      </c>
      <c r="Q797" s="40">
        <v>45924</v>
      </c>
      <c r="R797" s="40">
        <f t="shared" si="210"/>
        <v>45924</v>
      </c>
      <c r="S797" s="4" t="str">
        <f>TEXT(Mileage[[#This Row],[Date]],"dddd")</f>
        <v>Wednesday</v>
      </c>
      <c r="T797" s="4" t="s">
        <v>231</v>
      </c>
      <c r="U797" s="4">
        <v>61</v>
      </c>
      <c r="V797" t="str" cm="1">
        <f t="array" ref="V797">IFERROR(VLOOKUP(MODE(IF(Combined[Date]=Mileage[[#This Row],[Date]],Combined[Area '#])),KPIs!$B$4:$C$7,2,FALSE),VLOOKUP(Mileage[[#This Row],[Date]],Combined[[Date]:[Primary Area]],8,FALSE))</f>
        <v>Brunswick/Bath/Freeport</v>
      </c>
      <c r="W797" s="105">
        <v>0.79513888888888884</v>
      </c>
      <c r="X797" s="12">
        <v>7.15</v>
      </c>
      <c r="Y797">
        <v>143</v>
      </c>
      <c r="Z79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798" spans="2:26" x14ac:dyDescent="0.35">
      <c r="B798">
        <f t="shared" si="208"/>
        <v>796</v>
      </c>
      <c r="C798" t="s">
        <v>83</v>
      </c>
      <c r="D798" t="s">
        <v>176</v>
      </c>
      <c r="E798">
        <f>IF(WEEKNUM(Combined[[#This Row],[Date]], 1) = 53, 1, WEEKNUM(Combined[[#This Row],[Date]], 2))</f>
        <v>33</v>
      </c>
      <c r="F798" t="str">
        <f t="shared" ref="F798:F801" si="217">TEXT(WEEKDAY(G798,1),"DDDD")</f>
        <v>Monday</v>
      </c>
      <c r="G798" s="41">
        <v>45145</v>
      </c>
      <c r="H798">
        <v>2</v>
      </c>
      <c r="I798" s="1">
        <v>15.98</v>
      </c>
      <c r="J798" s="2">
        <v>0.12291666666666667</v>
      </c>
      <c r="K798" s="12">
        <f>Combined[[#This Row],[Time Spent]]*24</f>
        <v>2.95</v>
      </c>
      <c r="L798" s="12">
        <f>MROUND(Combined[[#This Row],[Time Spent 2]],0.25)</f>
        <v>3</v>
      </c>
      <c r="M798" s="2" t="s">
        <v>91</v>
      </c>
      <c r="N798" t="s">
        <v>174</v>
      </c>
      <c r="O798">
        <f>MATCH(Combined[[#This Row],[Primary Area]],KPIs!$C$4:$C$7,0)</f>
        <v>1</v>
      </c>
      <c r="Q798" s="40">
        <v>45926</v>
      </c>
      <c r="R798" s="40">
        <f t="shared" si="210"/>
        <v>45926</v>
      </c>
      <c r="S798" s="4" t="str">
        <f>TEXT(Mileage[[#This Row],[Date]],"dddd")</f>
        <v>Friday</v>
      </c>
      <c r="T798" s="4" t="s">
        <v>249</v>
      </c>
      <c r="U798" s="4">
        <v>73</v>
      </c>
      <c r="V798" t="str" cm="1">
        <f t="array" ref="V798">IFERROR(VLOOKUP(MODE(IF(Combined[Date]=Mileage[[#This Row],[Date]],Combined[Area '#])),KPIs!$B$4:$C$7,2,FALSE),VLOOKUP(Mileage[[#This Row],[Date]],Combined[[Date]:[Primary Area]],8,FALSE))</f>
        <v>Brunswick/Bath/Freeport</v>
      </c>
      <c r="W798" s="105">
        <v>0.82291666666666663</v>
      </c>
      <c r="X798" s="12">
        <v>5.63</v>
      </c>
      <c r="Y798">
        <v>155</v>
      </c>
      <c r="Z79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799" spans="2:26" x14ac:dyDescent="0.35">
      <c r="B799">
        <f t="shared" si="208"/>
        <v>797</v>
      </c>
      <c r="C799" t="s">
        <v>86</v>
      </c>
      <c r="D799" t="s">
        <v>175</v>
      </c>
      <c r="E799">
        <f>IF(WEEKNUM(Combined[[#This Row],[Date]], 1) = 53, 1, WEEKNUM(Combined[[#This Row],[Date]], 2))</f>
        <v>33</v>
      </c>
      <c r="F799" t="str">
        <f t="shared" si="217"/>
        <v>Monday</v>
      </c>
      <c r="G799" s="41">
        <v>45145</v>
      </c>
      <c r="H799">
        <v>7</v>
      </c>
      <c r="I799" s="1">
        <v>69.930000000000007</v>
      </c>
      <c r="J799" s="2">
        <v>0.21666666666666667</v>
      </c>
      <c r="K799" s="12">
        <f>Combined[[#This Row],[Time Spent]]*24</f>
        <v>5.2</v>
      </c>
      <c r="L799" s="12">
        <f>MROUND(Combined[[#This Row],[Time Spent 2]],0.25)</f>
        <v>5.25</v>
      </c>
      <c r="M799" s="2" t="s">
        <v>91</v>
      </c>
      <c r="N799" t="s">
        <v>174</v>
      </c>
      <c r="O799">
        <f>MATCH(Combined[[#This Row],[Primary Area]],KPIs!$C$4:$C$7,0)</f>
        <v>1</v>
      </c>
      <c r="Q799" s="40">
        <v>45927</v>
      </c>
      <c r="R799" s="40">
        <f t="shared" si="210"/>
        <v>45927</v>
      </c>
      <c r="S799" s="4" t="str">
        <f>TEXT(Mileage[[#This Row],[Date]],"dddd")</f>
        <v>Saturday</v>
      </c>
      <c r="T799" s="4" t="s">
        <v>230</v>
      </c>
      <c r="U799" s="4">
        <v>66</v>
      </c>
      <c r="V799" t="str" cm="1">
        <f t="array" ref="V799">IFERROR(VLOOKUP(MODE(IF(Combined[Date]=Mileage[[#This Row],[Date]],Combined[Area '#])),KPIs!$B$4:$C$7,2,FALSE),VLOOKUP(Mileage[[#This Row],[Date]],Combined[[Date]:[Primary Area]],8,FALSE))</f>
        <v>Brunswick/Bath/Freeport</v>
      </c>
      <c r="W799" s="105">
        <v>0.69444444444444442</v>
      </c>
      <c r="X799" s="12">
        <v>7.47</v>
      </c>
      <c r="Y799">
        <v>197</v>
      </c>
      <c r="Z79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0" spans="2:26" x14ac:dyDescent="0.35">
      <c r="B800">
        <f t="shared" si="208"/>
        <v>798</v>
      </c>
      <c r="C800" t="s">
        <v>83</v>
      </c>
      <c r="D800" t="s">
        <v>176</v>
      </c>
      <c r="E800">
        <f>IF(WEEKNUM(Combined[[#This Row],[Date]], 1) = 53, 1, WEEKNUM(Combined[[#This Row],[Date]], 2))</f>
        <v>33</v>
      </c>
      <c r="F800" t="str">
        <f t="shared" si="217"/>
        <v>Tuesday</v>
      </c>
      <c r="G800" s="41">
        <v>45146</v>
      </c>
      <c r="H800">
        <v>3</v>
      </c>
      <c r="I800" s="1">
        <v>44.07</v>
      </c>
      <c r="J800" s="2">
        <v>0.20208333333333331</v>
      </c>
      <c r="K800" s="12">
        <f>Combined[[#This Row],[Time Spent]]*24</f>
        <v>4.8499999999999996</v>
      </c>
      <c r="L800" s="12">
        <f>MROUND(Combined[[#This Row],[Time Spent 2]],0.25)</f>
        <v>4.75</v>
      </c>
      <c r="M800" s="2" t="s">
        <v>91</v>
      </c>
      <c r="N800" t="s">
        <v>80</v>
      </c>
      <c r="O800">
        <f>MATCH(Combined[[#This Row],[Primary Area]],KPIs!$C$4:$C$7,0)</f>
        <v>2</v>
      </c>
      <c r="Q800" s="40">
        <v>45929</v>
      </c>
      <c r="R800" s="40">
        <f t="shared" si="210"/>
        <v>45929</v>
      </c>
      <c r="S800" s="4" t="str">
        <f>TEXT(Mileage[[#This Row],[Date]],"dddd")</f>
        <v>Monday</v>
      </c>
      <c r="T800" s="4" t="s">
        <v>230</v>
      </c>
      <c r="U800" s="4">
        <v>72</v>
      </c>
      <c r="V800" t="str" cm="1">
        <f t="array" ref="V800">IFERROR(VLOOKUP(MODE(IF(Combined[Date]=Mileage[[#This Row],[Date]],Combined[Area '#])),KPIs!$B$4:$C$7,2,FALSE),VLOOKUP(Mileage[[#This Row],[Date]],Combined[[Date]:[Primary Area]],8,FALSE))</f>
        <v>Brunswick/Bath/Freeport</v>
      </c>
      <c r="W800" s="105">
        <v>0.75347222222222221</v>
      </c>
      <c r="X800" s="12">
        <v>3.95</v>
      </c>
      <c r="Y800">
        <v>105</v>
      </c>
      <c r="Z80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1" spans="2:26" x14ac:dyDescent="0.35">
      <c r="B801">
        <f t="shared" si="208"/>
        <v>799</v>
      </c>
      <c r="C801" t="s">
        <v>86</v>
      </c>
      <c r="D801" t="s">
        <v>176</v>
      </c>
      <c r="E801">
        <f>IF(WEEKNUM(Combined[[#This Row],[Date]], 1) = 53, 1, WEEKNUM(Combined[[#This Row],[Date]], 2))</f>
        <v>33</v>
      </c>
      <c r="F801" t="str">
        <f t="shared" si="217"/>
        <v>Tuesday</v>
      </c>
      <c r="G801" s="41">
        <v>45146</v>
      </c>
      <c r="H801">
        <v>4</v>
      </c>
      <c r="I801" s="1">
        <v>49.5</v>
      </c>
      <c r="J801" s="2">
        <v>9.5833333333333326E-2</v>
      </c>
      <c r="K801" s="12">
        <f>Combined[[#This Row],[Time Spent]]*24</f>
        <v>2.2999999999999998</v>
      </c>
      <c r="L801" s="12">
        <f>MROUND(Combined[[#This Row],[Time Spent 2]],0.25)</f>
        <v>2.25</v>
      </c>
      <c r="M801" s="2" t="s">
        <v>91</v>
      </c>
      <c r="N801" t="s">
        <v>80</v>
      </c>
      <c r="O801">
        <f>MATCH(Combined[[#This Row],[Primary Area]],KPIs!$C$4:$C$7,0)</f>
        <v>2</v>
      </c>
      <c r="Q801" s="40">
        <v>45930</v>
      </c>
      <c r="R801" s="40">
        <f t="shared" si="210"/>
        <v>45930</v>
      </c>
      <c r="S801" s="4" t="str">
        <f>TEXT(Mileage[[#This Row],[Date]],"dddd")</f>
        <v>Tuesday</v>
      </c>
      <c r="T801" s="4" t="s">
        <v>230</v>
      </c>
      <c r="U801" s="4">
        <v>64</v>
      </c>
      <c r="V801" t="str" cm="1">
        <f t="array" ref="V801">IFERROR(VLOOKUP(MODE(IF(Combined[Date]=Mileage[[#This Row],[Date]],Combined[Area '#])),KPIs!$B$4:$C$7,2,FALSE),VLOOKUP(Mileage[[#This Row],[Date]],Combined[[Date]:[Primary Area]],8,FALSE))</f>
        <v>Brunswick/Bath/Freeport</v>
      </c>
      <c r="W801" s="105">
        <v>0.79513888888888884</v>
      </c>
      <c r="X801" s="12">
        <v>0.98</v>
      </c>
      <c r="Y801">
        <v>27</v>
      </c>
      <c r="Z80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2" spans="2:26" x14ac:dyDescent="0.35">
      <c r="B802">
        <f t="shared" si="208"/>
        <v>800</v>
      </c>
      <c r="C802" t="s">
        <v>86</v>
      </c>
      <c r="D802" t="s">
        <v>175</v>
      </c>
      <c r="E802">
        <f>IF(WEEKNUM(Combined[[#This Row],[Date]], 1) = 53, 1, WEEKNUM(Combined[[#This Row],[Date]], 2))</f>
        <v>33</v>
      </c>
      <c r="F802" t="str">
        <f>TEXT(WEEKDAY(G802,1),"DDDD")</f>
        <v>Tuesday</v>
      </c>
      <c r="G802" s="41">
        <v>45146</v>
      </c>
      <c r="H802">
        <v>2</v>
      </c>
      <c r="I802" s="1">
        <v>12.85</v>
      </c>
      <c r="J802" s="2">
        <v>5.0694444444444452E-2</v>
      </c>
      <c r="K802" s="12">
        <f>Combined[[#This Row],[Time Spent]]*24</f>
        <v>1.2166666666666668</v>
      </c>
      <c r="L802" s="12">
        <f>MROUND(Combined[[#This Row],[Time Spent 2]],0.25)</f>
        <v>1.25</v>
      </c>
      <c r="M802" s="2" t="s">
        <v>91</v>
      </c>
      <c r="N802" t="s">
        <v>80</v>
      </c>
      <c r="O802">
        <f>MATCH(Combined[[#This Row],[Primary Area]],KPIs!$C$4:$C$7,0)</f>
        <v>2</v>
      </c>
      <c r="Q802" s="40">
        <v>45931</v>
      </c>
      <c r="R802" s="40">
        <f t="shared" si="210"/>
        <v>45931</v>
      </c>
      <c r="S802" s="4" t="str">
        <f>TEXT(Mileage[[#This Row],[Date]],"dddd")</f>
        <v>Wednesday</v>
      </c>
      <c r="T802" s="4" t="s">
        <v>230</v>
      </c>
      <c r="U802" s="4">
        <v>64</v>
      </c>
      <c r="V802" t="str" cm="1">
        <f t="array" ref="V802">IFERROR(VLOOKUP(MODE(IF(Combined[Date]=Mileage[[#This Row],[Date]],Combined[Area '#])),KPIs!$B$4:$C$7,2,FALSE),VLOOKUP(Mileage[[#This Row],[Date]],Combined[[Date]:[Primary Area]],8,FALSE))</f>
        <v>Brunswick/Bath/Freeport</v>
      </c>
      <c r="W802" s="105">
        <v>0.77083333333333337</v>
      </c>
      <c r="X802" s="12">
        <v>6.48</v>
      </c>
      <c r="Y802">
        <v>191</v>
      </c>
      <c r="Z80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3" spans="2:26" x14ac:dyDescent="0.35">
      <c r="B803">
        <f t="shared" si="208"/>
        <v>801</v>
      </c>
      <c r="C803" t="s">
        <v>83</v>
      </c>
      <c r="D803" t="s">
        <v>176</v>
      </c>
      <c r="E803">
        <f>IF(WEEKNUM(Combined[[#This Row],[Date]], 1) = 53, 1, WEEKNUM(Combined[[#This Row],[Date]], 2))</f>
        <v>33</v>
      </c>
      <c r="F803" t="str">
        <f t="shared" ref="F803:F806" si="218">TEXT(WEEKDAY(G803,1),"DDDD")</f>
        <v>Thursday</v>
      </c>
      <c r="G803" s="41">
        <v>45148</v>
      </c>
      <c r="H803">
        <v>4</v>
      </c>
      <c r="I803" s="1">
        <v>41.14</v>
      </c>
      <c r="J803" s="2">
        <v>9.0277777777777776E-2</v>
      </c>
      <c r="K803" s="12">
        <f>Combined[[#This Row],[Time Spent]]*24</f>
        <v>2.1666666666666665</v>
      </c>
      <c r="L803" s="12">
        <f>MROUND(Combined[[#This Row],[Time Spent 2]],0.25)</f>
        <v>2.25</v>
      </c>
      <c r="M803" s="2" t="s">
        <v>91</v>
      </c>
      <c r="N803" t="s">
        <v>85</v>
      </c>
      <c r="O803">
        <f>MATCH(Combined[[#This Row],[Primary Area]],KPIs!$C$4:$C$7,0)</f>
        <v>4</v>
      </c>
      <c r="Q803" s="40">
        <v>45932</v>
      </c>
      <c r="R803" s="40">
        <f t="shared" si="210"/>
        <v>45932</v>
      </c>
      <c r="S803" s="4" t="str">
        <f>TEXT(Mileage[[#This Row],[Date]],"dddd")</f>
        <v>Thursday</v>
      </c>
      <c r="T803" s="4" t="s">
        <v>230</v>
      </c>
      <c r="U803" s="4">
        <v>57</v>
      </c>
      <c r="V803" t="str" cm="1">
        <f t="array" ref="V803">IFERROR(VLOOKUP(MODE(IF(Combined[Date]=Mileage[[#This Row],[Date]],Combined[Area '#])),KPIs!$B$4:$C$7,2,FALSE),VLOOKUP(Mileage[[#This Row],[Date]],Combined[[Date]:[Primary Area]],8,FALSE))</f>
        <v>Augusta</v>
      </c>
      <c r="W803" s="105">
        <v>0.77083333333333337</v>
      </c>
      <c r="X803" s="12">
        <v>2.58</v>
      </c>
      <c r="Y803">
        <v>68</v>
      </c>
      <c r="Z80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4" spans="2:26" x14ac:dyDescent="0.35">
      <c r="B804">
        <f t="shared" si="208"/>
        <v>802</v>
      </c>
      <c r="C804" t="s">
        <v>86</v>
      </c>
      <c r="D804" t="s">
        <v>175</v>
      </c>
      <c r="E804">
        <f>IF(WEEKNUM(Combined[[#This Row],[Date]], 1) = 53, 1, WEEKNUM(Combined[[#This Row],[Date]], 2))</f>
        <v>33</v>
      </c>
      <c r="F804" t="str">
        <f t="shared" si="218"/>
        <v>Thursday</v>
      </c>
      <c r="G804" s="41">
        <v>45148</v>
      </c>
      <c r="H804">
        <v>1</v>
      </c>
      <c r="I804" s="1">
        <v>16.18</v>
      </c>
      <c r="J804" s="2">
        <v>4.9305555555555554E-2</v>
      </c>
      <c r="K804" s="12">
        <f>Combined[[#This Row],[Time Spent]]*24</f>
        <v>1.1833333333333333</v>
      </c>
      <c r="L804" s="12">
        <f>MROUND(Combined[[#This Row],[Time Spent 2]],0.25)</f>
        <v>1.25</v>
      </c>
      <c r="M804" s="2" t="s">
        <v>91</v>
      </c>
      <c r="N804" t="s">
        <v>85</v>
      </c>
      <c r="O804">
        <f>MATCH(Combined[[#This Row],[Primary Area]],KPIs!$C$4:$C$7,0)</f>
        <v>4</v>
      </c>
      <c r="Q804" s="40">
        <v>45933</v>
      </c>
      <c r="R804" s="40">
        <f t="shared" si="210"/>
        <v>45933</v>
      </c>
      <c r="S804" s="4" t="str">
        <f>TEXT(Mileage[[#This Row],[Date]],"dddd")</f>
        <v>Friday</v>
      </c>
      <c r="T804" s="4" t="s">
        <v>230</v>
      </c>
      <c r="U804" s="4">
        <v>64</v>
      </c>
      <c r="V804" t="str" cm="1">
        <f t="array" ref="V804">IFERROR(VLOOKUP(MODE(IF(Combined[Date]=Mileage[[#This Row],[Date]],Combined[Area '#])),KPIs!$B$4:$C$7,2,FALSE),VLOOKUP(Mileage[[#This Row],[Date]],Combined[[Date]:[Primary Area]],8,FALSE))</f>
        <v>Brunswick/Bath/Freeport</v>
      </c>
      <c r="W804" s="105">
        <v>0.75</v>
      </c>
      <c r="X804" s="12">
        <v>7.28</v>
      </c>
      <c r="Y804">
        <v>175</v>
      </c>
      <c r="Z80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5" spans="2:26" x14ac:dyDescent="0.35">
      <c r="B805">
        <f t="shared" si="208"/>
        <v>803</v>
      </c>
      <c r="C805" t="s">
        <v>83</v>
      </c>
      <c r="D805" t="s">
        <v>176</v>
      </c>
      <c r="E805">
        <f>IF(WEEKNUM(Combined[[#This Row],[Date]], 1) = 53, 1, WEEKNUM(Combined[[#This Row],[Date]], 2))</f>
        <v>33</v>
      </c>
      <c r="F805" t="str">
        <f t="shared" si="218"/>
        <v>Friday</v>
      </c>
      <c r="G805" s="41">
        <v>45149</v>
      </c>
      <c r="H805">
        <v>2</v>
      </c>
      <c r="I805" s="1">
        <v>22.08</v>
      </c>
      <c r="J805" s="2">
        <v>8.819444444444445E-2</v>
      </c>
      <c r="K805" s="12">
        <f>Combined[[#This Row],[Time Spent]]*24</f>
        <v>2.1166666666666667</v>
      </c>
      <c r="L805" s="12">
        <f>MROUND(Combined[[#This Row],[Time Spent 2]],0.25)</f>
        <v>2</v>
      </c>
      <c r="M805" s="2" t="s">
        <v>91</v>
      </c>
      <c r="N805" t="s">
        <v>80</v>
      </c>
      <c r="O805">
        <f>MATCH(Combined[[#This Row],[Primary Area]],KPIs!$C$4:$C$7,0)</f>
        <v>2</v>
      </c>
      <c r="Q805" s="40">
        <v>45935</v>
      </c>
      <c r="R805" s="40">
        <f t="shared" si="210"/>
        <v>45935</v>
      </c>
      <c r="S805" s="4" t="str">
        <f>TEXT(Mileage[[#This Row],[Date]],"dddd")</f>
        <v>Sunday</v>
      </c>
      <c r="T805" s="4" t="s">
        <v>230</v>
      </c>
      <c r="U805" s="4">
        <v>64</v>
      </c>
      <c r="V805" t="str" cm="1">
        <f t="array" ref="V805">IFERROR(VLOOKUP(MODE(IF(Combined[Date]=Mileage[[#This Row],[Date]],Combined[Area '#])),KPIs!$B$4:$C$7,2,FALSE),VLOOKUP(Mileage[[#This Row],[Date]],Combined[[Date]:[Primary Area]],8,FALSE))</f>
        <v>Portland</v>
      </c>
      <c r="W805" s="105">
        <v>0.78819444444444442</v>
      </c>
      <c r="X805" s="12">
        <v>4.42</v>
      </c>
      <c r="Y805">
        <v>70</v>
      </c>
      <c r="Z80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6" spans="2:26" x14ac:dyDescent="0.35">
      <c r="B806">
        <f t="shared" si="208"/>
        <v>804</v>
      </c>
      <c r="C806" t="s">
        <v>86</v>
      </c>
      <c r="D806" t="s">
        <v>175</v>
      </c>
      <c r="E806">
        <f>IF(WEEKNUM(Combined[[#This Row],[Date]], 1) = 53, 1, WEEKNUM(Combined[[#This Row],[Date]], 2))</f>
        <v>33</v>
      </c>
      <c r="F806" t="str">
        <f t="shared" si="218"/>
        <v>Friday</v>
      </c>
      <c r="G806" s="41">
        <v>45149</v>
      </c>
      <c r="H806">
        <v>3</v>
      </c>
      <c r="I806" s="1">
        <v>29.68</v>
      </c>
      <c r="J806" s="2">
        <v>0.10972222222222222</v>
      </c>
      <c r="K806" s="12">
        <f>Combined[[#This Row],[Time Spent]]*24</f>
        <v>2.6333333333333333</v>
      </c>
      <c r="L806" s="12">
        <f>MROUND(Combined[[#This Row],[Time Spent 2]],0.25)</f>
        <v>2.75</v>
      </c>
      <c r="M806" s="2" t="s">
        <v>91</v>
      </c>
      <c r="N806" t="s">
        <v>80</v>
      </c>
      <c r="O806">
        <f>MATCH(Combined[[#This Row],[Primary Area]],KPIs!$C$4:$C$7,0)</f>
        <v>2</v>
      </c>
      <c r="Q806" s="40">
        <v>45937</v>
      </c>
      <c r="R806" s="40">
        <f t="shared" si="210"/>
        <v>45937</v>
      </c>
      <c r="S806" s="4" t="str">
        <f>TEXT(Mileage[[#This Row],[Date]],"dddd")</f>
        <v>Tuesday</v>
      </c>
      <c r="T806" s="4" t="s">
        <v>230</v>
      </c>
      <c r="U806" s="4">
        <v>70</v>
      </c>
      <c r="V806" t="str" cm="1">
        <f t="array" ref="V806">IFERROR(VLOOKUP(MODE(IF(Combined[Date]=Mileage[[#This Row],[Date]],Combined[Area '#])),KPIs!$B$4:$C$7,2,FALSE),VLOOKUP(Mileage[[#This Row],[Date]],Combined[[Date]:[Primary Area]],8,FALSE))</f>
        <v>Brunswick/Bath/Freeport</v>
      </c>
      <c r="W806" s="105">
        <v>0.77430555555555558</v>
      </c>
      <c r="X806" s="12">
        <v>5.92</v>
      </c>
      <c r="Y806">
        <v>130</v>
      </c>
      <c r="Z80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07" spans="2:26" x14ac:dyDescent="0.35">
      <c r="B807">
        <f t="shared" si="208"/>
        <v>805</v>
      </c>
      <c r="C807" t="s">
        <v>83</v>
      </c>
      <c r="D807" t="s">
        <v>176</v>
      </c>
      <c r="E807">
        <f>IF(WEEKNUM(Combined[[#This Row],[Date]], 1) = 53, 1, WEEKNUM(Combined[[#This Row],[Date]], 2))</f>
        <v>34</v>
      </c>
      <c r="F807" t="str">
        <f t="shared" ref="F807:F808" si="219">TEXT(WEEKDAY(G807,1),"DDDD")</f>
        <v>Wednesday</v>
      </c>
      <c r="G807" s="41">
        <v>45154</v>
      </c>
      <c r="H807">
        <v>9</v>
      </c>
      <c r="I807" s="1">
        <v>93.13</v>
      </c>
      <c r="J807" s="2">
        <v>0.18402777777777779</v>
      </c>
      <c r="K807" s="12">
        <f>Combined[[#This Row],[Time Spent]]*24</f>
        <v>4.416666666666667</v>
      </c>
      <c r="L807" s="12">
        <f>MROUND(Combined[[#This Row],[Time Spent 2]],0.25)</f>
        <v>4.5</v>
      </c>
      <c r="M807" s="2" t="s">
        <v>91</v>
      </c>
      <c r="N807" t="s">
        <v>85</v>
      </c>
      <c r="O807">
        <f>MATCH(Combined[[#This Row],[Primary Area]],KPIs!$C$4:$C$7,0)</f>
        <v>4</v>
      </c>
      <c r="Q807" s="40">
        <v>45940</v>
      </c>
      <c r="R807" s="40">
        <f t="shared" si="210"/>
        <v>45940</v>
      </c>
      <c r="S807" s="4" t="str">
        <f>TEXT(Mileage[[#This Row],[Date]],"dddd")</f>
        <v>Friday</v>
      </c>
      <c r="T807" s="4" t="s">
        <v>230</v>
      </c>
      <c r="U807" s="4">
        <v>50</v>
      </c>
      <c r="V807" t="str" cm="1">
        <f t="array" ref="V807">IFERROR(VLOOKUP(MODE(IF(Combined[Date]=Mileage[[#This Row],[Date]],Combined[Area '#])),KPIs!$B$4:$C$7,2,FALSE),VLOOKUP(Mileage[[#This Row],[Date]],Combined[[Date]:[Primary Area]],8,FALSE))</f>
        <v>Brunswick/Bath/Freeport</v>
      </c>
      <c r="W807" s="105">
        <v>0.78472222222222221</v>
      </c>
      <c r="X807" s="12">
        <v>5.22</v>
      </c>
      <c r="Y807">
        <v>137</v>
      </c>
      <c r="Z80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08" spans="2:26" x14ac:dyDescent="0.35">
      <c r="B808">
        <f t="shared" si="208"/>
        <v>806</v>
      </c>
      <c r="C808" t="s">
        <v>86</v>
      </c>
      <c r="D808" t="s">
        <v>175</v>
      </c>
      <c r="E808">
        <f>IF(WEEKNUM(Combined[[#This Row],[Date]], 1) = 53, 1, WEEKNUM(Combined[[#This Row],[Date]], 2))</f>
        <v>34</v>
      </c>
      <c r="F808" t="str">
        <f t="shared" si="219"/>
        <v>Wednesday</v>
      </c>
      <c r="G808" s="41">
        <v>45154</v>
      </c>
      <c r="H808">
        <v>5</v>
      </c>
      <c r="I808" s="1">
        <v>38.31</v>
      </c>
      <c r="J808" s="2">
        <v>6.5277777777777782E-2</v>
      </c>
      <c r="K808" s="12">
        <f>Combined[[#This Row],[Time Spent]]*24</f>
        <v>1.5666666666666669</v>
      </c>
      <c r="L808" s="12">
        <f>MROUND(Combined[[#This Row],[Time Spent 2]],0.25)</f>
        <v>1.5</v>
      </c>
      <c r="M808" s="2" t="s">
        <v>91</v>
      </c>
      <c r="N808" t="s">
        <v>85</v>
      </c>
      <c r="O808">
        <f>MATCH(Combined[[#This Row],[Primary Area]],KPIs!$C$4:$C$7,0)</f>
        <v>4</v>
      </c>
      <c r="Q808" s="40">
        <v>45943</v>
      </c>
      <c r="R808" s="40">
        <f t="shared" si="210"/>
        <v>45943</v>
      </c>
      <c r="S808" s="4" t="str">
        <f>TEXT(Mileage[[#This Row],[Date]],"dddd")</f>
        <v>Monday</v>
      </c>
      <c r="T808" s="4" t="s">
        <v>231</v>
      </c>
      <c r="U808" s="4">
        <v>50</v>
      </c>
      <c r="V808" t="str" cm="1">
        <f t="array" ref="V808">IFERROR(VLOOKUP(MODE(IF(Combined[Date]=Mileage[[#This Row],[Date]],Combined[Area '#])),KPIs!$B$4:$C$7,2,FALSE),VLOOKUP(Mileage[[#This Row],[Date]],Combined[[Date]:[Primary Area]],8,FALSE))</f>
        <v>Brunswick/Bath/Freeport</v>
      </c>
      <c r="W808" s="105">
        <v>0.78125</v>
      </c>
      <c r="X808" s="12">
        <v>3.47</v>
      </c>
      <c r="Y808">
        <v>50</v>
      </c>
      <c r="Z80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09" spans="2:26" x14ac:dyDescent="0.35">
      <c r="B809">
        <f t="shared" si="208"/>
        <v>807</v>
      </c>
      <c r="C809" t="s">
        <v>83</v>
      </c>
      <c r="D809" t="s">
        <v>176</v>
      </c>
      <c r="E809">
        <f>IF(WEEKNUM(Combined[[#This Row],[Date]], 1) = 53, 1, WEEKNUM(Combined[[#This Row],[Date]], 2))</f>
        <v>34</v>
      </c>
      <c r="F809" t="str">
        <f t="shared" ref="F809:F810" si="220">TEXT(WEEKDAY(G809,1),"DDDD")</f>
        <v>Thursday</v>
      </c>
      <c r="G809" s="41">
        <v>45155</v>
      </c>
      <c r="H809">
        <v>4</v>
      </c>
      <c r="I809" s="1">
        <v>43.62</v>
      </c>
      <c r="J809" s="2">
        <v>9.9999999999999992E-2</v>
      </c>
      <c r="K809" s="12">
        <f>Combined[[#This Row],[Time Spent]]*24</f>
        <v>2.4</v>
      </c>
      <c r="L809" s="12">
        <f>MROUND(Combined[[#This Row],[Time Spent 2]],0.25)</f>
        <v>2.5</v>
      </c>
      <c r="M809" s="2" t="s">
        <v>91</v>
      </c>
      <c r="N809" t="s">
        <v>85</v>
      </c>
      <c r="O809">
        <f>MATCH(Combined[[#This Row],[Primary Area]],KPIs!$C$4:$C$7,0)</f>
        <v>4</v>
      </c>
      <c r="Q809" s="40">
        <v>45944</v>
      </c>
      <c r="R809" s="40">
        <f t="shared" si="210"/>
        <v>45944</v>
      </c>
      <c r="S809" s="4" t="str">
        <f>TEXT(Mileage[[#This Row],[Date]],"dddd")</f>
        <v>Tuesday</v>
      </c>
      <c r="T809" s="4" t="s">
        <v>285</v>
      </c>
      <c r="U809" s="4">
        <v>55</v>
      </c>
      <c r="V809" t="str" cm="1">
        <f t="array" ref="V809">IFERROR(VLOOKUP(MODE(IF(Combined[Date]=Mileage[[#This Row],[Date]],Combined[Area '#])),KPIs!$B$4:$C$7,2,FALSE),VLOOKUP(Mileage[[#This Row],[Date]],Combined[[Date]:[Primary Area]],8,FALSE))</f>
        <v>Brunswick/Bath/Freeport</v>
      </c>
      <c r="W809" s="105">
        <v>0.73263888888888884</v>
      </c>
      <c r="X809" s="12">
        <v>6.02</v>
      </c>
      <c r="Y809">
        <v>106</v>
      </c>
      <c r="Z80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0" spans="2:26" x14ac:dyDescent="0.35">
      <c r="B810">
        <f t="shared" si="208"/>
        <v>808</v>
      </c>
      <c r="C810" t="s">
        <v>86</v>
      </c>
      <c r="D810" t="s">
        <v>175</v>
      </c>
      <c r="E810">
        <f>IF(WEEKNUM(Combined[[#This Row],[Date]], 1) = 53, 1, WEEKNUM(Combined[[#This Row],[Date]], 2))</f>
        <v>34</v>
      </c>
      <c r="F810" t="str">
        <f t="shared" si="220"/>
        <v>Thursday</v>
      </c>
      <c r="G810" s="41">
        <v>45155</v>
      </c>
      <c r="H810">
        <v>7</v>
      </c>
      <c r="I810" s="1">
        <v>54.18</v>
      </c>
      <c r="J810" s="2">
        <v>9.1666666666666674E-2</v>
      </c>
      <c r="K810" s="12">
        <f>Combined[[#This Row],[Time Spent]]*24</f>
        <v>2.2000000000000002</v>
      </c>
      <c r="L810" s="12">
        <f>MROUND(Combined[[#This Row],[Time Spent 2]],0.25)</f>
        <v>2.25</v>
      </c>
      <c r="M810" s="2" t="s">
        <v>91</v>
      </c>
      <c r="N810" t="s">
        <v>85</v>
      </c>
      <c r="O810">
        <f>MATCH(Combined[[#This Row],[Primary Area]],KPIs!$C$4:$C$7,0)</f>
        <v>4</v>
      </c>
      <c r="Q810" s="40">
        <v>45947</v>
      </c>
      <c r="R810" s="40">
        <f t="shared" si="210"/>
        <v>45947</v>
      </c>
      <c r="S810" s="4" t="str">
        <f>TEXT(Mileage[[#This Row],[Date]],"dddd")</f>
        <v>Friday</v>
      </c>
      <c r="T810" s="4" t="s">
        <v>230</v>
      </c>
      <c r="U810" s="4">
        <v>54</v>
      </c>
      <c r="V810" t="str" cm="1">
        <f t="array" ref="V810">IFERROR(VLOOKUP(MODE(IF(Combined[Date]=Mileage[[#This Row],[Date]],Combined[Area '#])),KPIs!$B$4:$C$7,2,FALSE),VLOOKUP(Mileage[[#This Row],[Date]],Combined[[Date]:[Primary Area]],8,FALSE))</f>
        <v>Brunswick/Bath/Freeport</v>
      </c>
      <c r="W810" s="105">
        <v>0.75694444444444442</v>
      </c>
      <c r="X810" s="12">
        <v>6.48</v>
      </c>
      <c r="Y810">
        <v>136</v>
      </c>
      <c r="Z81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1" spans="2:26" x14ac:dyDescent="0.35">
      <c r="B811">
        <f t="shared" si="208"/>
        <v>809</v>
      </c>
      <c r="C811" t="s">
        <v>83</v>
      </c>
      <c r="D811" t="s">
        <v>176</v>
      </c>
      <c r="E811">
        <f>IF(WEEKNUM(Combined[[#This Row],[Date]], 1) = 53, 1, WEEKNUM(Combined[[#This Row],[Date]], 2))</f>
        <v>34</v>
      </c>
      <c r="F811" t="str">
        <f t="shared" ref="F811:F815" si="221">TEXT(WEEKDAY(G811,1),"DDDD")</f>
        <v>Friday</v>
      </c>
      <c r="G811" s="41">
        <v>45156</v>
      </c>
      <c r="H811">
        <v>3</v>
      </c>
      <c r="I811" s="1">
        <v>30.31</v>
      </c>
      <c r="J811" s="2">
        <v>9.9999999999999992E-2</v>
      </c>
      <c r="K811" s="12">
        <f>Combined[[#This Row],[Time Spent]]*24</f>
        <v>2.4</v>
      </c>
      <c r="L811" s="12">
        <f>MROUND(Combined[[#This Row],[Time Spent 2]],0.25)</f>
        <v>2.5</v>
      </c>
      <c r="M811" s="2" t="s">
        <v>91</v>
      </c>
      <c r="N811" t="s">
        <v>174</v>
      </c>
      <c r="O811">
        <f>MATCH(Combined[[#This Row],[Primary Area]],KPIs!$C$4:$C$7,0)</f>
        <v>1</v>
      </c>
      <c r="Q811" s="40">
        <v>45950</v>
      </c>
      <c r="R811" s="40">
        <f t="shared" si="210"/>
        <v>45950</v>
      </c>
      <c r="S811" s="4" t="str">
        <f>TEXT(Mileage[[#This Row],[Date]],"dddd")</f>
        <v>Monday</v>
      </c>
      <c r="T811" s="4" t="s">
        <v>236</v>
      </c>
      <c r="U811" s="4">
        <v>57</v>
      </c>
      <c r="V811" t="str" cm="1">
        <f t="array" ref="V811">IFERROR(VLOOKUP(MODE(IF(Combined[Date]=Mileage[[#This Row],[Date]],Combined[Area '#])),KPIs!$B$4:$C$7,2,FALSE),VLOOKUP(Mileage[[#This Row],[Date]],Combined[[Date]:[Primary Area]],8,FALSE))</f>
        <v>Brunswick/Bath/Freeport</v>
      </c>
      <c r="W811" s="105">
        <v>0.75</v>
      </c>
      <c r="X811" s="12">
        <v>6.07</v>
      </c>
      <c r="Y811">
        <v>118</v>
      </c>
      <c r="Z81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2" spans="2:26" x14ac:dyDescent="0.35">
      <c r="B812">
        <f t="shared" si="208"/>
        <v>810</v>
      </c>
      <c r="C812" t="s">
        <v>86</v>
      </c>
      <c r="D812" t="s">
        <v>175</v>
      </c>
      <c r="E812">
        <f>IF(WEEKNUM(Combined[[#This Row],[Date]], 1) = 53, 1, WEEKNUM(Combined[[#This Row],[Date]], 2))</f>
        <v>34</v>
      </c>
      <c r="F812" t="str">
        <f t="shared" si="221"/>
        <v>Friday</v>
      </c>
      <c r="G812" s="41">
        <v>45156</v>
      </c>
      <c r="H812">
        <v>4</v>
      </c>
      <c r="I812" s="1">
        <v>33.369999999999997</v>
      </c>
      <c r="J812" s="2">
        <v>7.2222222222222229E-2</v>
      </c>
      <c r="K812" s="12">
        <f>Combined[[#This Row],[Time Spent]]*24</f>
        <v>1.7333333333333334</v>
      </c>
      <c r="L812" s="12">
        <f>MROUND(Combined[[#This Row],[Time Spent 2]],0.25)</f>
        <v>1.75</v>
      </c>
      <c r="M812" s="2" t="s">
        <v>91</v>
      </c>
      <c r="N812" t="s">
        <v>174</v>
      </c>
      <c r="O812">
        <f>MATCH(Combined[[#This Row],[Primary Area]],KPIs!$C$4:$C$7,0)</f>
        <v>1</v>
      </c>
      <c r="Q812" s="40">
        <v>45951</v>
      </c>
      <c r="R812" s="40">
        <f t="shared" si="210"/>
        <v>45951</v>
      </c>
      <c r="S812" s="4" t="str">
        <f>TEXT(Mileage[[#This Row],[Date]],"dddd")</f>
        <v>Tuesday</v>
      </c>
      <c r="T812" s="4" t="s">
        <v>230</v>
      </c>
      <c r="U812" s="4">
        <v>55</v>
      </c>
      <c r="V812" t="str" cm="1">
        <f t="array" ref="V812">IFERROR(VLOOKUP(MODE(IF(Combined[Date]=Mileage[[#This Row],[Date]],Combined[Area '#])),KPIs!$B$4:$C$7,2,FALSE),VLOOKUP(Mileage[[#This Row],[Date]],Combined[[Date]:[Primary Area]],8,FALSE))</f>
        <v>Brunswick/Bath/Freeport</v>
      </c>
      <c r="W812" s="105">
        <v>0.73611111111111116</v>
      </c>
      <c r="X812" s="12">
        <v>7.1</v>
      </c>
      <c r="Y812">
        <v>147</v>
      </c>
      <c r="Z81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3" spans="2:26" x14ac:dyDescent="0.35">
      <c r="B813">
        <f t="shared" si="208"/>
        <v>811</v>
      </c>
      <c r="C813" t="s">
        <v>86</v>
      </c>
      <c r="D813" t="s">
        <v>175</v>
      </c>
      <c r="E813">
        <f>IF(WEEKNUM(Combined[[#This Row],[Date]], 1) = 53, 1, WEEKNUM(Combined[[#This Row],[Date]], 2))</f>
        <v>34</v>
      </c>
      <c r="F813" t="str">
        <f t="shared" si="221"/>
        <v>Friday</v>
      </c>
      <c r="G813" s="41">
        <v>45156</v>
      </c>
      <c r="H813">
        <v>2</v>
      </c>
      <c r="I813" s="1">
        <v>14.85</v>
      </c>
      <c r="J813" s="2">
        <v>6.0416666666666667E-2</v>
      </c>
      <c r="K813" s="12">
        <f>Combined[[#This Row],[Time Spent]]*24</f>
        <v>1.45</v>
      </c>
      <c r="L813" s="12">
        <f>MROUND(Combined[[#This Row],[Time Spent 2]],0.25)</f>
        <v>1.5</v>
      </c>
      <c r="M813" s="2" t="s">
        <v>91</v>
      </c>
      <c r="N813" t="s">
        <v>174</v>
      </c>
      <c r="O813">
        <f>MATCH(Combined[[#This Row],[Primary Area]],KPIs!$C$4:$C$7,0)</f>
        <v>1</v>
      </c>
      <c r="Q813" s="40">
        <v>45955</v>
      </c>
      <c r="R813" s="40">
        <f t="shared" si="210"/>
        <v>45955</v>
      </c>
      <c r="S813" s="4" t="str">
        <f>TEXT(Mileage[[#This Row],[Date]],"dddd")</f>
        <v>Saturday</v>
      </c>
      <c r="T813" s="4" t="s">
        <v>231</v>
      </c>
      <c r="U813" s="4">
        <v>48</v>
      </c>
      <c r="V813" t="str" cm="1">
        <f t="array" ref="V813">IFERROR(VLOOKUP(MODE(IF(Combined[Date]=Mileage[[#This Row],[Date]],Combined[Area '#])),KPIs!$B$4:$C$7,2,FALSE),VLOOKUP(Mileage[[#This Row],[Date]],Combined[[Date]:[Primary Area]],8,FALSE))</f>
        <v>Lewiston</v>
      </c>
      <c r="W813" s="105">
        <v>0.88888888888888884</v>
      </c>
      <c r="X813" s="12">
        <v>4.67</v>
      </c>
      <c r="Y813">
        <v>86</v>
      </c>
      <c r="Z81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4" spans="2:26" x14ac:dyDescent="0.35">
      <c r="B814">
        <f t="shared" si="208"/>
        <v>812</v>
      </c>
      <c r="C814" t="s">
        <v>86</v>
      </c>
      <c r="D814" t="s">
        <v>175</v>
      </c>
      <c r="E814">
        <f>IF(WEEKNUM(Combined[[#This Row],[Date]], 1) = 53, 1, WEEKNUM(Combined[[#This Row],[Date]], 2))</f>
        <v>34</v>
      </c>
      <c r="F814" t="str">
        <f t="shared" si="221"/>
        <v>Friday</v>
      </c>
      <c r="G814" s="41">
        <v>45156</v>
      </c>
      <c r="H814">
        <v>3</v>
      </c>
      <c r="I814" s="1">
        <v>31.52</v>
      </c>
      <c r="J814" s="2">
        <v>7.2222222222222229E-2</v>
      </c>
      <c r="K814" s="12">
        <f>Combined[[#This Row],[Time Spent]]*24</f>
        <v>1.7333333333333334</v>
      </c>
      <c r="L814" s="12">
        <f>MROUND(Combined[[#This Row],[Time Spent 2]],0.25)</f>
        <v>1.75</v>
      </c>
      <c r="M814" s="2" t="s">
        <v>92</v>
      </c>
      <c r="N814" t="s">
        <v>174</v>
      </c>
      <c r="O814">
        <f>MATCH(Combined[[#This Row],[Primary Area]],KPIs!$C$4:$C$7,0)</f>
        <v>1</v>
      </c>
      <c r="Q814" s="40">
        <v>45957</v>
      </c>
      <c r="R814" s="40">
        <f t="shared" si="210"/>
        <v>45957</v>
      </c>
      <c r="S814" s="4" t="str">
        <f>TEXT(Mileage[[#This Row],[Date]],"dddd")</f>
        <v>Monday</v>
      </c>
      <c r="T814" s="4" t="s">
        <v>249</v>
      </c>
      <c r="U814" s="4">
        <v>45</v>
      </c>
      <c r="V814" t="str" cm="1">
        <f t="array" ref="V814">IFERROR(VLOOKUP(MODE(IF(Combined[Date]=Mileage[[#This Row],[Date]],Combined[Area '#])),KPIs!$B$4:$C$7,2,FALSE),VLOOKUP(Mileage[[#This Row],[Date]],Combined[[Date]:[Primary Area]],8,FALSE))</f>
        <v>Brunswick/Bath/Freeport</v>
      </c>
      <c r="W814" s="105">
        <v>0.75</v>
      </c>
      <c r="X814" s="12">
        <v>6.07</v>
      </c>
      <c r="Y814">
        <v>139</v>
      </c>
      <c r="Z81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5" spans="2:26" x14ac:dyDescent="0.35">
      <c r="B815">
        <f t="shared" si="208"/>
        <v>813</v>
      </c>
      <c r="C815" t="s">
        <v>86</v>
      </c>
      <c r="D815" t="s">
        <v>175</v>
      </c>
      <c r="E815">
        <f>IF(WEEKNUM(Combined[[#This Row],[Date]], 1) = 53, 1, WEEKNUM(Combined[[#This Row],[Date]], 2))</f>
        <v>34</v>
      </c>
      <c r="F815" t="str">
        <f t="shared" si="221"/>
        <v>Saturday</v>
      </c>
      <c r="G815" s="41">
        <v>45157</v>
      </c>
      <c r="H815">
        <v>10</v>
      </c>
      <c r="I815" s="1">
        <v>66.97</v>
      </c>
      <c r="J815" s="2">
        <v>0.1277777777777778</v>
      </c>
      <c r="K815" s="12">
        <f>Combined[[#This Row],[Time Spent]]*24</f>
        <v>3.0666666666666673</v>
      </c>
      <c r="L815" s="12">
        <f>MROUND(Combined[[#This Row],[Time Spent 2]],0.25)</f>
        <v>3</v>
      </c>
      <c r="M815" s="2" t="s">
        <v>91</v>
      </c>
      <c r="N815" t="s">
        <v>82</v>
      </c>
      <c r="O815">
        <f>MATCH(Combined[[#This Row],[Primary Area]],KPIs!$C$4:$C$7,0)</f>
        <v>3</v>
      </c>
      <c r="Q815" s="40">
        <v>45958</v>
      </c>
      <c r="R815" s="40">
        <f t="shared" si="210"/>
        <v>45958</v>
      </c>
      <c r="S815" s="4" t="str">
        <f>TEXT(Mileage[[#This Row],[Date]],"dddd")</f>
        <v>Tuesday</v>
      </c>
      <c r="T815" s="4" t="s">
        <v>230</v>
      </c>
      <c r="U815" s="4">
        <v>48</v>
      </c>
      <c r="V815" t="str" cm="1">
        <f t="array" ref="V815">IFERROR(VLOOKUP(MODE(IF(Combined[Date]=Mileage[[#This Row],[Date]],Combined[Area '#])),KPIs!$B$4:$C$7,2,FALSE),VLOOKUP(Mileage[[#This Row],[Date]],Combined[[Date]:[Primary Area]],8,FALSE))</f>
        <v>Brunswick/Bath/Freeport</v>
      </c>
      <c r="W815" s="105">
        <v>0.75694444444444442</v>
      </c>
      <c r="X815" s="12">
        <v>5.38</v>
      </c>
      <c r="Y815">
        <v>141</v>
      </c>
      <c r="Z81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6" spans="2:26" x14ac:dyDescent="0.35">
      <c r="B816">
        <f t="shared" si="208"/>
        <v>814</v>
      </c>
      <c r="C816" t="s">
        <v>86</v>
      </c>
      <c r="D816" t="s">
        <v>175</v>
      </c>
      <c r="E816">
        <f>IF(WEEKNUM(Combined[[#This Row],[Date]], 1) = 53, 1, WEEKNUM(Combined[[#This Row],[Date]], 2))</f>
        <v>34</v>
      </c>
      <c r="F816" t="str">
        <f t="shared" ref="F816:F817" si="222">TEXT(WEEKDAY(G816,1),"DDDD")</f>
        <v>Saturday</v>
      </c>
      <c r="G816" s="41">
        <v>45157</v>
      </c>
      <c r="H816">
        <v>5</v>
      </c>
      <c r="I816" s="1">
        <v>37.28</v>
      </c>
      <c r="J816" s="2">
        <v>9.2361111111111116E-2</v>
      </c>
      <c r="K816" s="12">
        <f>Combined[[#This Row],[Time Spent]]*24</f>
        <v>2.2166666666666668</v>
      </c>
      <c r="L816" s="12">
        <f>MROUND(Combined[[#This Row],[Time Spent 2]],0.25)</f>
        <v>2.25</v>
      </c>
      <c r="M816" s="2" t="s">
        <v>91</v>
      </c>
      <c r="N816" t="s">
        <v>82</v>
      </c>
      <c r="O816">
        <f>MATCH(Combined[[#This Row],[Primary Area]],KPIs!$C$4:$C$7,0)</f>
        <v>3</v>
      </c>
      <c r="Q816" s="40">
        <v>45959</v>
      </c>
      <c r="R816" s="40">
        <f t="shared" si="210"/>
        <v>45959</v>
      </c>
      <c r="S816" s="4" t="str">
        <f>TEXT(Mileage[[#This Row],[Date]],"dddd")</f>
        <v>Wednesday</v>
      </c>
      <c r="T816" s="4" t="s">
        <v>231</v>
      </c>
      <c r="U816" s="4">
        <v>43</v>
      </c>
      <c r="V816" t="str" cm="1">
        <f t="array" ref="V816">IFERROR(VLOOKUP(MODE(IF(Combined[Date]=Mileage[[#This Row],[Date]],Combined[Area '#])),KPIs!$B$4:$C$7,2,FALSE),VLOOKUP(Mileage[[#This Row],[Date]],Combined[[Date]:[Primary Area]],8,FALSE))</f>
        <v>Brunswick/Bath/Freeport</v>
      </c>
      <c r="W816" s="105">
        <v>0.75</v>
      </c>
      <c r="X816" s="12">
        <v>5.92</v>
      </c>
      <c r="Y816">
        <v>165</v>
      </c>
      <c r="Z81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17" spans="2:26" x14ac:dyDescent="0.35">
      <c r="B817">
        <f t="shared" si="208"/>
        <v>815</v>
      </c>
      <c r="C817" t="s">
        <v>86</v>
      </c>
      <c r="D817" t="s">
        <v>175</v>
      </c>
      <c r="E817">
        <f>IF(WEEKNUM(Combined[[#This Row],[Date]], 1) = 53, 1, WEEKNUM(Combined[[#This Row],[Date]], 2))</f>
        <v>34</v>
      </c>
      <c r="F817" t="str">
        <f t="shared" si="222"/>
        <v>Sunday</v>
      </c>
      <c r="G817" s="41">
        <v>45158</v>
      </c>
      <c r="H817">
        <v>2</v>
      </c>
      <c r="I817" s="1">
        <v>20.39</v>
      </c>
      <c r="J817" s="2">
        <v>5.8333333333333327E-2</v>
      </c>
      <c r="K817" s="12">
        <f>Combined[[#This Row],[Time Spent]]*24</f>
        <v>1.4</v>
      </c>
      <c r="L817" s="12">
        <f>MROUND(Combined[[#This Row],[Time Spent 2]],0.25)</f>
        <v>1.5</v>
      </c>
      <c r="M817" s="2" t="s">
        <v>91</v>
      </c>
      <c r="N817" t="s">
        <v>82</v>
      </c>
      <c r="O817">
        <f>MATCH(Combined[[#This Row],[Primary Area]],KPIs!$C$4:$C$7,0)</f>
        <v>3</v>
      </c>
      <c r="Q817" s="40">
        <v>45962</v>
      </c>
      <c r="R817" s="40">
        <f t="shared" si="210"/>
        <v>45962</v>
      </c>
      <c r="S817" s="4" t="str">
        <f>TEXT(Mileage[[#This Row],[Date]],"dddd")</f>
        <v>Saturday</v>
      </c>
      <c r="T817" s="4" t="s">
        <v>230</v>
      </c>
      <c r="U817" s="4">
        <v>43</v>
      </c>
      <c r="V817" t="str" cm="1">
        <f t="array" ref="V817">IFERROR(VLOOKUP(MODE(IF(Combined[Date]=Mileage[[#This Row],[Date]],Combined[Area '#])),KPIs!$B$4:$C$7,2,FALSE),VLOOKUP(Mileage[[#This Row],[Date]],Combined[[Date]:[Primary Area]],8,FALSE))</f>
        <v>Portland</v>
      </c>
      <c r="W817" s="105">
        <v>0.78819444444444442</v>
      </c>
      <c r="X817" s="12">
        <v>5.55</v>
      </c>
      <c r="Y817">
        <v>182</v>
      </c>
      <c r="Z81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18" spans="2:26" x14ac:dyDescent="0.35">
      <c r="B818">
        <f t="shared" si="208"/>
        <v>816</v>
      </c>
      <c r="C818" t="s">
        <v>86</v>
      </c>
      <c r="D818" t="s">
        <v>175</v>
      </c>
      <c r="E818">
        <f>IF(WEEKNUM(Combined[[#This Row],[Date]], 1) = 53, 1, WEEKNUM(Combined[[#This Row],[Date]], 2))</f>
        <v>35</v>
      </c>
      <c r="F818" t="str">
        <f t="shared" ref="F818:F821" si="223">TEXT(WEEKDAY(G818,1),"DDDD")</f>
        <v>Wednesday</v>
      </c>
      <c r="G818" s="41">
        <v>45161</v>
      </c>
      <c r="H818">
        <v>8</v>
      </c>
      <c r="I818" s="1">
        <v>82.61</v>
      </c>
      <c r="J818" s="2">
        <v>0.15208333333333332</v>
      </c>
      <c r="K818" s="12">
        <f>Combined[[#This Row],[Time Spent]]*24</f>
        <v>3.6499999999999995</v>
      </c>
      <c r="L818" s="12">
        <f>MROUND(Combined[[#This Row],[Time Spent 2]],0.25)</f>
        <v>3.75</v>
      </c>
      <c r="M818" s="2" t="s">
        <v>91</v>
      </c>
      <c r="N818" t="s">
        <v>80</v>
      </c>
      <c r="O818">
        <f>MATCH(Combined[[#This Row],[Primary Area]],KPIs!$C$4:$C$7,0)</f>
        <v>2</v>
      </c>
      <c r="Q818" s="40">
        <v>45963</v>
      </c>
      <c r="R818" s="40">
        <f t="shared" si="210"/>
        <v>45963</v>
      </c>
      <c r="S818" s="4" t="str">
        <f>TEXT(Mileage[[#This Row],[Date]],"dddd")</f>
        <v>Sunday</v>
      </c>
      <c r="T818" s="4" t="s">
        <v>230</v>
      </c>
      <c r="U818" s="4">
        <v>37</v>
      </c>
      <c r="V818" t="str" cm="1">
        <f t="array" ref="V818">IFERROR(VLOOKUP(MODE(IF(Combined[Date]=Mileage[[#This Row],[Date]],Combined[Area '#])),KPIs!$B$4:$C$7,2,FALSE),VLOOKUP(Mileage[[#This Row],[Date]],Combined[[Date]:[Primary Area]],8,FALSE))</f>
        <v>Lewiston</v>
      </c>
      <c r="W818" s="105">
        <v>0.62847222222222221</v>
      </c>
      <c r="X818" s="12">
        <v>1.1000000000000001</v>
      </c>
      <c r="Y818">
        <v>16</v>
      </c>
      <c r="Z81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19" spans="2:26" x14ac:dyDescent="0.35">
      <c r="B819">
        <f t="shared" si="208"/>
        <v>817</v>
      </c>
      <c r="C819" t="s">
        <v>83</v>
      </c>
      <c r="D819" t="s">
        <v>176</v>
      </c>
      <c r="E819">
        <f>IF(WEEKNUM(Combined[[#This Row],[Date]], 1) = 53, 1, WEEKNUM(Combined[[#This Row],[Date]], 2))</f>
        <v>35</v>
      </c>
      <c r="F819" t="str">
        <f t="shared" si="223"/>
        <v>Thursday</v>
      </c>
      <c r="G819" s="41">
        <v>45162</v>
      </c>
      <c r="H819">
        <v>3</v>
      </c>
      <c r="I819" s="1">
        <v>25.68</v>
      </c>
      <c r="J819" s="2">
        <v>9.5138888888888884E-2</v>
      </c>
      <c r="K819" s="12">
        <f>Combined[[#This Row],[Time Spent]]*24</f>
        <v>2.2833333333333332</v>
      </c>
      <c r="L819" s="12">
        <f>MROUND(Combined[[#This Row],[Time Spent 2]],0.25)</f>
        <v>2.25</v>
      </c>
      <c r="M819" s="2" t="s">
        <v>91</v>
      </c>
      <c r="N819" t="s">
        <v>85</v>
      </c>
      <c r="O819">
        <f>MATCH(Combined[[#This Row],[Primary Area]],KPIs!$C$4:$C$7,0)</f>
        <v>4</v>
      </c>
      <c r="Q819" s="40">
        <v>45964</v>
      </c>
      <c r="R819" s="40">
        <f t="shared" si="210"/>
        <v>45964</v>
      </c>
      <c r="S819" s="4" t="str">
        <f>TEXT(Mileage[[#This Row],[Date]],"dddd")</f>
        <v>Monday</v>
      </c>
      <c r="T819" s="4" t="s">
        <v>325</v>
      </c>
      <c r="U819" s="4">
        <v>52</v>
      </c>
      <c r="V819" t="str" cm="1">
        <f t="array" ref="V819">IFERROR(VLOOKUP(MODE(IF(Combined[Date]=Mileage[[#This Row],[Date]],Combined[Area '#])),KPIs!$B$4:$C$7,2,FALSE),VLOOKUP(Mileage[[#This Row],[Date]],Combined[[Date]:[Primary Area]],8,FALSE))</f>
        <v>Brunswick/Bath/Freeport</v>
      </c>
      <c r="W819" s="105">
        <v>0.78819444444444442</v>
      </c>
      <c r="X819" s="12">
        <v>2.35</v>
      </c>
      <c r="Y819">
        <v>46</v>
      </c>
      <c r="Z81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0" spans="2:26" x14ac:dyDescent="0.35">
      <c r="B820">
        <f t="shared" si="208"/>
        <v>818</v>
      </c>
      <c r="C820" t="s">
        <v>86</v>
      </c>
      <c r="D820" t="s">
        <v>176</v>
      </c>
      <c r="E820">
        <f>IF(WEEKNUM(Combined[[#This Row],[Date]], 1) = 53, 1, WEEKNUM(Combined[[#This Row],[Date]], 2))</f>
        <v>35</v>
      </c>
      <c r="F820" t="str">
        <f t="shared" si="223"/>
        <v>Thursday</v>
      </c>
      <c r="G820" s="41">
        <v>45162</v>
      </c>
      <c r="H820">
        <v>1</v>
      </c>
      <c r="I820" s="1">
        <v>10</v>
      </c>
      <c r="J820" s="2">
        <v>4.2361111111111106E-2</v>
      </c>
      <c r="K820" s="12">
        <f>Combined[[#This Row],[Time Spent]]*24</f>
        <v>1.0166666666666666</v>
      </c>
      <c r="L820" s="12">
        <f>MROUND(Combined[[#This Row],[Time Spent 2]],0.25)</f>
        <v>1</v>
      </c>
      <c r="M820" s="2" t="s">
        <v>91</v>
      </c>
      <c r="N820" t="s">
        <v>85</v>
      </c>
      <c r="O820">
        <f>MATCH(Combined[[#This Row],[Primary Area]],KPIs!$C$4:$C$7,0)</f>
        <v>4</v>
      </c>
      <c r="Q820" s="40">
        <v>45965</v>
      </c>
      <c r="R820" s="40">
        <f t="shared" si="210"/>
        <v>45965</v>
      </c>
      <c r="S820" s="4" t="str">
        <f>TEXT(Mileage[[#This Row],[Date]],"dddd")</f>
        <v>Tuesday</v>
      </c>
      <c r="T820" s="4" t="s">
        <v>230</v>
      </c>
      <c r="U820" s="4">
        <v>45</v>
      </c>
      <c r="V820" t="str" cm="1">
        <f t="array" ref="V820">IFERROR(VLOOKUP(MODE(IF(Combined[Date]=Mileage[[#This Row],[Date]],Combined[Area '#])),KPIs!$B$4:$C$7,2,FALSE),VLOOKUP(Mileage[[#This Row],[Date]],Combined[[Date]:[Primary Area]],8,FALSE))</f>
        <v>Brunswick/Bath/Freeport</v>
      </c>
      <c r="W820" s="105">
        <v>0.76041666666666663</v>
      </c>
      <c r="X820" s="12">
        <v>5.25</v>
      </c>
      <c r="Y820">
        <v>111</v>
      </c>
      <c r="Z82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1" spans="2:26" x14ac:dyDescent="0.35">
      <c r="B821">
        <f t="shared" si="208"/>
        <v>819</v>
      </c>
      <c r="C821" t="s">
        <v>86</v>
      </c>
      <c r="D821" t="s">
        <v>176</v>
      </c>
      <c r="E821">
        <f>IF(WEEKNUM(Combined[[#This Row],[Date]], 1) = 53, 1, WEEKNUM(Combined[[#This Row],[Date]], 2))</f>
        <v>35</v>
      </c>
      <c r="F821" t="str">
        <f t="shared" si="223"/>
        <v>Thursday</v>
      </c>
      <c r="G821" s="41">
        <v>45162</v>
      </c>
      <c r="H821">
        <v>2</v>
      </c>
      <c r="I821" s="1">
        <v>20</v>
      </c>
      <c r="J821" s="2">
        <v>6.5972222222222224E-2</v>
      </c>
      <c r="K821" s="12">
        <f>Combined[[#This Row],[Time Spent]]*24</f>
        <v>1.5833333333333335</v>
      </c>
      <c r="L821" s="12">
        <f>MROUND(Combined[[#This Row],[Time Spent 2]],0.25)</f>
        <v>1.5</v>
      </c>
      <c r="M821" s="2" t="s">
        <v>91</v>
      </c>
      <c r="N821" t="s">
        <v>85</v>
      </c>
      <c r="O821">
        <f>MATCH(Combined[[#This Row],[Primary Area]],KPIs!$C$4:$C$7,0)</f>
        <v>4</v>
      </c>
      <c r="Q821" s="40">
        <v>45968</v>
      </c>
      <c r="R821" s="40">
        <f t="shared" si="210"/>
        <v>45968</v>
      </c>
      <c r="S821" s="4" t="str">
        <f>TEXT(Mileage[[#This Row],[Date]],"dddd")</f>
        <v>Friday</v>
      </c>
      <c r="T821" s="4" t="s">
        <v>281</v>
      </c>
      <c r="U821" s="4">
        <v>43</v>
      </c>
      <c r="V821" t="str" cm="1">
        <f t="array" ref="V821">IFERROR(VLOOKUP(MODE(IF(Combined[Date]=Mileage[[#This Row],[Date]],Combined[Area '#])),KPIs!$B$4:$C$7,2,FALSE),VLOOKUP(Mileage[[#This Row],[Date]],Combined[[Date]:[Primary Area]],8,FALSE))</f>
        <v>Brunswick/Bath/Freeport</v>
      </c>
      <c r="W821" s="105">
        <v>0.58680555555555558</v>
      </c>
      <c r="X821" s="12">
        <v>2.1800000000000002</v>
      </c>
      <c r="Y821">
        <v>66</v>
      </c>
      <c r="Z82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2" spans="2:26" x14ac:dyDescent="0.35">
      <c r="B822">
        <f t="shared" si="208"/>
        <v>820</v>
      </c>
      <c r="C822" t="s">
        <v>83</v>
      </c>
      <c r="D822" t="s">
        <v>176</v>
      </c>
      <c r="E822">
        <f>IF(WEEKNUM(Combined[[#This Row],[Date]], 1) = 53, 1, WEEKNUM(Combined[[#This Row],[Date]], 2))</f>
        <v>35</v>
      </c>
      <c r="F822" t="str">
        <f t="shared" ref="F822:F824" si="224">TEXT(WEEKDAY(G822,1),"DDDD")</f>
        <v>Friday</v>
      </c>
      <c r="G822" s="41">
        <v>45163</v>
      </c>
      <c r="H822">
        <v>4</v>
      </c>
      <c r="I822" s="1">
        <v>62.74</v>
      </c>
      <c r="J822" s="2">
        <v>0.14583333333333334</v>
      </c>
      <c r="K822" s="12">
        <f>Combined[[#This Row],[Time Spent]]*24</f>
        <v>3.5</v>
      </c>
      <c r="L822" s="12">
        <f>MROUND(Combined[[#This Row],[Time Spent 2]],0.25)</f>
        <v>3.5</v>
      </c>
      <c r="M822" s="2" t="s">
        <v>91</v>
      </c>
      <c r="N822" t="s">
        <v>80</v>
      </c>
      <c r="O822">
        <f>MATCH(Combined[[#This Row],[Primary Area]],KPIs!$C$4:$C$7,0)</f>
        <v>2</v>
      </c>
      <c r="Q822" s="40">
        <v>45969</v>
      </c>
      <c r="R822" s="40">
        <f t="shared" si="210"/>
        <v>45969</v>
      </c>
      <c r="S822" s="4" t="str">
        <f>TEXT(Mileage[[#This Row],[Date]],"dddd")</f>
        <v>Saturday</v>
      </c>
      <c r="T822" s="4" t="s">
        <v>230</v>
      </c>
      <c r="U822" s="4">
        <v>46</v>
      </c>
      <c r="V822" t="str" cm="1">
        <f t="array" ref="V822">IFERROR(VLOOKUP(MODE(IF(Combined[Date]=Mileage[[#This Row],[Date]],Combined[Area '#])),KPIs!$B$4:$C$7,2,FALSE),VLOOKUP(Mileage[[#This Row],[Date]],Combined[[Date]:[Primary Area]],8,FALSE))</f>
        <v>Lewiston</v>
      </c>
      <c r="W822" s="105">
        <v>0.77083333333333337</v>
      </c>
      <c r="X822" s="12">
        <v>6.3330000000000002</v>
      </c>
      <c r="Y822">
        <v>101</v>
      </c>
      <c r="Z82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3" spans="2:26" x14ac:dyDescent="0.35">
      <c r="B823">
        <f t="shared" si="208"/>
        <v>821</v>
      </c>
      <c r="C823" t="s">
        <v>86</v>
      </c>
      <c r="D823" t="s">
        <v>176</v>
      </c>
      <c r="E823">
        <f>IF(WEEKNUM(Combined[[#This Row],[Date]], 1) = 53, 1, WEEKNUM(Combined[[#This Row],[Date]], 2))</f>
        <v>35</v>
      </c>
      <c r="F823" t="str">
        <f t="shared" si="224"/>
        <v>Friday</v>
      </c>
      <c r="G823" s="41">
        <v>45163</v>
      </c>
      <c r="H823">
        <v>5</v>
      </c>
      <c r="I823" s="1">
        <v>70.25</v>
      </c>
      <c r="J823" s="2">
        <v>0.11319444444444444</v>
      </c>
      <c r="K823" s="12">
        <f>Combined[[#This Row],[Time Spent]]*24</f>
        <v>2.7166666666666668</v>
      </c>
      <c r="L823" s="12">
        <f>MROUND(Combined[[#This Row],[Time Spent 2]],0.25)</f>
        <v>2.75</v>
      </c>
      <c r="M823" s="2" t="s">
        <v>91</v>
      </c>
      <c r="N823" t="s">
        <v>80</v>
      </c>
      <c r="O823">
        <f>MATCH(Combined[[#This Row],[Primary Area]],KPIs!$C$4:$C$7,0)</f>
        <v>2</v>
      </c>
      <c r="Q823" s="40">
        <v>45971</v>
      </c>
      <c r="R823" s="40">
        <f t="shared" si="210"/>
        <v>45971</v>
      </c>
      <c r="S823" s="4" t="str">
        <f>TEXT(Mileage[[#This Row],[Date]],"dddd")</f>
        <v>Monday</v>
      </c>
      <c r="T823" s="4" t="s">
        <v>276</v>
      </c>
      <c r="U823" s="4">
        <v>46</v>
      </c>
      <c r="V823" t="str" cm="1">
        <f t="array" ref="V823">IFERROR(VLOOKUP(MODE(IF(Combined[Date]=Mileage[[#This Row],[Date]],Combined[Area '#])),KPIs!$B$4:$C$7,2,FALSE),VLOOKUP(Mileage[[#This Row],[Date]],Combined[[Date]:[Primary Area]],8,FALSE))</f>
        <v>Brunswick/Bath/Freeport</v>
      </c>
      <c r="W823" s="105">
        <v>0.66666666666666663</v>
      </c>
      <c r="X823" s="12">
        <v>2.57</v>
      </c>
      <c r="Y823">
        <v>62</v>
      </c>
      <c r="Z82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24" spans="2:26" x14ac:dyDescent="0.35">
      <c r="B824">
        <f t="shared" si="208"/>
        <v>822</v>
      </c>
      <c r="C824" t="s">
        <v>86</v>
      </c>
      <c r="D824" t="s">
        <v>176</v>
      </c>
      <c r="E824">
        <f>IF(WEEKNUM(Combined[[#This Row],[Date]], 1) = 53, 1, WEEKNUM(Combined[[#This Row],[Date]], 2))</f>
        <v>35</v>
      </c>
      <c r="F824" t="str">
        <f t="shared" si="224"/>
        <v>Friday</v>
      </c>
      <c r="G824" s="41">
        <v>45163</v>
      </c>
      <c r="H824">
        <v>1</v>
      </c>
      <c r="I824" s="1">
        <v>12</v>
      </c>
      <c r="J824" s="2">
        <v>6.5277777777777782E-2</v>
      </c>
      <c r="K824" s="12">
        <f>Combined[[#This Row],[Time Spent]]*24</f>
        <v>1.5666666666666669</v>
      </c>
      <c r="L824" s="12">
        <f>MROUND(Combined[[#This Row],[Time Spent 2]],0.25)</f>
        <v>1.5</v>
      </c>
      <c r="M824" s="2" t="s">
        <v>92</v>
      </c>
      <c r="N824" t="s">
        <v>80</v>
      </c>
      <c r="O824">
        <f>MATCH(Combined[[#This Row],[Primary Area]],KPIs!$C$4:$C$7,0)</f>
        <v>2</v>
      </c>
      <c r="Q824" s="40">
        <v>45974</v>
      </c>
      <c r="R824" s="40">
        <f t="shared" si="210"/>
        <v>45974</v>
      </c>
      <c r="S824" s="4" t="str">
        <f>TEXT(Mileage[[#This Row],[Date]],"dddd")</f>
        <v>Thursday</v>
      </c>
      <c r="T824" s="4" t="s">
        <v>285</v>
      </c>
      <c r="U824" s="4">
        <v>36</v>
      </c>
      <c r="V824" t="str" cm="1">
        <f t="array" ref="V824">IFERROR(VLOOKUP(MODE(IF(Combined[Date]=Mileage[[#This Row],[Date]],Combined[Area '#])),KPIs!$B$4:$C$7,2,FALSE),VLOOKUP(Mileage[[#This Row],[Date]],Combined[[Date]:[Primary Area]],8,FALSE))</f>
        <v>Brunswick/Bath/Freeport</v>
      </c>
      <c r="W824" s="105">
        <v>0.75694444444444442</v>
      </c>
      <c r="X824" s="12">
        <v>4.32</v>
      </c>
      <c r="Y824">
        <v>94</v>
      </c>
      <c r="Z82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5" spans="2:26" x14ac:dyDescent="0.35">
      <c r="B825">
        <f t="shared" si="208"/>
        <v>823</v>
      </c>
      <c r="C825" t="s">
        <v>86</v>
      </c>
      <c r="D825" t="s">
        <v>176</v>
      </c>
      <c r="E825">
        <f>IF(WEEKNUM(Combined[[#This Row],[Date]], 1) = 53, 1, WEEKNUM(Combined[[#This Row],[Date]], 2))</f>
        <v>35</v>
      </c>
      <c r="F825" t="str">
        <f t="shared" ref="F825:F826" si="225">TEXT(WEEKDAY(G825,1),"DDDD")</f>
        <v>Friday</v>
      </c>
      <c r="G825" s="41">
        <v>45163</v>
      </c>
      <c r="H825">
        <v>2</v>
      </c>
      <c r="I825" s="1">
        <v>16.5</v>
      </c>
      <c r="J825" s="2">
        <v>3.7499999999999999E-2</v>
      </c>
      <c r="K825" s="12">
        <f>Combined[[#This Row],[Time Spent]]*24</f>
        <v>0.89999999999999991</v>
      </c>
      <c r="L825" s="12">
        <f>MROUND(Combined[[#This Row],[Time Spent 2]],0.25)</f>
        <v>1</v>
      </c>
      <c r="M825" s="2" t="s">
        <v>92</v>
      </c>
      <c r="N825" t="s">
        <v>80</v>
      </c>
      <c r="O825">
        <f>MATCH(Combined[[#This Row],[Primary Area]],KPIs!$C$4:$C$7,0)</f>
        <v>2</v>
      </c>
      <c r="Q825" s="40">
        <v>45976</v>
      </c>
      <c r="R825" s="40">
        <f t="shared" si="210"/>
        <v>45976</v>
      </c>
      <c r="S825" s="4" t="str">
        <f>TEXT(Mileage[[#This Row],[Date]],"dddd")</f>
        <v>Saturday</v>
      </c>
      <c r="T825" s="4" t="s">
        <v>230</v>
      </c>
      <c r="U825" s="4">
        <v>32</v>
      </c>
      <c r="V825" t="str" cm="1">
        <f t="array" ref="V825">IFERROR(VLOOKUP(MODE(IF(Combined[Date]=Mileage[[#This Row],[Date]],Combined[Area '#])),KPIs!$B$4:$C$7,2,FALSE),VLOOKUP(Mileage[[#This Row],[Date]],Combined[[Date]:[Primary Area]],8,FALSE))</f>
        <v>Lewiston</v>
      </c>
      <c r="W825" s="105">
        <v>0.90972222222222221</v>
      </c>
      <c r="X825" s="12">
        <v>2.33</v>
      </c>
      <c r="Y825">
        <v>49</v>
      </c>
      <c r="Z825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6" spans="2:26" x14ac:dyDescent="0.35">
      <c r="B826">
        <f t="shared" si="208"/>
        <v>824</v>
      </c>
      <c r="C826" t="s">
        <v>86</v>
      </c>
      <c r="D826" t="s">
        <v>176</v>
      </c>
      <c r="E826">
        <f>IF(WEEKNUM(Combined[[#This Row],[Date]], 1) = 53, 1, WEEKNUM(Combined[[#This Row],[Date]], 2))</f>
        <v>35</v>
      </c>
      <c r="F826" t="str">
        <f t="shared" si="225"/>
        <v>Friday</v>
      </c>
      <c r="G826" s="41">
        <v>45163</v>
      </c>
      <c r="H826">
        <v>1</v>
      </c>
      <c r="I826" s="1">
        <f>8.5+3.75</f>
        <v>12.25</v>
      </c>
      <c r="J826" s="2">
        <v>3.9583333333333331E-2</v>
      </c>
      <c r="K826" s="12">
        <f>Combined[[#This Row],[Time Spent]]*24</f>
        <v>0.95</v>
      </c>
      <c r="L826" s="12">
        <f>MROUND(Combined[[#This Row],[Time Spent 2]],0.25)</f>
        <v>1</v>
      </c>
      <c r="M826" s="2" t="s">
        <v>92</v>
      </c>
      <c r="N826" t="s">
        <v>80</v>
      </c>
      <c r="O826">
        <f>MATCH(Combined[[#This Row],[Primary Area]],KPIs!$C$4:$C$7,0)</f>
        <v>2</v>
      </c>
      <c r="Q826" s="40">
        <v>45977</v>
      </c>
      <c r="R826" s="40">
        <f t="shared" si="210"/>
        <v>45977</v>
      </c>
      <c r="S826" s="4" t="str">
        <f>TEXT(Mileage[[#This Row],[Date]],"dddd")</f>
        <v>Sunday</v>
      </c>
      <c r="T826" s="4" t="s">
        <v>231</v>
      </c>
      <c r="U826" s="4">
        <v>36</v>
      </c>
      <c r="V826" t="str" cm="1">
        <f t="array" ref="V826">IFERROR(VLOOKUP(MODE(IF(Combined[Date]=Mileage[[#This Row],[Date]],Combined[Area '#])),KPIs!$B$4:$C$7,2,FALSE),VLOOKUP(Mileage[[#This Row],[Date]],Combined[[Date]:[Primary Area]],8,FALSE))</f>
        <v>Portland</v>
      </c>
      <c r="W826" s="105">
        <v>0.6875</v>
      </c>
      <c r="X826" s="12">
        <v>6</v>
      </c>
      <c r="Y826">
        <v>124</v>
      </c>
      <c r="Z82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27" spans="2:26" x14ac:dyDescent="0.35">
      <c r="B827">
        <f t="shared" si="208"/>
        <v>825</v>
      </c>
      <c r="C827" t="s">
        <v>83</v>
      </c>
      <c r="D827" t="s">
        <v>176</v>
      </c>
      <c r="E827">
        <f>IF(WEEKNUM(Combined[[#This Row],[Date]], 1) = 53, 1, WEEKNUM(Combined[[#This Row],[Date]], 2))</f>
        <v>35</v>
      </c>
      <c r="F827" t="str">
        <f t="shared" ref="F827:F831" si="226">TEXT(WEEKDAY(G827,1),"DDDD")</f>
        <v>Saturday</v>
      </c>
      <c r="G827" s="41">
        <v>45164</v>
      </c>
      <c r="H827">
        <v>10</v>
      </c>
      <c r="I827" s="1">
        <v>91.95</v>
      </c>
      <c r="J827" s="2">
        <v>0.24166666666666667</v>
      </c>
      <c r="K827" s="12">
        <f>Combined[[#This Row],[Time Spent]]*24</f>
        <v>5.8</v>
      </c>
      <c r="L827" s="12">
        <f>MROUND(Combined[[#This Row],[Time Spent 2]],0.25)</f>
        <v>5.75</v>
      </c>
      <c r="M827" s="2" t="s">
        <v>91</v>
      </c>
      <c r="N827" t="s">
        <v>85</v>
      </c>
      <c r="O827">
        <f>MATCH(Combined[[#This Row],[Primary Area]],KPIs!$C$4:$C$7,0)</f>
        <v>4</v>
      </c>
      <c r="Q827" s="40">
        <v>45978</v>
      </c>
      <c r="R827" s="40">
        <f t="shared" si="210"/>
        <v>45978</v>
      </c>
      <c r="S827" s="4" t="str">
        <f>TEXT(Mileage[[#This Row],[Date]],"dddd")</f>
        <v>Monday</v>
      </c>
      <c r="T827" s="4" t="s">
        <v>231</v>
      </c>
      <c r="U827" s="4">
        <v>34</v>
      </c>
      <c r="V827" t="str" cm="1">
        <f t="array" ref="V827">IFERROR(VLOOKUP(MODE(IF(Combined[Date]=Mileage[[#This Row],[Date]],Combined[Area '#])),KPIs!$B$4:$C$7,2,FALSE),VLOOKUP(Mileage[[#This Row],[Date]],Combined[[Date]:[Primary Area]],8,FALSE))</f>
        <v>Brunswick/Bath/Freeport</v>
      </c>
      <c r="W827" s="105">
        <v>0.76388888888888884</v>
      </c>
      <c r="X827" s="12">
        <v>3.65</v>
      </c>
      <c r="Y827">
        <v>94</v>
      </c>
      <c r="Z82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28" spans="2:26" x14ac:dyDescent="0.35">
      <c r="B828">
        <f t="shared" si="208"/>
        <v>826</v>
      </c>
      <c r="C828" t="s">
        <v>86</v>
      </c>
      <c r="D828" t="s">
        <v>175</v>
      </c>
      <c r="E828">
        <f>IF(WEEKNUM(Combined[[#This Row],[Date]], 1) = 53, 1, WEEKNUM(Combined[[#This Row],[Date]], 2))</f>
        <v>35</v>
      </c>
      <c r="F828" t="str">
        <f t="shared" si="226"/>
        <v>Saturday</v>
      </c>
      <c r="G828" s="41">
        <v>45164</v>
      </c>
      <c r="H828">
        <v>2</v>
      </c>
      <c r="I828" s="1">
        <v>19.149999999999999</v>
      </c>
      <c r="J828" s="2">
        <v>4.6527777777777779E-2</v>
      </c>
      <c r="K828" s="12">
        <f>Combined[[#This Row],[Time Spent]]*24</f>
        <v>1.1166666666666667</v>
      </c>
      <c r="L828" s="12">
        <f>MROUND(Combined[[#This Row],[Time Spent 2]],0.25)</f>
        <v>1</v>
      </c>
      <c r="M828" s="2" t="s">
        <v>91</v>
      </c>
      <c r="N828" t="s">
        <v>85</v>
      </c>
      <c r="O828">
        <f>MATCH(Combined[[#This Row],[Primary Area]],KPIs!$C$4:$C$7,0)</f>
        <v>4</v>
      </c>
      <c r="Q828" s="40">
        <v>45979</v>
      </c>
      <c r="R828" s="40">
        <f t="shared" si="210"/>
        <v>45979</v>
      </c>
      <c r="S828" s="4" t="str">
        <f>TEXT(Mileage[[#This Row],[Date]],"dddd")</f>
        <v>Tuesday</v>
      </c>
      <c r="T828" s="4" t="s">
        <v>230</v>
      </c>
      <c r="U828" s="4">
        <v>36</v>
      </c>
      <c r="V828" t="str" cm="1">
        <f t="array" ref="V828">IFERROR(VLOOKUP(MODE(IF(Combined[Date]=Mileage[[#This Row],[Date]],Combined[Area '#])),KPIs!$B$4:$C$7,2,FALSE),VLOOKUP(Mileage[[#This Row],[Date]],Combined[[Date]:[Primary Area]],8,FALSE))</f>
        <v>Brunswick/Bath/Freeport</v>
      </c>
      <c r="W828" s="105">
        <v>0.79166666666666663</v>
      </c>
      <c r="X828" s="12">
        <v>2.57</v>
      </c>
      <c r="Y828">
        <v>50</v>
      </c>
      <c r="Z82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29" spans="2:26" x14ac:dyDescent="0.35">
      <c r="B829">
        <f t="shared" si="208"/>
        <v>827</v>
      </c>
      <c r="C829" t="s">
        <v>86</v>
      </c>
      <c r="D829" t="s">
        <v>175</v>
      </c>
      <c r="E829">
        <f>IF(WEEKNUM(Combined[[#This Row],[Date]], 1) = 53, 1, WEEKNUM(Combined[[#This Row],[Date]], 2))</f>
        <v>35</v>
      </c>
      <c r="F829" t="str">
        <f t="shared" si="226"/>
        <v>Saturday</v>
      </c>
      <c r="G829" s="41">
        <v>45164</v>
      </c>
      <c r="H829">
        <v>1</v>
      </c>
      <c r="I829" s="1">
        <v>5.9</v>
      </c>
      <c r="J829" s="2">
        <v>3.9583333333333331E-2</v>
      </c>
      <c r="K829" s="12">
        <f>Combined[[#This Row],[Time Spent]]*24</f>
        <v>0.95</v>
      </c>
      <c r="L829" s="12">
        <f>MROUND(Combined[[#This Row],[Time Spent 2]],0.25)</f>
        <v>1</v>
      </c>
      <c r="M829" s="2" t="s">
        <v>92</v>
      </c>
      <c r="N829" t="s">
        <v>85</v>
      </c>
      <c r="O829">
        <f>MATCH(Combined[[#This Row],[Primary Area]],KPIs!$C$4:$C$7,0)</f>
        <v>4</v>
      </c>
      <c r="Q829" s="40">
        <v>45982</v>
      </c>
      <c r="R829" s="40">
        <f t="shared" si="210"/>
        <v>45982</v>
      </c>
      <c r="S829" s="4" t="str">
        <f>TEXT(Mileage[[#This Row],[Date]],"dddd")</f>
        <v>Friday</v>
      </c>
      <c r="T829" s="4" t="s">
        <v>230</v>
      </c>
      <c r="U829" s="4">
        <v>30</v>
      </c>
      <c r="V829" t="str" cm="1">
        <f t="array" ref="V829">IFERROR(VLOOKUP(MODE(IF(Combined[Date]=Mileage[[#This Row],[Date]],Combined[Area '#])),KPIs!$B$4:$C$7,2,FALSE),VLOOKUP(Mileage[[#This Row],[Date]],Combined[[Date]:[Primary Area]],8,FALSE))</f>
        <v>Lewiston</v>
      </c>
      <c r="W829" s="105">
        <v>0.75694444444444442</v>
      </c>
      <c r="X829" s="12">
        <v>0.4</v>
      </c>
      <c r="Y829">
        <v>10</v>
      </c>
      <c r="Z82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30" spans="2:26" x14ac:dyDescent="0.35">
      <c r="B830">
        <f t="shared" si="208"/>
        <v>828</v>
      </c>
      <c r="C830" t="s">
        <v>86</v>
      </c>
      <c r="D830" t="s">
        <v>175</v>
      </c>
      <c r="E830">
        <f>IF(WEEKNUM(Combined[[#This Row],[Date]], 1) = 53, 1, WEEKNUM(Combined[[#This Row],[Date]], 2))</f>
        <v>35</v>
      </c>
      <c r="F830" t="str">
        <f t="shared" si="226"/>
        <v>Saturday</v>
      </c>
      <c r="G830" s="41">
        <v>45164</v>
      </c>
      <c r="H830">
        <v>2</v>
      </c>
      <c r="I830" s="1">
        <v>9.6999999999999993</v>
      </c>
      <c r="J830" s="2">
        <v>5.4166666666666669E-2</v>
      </c>
      <c r="K830" s="12">
        <f>Combined[[#This Row],[Time Spent]]*24</f>
        <v>1.3</v>
      </c>
      <c r="L830" s="12">
        <f>MROUND(Combined[[#This Row],[Time Spent 2]],0.25)</f>
        <v>1.25</v>
      </c>
      <c r="M830" s="2" t="s">
        <v>92</v>
      </c>
      <c r="N830" t="s">
        <v>85</v>
      </c>
      <c r="O830">
        <f>MATCH(Combined[[#This Row],[Primary Area]],KPIs!$C$4:$C$7,0)</f>
        <v>4</v>
      </c>
      <c r="Q830" s="40">
        <v>45984</v>
      </c>
      <c r="R830" s="40">
        <f t="shared" si="210"/>
        <v>45984</v>
      </c>
      <c r="S830" s="4" t="str">
        <f>TEXT(Mileage[[#This Row],[Date]],"dddd")</f>
        <v>Sunday</v>
      </c>
      <c r="T830" s="4" t="s">
        <v>249</v>
      </c>
      <c r="U830" s="4">
        <v>39</v>
      </c>
      <c r="V830" t="str" cm="1">
        <f t="array" ref="V830">IFERROR(VLOOKUP(MODE(IF(Combined[Date]=Mileage[[#This Row],[Date]],Combined[Area '#])),KPIs!$B$4:$C$7,2,FALSE),VLOOKUP(Mileage[[#This Row],[Date]],Combined[[Date]:[Primary Area]],8,FALSE))</f>
        <v>Brunswick/Bath/Freeport</v>
      </c>
      <c r="W830" s="105">
        <v>0.47916666666666669</v>
      </c>
      <c r="X830" s="12">
        <v>4.1500000000000004</v>
      </c>
      <c r="Y830">
        <v>132</v>
      </c>
      <c r="Z83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1" spans="2:26" x14ac:dyDescent="0.35">
      <c r="B831">
        <f t="shared" si="208"/>
        <v>829</v>
      </c>
      <c r="C831" t="s">
        <v>86</v>
      </c>
      <c r="D831" t="s">
        <v>175</v>
      </c>
      <c r="E831">
        <f>IF(WEEKNUM(Combined[[#This Row],[Date]], 1) = 53, 1, WEEKNUM(Combined[[#This Row],[Date]], 2))</f>
        <v>35</v>
      </c>
      <c r="F831" t="str">
        <f t="shared" si="226"/>
        <v>Saturday</v>
      </c>
      <c r="G831" s="41">
        <v>45164</v>
      </c>
      <c r="H831">
        <v>1</v>
      </c>
      <c r="I831" s="1">
        <f>13.77+9.11</f>
        <v>22.88</v>
      </c>
      <c r="J831" s="2">
        <v>2.361111111111111E-2</v>
      </c>
      <c r="K831" s="12">
        <f>Combined[[#This Row],[Time Spent]]*24</f>
        <v>0.56666666666666665</v>
      </c>
      <c r="L831" s="12">
        <f>MROUND(Combined[[#This Row],[Time Spent 2]],0.25)</f>
        <v>0.5</v>
      </c>
      <c r="M831" s="2" t="s">
        <v>92</v>
      </c>
      <c r="N831" t="s">
        <v>85</v>
      </c>
      <c r="O831">
        <f>MATCH(Combined[[#This Row],[Primary Area]],KPIs!$C$4:$C$7,0)</f>
        <v>4</v>
      </c>
      <c r="Q831" s="40">
        <v>45986</v>
      </c>
      <c r="R831" s="40">
        <f t="shared" si="210"/>
        <v>45986</v>
      </c>
      <c r="S831" s="4" t="str">
        <f>TEXT(Mileage[[#This Row],[Date]],"dddd")</f>
        <v>Tuesday</v>
      </c>
      <c r="T831" s="4" t="s">
        <v>285</v>
      </c>
      <c r="U831" s="4">
        <v>48</v>
      </c>
      <c r="V831" t="str" cm="1">
        <f t="array" ref="V831">IFERROR(VLOOKUP(MODE(IF(Combined[Date]=Mileage[[#This Row],[Date]],Combined[Area '#])),KPIs!$B$4:$C$7,2,FALSE),VLOOKUP(Mileage[[#This Row],[Date]],Combined[[Date]:[Primary Area]],8,FALSE))</f>
        <v>Brunswick/Bath/Freeport</v>
      </c>
      <c r="W831" s="105">
        <v>0.72916666666666663</v>
      </c>
      <c r="X831" s="12">
        <v>4.4000000000000004</v>
      </c>
      <c r="Y831">
        <v>63</v>
      </c>
      <c r="Z83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2" spans="2:26" x14ac:dyDescent="0.35">
      <c r="B832">
        <f t="shared" si="208"/>
        <v>830</v>
      </c>
      <c r="C832" t="s">
        <v>83</v>
      </c>
      <c r="D832" t="s">
        <v>176</v>
      </c>
      <c r="E832">
        <f>IF(WEEKNUM(Combined[[#This Row],[Date]], 1) = 53, 1, WEEKNUM(Combined[[#This Row],[Date]], 2))</f>
        <v>36</v>
      </c>
      <c r="F832" t="str">
        <f t="shared" ref="F832:F836" si="227">TEXT(WEEKDAY(G832,1),"DDDD")</f>
        <v>Tuesday</v>
      </c>
      <c r="G832" s="41">
        <v>45167</v>
      </c>
      <c r="H832">
        <v>1</v>
      </c>
      <c r="I832" s="1">
        <v>6.69</v>
      </c>
      <c r="J832" s="2">
        <v>4.027777777777778E-2</v>
      </c>
      <c r="K832" s="12">
        <f>Combined[[#This Row],[Time Spent]]*24</f>
        <v>0.96666666666666679</v>
      </c>
      <c r="L832" s="12">
        <f>MROUND(Combined[[#This Row],[Time Spent 2]],0.25)</f>
        <v>1</v>
      </c>
      <c r="M832" s="2" t="s">
        <v>91</v>
      </c>
      <c r="N832" t="s">
        <v>80</v>
      </c>
      <c r="O832">
        <f>MATCH(Combined[[#This Row],[Primary Area]],KPIs!$C$4:$C$7,0)</f>
        <v>2</v>
      </c>
      <c r="Q832" s="40">
        <v>45989</v>
      </c>
      <c r="R832" s="40">
        <f t="shared" si="210"/>
        <v>45989</v>
      </c>
      <c r="S832" s="4" t="str">
        <f>TEXT(Mileage[[#This Row],[Date]],"dddd")</f>
        <v>Friday</v>
      </c>
      <c r="T832" s="4" t="s">
        <v>230</v>
      </c>
      <c r="U832" s="4">
        <v>32</v>
      </c>
      <c r="V832" t="str" cm="1">
        <f t="array" ref="V832">IFERROR(VLOOKUP(MODE(IF(Combined[Date]=Mileage[[#This Row],[Date]],Combined[Area '#])),KPIs!$B$4:$C$7,2,FALSE),VLOOKUP(Mileage[[#This Row],[Date]],Combined[[Date]:[Primary Area]],8,FALSE))</f>
        <v>Augusta</v>
      </c>
      <c r="W832" s="105">
        <v>0.54513888888888884</v>
      </c>
      <c r="X832" s="12">
        <v>8.26</v>
      </c>
      <c r="Y832">
        <v>185</v>
      </c>
      <c r="Z83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33" spans="2:26" x14ac:dyDescent="0.35">
      <c r="B833">
        <f t="shared" si="208"/>
        <v>831</v>
      </c>
      <c r="C833" t="s">
        <v>86</v>
      </c>
      <c r="D833" t="s">
        <v>176</v>
      </c>
      <c r="E833">
        <f>IF(WEEKNUM(Combined[[#This Row],[Date]], 1) = 53, 1, WEEKNUM(Combined[[#This Row],[Date]], 2))</f>
        <v>36</v>
      </c>
      <c r="F833" t="str">
        <f t="shared" si="227"/>
        <v>Tuesday</v>
      </c>
      <c r="G833" s="41">
        <v>45167</v>
      </c>
      <c r="H833">
        <v>8</v>
      </c>
      <c r="I833" s="1">
        <v>56.75</v>
      </c>
      <c r="J833" s="2">
        <v>0.11527777777777777</v>
      </c>
      <c r="K833" s="12">
        <f>Combined[[#This Row],[Time Spent]]*24</f>
        <v>2.7666666666666666</v>
      </c>
      <c r="L833" s="12">
        <f>MROUND(Combined[[#This Row],[Time Spent 2]],0.25)</f>
        <v>2.75</v>
      </c>
      <c r="M833" s="2" t="s">
        <v>91</v>
      </c>
      <c r="N833" t="s">
        <v>80</v>
      </c>
      <c r="O833">
        <f>MATCH(Combined[[#This Row],[Primary Area]],KPIs!$C$4:$C$7,0)</f>
        <v>2</v>
      </c>
      <c r="Q833" s="40">
        <v>45990</v>
      </c>
      <c r="R833" s="40">
        <f t="shared" si="210"/>
        <v>45990</v>
      </c>
      <c r="S833" s="4" t="str">
        <f>TEXT(Mileage[[#This Row],[Date]],"dddd")</f>
        <v>Saturday</v>
      </c>
      <c r="T833" s="4" t="s">
        <v>230</v>
      </c>
      <c r="U833" s="4">
        <v>30</v>
      </c>
      <c r="V833" t="str" cm="1">
        <f t="array" ref="V833">IFERROR(VLOOKUP(MODE(IF(Combined[Date]=Mileage[[#This Row],[Date]],Combined[Area '#])),KPIs!$B$4:$C$7,2,FALSE),VLOOKUP(Mileage[[#This Row],[Date]],Combined[[Date]:[Primary Area]],8,FALSE))</f>
        <v>Brunswick/Bath/Freeport</v>
      </c>
      <c r="W833" s="105">
        <v>0.61805555555555558</v>
      </c>
      <c r="X833" s="12">
        <v>5.47</v>
      </c>
      <c r="Y833">
        <v>140</v>
      </c>
      <c r="Z83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4" spans="2:26" x14ac:dyDescent="0.35">
      <c r="B834">
        <f t="shared" si="208"/>
        <v>832</v>
      </c>
      <c r="C834" t="s">
        <v>86</v>
      </c>
      <c r="D834" t="s">
        <v>176</v>
      </c>
      <c r="E834">
        <f>IF(WEEKNUM(Combined[[#This Row],[Date]], 1) = 53, 1, WEEKNUM(Combined[[#This Row],[Date]], 2))</f>
        <v>36</v>
      </c>
      <c r="F834" t="str">
        <f t="shared" si="227"/>
        <v>Tuesday</v>
      </c>
      <c r="G834" s="41">
        <v>45167</v>
      </c>
      <c r="H834">
        <v>3</v>
      </c>
      <c r="I834" s="1">
        <v>17.5</v>
      </c>
      <c r="J834" s="2">
        <v>4.5833333333333337E-2</v>
      </c>
      <c r="K834" s="12">
        <f>Combined[[#This Row],[Time Spent]]*24</f>
        <v>1.1000000000000001</v>
      </c>
      <c r="L834" s="12">
        <f>MROUND(Combined[[#This Row],[Time Spent 2]],0.25)</f>
        <v>1</v>
      </c>
      <c r="M834" s="2" t="s">
        <v>91</v>
      </c>
      <c r="N834" t="s">
        <v>80</v>
      </c>
      <c r="O834">
        <f>MATCH(Combined[[#This Row],[Primary Area]],KPIs!$C$4:$C$7,0)</f>
        <v>2</v>
      </c>
      <c r="Q834" s="40">
        <v>45991</v>
      </c>
      <c r="R834" s="40">
        <f t="shared" si="210"/>
        <v>45991</v>
      </c>
      <c r="S834" s="4" t="str">
        <f>TEXT(Mileage[[#This Row],[Date]],"dddd")</f>
        <v>Sunday</v>
      </c>
      <c r="T834" s="4" t="s">
        <v>236</v>
      </c>
      <c r="U834" s="4">
        <v>43</v>
      </c>
      <c r="V834" t="str" cm="1">
        <f t="array" ref="V834">IFERROR(VLOOKUP(MODE(IF(Combined[Date]=Mileage[[#This Row],[Date]],Combined[Area '#])),KPIs!$B$4:$C$7,2,FALSE),VLOOKUP(Mileage[[#This Row],[Date]],Combined[[Date]:[Primary Area]],8,FALSE))</f>
        <v>Brunswick/Bath/Freeport</v>
      </c>
      <c r="W834" s="105">
        <v>0.72569444444444442</v>
      </c>
      <c r="X834" s="12">
        <v>6.03</v>
      </c>
      <c r="Y834">
        <v>123</v>
      </c>
      <c r="Z83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5" spans="2:26" x14ac:dyDescent="0.35">
      <c r="B835">
        <f t="shared" ref="B835:B898" si="228">ROW()-2</f>
        <v>833</v>
      </c>
      <c r="C835" t="s">
        <v>83</v>
      </c>
      <c r="D835" t="s">
        <v>176</v>
      </c>
      <c r="E835">
        <f>IF(WEEKNUM(Combined[[#This Row],[Date]], 1) = 53, 1, WEEKNUM(Combined[[#This Row],[Date]], 2))</f>
        <v>36</v>
      </c>
      <c r="F835" t="str">
        <f t="shared" si="227"/>
        <v>Wednesday</v>
      </c>
      <c r="G835" s="41">
        <v>45168</v>
      </c>
      <c r="H835">
        <v>7</v>
      </c>
      <c r="I835" s="1">
        <v>67.5</v>
      </c>
      <c r="J835" s="2">
        <v>0.16041666666666668</v>
      </c>
      <c r="K835" s="12">
        <f>Combined[[#This Row],[Time Spent]]*24</f>
        <v>3.8500000000000005</v>
      </c>
      <c r="L835" s="12">
        <f>MROUND(Combined[[#This Row],[Time Spent 2]],0.25)</f>
        <v>3.75</v>
      </c>
      <c r="M835" s="2" t="s">
        <v>91</v>
      </c>
      <c r="N835" t="s">
        <v>85</v>
      </c>
      <c r="O835">
        <f>MATCH(Combined[[#This Row],[Primary Area]],KPIs!$C$4:$C$7,0)</f>
        <v>4</v>
      </c>
      <c r="Q835" s="40">
        <v>45993</v>
      </c>
      <c r="R835" s="40">
        <f t="shared" si="210"/>
        <v>45993</v>
      </c>
      <c r="S835" s="4" t="str">
        <f>TEXT(Mileage[[#This Row],[Date]],"dddd")</f>
        <v>Tuesday</v>
      </c>
      <c r="T835" s="4" t="s">
        <v>234</v>
      </c>
      <c r="U835" s="4">
        <v>27</v>
      </c>
      <c r="V835" t="str" cm="1">
        <f t="array" ref="V835">IFERROR(VLOOKUP(MODE(IF(Combined[Date]=Mileage[[#This Row],[Date]],Combined[Area '#])),KPIs!$B$4:$C$7,2,FALSE),VLOOKUP(Mileage[[#This Row],[Date]],Combined[[Date]:[Primary Area]],8,FALSE))</f>
        <v>Portland</v>
      </c>
      <c r="W835" s="105">
        <v>0.80555555555555558</v>
      </c>
      <c r="X835" s="12">
        <v>4.5999999999999996</v>
      </c>
      <c r="Y835">
        <v>124</v>
      </c>
      <c r="Z83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6" spans="2:26" x14ac:dyDescent="0.35">
      <c r="B836">
        <f t="shared" si="228"/>
        <v>834</v>
      </c>
      <c r="C836" t="s">
        <v>86</v>
      </c>
      <c r="D836" t="s">
        <v>175</v>
      </c>
      <c r="E836">
        <f>IF(WEEKNUM(Combined[[#This Row],[Date]], 1) = 53, 1, WEEKNUM(Combined[[#This Row],[Date]], 2))</f>
        <v>36</v>
      </c>
      <c r="F836" t="str">
        <f t="shared" si="227"/>
        <v>Wednesday</v>
      </c>
      <c r="G836" s="41">
        <v>45168</v>
      </c>
      <c r="H836">
        <v>1</v>
      </c>
      <c r="I836" s="1">
        <v>17</v>
      </c>
      <c r="J836" s="2">
        <v>4.5138888888888888E-2</v>
      </c>
      <c r="K836" s="12">
        <f>Combined[[#This Row],[Time Spent]]*24</f>
        <v>1.0833333333333333</v>
      </c>
      <c r="L836" s="12">
        <f>MROUND(Combined[[#This Row],[Time Spent 2]],0.25)</f>
        <v>1</v>
      </c>
      <c r="M836" s="2" t="s">
        <v>91</v>
      </c>
      <c r="N836" t="s">
        <v>85</v>
      </c>
      <c r="O836">
        <f>MATCH(Combined[[#This Row],[Primary Area]],KPIs!$C$4:$C$7,0)</f>
        <v>4</v>
      </c>
      <c r="Q836" s="40">
        <v>45994</v>
      </c>
      <c r="R836" s="40">
        <f t="shared" ref="R836:R883" si="229">Q836</f>
        <v>45994</v>
      </c>
      <c r="S836" s="4" t="str">
        <f>TEXT(Mileage[[#This Row],[Date]],"dddd")</f>
        <v>Wednesday</v>
      </c>
      <c r="T836" s="4" t="s">
        <v>231</v>
      </c>
      <c r="U836" s="4">
        <v>30</v>
      </c>
      <c r="V836" t="str" cm="1">
        <f t="array" ref="V836">IFERROR(VLOOKUP(MODE(IF(Combined[Date]=Mileage[[#This Row],[Date]],Combined[Area '#])),KPIs!$B$4:$C$7,2,FALSE),VLOOKUP(Mileage[[#This Row],[Date]],Combined[[Date]:[Primary Area]],8,FALSE))</f>
        <v>Augusta</v>
      </c>
      <c r="W836" s="105">
        <v>0.77430555555555558</v>
      </c>
      <c r="X836" s="12">
        <v>3.65</v>
      </c>
      <c r="Y836">
        <v>111</v>
      </c>
      <c r="Z83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7" spans="2:26" x14ac:dyDescent="0.35">
      <c r="B837">
        <f t="shared" si="228"/>
        <v>835</v>
      </c>
      <c r="C837" t="s">
        <v>86</v>
      </c>
      <c r="D837" t="s">
        <v>175</v>
      </c>
      <c r="E837">
        <f>IF(WEEKNUM(Combined[[#This Row],[Date]], 1) = 53, 1, WEEKNUM(Combined[[#This Row],[Date]], 2))</f>
        <v>36</v>
      </c>
      <c r="F837" t="str">
        <f>TEXT(WEEKDAY(G837,1),"DDDD")</f>
        <v>Wednesday</v>
      </c>
      <c r="G837" s="41">
        <v>45168</v>
      </c>
      <c r="H837">
        <v>2</v>
      </c>
      <c r="I837" s="1">
        <f>16.35+5.25</f>
        <v>21.6</v>
      </c>
      <c r="J837" s="2">
        <v>5.347222222222222E-2</v>
      </c>
      <c r="K837" s="12">
        <f>Combined[[#This Row],[Time Spent]]*24</f>
        <v>1.2833333333333332</v>
      </c>
      <c r="L837" s="12">
        <f>MROUND(Combined[[#This Row],[Time Spent 2]],0.25)</f>
        <v>1.25</v>
      </c>
      <c r="M837" s="2" t="s">
        <v>92</v>
      </c>
      <c r="N837" t="s">
        <v>85</v>
      </c>
      <c r="O837">
        <f>MATCH(Combined[[#This Row],[Primary Area]],KPIs!$C$4:$C$7,0)</f>
        <v>4</v>
      </c>
      <c r="Q837" s="40">
        <v>45997</v>
      </c>
      <c r="R837" s="40">
        <f t="shared" si="229"/>
        <v>45997</v>
      </c>
      <c r="S837" s="4" t="str">
        <f>TEXT(Mileage[[#This Row],[Date]],"dddd")</f>
        <v>Saturday</v>
      </c>
      <c r="T837" s="4" t="s">
        <v>421</v>
      </c>
      <c r="U837" s="4">
        <v>27</v>
      </c>
      <c r="V837" t="str" cm="1">
        <f t="array" ref="V837">IFERROR(VLOOKUP(MODE(IF(Combined[Date]=Mileage[[#This Row],[Date]],Combined[Area '#])),KPIs!$B$4:$C$7,2,FALSE),VLOOKUP(Mileage[[#This Row],[Date]],Combined[[Date]:[Primary Area]],8,FALSE))</f>
        <v>Portland</v>
      </c>
      <c r="W837" s="105">
        <v>0.54166666666666663</v>
      </c>
      <c r="X837" s="12">
        <v>6.58</v>
      </c>
      <c r="Y837">
        <v>148</v>
      </c>
      <c r="Z83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8" spans="2:26" x14ac:dyDescent="0.35">
      <c r="B838">
        <f t="shared" si="228"/>
        <v>836</v>
      </c>
      <c r="C838" t="s">
        <v>83</v>
      </c>
      <c r="D838" t="s">
        <v>176</v>
      </c>
      <c r="E838">
        <f>IF(WEEKNUM(Combined[[#This Row],[Date]], 1) = 53, 1, WEEKNUM(Combined[[#This Row],[Date]], 2))</f>
        <v>36</v>
      </c>
      <c r="F838" t="str">
        <f t="shared" ref="F838:F840" si="230">TEXT(WEEKDAY(G838,1),"DDDD")</f>
        <v>Thursday</v>
      </c>
      <c r="G838" s="41">
        <v>45169</v>
      </c>
      <c r="H838">
        <v>7</v>
      </c>
      <c r="I838" s="1">
        <v>97.96</v>
      </c>
      <c r="J838" s="2">
        <v>0.19444444444444445</v>
      </c>
      <c r="K838" s="12">
        <f>Combined[[#This Row],[Time Spent]]*24</f>
        <v>4.666666666666667</v>
      </c>
      <c r="L838" s="12">
        <f>MROUND(Combined[[#This Row],[Time Spent 2]],0.25)</f>
        <v>4.75</v>
      </c>
      <c r="M838" s="2" t="s">
        <v>91</v>
      </c>
      <c r="N838" t="s">
        <v>85</v>
      </c>
      <c r="O838">
        <f>MATCH(Combined[[#This Row],[Primary Area]],KPIs!$C$4:$C$7,0)</f>
        <v>4</v>
      </c>
      <c r="Q838" s="40">
        <v>45998</v>
      </c>
      <c r="R838" s="40">
        <f t="shared" si="229"/>
        <v>45998</v>
      </c>
      <c r="S838" s="4" t="str">
        <f>TEXT(Mileage[[#This Row],[Date]],"dddd")</f>
        <v>Sunday</v>
      </c>
      <c r="T838" s="4" t="s">
        <v>231</v>
      </c>
      <c r="U838" s="4">
        <v>32</v>
      </c>
      <c r="V838" t="str" cm="1">
        <f t="array" ref="V838">IFERROR(VLOOKUP(MODE(IF(Combined[Date]=Mileage[[#This Row],[Date]],Combined[Area '#])),KPIs!$B$4:$C$7,2,FALSE),VLOOKUP(Mileage[[#This Row],[Date]],Combined[[Date]:[Primary Area]],8,FALSE))</f>
        <v>Brunswick/Bath/Freeport</v>
      </c>
      <c r="W838" s="105">
        <v>0.62152777777777779</v>
      </c>
      <c r="X838" s="12">
        <v>8.7200000000000006</v>
      </c>
      <c r="Y838">
        <v>201</v>
      </c>
      <c r="Z83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39" spans="2:26" x14ac:dyDescent="0.35">
      <c r="B839">
        <f t="shared" si="228"/>
        <v>837</v>
      </c>
      <c r="C839" t="s">
        <v>86</v>
      </c>
      <c r="D839" t="s">
        <v>176</v>
      </c>
      <c r="E839">
        <f>IF(WEEKNUM(Combined[[#This Row],[Date]], 1) = 53, 1, WEEKNUM(Combined[[#This Row],[Date]], 2))</f>
        <v>36</v>
      </c>
      <c r="F839" t="str">
        <f t="shared" si="230"/>
        <v>Thursday</v>
      </c>
      <c r="G839" s="41">
        <v>45169</v>
      </c>
      <c r="H839">
        <v>3</v>
      </c>
      <c r="I839" s="1">
        <v>21.09</v>
      </c>
      <c r="J839" s="2">
        <v>4.9305555555555554E-2</v>
      </c>
      <c r="K839" s="12">
        <f>Combined[[#This Row],[Time Spent]]*24</f>
        <v>1.1833333333333333</v>
      </c>
      <c r="L839" s="12">
        <f>MROUND(Combined[[#This Row],[Time Spent 2]],0.25)</f>
        <v>1.25</v>
      </c>
      <c r="M839" s="2" t="s">
        <v>91</v>
      </c>
      <c r="N839" t="s">
        <v>85</v>
      </c>
      <c r="O839">
        <f>MATCH(Combined[[#This Row],[Primary Area]],KPIs!$C$4:$C$7,0)</f>
        <v>4</v>
      </c>
      <c r="Q839" s="40">
        <v>45999</v>
      </c>
      <c r="R839" s="40">
        <f t="shared" si="229"/>
        <v>45999</v>
      </c>
      <c r="S839" s="4" t="str">
        <f>TEXT(Mileage[[#This Row],[Date]],"dddd")</f>
        <v>Monday</v>
      </c>
      <c r="T839" s="4" t="s">
        <v>281</v>
      </c>
      <c r="U839" s="4">
        <v>18</v>
      </c>
      <c r="V839" t="str" cm="1">
        <f t="array" ref="V839">IFERROR(VLOOKUP(MODE(IF(Combined[Date]=Mileage[[#This Row],[Date]],Combined[Area '#])),KPIs!$B$4:$C$7,2,FALSE),VLOOKUP(Mileage[[#This Row],[Date]],Combined[[Date]:[Primary Area]],8,FALSE))</f>
        <v>Lewiston</v>
      </c>
      <c r="W839" s="105">
        <v>0.54861111111111116</v>
      </c>
      <c r="X839" s="12">
        <v>5.8</v>
      </c>
      <c r="Y839">
        <v>112</v>
      </c>
      <c r="Z83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0" spans="2:26" x14ac:dyDescent="0.35">
      <c r="B840">
        <f t="shared" si="228"/>
        <v>838</v>
      </c>
      <c r="C840" t="s">
        <v>86</v>
      </c>
      <c r="D840" t="s">
        <v>176</v>
      </c>
      <c r="E840">
        <f>IF(WEEKNUM(Combined[[#This Row],[Date]], 1) = 53, 1, WEEKNUM(Combined[[#This Row],[Date]], 2))</f>
        <v>36</v>
      </c>
      <c r="F840" t="str">
        <f t="shared" si="230"/>
        <v>Thursday</v>
      </c>
      <c r="G840" s="41">
        <v>45169</v>
      </c>
      <c r="H840">
        <v>5</v>
      </c>
      <c r="I840" s="1">
        <v>33</v>
      </c>
      <c r="J840" s="2">
        <v>8.4722222222222213E-2</v>
      </c>
      <c r="K840" s="12">
        <f>Combined[[#This Row],[Time Spent]]*24</f>
        <v>2.0333333333333332</v>
      </c>
      <c r="L840" s="12">
        <f>MROUND(Combined[[#This Row],[Time Spent 2]],0.25)</f>
        <v>2</v>
      </c>
      <c r="M840" s="2" t="s">
        <v>91</v>
      </c>
      <c r="N840" t="s">
        <v>85</v>
      </c>
      <c r="O840">
        <f>MATCH(Combined[[#This Row],[Primary Area]],KPIs!$C$4:$C$7,0)</f>
        <v>4</v>
      </c>
      <c r="Q840" s="40">
        <v>46000</v>
      </c>
      <c r="R840" s="40">
        <f t="shared" si="229"/>
        <v>46000</v>
      </c>
      <c r="S840" s="4" t="str">
        <f>TEXT(Mileage[[#This Row],[Date]],"dddd")</f>
        <v>Tuesday</v>
      </c>
      <c r="T840" s="4" t="s">
        <v>281</v>
      </c>
      <c r="U840" s="4">
        <v>21</v>
      </c>
      <c r="V840" t="str" cm="1">
        <f t="array" ref="V840">IFERROR(VLOOKUP(MODE(IF(Combined[Date]=Mileage[[#This Row],[Date]],Combined[Area '#])),KPIs!$B$4:$C$7,2,FALSE),VLOOKUP(Mileage[[#This Row],[Date]],Combined[[Date]:[Primary Area]],8,FALSE))</f>
        <v>Brunswick/Bath/Freeport</v>
      </c>
      <c r="W840" s="105">
        <v>0.41666666666666669</v>
      </c>
      <c r="X840" s="12">
        <v>7.5</v>
      </c>
      <c r="Y840">
        <v>181</v>
      </c>
      <c r="Z84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41" spans="2:26" x14ac:dyDescent="0.35">
      <c r="B841">
        <f t="shared" si="228"/>
        <v>839</v>
      </c>
      <c r="C841" t="s">
        <v>86</v>
      </c>
      <c r="D841" t="s">
        <v>176</v>
      </c>
      <c r="E841">
        <f>IF(WEEKNUM(Combined[[#This Row],[Date]], 1) = 53, 1, WEEKNUM(Combined[[#This Row],[Date]], 2))</f>
        <v>36</v>
      </c>
      <c r="F841" t="str">
        <f t="shared" ref="F841:F845" si="231">TEXT(WEEKDAY(G841,1),"DDDD")</f>
        <v>Friday</v>
      </c>
      <c r="G841" s="41">
        <v>45170</v>
      </c>
      <c r="H841">
        <v>1</v>
      </c>
      <c r="I841" s="1">
        <v>8.5</v>
      </c>
      <c r="J841" s="2">
        <v>1.8055555555555557E-2</v>
      </c>
      <c r="K841" s="12">
        <f>Combined[[#This Row],[Time Spent]]*24</f>
        <v>0.43333333333333335</v>
      </c>
      <c r="L841" s="12">
        <f>MROUND(Combined[[#This Row],[Time Spent 2]],0.25)</f>
        <v>0.5</v>
      </c>
      <c r="M841" s="2" t="s">
        <v>91</v>
      </c>
      <c r="N841" t="s">
        <v>82</v>
      </c>
      <c r="O841">
        <f>MATCH(Combined[[#This Row],[Primary Area]],KPIs!$C$4:$C$7,0)</f>
        <v>3</v>
      </c>
      <c r="Q841" s="40">
        <v>46002</v>
      </c>
      <c r="R841" s="40">
        <f t="shared" si="229"/>
        <v>46002</v>
      </c>
      <c r="S841" s="4" t="str">
        <f>TEXT(Mileage[[#This Row],[Date]],"dddd")</f>
        <v>Thursday</v>
      </c>
      <c r="T841" s="4" t="s">
        <v>421</v>
      </c>
      <c r="U841" s="4">
        <v>30</v>
      </c>
      <c r="V841" t="str" cm="1">
        <f t="array" ref="V841">IFERROR(VLOOKUP(MODE(IF(Combined[Date]=Mileage[[#This Row],[Date]],Combined[Area '#])),KPIs!$B$4:$C$7,2,FALSE),VLOOKUP(Mileage[[#This Row],[Date]],Combined[[Date]:[Primary Area]],8,FALSE))</f>
        <v>Lewiston</v>
      </c>
      <c r="W841" s="105">
        <v>0.44097222222222221</v>
      </c>
      <c r="X841" s="12">
        <v>6.78</v>
      </c>
      <c r="Y841">
        <v>159</v>
      </c>
      <c r="Z84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2" spans="2:26" x14ac:dyDescent="0.35">
      <c r="B842">
        <f t="shared" si="228"/>
        <v>840</v>
      </c>
      <c r="C842" t="s">
        <v>86</v>
      </c>
      <c r="D842" t="s">
        <v>175</v>
      </c>
      <c r="E842">
        <f>IF(WEEKNUM(Combined[[#This Row],[Date]], 1) = 53, 1, WEEKNUM(Combined[[#This Row],[Date]], 2))</f>
        <v>36</v>
      </c>
      <c r="F842" t="str">
        <f t="shared" si="231"/>
        <v>Friday</v>
      </c>
      <c r="G842" s="41">
        <v>45170</v>
      </c>
      <c r="H842">
        <v>7</v>
      </c>
      <c r="I842" s="1">
        <v>54.52</v>
      </c>
      <c r="J842" s="2">
        <v>0.14722222222222223</v>
      </c>
      <c r="K842" s="12">
        <f>Combined[[#This Row],[Time Spent]]*24</f>
        <v>3.5333333333333332</v>
      </c>
      <c r="L842" s="12">
        <f>MROUND(Combined[[#This Row],[Time Spent 2]],0.25)</f>
        <v>3.5</v>
      </c>
      <c r="M842" s="2" t="s">
        <v>91</v>
      </c>
      <c r="N842" t="s">
        <v>82</v>
      </c>
      <c r="O842">
        <f>MATCH(Combined[[#This Row],[Primary Area]],KPIs!$C$4:$C$7,0)</f>
        <v>3</v>
      </c>
      <c r="Q842" s="40">
        <v>46003</v>
      </c>
      <c r="R842" s="40">
        <f t="shared" si="229"/>
        <v>46003</v>
      </c>
      <c r="S842" s="4" t="str">
        <f>TEXT(Mileage[[#This Row],[Date]],"dddd")</f>
        <v>Friday</v>
      </c>
      <c r="T842" s="4" t="s">
        <v>249</v>
      </c>
      <c r="U842" s="4">
        <v>27</v>
      </c>
      <c r="V842" t="str" cm="1">
        <f t="array" ref="V842">IFERROR(VLOOKUP(MODE(IF(Combined[Date]=Mileage[[#This Row],[Date]],Combined[Area '#])),KPIs!$B$4:$C$7,2,FALSE),VLOOKUP(Mileage[[#This Row],[Date]],Combined[[Date]:[Primary Area]],8,FALSE))</f>
        <v>Brunswick/Bath/Freeport</v>
      </c>
      <c r="W842" s="105">
        <v>0.4861111111111111</v>
      </c>
      <c r="X842" s="12">
        <v>5.58</v>
      </c>
      <c r="Y842">
        <v>105</v>
      </c>
      <c r="Z84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3" spans="2:26" x14ac:dyDescent="0.35">
      <c r="B843">
        <f t="shared" si="228"/>
        <v>841</v>
      </c>
      <c r="C843" t="s">
        <v>83</v>
      </c>
      <c r="D843" t="s">
        <v>176</v>
      </c>
      <c r="E843">
        <f>IF(WEEKNUM(Combined[[#This Row],[Date]], 1) = 53, 1, WEEKNUM(Combined[[#This Row],[Date]], 2))</f>
        <v>36</v>
      </c>
      <c r="F843" t="str">
        <f t="shared" si="231"/>
        <v>Saturday</v>
      </c>
      <c r="G843" s="41">
        <v>45171</v>
      </c>
      <c r="H843">
        <v>5</v>
      </c>
      <c r="I843" s="1">
        <v>40.18</v>
      </c>
      <c r="J843" s="2">
        <v>0.14652777777777778</v>
      </c>
      <c r="K843" s="12">
        <f>Combined[[#This Row],[Time Spent]]*24</f>
        <v>3.5166666666666666</v>
      </c>
      <c r="L843" s="12">
        <f>MROUND(Combined[[#This Row],[Time Spent 2]],0.25)</f>
        <v>3.5</v>
      </c>
      <c r="M843" s="2" t="s">
        <v>91</v>
      </c>
      <c r="N843" t="s">
        <v>80</v>
      </c>
      <c r="O843">
        <f>MATCH(Combined[[#This Row],[Primary Area]],KPIs!$C$4:$C$7,0)</f>
        <v>2</v>
      </c>
      <c r="Q843" s="40">
        <v>46004</v>
      </c>
      <c r="R843" s="40">
        <f t="shared" si="229"/>
        <v>46004</v>
      </c>
      <c r="S843" s="4" t="str">
        <f>TEXT(Mileage[[#This Row],[Date]],"dddd")</f>
        <v>Saturday</v>
      </c>
      <c r="T843" s="4" t="s">
        <v>285</v>
      </c>
      <c r="U843" s="4">
        <v>32</v>
      </c>
      <c r="V843" t="str" cm="1">
        <f t="array" ref="V843">IFERROR(VLOOKUP(MODE(IF(Combined[Date]=Mileage[[#This Row],[Date]],Combined[Area '#])),KPIs!$B$4:$C$7,2,FALSE),VLOOKUP(Mileage[[#This Row],[Date]],Combined[[Date]:[Primary Area]],8,FALSE))</f>
        <v>Lewiston</v>
      </c>
      <c r="W843" s="105">
        <v>0.58333333333333337</v>
      </c>
      <c r="X843" s="12">
        <v>6.83</v>
      </c>
      <c r="Y843">
        <v>147</v>
      </c>
      <c r="Z843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44" spans="2:26" x14ac:dyDescent="0.35">
      <c r="B844">
        <f t="shared" si="228"/>
        <v>842</v>
      </c>
      <c r="C844" t="s">
        <v>86</v>
      </c>
      <c r="D844" t="s">
        <v>175</v>
      </c>
      <c r="E844">
        <f>IF(WEEKNUM(Combined[[#This Row],[Date]], 1) = 53, 1, WEEKNUM(Combined[[#This Row],[Date]], 2))</f>
        <v>36</v>
      </c>
      <c r="F844" t="str">
        <f t="shared" si="231"/>
        <v>Saturday</v>
      </c>
      <c r="G844" s="41">
        <v>45171</v>
      </c>
      <c r="H844">
        <v>2</v>
      </c>
      <c r="I844" s="1">
        <v>16.350000000000001</v>
      </c>
      <c r="J844" s="2">
        <v>6.3888888888888884E-2</v>
      </c>
      <c r="K844" s="12">
        <f>Combined[[#This Row],[Time Spent]]*24</f>
        <v>1.5333333333333332</v>
      </c>
      <c r="L844" s="12">
        <f>MROUND(Combined[[#This Row],[Time Spent 2]],0.25)</f>
        <v>1.5</v>
      </c>
      <c r="M844" s="2" t="s">
        <v>91</v>
      </c>
      <c r="N844" t="s">
        <v>80</v>
      </c>
      <c r="O844">
        <f>MATCH(Combined[[#This Row],[Primary Area]],KPIs!$C$4:$C$7,0)</f>
        <v>2</v>
      </c>
      <c r="Q844" s="40">
        <v>46005</v>
      </c>
      <c r="R844" s="40">
        <f t="shared" si="229"/>
        <v>46005</v>
      </c>
      <c r="S844" s="4" t="str">
        <f>TEXT(Mileage[[#This Row],[Date]],"dddd")</f>
        <v>Sunday</v>
      </c>
      <c r="T844" s="4" t="s">
        <v>231</v>
      </c>
      <c r="U844" s="4">
        <v>27</v>
      </c>
      <c r="V844" t="str" cm="1">
        <f t="array" ref="V844">IFERROR(VLOOKUP(MODE(IF(Combined[Date]=Mileage[[#This Row],[Date]],Combined[Area '#])),KPIs!$B$4:$C$7,2,FALSE),VLOOKUP(Mileage[[#This Row],[Date]],Combined[[Date]:[Primary Area]],8,FALSE))</f>
        <v>Augusta</v>
      </c>
      <c r="W844" s="105">
        <v>0.49652777777777779</v>
      </c>
      <c r="X844" s="12">
        <v>3.47</v>
      </c>
      <c r="Y844">
        <v>96</v>
      </c>
      <c r="Z84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45" spans="2:26" x14ac:dyDescent="0.35">
      <c r="B845">
        <f t="shared" si="228"/>
        <v>843</v>
      </c>
      <c r="C845" t="s">
        <v>86</v>
      </c>
      <c r="D845" t="s">
        <v>175</v>
      </c>
      <c r="E845">
        <f>IF(WEEKNUM(Combined[[#This Row],[Date]], 1) = 53, 1, WEEKNUM(Combined[[#This Row],[Date]], 2))</f>
        <v>36</v>
      </c>
      <c r="F845" t="str">
        <f t="shared" si="231"/>
        <v>Saturday</v>
      </c>
      <c r="G845" s="41">
        <v>45171</v>
      </c>
      <c r="H845">
        <v>3</v>
      </c>
      <c r="I845" s="1">
        <v>23.2</v>
      </c>
      <c r="J845" s="2">
        <v>3.888888888888889E-2</v>
      </c>
      <c r="K845" s="12">
        <f>Combined[[#This Row],[Time Spent]]*24</f>
        <v>0.93333333333333335</v>
      </c>
      <c r="L845" s="12">
        <f>MROUND(Combined[[#This Row],[Time Spent 2]],0.25)</f>
        <v>1</v>
      </c>
      <c r="M845" s="2" t="s">
        <v>91</v>
      </c>
      <c r="N845" t="s">
        <v>80</v>
      </c>
      <c r="O845">
        <f>MATCH(Combined[[#This Row],[Primary Area]],KPIs!$C$4:$C$7,0)</f>
        <v>2</v>
      </c>
      <c r="Q845" s="40">
        <v>46006</v>
      </c>
      <c r="R845" s="40">
        <f t="shared" si="229"/>
        <v>46006</v>
      </c>
      <c r="S845" s="4" t="str">
        <f>TEXT(Mileage[[#This Row],[Date]],"dddd")</f>
        <v>Monday</v>
      </c>
      <c r="T845" s="4" t="s">
        <v>230</v>
      </c>
      <c r="U845" s="4">
        <v>19</v>
      </c>
      <c r="V845" t="str" cm="1">
        <f t="array" ref="V845">IFERROR(VLOOKUP(MODE(IF(Combined[Date]=Mileage[[#This Row],[Date]],Combined[Area '#])),KPIs!$B$4:$C$7,2,FALSE),VLOOKUP(Mileage[[#This Row],[Date]],Combined[[Date]:[Primary Area]],8,FALSE))</f>
        <v>Brunswick/Bath/Freeport</v>
      </c>
      <c r="W845" s="105">
        <v>0.77430555555555558</v>
      </c>
      <c r="X845" s="12">
        <v>4.17</v>
      </c>
      <c r="Y845">
        <v>103</v>
      </c>
      <c r="Z84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6" spans="2:26" x14ac:dyDescent="0.35">
      <c r="B846">
        <f t="shared" si="228"/>
        <v>844</v>
      </c>
      <c r="C846" t="s">
        <v>86</v>
      </c>
      <c r="D846" t="s">
        <v>175</v>
      </c>
      <c r="E846">
        <f>IF(WEEKNUM(Combined[[#This Row],[Date]], 1) = 53, 1, WEEKNUM(Combined[[#This Row],[Date]], 2))</f>
        <v>36</v>
      </c>
      <c r="F846" t="str">
        <f t="shared" ref="F846:F848" si="232">TEXT(WEEKDAY(G846,1),"DDDD")</f>
        <v>Saturday</v>
      </c>
      <c r="G846" s="41">
        <v>45171</v>
      </c>
      <c r="H846">
        <v>4</v>
      </c>
      <c r="I846" s="1">
        <v>46.77</v>
      </c>
      <c r="J846" s="2">
        <v>0.10208333333333335</v>
      </c>
      <c r="K846" s="12">
        <f>Combined[[#This Row],[Time Spent]]*24</f>
        <v>2.4500000000000002</v>
      </c>
      <c r="L846" s="12">
        <f>MROUND(Combined[[#This Row],[Time Spent 2]],0.25)</f>
        <v>2.5</v>
      </c>
      <c r="M846" s="2" t="s">
        <v>91</v>
      </c>
      <c r="N846" t="s">
        <v>80</v>
      </c>
      <c r="O846">
        <f>MATCH(Combined[[#This Row],[Primary Area]],KPIs!$C$4:$C$7,0)</f>
        <v>2</v>
      </c>
      <c r="Q846" s="40">
        <v>46007</v>
      </c>
      <c r="R846" s="40">
        <f t="shared" si="229"/>
        <v>46007</v>
      </c>
      <c r="S846" s="4" t="str">
        <f>TEXT(Mileage[[#This Row],[Date]],"dddd")</f>
        <v>Tuesday</v>
      </c>
      <c r="T846" s="4" t="s">
        <v>230</v>
      </c>
      <c r="U846" s="4">
        <v>28</v>
      </c>
      <c r="V846" t="str" cm="1">
        <f t="array" ref="V846">IFERROR(VLOOKUP(MODE(IF(Combined[Date]=Mileage[[#This Row],[Date]],Combined[Area '#])),KPIs!$B$4:$C$7,2,FALSE),VLOOKUP(Mileage[[#This Row],[Date]],Combined[[Date]:[Primary Area]],8,FALSE))</f>
        <v>Lewiston</v>
      </c>
      <c r="W846" s="105">
        <v>0.77430555555555558</v>
      </c>
      <c r="X846" s="12">
        <v>3.83</v>
      </c>
      <c r="Y846">
        <v>58</v>
      </c>
      <c r="Z84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47" spans="2:26" x14ac:dyDescent="0.35">
      <c r="B847">
        <f t="shared" si="228"/>
        <v>845</v>
      </c>
      <c r="C847" t="s">
        <v>86</v>
      </c>
      <c r="D847" t="s">
        <v>175</v>
      </c>
      <c r="E847">
        <f>IF(WEEKNUM(Combined[[#This Row],[Date]], 1) = 53, 1, WEEKNUM(Combined[[#This Row],[Date]], 2))</f>
        <v>36</v>
      </c>
      <c r="F847" t="str">
        <f t="shared" si="232"/>
        <v>Saturday</v>
      </c>
      <c r="G847" s="41">
        <v>45171</v>
      </c>
      <c r="H847">
        <v>1</v>
      </c>
      <c r="I847" s="1">
        <v>16.91</v>
      </c>
      <c r="J847" s="2">
        <v>4.4444444444444446E-2</v>
      </c>
      <c r="K847" s="12">
        <f>Combined[[#This Row],[Time Spent]]*24</f>
        <v>1.0666666666666667</v>
      </c>
      <c r="L847" s="12">
        <f>MROUND(Combined[[#This Row],[Time Spent 2]],0.25)</f>
        <v>1</v>
      </c>
      <c r="M847" s="2" t="s">
        <v>92</v>
      </c>
      <c r="N847" t="s">
        <v>80</v>
      </c>
      <c r="O847">
        <f>MATCH(Combined[[#This Row],[Primary Area]],KPIs!$C$4:$C$7,0)</f>
        <v>2</v>
      </c>
      <c r="Q847" s="40">
        <v>46010</v>
      </c>
      <c r="R847" s="40">
        <f t="shared" si="229"/>
        <v>46010</v>
      </c>
      <c r="S847" s="4" t="str">
        <f>TEXT(Mileage[[#This Row],[Date]],"dddd")</f>
        <v>Friday</v>
      </c>
      <c r="T847" s="4" t="s">
        <v>231</v>
      </c>
      <c r="U847" s="4">
        <v>43</v>
      </c>
      <c r="V847" t="str" cm="1">
        <f t="array" ref="V847">IFERROR(VLOOKUP(MODE(IF(Combined[Date]=Mileage[[#This Row],[Date]],Combined[Area '#])),KPIs!$B$4:$C$7,2,FALSE),VLOOKUP(Mileage[[#This Row],[Date]],Combined[[Date]:[Primary Area]],8,FALSE))</f>
        <v>Augusta</v>
      </c>
      <c r="W847" s="105">
        <v>0.84027777777777779</v>
      </c>
      <c r="X847" s="12">
        <v>3.87</v>
      </c>
      <c r="Y847">
        <v>111</v>
      </c>
      <c r="Z84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48" spans="2:26" x14ac:dyDescent="0.35">
      <c r="B848">
        <f t="shared" si="228"/>
        <v>846</v>
      </c>
      <c r="C848" t="s">
        <v>86</v>
      </c>
      <c r="D848" t="s">
        <v>176</v>
      </c>
      <c r="E848">
        <f>IF(WEEKNUM(Combined[[#This Row],[Date]], 1) = 53, 1, WEEKNUM(Combined[[#This Row],[Date]], 2))</f>
        <v>36</v>
      </c>
      <c r="F848" t="str">
        <f t="shared" si="232"/>
        <v>Saturday</v>
      </c>
      <c r="G848" s="41">
        <v>45171</v>
      </c>
      <c r="H848">
        <v>3</v>
      </c>
      <c r="I848" s="1">
        <v>30.5</v>
      </c>
      <c r="J848" s="2">
        <v>5.2777777777777778E-2</v>
      </c>
      <c r="K848" s="12">
        <f>Combined[[#This Row],[Time Spent]]*24</f>
        <v>1.2666666666666666</v>
      </c>
      <c r="L848" s="12">
        <f>MROUND(Combined[[#This Row],[Time Spent 2]],0.25)</f>
        <v>1.25</v>
      </c>
      <c r="M848" s="2" t="s">
        <v>92</v>
      </c>
      <c r="N848" t="s">
        <v>80</v>
      </c>
      <c r="O848">
        <f>MATCH(Combined[[#This Row],[Primary Area]],KPIs!$C$4:$C$7,0)</f>
        <v>2</v>
      </c>
      <c r="Q848" s="40">
        <v>46012</v>
      </c>
      <c r="R848" s="40">
        <f t="shared" si="229"/>
        <v>46012</v>
      </c>
      <c r="S848" s="4" t="str">
        <f>TEXT(Mileage[[#This Row],[Date]],"dddd")</f>
        <v>Sunday</v>
      </c>
      <c r="T848" s="4" t="s">
        <v>230</v>
      </c>
      <c r="U848" s="4">
        <v>30</v>
      </c>
      <c r="V848" t="str" cm="1">
        <f t="array" ref="V848">IFERROR(VLOOKUP(MODE(IF(Combined[Date]=Mileage[[#This Row],[Date]],Combined[Area '#])),KPIs!$B$4:$C$7,2,FALSE),VLOOKUP(Mileage[[#This Row],[Date]],Combined[[Date]:[Primary Area]],8,FALSE))</f>
        <v>Portland</v>
      </c>
      <c r="W848" s="105">
        <v>0.71875</v>
      </c>
      <c r="X848" s="12">
        <v>5.73</v>
      </c>
      <c r="Y848">
        <v>151</v>
      </c>
      <c r="Z84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49" spans="2:26" x14ac:dyDescent="0.35">
      <c r="B849">
        <f t="shared" si="228"/>
        <v>847</v>
      </c>
      <c r="C849" t="s">
        <v>83</v>
      </c>
      <c r="D849" t="s">
        <v>176</v>
      </c>
      <c r="E849">
        <f>IF(WEEKNUM(Combined[[#This Row],[Date]], 1) = 53, 1, WEEKNUM(Combined[[#This Row],[Date]], 2))</f>
        <v>37</v>
      </c>
      <c r="F849" t="str">
        <f t="shared" ref="F849:F851" si="233">TEXT(WEEKDAY(G849,1),"DDDD")</f>
        <v>Wednesday</v>
      </c>
      <c r="G849" s="41">
        <v>45175</v>
      </c>
      <c r="H849">
        <v>6</v>
      </c>
      <c r="I849" s="1">
        <v>94.25</v>
      </c>
      <c r="J849" s="2">
        <v>0.13680555555555554</v>
      </c>
      <c r="K849" s="12">
        <f>Combined[[#This Row],[Time Spent]]*24</f>
        <v>3.2833333333333332</v>
      </c>
      <c r="L849" s="12">
        <f>MROUND(Combined[[#This Row],[Time Spent 2]],0.25)</f>
        <v>3.25</v>
      </c>
      <c r="M849" s="2" t="s">
        <v>91</v>
      </c>
      <c r="N849" t="s">
        <v>80</v>
      </c>
      <c r="O849">
        <f>MATCH(Combined[[#This Row],[Primary Area]],KPIs!$C$4:$C$7,0)</f>
        <v>2</v>
      </c>
      <c r="Q849" s="40">
        <v>46021</v>
      </c>
      <c r="R849" s="40">
        <f t="shared" si="229"/>
        <v>46021</v>
      </c>
      <c r="S849" s="4" t="str">
        <f>TEXT(Mileage[[#This Row],[Date]],"dddd")</f>
        <v>Tuesday</v>
      </c>
      <c r="T849" s="4" t="s">
        <v>249</v>
      </c>
      <c r="U849" s="4">
        <v>14</v>
      </c>
      <c r="V849" t="str" cm="1">
        <f t="array" ref="V849">IFERROR(VLOOKUP(MODE(IF(Combined[Date]=Mileage[[#This Row],[Date]],Combined[Area '#])),KPIs!$B$4:$C$7,2,FALSE),VLOOKUP(Mileage[[#This Row],[Date]],Combined[[Date]:[Primary Area]],8,FALSE))</f>
        <v>Brunswick/Bath/Freeport</v>
      </c>
      <c r="W849" s="105">
        <v>0.82986111111111116</v>
      </c>
      <c r="X849" s="12">
        <v>4.6500000000000004</v>
      </c>
      <c r="Y849">
        <v>100</v>
      </c>
      <c r="Z84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50" spans="2:26" x14ac:dyDescent="0.35">
      <c r="B850">
        <f t="shared" si="228"/>
        <v>848</v>
      </c>
      <c r="C850" t="s">
        <v>86</v>
      </c>
      <c r="D850" t="s">
        <v>175</v>
      </c>
      <c r="E850">
        <f>IF(WEEKNUM(Combined[[#This Row],[Date]], 1) = 53, 1, WEEKNUM(Combined[[#This Row],[Date]], 2))</f>
        <v>37</v>
      </c>
      <c r="F850" t="str">
        <f t="shared" si="233"/>
        <v>Wednesday</v>
      </c>
      <c r="G850" s="41">
        <v>45175</v>
      </c>
      <c r="H850">
        <v>2</v>
      </c>
      <c r="I850" s="1">
        <v>27.9</v>
      </c>
      <c r="J850" s="2">
        <v>6.3194444444444442E-2</v>
      </c>
      <c r="K850" s="12">
        <f>Combined[[#This Row],[Time Spent]]*24</f>
        <v>1.5166666666666666</v>
      </c>
      <c r="L850" s="12">
        <f>MROUND(Combined[[#This Row],[Time Spent 2]],0.25)</f>
        <v>1.5</v>
      </c>
      <c r="M850" s="2" t="s">
        <v>91</v>
      </c>
      <c r="N850" t="s">
        <v>80</v>
      </c>
      <c r="O850">
        <f>MATCH(Combined[[#This Row],[Primary Area]],KPIs!$C$4:$C$7,0)</f>
        <v>2</v>
      </c>
      <c r="Q850" s="40">
        <v>46023</v>
      </c>
      <c r="R850" s="40">
        <f t="shared" si="229"/>
        <v>46023</v>
      </c>
      <c r="S850" s="4" t="str">
        <f>TEXT(Mileage[[#This Row],[Date]],"dddd")</f>
        <v>Thursday</v>
      </c>
      <c r="T850" s="4" t="s">
        <v>234</v>
      </c>
      <c r="U850" s="4">
        <v>28</v>
      </c>
      <c r="V850" t="str" cm="1">
        <f t="array" ref="V850">IFERROR(VLOOKUP(MODE(IF(Combined[Date]=Mileage[[#This Row],[Date]],Combined[Area '#])),KPIs!$B$4:$C$7,2,FALSE),VLOOKUP(Mileage[[#This Row],[Date]],Combined[[Date]:[Primary Area]],8,FALSE))</f>
        <v>Lewiston</v>
      </c>
      <c r="W850" s="105">
        <v>0.61458333333333337</v>
      </c>
      <c r="X850" s="12">
        <v>0.43</v>
      </c>
      <c r="Y850">
        <v>11</v>
      </c>
      <c r="Z85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51" spans="2:26" x14ac:dyDescent="0.35">
      <c r="B851">
        <f t="shared" si="228"/>
        <v>849</v>
      </c>
      <c r="C851" t="s">
        <v>86</v>
      </c>
      <c r="D851" t="s">
        <v>175</v>
      </c>
      <c r="E851">
        <f>IF(WEEKNUM(Combined[[#This Row],[Date]], 1) = 53, 1, WEEKNUM(Combined[[#This Row],[Date]], 2))</f>
        <v>37</v>
      </c>
      <c r="F851" t="str">
        <f t="shared" si="233"/>
        <v>Wednesday</v>
      </c>
      <c r="G851" s="41">
        <v>45175</v>
      </c>
      <c r="H851">
        <v>2</v>
      </c>
      <c r="I851" s="1">
        <f>19.07+3.87</f>
        <v>22.94</v>
      </c>
      <c r="J851" s="2">
        <v>6.805555555555555E-2</v>
      </c>
      <c r="K851" s="12">
        <f>Combined[[#This Row],[Time Spent]]*24</f>
        <v>1.6333333333333333</v>
      </c>
      <c r="L851" s="12">
        <f>MROUND(Combined[[#This Row],[Time Spent 2]],0.25)</f>
        <v>1.75</v>
      </c>
      <c r="M851" s="2" t="s">
        <v>91</v>
      </c>
      <c r="N851" t="s">
        <v>80</v>
      </c>
      <c r="O851">
        <f>MATCH(Combined[[#This Row],[Primary Area]],KPIs!$C$4:$C$7,0)</f>
        <v>2</v>
      </c>
      <c r="Q851" s="40">
        <v>46025</v>
      </c>
      <c r="R851" s="40">
        <f t="shared" si="229"/>
        <v>46025</v>
      </c>
      <c r="S851" s="4" t="str">
        <f>TEXT(Mileage[[#This Row],[Date]],"dddd")</f>
        <v>Saturday</v>
      </c>
      <c r="T851" s="4" t="s">
        <v>249</v>
      </c>
      <c r="U851" s="4">
        <v>19</v>
      </c>
      <c r="V851" t="str" cm="1">
        <f t="array" ref="V851">IFERROR(VLOOKUP(MODE(IF(Combined[Date]=Mileage[[#This Row],[Date]],Combined[Area '#])),KPIs!$B$4:$C$7,2,FALSE),VLOOKUP(Mileage[[#This Row],[Date]],Combined[[Date]:[Primary Area]],8,FALSE))</f>
        <v>Brunswick/Bath/Freeport</v>
      </c>
      <c r="W851" s="105">
        <v>0.85416666666666663</v>
      </c>
      <c r="X851" s="12">
        <v>4.83</v>
      </c>
      <c r="Y851">
        <v>137</v>
      </c>
      <c r="Z85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2" spans="2:26" x14ac:dyDescent="0.35">
      <c r="B852">
        <f t="shared" si="228"/>
        <v>850</v>
      </c>
      <c r="C852" t="s">
        <v>83</v>
      </c>
      <c r="D852" t="s">
        <v>176</v>
      </c>
      <c r="E852">
        <f>IF(WEEKNUM(Combined[[#This Row],[Date]], 1) = 53, 1, WEEKNUM(Combined[[#This Row],[Date]], 2))</f>
        <v>37</v>
      </c>
      <c r="F852" t="str">
        <f t="shared" ref="F852:F853" si="234">TEXT(WEEKDAY(G852,1),"DDDD")</f>
        <v>Thursday</v>
      </c>
      <c r="G852" s="41">
        <v>45176</v>
      </c>
      <c r="H852">
        <v>9</v>
      </c>
      <c r="I852" s="1">
        <v>98.49</v>
      </c>
      <c r="J852" s="2">
        <v>0.20833333333333334</v>
      </c>
      <c r="K852" s="12">
        <f>Combined[[#This Row],[Time Spent]]*24</f>
        <v>5</v>
      </c>
      <c r="L852" s="12">
        <f>MROUND(Combined[[#This Row],[Time Spent 2]],0.25)</f>
        <v>5</v>
      </c>
      <c r="M852" s="2" t="s">
        <v>91</v>
      </c>
      <c r="N852" t="s">
        <v>85</v>
      </c>
      <c r="O852">
        <f>MATCH(Combined[[#This Row],[Primary Area]],KPIs!$C$4:$C$7,0)</f>
        <v>4</v>
      </c>
      <c r="Q852" s="40">
        <v>46026</v>
      </c>
      <c r="R852" s="40">
        <f t="shared" si="229"/>
        <v>46026</v>
      </c>
      <c r="S852" s="4" t="str">
        <f>TEXT(Mileage[[#This Row],[Date]],"dddd")</f>
        <v>Sunday</v>
      </c>
      <c r="T852" s="4" t="s">
        <v>231</v>
      </c>
      <c r="U852" s="4">
        <v>18</v>
      </c>
      <c r="V852" t="str" cm="1">
        <f t="array" ref="V852">IFERROR(VLOOKUP(MODE(IF(Combined[Date]=Mileage[[#This Row],[Date]],Combined[Area '#])),KPIs!$B$4:$C$7,2,FALSE),VLOOKUP(Mileage[[#This Row],[Date]],Combined[[Date]:[Primary Area]],8,FALSE))</f>
        <v>Brunswick/Bath/Freeport</v>
      </c>
      <c r="W852" s="105">
        <v>0.87152777777777779</v>
      </c>
      <c r="X852" s="12">
        <v>1.22</v>
      </c>
      <c r="Y852">
        <v>37</v>
      </c>
      <c r="Z85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53" spans="2:26" x14ac:dyDescent="0.35">
      <c r="B853">
        <f t="shared" si="228"/>
        <v>851</v>
      </c>
      <c r="C853" t="s">
        <v>86</v>
      </c>
      <c r="D853" t="s">
        <v>175</v>
      </c>
      <c r="E853">
        <f>IF(WEEKNUM(Combined[[#This Row],[Date]], 1) = 53, 1, WEEKNUM(Combined[[#This Row],[Date]], 2))</f>
        <v>37</v>
      </c>
      <c r="F853" t="str">
        <f t="shared" si="234"/>
        <v>Thursday</v>
      </c>
      <c r="G853" s="41">
        <v>45176</v>
      </c>
      <c r="H853">
        <v>4</v>
      </c>
      <c r="I853" s="1">
        <v>36.409999999999997</v>
      </c>
      <c r="J853" s="2">
        <v>5.347222222222222E-2</v>
      </c>
      <c r="K853" s="12">
        <f>Combined[[#This Row],[Time Spent]]*24</f>
        <v>1.2833333333333332</v>
      </c>
      <c r="L853" s="12">
        <f>MROUND(Combined[[#This Row],[Time Spent 2]],0.25)</f>
        <v>1.25</v>
      </c>
      <c r="M853" s="2" t="s">
        <v>92</v>
      </c>
      <c r="N853" t="s">
        <v>85</v>
      </c>
      <c r="O853">
        <f>MATCH(Combined[[#This Row],[Primary Area]],KPIs!$C$4:$C$7,0)</f>
        <v>4</v>
      </c>
      <c r="Q853" s="40">
        <v>46030</v>
      </c>
      <c r="R853" s="40">
        <f t="shared" si="229"/>
        <v>46030</v>
      </c>
      <c r="S853" s="4" t="str">
        <f>TEXT(Mileage[[#This Row],[Date]],"dddd")</f>
        <v>Thursday</v>
      </c>
      <c r="T853" s="4" t="s">
        <v>230</v>
      </c>
      <c r="U853" s="4">
        <v>36</v>
      </c>
      <c r="V853" t="str" cm="1">
        <f t="array" ref="V853">IFERROR(VLOOKUP(MODE(IF(Combined[Date]=Mileage[[#This Row],[Date]],Combined[Area '#])),KPIs!$B$4:$C$7,2,FALSE),VLOOKUP(Mileage[[#This Row],[Date]],Combined[[Date]:[Primary Area]],8,FALSE))</f>
        <v>Lewiston</v>
      </c>
      <c r="W853" s="105">
        <v>0.84375</v>
      </c>
      <c r="X853" s="12">
        <v>1.72</v>
      </c>
      <c r="Y853">
        <v>33</v>
      </c>
      <c r="Z85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4" spans="2:26" x14ac:dyDescent="0.35">
      <c r="B854">
        <f t="shared" si="228"/>
        <v>852</v>
      </c>
      <c r="C854" t="s">
        <v>83</v>
      </c>
      <c r="D854" t="s">
        <v>176</v>
      </c>
      <c r="E854">
        <f>IF(WEEKNUM(Combined[[#This Row],[Date]], 1) = 53, 1, WEEKNUM(Combined[[#This Row],[Date]], 2))</f>
        <v>37</v>
      </c>
      <c r="F854" t="str">
        <f t="shared" ref="F854:F855" si="235">TEXT(WEEKDAY(G854,1),"DDDD")</f>
        <v>Friday</v>
      </c>
      <c r="G854" s="41">
        <v>45177</v>
      </c>
      <c r="H854">
        <v>4</v>
      </c>
      <c r="I854" s="1">
        <v>81.459999999999994</v>
      </c>
      <c r="J854" s="2">
        <v>0.12361111111111112</v>
      </c>
      <c r="K854" s="12">
        <f>Combined[[#This Row],[Time Spent]]*24</f>
        <v>2.9666666666666668</v>
      </c>
      <c r="L854" s="12">
        <f>MROUND(Combined[[#This Row],[Time Spent 2]],0.25)</f>
        <v>3</v>
      </c>
      <c r="M854" s="2" t="s">
        <v>91</v>
      </c>
      <c r="N854" t="s">
        <v>80</v>
      </c>
      <c r="O854">
        <f>MATCH(Combined[[#This Row],[Primary Area]],KPIs!$C$4:$C$7,0)</f>
        <v>2</v>
      </c>
      <c r="Q854" s="40">
        <v>46036</v>
      </c>
      <c r="R854" s="40">
        <f t="shared" si="229"/>
        <v>46036</v>
      </c>
      <c r="S854" s="4" t="str">
        <f>TEXT(Mileage[[#This Row],[Date]],"dddd")</f>
        <v>Wednesday</v>
      </c>
      <c r="T854" s="4" t="s">
        <v>325</v>
      </c>
      <c r="U854" s="4">
        <v>41</v>
      </c>
      <c r="V854" t="str" cm="1">
        <f t="array" ref="V854">IFERROR(VLOOKUP(MODE(IF(Combined[Date]=Mileage[[#This Row],[Date]],Combined[Area '#])),KPIs!$B$4:$C$7,2,FALSE),VLOOKUP(Mileage[[#This Row],[Date]],Combined[[Date]:[Primary Area]],8,FALSE))</f>
        <v>Lewiston</v>
      </c>
      <c r="W854" s="105">
        <v>0.84027777777777779</v>
      </c>
      <c r="X854" s="12">
        <v>2.23</v>
      </c>
      <c r="Y854">
        <v>38</v>
      </c>
      <c r="Z85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5" spans="2:26" x14ac:dyDescent="0.35">
      <c r="B855">
        <f t="shared" si="228"/>
        <v>853</v>
      </c>
      <c r="C855" t="s">
        <v>86</v>
      </c>
      <c r="D855" t="s">
        <v>175</v>
      </c>
      <c r="E855">
        <f>IF(WEEKNUM(Combined[[#This Row],[Date]], 1) = 53, 1, WEEKNUM(Combined[[#This Row],[Date]], 2))</f>
        <v>37</v>
      </c>
      <c r="F855" t="str">
        <f t="shared" si="235"/>
        <v>Friday</v>
      </c>
      <c r="G855" s="41">
        <v>45177</v>
      </c>
      <c r="H855">
        <v>7</v>
      </c>
      <c r="I855" s="1">
        <v>58.56</v>
      </c>
      <c r="J855" s="2">
        <v>0.14861111111111111</v>
      </c>
      <c r="K855" s="12">
        <f>Combined[[#This Row],[Time Spent]]*24</f>
        <v>3.5666666666666664</v>
      </c>
      <c r="L855" s="12">
        <f>MROUND(Combined[[#This Row],[Time Spent 2]],0.25)</f>
        <v>3.5</v>
      </c>
      <c r="M855" s="2" t="s">
        <v>91</v>
      </c>
      <c r="N855" t="s">
        <v>80</v>
      </c>
      <c r="O855">
        <f>MATCH(Combined[[#This Row],[Primary Area]],KPIs!$C$4:$C$7,0)</f>
        <v>2</v>
      </c>
      <c r="Q855" s="40">
        <v>46038</v>
      </c>
      <c r="R855" s="40">
        <f t="shared" si="229"/>
        <v>46038</v>
      </c>
      <c r="S855" s="4" t="str">
        <f>TEXT(Mileage[[#This Row],[Date]],"dddd")</f>
        <v>Friday</v>
      </c>
      <c r="T855" s="4" t="s">
        <v>230</v>
      </c>
      <c r="U855" s="4">
        <v>18</v>
      </c>
      <c r="V855" t="str" cm="1">
        <f t="array" ref="V855">IFERROR(VLOOKUP(MODE(IF(Combined[Date]=Mileage[[#This Row],[Date]],Combined[Area '#])),KPIs!$B$4:$C$7,2,FALSE),VLOOKUP(Mileage[[#This Row],[Date]],Combined[[Date]:[Primary Area]],8,FALSE))</f>
        <v>Brunswick/Bath/Freeport</v>
      </c>
      <c r="W855" s="105">
        <v>0.81597222222222221</v>
      </c>
      <c r="X855" s="12">
        <v>4.12</v>
      </c>
      <c r="Y855">
        <v>100</v>
      </c>
      <c r="Z85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6" spans="2:26" x14ac:dyDescent="0.35">
      <c r="B856">
        <f t="shared" si="228"/>
        <v>854</v>
      </c>
      <c r="C856" t="s">
        <v>83</v>
      </c>
      <c r="D856" t="s">
        <v>176</v>
      </c>
      <c r="E856">
        <f>IF(WEEKNUM(Combined[[#This Row],[Date]], 1) = 53, 1, WEEKNUM(Combined[[#This Row],[Date]], 2))</f>
        <v>37</v>
      </c>
      <c r="F856" t="str">
        <f t="shared" ref="F856:F857" si="236">TEXT(WEEKDAY(G856,1),"DDDD")</f>
        <v>Sunday</v>
      </c>
      <c r="G856" s="41">
        <v>45179</v>
      </c>
      <c r="H856">
        <v>7</v>
      </c>
      <c r="I856" s="1">
        <v>110.85</v>
      </c>
      <c r="J856" s="2">
        <v>0.19236111111111112</v>
      </c>
      <c r="K856" s="12">
        <f>Combined[[#This Row],[Time Spent]]*24</f>
        <v>4.6166666666666671</v>
      </c>
      <c r="L856" s="12">
        <f>MROUND(Combined[[#This Row],[Time Spent 2]],0.25)</f>
        <v>4.5</v>
      </c>
      <c r="M856" s="2" t="s">
        <v>91</v>
      </c>
      <c r="N856" t="s">
        <v>85</v>
      </c>
      <c r="O856">
        <f>MATCH(Combined[[#This Row],[Primary Area]],KPIs!$C$4:$C$7,0)</f>
        <v>4</v>
      </c>
      <c r="Q856" s="40">
        <v>46039</v>
      </c>
      <c r="R856" s="40">
        <f t="shared" si="229"/>
        <v>46039</v>
      </c>
      <c r="S856" s="4" t="str">
        <f>TEXT(Mileage[[#This Row],[Date]],"dddd")</f>
        <v>Saturday</v>
      </c>
      <c r="T856" s="4" t="s">
        <v>234</v>
      </c>
      <c r="U856" s="4">
        <v>25</v>
      </c>
      <c r="V856" t="str" cm="1">
        <f t="array" ref="V856">IFERROR(VLOOKUP(MODE(IF(Combined[Date]=Mileage[[#This Row],[Date]],Combined[Area '#])),KPIs!$B$4:$C$7,2,FALSE),VLOOKUP(Mileage[[#This Row],[Date]],Combined[[Date]:[Primary Area]],8,FALSE))</f>
        <v>Lewiston</v>
      </c>
      <c r="W856" s="105">
        <v>0.66666666666666663</v>
      </c>
      <c r="X856" s="12">
        <v>4.2699999999999996</v>
      </c>
      <c r="Y856">
        <v>72</v>
      </c>
      <c r="Z85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57" spans="2:26" x14ac:dyDescent="0.35">
      <c r="B857">
        <f t="shared" si="228"/>
        <v>855</v>
      </c>
      <c r="C857" t="s">
        <v>86</v>
      </c>
      <c r="D857" t="s">
        <v>176</v>
      </c>
      <c r="E857">
        <f>IF(WEEKNUM(Combined[[#This Row],[Date]], 1) = 53, 1, WEEKNUM(Combined[[#This Row],[Date]], 2))</f>
        <v>37</v>
      </c>
      <c r="F857" t="str">
        <f t="shared" si="236"/>
        <v>Sunday</v>
      </c>
      <c r="G857" s="41">
        <v>45179</v>
      </c>
      <c r="H857">
        <v>1</v>
      </c>
      <c r="I857" s="1">
        <v>4.33</v>
      </c>
      <c r="J857" s="2">
        <v>1.0416666666666666E-2</v>
      </c>
      <c r="K857" s="12">
        <f>Combined[[#This Row],[Time Spent]]*24</f>
        <v>0.25</v>
      </c>
      <c r="L857" s="12">
        <f>MROUND(Combined[[#This Row],[Time Spent 2]],0.25)</f>
        <v>0.25</v>
      </c>
      <c r="M857" s="2" t="s">
        <v>91</v>
      </c>
      <c r="N857" t="s">
        <v>85</v>
      </c>
      <c r="O857">
        <f>MATCH(Combined[[#This Row],[Primary Area]],KPIs!$C$4:$C$7,0)</f>
        <v>4</v>
      </c>
      <c r="Q857" s="40">
        <v>46040</v>
      </c>
      <c r="R857" s="40">
        <f t="shared" si="229"/>
        <v>46040</v>
      </c>
      <c r="S857" s="4" t="str">
        <f>TEXT(Mileage[[#This Row],[Date]],"dddd")</f>
        <v>Sunday</v>
      </c>
      <c r="T857" s="4" t="s">
        <v>231</v>
      </c>
      <c r="U857" s="4">
        <v>30</v>
      </c>
      <c r="V857" t="str" cm="1">
        <f t="array" ref="V857">IFERROR(VLOOKUP(MODE(IF(Combined[Date]=Mileage[[#This Row],[Date]],Combined[Area '#])),KPIs!$B$4:$C$7,2,FALSE),VLOOKUP(Mileage[[#This Row],[Date]],Combined[[Date]:[Primary Area]],8,FALSE))</f>
        <v>Brunswick/Bath/Freeport</v>
      </c>
      <c r="W857" s="105">
        <v>0.67361111111111116</v>
      </c>
      <c r="X857" s="12">
        <v>1.63</v>
      </c>
      <c r="Y857">
        <v>45</v>
      </c>
      <c r="Z857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8" spans="2:26" x14ac:dyDescent="0.35">
      <c r="B858">
        <f t="shared" si="228"/>
        <v>856</v>
      </c>
      <c r="C858" t="s">
        <v>83</v>
      </c>
      <c r="D858" t="s">
        <v>176</v>
      </c>
      <c r="E858">
        <f>IF(WEEKNUM(Combined[[#This Row],[Date]], 1) = 53, 1, WEEKNUM(Combined[[#This Row],[Date]], 2))</f>
        <v>38</v>
      </c>
      <c r="F858" t="str">
        <f t="shared" ref="F858:F860" si="237">TEXT(WEEKDAY(G858,1),"DDDD")</f>
        <v>Monday</v>
      </c>
      <c r="G858" s="41">
        <v>45180</v>
      </c>
      <c r="H858">
        <v>5</v>
      </c>
      <c r="I858" s="1">
        <v>74.349999999999994</v>
      </c>
      <c r="J858" s="2">
        <v>0.12708333333333333</v>
      </c>
      <c r="K858" s="12">
        <f>Combined[[#This Row],[Time Spent]]*24</f>
        <v>3.05</v>
      </c>
      <c r="L858" s="12">
        <f>MROUND(Combined[[#This Row],[Time Spent 2]],0.25)</f>
        <v>3</v>
      </c>
      <c r="M858" s="2" t="s">
        <v>91</v>
      </c>
      <c r="N858" t="s">
        <v>80</v>
      </c>
      <c r="O858">
        <f>MATCH(Combined[[#This Row],[Primary Area]],KPIs!$C$4:$C$7,0)</f>
        <v>2</v>
      </c>
      <c r="Q858" s="40">
        <v>46041</v>
      </c>
      <c r="R858" s="40">
        <f t="shared" si="229"/>
        <v>46041</v>
      </c>
      <c r="S858" s="4" t="str">
        <f>TEXT(Mileage[[#This Row],[Date]],"dddd")</f>
        <v>Monday</v>
      </c>
      <c r="T858" s="4" t="s">
        <v>231</v>
      </c>
      <c r="U858" s="4">
        <v>30</v>
      </c>
      <c r="V858" t="str" cm="1">
        <f t="array" ref="V858">IFERROR(VLOOKUP(MODE(IF(Combined[Date]=Mileage[[#This Row],[Date]],Combined[Area '#])),KPIs!$B$4:$C$7,2,FALSE),VLOOKUP(Mileage[[#This Row],[Date]],Combined[[Date]:[Primary Area]],8,FALSE))</f>
        <v>Portland</v>
      </c>
      <c r="W858" s="105">
        <v>0.50694444444444442</v>
      </c>
      <c r="X858" s="12">
        <v>4.47</v>
      </c>
      <c r="Y858">
        <v>90</v>
      </c>
      <c r="Z85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59" spans="2:26" x14ac:dyDescent="0.35">
      <c r="B859">
        <f t="shared" si="228"/>
        <v>857</v>
      </c>
      <c r="C859" t="s">
        <v>86</v>
      </c>
      <c r="D859" t="s">
        <v>175</v>
      </c>
      <c r="E859">
        <f>IF(WEEKNUM(Combined[[#This Row],[Date]], 1) = 53, 1, WEEKNUM(Combined[[#This Row],[Date]], 2))</f>
        <v>38</v>
      </c>
      <c r="F859" t="str">
        <f t="shared" si="237"/>
        <v>Monday</v>
      </c>
      <c r="G859" s="41">
        <v>45180</v>
      </c>
      <c r="H859">
        <v>3</v>
      </c>
      <c r="I859" s="1">
        <v>27.5</v>
      </c>
      <c r="J859" s="2">
        <v>6.1111111111111116E-2</v>
      </c>
      <c r="K859" s="12">
        <f>Combined[[#This Row],[Time Spent]]*24</f>
        <v>1.4666666666666668</v>
      </c>
      <c r="L859" s="12">
        <f>MROUND(Combined[[#This Row],[Time Spent 2]],0.25)</f>
        <v>1.5</v>
      </c>
      <c r="M859" s="2" t="s">
        <v>91</v>
      </c>
      <c r="N859" t="s">
        <v>80</v>
      </c>
      <c r="O859">
        <f>MATCH(Combined[[#This Row],[Primary Area]],KPIs!$C$4:$C$7,0)</f>
        <v>2</v>
      </c>
      <c r="Q859" s="40">
        <v>46046</v>
      </c>
      <c r="R859" s="40">
        <f t="shared" si="229"/>
        <v>46046</v>
      </c>
      <c r="S859" s="4" t="str">
        <f>TEXT(Mileage[[#This Row],[Date]],"dddd")</f>
        <v>Saturday</v>
      </c>
      <c r="T859" s="4" t="s">
        <v>230</v>
      </c>
      <c r="U859" s="4">
        <v>16</v>
      </c>
      <c r="V859" t="str" cm="1">
        <f t="array" ref="V859">IFERROR(VLOOKUP(MODE(IF(Combined[Date]=Mileage[[#This Row],[Date]],Combined[Area '#])),KPIs!$B$4:$C$7,2,FALSE),VLOOKUP(Mileage[[#This Row],[Date]],Combined[[Date]:[Primary Area]],8,FALSE))</f>
        <v>Brunswick/Bath/Freeport</v>
      </c>
      <c r="W859" s="105">
        <v>0.77777777777777779</v>
      </c>
      <c r="X859" s="12">
        <v>4.62</v>
      </c>
      <c r="Y859">
        <v>94</v>
      </c>
      <c r="Z859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0" spans="2:26" x14ac:dyDescent="0.35">
      <c r="B860">
        <f t="shared" si="228"/>
        <v>858</v>
      </c>
      <c r="C860" t="s">
        <v>86</v>
      </c>
      <c r="D860" t="s">
        <v>175</v>
      </c>
      <c r="E860">
        <f>IF(WEEKNUM(Combined[[#This Row],[Date]], 1) = 53, 1, WEEKNUM(Combined[[#This Row],[Date]], 2))</f>
        <v>38</v>
      </c>
      <c r="F860" t="str">
        <f t="shared" si="237"/>
        <v>Monday</v>
      </c>
      <c r="G860" s="41">
        <v>45180</v>
      </c>
      <c r="H860">
        <v>2</v>
      </c>
      <c r="I860" s="1">
        <v>14.71</v>
      </c>
      <c r="J860" s="2">
        <v>4.3750000000000004E-2</v>
      </c>
      <c r="K860" s="12">
        <f>Combined[[#This Row],[Time Spent]]*24</f>
        <v>1.05</v>
      </c>
      <c r="L860" s="12">
        <f>MROUND(Combined[[#This Row],[Time Spent 2]],0.25)</f>
        <v>1</v>
      </c>
      <c r="M860" s="2" t="s">
        <v>92</v>
      </c>
      <c r="N860" t="s">
        <v>80</v>
      </c>
      <c r="O860">
        <f>MATCH(Combined[[#This Row],[Primary Area]],KPIs!$C$4:$C$7,0)</f>
        <v>2</v>
      </c>
      <c r="Q860" s="40">
        <v>46048</v>
      </c>
      <c r="R860" s="40">
        <f t="shared" si="229"/>
        <v>46048</v>
      </c>
      <c r="S860" s="4" t="str">
        <f>TEXT(Mileage[[#This Row],[Date]],"dddd")</f>
        <v>Monday</v>
      </c>
      <c r="T860" s="4" t="s">
        <v>234</v>
      </c>
      <c r="U860" s="4">
        <v>12</v>
      </c>
      <c r="V860" t="str" cm="1">
        <f t="array" ref="V860">IFERROR(VLOOKUP(MODE(IF(Combined[Date]=Mileage[[#This Row],[Date]],Combined[Area '#])),KPIs!$B$4:$C$7,2,FALSE),VLOOKUP(Mileage[[#This Row],[Date]],Combined[[Date]:[Primary Area]],8,FALSE))</f>
        <v>Brunswick/Bath/Freeport</v>
      </c>
      <c r="W860" s="105">
        <v>0.90277777777777779</v>
      </c>
      <c r="X860" s="12">
        <v>0.85</v>
      </c>
      <c r="Y860">
        <v>24</v>
      </c>
      <c r="Z86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1" spans="2:26" x14ac:dyDescent="0.35">
      <c r="B861">
        <f t="shared" si="228"/>
        <v>859</v>
      </c>
      <c r="C861" t="s">
        <v>86</v>
      </c>
      <c r="D861" t="s">
        <v>176</v>
      </c>
      <c r="E861">
        <f>IF(WEEKNUM(Combined[[#This Row],[Date]], 1) = 53, 1, WEEKNUM(Combined[[#This Row],[Date]], 2))</f>
        <v>38</v>
      </c>
      <c r="F861" t="str">
        <f t="shared" ref="F861:F865" si="238">TEXT(WEEKDAY(G861,1),"DDDD")</f>
        <v>Wednesday</v>
      </c>
      <c r="G861" s="41">
        <v>45182</v>
      </c>
      <c r="H861">
        <v>8</v>
      </c>
      <c r="I861" s="1">
        <v>90</v>
      </c>
      <c r="J861" s="2">
        <v>0.1423611111111111</v>
      </c>
      <c r="K861" s="12">
        <f>Combined[[#This Row],[Time Spent]]*24</f>
        <v>3.4166666666666665</v>
      </c>
      <c r="L861" s="12">
        <f>MROUND(Combined[[#This Row],[Time Spent 2]],0.25)</f>
        <v>3.5</v>
      </c>
      <c r="M861" s="2" t="s">
        <v>91</v>
      </c>
      <c r="N861" t="s">
        <v>80</v>
      </c>
      <c r="O861">
        <f>MATCH(Combined[[#This Row],[Primary Area]],KPIs!$C$4:$C$7,0)</f>
        <v>2</v>
      </c>
      <c r="Q861" s="40">
        <v>46054</v>
      </c>
      <c r="R861" s="40">
        <f t="shared" si="229"/>
        <v>46054</v>
      </c>
      <c r="S861" s="4" t="str">
        <f>TEXT(Mileage[[#This Row],[Date]],"dddd")</f>
        <v>Sunday</v>
      </c>
      <c r="T861" s="4" t="s">
        <v>230</v>
      </c>
      <c r="U861" s="4">
        <v>21</v>
      </c>
      <c r="V861" t="str" cm="1">
        <f t="array" ref="V861">IFERROR(VLOOKUP(MODE(IF(Combined[Date]=Mileage[[#This Row],[Date]],Combined[Area '#])),KPIs!$B$4:$C$7,2,FALSE),VLOOKUP(Mileage[[#This Row],[Date]],Combined[[Date]:[Primary Area]],8,FALSE))</f>
        <v>Brunswick/Bath/Freeport</v>
      </c>
      <c r="W861" s="105">
        <v>0.78125</v>
      </c>
      <c r="X861" s="12">
        <v>4.4800000000000004</v>
      </c>
      <c r="Y861">
        <v>119</v>
      </c>
      <c r="Z86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62" spans="2:26" x14ac:dyDescent="0.35">
      <c r="B862">
        <f t="shared" si="228"/>
        <v>860</v>
      </c>
      <c r="C862" t="s">
        <v>83</v>
      </c>
      <c r="D862" t="s">
        <v>176</v>
      </c>
      <c r="E862">
        <f>IF(WEEKNUM(Combined[[#This Row],[Date]], 1) = 53, 1, WEEKNUM(Combined[[#This Row],[Date]], 2))</f>
        <v>38</v>
      </c>
      <c r="F862" t="str">
        <f t="shared" si="238"/>
        <v>Thursday</v>
      </c>
      <c r="G862" s="41">
        <v>45183</v>
      </c>
      <c r="H862">
        <v>1</v>
      </c>
      <c r="I862" s="1">
        <v>21.98</v>
      </c>
      <c r="J862" s="2">
        <v>3.6805555555555557E-2</v>
      </c>
      <c r="K862" s="12">
        <f>Combined[[#This Row],[Time Spent]]*24</f>
        <v>0.8833333333333333</v>
      </c>
      <c r="L862" s="12">
        <f>MROUND(Combined[[#This Row],[Time Spent 2]],0.25)</f>
        <v>1</v>
      </c>
      <c r="M862" s="2" t="s">
        <v>91</v>
      </c>
      <c r="N862" t="s">
        <v>80</v>
      </c>
      <c r="O862">
        <f>MATCH(Combined[[#This Row],[Primary Area]],KPIs!$C$4:$C$7,0)</f>
        <v>2</v>
      </c>
      <c r="Q862" s="40">
        <v>46066</v>
      </c>
      <c r="R862" s="40">
        <f t="shared" si="229"/>
        <v>46066</v>
      </c>
      <c r="S862" s="4" t="str">
        <f>TEXT(Mileage[[#This Row],[Date]],"dddd")</f>
        <v>Friday</v>
      </c>
      <c r="T862" s="4" t="s">
        <v>230</v>
      </c>
      <c r="U862" s="4">
        <v>25</v>
      </c>
      <c r="V862" t="str" cm="1">
        <f t="array" ref="V862">IFERROR(VLOOKUP(MODE(IF(Combined[Date]=Mileage[[#This Row],[Date]],Combined[Area '#])),KPIs!$B$4:$C$7,2,FALSE),VLOOKUP(Mileage[[#This Row],[Date]],Combined[[Date]:[Primary Area]],8,FALSE))</f>
        <v>Portland</v>
      </c>
      <c r="W862" s="105">
        <v>0.83333333333333337</v>
      </c>
      <c r="X862" s="12">
        <v>4.33</v>
      </c>
      <c r="Y862">
        <v>131</v>
      </c>
      <c r="Z86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3" spans="2:26" x14ac:dyDescent="0.35">
      <c r="B863">
        <f t="shared" si="228"/>
        <v>861</v>
      </c>
      <c r="C863" t="s">
        <v>83</v>
      </c>
      <c r="D863" t="s">
        <v>176</v>
      </c>
      <c r="E863">
        <f>IF(WEEKNUM(Combined[[#This Row],[Date]], 1) = 53, 1, WEEKNUM(Combined[[#This Row],[Date]], 2))</f>
        <v>38</v>
      </c>
      <c r="F863" t="str">
        <f t="shared" si="238"/>
        <v>Saturday</v>
      </c>
      <c r="G863" s="41">
        <v>45185</v>
      </c>
      <c r="H863">
        <v>1</v>
      </c>
      <c r="I863" s="1">
        <v>15.63</v>
      </c>
      <c r="J863" s="2">
        <v>7.2916666666666671E-2</v>
      </c>
      <c r="K863" s="12">
        <f>Combined[[#This Row],[Time Spent]]*24</f>
        <v>1.75</v>
      </c>
      <c r="L863" s="12">
        <f>MROUND(Combined[[#This Row],[Time Spent 2]],0.25)</f>
        <v>1.75</v>
      </c>
      <c r="M863" s="2" t="s">
        <v>91</v>
      </c>
      <c r="N863" t="s">
        <v>80</v>
      </c>
      <c r="O863">
        <f>MATCH(Combined[[#This Row],[Primary Area]],KPIs!$C$4:$C$7,0)</f>
        <v>2</v>
      </c>
      <c r="Q863" s="40">
        <v>46067</v>
      </c>
      <c r="R863" s="40">
        <f t="shared" si="229"/>
        <v>46067</v>
      </c>
      <c r="S863" s="4" t="str">
        <f>TEXT(Mileage[[#This Row],[Date]],"dddd")</f>
        <v>Saturday</v>
      </c>
      <c r="T863" s="4" t="s">
        <v>230</v>
      </c>
      <c r="U863" s="4">
        <v>28</v>
      </c>
      <c r="V863" t="str" cm="1">
        <f t="array" ref="V863">IFERROR(VLOOKUP(MODE(IF(Combined[Date]=Mileage[[#This Row],[Date]],Combined[Area '#])),KPIs!$B$4:$C$7,2,FALSE),VLOOKUP(Mileage[[#This Row],[Date]],Combined[[Date]:[Primary Area]],8,FALSE))</f>
        <v>Brunswick/Bath/Freeport</v>
      </c>
      <c r="W863" s="105">
        <v>0.88541666666666663</v>
      </c>
      <c r="X863" s="12">
        <v>3.5</v>
      </c>
      <c r="Y863">
        <v>109</v>
      </c>
      <c r="Z86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64" spans="2:26" x14ac:dyDescent="0.35">
      <c r="B864">
        <f t="shared" si="228"/>
        <v>862</v>
      </c>
      <c r="C864" t="s">
        <v>86</v>
      </c>
      <c r="D864" t="s">
        <v>175</v>
      </c>
      <c r="E864">
        <f>IF(WEEKNUM(Combined[[#This Row],[Date]], 1) = 53, 1, WEEKNUM(Combined[[#This Row],[Date]], 2))</f>
        <v>38</v>
      </c>
      <c r="F864" t="str">
        <f t="shared" si="238"/>
        <v>Saturday</v>
      </c>
      <c r="G864" s="41">
        <v>45185</v>
      </c>
      <c r="H864">
        <v>4</v>
      </c>
      <c r="I864" s="1">
        <v>44.9</v>
      </c>
      <c r="J864" s="2">
        <v>0.13055555555555556</v>
      </c>
      <c r="K864" s="12">
        <f>Combined[[#This Row],[Time Spent]]*24</f>
        <v>3.1333333333333337</v>
      </c>
      <c r="L864" s="12">
        <f>MROUND(Combined[[#This Row],[Time Spent 2]],0.25)</f>
        <v>3.25</v>
      </c>
      <c r="M864" s="2" t="s">
        <v>91</v>
      </c>
      <c r="N864" t="s">
        <v>80</v>
      </c>
      <c r="O864">
        <f>MATCH(Combined[[#This Row],[Primary Area]],KPIs!$C$4:$C$7,0)</f>
        <v>2</v>
      </c>
      <c r="Q864" s="40">
        <v>46073</v>
      </c>
      <c r="R864" s="40">
        <f t="shared" si="229"/>
        <v>46073</v>
      </c>
      <c r="S864" s="4" t="str">
        <f>TEXT(Mileage[[#This Row],[Date]],"dddd")</f>
        <v>Friday</v>
      </c>
      <c r="T864" s="4" t="s">
        <v>232</v>
      </c>
      <c r="U864" s="4">
        <v>32</v>
      </c>
      <c r="V864" t="str" cm="1">
        <f t="array" ref="V864">IFERROR(VLOOKUP(MODE(IF(Combined[Date]=Mileage[[#This Row],[Date]],Combined[Area '#])),KPIs!$B$4:$C$7,2,FALSE),VLOOKUP(Mileage[[#This Row],[Date]],Combined[[Date]:[Primary Area]],8,FALSE))</f>
        <v>Brunswick/Bath/Freeport</v>
      </c>
      <c r="W864" s="105">
        <v>0.82986111111111116</v>
      </c>
      <c r="X864" s="12">
        <v>4.22</v>
      </c>
      <c r="Y864">
        <v>77</v>
      </c>
      <c r="Z86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65" spans="2:26" x14ac:dyDescent="0.35">
      <c r="B865">
        <f t="shared" si="228"/>
        <v>863</v>
      </c>
      <c r="C865" t="s">
        <v>86</v>
      </c>
      <c r="D865" t="s">
        <v>175</v>
      </c>
      <c r="E865">
        <f>IF(WEEKNUM(Combined[[#This Row],[Date]], 1) = 53, 1, WEEKNUM(Combined[[#This Row],[Date]], 2))</f>
        <v>38</v>
      </c>
      <c r="F865" t="str">
        <f t="shared" si="238"/>
        <v>Saturday</v>
      </c>
      <c r="G865" s="41">
        <v>45185</v>
      </c>
      <c r="H865">
        <v>4</v>
      </c>
      <c r="I865" s="1">
        <v>38.68</v>
      </c>
      <c r="J865" s="2">
        <v>9.4444444444444442E-2</v>
      </c>
      <c r="K865" s="12">
        <f>Combined[[#This Row],[Time Spent]]*24</f>
        <v>2.2666666666666666</v>
      </c>
      <c r="L865" s="12">
        <f>MROUND(Combined[[#This Row],[Time Spent 2]],0.25)</f>
        <v>2.25</v>
      </c>
      <c r="M865" s="2" t="s">
        <v>91</v>
      </c>
      <c r="N865" t="s">
        <v>80</v>
      </c>
      <c r="O865">
        <f>MATCH(Combined[[#This Row],[Primary Area]],KPIs!$C$4:$C$7,0)</f>
        <v>2</v>
      </c>
      <c r="Q865" s="40">
        <v>46074</v>
      </c>
      <c r="R865" s="40">
        <f t="shared" si="229"/>
        <v>46074</v>
      </c>
      <c r="S865" s="4" t="str">
        <f>TEXT(Mileage[[#This Row],[Date]],"dddd")</f>
        <v>Saturday</v>
      </c>
      <c r="T865" s="4" t="s">
        <v>230</v>
      </c>
      <c r="U865" s="4">
        <v>27</v>
      </c>
      <c r="V865" t="str" cm="1">
        <f t="array" ref="V865">IFERROR(VLOOKUP(MODE(IF(Combined[Date]=Mileage[[#This Row],[Date]],Combined[Area '#])),KPIs!$B$4:$C$7,2,FALSE),VLOOKUP(Mileage[[#This Row],[Date]],Combined[[Date]:[Primary Area]],8,FALSE))</f>
        <v>Brunswick/Bath/Freeport</v>
      </c>
      <c r="W865" s="105">
        <v>0.65277777777777779</v>
      </c>
      <c r="X865" s="12">
        <v>4.9800000000000004</v>
      </c>
      <c r="Y865">
        <v>122</v>
      </c>
      <c r="Z86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66" spans="2:26" x14ac:dyDescent="0.35">
      <c r="B866">
        <f t="shared" si="228"/>
        <v>864</v>
      </c>
      <c r="C866" t="s">
        <v>86</v>
      </c>
      <c r="D866" t="s">
        <v>175</v>
      </c>
      <c r="E866">
        <f>IF(WEEKNUM(Combined[[#This Row],[Date]], 1) = 53, 1, WEEKNUM(Combined[[#This Row],[Date]], 2))</f>
        <v>38</v>
      </c>
      <c r="F866" t="str">
        <f>TEXT(WEEKDAY(G866,1),"DDDD")</f>
        <v>Saturday</v>
      </c>
      <c r="G866" s="41">
        <v>45185</v>
      </c>
      <c r="H866">
        <v>1</v>
      </c>
      <c r="I866" s="1">
        <v>5.76</v>
      </c>
      <c r="J866" s="2">
        <v>1.3194444444444444E-2</v>
      </c>
      <c r="K866" s="12">
        <f>Combined[[#This Row],[Time Spent]]*24</f>
        <v>0.31666666666666665</v>
      </c>
      <c r="L866" s="12">
        <f>MROUND(Combined[[#This Row],[Time Spent 2]],0.25)</f>
        <v>0.25</v>
      </c>
      <c r="M866" s="2" t="s">
        <v>92</v>
      </c>
      <c r="N866" t="s">
        <v>80</v>
      </c>
      <c r="O866">
        <f>MATCH(Combined[[#This Row],[Primary Area]],KPIs!$C$4:$C$7,0)</f>
        <v>2</v>
      </c>
      <c r="Q866" s="40">
        <v>46083</v>
      </c>
      <c r="R866" s="40">
        <f t="shared" si="229"/>
        <v>46083</v>
      </c>
      <c r="S866" s="4" t="str">
        <f>TEXT(Mileage[[#This Row],[Date]],"dddd")</f>
        <v>Monday</v>
      </c>
      <c r="T866" s="4" t="s">
        <v>230</v>
      </c>
      <c r="U866" s="4">
        <v>18</v>
      </c>
      <c r="V866" t="str" cm="1">
        <f t="array" ref="V866">IFERROR(VLOOKUP(MODE(IF(Combined[Date]=Mileage[[#This Row],[Date]],Combined[Area '#])),KPIs!$B$4:$C$7,2,FALSE),VLOOKUP(Mileage[[#This Row],[Date]],Combined[[Date]:[Primary Area]],8,FALSE))</f>
        <v>Brunswick/Bath/Freeport</v>
      </c>
      <c r="W866" s="105">
        <v>0.82986111111111116</v>
      </c>
      <c r="X866" s="12">
        <v>4.87</v>
      </c>
      <c r="Y866">
        <v>111</v>
      </c>
      <c r="Z866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7" spans="2:26" x14ac:dyDescent="0.35">
      <c r="B867">
        <f t="shared" si="228"/>
        <v>865</v>
      </c>
      <c r="C867" t="s">
        <v>83</v>
      </c>
      <c r="D867" t="s">
        <v>176</v>
      </c>
      <c r="E867">
        <f>IF(WEEKNUM(Combined[[#This Row],[Date]], 1) = 53, 1, WEEKNUM(Combined[[#This Row],[Date]], 2))</f>
        <v>39</v>
      </c>
      <c r="F867" t="str">
        <f t="shared" ref="F867:F868" si="239">TEXT(WEEKDAY(G867,1),"DDDD")</f>
        <v>Tuesday</v>
      </c>
      <c r="G867" s="41">
        <v>45188</v>
      </c>
      <c r="H867">
        <v>1</v>
      </c>
      <c r="I867" s="1">
        <v>4.45</v>
      </c>
      <c r="J867" s="2">
        <v>6.3194444444444442E-2</v>
      </c>
      <c r="K867" s="12">
        <f>Combined[[#This Row],[Time Spent]]*24</f>
        <v>1.5166666666666666</v>
      </c>
      <c r="L867" s="12">
        <f>MROUND(Combined[[#This Row],[Time Spent 2]],0.25)</f>
        <v>1.5</v>
      </c>
      <c r="M867" s="2" t="s">
        <v>91</v>
      </c>
      <c r="N867" t="s">
        <v>174</v>
      </c>
      <c r="O867">
        <f>MATCH(Combined[[#This Row],[Primary Area]],KPIs!$C$4:$C$7,0)</f>
        <v>1</v>
      </c>
      <c r="Q867" s="40">
        <v>46084</v>
      </c>
      <c r="R867" s="40">
        <f t="shared" si="229"/>
        <v>46084</v>
      </c>
      <c r="S867" s="4" t="str">
        <f>TEXT(Mileage[[#This Row],[Date]],"dddd")</f>
        <v>Tuesday</v>
      </c>
      <c r="T867" s="4" t="s">
        <v>232</v>
      </c>
      <c r="U867" s="4">
        <v>28</v>
      </c>
      <c r="V867" t="str" cm="1">
        <f t="array" ref="V867">IFERROR(VLOOKUP(MODE(IF(Combined[Date]=Mileage[[#This Row],[Date]],Combined[Area '#])),KPIs!$B$4:$C$7,2,FALSE),VLOOKUP(Mileage[[#This Row],[Date]],Combined[[Date]:[Primary Area]],8,FALSE))</f>
        <v>Lewiston</v>
      </c>
      <c r="W867" s="105">
        <v>0.90972222222222221</v>
      </c>
      <c r="X867" s="12">
        <v>2.33</v>
      </c>
      <c r="Y867">
        <v>23</v>
      </c>
      <c r="Z86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68" spans="2:26" x14ac:dyDescent="0.35">
      <c r="B868">
        <f t="shared" si="228"/>
        <v>866</v>
      </c>
      <c r="C868" t="s">
        <v>86</v>
      </c>
      <c r="D868" t="s">
        <v>176</v>
      </c>
      <c r="E868">
        <f>IF(WEEKNUM(Combined[[#This Row],[Date]], 1) = 53, 1, WEEKNUM(Combined[[#This Row],[Date]], 2))</f>
        <v>39</v>
      </c>
      <c r="F868" t="str">
        <f t="shared" si="239"/>
        <v>Tuesday</v>
      </c>
      <c r="G868" s="41">
        <v>45188</v>
      </c>
      <c r="H868">
        <v>5</v>
      </c>
      <c r="I868" s="1">
        <v>50.5</v>
      </c>
      <c r="J868" s="2">
        <v>0.15416666666666667</v>
      </c>
      <c r="K868" s="12">
        <f>Combined[[#This Row],[Time Spent]]*24</f>
        <v>3.7</v>
      </c>
      <c r="L868" s="12">
        <f>MROUND(Combined[[#This Row],[Time Spent 2]],0.25)</f>
        <v>3.75</v>
      </c>
      <c r="M868" s="2" t="s">
        <v>91</v>
      </c>
      <c r="N868" t="s">
        <v>174</v>
      </c>
      <c r="O868">
        <f>MATCH(Combined[[#This Row],[Primary Area]],KPIs!$C$4:$C$7,0)</f>
        <v>1</v>
      </c>
      <c r="Q868" s="40">
        <v>46087</v>
      </c>
      <c r="R868" s="40">
        <f t="shared" si="229"/>
        <v>46087</v>
      </c>
      <c r="S868" s="4" t="str">
        <f>TEXT(Mileage[[#This Row],[Date]],"dddd")</f>
        <v>Friday</v>
      </c>
      <c r="T868" s="4" t="s">
        <v>285</v>
      </c>
      <c r="U868" s="4">
        <v>32</v>
      </c>
      <c r="V868" t="str" cm="1">
        <f t="array" ref="V868">IFERROR(VLOOKUP(MODE(IF(Combined[Date]=Mileage[[#This Row],[Date]],Combined[Area '#])),KPIs!$B$4:$C$7,2,FALSE),VLOOKUP(Mileage[[#This Row],[Date]],Combined[[Date]:[Primary Area]],8,FALSE))</f>
        <v>Brunswick/Bath/Freeport</v>
      </c>
      <c r="W868" s="105">
        <v>0.82986111111111116</v>
      </c>
      <c r="X868" s="12">
        <v>3.1</v>
      </c>
      <c r="Y868">
        <v>70</v>
      </c>
      <c r="Z868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69" spans="2:26" x14ac:dyDescent="0.35">
      <c r="B869">
        <f t="shared" si="228"/>
        <v>867</v>
      </c>
      <c r="C869" t="s">
        <v>83</v>
      </c>
      <c r="D869" t="s">
        <v>176</v>
      </c>
      <c r="E869">
        <f>IF(WEEKNUM(Combined[[#This Row],[Date]], 1) = 53, 1, WEEKNUM(Combined[[#This Row],[Date]], 2))</f>
        <v>39</v>
      </c>
      <c r="F869" t="str">
        <f t="shared" ref="F869" si="240">TEXT(WEEKDAY(G869,1),"DDDD")</f>
        <v>Thursday</v>
      </c>
      <c r="G869" s="41">
        <v>45190</v>
      </c>
      <c r="H869">
        <v>5</v>
      </c>
      <c r="I869" s="1">
        <v>46.19</v>
      </c>
      <c r="J869" s="2">
        <v>0.12083333333333333</v>
      </c>
      <c r="K869" s="12">
        <f>Combined[[#This Row],[Time Spent]]*24</f>
        <v>2.9</v>
      </c>
      <c r="L869" s="12">
        <f>MROUND(Combined[[#This Row],[Time Spent 2]],0.25)</f>
        <v>3</v>
      </c>
      <c r="M869" s="2" t="s">
        <v>91</v>
      </c>
      <c r="N869" t="s">
        <v>85</v>
      </c>
      <c r="O869">
        <f>MATCH(Combined[[#This Row],[Primary Area]],KPIs!$C$4:$C$7,0)</f>
        <v>4</v>
      </c>
      <c r="Q869" s="40">
        <v>46091</v>
      </c>
      <c r="R869" s="40">
        <f t="shared" si="229"/>
        <v>46091</v>
      </c>
      <c r="S869" s="4" t="str">
        <f>TEXT(Mileage[[#This Row],[Date]],"dddd")</f>
        <v>Tuesday</v>
      </c>
      <c r="T869" s="4" t="s">
        <v>249</v>
      </c>
      <c r="U869" s="4">
        <v>50</v>
      </c>
      <c r="V869" t="str" cm="1">
        <f t="array" ref="V869">IFERROR(VLOOKUP(MODE(IF(Combined[Date]=Mileage[[#This Row],[Date]],Combined[Area '#])),KPIs!$B$4:$C$7,2,FALSE),VLOOKUP(Mileage[[#This Row],[Date]],Combined[[Date]:[Primary Area]],8,FALSE))</f>
        <v>Portland</v>
      </c>
      <c r="W869" s="105">
        <v>0.78472222222222221</v>
      </c>
      <c r="X869" s="12">
        <v>4.05</v>
      </c>
      <c r="Y869">
        <v>74</v>
      </c>
      <c r="Z86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70" spans="2:26" x14ac:dyDescent="0.35">
      <c r="B870">
        <f t="shared" si="228"/>
        <v>868</v>
      </c>
      <c r="C870" t="s">
        <v>86</v>
      </c>
      <c r="D870" t="s">
        <v>176</v>
      </c>
      <c r="E870">
        <f>IF(WEEKNUM(Combined[[#This Row],[Date]], 1) = 53, 1, WEEKNUM(Combined[[#This Row],[Date]], 2))</f>
        <v>39</v>
      </c>
      <c r="F870" t="str">
        <f t="shared" ref="F870:F877" si="241">TEXT(WEEKDAY(G870,1),"DDDD")</f>
        <v>Friday</v>
      </c>
      <c r="G870" s="41">
        <v>45191</v>
      </c>
      <c r="H870">
        <v>1</v>
      </c>
      <c r="I870" s="1">
        <v>11.5</v>
      </c>
      <c r="J870" s="2">
        <v>3.9583333333333331E-2</v>
      </c>
      <c r="K870" s="12">
        <f>Combined[[#This Row],[Time Spent]]*24</f>
        <v>0.95</v>
      </c>
      <c r="L870" s="12">
        <f>MROUND(Combined[[#This Row],[Time Spent 2]],0.25)</f>
        <v>1</v>
      </c>
      <c r="M870" s="2" t="s">
        <v>91</v>
      </c>
      <c r="N870" t="s">
        <v>80</v>
      </c>
      <c r="O870">
        <f>MATCH(Combined[[#This Row],[Primary Area]],KPIs!$C$4:$C$7,0)</f>
        <v>2</v>
      </c>
      <c r="Q870" s="40">
        <v>46094</v>
      </c>
      <c r="R870" s="40">
        <f t="shared" si="229"/>
        <v>46094</v>
      </c>
      <c r="S870" s="4" t="str">
        <f>TEXT(Mileage[[#This Row],[Date]],"dddd")</f>
        <v>Friday</v>
      </c>
      <c r="T870" s="4" t="s">
        <v>231</v>
      </c>
      <c r="U870" s="4">
        <v>34</v>
      </c>
      <c r="V870" t="str" cm="1">
        <f t="array" ref="V870">IFERROR(VLOOKUP(MODE(IF(Combined[Date]=Mileage[[#This Row],[Date]],Combined[Area '#])),KPIs!$B$4:$C$7,2,FALSE),VLOOKUP(Mileage[[#This Row],[Date]],Combined[[Date]:[Primary Area]],8,FALSE))</f>
        <v>Brunswick/Bath/Freeport</v>
      </c>
      <c r="W870" s="105">
        <v>0.83333333333333337</v>
      </c>
      <c r="X870" s="12">
        <v>3.97</v>
      </c>
      <c r="Y870">
        <v>124</v>
      </c>
      <c r="Z870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1" spans="2:26" x14ac:dyDescent="0.35">
      <c r="B871">
        <f t="shared" si="228"/>
        <v>869</v>
      </c>
      <c r="C871" t="s">
        <v>83</v>
      </c>
      <c r="D871" t="s">
        <v>176</v>
      </c>
      <c r="E871">
        <f>IF(WEEKNUM(Combined[[#This Row],[Date]], 1) = 53, 1, WEEKNUM(Combined[[#This Row],[Date]], 2))</f>
        <v>39</v>
      </c>
      <c r="F871" t="str">
        <f t="shared" si="241"/>
        <v>Saturday</v>
      </c>
      <c r="G871" s="41">
        <v>45192</v>
      </c>
      <c r="H871">
        <v>2</v>
      </c>
      <c r="I871" s="1">
        <v>22.08</v>
      </c>
      <c r="J871" s="2">
        <v>0.11666666666666665</v>
      </c>
      <c r="K871" s="12">
        <f>Combined[[#This Row],[Time Spent]]*24</f>
        <v>2.8</v>
      </c>
      <c r="L871" s="12">
        <f>MROUND(Combined[[#This Row],[Time Spent 2]],0.25)</f>
        <v>2.75</v>
      </c>
      <c r="M871" s="2" t="s">
        <v>91</v>
      </c>
      <c r="N871" t="s">
        <v>82</v>
      </c>
      <c r="O871">
        <f>MATCH(Combined[[#This Row],[Primary Area]],KPIs!$C$4:$C$7,0)</f>
        <v>3</v>
      </c>
      <c r="Q871" s="40">
        <v>46098</v>
      </c>
      <c r="R871" s="40">
        <f t="shared" si="229"/>
        <v>46098</v>
      </c>
      <c r="S871" s="4" t="str">
        <f>TEXT(Mileage[[#This Row],[Date]],"dddd")</f>
        <v>Tuesday</v>
      </c>
      <c r="T871" s="4" t="s">
        <v>230</v>
      </c>
      <c r="U871" s="4">
        <v>34</v>
      </c>
      <c r="V871" t="str" cm="1">
        <f t="array" ref="V871">IFERROR(VLOOKUP(MODE(IF(Combined[Date]=Mileage[[#This Row],[Date]],Combined[Area '#])),KPIs!$B$4:$C$7,2,FALSE),VLOOKUP(Mileage[[#This Row],[Date]],Combined[[Date]:[Primary Area]],8,FALSE))</f>
        <v>Brunswick/Bath/Freeport</v>
      </c>
      <c r="W871" s="105">
        <v>0.86458333333333337</v>
      </c>
      <c r="X871" s="12">
        <v>3.75</v>
      </c>
      <c r="Y871">
        <v>105</v>
      </c>
      <c r="Z871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72" spans="2:26" x14ac:dyDescent="0.35">
      <c r="B872">
        <f t="shared" si="228"/>
        <v>870</v>
      </c>
      <c r="C872" t="s">
        <v>86</v>
      </c>
      <c r="D872" t="s">
        <v>176</v>
      </c>
      <c r="E872">
        <f>IF(WEEKNUM(Combined[[#This Row],[Date]], 1) = 53, 1, WEEKNUM(Combined[[#This Row],[Date]], 2))</f>
        <v>39</v>
      </c>
      <c r="F872" t="str">
        <f t="shared" si="241"/>
        <v>Saturday</v>
      </c>
      <c r="G872" s="41">
        <v>45192</v>
      </c>
      <c r="H872">
        <v>16</v>
      </c>
      <c r="I872" s="1">
        <v>122.53</v>
      </c>
      <c r="J872" s="2">
        <v>0.25416666666666665</v>
      </c>
      <c r="K872" s="12">
        <f>Combined[[#This Row],[Time Spent]]*24</f>
        <v>6.1</v>
      </c>
      <c r="L872" s="12">
        <f>MROUND(Combined[[#This Row],[Time Spent 2]],0.25)</f>
        <v>6</v>
      </c>
      <c r="M872" s="2" t="s">
        <v>91</v>
      </c>
      <c r="N872" t="s">
        <v>82</v>
      </c>
      <c r="O872">
        <f>MATCH(Combined[[#This Row],[Primary Area]],KPIs!$C$4:$C$7,0)</f>
        <v>3</v>
      </c>
      <c r="Q872" s="40">
        <v>46106</v>
      </c>
      <c r="R872" s="40">
        <f t="shared" si="229"/>
        <v>46106</v>
      </c>
      <c r="S872" s="4" t="str">
        <f>TEXT(Mileage[[#This Row],[Date]],"dddd")</f>
        <v>Wednesday</v>
      </c>
      <c r="T872" s="4" t="s">
        <v>230</v>
      </c>
      <c r="U872" s="4">
        <v>41</v>
      </c>
      <c r="V872" t="str" cm="1">
        <f t="array" ref="V872">IFERROR(VLOOKUP(MODE(IF(Combined[Date]=Mileage[[#This Row],[Date]],Combined[Area '#])),KPIs!$B$4:$C$7,2,FALSE),VLOOKUP(Mileage[[#This Row],[Date]],Combined[[Date]:[Primary Area]],8,FALSE))</f>
        <v>Brunswick/Bath/Freeport</v>
      </c>
      <c r="W872" s="105">
        <v>0.77430555555555558</v>
      </c>
      <c r="X872" s="12">
        <v>4.75</v>
      </c>
      <c r="Y872">
        <v>102</v>
      </c>
      <c r="Z872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3" spans="2:26" x14ac:dyDescent="0.35">
      <c r="B873">
        <f t="shared" si="228"/>
        <v>871</v>
      </c>
      <c r="C873" t="s">
        <v>86</v>
      </c>
      <c r="D873" t="s">
        <v>175</v>
      </c>
      <c r="E873">
        <f>IF(WEEKNUM(Combined[[#This Row],[Date]], 1) = 53, 1, WEEKNUM(Combined[[#This Row],[Date]], 2))</f>
        <v>39</v>
      </c>
      <c r="F873" t="str">
        <f t="shared" si="241"/>
        <v>Saturday</v>
      </c>
      <c r="G873" s="41">
        <v>45192</v>
      </c>
      <c r="H873">
        <v>3</v>
      </c>
      <c r="I873" s="1">
        <v>19.59</v>
      </c>
      <c r="J873" s="2">
        <v>5.2083333333333336E-2</v>
      </c>
      <c r="K873" s="12"/>
      <c r="L873" s="12"/>
      <c r="M873" s="2" t="s">
        <v>92</v>
      </c>
      <c r="N873" t="s">
        <v>82</v>
      </c>
      <c r="O873">
        <f>MATCH(Combined[[#This Row],[Primary Area]],KPIs!$C$4:$C$7,0)</f>
        <v>3</v>
      </c>
      <c r="Q873" s="40">
        <v>46107</v>
      </c>
      <c r="R873" s="40">
        <f t="shared" si="229"/>
        <v>46107</v>
      </c>
      <c r="S873" s="4" t="str">
        <f>TEXT(Mileage[[#This Row],[Date]],"dddd")</f>
        <v>Thursday</v>
      </c>
      <c r="T873" s="4" t="s">
        <v>285</v>
      </c>
      <c r="U873" s="4">
        <v>45</v>
      </c>
      <c r="V873" t="str" cm="1">
        <f t="array" ref="V873">IFERROR(VLOOKUP(MODE(IF(Combined[Date]=Mileage[[#This Row],[Date]],Combined[Area '#])),KPIs!$B$4:$C$7,2,FALSE),VLOOKUP(Mileage[[#This Row],[Date]],Combined[[Date]:[Primary Area]],8,FALSE))</f>
        <v>Brunswick/Bath/Freeport</v>
      </c>
      <c r="W873" s="105">
        <v>0.81597222222222221</v>
      </c>
      <c r="X873" s="12">
        <v>4.38</v>
      </c>
      <c r="Y873">
        <v>105</v>
      </c>
      <c r="Z87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74" spans="2:26" x14ac:dyDescent="0.35">
      <c r="B874">
        <f t="shared" si="228"/>
        <v>872</v>
      </c>
      <c r="C874" t="s">
        <v>86</v>
      </c>
      <c r="D874" t="s">
        <v>175</v>
      </c>
      <c r="E874">
        <f>IF(WEEKNUM(Combined[[#This Row],[Date]], 1) = 53, 1, WEEKNUM(Combined[[#This Row],[Date]], 2))</f>
        <v>39</v>
      </c>
      <c r="F874" t="str">
        <f t="shared" si="241"/>
        <v>Saturday</v>
      </c>
      <c r="G874" s="41">
        <v>45192</v>
      </c>
      <c r="H874">
        <v>4</v>
      </c>
      <c r="I874" s="1">
        <v>44.56</v>
      </c>
      <c r="J874" s="2">
        <v>9.2361111111111116E-2</v>
      </c>
      <c r="K874" s="12">
        <f>Combined[[#This Row],[Time Spent]]*24</f>
        <v>2.2166666666666668</v>
      </c>
      <c r="L874" s="12">
        <f>MROUND(Combined[[#This Row],[Time Spent 2]],0.25)</f>
        <v>2.25</v>
      </c>
      <c r="M874" s="2" t="s">
        <v>92</v>
      </c>
      <c r="N874" t="s">
        <v>82</v>
      </c>
      <c r="O874">
        <f>MATCH(Combined[[#This Row],[Primary Area]],KPIs!$C$4:$C$7,0)</f>
        <v>3</v>
      </c>
      <c r="Q874" s="40">
        <v>46126</v>
      </c>
      <c r="R874" s="40">
        <f t="shared" si="229"/>
        <v>46126</v>
      </c>
      <c r="S874" s="4" t="str">
        <f>TEXT(Mileage[[#This Row],[Date]],"dddd")</f>
        <v>Tuesday</v>
      </c>
      <c r="T874" s="4" t="s">
        <v>276</v>
      </c>
      <c r="U874" s="4">
        <v>54</v>
      </c>
      <c r="V874" t="str" cm="1">
        <f t="array" ref="V874">IFERROR(VLOOKUP(MODE(IF(Combined[Date]=Mileage[[#This Row],[Date]],Combined[Area '#])),KPIs!$B$4:$C$7,2,FALSE),VLOOKUP(Mileage[[#This Row],[Date]],Combined[[Date]:[Primary Area]],8,FALSE))</f>
        <v>Brunswick/Bath/Freeport</v>
      </c>
      <c r="W874" s="105">
        <v>0.86805555555555558</v>
      </c>
      <c r="X874" s="12">
        <v>3.12</v>
      </c>
      <c r="Y874">
        <v>47</v>
      </c>
      <c r="Z874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5" spans="2:26" x14ac:dyDescent="0.35">
      <c r="B875">
        <f t="shared" si="228"/>
        <v>873</v>
      </c>
      <c r="C875" t="s">
        <v>86</v>
      </c>
      <c r="D875" t="s">
        <v>176</v>
      </c>
      <c r="E875">
        <f>IF(WEEKNUM(Combined[[#This Row],[Date]], 1) = 53, 1, WEEKNUM(Combined[[#This Row],[Date]], 2))</f>
        <v>39</v>
      </c>
      <c r="F875" t="str">
        <f t="shared" si="241"/>
        <v>Saturday</v>
      </c>
      <c r="G875" s="41">
        <v>45192</v>
      </c>
      <c r="H875">
        <v>1</v>
      </c>
      <c r="I875" s="1">
        <v>5</v>
      </c>
      <c r="J875" s="2">
        <v>2.361111111111111E-2</v>
      </c>
      <c r="K875" s="12">
        <f>Combined[[#This Row],[Time Spent]]*24</f>
        <v>0.56666666666666665</v>
      </c>
      <c r="L875" s="12">
        <f>MROUND(Combined[[#This Row],[Time Spent 2]],0.25)</f>
        <v>0.5</v>
      </c>
      <c r="M875" s="2" t="s">
        <v>92</v>
      </c>
      <c r="N875" t="s">
        <v>82</v>
      </c>
      <c r="O875">
        <f>MATCH(Combined[[#This Row],[Primary Area]],KPIs!$C$4:$C$7,0)</f>
        <v>3</v>
      </c>
      <c r="Q875" s="40">
        <v>46134</v>
      </c>
      <c r="R875" s="40">
        <f t="shared" si="229"/>
        <v>46134</v>
      </c>
      <c r="S875" s="4" t="str">
        <f>TEXT(Mileage[[#This Row],[Date]],"dddd")</f>
        <v>Wednesday</v>
      </c>
      <c r="T875" s="4" t="s">
        <v>231</v>
      </c>
      <c r="U875" s="4">
        <v>43</v>
      </c>
      <c r="V875" t="str" cm="1">
        <f t="array" ref="V875">IFERROR(VLOOKUP(MODE(IF(Combined[Date]=Mileage[[#This Row],[Date]],Combined[Area '#])),KPIs!$B$4:$C$7,2,FALSE),VLOOKUP(Mileage[[#This Row],[Date]],Combined[[Date]:[Primary Area]],8,FALSE))</f>
        <v>Lewiston</v>
      </c>
      <c r="W875" s="105">
        <v>0.79166666666666663</v>
      </c>
      <c r="X875" s="12">
        <v>4.7300000000000004</v>
      </c>
      <c r="Y875">
        <v>72</v>
      </c>
      <c r="Z875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76" spans="2:26" x14ac:dyDescent="0.35">
      <c r="B876">
        <f t="shared" si="228"/>
        <v>874</v>
      </c>
      <c r="C876" t="s">
        <v>83</v>
      </c>
      <c r="D876" t="s">
        <v>176</v>
      </c>
      <c r="E876">
        <f>IF(WEEKNUM(Combined[[#This Row],[Date]], 1) = 53, 1, WEEKNUM(Combined[[#This Row],[Date]], 2))</f>
        <v>40</v>
      </c>
      <c r="F876" t="str">
        <f t="shared" si="241"/>
        <v>Monday</v>
      </c>
      <c r="G876" s="41">
        <v>45194</v>
      </c>
      <c r="H876">
        <v>3</v>
      </c>
      <c r="I876" s="1">
        <v>60.12</v>
      </c>
      <c r="J876" s="2">
        <v>9.930555555555555E-2</v>
      </c>
      <c r="K876" s="12">
        <f>Combined[[#This Row],[Time Spent]]*24</f>
        <v>2.3833333333333333</v>
      </c>
      <c r="L876" s="12">
        <f>MROUND(Combined[[#This Row],[Time Spent 2]],0.25)</f>
        <v>2.5</v>
      </c>
      <c r="M876" s="2" t="s">
        <v>91</v>
      </c>
      <c r="N876" t="s">
        <v>80</v>
      </c>
      <c r="O876">
        <f>MATCH(Combined[[#This Row],[Primary Area]],KPIs!$C$4:$C$7,0)</f>
        <v>2</v>
      </c>
      <c r="Q876" s="40">
        <v>46136</v>
      </c>
      <c r="R876" s="40">
        <f t="shared" si="229"/>
        <v>46136</v>
      </c>
      <c r="S876" s="4" t="str">
        <f>TEXT(Mileage[[#This Row],[Date]],"dddd")</f>
        <v>Friday</v>
      </c>
      <c r="T876" s="4" t="s">
        <v>231</v>
      </c>
      <c r="U876" s="4">
        <v>46</v>
      </c>
      <c r="V876" t="str" cm="1">
        <f t="array" ref="V876">IFERROR(VLOOKUP(MODE(IF(Combined[Date]=Mileage[[#This Row],[Date]],Combined[Area '#])),KPIs!$B$4:$C$7,2,FALSE),VLOOKUP(Mileage[[#This Row],[Date]],Combined[[Date]:[Primary Area]],8,FALSE))</f>
        <v>Lewiston</v>
      </c>
      <c r="W876" s="105">
        <v>0.83333333333333337</v>
      </c>
      <c r="X876" s="12">
        <v>7.17</v>
      </c>
      <c r="Y876">
        <v>107</v>
      </c>
      <c r="Z876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77" spans="2:26" x14ac:dyDescent="0.35">
      <c r="B877">
        <f t="shared" si="228"/>
        <v>875</v>
      </c>
      <c r="C877" t="s">
        <v>86</v>
      </c>
      <c r="D877" t="s">
        <v>175</v>
      </c>
      <c r="E877">
        <f>IF(WEEKNUM(Combined[[#This Row],[Date]], 1) = 53, 1, WEEKNUM(Combined[[#This Row],[Date]], 2))</f>
        <v>40</v>
      </c>
      <c r="F877" t="str">
        <f t="shared" si="241"/>
        <v>Monday</v>
      </c>
      <c r="G877" s="41">
        <v>45194</v>
      </c>
      <c r="H877">
        <v>2</v>
      </c>
      <c r="I877" s="1">
        <v>10.85</v>
      </c>
      <c r="J877" s="2">
        <v>3.3333333333333333E-2</v>
      </c>
      <c r="K877" s="12">
        <f>Combined[[#This Row],[Time Spent]]*24</f>
        <v>0.8</v>
      </c>
      <c r="L877" s="12">
        <f>MROUND(Combined[[#This Row],[Time Spent 2]],0.25)</f>
        <v>0.75</v>
      </c>
      <c r="M877" s="2" t="s">
        <v>91</v>
      </c>
      <c r="N877" t="s">
        <v>80</v>
      </c>
      <c r="O877">
        <f>MATCH(Combined[[#This Row],[Primary Area]],KPIs!$C$4:$C$7,0)</f>
        <v>2</v>
      </c>
      <c r="Q877" s="40">
        <v>46141</v>
      </c>
      <c r="R877" s="40">
        <f t="shared" si="229"/>
        <v>46141</v>
      </c>
      <c r="S877" s="4" t="str">
        <f>TEXT(Mileage[[#This Row],[Date]],"dddd")</f>
        <v>Wednesday</v>
      </c>
      <c r="T877" s="4" t="s">
        <v>325</v>
      </c>
      <c r="U877" s="4">
        <v>48</v>
      </c>
      <c r="V877" t="str" cm="1">
        <f t="array" ref="V877">IFERROR(VLOOKUP(MODE(IF(Combined[Date]=Mileage[[#This Row],[Date]],Combined[Area '#])),KPIs!$B$4:$C$7,2,FALSE),VLOOKUP(Mileage[[#This Row],[Date]],Combined[[Date]:[Primary Area]],8,FALSE))</f>
        <v>Lewiston</v>
      </c>
      <c r="W877" s="105">
        <v>0.82291666666666663</v>
      </c>
      <c r="X877" s="12">
        <v>5.47</v>
      </c>
      <c r="Y877">
        <v>87</v>
      </c>
      <c r="Z877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8" spans="2:26" x14ac:dyDescent="0.35">
      <c r="B878">
        <f t="shared" si="228"/>
        <v>876</v>
      </c>
      <c r="C878" t="s">
        <v>83</v>
      </c>
      <c r="D878" t="s">
        <v>176</v>
      </c>
      <c r="E878">
        <f>IF(WEEKNUM(Combined[[#This Row],[Date]], 1) = 53, 1, WEEKNUM(Combined[[#This Row],[Date]], 2))</f>
        <v>40</v>
      </c>
      <c r="F878" t="str">
        <f t="shared" ref="F878:F881" si="242">TEXT(WEEKDAY(G878,1),"DDDD")</f>
        <v>Tuesday</v>
      </c>
      <c r="G878" s="41">
        <v>45195</v>
      </c>
      <c r="H878">
        <v>1</v>
      </c>
      <c r="I878" s="1">
        <v>8.5399999999999991</v>
      </c>
      <c r="J878" s="2">
        <v>5.0694444444444452E-2</v>
      </c>
      <c r="K878" s="12">
        <f>Combined[[#This Row],[Time Spent]]*24</f>
        <v>1.2166666666666668</v>
      </c>
      <c r="L878" s="12">
        <f>MROUND(Combined[[#This Row],[Time Spent 2]],0.25)</f>
        <v>1.25</v>
      </c>
      <c r="M878" s="2" t="s">
        <v>91</v>
      </c>
      <c r="N878" t="s">
        <v>82</v>
      </c>
      <c r="O878">
        <f>MATCH(Combined[[#This Row],[Primary Area]],KPIs!$C$4:$C$7,0)</f>
        <v>3</v>
      </c>
      <c r="Q878" s="40">
        <v>46146</v>
      </c>
      <c r="R878" s="40">
        <f t="shared" si="229"/>
        <v>46146</v>
      </c>
      <c r="S878" s="4" t="str">
        <f>TEXT(Mileage[[#This Row],[Date]],"dddd")</f>
        <v>Monday</v>
      </c>
      <c r="T878" s="4" t="s">
        <v>230</v>
      </c>
      <c r="U878" s="4">
        <v>64</v>
      </c>
      <c r="V878" t="str" cm="1">
        <f t="array" ref="V878">IFERROR(VLOOKUP(MODE(IF(Combined[Date]=Mileage[[#This Row],[Date]],Combined[Area '#])),KPIs!$B$4:$C$7,2,FALSE),VLOOKUP(Mileage[[#This Row],[Date]],Combined[[Date]:[Primary Area]],8,FALSE))</f>
        <v>Brunswick/Bath/Freeport</v>
      </c>
      <c r="W878" s="105">
        <v>0.83333333333333337</v>
      </c>
      <c r="X878" s="12">
        <v>3.75</v>
      </c>
      <c r="Y878">
        <v>73</v>
      </c>
      <c r="Z878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79" spans="2:26" x14ac:dyDescent="0.35">
      <c r="B879">
        <f t="shared" si="228"/>
        <v>877</v>
      </c>
      <c r="C879" t="s">
        <v>86</v>
      </c>
      <c r="D879" t="s">
        <v>175</v>
      </c>
      <c r="E879">
        <f>IF(WEEKNUM(Combined[[#This Row],[Date]], 1) = 53, 1, WEEKNUM(Combined[[#This Row],[Date]], 2))</f>
        <v>40</v>
      </c>
      <c r="F879" t="str">
        <f t="shared" si="242"/>
        <v>Tuesday</v>
      </c>
      <c r="G879" s="41">
        <v>45195</v>
      </c>
      <c r="H879">
        <v>6</v>
      </c>
      <c r="I879" s="1">
        <v>46.58</v>
      </c>
      <c r="J879" s="2">
        <v>0.12847222222222224</v>
      </c>
      <c r="K879" s="12">
        <f>Combined[[#This Row],[Time Spent]]*24</f>
        <v>3.0833333333333339</v>
      </c>
      <c r="L879" s="12">
        <f>MROUND(Combined[[#This Row],[Time Spent 2]],0.25)</f>
        <v>3</v>
      </c>
      <c r="M879" s="2" t="s">
        <v>91</v>
      </c>
      <c r="N879" t="s">
        <v>82</v>
      </c>
      <c r="O879">
        <f>MATCH(Combined[[#This Row],[Primary Area]],KPIs!$C$4:$C$7,0)</f>
        <v>3</v>
      </c>
      <c r="Q879" s="40">
        <v>46150</v>
      </c>
      <c r="R879" s="40">
        <f t="shared" si="229"/>
        <v>46150</v>
      </c>
      <c r="S879" s="4" t="str">
        <f>TEXT(Mileage[[#This Row],[Date]],"dddd")</f>
        <v>Friday</v>
      </c>
      <c r="T879" s="4" t="s">
        <v>285</v>
      </c>
      <c r="U879" s="4">
        <v>54</v>
      </c>
      <c r="V879" t="str" cm="1">
        <f t="array" ref="V879">IFERROR(VLOOKUP(MODE(IF(Combined[Date]=Mileage[[#This Row],[Date]],Combined[Area '#])),KPIs!$B$4:$C$7,2,FALSE),VLOOKUP(Mileage[[#This Row],[Date]],Combined[[Date]:[Primary Area]],8,FALSE))</f>
        <v>Brunswick/Bath/Freeport</v>
      </c>
      <c r="W879" s="105">
        <v>0.63888888888888884</v>
      </c>
      <c r="X879" s="12">
        <v>1.8</v>
      </c>
      <c r="Y879">
        <v>59</v>
      </c>
      <c r="Z879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0" spans="2:26" x14ac:dyDescent="0.35">
      <c r="B880">
        <f t="shared" si="228"/>
        <v>878</v>
      </c>
      <c r="C880" t="s">
        <v>86</v>
      </c>
      <c r="D880" t="s">
        <v>175</v>
      </c>
      <c r="E880">
        <f>IF(WEEKNUM(Combined[[#This Row],[Date]], 1) = 53, 1, WEEKNUM(Combined[[#This Row],[Date]], 2))</f>
        <v>40</v>
      </c>
      <c r="F880" t="str">
        <f t="shared" si="242"/>
        <v>Tuesday</v>
      </c>
      <c r="G880" s="41">
        <v>45195</v>
      </c>
      <c r="H880">
        <v>1</v>
      </c>
      <c r="I880" s="1">
        <v>5.05</v>
      </c>
      <c r="J880" s="2">
        <v>1.2499999999999999E-2</v>
      </c>
      <c r="K880" s="12">
        <f>Combined[[#This Row],[Time Spent]]*24</f>
        <v>0.3</v>
      </c>
      <c r="L880" s="12">
        <f>MROUND(Combined[[#This Row],[Time Spent 2]],0.25)</f>
        <v>0.25</v>
      </c>
      <c r="M880" s="2" t="s">
        <v>92</v>
      </c>
      <c r="N880" t="s">
        <v>82</v>
      </c>
      <c r="O880">
        <f>MATCH(Combined[[#This Row],[Primary Area]],KPIs!$C$4:$C$7,0)</f>
        <v>3</v>
      </c>
      <c r="Q880" s="40">
        <v>46153</v>
      </c>
      <c r="R880" s="40">
        <f t="shared" si="229"/>
        <v>46153</v>
      </c>
      <c r="S880" s="4" t="str">
        <f>TEXT(Mileage[[#This Row],[Date]],"dddd")</f>
        <v>Monday</v>
      </c>
      <c r="T880" s="4" t="s">
        <v>230</v>
      </c>
      <c r="U880" s="4">
        <v>54</v>
      </c>
      <c r="V880" t="str" cm="1">
        <f t="array" ref="V880">IFERROR(VLOOKUP(MODE(IF(Combined[Date]=Mileage[[#This Row],[Date]],Combined[Area '#])),KPIs!$B$4:$C$7,2,FALSE),VLOOKUP(Mileage[[#This Row],[Date]],Combined[[Date]:[Primary Area]],8,FALSE))</f>
        <v>Brunswick/Bath/Freeport</v>
      </c>
      <c r="W880" s="105">
        <v>0.85416666666666663</v>
      </c>
      <c r="X880" s="12">
        <v>3.15</v>
      </c>
      <c r="Y880">
        <v>81</v>
      </c>
      <c r="Z880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1" spans="2:26" x14ac:dyDescent="0.35">
      <c r="B881">
        <f t="shared" si="228"/>
        <v>879</v>
      </c>
      <c r="C881" t="s">
        <v>83</v>
      </c>
      <c r="D881" t="s">
        <v>176</v>
      </c>
      <c r="E881">
        <f>IF(WEEKNUM(Combined[[#This Row],[Date]], 1) = 53, 1, WEEKNUM(Combined[[#This Row],[Date]], 2))</f>
        <v>40</v>
      </c>
      <c r="F881" t="str">
        <f t="shared" si="242"/>
        <v>Wednesday</v>
      </c>
      <c r="G881" s="41">
        <v>45196</v>
      </c>
      <c r="H881">
        <v>2</v>
      </c>
      <c r="I881" s="1">
        <v>22.49</v>
      </c>
      <c r="J881" s="2">
        <v>6.7361111111111108E-2</v>
      </c>
      <c r="K881" s="12">
        <f>Combined[[#This Row],[Time Spent]]*24</f>
        <v>1.6166666666666667</v>
      </c>
      <c r="L881" s="12">
        <f>MROUND(Combined[[#This Row],[Time Spent 2]],0.25)</f>
        <v>1.5</v>
      </c>
      <c r="M881" s="2" t="s">
        <v>91</v>
      </c>
      <c r="N881" t="s">
        <v>80</v>
      </c>
      <c r="O881">
        <f>MATCH(Combined[[#This Row],[Primary Area]],KPIs!$C$4:$C$7,0)</f>
        <v>2</v>
      </c>
      <c r="Q881" s="40">
        <v>46154</v>
      </c>
      <c r="R881" s="40">
        <f t="shared" si="229"/>
        <v>46154</v>
      </c>
      <c r="S881" s="4" t="str">
        <f>TEXT(Mileage[[#This Row],[Date]],"dddd")</f>
        <v>Tuesday</v>
      </c>
      <c r="T881" s="4" t="s">
        <v>231</v>
      </c>
      <c r="U881" s="4">
        <v>54</v>
      </c>
      <c r="V881" t="str" cm="1">
        <f t="array" ref="V881">IFERROR(VLOOKUP(MODE(IF(Combined[Date]=Mileage[[#This Row],[Date]],Combined[Area '#])),KPIs!$B$4:$C$7,2,FALSE),VLOOKUP(Mileage[[#This Row],[Date]],Combined[[Date]:[Primary Area]],8,FALSE))</f>
        <v>Brunswick/Bath/Freeport</v>
      </c>
      <c r="W881" s="105">
        <v>0.80902777777777779</v>
      </c>
      <c r="X881" s="12">
        <v>3.57</v>
      </c>
      <c r="Y881">
        <v>100</v>
      </c>
      <c r="Z881" s="321" t="str">
        <f>IF(SUMIFS(Combined[Earnings],Combined[Date],Mileage[[#This Row],[Date]],Combined[App],"UE")&gt;SUMIFS(Combined[Earnings],Combined[Date],Mileage[[#This Row],[Date]],Combined[App],"DD"),"UE","DD")</f>
        <v>DD</v>
      </c>
    </row>
    <row r="882" spans="2:26" x14ac:dyDescent="0.35">
      <c r="B882">
        <f t="shared" si="228"/>
        <v>880</v>
      </c>
      <c r="C882" t="s">
        <v>86</v>
      </c>
      <c r="D882" t="s">
        <v>175</v>
      </c>
      <c r="E882">
        <f>IF(WEEKNUM(Combined[[#This Row],[Date]], 1) = 53, 1, WEEKNUM(Combined[[#This Row],[Date]], 2))</f>
        <v>40</v>
      </c>
      <c r="F882" t="str">
        <f t="shared" ref="F882:F887" si="243">TEXT(WEEKDAY(G882,1),"DDDD")</f>
        <v>Wednesday</v>
      </c>
      <c r="G882" s="41">
        <v>45196</v>
      </c>
      <c r="H882">
        <v>5</v>
      </c>
      <c r="I882" s="1">
        <v>39.17</v>
      </c>
      <c r="J882" s="2">
        <v>0.13402777777777777</v>
      </c>
      <c r="K882" s="12">
        <f>Combined[[#This Row],[Time Spent]]*24</f>
        <v>3.2166666666666668</v>
      </c>
      <c r="L882" s="12">
        <f>MROUND(Combined[[#This Row],[Time Spent 2]],0.25)</f>
        <v>3.25</v>
      </c>
      <c r="M882" s="2" t="s">
        <v>91</v>
      </c>
      <c r="N882" t="s">
        <v>80</v>
      </c>
      <c r="O882">
        <f>MATCH(Combined[[#This Row],[Primary Area]],KPIs!$C$4:$C$7,0)</f>
        <v>2</v>
      </c>
      <c r="Q882" s="40">
        <v>46159</v>
      </c>
      <c r="R882" s="40">
        <f t="shared" si="229"/>
        <v>46159</v>
      </c>
      <c r="S882" s="4" t="str">
        <f>TEXT(Mileage[[#This Row],[Date]],"dddd")</f>
        <v>Sunday</v>
      </c>
      <c r="T882" s="4" t="s">
        <v>230</v>
      </c>
      <c r="U882" s="4">
        <v>79</v>
      </c>
      <c r="V882" t="str" cm="1">
        <f t="array" ref="V882">IFERROR(VLOOKUP(MODE(IF(Combined[Date]=Mileage[[#This Row],[Date]],Combined[Area '#])),KPIs!$B$4:$C$7,2,FALSE),VLOOKUP(Mileage[[#This Row],[Date]],Combined[[Date]:[Primary Area]],8,FALSE))</f>
        <v>Portland</v>
      </c>
      <c r="W882" s="105">
        <v>0.74652777777777779</v>
      </c>
      <c r="X882" s="12">
        <v>6.37</v>
      </c>
      <c r="Y882">
        <v>113</v>
      </c>
      <c r="Z882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3" spans="2:26" x14ac:dyDescent="0.35">
      <c r="B883">
        <f t="shared" si="228"/>
        <v>881</v>
      </c>
      <c r="C883" t="s">
        <v>83</v>
      </c>
      <c r="D883" t="s">
        <v>176</v>
      </c>
      <c r="E883">
        <f>IF(WEEKNUM(Combined[[#This Row],[Date]], 1) = 53, 1, WEEKNUM(Combined[[#This Row],[Date]], 2))</f>
        <v>40</v>
      </c>
      <c r="F883" t="str">
        <f t="shared" si="243"/>
        <v>Thursday</v>
      </c>
      <c r="G883" s="41">
        <v>45197</v>
      </c>
      <c r="H883">
        <v>1</v>
      </c>
      <c r="I883" s="1">
        <v>17.09</v>
      </c>
      <c r="J883" s="2">
        <v>5.2083333333333336E-2</v>
      </c>
      <c r="K883" s="12">
        <f>Combined[[#This Row],[Time Spent]]*24</f>
        <v>1.25</v>
      </c>
      <c r="L883" s="12">
        <f>MROUND(Combined[[#This Row],[Time Spent 2]],0.25)</f>
        <v>1.25</v>
      </c>
      <c r="M883" s="2" t="s">
        <v>91</v>
      </c>
      <c r="N883" t="s">
        <v>85</v>
      </c>
      <c r="O883">
        <f>MATCH(Combined[[#This Row],[Primary Area]],KPIs!$C$4:$C$7,0)</f>
        <v>4</v>
      </c>
      <c r="Q883" s="40">
        <v>46162</v>
      </c>
      <c r="R883" s="40">
        <f t="shared" si="229"/>
        <v>46162</v>
      </c>
      <c r="S883" s="4" t="str">
        <f>TEXT(Mileage[[#This Row],[Date]],"dddd")</f>
        <v>Wednesday</v>
      </c>
      <c r="T883" s="4" t="s">
        <v>230</v>
      </c>
      <c r="U883" s="4">
        <v>84</v>
      </c>
      <c r="V883" t="str" cm="1">
        <f t="array" ref="V883">IFERROR(VLOOKUP(MODE(IF(Combined[Date]=Mileage[[#This Row],[Date]],Combined[Area '#])),KPIs!$B$4:$C$7,2,FALSE),VLOOKUP(Mileage[[#This Row],[Date]],Combined[[Date]:[Primary Area]],8,FALSE))</f>
        <v>Lewiston</v>
      </c>
      <c r="W883" s="105">
        <v>0.75347222222222221</v>
      </c>
      <c r="X883" s="12">
        <v>5.0199999999999996</v>
      </c>
      <c r="Y883">
        <v>102</v>
      </c>
      <c r="Z883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4" spans="2:26" x14ac:dyDescent="0.35">
      <c r="B884">
        <f t="shared" si="228"/>
        <v>882</v>
      </c>
      <c r="C884" t="s">
        <v>86</v>
      </c>
      <c r="D884" t="s">
        <v>175</v>
      </c>
      <c r="E884">
        <f>IF(WEEKNUM(Combined[[#This Row],[Date]], 1) = 53, 1, WEEKNUM(Combined[[#This Row],[Date]], 2))</f>
        <v>40</v>
      </c>
      <c r="F884" t="str">
        <f t="shared" si="243"/>
        <v>Thursday</v>
      </c>
      <c r="G884" s="41">
        <v>45197</v>
      </c>
      <c r="H884">
        <v>1</v>
      </c>
      <c r="I884" s="1">
        <v>7.9</v>
      </c>
      <c r="J884" s="2">
        <v>4.027777777777778E-2</v>
      </c>
      <c r="K884" s="12">
        <f>Combined[[#This Row],[Time Spent]]*24</f>
        <v>0.96666666666666679</v>
      </c>
      <c r="L884" s="12">
        <f>MROUND(Combined[[#This Row],[Time Spent 2]],0.25)</f>
        <v>1</v>
      </c>
      <c r="M884" s="2" t="s">
        <v>91</v>
      </c>
      <c r="N884" t="s">
        <v>85</v>
      </c>
      <c r="O884">
        <f>MATCH(Combined[[#This Row],[Primary Area]],KPIs!$C$4:$C$7,0)</f>
        <v>4</v>
      </c>
      <c r="Q884" s="40">
        <v>46164</v>
      </c>
      <c r="R884" s="40">
        <f>Q884</f>
        <v>46164</v>
      </c>
      <c r="S884" s="4" t="str">
        <f>TEXT(Mileage[[#This Row],[Date]],"dddd")</f>
        <v>Friday</v>
      </c>
      <c r="T884" s="4" t="s">
        <v>230</v>
      </c>
      <c r="U884" s="4">
        <v>46</v>
      </c>
      <c r="V884" t="str" cm="1">
        <f t="array" ref="V884">IFERROR(VLOOKUP(MODE(IF(Combined[Date]=Mileage[[#This Row],[Date]],Combined[Area '#])),KPIs!$B$4:$C$7,2,FALSE),VLOOKUP(Mileage[[#This Row],[Date]],Combined[[Date]:[Primary Area]],8,FALSE))</f>
        <v>Lewiston</v>
      </c>
      <c r="W884" s="105">
        <v>0.86805555555555558</v>
      </c>
      <c r="X884" s="12">
        <v>6.23</v>
      </c>
      <c r="Y884">
        <v>144</v>
      </c>
      <c r="Z884" s="321" t="str">
        <f>IF(SUMIFS(Combined[Earnings],Combined[Date],Mileage[[#This Row],[Date]],Combined[App],"UE")&gt;SUMIFS(Combined[Earnings],Combined[Date],Mileage[[#This Row],[Date]],Combined[App],"DD"),"UE","DD")</f>
        <v>UE</v>
      </c>
    </row>
    <row r="885" spans="2:26" x14ac:dyDescent="0.35">
      <c r="B885">
        <f t="shared" si="228"/>
        <v>883</v>
      </c>
      <c r="C885" t="s">
        <v>83</v>
      </c>
      <c r="D885" t="s">
        <v>176</v>
      </c>
      <c r="E885">
        <f>IF(WEEKNUM(Combined[[#This Row],[Date]], 1) = 53, 1, WEEKNUM(Combined[[#This Row],[Date]], 2))</f>
        <v>40</v>
      </c>
      <c r="F885" t="str">
        <f t="shared" si="243"/>
        <v>Friday</v>
      </c>
      <c r="G885" s="41">
        <v>45198</v>
      </c>
      <c r="H885">
        <v>2</v>
      </c>
      <c r="I885" s="1">
        <v>26.16</v>
      </c>
      <c r="J885" s="2">
        <v>0.10277777777777779</v>
      </c>
      <c r="K885" s="12">
        <f>Combined[[#This Row],[Time Spent]]*24</f>
        <v>2.4666666666666668</v>
      </c>
      <c r="L885" s="12">
        <f>MROUND(Combined[[#This Row],[Time Spent 2]],0.25)</f>
        <v>2.5</v>
      </c>
      <c r="M885" s="2" t="s">
        <v>91</v>
      </c>
      <c r="N885" t="s">
        <v>80</v>
      </c>
      <c r="O885">
        <f>MATCH(Combined[[#This Row],[Primary Area]],KPIs!$C$4:$C$7,0)</f>
        <v>2</v>
      </c>
      <c r="R885" s="40"/>
      <c r="V885" s="4"/>
      <c r="X885"/>
    </row>
    <row r="886" spans="2:26" x14ac:dyDescent="0.35">
      <c r="B886">
        <f t="shared" si="228"/>
        <v>884</v>
      </c>
      <c r="C886" t="s">
        <v>86</v>
      </c>
      <c r="D886" t="s">
        <v>175</v>
      </c>
      <c r="E886">
        <f>IF(WEEKNUM(Combined[[#This Row],[Date]], 1) = 53, 1, WEEKNUM(Combined[[#This Row],[Date]], 2))</f>
        <v>40</v>
      </c>
      <c r="F886" t="str">
        <f t="shared" si="243"/>
        <v>Friday</v>
      </c>
      <c r="G886" s="41">
        <v>45198</v>
      </c>
      <c r="H886">
        <v>9</v>
      </c>
      <c r="I886" s="1">
        <v>104.93</v>
      </c>
      <c r="J886" s="2">
        <v>0.20972222222222223</v>
      </c>
      <c r="K886" s="12">
        <f>Combined[[#This Row],[Time Spent]]*24</f>
        <v>5.0333333333333332</v>
      </c>
      <c r="L886" s="12">
        <f>MROUND(Combined[[#This Row],[Time Spent 2]],0.25)</f>
        <v>5</v>
      </c>
      <c r="M886" s="2" t="s">
        <v>91</v>
      </c>
      <c r="N886" t="s">
        <v>80</v>
      </c>
      <c r="O886">
        <f>MATCH(Combined[[#This Row],[Primary Area]],KPIs!$C$4:$C$7,0)</f>
        <v>2</v>
      </c>
      <c r="R886" s="40"/>
      <c r="V886" s="4"/>
      <c r="X886"/>
    </row>
    <row r="887" spans="2:26" x14ac:dyDescent="0.35">
      <c r="B887">
        <f t="shared" si="228"/>
        <v>885</v>
      </c>
      <c r="C887" t="s">
        <v>86</v>
      </c>
      <c r="D887" t="s">
        <v>175</v>
      </c>
      <c r="E887">
        <f>IF(WEEKNUM(Combined[[#This Row],[Date]], 1) = 53, 1, WEEKNUM(Combined[[#This Row],[Date]], 2))</f>
        <v>40</v>
      </c>
      <c r="F887" t="str">
        <f t="shared" si="243"/>
        <v>Friday</v>
      </c>
      <c r="G887" s="41">
        <v>45198</v>
      </c>
      <c r="H887">
        <v>1</v>
      </c>
      <c r="I887" s="1">
        <v>6.27</v>
      </c>
      <c r="J887" s="2">
        <v>2.4999999999999998E-2</v>
      </c>
      <c r="K887" s="12">
        <f>Combined[[#This Row],[Time Spent]]*24</f>
        <v>0.6</v>
      </c>
      <c r="L887" s="12">
        <f>MROUND(Combined[[#This Row],[Time Spent 2]],0.25)</f>
        <v>0.5</v>
      </c>
      <c r="M887" s="2" t="s">
        <v>92</v>
      </c>
      <c r="N887" t="s">
        <v>80</v>
      </c>
      <c r="O887">
        <f>MATCH(Combined[[#This Row],[Primary Area]],KPIs!$C$4:$C$7,0)</f>
        <v>2</v>
      </c>
      <c r="R887" s="40"/>
      <c r="V887" s="4"/>
      <c r="X887"/>
    </row>
    <row r="888" spans="2:26" x14ac:dyDescent="0.35">
      <c r="B888">
        <f t="shared" si="228"/>
        <v>886</v>
      </c>
      <c r="C888" t="s">
        <v>86</v>
      </c>
      <c r="D888" t="s">
        <v>175</v>
      </c>
      <c r="E888">
        <f>IF(WEEKNUM(Combined[[#This Row],[Date]], 1) = 53, 1, WEEKNUM(Combined[[#This Row],[Date]], 2))</f>
        <v>40</v>
      </c>
      <c r="F888" t="str">
        <f>TEXT(WEEKDAY(G888,1),"DDDD")</f>
        <v>Friday</v>
      </c>
      <c r="G888" s="41">
        <v>45198</v>
      </c>
      <c r="H888">
        <v>2</v>
      </c>
      <c r="I888" s="1">
        <v>19.62</v>
      </c>
      <c r="J888" s="2">
        <v>4.1666666666666664E-2</v>
      </c>
      <c r="K888" s="12">
        <f>Combined[[#This Row],[Time Spent]]*24</f>
        <v>1</v>
      </c>
      <c r="L888" s="12">
        <f>MROUND(Combined[[#This Row],[Time Spent 2]],0.25)</f>
        <v>1</v>
      </c>
      <c r="M888" s="2" t="s">
        <v>92</v>
      </c>
      <c r="N888" t="s">
        <v>80</v>
      </c>
      <c r="O888">
        <f>MATCH(Combined[[#This Row],[Primary Area]],KPIs!$C$4:$C$7,0)</f>
        <v>2</v>
      </c>
      <c r="R888" s="40"/>
      <c r="V888" s="4"/>
      <c r="X888"/>
    </row>
    <row r="889" spans="2:26" x14ac:dyDescent="0.35">
      <c r="B889">
        <f t="shared" si="228"/>
        <v>887</v>
      </c>
      <c r="C889" t="s">
        <v>83</v>
      </c>
      <c r="D889" t="s">
        <v>176</v>
      </c>
      <c r="E889">
        <f>IF(WEEKNUM(Combined[[#This Row],[Date]], 1) = 53, 1, WEEKNUM(Combined[[#This Row],[Date]], 2))</f>
        <v>41</v>
      </c>
      <c r="F889" t="str">
        <f t="shared" ref="F889:F891" si="244">TEXT(WEEKDAY(G889,1),"DDDD")</f>
        <v>Monday</v>
      </c>
      <c r="G889" s="41">
        <v>45201</v>
      </c>
      <c r="H889">
        <v>2</v>
      </c>
      <c r="I889" s="1">
        <v>25.09</v>
      </c>
      <c r="J889" s="2">
        <v>7.9166666666666663E-2</v>
      </c>
      <c r="K889" s="12">
        <f>Combined[[#This Row],[Time Spent]]*24</f>
        <v>1.9</v>
      </c>
      <c r="L889" s="12">
        <f>MROUND(Combined[[#This Row],[Time Spent 2]],0.25)</f>
        <v>2</v>
      </c>
      <c r="M889" s="2" t="s">
        <v>91</v>
      </c>
      <c r="N889" t="s">
        <v>82</v>
      </c>
      <c r="O889">
        <f>MATCH(Combined[[#This Row],[Primary Area]],KPIs!$C$4:$C$7,0)</f>
        <v>3</v>
      </c>
      <c r="R889" s="40"/>
      <c r="V889" s="4"/>
      <c r="X889"/>
    </row>
    <row r="890" spans="2:26" x14ac:dyDescent="0.35">
      <c r="B890">
        <f t="shared" si="228"/>
        <v>888</v>
      </c>
      <c r="C890" t="s">
        <v>86</v>
      </c>
      <c r="D890" t="s">
        <v>175</v>
      </c>
      <c r="E890">
        <f>IF(WEEKNUM(Combined[[#This Row],[Date]], 1) = 53, 1, WEEKNUM(Combined[[#This Row],[Date]], 2))</f>
        <v>41</v>
      </c>
      <c r="F890" t="str">
        <f t="shared" si="244"/>
        <v>Monday</v>
      </c>
      <c r="G890" s="41">
        <v>45201</v>
      </c>
      <c r="H890">
        <v>5</v>
      </c>
      <c r="I890" s="1">
        <v>34.24</v>
      </c>
      <c r="J890" s="2">
        <v>0.12916666666666668</v>
      </c>
      <c r="K890" s="12">
        <f>Combined[[#This Row],[Time Spent]]*24</f>
        <v>3.1000000000000005</v>
      </c>
      <c r="L890" s="12">
        <f>MROUND(Combined[[#This Row],[Time Spent 2]],0.25)</f>
        <v>3</v>
      </c>
      <c r="M890" s="2" t="s">
        <v>91</v>
      </c>
      <c r="N890" t="s">
        <v>82</v>
      </c>
      <c r="O890">
        <f>MATCH(Combined[[#This Row],[Primary Area]],KPIs!$C$4:$C$7,0)</f>
        <v>3</v>
      </c>
      <c r="R890" s="40"/>
      <c r="V890" s="4"/>
      <c r="X890"/>
    </row>
    <row r="891" spans="2:26" x14ac:dyDescent="0.35">
      <c r="B891">
        <f t="shared" si="228"/>
        <v>889</v>
      </c>
      <c r="C891" t="s">
        <v>86</v>
      </c>
      <c r="D891" t="s">
        <v>175</v>
      </c>
      <c r="E891">
        <f>IF(WEEKNUM(Combined[[#This Row],[Date]], 1) = 53, 1, WEEKNUM(Combined[[#This Row],[Date]], 2))</f>
        <v>41</v>
      </c>
      <c r="F891" t="str">
        <f t="shared" si="244"/>
        <v>Monday</v>
      </c>
      <c r="G891" s="41">
        <v>45201</v>
      </c>
      <c r="H891">
        <v>3</v>
      </c>
      <c r="I891" s="1">
        <v>18.47</v>
      </c>
      <c r="J891" s="2">
        <v>4.3055555555555562E-2</v>
      </c>
      <c r="K891" s="12">
        <f>Combined[[#This Row],[Time Spent]]*24</f>
        <v>1.0333333333333334</v>
      </c>
      <c r="L891" s="12">
        <f>MROUND(Combined[[#This Row],[Time Spent 2]],0.25)</f>
        <v>1</v>
      </c>
      <c r="M891" s="2" t="s">
        <v>92</v>
      </c>
      <c r="N891" t="s">
        <v>82</v>
      </c>
      <c r="O891">
        <f>MATCH(Combined[[#This Row],[Primary Area]],KPIs!$C$4:$C$7,0)</f>
        <v>3</v>
      </c>
      <c r="R891" s="40"/>
      <c r="V891" s="4"/>
      <c r="X891"/>
    </row>
    <row r="892" spans="2:26" x14ac:dyDescent="0.35">
      <c r="B892">
        <f t="shared" si="228"/>
        <v>890</v>
      </c>
      <c r="C892" t="s">
        <v>83</v>
      </c>
      <c r="D892" t="s">
        <v>176</v>
      </c>
      <c r="E892">
        <f>IF(WEEKNUM(Combined[[#This Row],[Date]], 1) = 53, 1, WEEKNUM(Combined[[#This Row],[Date]], 2))</f>
        <v>41</v>
      </c>
      <c r="F892" t="str">
        <f t="shared" ref="F892:F893" si="245">TEXT(WEEKDAY(G892,1),"DDDD")</f>
        <v>Thursday</v>
      </c>
      <c r="G892" s="41">
        <v>45204</v>
      </c>
      <c r="H892">
        <v>6</v>
      </c>
      <c r="I892" s="1">
        <v>67.08</v>
      </c>
      <c r="J892" s="2">
        <v>0.11875000000000001</v>
      </c>
      <c r="K892" s="12">
        <f>Combined[[#This Row],[Time Spent]]*24</f>
        <v>2.85</v>
      </c>
      <c r="L892" s="12">
        <f>MROUND(Combined[[#This Row],[Time Spent 2]],0.25)</f>
        <v>2.75</v>
      </c>
      <c r="M892" s="2" t="s">
        <v>91</v>
      </c>
      <c r="N892" t="s">
        <v>80</v>
      </c>
      <c r="O892">
        <f>MATCH(Combined[[#This Row],[Primary Area]],KPIs!$C$4:$C$7,0)</f>
        <v>2</v>
      </c>
      <c r="R892" s="40"/>
      <c r="V892" s="4"/>
      <c r="X892"/>
    </row>
    <row r="893" spans="2:26" x14ac:dyDescent="0.35">
      <c r="B893">
        <f t="shared" si="228"/>
        <v>891</v>
      </c>
      <c r="C893" t="s">
        <v>86</v>
      </c>
      <c r="D893" t="s">
        <v>175</v>
      </c>
      <c r="E893">
        <f>IF(WEEKNUM(Combined[[#This Row],[Date]], 1) = 53, 1, WEEKNUM(Combined[[#This Row],[Date]], 2))</f>
        <v>41</v>
      </c>
      <c r="F893" t="str">
        <f t="shared" si="245"/>
        <v>Thursday</v>
      </c>
      <c r="G893" s="41">
        <v>45204</v>
      </c>
      <c r="H893">
        <v>3</v>
      </c>
      <c r="I893" s="1">
        <v>27.22</v>
      </c>
      <c r="J893" s="2">
        <v>0.10555555555555556</v>
      </c>
      <c r="K893" s="12">
        <f>Combined[[#This Row],[Time Spent]]*24</f>
        <v>2.5333333333333332</v>
      </c>
      <c r="L893" s="12">
        <f>MROUND(Combined[[#This Row],[Time Spent 2]],0.25)</f>
        <v>2.5</v>
      </c>
      <c r="M893" s="2" t="s">
        <v>91</v>
      </c>
      <c r="N893" t="s">
        <v>80</v>
      </c>
      <c r="O893">
        <f>MATCH(Combined[[#This Row],[Primary Area]],KPIs!$C$4:$C$7,0)</f>
        <v>2</v>
      </c>
      <c r="R893" s="40"/>
      <c r="V893" s="4"/>
      <c r="X893"/>
    </row>
    <row r="894" spans="2:26" x14ac:dyDescent="0.35">
      <c r="B894">
        <f t="shared" si="228"/>
        <v>892</v>
      </c>
      <c r="C894" t="s">
        <v>86</v>
      </c>
      <c r="D894" t="s">
        <v>175</v>
      </c>
      <c r="E894">
        <f>IF(WEEKNUM(Combined[[#This Row],[Date]], 1) = 53, 1, WEEKNUM(Combined[[#This Row],[Date]], 2))</f>
        <v>41</v>
      </c>
      <c r="F894" t="str">
        <f t="shared" ref="F894:F897" si="246">TEXT(WEEKDAY(G894,1),"DDDD")</f>
        <v>Friday</v>
      </c>
      <c r="G894" s="41">
        <v>45205</v>
      </c>
      <c r="H894">
        <v>5</v>
      </c>
      <c r="I894" s="1">
        <v>47.39</v>
      </c>
      <c r="J894" s="2">
        <v>9.3055555555555558E-2</v>
      </c>
      <c r="K894" s="12">
        <f>Combined[[#This Row],[Time Spent]]*24</f>
        <v>2.2333333333333334</v>
      </c>
      <c r="L894" s="12">
        <f>MROUND(Combined[[#This Row],[Time Spent 2]],0.25)</f>
        <v>2.25</v>
      </c>
      <c r="M894" s="2" t="s">
        <v>91</v>
      </c>
      <c r="N894" t="s">
        <v>80</v>
      </c>
      <c r="O894">
        <f>MATCH(Combined[[#This Row],[Primary Area]],KPIs!$C$4:$C$7,0)</f>
        <v>2</v>
      </c>
      <c r="R894" s="40"/>
      <c r="V894" s="4"/>
      <c r="X894"/>
    </row>
    <row r="895" spans="2:26" x14ac:dyDescent="0.35">
      <c r="B895">
        <f t="shared" si="228"/>
        <v>893</v>
      </c>
      <c r="C895" t="s">
        <v>83</v>
      </c>
      <c r="D895" t="s">
        <v>176</v>
      </c>
      <c r="E895">
        <f>IF(WEEKNUM(Combined[[#This Row],[Date]], 1) = 53, 1, WEEKNUM(Combined[[#This Row],[Date]], 2))</f>
        <v>42</v>
      </c>
      <c r="F895" t="str">
        <f t="shared" si="246"/>
        <v>Monday</v>
      </c>
      <c r="G895" s="41">
        <v>45208</v>
      </c>
      <c r="H895">
        <v>1</v>
      </c>
      <c r="I895" s="1">
        <v>12.68</v>
      </c>
      <c r="J895" s="2">
        <v>9.375E-2</v>
      </c>
      <c r="K895" s="12">
        <f>Combined[[#This Row],[Time Spent]]*24</f>
        <v>2.25</v>
      </c>
      <c r="L895" s="12">
        <f>MROUND(Combined[[#This Row],[Time Spent 2]],0.25)</f>
        <v>2.25</v>
      </c>
      <c r="M895" s="2" t="s">
        <v>91</v>
      </c>
      <c r="N895" t="s">
        <v>80</v>
      </c>
      <c r="O895">
        <f>MATCH(Combined[[#This Row],[Primary Area]],KPIs!$C$4:$C$7,0)</f>
        <v>2</v>
      </c>
      <c r="R895" s="40"/>
      <c r="V895" s="4"/>
      <c r="X895"/>
    </row>
    <row r="896" spans="2:26" x14ac:dyDescent="0.35">
      <c r="B896">
        <f t="shared" si="228"/>
        <v>894</v>
      </c>
      <c r="C896" t="s">
        <v>86</v>
      </c>
      <c r="D896" t="s">
        <v>176</v>
      </c>
      <c r="E896">
        <f>IF(WEEKNUM(Combined[[#This Row],[Date]], 1) = 53, 1, WEEKNUM(Combined[[#This Row],[Date]], 2))</f>
        <v>42</v>
      </c>
      <c r="F896" t="str">
        <f t="shared" si="246"/>
        <v>Monday</v>
      </c>
      <c r="G896" s="41">
        <v>45208</v>
      </c>
      <c r="H896">
        <v>9</v>
      </c>
      <c r="I896" s="1">
        <v>109.25</v>
      </c>
      <c r="J896" s="2">
        <v>0.16805555555555554</v>
      </c>
      <c r="K896" s="12">
        <f>Combined[[#This Row],[Time Spent]]*24</f>
        <v>4.0333333333333332</v>
      </c>
      <c r="L896" s="12">
        <f>MROUND(Combined[[#This Row],[Time Spent 2]],0.25)</f>
        <v>4</v>
      </c>
      <c r="M896" s="2" t="s">
        <v>91</v>
      </c>
      <c r="N896" t="s">
        <v>80</v>
      </c>
      <c r="O896">
        <f>MATCH(Combined[[#This Row],[Primary Area]],KPIs!$C$4:$C$7,0)</f>
        <v>2</v>
      </c>
      <c r="R896" s="40"/>
      <c r="V896" s="4"/>
      <c r="X896"/>
    </row>
    <row r="897" spans="2:24" x14ac:dyDescent="0.35">
      <c r="B897">
        <f t="shared" si="228"/>
        <v>895</v>
      </c>
      <c r="C897" t="s">
        <v>86</v>
      </c>
      <c r="D897" t="s">
        <v>175</v>
      </c>
      <c r="E897">
        <f>IF(WEEKNUM(Combined[[#This Row],[Date]], 1) = 53, 1, WEEKNUM(Combined[[#This Row],[Date]], 2))</f>
        <v>42</v>
      </c>
      <c r="F897" t="str">
        <f t="shared" si="246"/>
        <v>Tuesday</v>
      </c>
      <c r="G897" s="41">
        <v>45209</v>
      </c>
      <c r="H897">
        <v>3</v>
      </c>
      <c r="I897" s="1">
        <v>27.44</v>
      </c>
      <c r="J897" s="2">
        <v>7.0833333333333331E-2</v>
      </c>
      <c r="K897" s="12">
        <f>Combined[[#This Row],[Time Spent]]*24</f>
        <v>1.7</v>
      </c>
      <c r="L897" s="12">
        <f>MROUND(Combined[[#This Row],[Time Spent 2]],0.25)</f>
        <v>1.75</v>
      </c>
      <c r="M897" s="2" t="s">
        <v>91</v>
      </c>
      <c r="N897" t="s">
        <v>80</v>
      </c>
      <c r="O897">
        <f>MATCH(Combined[[#This Row],[Primary Area]],KPIs!$C$4:$C$7,0)</f>
        <v>2</v>
      </c>
      <c r="R897" s="40"/>
      <c r="V897" s="4"/>
      <c r="X897"/>
    </row>
    <row r="898" spans="2:24" x14ac:dyDescent="0.35">
      <c r="B898">
        <f t="shared" si="228"/>
        <v>896</v>
      </c>
      <c r="C898" t="s">
        <v>86</v>
      </c>
      <c r="D898" t="s">
        <v>176</v>
      </c>
      <c r="E898">
        <f>IF(WEEKNUM(Combined[[#This Row],[Date]], 1) = 53, 1, WEEKNUM(Combined[[#This Row],[Date]], 2))</f>
        <v>42</v>
      </c>
      <c r="F898" t="str">
        <f>TEXT(WEEKDAY(G898,1),"DDDD")</f>
        <v>Tuesday</v>
      </c>
      <c r="G898" s="41">
        <v>45209</v>
      </c>
      <c r="H898">
        <v>4</v>
      </c>
      <c r="I898" s="1">
        <v>35</v>
      </c>
      <c r="J898" s="2">
        <v>9.0277777777777776E-2</v>
      </c>
      <c r="K898" s="12">
        <f>Combined[[#This Row],[Time Spent]]*24</f>
        <v>2.1666666666666665</v>
      </c>
      <c r="L898" s="12">
        <f>MROUND(Combined[[#This Row],[Time Spent 2]],0.25)</f>
        <v>2.25</v>
      </c>
      <c r="M898" s="2" t="s">
        <v>91</v>
      </c>
      <c r="N898" t="s">
        <v>80</v>
      </c>
      <c r="O898">
        <f>MATCH(Combined[[#This Row],[Primary Area]],KPIs!$C$4:$C$7,0)</f>
        <v>2</v>
      </c>
      <c r="R898" s="40"/>
      <c r="V898" s="4"/>
      <c r="X898"/>
    </row>
    <row r="899" spans="2:24" x14ac:dyDescent="0.35">
      <c r="B899">
        <f t="shared" ref="B899:B962" si="247">ROW()-2</f>
        <v>897</v>
      </c>
      <c r="C899" t="s">
        <v>86</v>
      </c>
      <c r="D899" t="s">
        <v>175</v>
      </c>
      <c r="E899">
        <f>IF(WEEKNUM(Combined[[#This Row],[Date]], 1) = 53, 1, WEEKNUM(Combined[[#This Row],[Date]], 2))</f>
        <v>42</v>
      </c>
      <c r="F899" t="str">
        <f t="shared" ref="F899:F900" si="248">TEXT(WEEKDAY(G899,1),"DDDD")</f>
        <v>Friday</v>
      </c>
      <c r="G899" s="41">
        <v>45212</v>
      </c>
      <c r="H899">
        <v>11</v>
      </c>
      <c r="I899" s="1">
        <v>135.33000000000001</v>
      </c>
      <c r="J899" s="2">
        <v>0.22777777777777777</v>
      </c>
      <c r="K899" s="12">
        <f>Combined[[#This Row],[Time Spent]]*24</f>
        <v>5.4666666666666668</v>
      </c>
      <c r="L899" s="12">
        <f>MROUND(Combined[[#This Row],[Time Spent 2]],0.25)</f>
        <v>5.5</v>
      </c>
      <c r="M899" s="2" t="s">
        <v>91</v>
      </c>
      <c r="N899" t="s">
        <v>174</v>
      </c>
      <c r="O899">
        <f>MATCH(Combined[[#This Row],[Primary Area]],KPIs!$C$4:$C$7,0)</f>
        <v>1</v>
      </c>
      <c r="R899" s="40"/>
      <c r="V899" s="4"/>
      <c r="X899"/>
    </row>
    <row r="900" spans="2:24" x14ac:dyDescent="0.35">
      <c r="B900">
        <f t="shared" si="247"/>
        <v>898</v>
      </c>
      <c r="C900" t="s">
        <v>86</v>
      </c>
      <c r="D900" t="s">
        <v>176</v>
      </c>
      <c r="E900">
        <f>IF(WEEKNUM(Combined[[#This Row],[Date]], 1) = 53, 1, WEEKNUM(Combined[[#This Row],[Date]], 2))</f>
        <v>42</v>
      </c>
      <c r="F900" t="str">
        <f t="shared" si="248"/>
        <v>Sunday</v>
      </c>
      <c r="G900" s="41">
        <v>45214</v>
      </c>
      <c r="H900">
        <v>4</v>
      </c>
      <c r="I900" s="1">
        <v>50.75</v>
      </c>
      <c r="J900" s="2">
        <v>7.2222222222222229E-2</v>
      </c>
      <c r="K900" s="12">
        <f>Combined[[#This Row],[Time Spent]]*24</f>
        <v>1.7333333333333334</v>
      </c>
      <c r="L900" s="12">
        <f>MROUND(Combined[[#This Row],[Time Spent 2]],0.25)</f>
        <v>1.75</v>
      </c>
      <c r="M900" s="2" t="s">
        <v>91</v>
      </c>
      <c r="N900" t="s">
        <v>80</v>
      </c>
      <c r="O900">
        <f>MATCH(Combined[[#This Row],[Primary Area]],KPIs!$C$4:$C$7,0)</f>
        <v>2</v>
      </c>
      <c r="R900" s="40"/>
      <c r="V900" s="4"/>
      <c r="X900"/>
    </row>
    <row r="901" spans="2:24" x14ac:dyDescent="0.35">
      <c r="B901">
        <f t="shared" si="247"/>
        <v>899</v>
      </c>
      <c r="C901" t="s">
        <v>86</v>
      </c>
      <c r="D901" t="s">
        <v>176</v>
      </c>
      <c r="E901">
        <f>IF(WEEKNUM(Combined[[#This Row],[Date]], 1) = 53, 1, WEEKNUM(Combined[[#This Row],[Date]], 2))</f>
        <v>43</v>
      </c>
      <c r="F901" t="str">
        <f t="shared" ref="F901:F906" si="249">TEXT(WEEKDAY(G901,1),"DDDD")</f>
        <v>Tuesday</v>
      </c>
      <c r="G901" s="41">
        <v>45216</v>
      </c>
      <c r="H901">
        <v>15</v>
      </c>
      <c r="I901" s="1">
        <v>126.25</v>
      </c>
      <c r="J901" s="2">
        <v>0.20694444444444446</v>
      </c>
      <c r="K901" s="12">
        <f>Combined[[#This Row],[Time Spent]]*24</f>
        <v>4.9666666666666668</v>
      </c>
      <c r="L901" s="12">
        <f>MROUND(Combined[[#This Row],[Time Spent 2]],0.25)</f>
        <v>5</v>
      </c>
      <c r="M901" s="2" t="s">
        <v>91</v>
      </c>
      <c r="N901" t="s">
        <v>85</v>
      </c>
      <c r="O901">
        <f>MATCH(Combined[[#This Row],[Primary Area]],KPIs!$C$4:$C$7,0)</f>
        <v>4</v>
      </c>
      <c r="R901" s="40"/>
      <c r="V901" s="4"/>
      <c r="X901"/>
    </row>
    <row r="902" spans="2:24" x14ac:dyDescent="0.35">
      <c r="B902">
        <f t="shared" si="247"/>
        <v>900</v>
      </c>
      <c r="C902" t="s">
        <v>83</v>
      </c>
      <c r="D902" t="s">
        <v>176</v>
      </c>
      <c r="E902">
        <f>IF(WEEKNUM(Combined[[#This Row],[Date]], 1) = 53, 1, WEEKNUM(Combined[[#This Row],[Date]], 2))</f>
        <v>43</v>
      </c>
      <c r="F902" t="str">
        <f t="shared" si="249"/>
        <v>Wednesday</v>
      </c>
      <c r="G902" s="41">
        <v>45217</v>
      </c>
      <c r="H902">
        <v>3</v>
      </c>
      <c r="I902" s="1">
        <v>56.27</v>
      </c>
      <c r="J902" s="2">
        <v>0.13958333333333334</v>
      </c>
      <c r="K902" s="12">
        <f>Combined[[#This Row],[Time Spent]]*24</f>
        <v>3.35</v>
      </c>
      <c r="L902" s="12">
        <f>MROUND(Combined[[#This Row],[Time Spent 2]],0.25)</f>
        <v>3.25</v>
      </c>
      <c r="M902" s="2" t="s">
        <v>91</v>
      </c>
      <c r="N902" t="s">
        <v>80</v>
      </c>
      <c r="O902">
        <f>MATCH(Combined[[#This Row],[Primary Area]],KPIs!$C$4:$C$7,0)</f>
        <v>2</v>
      </c>
      <c r="R902" s="40"/>
      <c r="V902" s="4"/>
      <c r="X902"/>
    </row>
    <row r="903" spans="2:24" x14ac:dyDescent="0.35">
      <c r="B903">
        <f t="shared" si="247"/>
        <v>901</v>
      </c>
      <c r="C903" t="s">
        <v>86</v>
      </c>
      <c r="D903" t="s">
        <v>176</v>
      </c>
      <c r="E903">
        <f>IF(WEEKNUM(Combined[[#This Row],[Date]], 1) = 53, 1, WEEKNUM(Combined[[#This Row],[Date]], 2))</f>
        <v>43</v>
      </c>
      <c r="F903" t="str">
        <f t="shared" si="249"/>
        <v>Wednesday</v>
      </c>
      <c r="G903" s="41">
        <v>45217</v>
      </c>
      <c r="H903">
        <v>2</v>
      </c>
      <c r="I903" s="1">
        <v>37.5</v>
      </c>
      <c r="J903" s="2">
        <v>5.7638888888888885E-2</v>
      </c>
      <c r="K903" s="12">
        <f>Combined[[#This Row],[Time Spent]]*24</f>
        <v>1.3833333333333333</v>
      </c>
      <c r="L903" s="12">
        <f>MROUND(Combined[[#This Row],[Time Spent 2]],0.25)</f>
        <v>1.5</v>
      </c>
      <c r="M903" s="2" t="s">
        <v>91</v>
      </c>
      <c r="N903" t="s">
        <v>80</v>
      </c>
      <c r="O903">
        <f>MATCH(Combined[[#This Row],[Primary Area]],KPIs!$C$4:$C$7,0)</f>
        <v>2</v>
      </c>
      <c r="R903" s="40"/>
      <c r="V903" s="4"/>
      <c r="X903"/>
    </row>
    <row r="904" spans="2:24" x14ac:dyDescent="0.35">
      <c r="B904">
        <f t="shared" si="247"/>
        <v>902</v>
      </c>
      <c r="C904" t="s">
        <v>86</v>
      </c>
      <c r="D904" t="s">
        <v>176</v>
      </c>
      <c r="E904">
        <f>IF(WEEKNUM(Combined[[#This Row],[Date]], 1) = 53, 1, WEEKNUM(Combined[[#This Row],[Date]], 2))</f>
        <v>43</v>
      </c>
      <c r="F904" t="str">
        <f t="shared" si="249"/>
        <v>Wednesday</v>
      </c>
      <c r="G904" s="41">
        <v>45217</v>
      </c>
      <c r="H904">
        <v>2</v>
      </c>
      <c r="I904" s="1">
        <v>10.75</v>
      </c>
      <c r="J904" s="2">
        <v>4.5833333333333337E-2</v>
      </c>
      <c r="K904" s="12">
        <f>Combined[[#This Row],[Time Spent]]*24</f>
        <v>1.1000000000000001</v>
      </c>
      <c r="L904" s="12">
        <f>MROUND(Combined[[#This Row],[Time Spent 2]],0.25)</f>
        <v>1</v>
      </c>
      <c r="M904" s="2" t="s">
        <v>91</v>
      </c>
      <c r="N904" t="s">
        <v>80</v>
      </c>
      <c r="O904">
        <f>MATCH(Combined[[#This Row],[Primary Area]],KPIs!$C$4:$C$7,0)</f>
        <v>2</v>
      </c>
      <c r="R904" s="40"/>
      <c r="V904" s="4"/>
      <c r="X904"/>
    </row>
    <row r="905" spans="2:24" x14ac:dyDescent="0.35">
      <c r="B905">
        <f t="shared" si="247"/>
        <v>903</v>
      </c>
      <c r="C905" t="s">
        <v>86</v>
      </c>
      <c r="D905" t="s">
        <v>176</v>
      </c>
      <c r="E905">
        <f>IF(WEEKNUM(Combined[[#This Row],[Date]], 1) = 53, 1, WEEKNUM(Combined[[#This Row],[Date]], 2))</f>
        <v>43</v>
      </c>
      <c r="F905" t="str">
        <f t="shared" si="249"/>
        <v>Wednesday</v>
      </c>
      <c r="G905" s="41">
        <v>45217</v>
      </c>
      <c r="H905">
        <v>2</v>
      </c>
      <c r="I905" s="1">
        <v>11</v>
      </c>
      <c r="J905" s="2">
        <v>8.7500000000000008E-2</v>
      </c>
      <c r="K905" s="12">
        <f>Combined[[#This Row],[Time Spent]]*24</f>
        <v>2.1</v>
      </c>
      <c r="L905" s="12">
        <f>MROUND(Combined[[#This Row],[Time Spent 2]],0.25)</f>
        <v>2</v>
      </c>
      <c r="M905" s="2" t="s">
        <v>92</v>
      </c>
      <c r="N905" t="s">
        <v>80</v>
      </c>
      <c r="O905">
        <f>MATCH(Combined[[#This Row],[Primary Area]],KPIs!$C$4:$C$7,0)</f>
        <v>2</v>
      </c>
      <c r="R905" s="40"/>
      <c r="V905" s="4"/>
      <c r="X905"/>
    </row>
    <row r="906" spans="2:24" x14ac:dyDescent="0.35">
      <c r="B906">
        <f t="shared" si="247"/>
        <v>904</v>
      </c>
      <c r="C906" t="s">
        <v>83</v>
      </c>
      <c r="D906" t="s">
        <v>176</v>
      </c>
      <c r="E906">
        <f>IF(WEEKNUM(Combined[[#This Row],[Date]], 1) = 53, 1, WEEKNUM(Combined[[#This Row],[Date]], 2))</f>
        <v>44</v>
      </c>
      <c r="F906" t="str">
        <f t="shared" si="249"/>
        <v>Monday</v>
      </c>
      <c r="G906" s="41">
        <v>45222</v>
      </c>
      <c r="H906">
        <v>4</v>
      </c>
      <c r="I906" s="1">
        <v>32.700000000000003</v>
      </c>
      <c r="J906" s="2">
        <v>0.10833333333333334</v>
      </c>
      <c r="K906" s="12">
        <f>Combined[[#This Row],[Time Spent]]*24</f>
        <v>2.6</v>
      </c>
      <c r="L906" s="12">
        <f>MROUND(Combined[[#This Row],[Time Spent 2]],0.25)</f>
        <v>2.5</v>
      </c>
      <c r="M906" s="2" t="s">
        <v>91</v>
      </c>
      <c r="N906" t="s">
        <v>80</v>
      </c>
      <c r="O906">
        <f>MATCH(Combined[[#This Row],[Primary Area]],KPIs!$C$4:$C$7,0)</f>
        <v>2</v>
      </c>
      <c r="R906" s="40"/>
      <c r="V906" s="4"/>
      <c r="X906"/>
    </row>
    <row r="907" spans="2:24" x14ac:dyDescent="0.35">
      <c r="B907">
        <f t="shared" si="247"/>
        <v>905</v>
      </c>
      <c r="C907" t="s">
        <v>86</v>
      </c>
      <c r="D907" t="s">
        <v>176</v>
      </c>
      <c r="E907">
        <f>IF(WEEKNUM(Combined[[#This Row],[Date]], 1) = 53, 1, WEEKNUM(Combined[[#This Row],[Date]], 2))</f>
        <v>44</v>
      </c>
      <c r="F907" t="str">
        <f t="shared" ref="F907:F908" si="250">TEXT(WEEKDAY(G907,1),"DDDD")</f>
        <v>Monday</v>
      </c>
      <c r="G907" s="41">
        <v>45222</v>
      </c>
      <c r="H907">
        <v>2</v>
      </c>
      <c r="I907" s="1">
        <v>25.25</v>
      </c>
      <c r="J907" s="2">
        <v>4.027777777777778E-2</v>
      </c>
      <c r="K907" s="12">
        <f>Combined[[#This Row],[Time Spent]]*24</f>
        <v>0.96666666666666679</v>
      </c>
      <c r="L907" s="12">
        <f>MROUND(Combined[[#This Row],[Time Spent 2]],0.25)</f>
        <v>1</v>
      </c>
      <c r="M907" s="2" t="s">
        <v>91</v>
      </c>
      <c r="N907" t="s">
        <v>80</v>
      </c>
      <c r="O907">
        <f>MATCH(Combined[[#This Row],[Primary Area]],KPIs!$C$4:$C$7,0)</f>
        <v>2</v>
      </c>
      <c r="R907" s="40"/>
      <c r="V907" s="4"/>
      <c r="X907"/>
    </row>
    <row r="908" spans="2:24" x14ac:dyDescent="0.35">
      <c r="B908">
        <f t="shared" si="247"/>
        <v>906</v>
      </c>
      <c r="C908" t="s">
        <v>86</v>
      </c>
      <c r="D908" t="s">
        <v>176</v>
      </c>
      <c r="E908">
        <f>IF(WEEKNUM(Combined[[#This Row],[Date]], 1) = 53, 1, WEEKNUM(Combined[[#This Row],[Date]], 2))</f>
        <v>44</v>
      </c>
      <c r="F908" t="str">
        <f t="shared" si="250"/>
        <v>Monday</v>
      </c>
      <c r="G908" s="41">
        <v>45222</v>
      </c>
      <c r="H908">
        <v>3</v>
      </c>
      <c r="I908" s="1">
        <v>36</v>
      </c>
      <c r="J908" s="2">
        <v>7.6388888888888895E-2</v>
      </c>
      <c r="K908" s="12">
        <f>Combined[[#This Row],[Time Spent]]*24</f>
        <v>1.8333333333333335</v>
      </c>
      <c r="L908" s="12">
        <f>MROUND(Combined[[#This Row],[Time Spent 2]],0.25)</f>
        <v>1.75</v>
      </c>
      <c r="M908" s="2" t="s">
        <v>91</v>
      </c>
      <c r="N908" t="s">
        <v>80</v>
      </c>
      <c r="O908">
        <f>MATCH(Combined[[#This Row],[Primary Area]],KPIs!$C$4:$C$7,0)</f>
        <v>2</v>
      </c>
      <c r="R908" s="40"/>
      <c r="V908" s="4"/>
      <c r="X908"/>
    </row>
    <row r="909" spans="2:24" x14ac:dyDescent="0.35">
      <c r="B909">
        <f t="shared" si="247"/>
        <v>907</v>
      </c>
      <c r="C909" t="s">
        <v>83</v>
      </c>
      <c r="D909" t="s">
        <v>176</v>
      </c>
      <c r="E909">
        <f>IF(WEEKNUM(Combined[[#This Row],[Date]], 1) = 53, 1, WEEKNUM(Combined[[#This Row],[Date]], 2))</f>
        <v>44</v>
      </c>
      <c r="F909" t="str">
        <f t="shared" ref="F909:F910" si="251">TEXT(WEEKDAY(G909,1),"DDDD")</f>
        <v>Tuesday</v>
      </c>
      <c r="G909" s="41">
        <v>45223</v>
      </c>
      <c r="H909">
        <v>2</v>
      </c>
      <c r="I909" s="1">
        <v>28.27</v>
      </c>
      <c r="J909" s="2">
        <v>6.3194444444444442E-2</v>
      </c>
      <c r="K909" s="12">
        <f>Combined[[#This Row],[Time Spent]]*24</f>
        <v>1.5166666666666666</v>
      </c>
      <c r="L909" s="12">
        <f>MROUND(Combined[[#This Row],[Time Spent 2]],0.25)</f>
        <v>1.5</v>
      </c>
      <c r="M909" s="2" t="s">
        <v>91</v>
      </c>
      <c r="N909" t="s">
        <v>80</v>
      </c>
      <c r="O909">
        <f>MATCH(Combined[[#This Row],[Primary Area]],KPIs!$C$4:$C$7,0)</f>
        <v>2</v>
      </c>
      <c r="R909" s="40"/>
      <c r="V909" s="4"/>
      <c r="X909"/>
    </row>
    <row r="910" spans="2:24" x14ac:dyDescent="0.35">
      <c r="B910">
        <f t="shared" si="247"/>
        <v>908</v>
      </c>
      <c r="C910" t="s">
        <v>86</v>
      </c>
      <c r="D910" t="s">
        <v>176</v>
      </c>
      <c r="E910">
        <f>IF(WEEKNUM(Combined[[#This Row],[Date]], 1) = 53, 1, WEEKNUM(Combined[[#This Row],[Date]], 2))</f>
        <v>44</v>
      </c>
      <c r="F910" t="str">
        <f t="shared" si="251"/>
        <v>Tuesday</v>
      </c>
      <c r="G910" s="41">
        <v>45223</v>
      </c>
      <c r="H910">
        <v>8</v>
      </c>
      <c r="I910" s="1">
        <v>60.91</v>
      </c>
      <c r="J910" s="2">
        <v>0.10277777777777779</v>
      </c>
      <c r="K910" s="12">
        <f>Combined[[#This Row],[Time Spent]]*24</f>
        <v>2.4666666666666668</v>
      </c>
      <c r="L910" s="12">
        <f>MROUND(Combined[[#This Row],[Time Spent 2]],0.25)</f>
        <v>2.5</v>
      </c>
      <c r="M910" s="2" t="s">
        <v>91</v>
      </c>
      <c r="N910" t="s">
        <v>80</v>
      </c>
      <c r="O910">
        <f>MATCH(Combined[[#This Row],[Primary Area]],KPIs!$C$4:$C$7,0)</f>
        <v>2</v>
      </c>
      <c r="R910" s="40"/>
      <c r="V910" s="4"/>
      <c r="X910"/>
    </row>
    <row r="911" spans="2:24" x14ac:dyDescent="0.35">
      <c r="B911">
        <f t="shared" si="247"/>
        <v>909</v>
      </c>
      <c r="C911" t="s">
        <v>86</v>
      </c>
      <c r="D911" t="s">
        <v>176</v>
      </c>
      <c r="E911">
        <f>IF(WEEKNUM(Combined[[#This Row],[Date]], 1) = 53, 1, WEEKNUM(Combined[[#This Row],[Date]], 2))</f>
        <v>44</v>
      </c>
      <c r="F911" t="str">
        <f t="shared" ref="F911:F915" si="252">TEXT(WEEKDAY(G911,1),"DDDD")</f>
        <v>Wednesday</v>
      </c>
      <c r="G911" s="41">
        <v>45224</v>
      </c>
      <c r="H911">
        <v>6</v>
      </c>
      <c r="I911" s="1">
        <v>50.75</v>
      </c>
      <c r="J911" s="2">
        <v>0.13472222222222222</v>
      </c>
      <c r="K911" s="12">
        <f>Combined[[#This Row],[Time Spent]]*24</f>
        <v>3.2333333333333334</v>
      </c>
      <c r="L911" s="12">
        <f>MROUND(Combined[[#This Row],[Time Spent 2]],0.25)</f>
        <v>3.25</v>
      </c>
      <c r="M911" s="2" t="s">
        <v>91</v>
      </c>
      <c r="N911" t="s">
        <v>174</v>
      </c>
      <c r="O911">
        <f>MATCH(Combined[[#This Row],[Primary Area]],KPIs!$C$4:$C$7,0)</f>
        <v>1</v>
      </c>
      <c r="R911" s="40"/>
      <c r="V911" s="4"/>
      <c r="X911"/>
    </row>
    <row r="912" spans="2:24" x14ac:dyDescent="0.35">
      <c r="B912">
        <f t="shared" si="247"/>
        <v>910</v>
      </c>
      <c r="C912" t="s">
        <v>83</v>
      </c>
      <c r="D912" t="s">
        <v>176</v>
      </c>
      <c r="E912">
        <f>IF(WEEKNUM(Combined[[#This Row],[Date]], 1) = 53, 1, WEEKNUM(Combined[[#This Row],[Date]], 2))</f>
        <v>44</v>
      </c>
      <c r="F912" t="str">
        <f t="shared" si="252"/>
        <v>Saturday</v>
      </c>
      <c r="G912" s="41">
        <v>45227</v>
      </c>
      <c r="H912">
        <v>3</v>
      </c>
      <c r="I912" s="1">
        <v>58.95</v>
      </c>
      <c r="J912" s="2">
        <v>0.11458333333333333</v>
      </c>
      <c r="K912" s="12">
        <f>Combined[[#This Row],[Time Spent]]*24</f>
        <v>2.75</v>
      </c>
      <c r="L912" s="12">
        <f>MROUND(Combined[[#This Row],[Time Spent 2]],0.25)</f>
        <v>2.75</v>
      </c>
      <c r="M912" s="2" t="s">
        <v>91</v>
      </c>
      <c r="N912" t="s">
        <v>80</v>
      </c>
      <c r="O912">
        <f>MATCH(Combined[[#This Row],[Primary Area]],KPIs!$C$4:$C$7,0)</f>
        <v>2</v>
      </c>
      <c r="R912" s="40"/>
      <c r="V912" s="4"/>
      <c r="X912"/>
    </row>
    <row r="913" spans="2:24" x14ac:dyDescent="0.35">
      <c r="B913">
        <f t="shared" si="247"/>
        <v>911</v>
      </c>
      <c r="C913" t="s">
        <v>86</v>
      </c>
      <c r="D913" t="s">
        <v>176</v>
      </c>
      <c r="E913">
        <f>IF(WEEKNUM(Combined[[#This Row],[Date]], 1) = 53, 1, WEEKNUM(Combined[[#This Row],[Date]], 2))</f>
        <v>44</v>
      </c>
      <c r="F913" t="str">
        <f t="shared" si="252"/>
        <v>Saturday</v>
      </c>
      <c r="G913" s="41">
        <v>45227</v>
      </c>
      <c r="H913">
        <v>2</v>
      </c>
      <c r="I913" s="1">
        <v>16.75</v>
      </c>
      <c r="J913" s="2">
        <v>2.4305555555555556E-2</v>
      </c>
      <c r="K913" s="12">
        <f>Combined[[#This Row],[Time Spent]]*24</f>
        <v>0.58333333333333337</v>
      </c>
      <c r="L913" s="12">
        <f>MROUND(Combined[[#This Row],[Time Spent 2]],0.25)</f>
        <v>0.5</v>
      </c>
      <c r="M913" s="2" t="s">
        <v>91</v>
      </c>
      <c r="N913" t="s">
        <v>80</v>
      </c>
      <c r="O913">
        <f>MATCH(Combined[[#This Row],[Primary Area]],KPIs!$C$4:$C$7,0)</f>
        <v>2</v>
      </c>
      <c r="R913" s="40"/>
      <c r="V913" s="4"/>
      <c r="X913"/>
    </row>
    <row r="914" spans="2:24" x14ac:dyDescent="0.35">
      <c r="B914">
        <f t="shared" si="247"/>
        <v>912</v>
      </c>
      <c r="C914" t="s">
        <v>86</v>
      </c>
      <c r="D914" t="s">
        <v>176</v>
      </c>
      <c r="E914">
        <f>IF(WEEKNUM(Combined[[#This Row],[Date]], 1) = 53, 1, WEEKNUM(Combined[[#This Row],[Date]], 2))</f>
        <v>44</v>
      </c>
      <c r="F914" t="str">
        <f t="shared" si="252"/>
        <v>Saturday</v>
      </c>
      <c r="G914" s="41">
        <v>45227</v>
      </c>
      <c r="H914">
        <v>2</v>
      </c>
      <c r="I914" s="1">
        <v>50</v>
      </c>
      <c r="J914" s="2">
        <v>9.5833333333333326E-2</v>
      </c>
      <c r="K914" s="12">
        <f>Combined[[#This Row],[Time Spent]]*24</f>
        <v>2.2999999999999998</v>
      </c>
      <c r="L914" s="12">
        <f>MROUND(Combined[[#This Row],[Time Spent 2]],0.25)</f>
        <v>2.25</v>
      </c>
      <c r="M914" s="2" t="s">
        <v>91</v>
      </c>
      <c r="N914" t="s">
        <v>80</v>
      </c>
      <c r="O914">
        <f>MATCH(Combined[[#This Row],[Primary Area]],KPIs!$C$4:$C$7,0)</f>
        <v>2</v>
      </c>
      <c r="R914" s="40"/>
      <c r="V914" s="4"/>
      <c r="X914"/>
    </row>
    <row r="915" spans="2:24" x14ac:dyDescent="0.35">
      <c r="B915">
        <f t="shared" si="247"/>
        <v>913</v>
      </c>
      <c r="C915" t="s">
        <v>86</v>
      </c>
      <c r="D915" t="s">
        <v>176</v>
      </c>
      <c r="E915">
        <f>IF(WEEKNUM(Combined[[#This Row],[Date]], 1) = 53, 1, WEEKNUM(Combined[[#This Row],[Date]], 2))</f>
        <v>44</v>
      </c>
      <c r="F915" t="str">
        <f t="shared" si="252"/>
        <v>Saturday</v>
      </c>
      <c r="G915" s="41">
        <v>45227</v>
      </c>
      <c r="H915">
        <v>2</v>
      </c>
      <c r="I915" s="1">
        <v>11</v>
      </c>
      <c r="J915" s="2">
        <v>4.8611111111111112E-2</v>
      </c>
      <c r="K915" s="12">
        <f>Combined[[#This Row],[Time Spent]]*24</f>
        <v>1.1666666666666667</v>
      </c>
      <c r="L915" s="12">
        <f>MROUND(Combined[[#This Row],[Time Spent 2]],0.25)</f>
        <v>1.25</v>
      </c>
      <c r="M915" s="2" t="s">
        <v>91</v>
      </c>
      <c r="N915" t="s">
        <v>80</v>
      </c>
      <c r="O915">
        <f>MATCH(Combined[[#This Row],[Primary Area]],KPIs!$C$4:$C$7,0)</f>
        <v>2</v>
      </c>
      <c r="R915" s="40"/>
      <c r="V915" s="4"/>
      <c r="X915"/>
    </row>
    <row r="916" spans="2:24" x14ac:dyDescent="0.35">
      <c r="B916">
        <f t="shared" si="247"/>
        <v>914</v>
      </c>
      <c r="C916" t="s">
        <v>86</v>
      </c>
      <c r="D916" t="s">
        <v>176</v>
      </c>
      <c r="E916">
        <f>IF(WEEKNUM(Combined[[#This Row],[Date]], 1) = 53, 1, WEEKNUM(Combined[[#This Row],[Date]], 2))</f>
        <v>44</v>
      </c>
      <c r="F916" t="str">
        <f>TEXT(WEEKDAY(G916,1),"DDDD")</f>
        <v>Saturday</v>
      </c>
      <c r="G916" s="41">
        <v>45227</v>
      </c>
      <c r="H916">
        <v>1</v>
      </c>
      <c r="I916" s="1">
        <v>10.5</v>
      </c>
      <c r="J916" s="2">
        <v>1.9444444444444445E-2</v>
      </c>
      <c r="K916" s="12">
        <f>Combined[[#This Row],[Time Spent]]*24</f>
        <v>0.46666666666666667</v>
      </c>
      <c r="L916" s="12">
        <f>MROUND(Combined[[#This Row],[Time Spent 2]],0.25)</f>
        <v>0.5</v>
      </c>
      <c r="M916" s="2" t="s">
        <v>92</v>
      </c>
      <c r="N916" t="s">
        <v>80</v>
      </c>
      <c r="O916">
        <f>MATCH(Combined[[#This Row],[Primary Area]],KPIs!$C$4:$C$7,0)</f>
        <v>2</v>
      </c>
      <c r="R916" s="40"/>
      <c r="V916" s="4"/>
      <c r="X916"/>
    </row>
    <row r="917" spans="2:24" x14ac:dyDescent="0.35">
      <c r="B917">
        <f t="shared" si="247"/>
        <v>915</v>
      </c>
      <c r="C917" t="s">
        <v>83</v>
      </c>
      <c r="D917" t="s">
        <v>176</v>
      </c>
      <c r="E917">
        <f>IF(WEEKNUM(Combined[[#This Row],[Date]], 1) = 53, 1, WEEKNUM(Combined[[#This Row],[Date]], 2))</f>
        <v>44</v>
      </c>
      <c r="F917" t="str">
        <f t="shared" ref="F917:F922" si="253">TEXT(WEEKDAY(G917,1),"DDDD")</f>
        <v>Sunday</v>
      </c>
      <c r="G917" s="41">
        <v>45228</v>
      </c>
      <c r="H917">
        <v>7</v>
      </c>
      <c r="I917" s="1">
        <v>120.46</v>
      </c>
      <c r="J917" s="2">
        <v>0.19027777777777777</v>
      </c>
      <c r="K917" s="12">
        <f>Combined[[#This Row],[Time Spent]]*24</f>
        <v>4.5666666666666664</v>
      </c>
      <c r="L917" s="12">
        <f>MROUND(Combined[[#This Row],[Time Spent 2]],0.25)</f>
        <v>4.5</v>
      </c>
      <c r="M917" s="2" t="s">
        <v>91</v>
      </c>
      <c r="N917" t="s">
        <v>80</v>
      </c>
      <c r="O917">
        <f>MATCH(Combined[[#This Row],[Primary Area]],KPIs!$C$4:$C$7,0)</f>
        <v>2</v>
      </c>
      <c r="R917" s="40"/>
      <c r="V917" s="4"/>
      <c r="X917"/>
    </row>
    <row r="918" spans="2:24" x14ac:dyDescent="0.35">
      <c r="B918">
        <f t="shared" si="247"/>
        <v>916</v>
      </c>
      <c r="C918" t="s">
        <v>86</v>
      </c>
      <c r="D918" t="s">
        <v>176</v>
      </c>
      <c r="E918">
        <f>IF(WEEKNUM(Combined[[#This Row],[Date]], 1) = 53, 1, WEEKNUM(Combined[[#This Row],[Date]], 2))</f>
        <v>44</v>
      </c>
      <c r="F918" t="str">
        <f t="shared" si="253"/>
        <v>Sunday</v>
      </c>
      <c r="G918" s="41">
        <v>45228</v>
      </c>
      <c r="H918">
        <v>1</v>
      </c>
      <c r="I918" s="1">
        <v>4.5</v>
      </c>
      <c r="J918" s="2">
        <v>5.2777777777777778E-2</v>
      </c>
      <c r="K918" s="12">
        <f>Combined[[#This Row],[Time Spent]]*24</f>
        <v>1.2666666666666666</v>
      </c>
      <c r="L918" s="12">
        <f>MROUND(Combined[[#This Row],[Time Spent 2]],0.25)</f>
        <v>1.25</v>
      </c>
      <c r="M918" s="2" t="s">
        <v>91</v>
      </c>
      <c r="N918" t="s">
        <v>80</v>
      </c>
      <c r="O918">
        <f>MATCH(Combined[[#This Row],[Primary Area]],KPIs!$C$4:$C$7,0)</f>
        <v>2</v>
      </c>
      <c r="R918" s="40"/>
      <c r="V918" s="4"/>
      <c r="X918"/>
    </row>
    <row r="919" spans="2:24" x14ac:dyDescent="0.35">
      <c r="B919">
        <f t="shared" si="247"/>
        <v>917</v>
      </c>
      <c r="C919" t="s">
        <v>86</v>
      </c>
      <c r="D919" t="s">
        <v>176</v>
      </c>
      <c r="E919">
        <f>IF(WEEKNUM(Combined[[#This Row],[Date]], 1) = 53, 1, WEEKNUM(Combined[[#This Row],[Date]], 2))</f>
        <v>44</v>
      </c>
      <c r="F919" t="str">
        <f t="shared" si="253"/>
        <v>Sunday</v>
      </c>
      <c r="G919" s="41">
        <v>45228</v>
      </c>
      <c r="H919">
        <v>4</v>
      </c>
      <c r="I919" s="1">
        <v>39</v>
      </c>
      <c r="J919" s="2">
        <v>0.12083333333333333</v>
      </c>
      <c r="K919" s="12">
        <f>Combined[[#This Row],[Time Spent]]*24</f>
        <v>2.9</v>
      </c>
      <c r="L919" s="12">
        <f>MROUND(Combined[[#This Row],[Time Spent 2]],0.25)</f>
        <v>3</v>
      </c>
      <c r="M919" s="2" t="s">
        <v>91</v>
      </c>
      <c r="N919" t="s">
        <v>80</v>
      </c>
      <c r="O919">
        <f>MATCH(Combined[[#This Row],[Primary Area]],KPIs!$C$4:$C$7,0)</f>
        <v>2</v>
      </c>
      <c r="R919" s="40"/>
      <c r="V919" s="4"/>
      <c r="X919"/>
    </row>
    <row r="920" spans="2:24" x14ac:dyDescent="0.35">
      <c r="B920">
        <f t="shared" si="247"/>
        <v>918</v>
      </c>
      <c r="C920" t="s">
        <v>86</v>
      </c>
      <c r="D920" t="s">
        <v>176</v>
      </c>
      <c r="E920">
        <f>IF(WEEKNUM(Combined[[#This Row],[Date]], 1) = 53, 1, WEEKNUM(Combined[[#This Row],[Date]], 2))</f>
        <v>45</v>
      </c>
      <c r="F920" t="str">
        <f t="shared" si="253"/>
        <v>Monday</v>
      </c>
      <c r="G920" s="41">
        <v>45229</v>
      </c>
      <c r="H920">
        <v>10</v>
      </c>
      <c r="I920" s="1">
        <v>128.74</v>
      </c>
      <c r="J920" s="2">
        <v>0.18819444444444444</v>
      </c>
      <c r="K920" s="12">
        <f>Combined[[#This Row],[Time Spent]]*24</f>
        <v>4.5166666666666666</v>
      </c>
      <c r="L920" s="12">
        <f>MROUND(Combined[[#This Row],[Time Spent 2]],0.25)</f>
        <v>4.5</v>
      </c>
      <c r="M920" s="2" t="s">
        <v>91</v>
      </c>
      <c r="N920" t="s">
        <v>80</v>
      </c>
      <c r="O920">
        <f>MATCH(Combined[[#This Row],[Primary Area]],KPIs!$C$4:$C$7,0)</f>
        <v>2</v>
      </c>
      <c r="R920" s="40"/>
      <c r="V920" s="4"/>
      <c r="X920"/>
    </row>
    <row r="921" spans="2:24" x14ac:dyDescent="0.35">
      <c r="B921">
        <f t="shared" si="247"/>
        <v>919</v>
      </c>
      <c r="C921" t="s">
        <v>83</v>
      </c>
      <c r="D921" t="s">
        <v>176</v>
      </c>
      <c r="E921">
        <f>IF(WEEKNUM(Combined[[#This Row],[Date]], 1) = 53, 1, WEEKNUM(Combined[[#This Row],[Date]], 2))</f>
        <v>45</v>
      </c>
      <c r="F921" t="str">
        <f t="shared" si="253"/>
        <v>Tuesday</v>
      </c>
      <c r="G921" s="41">
        <v>45230</v>
      </c>
      <c r="H921">
        <v>2</v>
      </c>
      <c r="I921" s="1">
        <v>22.09</v>
      </c>
      <c r="J921" s="2">
        <v>5.0694444444444452E-2</v>
      </c>
      <c r="K921" s="12">
        <f>Combined[[#This Row],[Time Spent]]*24</f>
        <v>1.2166666666666668</v>
      </c>
      <c r="L921" s="12">
        <f>MROUND(Combined[[#This Row],[Time Spent 2]],0.25)</f>
        <v>1.25</v>
      </c>
      <c r="M921" s="2" t="s">
        <v>91</v>
      </c>
      <c r="N921" t="s">
        <v>80</v>
      </c>
      <c r="O921">
        <f>MATCH(Combined[[#This Row],[Primary Area]],KPIs!$C$4:$C$7,0)</f>
        <v>2</v>
      </c>
      <c r="R921" s="40"/>
      <c r="V921" s="4"/>
      <c r="X921"/>
    </row>
    <row r="922" spans="2:24" x14ac:dyDescent="0.35">
      <c r="B922">
        <f t="shared" si="247"/>
        <v>920</v>
      </c>
      <c r="C922" t="s">
        <v>86</v>
      </c>
      <c r="D922" t="s">
        <v>175</v>
      </c>
      <c r="E922">
        <f>IF(WEEKNUM(Combined[[#This Row],[Date]], 1) = 53, 1, WEEKNUM(Combined[[#This Row],[Date]], 2))</f>
        <v>45</v>
      </c>
      <c r="F922" t="str">
        <f t="shared" si="253"/>
        <v>Tuesday</v>
      </c>
      <c r="G922" s="41">
        <v>45230</v>
      </c>
      <c r="H922">
        <v>8</v>
      </c>
      <c r="I922" s="1">
        <v>71.819999999999993</v>
      </c>
      <c r="J922" s="2">
        <v>0.13194444444444445</v>
      </c>
      <c r="K922" s="12">
        <f>Combined[[#This Row],[Time Spent]]*24</f>
        <v>3.166666666666667</v>
      </c>
      <c r="L922" s="12">
        <f>MROUND(Combined[[#This Row],[Time Spent 2]],0.25)</f>
        <v>3.25</v>
      </c>
      <c r="M922" s="2" t="s">
        <v>91</v>
      </c>
      <c r="N922" t="s">
        <v>80</v>
      </c>
      <c r="O922">
        <f>MATCH(Combined[[#This Row],[Primary Area]],KPIs!$C$4:$C$7,0)</f>
        <v>2</v>
      </c>
      <c r="R922" s="40"/>
      <c r="V922" s="4"/>
      <c r="X922"/>
    </row>
    <row r="923" spans="2:24" x14ac:dyDescent="0.35">
      <c r="B923">
        <f t="shared" si="247"/>
        <v>921</v>
      </c>
      <c r="C923" t="s">
        <v>83</v>
      </c>
      <c r="D923" t="s">
        <v>176</v>
      </c>
      <c r="E923">
        <f>IF(WEEKNUM(Combined[[#This Row],[Date]], 1) = 53, 1, WEEKNUM(Combined[[#This Row],[Date]], 2))</f>
        <v>45</v>
      </c>
      <c r="F923" t="str">
        <f t="shared" ref="F923:F924" si="254">TEXT(WEEKDAY(G923,1),"DDDD")</f>
        <v>Wednesday</v>
      </c>
      <c r="G923" s="41">
        <v>45231</v>
      </c>
      <c r="H923">
        <v>2</v>
      </c>
      <c r="I923" s="1">
        <v>26.5</v>
      </c>
      <c r="J923" s="2">
        <v>7.7083333333333337E-2</v>
      </c>
      <c r="K923" s="12">
        <f>Combined[[#This Row],[Time Spent]]*24</f>
        <v>1.85</v>
      </c>
      <c r="L923" s="12">
        <f>MROUND(Combined[[#This Row],[Time Spent 2]],0.25)</f>
        <v>1.75</v>
      </c>
      <c r="M923" s="2" t="s">
        <v>91</v>
      </c>
      <c r="N923" t="s">
        <v>80</v>
      </c>
      <c r="O923">
        <f>MATCH(Combined[[#This Row],[Primary Area]],KPIs!$C$4:$C$7,0)</f>
        <v>2</v>
      </c>
      <c r="R923" s="40"/>
      <c r="V923" s="4"/>
      <c r="X923"/>
    </row>
    <row r="924" spans="2:24" x14ac:dyDescent="0.35">
      <c r="B924">
        <f t="shared" si="247"/>
        <v>922</v>
      </c>
      <c r="C924" t="s">
        <v>86</v>
      </c>
      <c r="D924" t="s">
        <v>175</v>
      </c>
      <c r="E924">
        <f>IF(WEEKNUM(Combined[[#This Row],[Date]], 1) = 53, 1, WEEKNUM(Combined[[#This Row],[Date]], 2))</f>
        <v>45</v>
      </c>
      <c r="F924" t="str">
        <f t="shared" si="254"/>
        <v>Wednesday</v>
      </c>
      <c r="G924" s="41">
        <v>45231</v>
      </c>
      <c r="H924">
        <v>8</v>
      </c>
      <c r="I924" s="1">
        <v>72.89</v>
      </c>
      <c r="J924" s="2">
        <v>0.17569444444444446</v>
      </c>
      <c r="K924" s="12">
        <f>Combined[[#This Row],[Time Spent]]*24</f>
        <v>4.2166666666666668</v>
      </c>
      <c r="L924" s="12">
        <f>MROUND(Combined[[#This Row],[Time Spent 2]],0.25)</f>
        <v>4.25</v>
      </c>
      <c r="M924" s="2" t="s">
        <v>91</v>
      </c>
      <c r="N924" t="s">
        <v>80</v>
      </c>
      <c r="O924">
        <f>MATCH(Combined[[#This Row],[Primary Area]],KPIs!$C$4:$C$7,0)</f>
        <v>2</v>
      </c>
      <c r="R924" s="40"/>
      <c r="V924" s="4"/>
      <c r="X924"/>
    </row>
    <row r="925" spans="2:24" x14ac:dyDescent="0.35">
      <c r="B925">
        <f t="shared" si="247"/>
        <v>923</v>
      </c>
      <c r="C925" t="s">
        <v>83</v>
      </c>
      <c r="D925" t="s">
        <v>176</v>
      </c>
      <c r="E925">
        <f>IF(WEEKNUM(Combined[[#This Row],[Date]], 1) = 53, 1, WEEKNUM(Combined[[#This Row],[Date]], 2))</f>
        <v>45</v>
      </c>
      <c r="F925" t="str">
        <f t="shared" ref="F925:F926" si="255">TEXT(WEEKDAY(G925,1),"DDDD")</f>
        <v>Friday</v>
      </c>
      <c r="G925" s="41">
        <v>45233</v>
      </c>
      <c r="H925">
        <v>8</v>
      </c>
      <c r="I925" s="1">
        <v>107.02</v>
      </c>
      <c r="J925" s="2">
        <v>0.1673611111111111</v>
      </c>
      <c r="K925" s="12">
        <f>Combined[[#This Row],[Time Spent]]*24</f>
        <v>4.0166666666666666</v>
      </c>
      <c r="L925" s="12">
        <f>MROUND(Combined[[#This Row],[Time Spent 2]],0.25)</f>
        <v>4</v>
      </c>
      <c r="M925" s="2" t="s">
        <v>91</v>
      </c>
      <c r="N925" t="s">
        <v>80</v>
      </c>
      <c r="O925">
        <f>MATCH(Combined[[#This Row],[Primary Area]],KPIs!$C$4:$C$7,0)</f>
        <v>2</v>
      </c>
      <c r="R925" s="40"/>
      <c r="V925" s="4"/>
      <c r="X925"/>
    </row>
    <row r="926" spans="2:24" x14ac:dyDescent="0.35">
      <c r="B926">
        <f t="shared" si="247"/>
        <v>924</v>
      </c>
      <c r="C926" t="s">
        <v>86</v>
      </c>
      <c r="D926" t="s">
        <v>175</v>
      </c>
      <c r="E926">
        <f>IF(WEEKNUM(Combined[[#This Row],[Date]], 1) = 53, 1, WEEKNUM(Combined[[#This Row],[Date]], 2))</f>
        <v>45</v>
      </c>
      <c r="F926" t="str">
        <f t="shared" si="255"/>
        <v>Friday</v>
      </c>
      <c r="G926" s="41">
        <v>45233</v>
      </c>
      <c r="H926">
        <v>1</v>
      </c>
      <c r="I926" s="1">
        <f>7.15+2</f>
        <v>9.15</v>
      </c>
      <c r="J926" s="2">
        <v>3.2638888888888891E-2</v>
      </c>
      <c r="K926" s="12">
        <f>Combined[[#This Row],[Time Spent]]*24</f>
        <v>0.78333333333333344</v>
      </c>
      <c r="L926" s="12">
        <f>MROUND(Combined[[#This Row],[Time Spent 2]],0.25)</f>
        <v>0.75</v>
      </c>
      <c r="M926" s="2" t="s">
        <v>92</v>
      </c>
      <c r="N926" t="s">
        <v>80</v>
      </c>
      <c r="O926">
        <f>MATCH(Combined[[#This Row],[Primary Area]],KPIs!$C$4:$C$7,0)</f>
        <v>2</v>
      </c>
      <c r="R926" s="40"/>
      <c r="V926" s="4"/>
      <c r="X926"/>
    </row>
    <row r="927" spans="2:24" x14ac:dyDescent="0.35">
      <c r="B927">
        <f t="shared" si="247"/>
        <v>925</v>
      </c>
      <c r="C927" t="s">
        <v>83</v>
      </c>
      <c r="D927" t="s">
        <v>176</v>
      </c>
      <c r="E927">
        <f>IF(WEEKNUM(Combined[[#This Row],[Date]], 1) = 53, 1, WEEKNUM(Combined[[#This Row],[Date]], 2))</f>
        <v>46</v>
      </c>
      <c r="F927" t="str">
        <f t="shared" ref="F927:F928" si="256">TEXT(WEEKDAY(G927,1),"DDDD")</f>
        <v>Monday</v>
      </c>
      <c r="G927" s="41">
        <v>45236</v>
      </c>
      <c r="H927">
        <v>4</v>
      </c>
      <c r="I927" s="1">
        <v>77.56</v>
      </c>
      <c r="J927" s="2">
        <v>0.12986111111111112</v>
      </c>
      <c r="K927" s="12">
        <f>Combined[[#This Row],[Time Spent]]*24</f>
        <v>3.1166666666666671</v>
      </c>
      <c r="L927" s="12">
        <f>MROUND(Combined[[#This Row],[Time Spent 2]],0.25)</f>
        <v>3</v>
      </c>
      <c r="M927" s="2" t="s">
        <v>91</v>
      </c>
      <c r="N927" t="s">
        <v>80</v>
      </c>
      <c r="O927">
        <f>MATCH(Combined[[#This Row],[Primary Area]],KPIs!$C$4:$C$7,0)</f>
        <v>2</v>
      </c>
      <c r="R927" s="40"/>
      <c r="V927" s="4"/>
      <c r="X927"/>
    </row>
    <row r="928" spans="2:24" x14ac:dyDescent="0.35">
      <c r="B928">
        <f t="shared" si="247"/>
        <v>926</v>
      </c>
      <c r="C928" t="s">
        <v>86</v>
      </c>
      <c r="D928" t="s">
        <v>175</v>
      </c>
      <c r="E928">
        <f>IF(WEEKNUM(Combined[[#This Row],[Date]], 1) = 53, 1, WEEKNUM(Combined[[#This Row],[Date]], 2))</f>
        <v>46</v>
      </c>
      <c r="F928" t="str">
        <f t="shared" si="256"/>
        <v>Monday</v>
      </c>
      <c r="G928" s="41">
        <v>45236</v>
      </c>
      <c r="H928">
        <v>4</v>
      </c>
      <c r="I928" s="1">
        <v>20.97</v>
      </c>
      <c r="J928" s="2">
        <v>8.4027777777777771E-2</v>
      </c>
      <c r="K928" s="12">
        <f>Combined[[#This Row],[Time Spent]]*24</f>
        <v>2.0166666666666666</v>
      </c>
      <c r="L928" s="12">
        <f>MROUND(Combined[[#This Row],[Time Spent 2]],0.25)</f>
        <v>2</v>
      </c>
      <c r="M928" s="2" t="s">
        <v>91</v>
      </c>
      <c r="N928" t="s">
        <v>80</v>
      </c>
      <c r="O928">
        <f>MATCH(Combined[[#This Row],[Primary Area]],KPIs!$C$4:$C$7,0)</f>
        <v>2</v>
      </c>
      <c r="R928" s="40"/>
      <c r="V928" s="4"/>
      <c r="X928"/>
    </row>
    <row r="929" spans="2:24" x14ac:dyDescent="0.35">
      <c r="B929">
        <f t="shared" si="247"/>
        <v>927</v>
      </c>
      <c r="C929" t="s">
        <v>83</v>
      </c>
      <c r="D929" t="s">
        <v>176</v>
      </c>
      <c r="E929">
        <f>IF(WEEKNUM(Combined[[#This Row],[Date]], 1) = 53, 1, WEEKNUM(Combined[[#This Row],[Date]], 2))</f>
        <v>46</v>
      </c>
      <c r="F929" t="str">
        <f t="shared" ref="F929:F930" si="257">TEXT(WEEKDAY(G929,1),"DDDD")</f>
        <v>Wednesday</v>
      </c>
      <c r="G929" s="41">
        <v>45238</v>
      </c>
      <c r="H929">
        <v>2</v>
      </c>
      <c r="I929" s="1">
        <v>37.880000000000003</v>
      </c>
      <c r="J929" s="2">
        <v>0.12430555555555556</v>
      </c>
      <c r="K929" s="12">
        <f>Combined[[#This Row],[Time Spent]]*24</f>
        <v>2.9833333333333334</v>
      </c>
      <c r="L929" s="12">
        <f>MROUND(Combined[[#This Row],[Time Spent 2]],0.25)</f>
        <v>3</v>
      </c>
      <c r="M929" s="2" t="s">
        <v>91</v>
      </c>
      <c r="N929" t="s">
        <v>80</v>
      </c>
      <c r="O929">
        <f>MATCH(Combined[[#This Row],[Primary Area]],KPIs!$C$4:$C$7,0)</f>
        <v>2</v>
      </c>
      <c r="R929" s="40"/>
      <c r="V929" s="4"/>
      <c r="X929"/>
    </row>
    <row r="930" spans="2:24" x14ac:dyDescent="0.35">
      <c r="B930">
        <f t="shared" si="247"/>
        <v>928</v>
      </c>
      <c r="C930" t="s">
        <v>86</v>
      </c>
      <c r="D930" t="s">
        <v>175</v>
      </c>
      <c r="E930">
        <f>IF(WEEKNUM(Combined[[#This Row],[Date]], 1) = 53, 1, WEEKNUM(Combined[[#This Row],[Date]], 2))</f>
        <v>46</v>
      </c>
      <c r="F930" t="str">
        <f t="shared" si="257"/>
        <v>Wednesday</v>
      </c>
      <c r="G930" s="41">
        <v>45238</v>
      </c>
      <c r="H930">
        <v>7</v>
      </c>
      <c r="I930" s="1">
        <v>69.98</v>
      </c>
      <c r="J930" s="2">
        <v>0.15902777777777777</v>
      </c>
      <c r="K930" s="12">
        <f>Combined[[#This Row],[Time Spent]]*24</f>
        <v>3.8166666666666664</v>
      </c>
      <c r="L930" s="12">
        <f>MROUND(Combined[[#This Row],[Time Spent 2]],0.25)</f>
        <v>3.75</v>
      </c>
      <c r="M930" s="2" t="s">
        <v>91</v>
      </c>
      <c r="N930" t="s">
        <v>80</v>
      </c>
      <c r="O930">
        <f>MATCH(Combined[[#This Row],[Primary Area]],KPIs!$C$4:$C$7,0)</f>
        <v>2</v>
      </c>
      <c r="R930" s="40"/>
      <c r="V930" s="4"/>
      <c r="X930"/>
    </row>
    <row r="931" spans="2:24" x14ac:dyDescent="0.35">
      <c r="B931">
        <f t="shared" si="247"/>
        <v>929</v>
      </c>
      <c r="C931" t="s">
        <v>83</v>
      </c>
      <c r="D931" t="s">
        <v>176</v>
      </c>
      <c r="E931">
        <f>IF(WEEKNUM(Combined[[#This Row],[Date]], 1) = 53, 1, WEEKNUM(Combined[[#This Row],[Date]], 2))</f>
        <v>46</v>
      </c>
      <c r="F931" t="str">
        <f t="shared" ref="F931:F932" si="258">TEXT(WEEKDAY(G931,1),"DDDD")</f>
        <v>Friday</v>
      </c>
      <c r="G931" s="41">
        <v>45240</v>
      </c>
      <c r="H931">
        <v>1</v>
      </c>
      <c r="I931" s="1">
        <v>23.08</v>
      </c>
      <c r="J931" s="2">
        <v>8.1944444444444445E-2</v>
      </c>
      <c r="K931" s="12">
        <f>Combined[[#This Row],[Time Spent]]*24</f>
        <v>1.9666666666666668</v>
      </c>
      <c r="L931" s="12">
        <f>MROUND(Combined[[#This Row],[Time Spent 2]],0.25)</f>
        <v>2</v>
      </c>
      <c r="M931" s="2" t="s">
        <v>91</v>
      </c>
      <c r="N931" t="s">
        <v>82</v>
      </c>
      <c r="O931">
        <f>MATCH(Combined[[#This Row],[Primary Area]],KPIs!$C$4:$C$7,0)</f>
        <v>3</v>
      </c>
      <c r="R931" s="40"/>
      <c r="V931" s="4"/>
      <c r="X931"/>
    </row>
    <row r="932" spans="2:24" x14ac:dyDescent="0.35">
      <c r="B932">
        <f t="shared" si="247"/>
        <v>930</v>
      </c>
      <c r="C932" t="s">
        <v>86</v>
      </c>
      <c r="D932" t="s">
        <v>175</v>
      </c>
      <c r="E932">
        <f>IF(WEEKNUM(Combined[[#This Row],[Date]], 1) = 53, 1, WEEKNUM(Combined[[#This Row],[Date]], 2))</f>
        <v>46</v>
      </c>
      <c r="F932" t="str">
        <f t="shared" si="258"/>
        <v>Friday</v>
      </c>
      <c r="G932" s="41">
        <v>45240</v>
      </c>
      <c r="H932">
        <v>14</v>
      </c>
      <c r="I932" s="1">
        <v>115.28</v>
      </c>
      <c r="J932" s="2">
        <v>0.27291666666666664</v>
      </c>
      <c r="K932" s="12">
        <f>Combined[[#This Row],[Time Spent]]*24</f>
        <v>6.5499999999999989</v>
      </c>
      <c r="L932" s="12">
        <f>MROUND(Combined[[#This Row],[Time Spent 2]],0.25)</f>
        <v>6.5</v>
      </c>
      <c r="M932" s="2" t="s">
        <v>91</v>
      </c>
      <c r="N932" t="s">
        <v>82</v>
      </c>
      <c r="O932">
        <f>MATCH(Combined[[#This Row],[Primary Area]],KPIs!$C$4:$C$7,0)</f>
        <v>3</v>
      </c>
      <c r="R932" s="40"/>
      <c r="V932" s="4"/>
      <c r="X932"/>
    </row>
    <row r="933" spans="2:24" x14ac:dyDescent="0.35">
      <c r="B933">
        <f t="shared" si="247"/>
        <v>931</v>
      </c>
      <c r="C933" t="s">
        <v>83</v>
      </c>
      <c r="D933" t="s">
        <v>176</v>
      </c>
      <c r="E933">
        <f>IF(WEEKNUM(Combined[[#This Row],[Date]], 1) = 53, 1, WEEKNUM(Combined[[#This Row],[Date]], 2))</f>
        <v>46</v>
      </c>
      <c r="F933" t="str">
        <f t="shared" ref="F933:F935" si="259">TEXT(WEEKDAY(G933,1),"DDDD")</f>
        <v>Saturday</v>
      </c>
      <c r="G933" s="41">
        <v>45241</v>
      </c>
      <c r="H933">
        <v>10</v>
      </c>
      <c r="I933" s="1">
        <v>84.63</v>
      </c>
      <c r="J933" s="2">
        <v>0.19027777777777777</v>
      </c>
      <c r="K933" s="12">
        <f>Combined[[#This Row],[Time Spent]]*24</f>
        <v>4.5666666666666664</v>
      </c>
      <c r="L933" s="12">
        <f>MROUND(Combined[[#This Row],[Time Spent 2]],0.25)</f>
        <v>4.5</v>
      </c>
      <c r="M933" s="2" t="s">
        <v>91</v>
      </c>
      <c r="N933" t="s">
        <v>85</v>
      </c>
      <c r="O933">
        <f>MATCH(Combined[[#This Row],[Primary Area]],KPIs!$C$4:$C$7,0)</f>
        <v>4</v>
      </c>
      <c r="R933" s="40"/>
      <c r="V933" s="4"/>
      <c r="X933"/>
    </row>
    <row r="934" spans="2:24" x14ac:dyDescent="0.35">
      <c r="B934">
        <f t="shared" si="247"/>
        <v>932</v>
      </c>
      <c r="C934" t="s">
        <v>86</v>
      </c>
      <c r="D934" t="s">
        <v>175</v>
      </c>
      <c r="E934">
        <f>IF(WEEKNUM(Combined[[#This Row],[Date]], 1) = 53, 1, WEEKNUM(Combined[[#This Row],[Date]], 2))</f>
        <v>46</v>
      </c>
      <c r="F934" t="str">
        <f t="shared" si="259"/>
        <v>Saturday</v>
      </c>
      <c r="G934" s="41">
        <v>45241</v>
      </c>
      <c r="H934">
        <v>3</v>
      </c>
      <c r="I934" s="1">
        <v>28.87</v>
      </c>
      <c r="J934" s="2">
        <v>0.12013888888888889</v>
      </c>
      <c r="K934" s="12">
        <f>Combined[[#This Row],[Time Spent]]*24</f>
        <v>2.8833333333333333</v>
      </c>
      <c r="L934" s="12">
        <f>MROUND(Combined[[#This Row],[Time Spent 2]],0.25)</f>
        <v>3</v>
      </c>
      <c r="M934" s="2" t="s">
        <v>91</v>
      </c>
      <c r="N934" t="s">
        <v>85</v>
      </c>
      <c r="O934">
        <f>MATCH(Combined[[#This Row],[Primary Area]],KPIs!$C$4:$C$7,0)</f>
        <v>4</v>
      </c>
      <c r="R934" s="40"/>
      <c r="V934" s="4"/>
      <c r="X934"/>
    </row>
    <row r="935" spans="2:24" x14ac:dyDescent="0.35">
      <c r="B935">
        <f t="shared" si="247"/>
        <v>933</v>
      </c>
      <c r="C935" t="s">
        <v>83</v>
      </c>
      <c r="D935" t="s">
        <v>176</v>
      </c>
      <c r="E935">
        <f>IF(WEEKNUM(Combined[[#This Row],[Date]], 1) = 53, 1, WEEKNUM(Combined[[#This Row],[Date]], 2))</f>
        <v>46</v>
      </c>
      <c r="F935" t="str">
        <f t="shared" si="259"/>
        <v>Sunday</v>
      </c>
      <c r="G935" s="41">
        <v>45242</v>
      </c>
      <c r="H935">
        <v>4</v>
      </c>
      <c r="I935" s="1">
        <v>51.49</v>
      </c>
      <c r="J935" s="2">
        <v>8.819444444444445E-2</v>
      </c>
      <c r="K935" s="12">
        <f>Combined[[#This Row],[Time Spent]]*24</f>
        <v>2.1166666666666667</v>
      </c>
      <c r="L935" s="12">
        <f>MROUND(Combined[[#This Row],[Time Spent 2]],0.25)</f>
        <v>2</v>
      </c>
      <c r="M935" s="2" t="s">
        <v>91</v>
      </c>
      <c r="N935" t="s">
        <v>80</v>
      </c>
      <c r="O935">
        <f>MATCH(Combined[[#This Row],[Primary Area]],KPIs!$C$4:$C$7,0)</f>
        <v>2</v>
      </c>
      <c r="R935" s="40"/>
      <c r="V935" s="4"/>
      <c r="X935"/>
    </row>
    <row r="936" spans="2:24" x14ac:dyDescent="0.35">
      <c r="B936">
        <f t="shared" si="247"/>
        <v>934</v>
      </c>
      <c r="C936" t="s">
        <v>86</v>
      </c>
      <c r="D936" t="s">
        <v>175</v>
      </c>
      <c r="E936">
        <f>IF(WEEKNUM(Combined[[#This Row],[Date]], 1) = 53, 1, WEEKNUM(Combined[[#This Row],[Date]], 2))</f>
        <v>46</v>
      </c>
      <c r="F936" t="str">
        <f t="shared" ref="F936" si="260">TEXT(WEEKDAY(G936,1),"DDDD")</f>
        <v>Sunday</v>
      </c>
      <c r="G936" s="41">
        <v>45242</v>
      </c>
      <c r="H936">
        <v>12</v>
      </c>
      <c r="I936" s="1">
        <v>107.7</v>
      </c>
      <c r="J936" s="2">
        <v>0.23194444444444443</v>
      </c>
      <c r="K936" s="12">
        <f>Combined[[#This Row],[Time Spent]]*24</f>
        <v>5.5666666666666664</v>
      </c>
      <c r="L936" s="12">
        <f>MROUND(Combined[[#This Row],[Time Spent 2]],0.25)</f>
        <v>5.5</v>
      </c>
      <c r="M936" s="2" t="s">
        <v>91</v>
      </c>
      <c r="N936" t="s">
        <v>80</v>
      </c>
      <c r="O936">
        <f>MATCH(Combined[[#This Row],[Primary Area]],KPIs!$C$4:$C$7,0)</f>
        <v>2</v>
      </c>
      <c r="R936" s="40"/>
      <c r="V936" s="4"/>
      <c r="X936"/>
    </row>
    <row r="937" spans="2:24" x14ac:dyDescent="0.35">
      <c r="B937">
        <f t="shared" si="247"/>
        <v>935</v>
      </c>
      <c r="C937" t="s">
        <v>83</v>
      </c>
      <c r="D937" t="s">
        <v>176</v>
      </c>
      <c r="E937">
        <f>IF(WEEKNUM(Combined[[#This Row],[Date]], 1) = 53, 1, WEEKNUM(Combined[[#This Row],[Date]], 2))</f>
        <v>47</v>
      </c>
      <c r="F937" t="str">
        <f t="shared" ref="F937:F939" si="261">TEXT(WEEKDAY(G937,1),"DDDD")</f>
        <v>Monday</v>
      </c>
      <c r="G937" s="41">
        <v>45243</v>
      </c>
      <c r="H937">
        <v>6</v>
      </c>
      <c r="I937" s="1">
        <v>110.38</v>
      </c>
      <c r="J937" s="2">
        <v>0.14583333333333334</v>
      </c>
      <c r="K937" s="12">
        <f>Combined[[#This Row],[Time Spent]]*24</f>
        <v>3.5</v>
      </c>
      <c r="L937" s="12">
        <f>MROUND(Combined[[#This Row],[Time Spent 2]],0.25)</f>
        <v>3.5</v>
      </c>
      <c r="M937" s="2" t="s">
        <v>91</v>
      </c>
      <c r="N937" t="s">
        <v>174</v>
      </c>
      <c r="O937">
        <f>MATCH(Combined[[#This Row],[Primary Area]],KPIs!$C$4:$C$7,0)</f>
        <v>1</v>
      </c>
      <c r="R937" s="40"/>
      <c r="V937" s="4"/>
      <c r="X937"/>
    </row>
    <row r="938" spans="2:24" x14ac:dyDescent="0.35">
      <c r="B938">
        <f t="shared" si="247"/>
        <v>936</v>
      </c>
      <c r="C938" t="s">
        <v>86</v>
      </c>
      <c r="D938" t="s">
        <v>175</v>
      </c>
      <c r="E938">
        <f>IF(WEEKNUM(Combined[[#This Row],[Date]], 1) = 53, 1, WEEKNUM(Combined[[#This Row],[Date]], 2))</f>
        <v>47</v>
      </c>
      <c r="F938" t="str">
        <f t="shared" si="261"/>
        <v>Monday</v>
      </c>
      <c r="G938" s="41">
        <v>45243</v>
      </c>
      <c r="H938">
        <v>2</v>
      </c>
      <c r="I938" s="1">
        <v>14.78</v>
      </c>
      <c r="J938" s="2">
        <v>7.2916666666666671E-2</v>
      </c>
      <c r="K938" s="12">
        <f>Combined[[#This Row],[Time Spent]]*24</f>
        <v>1.75</v>
      </c>
      <c r="L938" s="12">
        <f>MROUND(Combined[[#This Row],[Time Spent 2]],0.25)</f>
        <v>1.75</v>
      </c>
      <c r="M938" s="2" t="s">
        <v>91</v>
      </c>
      <c r="N938" t="s">
        <v>174</v>
      </c>
      <c r="O938">
        <f>MATCH(Combined[[#This Row],[Primary Area]],KPIs!$C$4:$C$7,0)</f>
        <v>1</v>
      </c>
      <c r="R938" s="40"/>
      <c r="V938" s="4"/>
      <c r="X938"/>
    </row>
    <row r="939" spans="2:24" x14ac:dyDescent="0.35">
      <c r="B939">
        <f t="shared" si="247"/>
        <v>937</v>
      </c>
      <c r="C939" t="s">
        <v>86</v>
      </c>
      <c r="D939" t="s">
        <v>175</v>
      </c>
      <c r="E939">
        <f>IF(WEEKNUM(Combined[[#This Row],[Date]], 1) = 53, 1, WEEKNUM(Combined[[#This Row],[Date]], 2))</f>
        <v>47</v>
      </c>
      <c r="F939" t="str">
        <f t="shared" si="261"/>
        <v>Monday</v>
      </c>
      <c r="G939" s="41">
        <v>45243</v>
      </c>
      <c r="H939">
        <v>2</v>
      </c>
      <c r="I939" s="1">
        <v>18.91</v>
      </c>
      <c r="J939" s="2">
        <v>3.2638888888888891E-2</v>
      </c>
      <c r="K939" s="12">
        <f>Combined[[#This Row],[Time Spent]]*24</f>
        <v>0.78333333333333344</v>
      </c>
      <c r="L939" s="12">
        <f>MROUND(Combined[[#This Row],[Time Spent 2]],0.25)</f>
        <v>0.75</v>
      </c>
      <c r="M939" s="2" t="s">
        <v>92</v>
      </c>
      <c r="N939" t="s">
        <v>174</v>
      </c>
      <c r="O939">
        <f>MATCH(Combined[[#This Row],[Primary Area]],KPIs!$C$4:$C$7,0)</f>
        <v>1</v>
      </c>
      <c r="R939" s="40"/>
      <c r="V939" s="4"/>
      <c r="X939"/>
    </row>
    <row r="940" spans="2:24" x14ac:dyDescent="0.35">
      <c r="B940">
        <f t="shared" si="247"/>
        <v>938</v>
      </c>
      <c r="C940" t="s">
        <v>83</v>
      </c>
      <c r="D940" t="s">
        <v>176</v>
      </c>
      <c r="E940">
        <f>IF(WEEKNUM(Combined[[#This Row],[Date]], 1) = 53, 1, WEEKNUM(Combined[[#This Row],[Date]], 2))</f>
        <v>47</v>
      </c>
      <c r="F940" t="str">
        <f t="shared" ref="F940:F941" si="262">TEXT(WEEKDAY(G940,1),"DDDD")</f>
        <v>Tuesday</v>
      </c>
      <c r="G940" s="41">
        <v>45244</v>
      </c>
      <c r="H940">
        <v>3</v>
      </c>
      <c r="I940" s="1">
        <v>35.06</v>
      </c>
      <c r="J940" s="2">
        <v>8.7500000000000008E-2</v>
      </c>
      <c r="K940" s="12">
        <f>Combined[[#This Row],[Time Spent]]*24</f>
        <v>2.1</v>
      </c>
      <c r="L940" s="12">
        <f>MROUND(Combined[[#This Row],[Time Spent 2]],0.25)</f>
        <v>2</v>
      </c>
      <c r="M940" s="2" t="s">
        <v>91</v>
      </c>
      <c r="N940" t="s">
        <v>80</v>
      </c>
      <c r="O940">
        <f>MATCH(Combined[[#This Row],[Primary Area]],KPIs!$C$4:$C$7,0)</f>
        <v>2</v>
      </c>
      <c r="R940" s="40"/>
      <c r="V940" s="4"/>
      <c r="X940"/>
    </row>
    <row r="941" spans="2:24" x14ac:dyDescent="0.35">
      <c r="B941">
        <f t="shared" si="247"/>
        <v>939</v>
      </c>
      <c r="C941" t="s">
        <v>86</v>
      </c>
      <c r="D941" t="s">
        <v>175</v>
      </c>
      <c r="E941">
        <f>IF(WEEKNUM(Combined[[#This Row],[Date]], 1) = 53, 1, WEEKNUM(Combined[[#This Row],[Date]], 2))</f>
        <v>47</v>
      </c>
      <c r="F941" t="str">
        <f t="shared" si="262"/>
        <v>Tuesday</v>
      </c>
      <c r="G941" s="41">
        <v>45244</v>
      </c>
      <c r="H941">
        <v>5</v>
      </c>
      <c r="I941" s="1">
        <v>46.56</v>
      </c>
      <c r="J941" s="2">
        <v>0.14652777777777778</v>
      </c>
      <c r="K941" s="12">
        <f>Combined[[#This Row],[Time Spent]]*24</f>
        <v>3.5166666666666666</v>
      </c>
      <c r="L941" s="12">
        <f>MROUND(Combined[[#This Row],[Time Spent 2]],0.25)</f>
        <v>3.5</v>
      </c>
      <c r="M941" s="2" t="s">
        <v>91</v>
      </c>
      <c r="N941" t="s">
        <v>80</v>
      </c>
      <c r="O941">
        <f>MATCH(Combined[[#This Row],[Primary Area]],KPIs!$C$4:$C$7,0)</f>
        <v>2</v>
      </c>
      <c r="R941" s="40"/>
      <c r="V941" s="4"/>
      <c r="X941"/>
    </row>
    <row r="942" spans="2:24" x14ac:dyDescent="0.35">
      <c r="B942">
        <f t="shared" si="247"/>
        <v>940</v>
      </c>
      <c r="C942" t="s">
        <v>83</v>
      </c>
      <c r="D942" t="s">
        <v>176</v>
      </c>
      <c r="E942">
        <f>IF(WEEKNUM(Combined[[#This Row],[Date]], 1) = 53, 1, WEEKNUM(Combined[[#This Row],[Date]], 2))</f>
        <v>47</v>
      </c>
      <c r="F942" t="str">
        <f t="shared" ref="F942:F944" si="263">TEXT(WEEKDAY(G942,1),"DDDD")</f>
        <v>Thursday</v>
      </c>
      <c r="G942" s="41">
        <v>45246</v>
      </c>
      <c r="H942">
        <v>1</v>
      </c>
      <c r="I942" s="1">
        <v>3.05</v>
      </c>
      <c r="J942" s="2">
        <v>2.9861111111111113E-2</v>
      </c>
      <c r="K942" s="12">
        <f>Combined[[#This Row],[Time Spent]]*24</f>
        <v>0.71666666666666667</v>
      </c>
      <c r="L942" s="12">
        <f>MROUND(Combined[[#This Row],[Time Spent 2]],0.25)</f>
        <v>0.75</v>
      </c>
      <c r="M942" s="2" t="s">
        <v>91</v>
      </c>
      <c r="N942" t="s">
        <v>82</v>
      </c>
      <c r="O942">
        <f>MATCH(Combined[[#This Row],[Primary Area]],KPIs!$C$4:$C$7,0)</f>
        <v>3</v>
      </c>
      <c r="R942" s="40"/>
      <c r="V942" s="4"/>
      <c r="X942"/>
    </row>
    <row r="943" spans="2:24" x14ac:dyDescent="0.35">
      <c r="B943">
        <f t="shared" si="247"/>
        <v>941</v>
      </c>
      <c r="C943" t="s">
        <v>86</v>
      </c>
      <c r="D943" t="s">
        <v>175</v>
      </c>
      <c r="E943">
        <f>IF(WEEKNUM(Combined[[#This Row],[Date]], 1) = 53, 1, WEEKNUM(Combined[[#This Row],[Date]], 2))</f>
        <v>47</v>
      </c>
      <c r="F943" t="str">
        <f t="shared" si="263"/>
        <v>Thursday</v>
      </c>
      <c r="G943" s="41">
        <v>45246</v>
      </c>
      <c r="H943">
        <v>4</v>
      </c>
      <c r="I943" s="1">
        <v>24.35</v>
      </c>
      <c r="J943" s="2">
        <v>8.6111111111111124E-2</v>
      </c>
      <c r="K943" s="12">
        <f>Combined[[#This Row],[Time Spent]]*24</f>
        <v>2.0666666666666669</v>
      </c>
      <c r="L943" s="12">
        <f>MROUND(Combined[[#This Row],[Time Spent 2]],0.25)</f>
        <v>2</v>
      </c>
      <c r="M943" s="2" t="s">
        <v>91</v>
      </c>
      <c r="N943" t="s">
        <v>82</v>
      </c>
      <c r="O943">
        <f>MATCH(Combined[[#This Row],[Primary Area]],KPIs!$C$4:$C$7,0)</f>
        <v>3</v>
      </c>
      <c r="R943" s="40"/>
      <c r="V943" s="4"/>
      <c r="X943"/>
    </row>
    <row r="944" spans="2:24" x14ac:dyDescent="0.35">
      <c r="B944">
        <f t="shared" si="247"/>
        <v>942</v>
      </c>
      <c r="C944" t="s">
        <v>83</v>
      </c>
      <c r="D944" t="s">
        <v>176</v>
      </c>
      <c r="E944">
        <f>IF(WEEKNUM(Combined[[#This Row],[Date]], 1) = 53, 1, WEEKNUM(Combined[[#This Row],[Date]], 2))</f>
        <v>47</v>
      </c>
      <c r="F944" t="str">
        <f t="shared" si="263"/>
        <v>Friday</v>
      </c>
      <c r="G944" s="41">
        <v>45247</v>
      </c>
      <c r="H944">
        <v>2</v>
      </c>
      <c r="I944" s="1">
        <v>16.77</v>
      </c>
      <c r="J944" s="2">
        <v>4.2361111111111106E-2</v>
      </c>
      <c r="K944" s="12">
        <f>Combined[[#This Row],[Time Spent]]*24</f>
        <v>1.0166666666666666</v>
      </c>
      <c r="L944" s="12">
        <f>MROUND(Combined[[#This Row],[Time Spent 2]],0.25)</f>
        <v>1</v>
      </c>
      <c r="M944" s="2" t="s">
        <v>91</v>
      </c>
      <c r="N944" t="s">
        <v>80</v>
      </c>
      <c r="O944">
        <f>MATCH(Combined[[#This Row],[Primary Area]],KPIs!$C$4:$C$7,0)</f>
        <v>2</v>
      </c>
      <c r="R944" s="40"/>
      <c r="V944" s="4"/>
      <c r="X944"/>
    </row>
    <row r="945" spans="2:24" x14ac:dyDescent="0.35">
      <c r="B945">
        <f t="shared" si="247"/>
        <v>943</v>
      </c>
      <c r="C945" t="s">
        <v>83</v>
      </c>
      <c r="D945" t="s">
        <v>176</v>
      </c>
      <c r="E945">
        <f>IF(WEEKNUM(Combined[[#This Row],[Date]], 1) = 53, 1, WEEKNUM(Combined[[#This Row],[Date]], 2))</f>
        <v>48</v>
      </c>
      <c r="F945" t="str">
        <f t="shared" ref="F945:F948" si="264">TEXT(WEEKDAY(G945,1),"DDDD")</f>
        <v>Monday</v>
      </c>
      <c r="G945" s="41">
        <v>45250</v>
      </c>
      <c r="H945">
        <v>2</v>
      </c>
      <c r="I945" s="1">
        <v>19.350000000000001</v>
      </c>
      <c r="J945" s="2">
        <v>8.9583333333333334E-2</v>
      </c>
      <c r="K945" s="12">
        <f>Combined[[#This Row],[Time Spent]]*24</f>
        <v>2.15</v>
      </c>
      <c r="L945" s="12">
        <f>MROUND(Combined[[#This Row],[Time Spent 2]],0.25)</f>
        <v>2.25</v>
      </c>
      <c r="M945" s="2" t="s">
        <v>91</v>
      </c>
      <c r="N945" t="s">
        <v>174</v>
      </c>
      <c r="O945">
        <f>MATCH(Combined[[#This Row],[Primary Area]],KPIs!$C$4:$C$7,0)</f>
        <v>1</v>
      </c>
      <c r="R945" s="40"/>
      <c r="V945" s="4"/>
      <c r="X945"/>
    </row>
    <row r="946" spans="2:24" x14ac:dyDescent="0.35">
      <c r="B946">
        <f t="shared" si="247"/>
        <v>944</v>
      </c>
      <c r="C946" t="s">
        <v>86</v>
      </c>
      <c r="D946" t="s">
        <v>175</v>
      </c>
      <c r="E946">
        <f>IF(WEEKNUM(Combined[[#This Row],[Date]], 1) = 53, 1, WEEKNUM(Combined[[#This Row],[Date]], 2))</f>
        <v>48</v>
      </c>
      <c r="F946" t="str">
        <f t="shared" si="264"/>
        <v>Monday</v>
      </c>
      <c r="G946" s="41">
        <v>45250</v>
      </c>
      <c r="H946">
        <v>8</v>
      </c>
      <c r="I946" s="1">
        <v>94.06</v>
      </c>
      <c r="J946" s="2">
        <v>0.16319444444444445</v>
      </c>
      <c r="K946" s="12">
        <f>Combined[[#This Row],[Time Spent]]*24</f>
        <v>3.916666666666667</v>
      </c>
      <c r="L946" s="12">
        <f>MROUND(Combined[[#This Row],[Time Spent 2]],0.25)</f>
        <v>4</v>
      </c>
      <c r="M946" s="2" t="s">
        <v>91</v>
      </c>
      <c r="N946" t="s">
        <v>174</v>
      </c>
      <c r="O946">
        <f>MATCH(Combined[[#This Row],[Primary Area]],KPIs!$C$4:$C$7,0)</f>
        <v>1</v>
      </c>
      <c r="R946" s="40"/>
      <c r="V946" s="4"/>
      <c r="X946"/>
    </row>
    <row r="947" spans="2:24" x14ac:dyDescent="0.35">
      <c r="B947">
        <f t="shared" si="247"/>
        <v>945</v>
      </c>
      <c r="C947" t="s">
        <v>83</v>
      </c>
      <c r="D947" t="s">
        <v>176</v>
      </c>
      <c r="E947">
        <f>IF(WEEKNUM(Combined[[#This Row],[Date]], 1) = 53, 1, WEEKNUM(Combined[[#This Row],[Date]], 2))</f>
        <v>48</v>
      </c>
      <c r="F947" t="str">
        <f t="shared" si="264"/>
        <v>Tuesday</v>
      </c>
      <c r="G947" s="41">
        <v>45251</v>
      </c>
      <c r="H947">
        <v>2</v>
      </c>
      <c r="I947" s="1">
        <v>12.27</v>
      </c>
      <c r="J947" s="2">
        <v>6.7361111111111108E-2</v>
      </c>
      <c r="K947" s="12">
        <f>Combined[[#This Row],[Time Spent]]*24</f>
        <v>1.6166666666666667</v>
      </c>
      <c r="L947" s="12">
        <f>MROUND(Combined[[#This Row],[Time Spent 2]],0.25)</f>
        <v>1.5</v>
      </c>
      <c r="M947" s="2" t="s">
        <v>91</v>
      </c>
      <c r="N947" t="s">
        <v>82</v>
      </c>
      <c r="O947">
        <f>MATCH(Combined[[#This Row],[Primary Area]],KPIs!$C$4:$C$7,0)</f>
        <v>3</v>
      </c>
      <c r="R947" s="40"/>
      <c r="V947" s="4"/>
      <c r="X947"/>
    </row>
    <row r="948" spans="2:24" x14ac:dyDescent="0.35">
      <c r="B948">
        <f t="shared" si="247"/>
        <v>946</v>
      </c>
      <c r="C948" t="s">
        <v>86</v>
      </c>
      <c r="D948" t="s">
        <v>175</v>
      </c>
      <c r="E948">
        <f>IF(WEEKNUM(Combined[[#This Row],[Date]], 1) = 53, 1, WEEKNUM(Combined[[#This Row],[Date]], 2))</f>
        <v>48</v>
      </c>
      <c r="F948" t="str">
        <f t="shared" si="264"/>
        <v>Tuesday</v>
      </c>
      <c r="G948" s="41">
        <v>45251</v>
      </c>
      <c r="H948">
        <v>7</v>
      </c>
      <c r="I948" s="1">
        <v>61.23</v>
      </c>
      <c r="J948" s="2">
        <v>0.16597222222222222</v>
      </c>
      <c r="K948" s="12">
        <f>Combined[[#This Row],[Time Spent]]*24</f>
        <v>3.9833333333333334</v>
      </c>
      <c r="L948" s="12">
        <f>MROUND(Combined[[#This Row],[Time Spent 2]],0.25)</f>
        <v>4</v>
      </c>
      <c r="M948" s="2" t="s">
        <v>91</v>
      </c>
      <c r="N948" t="s">
        <v>82</v>
      </c>
      <c r="O948">
        <f>MATCH(Combined[[#This Row],[Primary Area]],KPIs!$C$4:$C$7,0)</f>
        <v>3</v>
      </c>
      <c r="R948" s="40"/>
      <c r="V948" s="4"/>
      <c r="X948"/>
    </row>
    <row r="949" spans="2:24" x14ac:dyDescent="0.35">
      <c r="B949">
        <f t="shared" si="247"/>
        <v>947</v>
      </c>
      <c r="C949" t="s">
        <v>83</v>
      </c>
      <c r="D949" t="s">
        <v>176</v>
      </c>
      <c r="E949">
        <f>IF(WEEKNUM(Combined[[#This Row],[Date]], 1) = 53, 1, WEEKNUM(Combined[[#This Row],[Date]], 2))</f>
        <v>48</v>
      </c>
      <c r="F949" t="str">
        <f t="shared" ref="F949:F952" si="265">TEXT(WEEKDAY(G949,1),"DDDD")</f>
        <v>Wednesday</v>
      </c>
      <c r="G949" s="41">
        <v>45252</v>
      </c>
      <c r="H949">
        <v>3</v>
      </c>
      <c r="I949" s="1">
        <v>32.18</v>
      </c>
      <c r="J949" s="2">
        <v>7.5694444444444439E-2</v>
      </c>
      <c r="K949" s="12">
        <f>Combined[[#This Row],[Time Spent]]*24</f>
        <v>1.8166666666666664</v>
      </c>
      <c r="L949" s="12">
        <f>MROUND(Combined[[#This Row],[Time Spent 2]],0.25)</f>
        <v>1.75</v>
      </c>
      <c r="M949" s="2" t="s">
        <v>91</v>
      </c>
      <c r="N949" t="s">
        <v>80</v>
      </c>
      <c r="O949">
        <f>MATCH(Combined[[#This Row],[Primary Area]],KPIs!$C$4:$C$7,0)</f>
        <v>2</v>
      </c>
      <c r="R949" s="40"/>
      <c r="V949" s="4"/>
      <c r="X949"/>
    </row>
    <row r="950" spans="2:24" x14ac:dyDescent="0.35">
      <c r="B950">
        <f t="shared" si="247"/>
        <v>948</v>
      </c>
      <c r="C950" t="s">
        <v>83</v>
      </c>
      <c r="D950" t="s">
        <v>176</v>
      </c>
      <c r="E950">
        <f>IF(WEEKNUM(Combined[[#This Row],[Date]], 1) = 53, 1, WEEKNUM(Combined[[#This Row],[Date]], 2))</f>
        <v>48</v>
      </c>
      <c r="F950" t="str">
        <f t="shared" si="265"/>
        <v>Friday</v>
      </c>
      <c r="G950" s="41">
        <v>45254</v>
      </c>
      <c r="H950">
        <v>6</v>
      </c>
      <c r="I950" s="1">
        <v>100.39</v>
      </c>
      <c r="J950" s="2">
        <v>0.16458333333333333</v>
      </c>
      <c r="K950" s="12">
        <f>Combined[[#This Row],[Time Spent]]*24</f>
        <v>3.95</v>
      </c>
      <c r="L950" s="12">
        <f>MROUND(Combined[[#This Row],[Time Spent 2]],0.25)</f>
        <v>4</v>
      </c>
      <c r="M950" s="2" t="s">
        <v>91</v>
      </c>
      <c r="N950" t="s">
        <v>80</v>
      </c>
      <c r="O950">
        <f>MATCH(Combined[[#This Row],[Primary Area]],KPIs!$C$4:$C$7,0)</f>
        <v>2</v>
      </c>
      <c r="R950" s="40"/>
      <c r="V950" s="4"/>
      <c r="X950"/>
    </row>
    <row r="951" spans="2:24" x14ac:dyDescent="0.35">
      <c r="B951">
        <f t="shared" si="247"/>
        <v>949</v>
      </c>
      <c r="C951" t="s">
        <v>86</v>
      </c>
      <c r="D951" t="s">
        <v>175</v>
      </c>
      <c r="E951">
        <f>IF(WEEKNUM(Combined[[#This Row],[Date]], 1) = 53, 1, WEEKNUM(Combined[[#This Row],[Date]], 2))</f>
        <v>48</v>
      </c>
      <c r="F951" t="str">
        <f t="shared" si="265"/>
        <v>Friday</v>
      </c>
      <c r="G951" s="41">
        <v>45254</v>
      </c>
      <c r="H951">
        <v>2</v>
      </c>
      <c r="I951" s="1">
        <v>10.44</v>
      </c>
      <c r="J951" s="2">
        <v>3.125E-2</v>
      </c>
      <c r="K951" s="12">
        <f>Combined[[#This Row],[Time Spent]]*24</f>
        <v>0.75</v>
      </c>
      <c r="L951" s="12">
        <f>MROUND(Combined[[#This Row],[Time Spent 2]],0.25)</f>
        <v>0.75</v>
      </c>
      <c r="M951" s="2" t="s">
        <v>91</v>
      </c>
      <c r="N951" t="s">
        <v>80</v>
      </c>
      <c r="O951">
        <f>MATCH(Combined[[#This Row],[Primary Area]],KPIs!$C$4:$C$7,0)</f>
        <v>2</v>
      </c>
      <c r="R951" s="40"/>
      <c r="V951" s="4"/>
      <c r="X951"/>
    </row>
    <row r="952" spans="2:24" x14ac:dyDescent="0.35">
      <c r="B952">
        <f t="shared" si="247"/>
        <v>950</v>
      </c>
      <c r="C952" t="s">
        <v>86</v>
      </c>
      <c r="D952" t="s">
        <v>175</v>
      </c>
      <c r="E952">
        <f>IF(WEEKNUM(Combined[[#This Row],[Date]], 1) = 53, 1, WEEKNUM(Combined[[#This Row],[Date]], 2))</f>
        <v>48</v>
      </c>
      <c r="F952" t="str">
        <f t="shared" si="265"/>
        <v>Friday</v>
      </c>
      <c r="G952" s="41">
        <v>45254</v>
      </c>
      <c r="H952">
        <v>7</v>
      </c>
      <c r="I952" s="1">
        <v>67.92</v>
      </c>
      <c r="J952" s="2">
        <v>0.10833333333333334</v>
      </c>
      <c r="K952" s="12">
        <f>Combined[[#This Row],[Time Spent]]*24</f>
        <v>2.6</v>
      </c>
      <c r="L952" s="12">
        <f>MROUND(Combined[[#This Row],[Time Spent 2]],0.25)</f>
        <v>2.5</v>
      </c>
      <c r="M952" s="2" t="s">
        <v>91</v>
      </c>
      <c r="N952" t="s">
        <v>80</v>
      </c>
      <c r="O952">
        <f>MATCH(Combined[[#This Row],[Primary Area]],KPIs!$C$4:$C$7,0)</f>
        <v>2</v>
      </c>
      <c r="R952" s="40"/>
      <c r="V952" s="4"/>
      <c r="X952"/>
    </row>
    <row r="953" spans="2:24" x14ac:dyDescent="0.35">
      <c r="B953">
        <f t="shared" si="247"/>
        <v>951</v>
      </c>
      <c r="C953" t="s">
        <v>83</v>
      </c>
      <c r="D953" t="s">
        <v>176</v>
      </c>
      <c r="E953">
        <f>IF(WEEKNUM(Combined[[#This Row],[Date]], 1) = 53, 1, WEEKNUM(Combined[[#This Row],[Date]], 2))</f>
        <v>49</v>
      </c>
      <c r="F953" t="str">
        <f t="shared" ref="F953:F955" si="266">TEXT(WEEKDAY(G953,1),"DDDD")</f>
        <v>Monday</v>
      </c>
      <c r="G953" s="41">
        <v>45257</v>
      </c>
      <c r="H953">
        <v>3</v>
      </c>
      <c r="I953" s="1">
        <v>50.71</v>
      </c>
      <c r="J953" s="2">
        <v>8.1250000000000003E-2</v>
      </c>
      <c r="K953" s="12">
        <f>Combined[[#This Row],[Time Spent]]*24</f>
        <v>1.9500000000000002</v>
      </c>
      <c r="L953" s="12">
        <f>MROUND(Combined[[#This Row],[Time Spent 2]],0.25)</f>
        <v>2</v>
      </c>
      <c r="M953" s="2" t="s">
        <v>91</v>
      </c>
      <c r="N953" t="s">
        <v>80</v>
      </c>
      <c r="O953">
        <f>MATCH(Combined[[#This Row],[Primary Area]],KPIs!$C$4:$C$7,0)</f>
        <v>2</v>
      </c>
      <c r="R953" s="40"/>
      <c r="V953" s="4"/>
      <c r="X953"/>
    </row>
    <row r="954" spans="2:24" x14ac:dyDescent="0.35">
      <c r="B954">
        <f t="shared" si="247"/>
        <v>952</v>
      </c>
      <c r="C954" t="s">
        <v>86</v>
      </c>
      <c r="D954" t="s">
        <v>176</v>
      </c>
      <c r="E954">
        <f>IF(WEEKNUM(Combined[[#This Row],[Date]], 1) = 53, 1, WEEKNUM(Combined[[#This Row],[Date]], 2))</f>
        <v>49</v>
      </c>
      <c r="F954" t="str">
        <f t="shared" si="266"/>
        <v>Monday</v>
      </c>
      <c r="G954" s="41">
        <v>45257</v>
      </c>
      <c r="H954">
        <v>3</v>
      </c>
      <c r="I954" s="1">
        <v>36.25</v>
      </c>
      <c r="J954" s="2">
        <v>4.7916666666666663E-2</v>
      </c>
      <c r="K954" s="12">
        <f>Combined[[#This Row],[Time Spent]]*24</f>
        <v>1.1499999999999999</v>
      </c>
      <c r="L954" s="12">
        <f>MROUND(Combined[[#This Row],[Time Spent 2]],0.25)</f>
        <v>1.25</v>
      </c>
      <c r="M954" s="2" t="s">
        <v>91</v>
      </c>
      <c r="N954" t="s">
        <v>80</v>
      </c>
      <c r="O954">
        <f>MATCH(Combined[[#This Row],[Primary Area]],KPIs!$C$4:$C$7,0)</f>
        <v>2</v>
      </c>
      <c r="R954" s="40"/>
      <c r="V954" s="4"/>
      <c r="X954"/>
    </row>
    <row r="955" spans="2:24" x14ac:dyDescent="0.35">
      <c r="B955">
        <f t="shared" si="247"/>
        <v>953</v>
      </c>
      <c r="C955" t="s">
        <v>86</v>
      </c>
      <c r="D955" t="s">
        <v>176</v>
      </c>
      <c r="E955">
        <f>IF(WEEKNUM(Combined[[#This Row],[Date]], 1) = 53, 1, WEEKNUM(Combined[[#This Row],[Date]], 2))</f>
        <v>49</v>
      </c>
      <c r="F955" t="str">
        <f t="shared" si="266"/>
        <v>Monday</v>
      </c>
      <c r="G955" s="41">
        <v>45257</v>
      </c>
      <c r="H955">
        <v>3</v>
      </c>
      <c r="I955" s="1">
        <f>17+8.25</f>
        <v>25.25</v>
      </c>
      <c r="J955" s="2">
        <v>4.8611111111111112E-2</v>
      </c>
      <c r="K955" s="12">
        <f>Combined[[#This Row],[Time Spent]]*24</f>
        <v>1.1666666666666667</v>
      </c>
      <c r="L955" s="12">
        <f>MROUND(Combined[[#This Row],[Time Spent 2]],0.25)</f>
        <v>1.25</v>
      </c>
      <c r="M955" s="2" t="s">
        <v>91</v>
      </c>
      <c r="N955" t="s">
        <v>80</v>
      </c>
      <c r="O955">
        <f>MATCH(Combined[[#This Row],[Primary Area]],KPIs!$C$4:$C$7,0)</f>
        <v>2</v>
      </c>
      <c r="R955" s="40"/>
      <c r="V955" s="4"/>
      <c r="X955"/>
    </row>
    <row r="956" spans="2:24" x14ac:dyDescent="0.35">
      <c r="B956">
        <f t="shared" si="247"/>
        <v>954</v>
      </c>
      <c r="C956" t="s">
        <v>83</v>
      </c>
      <c r="D956" t="s">
        <v>176</v>
      </c>
      <c r="E956">
        <f>IF(WEEKNUM(Combined[[#This Row],[Date]], 1) = 53, 1, WEEKNUM(Combined[[#This Row],[Date]], 2))</f>
        <v>49</v>
      </c>
      <c r="F956" t="str">
        <f t="shared" ref="F956:F957" si="267">TEXT(WEEKDAY(G956,1),"DDDD")</f>
        <v>Tuesday</v>
      </c>
      <c r="G956" s="41">
        <v>45258</v>
      </c>
      <c r="H956">
        <v>6</v>
      </c>
      <c r="I956" s="1">
        <v>112.54</v>
      </c>
      <c r="J956" s="2">
        <v>0.18541666666666667</v>
      </c>
      <c r="K956" s="12">
        <f>Combined[[#This Row],[Time Spent]]*24</f>
        <v>4.45</v>
      </c>
      <c r="L956" s="12">
        <f>MROUND(Combined[[#This Row],[Time Spent 2]],0.25)</f>
        <v>4.5</v>
      </c>
      <c r="M956" s="2" t="s">
        <v>91</v>
      </c>
      <c r="N956" t="s">
        <v>80</v>
      </c>
      <c r="O956">
        <f>MATCH(Combined[[#This Row],[Primary Area]],KPIs!$C$4:$C$7,0)</f>
        <v>2</v>
      </c>
      <c r="R956" s="40"/>
      <c r="V956" s="4"/>
      <c r="X956"/>
    </row>
    <row r="957" spans="2:24" x14ac:dyDescent="0.35">
      <c r="B957">
        <f t="shared" si="247"/>
        <v>955</v>
      </c>
      <c r="C957" t="s">
        <v>86</v>
      </c>
      <c r="D957" t="s">
        <v>175</v>
      </c>
      <c r="E957">
        <f>IF(WEEKNUM(Combined[[#This Row],[Date]], 1) = 53, 1, WEEKNUM(Combined[[#This Row],[Date]], 2))</f>
        <v>49</v>
      </c>
      <c r="F957" t="str">
        <f t="shared" si="267"/>
        <v>Tuesday</v>
      </c>
      <c r="G957" s="41">
        <v>45258</v>
      </c>
      <c r="H957">
        <v>2</v>
      </c>
      <c r="I957" s="1">
        <v>40.869999999999997</v>
      </c>
      <c r="J957" s="2">
        <v>8.0555555555555561E-2</v>
      </c>
      <c r="K957" s="12">
        <f>Combined[[#This Row],[Time Spent]]*24</f>
        <v>1.9333333333333336</v>
      </c>
      <c r="L957" s="12">
        <f>MROUND(Combined[[#This Row],[Time Spent 2]],0.25)</f>
        <v>2</v>
      </c>
      <c r="M957" s="2" t="s">
        <v>91</v>
      </c>
      <c r="N957" t="s">
        <v>80</v>
      </c>
      <c r="O957">
        <f>MATCH(Combined[[#This Row],[Primary Area]],KPIs!$C$4:$C$7,0)</f>
        <v>2</v>
      </c>
      <c r="R957" s="40"/>
      <c r="V957" s="4"/>
      <c r="X957"/>
    </row>
    <row r="958" spans="2:24" x14ac:dyDescent="0.35">
      <c r="B958">
        <f t="shared" si="247"/>
        <v>956</v>
      </c>
      <c r="C958" t="s">
        <v>83</v>
      </c>
      <c r="D958" t="s">
        <v>176</v>
      </c>
      <c r="E958">
        <f>IF(WEEKNUM(Combined[[#This Row],[Date]], 1) = 53, 1, WEEKNUM(Combined[[#This Row],[Date]], 2))</f>
        <v>49</v>
      </c>
      <c r="F958" t="str">
        <f t="shared" ref="F958:F959" si="268">TEXT(WEEKDAY(G958,1),"DDDD")</f>
        <v>Thursday</v>
      </c>
      <c r="G958" s="41">
        <v>45260</v>
      </c>
      <c r="H958">
        <v>3</v>
      </c>
      <c r="I958" s="1">
        <v>25.63</v>
      </c>
      <c r="J958" s="2">
        <v>8.9583333333333334E-2</v>
      </c>
      <c r="K958" s="12">
        <f>Combined[[#This Row],[Time Spent]]*24</f>
        <v>2.15</v>
      </c>
      <c r="L958" s="12">
        <f>MROUND(Combined[[#This Row],[Time Spent 2]],0.25)</f>
        <v>2.25</v>
      </c>
      <c r="M958" s="2" t="s">
        <v>91</v>
      </c>
      <c r="N958" t="s">
        <v>85</v>
      </c>
      <c r="O958">
        <f>MATCH(Combined[[#This Row],[Primary Area]],KPIs!$C$4:$C$7,0)</f>
        <v>4</v>
      </c>
      <c r="R958" s="40"/>
      <c r="V958" s="4"/>
      <c r="X958"/>
    </row>
    <row r="959" spans="2:24" x14ac:dyDescent="0.35">
      <c r="B959">
        <f t="shared" si="247"/>
        <v>957</v>
      </c>
      <c r="C959" t="s">
        <v>86</v>
      </c>
      <c r="D959" t="s">
        <v>175</v>
      </c>
      <c r="E959">
        <f>IF(WEEKNUM(Combined[[#This Row],[Date]], 1) = 53, 1, WEEKNUM(Combined[[#This Row],[Date]], 2))</f>
        <v>49</v>
      </c>
      <c r="F959" t="str">
        <f t="shared" si="268"/>
        <v>Thursday</v>
      </c>
      <c r="G959" s="41">
        <v>45260</v>
      </c>
      <c r="H959">
        <v>5</v>
      </c>
      <c r="I959" s="1">
        <v>42.5</v>
      </c>
      <c r="J959" s="2">
        <v>0.1423611111111111</v>
      </c>
      <c r="K959" s="12">
        <f>Combined[[#This Row],[Time Spent]]*24</f>
        <v>3.4166666666666665</v>
      </c>
      <c r="L959" s="12">
        <f>MROUND(Combined[[#This Row],[Time Spent 2]],0.25)</f>
        <v>3.5</v>
      </c>
      <c r="M959" s="2" t="s">
        <v>91</v>
      </c>
      <c r="N959" t="s">
        <v>85</v>
      </c>
      <c r="O959">
        <f>MATCH(Combined[[#This Row],[Primary Area]],KPIs!$C$4:$C$7,0)</f>
        <v>4</v>
      </c>
      <c r="R959" s="40"/>
      <c r="V959" s="4"/>
      <c r="X959"/>
    </row>
    <row r="960" spans="2:24" x14ac:dyDescent="0.35">
      <c r="B960">
        <f t="shared" si="247"/>
        <v>958</v>
      </c>
      <c r="C960" t="s">
        <v>83</v>
      </c>
      <c r="D960" t="s">
        <v>176</v>
      </c>
      <c r="E960">
        <f>IF(WEEKNUM(Combined[[#This Row],[Date]], 1) = 53, 1, WEEKNUM(Combined[[#This Row],[Date]], 2))</f>
        <v>50</v>
      </c>
      <c r="F960" t="str">
        <f t="shared" ref="F960:F963" si="269">TEXT(WEEKDAY(G960,1),"DDDD")</f>
        <v>Wednesday</v>
      </c>
      <c r="G960" s="41">
        <v>45266</v>
      </c>
      <c r="H960">
        <v>2</v>
      </c>
      <c r="I960" s="1">
        <v>14.65</v>
      </c>
      <c r="J960" s="2">
        <v>6.7361111111111108E-2</v>
      </c>
      <c r="K960" s="12">
        <f>Combined[[#This Row],[Time Spent]]*24</f>
        <v>1.6166666666666667</v>
      </c>
      <c r="L960" s="12">
        <f>MROUND(Combined[[#This Row],[Time Spent 2]],0.25)</f>
        <v>1.5</v>
      </c>
      <c r="M960" s="2" t="s">
        <v>91</v>
      </c>
      <c r="N960" t="s">
        <v>85</v>
      </c>
      <c r="O960">
        <f>MATCH(Combined[[#This Row],[Primary Area]],KPIs!$C$4:$C$7,0)</f>
        <v>4</v>
      </c>
      <c r="R960" s="40"/>
      <c r="V960" s="4"/>
      <c r="X960"/>
    </row>
    <row r="961" spans="2:24" x14ac:dyDescent="0.35">
      <c r="B961">
        <f t="shared" si="247"/>
        <v>959</v>
      </c>
      <c r="C961" t="s">
        <v>86</v>
      </c>
      <c r="D961" t="s">
        <v>175</v>
      </c>
      <c r="E961">
        <f>IF(WEEKNUM(Combined[[#This Row],[Date]], 1) = 53, 1, WEEKNUM(Combined[[#This Row],[Date]], 2))</f>
        <v>50</v>
      </c>
      <c r="F961" t="str">
        <f t="shared" si="269"/>
        <v>Wednesday</v>
      </c>
      <c r="G961" s="41">
        <v>45266</v>
      </c>
      <c r="H961">
        <v>5</v>
      </c>
      <c r="I961" s="1">
        <v>61.5</v>
      </c>
      <c r="J961" s="2">
        <v>0.15416666666666667</v>
      </c>
      <c r="K961" s="12">
        <f>Combined[[#This Row],[Time Spent]]*24</f>
        <v>3.7</v>
      </c>
      <c r="L961" s="12">
        <f>MROUND(Combined[[#This Row],[Time Spent 2]],0.25)</f>
        <v>3.75</v>
      </c>
      <c r="M961" s="2" t="s">
        <v>91</v>
      </c>
      <c r="N961" t="s">
        <v>85</v>
      </c>
      <c r="O961">
        <f>MATCH(Combined[[#This Row],[Primary Area]],KPIs!$C$4:$C$7,0)</f>
        <v>4</v>
      </c>
      <c r="R961" s="40"/>
      <c r="V961" s="4"/>
      <c r="X961"/>
    </row>
    <row r="962" spans="2:24" x14ac:dyDescent="0.35">
      <c r="B962">
        <f t="shared" si="247"/>
        <v>960</v>
      </c>
      <c r="C962" t="s">
        <v>83</v>
      </c>
      <c r="D962" t="s">
        <v>176</v>
      </c>
      <c r="E962">
        <f>IF(WEEKNUM(Combined[[#This Row],[Date]], 1) = 53, 1, WEEKNUM(Combined[[#This Row],[Date]], 2))</f>
        <v>50</v>
      </c>
      <c r="F962" t="str">
        <f t="shared" si="269"/>
        <v>Thursday</v>
      </c>
      <c r="G962" s="41">
        <v>45267</v>
      </c>
      <c r="H962">
        <v>5</v>
      </c>
      <c r="I962" s="1">
        <v>68.91</v>
      </c>
      <c r="J962" s="2">
        <v>0.11875000000000001</v>
      </c>
      <c r="K962" s="12">
        <f>Combined[[#This Row],[Time Spent]]*24</f>
        <v>2.85</v>
      </c>
      <c r="L962" s="12">
        <f>MROUND(Combined[[#This Row],[Time Spent 2]],0.25)</f>
        <v>2.75</v>
      </c>
      <c r="M962" s="2" t="s">
        <v>91</v>
      </c>
      <c r="N962" t="s">
        <v>80</v>
      </c>
      <c r="O962">
        <f>MATCH(Combined[[#This Row],[Primary Area]],KPIs!$C$4:$C$7,0)</f>
        <v>2</v>
      </c>
      <c r="R962" s="40"/>
      <c r="V962" s="4"/>
      <c r="X962"/>
    </row>
    <row r="963" spans="2:24" x14ac:dyDescent="0.35">
      <c r="B963">
        <f t="shared" ref="B963:B1026" si="270">ROW()-2</f>
        <v>961</v>
      </c>
      <c r="C963" t="s">
        <v>86</v>
      </c>
      <c r="D963" t="s">
        <v>175</v>
      </c>
      <c r="E963">
        <f>IF(WEEKNUM(Combined[[#This Row],[Date]], 1) = 53, 1, WEEKNUM(Combined[[#This Row],[Date]], 2))</f>
        <v>50</v>
      </c>
      <c r="F963" t="str">
        <f t="shared" si="269"/>
        <v>Thursday</v>
      </c>
      <c r="G963" s="41">
        <v>45267</v>
      </c>
      <c r="H963">
        <v>4</v>
      </c>
      <c r="I963" s="1">
        <v>43.97</v>
      </c>
      <c r="J963" s="2">
        <v>9.9999999999999992E-2</v>
      </c>
      <c r="K963" s="12">
        <f>Combined[[#This Row],[Time Spent]]*24</f>
        <v>2.4</v>
      </c>
      <c r="L963" s="12">
        <f>MROUND(Combined[[#This Row],[Time Spent 2]],0.25)</f>
        <v>2.5</v>
      </c>
      <c r="M963" s="2" t="s">
        <v>91</v>
      </c>
      <c r="N963" t="s">
        <v>80</v>
      </c>
      <c r="O963">
        <f>MATCH(Combined[[#This Row],[Primary Area]],KPIs!$C$4:$C$7,0)</f>
        <v>2</v>
      </c>
      <c r="R963" s="40"/>
      <c r="V963" s="4"/>
      <c r="X963"/>
    </row>
    <row r="964" spans="2:24" x14ac:dyDescent="0.35">
      <c r="B964">
        <f t="shared" si="270"/>
        <v>962</v>
      </c>
      <c r="C964" t="s">
        <v>83</v>
      </c>
      <c r="D964" t="s">
        <v>176</v>
      </c>
      <c r="E964">
        <f>IF(WEEKNUM(Combined[[#This Row],[Date]], 1) = 53, 1, WEEKNUM(Combined[[#This Row],[Date]], 2))</f>
        <v>50</v>
      </c>
      <c r="F964" t="str">
        <f t="shared" ref="F964:F966" si="271">TEXT(WEEKDAY(G964,1),"DDDD")</f>
        <v>Friday</v>
      </c>
      <c r="G964" s="41">
        <v>45268</v>
      </c>
      <c r="H964">
        <v>5</v>
      </c>
      <c r="I964" s="1">
        <v>46.79</v>
      </c>
      <c r="J964" s="2">
        <v>0.11805555555555557</v>
      </c>
      <c r="K964" s="12">
        <f>Combined[[#This Row],[Time Spent]]*24</f>
        <v>2.8333333333333335</v>
      </c>
      <c r="L964" s="12">
        <f>MROUND(Combined[[#This Row],[Time Spent 2]],0.25)</f>
        <v>2.75</v>
      </c>
      <c r="M964" s="2" t="s">
        <v>91</v>
      </c>
      <c r="N964" t="s">
        <v>85</v>
      </c>
      <c r="O964">
        <f>MATCH(Combined[[#This Row],[Primary Area]],KPIs!$C$4:$C$7,0)</f>
        <v>4</v>
      </c>
      <c r="R964" s="40"/>
      <c r="V964" s="4"/>
      <c r="X964"/>
    </row>
    <row r="965" spans="2:24" x14ac:dyDescent="0.35">
      <c r="B965">
        <f t="shared" si="270"/>
        <v>963</v>
      </c>
      <c r="C965" t="s">
        <v>86</v>
      </c>
      <c r="D965" t="s">
        <v>175</v>
      </c>
      <c r="E965">
        <f>IF(WEEKNUM(Combined[[#This Row],[Date]], 1) = 53, 1, WEEKNUM(Combined[[#This Row],[Date]], 2))</f>
        <v>50</v>
      </c>
      <c r="F965" t="str">
        <f t="shared" si="271"/>
        <v>Friday</v>
      </c>
      <c r="G965" s="41">
        <v>45268</v>
      </c>
      <c r="H965">
        <v>1</v>
      </c>
      <c r="I965" s="1">
        <v>7.55</v>
      </c>
      <c r="J965" s="2">
        <v>6.3194444444444442E-2</v>
      </c>
      <c r="K965" s="12">
        <f>Combined[[#This Row],[Time Spent]]*24</f>
        <v>1.5166666666666666</v>
      </c>
      <c r="L965" s="12">
        <f>MROUND(Combined[[#This Row],[Time Spent 2]],0.25)</f>
        <v>1.5</v>
      </c>
      <c r="M965" s="2" t="s">
        <v>91</v>
      </c>
      <c r="N965" t="s">
        <v>85</v>
      </c>
      <c r="O965">
        <f>MATCH(Combined[[#This Row],[Primary Area]],KPIs!$C$4:$C$7,0)</f>
        <v>4</v>
      </c>
      <c r="R965" s="40"/>
      <c r="V965" s="4"/>
      <c r="X965"/>
    </row>
    <row r="966" spans="2:24" x14ac:dyDescent="0.35">
      <c r="B966">
        <f t="shared" si="270"/>
        <v>964</v>
      </c>
      <c r="C966" t="s">
        <v>86</v>
      </c>
      <c r="D966" t="s">
        <v>175</v>
      </c>
      <c r="E966">
        <f>IF(WEEKNUM(Combined[[#This Row],[Date]], 1) = 53, 1, WEEKNUM(Combined[[#This Row],[Date]], 2))</f>
        <v>50</v>
      </c>
      <c r="F966" t="str">
        <f t="shared" si="271"/>
        <v>Saturday</v>
      </c>
      <c r="G966" s="41">
        <v>45269</v>
      </c>
      <c r="H966">
        <v>7</v>
      </c>
      <c r="I966" s="1">
        <v>38.44</v>
      </c>
      <c r="J966" s="2">
        <v>0.11180555555555556</v>
      </c>
      <c r="K966" s="12">
        <f>Combined[[#This Row],[Time Spent]]*24</f>
        <v>2.6833333333333336</v>
      </c>
      <c r="L966" s="12">
        <f>MROUND(Combined[[#This Row],[Time Spent 2]],0.25)</f>
        <v>2.75</v>
      </c>
      <c r="M966" s="2" t="s">
        <v>91</v>
      </c>
      <c r="N966" t="s">
        <v>82</v>
      </c>
      <c r="O966">
        <f>MATCH(Combined[[#This Row],[Primary Area]],KPIs!$C$4:$C$7,0)</f>
        <v>3</v>
      </c>
      <c r="R966" s="40"/>
      <c r="V966" s="4"/>
      <c r="X966"/>
    </row>
    <row r="967" spans="2:24" x14ac:dyDescent="0.35">
      <c r="B967">
        <f t="shared" si="270"/>
        <v>965</v>
      </c>
      <c r="C967" t="s">
        <v>83</v>
      </c>
      <c r="D967" t="s">
        <v>176</v>
      </c>
      <c r="E967">
        <f>IF(WEEKNUM(Combined[[#This Row],[Date]], 1) = 53, 1, WEEKNUM(Combined[[#This Row],[Date]], 2))</f>
        <v>51</v>
      </c>
      <c r="F967" t="str">
        <f t="shared" ref="F967:F970" si="272">TEXT(WEEKDAY(G967,1),"DDDD")</f>
        <v>Thursday</v>
      </c>
      <c r="G967" s="41">
        <v>45274</v>
      </c>
      <c r="H967">
        <v>7</v>
      </c>
      <c r="I967" s="1">
        <v>97.37</v>
      </c>
      <c r="J967" s="2">
        <v>0.18402777777777779</v>
      </c>
      <c r="K967" s="12">
        <f>Combined[[#This Row],[Time Spent]]*24</f>
        <v>4.416666666666667</v>
      </c>
      <c r="L967" s="12">
        <f>MROUND(Combined[[#This Row],[Time Spent 2]],0.25)</f>
        <v>4.5</v>
      </c>
      <c r="M967" s="2" t="s">
        <v>91</v>
      </c>
      <c r="N967" t="s">
        <v>80</v>
      </c>
      <c r="O967">
        <f>MATCH(Combined[[#This Row],[Primary Area]],KPIs!$C$4:$C$7,0)</f>
        <v>2</v>
      </c>
      <c r="R967" s="40"/>
      <c r="V967" s="4"/>
      <c r="X967"/>
    </row>
    <row r="968" spans="2:24" x14ac:dyDescent="0.35">
      <c r="B968">
        <f t="shared" si="270"/>
        <v>966</v>
      </c>
      <c r="C968" t="s">
        <v>86</v>
      </c>
      <c r="D968" t="s">
        <v>175</v>
      </c>
      <c r="E968">
        <f>IF(WEEKNUM(Combined[[#This Row],[Date]], 1) = 53, 1, WEEKNUM(Combined[[#This Row],[Date]], 2))</f>
        <v>51</v>
      </c>
      <c r="F968" t="str">
        <f t="shared" si="272"/>
        <v>Thursday</v>
      </c>
      <c r="G968" s="41">
        <v>45274</v>
      </c>
      <c r="H968">
        <v>2</v>
      </c>
      <c r="I968" s="1">
        <v>17.37</v>
      </c>
      <c r="J968" s="2">
        <v>3.0555555555555555E-2</v>
      </c>
      <c r="K968" s="12">
        <f>Combined[[#This Row],[Time Spent]]*24</f>
        <v>0.73333333333333328</v>
      </c>
      <c r="L968" s="12">
        <f>MROUND(Combined[[#This Row],[Time Spent 2]],0.25)</f>
        <v>0.75</v>
      </c>
      <c r="M968" s="2" t="s">
        <v>91</v>
      </c>
      <c r="N968" t="s">
        <v>80</v>
      </c>
      <c r="O968">
        <f>MATCH(Combined[[#This Row],[Primary Area]],KPIs!$C$4:$C$7,0)</f>
        <v>2</v>
      </c>
      <c r="R968" s="40"/>
      <c r="V968" s="4"/>
      <c r="X968"/>
    </row>
    <row r="969" spans="2:24" x14ac:dyDescent="0.35">
      <c r="B969">
        <f t="shared" si="270"/>
        <v>967</v>
      </c>
      <c r="C969" t="s">
        <v>86</v>
      </c>
      <c r="D969" t="s">
        <v>175</v>
      </c>
      <c r="E969">
        <f>IF(WEEKNUM(Combined[[#This Row],[Date]], 1) = 53, 1, WEEKNUM(Combined[[#This Row],[Date]], 2))</f>
        <v>51</v>
      </c>
      <c r="F969" t="str">
        <f t="shared" si="272"/>
        <v>Thursday</v>
      </c>
      <c r="G969" s="41">
        <v>45274</v>
      </c>
      <c r="H969">
        <v>1</v>
      </c>
      <c r="I969" s="1">
        <v>13.42</v>
      </c>
      <c r="J969" s="2">
        <v>2.9166666666666664E-2</v>
      </c>
      <c r="K969" s="12">
        <f>Combined[[#This Row],[Time Spent]]*24</f>
        <v>0.7</v>
      </c>
      <c r="L969" s="12">
        <f>MROUND(Combined[[#This Row],[Time Spent 2]],0.25)</f>
        <v>0.75</v>
      </c>
      <c r="M969" s="2" t="s">
        <v>92</v>
      </c>
      <c r="N969" t="s">
        <v>80</v>
      </c>
      <c r="O969">
        <f>MATCH(Combined[[#This Row],[Primary Area]],KPIs!$C$4:$C$7,0)</f>
        <v>2</v>
      </c>
      <c r="R969" s="40"/>
      <c r="V969" s="4"/>
      <c r="X969"/>
    </row>
    <row r="970" spans="2:24" x14ac:dyDescent="0.35">
      <c r="B970">
        <f t="shared" si="270"/>
        <v>968</v>
      </c>
      <c r="C970" t="s">
        <v>86</v>
      </c>
      <c r="D970" t="s">
        <v>176</v>
      </c>
      <c r="E970">
        <f>IF(WEEKNUM(Combined[[#This Row],[Date]], 1) = 53, 1, WEEKNUM(Combined[[#This Row],[Date]], 2))</f>
        <v>51</v>
      </c>
      <c r="F970" t="str">
        <f t="shared" si="272"/>
        <v>Thursday</v>
      </c>
      <c r="G970" s="41">
        <v>45274</v>
      </c>
      <c r="H970">
        <v>2</v>
      </c>
      <c r="I970" s="1">
        <v>38.5</v>
      </c>
      <c r="J970" s="2">
        <v>6.0416666666666667E-2</v>
      </c>
      <c r="K970" s="12">
        <f>Combined[[#This Row],[Time Spent]]*24</f>
        <v>1.45</v>
      </c>
      <c r="L970" s="12">
        <f>MROUND(Combined[[#This Row],[Time Spent 2]],0.25)</f>
        <v>1.5</v>
      </c>
      <c r="M970" s="2" t="s">
        <v>92</v>
      </c>
      <c r="N970" t="s">
        <v>80</v>
      </c>
      <c r="O970">
        <f>MATCH(Combined[[#This Row],[Primary Area]],KPIs!$C$4:$C$7,0)</f>
        <v>2</v>
      </c>
      <c r="R970" s="40"/>
      <c r="V970" s="4"/>
      <c r="X970"/>
    </row>
    <row r="971" spans="2:24" x14ac:dyDescent="0.35">
      <c r="B971">
        <f t="shared" si="270"/>
        <v>969</v>
      </c>
      <c r="C971" t="s">
        <v>83</v>
      </c>
      <c r="D971" t="s">
        <v>176</v>
      </c>
      <c r="E971">
        <f>IF(WEEKNUM(Combined[[#This Row],[Date]], 1) = 53, 1, WEEKNUM(Combined[[#This Row],[Date]], 2))</f>
        <v>51</v>
      </c>
      <c r="F971" t="str">
        <f t="shared" ref="F971:F976" si="273">TEXT(WEEKDAY(G971,1),"DDDD")</f>
        <v>Saturday</v>
      </c>
      <c r="G971" s="41">
        <v>45276</v>
      </c>
      <c r="H971">
        <v>2</v>
      </c>
      <c r="I971" s="1">
        <v>29.1</v>
      </c>
      <c r="J971" s="2">
        <v>9.1666666666666674E-2</v>
      </c>
      <c r="K971" s="12">
        <f>Combined[[#This Row],[Time Spent]]*24</f>
        <v>2.2000000000000002</v>
      </c>
      <c r="L971" s="12">
        <f>MROUND(Combined[[#This Row],[Time Spent 2]],0.25)</f>
        <v>2.25</v>
      </c>
      <c r="M971" s="2" t="s">
        <v>91</v>
      </c>
      <c r="N971" t="s">
        <v>174</v>
      </c>
      <c r="O971">
        <f>MATCH(Combined[[#This Row],[Primary Area]],KPIs!$C$4:$C$7,0)</f>
        <v>1</v>
      </c>
      <c r="R971" s="40"/>
      <c r="V971" s="4"/>
      <c r="X971"/>
    </row>
    <row r="972" spans="2:24" x14ac:dyDescent="0.35">
      <c r="B972">
        <f t="shared" si="270"/>
        <v>970</v>
      </c>
      <c r="C972" t="s">
        <v>86</v>
      </c>
      <c r="D972" t="s">
        <v>175</v>
      </c>
      <c r="E972">
        <f>IF(WEEKNUM(Combined[[#This Row],[Date]], 1) = 53, 1, WEEKNUM(Combined[[#This Row],[Date]], 2))</f>
        <v>51</v>
      </c>
      <c r="F972" t="str">
        <f t="shared" si="273"/>
        <v>Saturday</v>
      </c>
      <c r="G972" s="41">
        <v>45276</v>
      </c>
      <c r="H972">
        <v>4</v>
      </c>
      <c r="I972" s="1">
        <v>35.619999999999997</v>
      </c>
      <c r="J972" s="2">
        <v>9.5138888888888884E-2</v>
      </c>
      <c r="K972" s="12">
        <f>Combined[[#This Row],[Time Spent]]*24</f>
        <v>2.2833333333333332</v>
      </c>
      <c r="L972" s="12">
        <f>MROUND(Combined[[#This Row],[Time Spent 2]],0.25)</f>
        <v>2.25</v>
      </c>
      <c r="M972" s="2" t="s">
        <v>91</v>
      </c>
      <c r="N972" t="s">
        <v>174</v>
      </c>
      <c r="O972">
        <f>MATCH(Combined[[#This Row],[Primary Area]],KPIs!$C$4:$C$7,0)</f>
        <v>1</v>
      </c>
      <c r="R972" s="40"/>
      <c r="V972" s="4"/>
      <c r="X972"/>
    </row>
    <row r="973" spans="2:24" x14ac:dyDescent="0.35">
      <c r="B973">
        <f t="shared" si="270"/>
        <v>971</v>
      </c>
      <c r="C973" t="s">
        <v>86</v>
      </c>
      <c r="D973" t="s">
        <v>175</v>
      </c>
      <c r="E973">
        <f>IF(WEEKNUM(Combined[[#This Row],[Date]], 1) = 53, 1, WEEKNUM(Combined[[#This Row],[Date]], 2))</f>
        <v>52</v>
      </c>
      <c r="F973" t="str">
        <f t="shared" si="273"/>
        <v>Monday</v>
      </c>
      <c r="G973" s="41">
        <v>45278</v>
      </c>
      <c r="H973">
        <v>3</v>
      </c>
      <c r="I973" s="1">
        <v>44.82</v>
      </c>
      <c r="J973" s="2">
        <v>8.7500000000000008E-2</v>
      </c>
      <c r="K973" s="12">
        <f>Combined[[#This Row],[Time Spent]]*24</f>
        <v>2.1</v>
      </c>
      <c r="L973" s="12">
        <f>MROUND(Combined[[#This Row],[Time Spent 2]],0.25)</f>
        <v>2</v>
      </c>
      <c r="M973" s="2" t="s">
        <v>91</v>
      </c>
      <c r="N973" t="s">
        <v>80</v>
      </c>
      <c r="O973">
        <f>MATCH(Combined[[#This Row],[Primary Area]],KPIs!$C$4:$C$7,0)</f>
        <v>2</v>
      </c>
      <c r="R973" s="40"/>
      <c r="V973" s="4"/>
      <c r="X973"/>
    </row>
    <row r="974" spans="2:24" x14ac:dyDescent="0.35">
      <c r="B974">
        <f t="shared" si="270"/>
        <v>972</v>
      </c>
      <c r="C974" t="s">
        <v>86</v>
      </c>
      <c r="D974" t="s">
        <v>175</v>
      </c>
      <c r="E974">
        <f>IF(WEEKNUM(Combined[[#This Row],[Date]], 1) = 53, 1, WEEKNUM(Combined[[#This Row],[Date]], 2))</f>
        <v>52</v>
      </c>
      <c r="F974" t="str">
        <f t="shared" si="273"/>
        <v>Monday</v>
      </c>
      <c r="G974" s="41">
        <v>45278</v>
      </c>
      <c r="H974">
        <v>3</v>
      </c>
      <c r="I974" s="1">
        <v>21.84</v>
      </c>
      <c r="J974" s="2">
        <v>4.7222222222222221E-2</v>
      </c>
      <c r="K974" s="12">
        <f>Combined[[#This Row],[Time Spent]]*24</f>
        <v>1.1333333333333333</v>
      </c>
      <c r="L974" s="12">
        <f>MROUND(Combined[[#This Row],[Time Spent 2]],0.25)</f>
        <v>1.25</v>
      </c>
      <c r="M974" s="2" t="s">
        <v>91</v>
      </c>
      <c r="N974" t="s">
        <v>80</v>
      </c>
      <c r="O974">
        <f>MATCH(Combined[[#This Row],[Primary Area]],KPIs!$C$4:$C$7,0)</f>
        <v>2</v>
      </c>
      <c r="R974" s="40"/>
      <c r="V974" s="4"/>
      <c r="X974"/>
    </row>
    <row r="975" spans="2:24" x14ac:dyDescent="0.35">
      <c r="B975">
        <f t="shared" si="270"/>
        <v>973</v>
      </c>
      <c r="C975" t="s">
        <v>86</v>
      </c>
      <c r="D975" t="s">
        <v>175</v>
      </c>
      <c r="E975">
        <f>IF(WEEKNUM(Combined[[#This Row],[Date]], 1) = 53, 1, WEEKNUM(Combined[[#This Row],[Date]], 2))</f>
        <v>52</v>
      </c>
      <c r="F975" t="str">
        <f t="shared" si="273"/>
        <v>Monday</v>
      </c>
      <c r="G975" s="41">
        <v>45278</v>
      </c>
      <c r="H975">
        <v>2</v>
      </c>
      <c r="I975" s="1">
        <v>21.1</v>
      </c>
      <c r="J975" s="2">
        <v>4.3055555555555562E-2</v>
      </c>
      <c r="K975" s="12">
        <f>Combined[[#This Row],[Time Spent]]*24</f>
        <v>1.0333333333333334</v>
      </c>
      <c r="L975" s="12">
        <f>MROUND(Combined[[#This Row],[Time Spent 2]],0.25)</f>
        <v>1</v>
      </c>
      <c r="M975" s="2" t="s">
        <v>92</v>
      </c>
      <c r="N975" t="s">
        <v>80</v>
      </c>
      <c r="O975">
        <f>MATCH(Combined[[#This Row],[Primary Area]],KPIs!$C$4:$C$7,0)</f>
        <v>2</v>
      </c>
      <c r="R975" s="40"/>
      <c r="V975" s="4"/>
      <c r="X975"/>
    </row>
    <row r="976" spans="2:24" x14ac:dyDescent="0.35">
      <c r="B976">
        <f t="shared" si="270"/>
        <v>974</v>
      </c>
      <c r="C976" t="s">
        <v>83</v>
      </c>
      <c r="D976" t="s">
        <v>176</v>
      </c>
      <c r="E976">
        <f>IF(WEEKNUM(Combined[[#This Row],[Date]], 1) = 53, 1, WEEKNUM(Combined[[#This Row],[Date]], 2))</f>
        <v>52</v>
      </c>
      <c r="F976" t="str">
        <f t="shared" si="273"/>
        <v>Friday</v>
      </c>
      <c r="G976" s="41">
        <v>45282</v>
      </c>
      <c r="H976">
        <v>6</v>
      </c>
      <c r="I976" s="1">
        <v>84.94</v>
      </c>
      <c r="J976" s="2">
        <v>0.13819444444444443</v>
      </c>
      <c r="K976" s="12">
        <f>Combined[[#This Row],[Time Spent]]*24</f>
        <v>3.3166666666666664</v>
      </c>
      <c r="L976" s="12">
        <f>MROUND(Combined[[#This Row],[Time Spent 2]],0.25)</f>
        <v>3.25</v>
      </c>
      <c r="M976" s="2" t="s">
        <v>91</v>
      </c>
      <c r="N976" t="s">
        <v>80</v>
      </c>
      <c r="O976">
        <f>MATCH(Combined[[#This Row],[Primary Area]],KPIs!$C$4:$C$7,0)</f>
        <v>2</v>
      </c>
      <c r="R976" s="40"/>
      <c r="V976" s="4"/>
      <c r="X976"/>
    </row>
    <row r="977" spans="2:24" x14ac:dyDescent="0.35">
      <c r="B977">
        <f t="shared" si="270"/>
        <v>975</v>
      </c>
      <c r="C977" t="s">
        <v>86</v>
      </c>
      <c r="D977" t="s">
        <v>175</v>
      </c>
      <c r="E977">
        <f>IF(WEEKNUM(Combined[[#This Row],[Date]], 1) = 53, 1, WEEKNUM(Combined[[#This Row],[Date]], 2))</f>
        <v>52</v>
      </c>
      <c r="F977" t="str">
        <f t="shared" ref="F977:F978" si="274">TEXT(WEEKDAY(G977,1),"DDDD")</f>
        <v>Friday</v>
      </c>
      <c r="G977" s="41">
        <v>45282</v>
      </c>
      <c r="H977">
        <v>3</v>
      </c>
      <c r="I977" s="1">
        <v>31.37</v>
      </c>
      <c r="J977" s="2">
        <v>6.0416666666666667E-2</v>
      </c>
      <c r="K977" s="12">
        <f>Combined[[#This Row],[Time Spent]]*24</f>
        <v>1.45</v>
      </c>
      <c r="L977" s="12">
        <f>MROUND(Combined[[#This Row],[Time Spent 2]],0.25)</f>
        <v>1.5</v>
      </c>
      <c r="M977" s="2" t="s">
        <v>91</v>
      </c>
      <c r="N977" t="s">
        <v>80</v>
      </c>
      <c r="O977">
        <f>MATCH(Combined[[#This Row],[Primary Area]],KPIs!$C$4:$C$7,0)</f>
        <v>2</v>
      </c>
      <c r="R977" s="40"/>
      <c r="V977" s="4"/>
      <c r="X977"/>
    </row>
    <row r="978" spans="2:24" x14ac:dyDescent="0.35">
      <c r="B978">
        <f t="shared" si="270"/>
        <v>976</v>
      </c>
      <c r="C978" t="s">
        <v>86</v>
      </c>
      <c r="D978" t="s">
        <v>175</v>
      </c>
      <c r="E978">
        <f>IF(WEEKNUM(Combined[[#This Row],[Date]], 1) = 53, 1, WEEKNUM(Combined[[#This Row],[Date]], 2))</f>
        <v>52</v>
      </c>
      <c r="F978" t="str">
        <f t="shared" si="274"/>
        <v>Friday</v>
      </c>
      <c r="G978" s="41">
        <v>45282</v>
      </c>
      <c r="H978">
        <v>1</v>
      </c>
      <c r="I978" s="1">
        <v>6.73</v>
      </c>
      <c r="J978" s="2">
        <v>3.1944444444444449E-2</v>
      </c>
      <c r="K978" s="12">
        <f>Combined[[#This Row],[Time Spent]]*24</f>
        <v>0.76666666666666683</v>
      </c>
      <c r="L978" s="12">
        <f>MROUND(Combined[[#This Row],[Time Spent 2]],0.25)</f>
        <v>0.75</v>
      </c>
      <c r="M978" s="2" t="s">
        <v>92</v>
      </c>
      <c r="N978" t="s">
        <v>80</v>
      </c>
      <c r="O978">
        <f>MATCH(Combined[[#This Row],[Primary Area]],KPIs!$C$4:$C$7,0)</f>
        <v>2</v>
      </c>
      <c r="R978" s="40"/>
      <c r="V978" s="4"/>
      <c r="X978"/>
    </row>
    <row r="979" spans="2:24" x14ac:dyDescent="0.35">
      <c r="B979">
        <f t="shared" si="270"/>
        <v>977</v>
      </c>
      <c r="C979" t="s">
        <v>83</v>
      </c>
      <c r="D979" t="s">
        <v>176</v>
      </c>
      <c r="E979">
        <f>IF(WEEKNUM(Combined[[#This Row],[Date]], 1) = 53, 1, WEEKNUM(Combined[[#This Row],[Date]], 2))</f>
        <v>52</v>
      </c>
      <c r="F979" t="str">
        <f t="shared" ref="F979:F980" si="275">TEXT(WEEKDAY(G979,1),"DDDD")</f>
        <v>Saturday</v>
      </c>
      <c r="G979" s="41">
        <v>45283</v>
      </c>
      <c r="H979">
        <v>3</v>
      </c>
      <c r="I979" s="1">
        <v>40.270000000000003</v>
      </c>
      <c r="J979" s="2">
        <v>9.7916666666666666E-2</v>
      </c>
      <c r="K979" s="12">
        <f>Combined[[#This Row],[Time Spent]]*24</f>
        <v>2.35</v>
      </c>
      <c r="L979" s="12">
        <f>MROUND(Combined[[#This Row],[Time Spent 2]],0.25)</f>
        <v>2.25</v>
      </c>
      <c r="M979" s="2" t="s">
        <v>91</v>
      </c>
      <c r="N979" t="s">
        <v>80</v>
      </c>
      <c r="O979">
        <f>MATCH(Combined[[#This Row],[Primary Area]],KPIs!$C$4:$C$7,0)</f>
        <v>2</v>
      </c>
      <c r="R979" s="40"/>
      <c r="V979" s="4"/>
      <c r="X979"/>
    </row>
    <row r="980" spans="2:24" x14ac:dyDescent="0.35">
      <c r="B980">
        <f t="shared" si="270"/>
        <v>978</v>
      </c>
      <c r="C980" t="s">
        <v>86</v>
      </c>
      <c r="D980" t="s">
        <v>175</v>
      </c>
      <c r="E980">
        <f>IF(WEEKNUM(Combined[[#This Row],[Date]], 1) = 53, 1, WEEKNUM(Combined[[#This Row],[Date]], 2))</f>
        <v>52</v>
      </c>
      <c r="F980" t="str">
        <f t="shared" si="275"/>
        <v>Saturday</v>
      </c>
      <c r="G980" s="41">
        <v>45283</v>
      </c>
      <c r="H980">
        <v>4</v>
      </c>
      <c r="I980" s="1">
        <v>42.83</v>
      </c>
      <c r="J980" s="2">
        <v>0.1125</v>
      </c>
      <c r="K980" s="12">
        <f>Combined[[#This Row],[Time Spent]]*24</f>
        <v>2.7</v>
      </c>
      <c r="L980" s="12">
        <f>MROUND(Combined[[#This Row],[Time Spent 2]],0.25)</f>
        <v>2.75</v>
      </c>
      <c r="M980" s="2" t="s">
        <v>91</v>
      </c>
      <c r="N980" t="s">
        <v>80</v>
      </c>
      <c r="O980">
        <f>MATCH(Combined[[#This Row],[Primary Area]],KPIs!$C$4:$C$7,0)</f>
        <v>2</v>
      </c>
      <c r="R980" s="40"/>
      <c r="V980" s="4"/>
      <c r="X980"/>
    </row>
    <row r="981" spans="2:24" x14ac:dyDescent="0.35">
      <c r="B981">
        <f t="shared" si="270"/>
        <v>979</v>
      </c>
      <c r="C981" t="s">
        <v>83</v>
      </c>
      <c r="D981" t="s">
        <v>176</v>
      </c>
      <c r="E981">
        <f>IF(WEEKNUM(Combined[[#This Row],[Date]], 1) = 53, 1, WEEKNUM(Combined[[#This Row],[Date]], 2))</f>
        <v>52</v>
      </c>
      <c r="F981" t="str">
        <f>TEXT(WEEKDAY(G981,1),"DDDD")</f>
        <v>Sunday</v>
      </c>
      <c r="G981" s="41">
        <v>45284</v>
      </c>
      <c r="H981">
        <v>1</v>
      </c>
      <c r="I981" s="1">
        <v>13.09</v>
      </c>
      <c r="J981" s="2">
        <v>3.7499999999999999E-2</v>
      </c>
      <c r="K981" s="12">
        <f>Combined[[#This Row],[Time Spent]]*24</f>
        <v>0.89999999999999991</v>
      </c>
      <c r="L981" s="12">
        <f>MROUND(Combined[[#This Row],[Time Spent 2]],0.25)</f>
        <v>1</v>
      </c>
      <c r="M981" s="2" t="s">
        <v>90</v>
      </c>
      <c r="N981" t="s">
        <v>80</v>
      </c>
      <c r="O981">
        <f>MATCH(Combined[[#This Row],[Primary Area]],KPIs!$C$4:$C$7,0)</f>
        <v>2</v>
      </c>
      <c r="R981" s="40"/>
      <c r="V981" s="4"/>
      <c r="X981"/>
    </row>
    <row r="982" spans="2:24" x14ac:dyDescent="0.35">
      <c r="B982">
        <f t="shared" si="270"/>
        <v>980</v>
      </c>
      <c r="C982" t="s">
        <v>86</v>
      </c>
      <c r="D982" t="s">
        <v>175</v>
      </c>
      <c r="E982">
        <f>IF(WEEKNUM(Combined[[#This Row],[Date]], 1) = 53, 1, WEEKNUM(Combined[[#This Row],[Date]], 2))</f>
        <v>52</v>
      </c>
      <c r="F982" t="str">
        <f>TEXT(WEEKDAY(G982,1),"DDDD")</f>
        <v>Sunday</v>
      </c>
      <c r="G982" s="41">
        <v>45284</v>
      </c>
      <c r="H982">
        <v>1</v>
      </c>
      <c r="I982" s="1">
        <v>12.99</v>
      </c>
      <c r="J982" s="2">
        <v>6.5972222222222224E-2</v>
      </c>
      <c r="K982" s="12">
        <f>Combined[[#This Row],[Time Spent]]*24</f>
        <v>1.5833333333333335</v>
      </c>
      <c r="L982" s="12">
        <f>MROUND(Combined[[#This Row],[Time Spent 2]],0.25)</f>
        <v>1.5</v>
      </c>
      <c r="M982" s="2" t="s">
        <v>90</v>
      </c>
      <c r="N982" t="s">
        <v>80</v>
      </c>
      <c r="O982">
        <f>MATCH(Combined[[#This Row],[Primary Area]],KPIs!$C$4:$C$7,0)</f>
        <v>2</v>
      </c>
      <c r="R982" s="40"/>
      <c r="V982" s="4"/>
      <c r="X982"/>
    </row>
    <row r="983" spans="2:24" x14ac:dyDescent="0.35">
      <c r="B983">
        <f t="shared" si="270"/>
        <v>981</v>
      </c>
      <c r="C983" t="s">
        <v>83</v>
      </c>
      <c r="D983" t="s">
        <v>176</v>
      </c>
      <c r="E983">
        <f>IF(WEEKNUM(Combined[[#This Row],[Date]], 1) = 53, 1, WEEKNUM(Combined[[#This Row],[Date]], 2))</f>
        <v>53</v>
      </c>
      <c r="F983" t="str">
        <f t="shared" ref="F983:F989" si="276">TEXT(WEEKDAY(G983,1),"DDDD")</f>
        <v>Wednesday</v>
      </c>
      <c r="G983" s="41">
        <v>45287</v>
      </c>
      <c r="H983">
        <v>3</v>
      </c>
      <c r="I983" s="1">
        <v>52.12</v>
      </c>
      <c r="J983" s="2">
        <v>0.1125</v>
      </c>
      <c r="K983" s="12">
        <f>Combined[[#This Row],[Time Spent]]*24</f>
        <v>2.7</v>
      </c>
      <c r="L983" s="12">
        <f>MROUND(Combined[[#This Row],[Time Spent 2]],0.25)</f>
        <v>2.75</v>
      </c>
      <c r="M983" s="2" t="s">
        <v>91</v>
      </c>
      <c r="N983" t="s">
        <v>80</v>
      </c>
      <c r="O983">
        <f>MATCH(Combined[[#This Row],[Primary Area]],KPIs!$C$4:$C$7,0)</f>
        <v>2</v>
      </c>
      <c r="R983" s="40"/>
      <c r="V983" s="4"/>
      <c r="X983"/>
    </row>
    <row r="984" spans="2:24" x14ac:dyDescent="0.35">
      <c r="B984">
        <f t="shared" si="270"/>
        <v>982</v>
      </c>
      <c r="C984" t="s">
        <v>86</v>
      </c>
      <c r="D984" t="s">
        <v>176</v>
      </c>
      <c r="E984">
        <f>IF(WEEKNUM(Combined[[#This Row],[Date]], 1) = 53, 1, WEEKNUM(Combined[[#This Row],[Date]], 2))</f>
        <v>53</v>
      </c>
      <c r="F984" t="str">
        <f t="shared" si="276"/>
        <v>Wednesday</v>
      </c>
      <c r="G984" s="41">
        <v>45287</v>
      </c>
      <c r="H984">
        <v>3</v>
      </c>
      <c r="I984" s="1">
        <v>14.53</v>
      </c>
      <c r="J984" s="2">
        <v>3.4027777777777775E-2</v>
      </c>
      <c r="K984" s="12">
        <f>Combined[[#This Row],[Time Spent]]*24</f>
        <v>0.81666666666666665</v>
      </c>
      <c r="L984" s="12">
        <f>MROUND(Combined[[#This Row],[Time Spent 2]],0.25)</f>
        <v>0.75</v>
      </c>
      <c r="M984" s="2" t="s">
        <v>91</v>
      </c>
      <c r="N984" t="s">
        <v>80</v>
      </c>
      <c r="O984">
        <f>MATCH(Combined[[#This Row],[Primary Area]],KPIs!$C$4:$C$7,0)</f>
        <v>2</v>
      </c>
      <c r="R984" s="40"/>
      <c r="V984" s="4"/>
      <c r="X984"/>
    </row>
    <row r="985" spans="2:24" x14ac:dyDescent="0.35">
      <c r="B985">
        <f t="shared" si="270"/>
        <v>983</v>
      </c>
      <c r="C985" t="s">
        <v>86</v>
      </c>
      <c r="D985" t="s">
        <v>175</v>
      </c>
      <c r="E985">
        <f>IF(WEEKNUM(Combined[[#This Row],[Date]], 1) = 53, 1, WEEKNUM(Combined[[#This Row],[Date]], 2))</f>
        <v>53</v>
      </c>
      <c r="F985" t="str">
        <f t="shared" si="276"/>
        <v>Wednesday</v>
      </c>
      <c r="G985" s="41">
        <v>45287</v>
      </c>
      <c r="H985">
        <v>2</v>
      </c>
      <c r="I985" s="1">
        <v>32.909999999999997</v>
      </c>
      <c r="J985" s="2">
        <v>4.3055555555555562E-2</v>
      </c>
      <c r="K985" s="12">
        <f>Combined[[#This Row],[Time Spent]]*24</f>
        <v>1.0333333333333334</v>
      </c>
      <c r="L985" s="12">
        <f>MROUND(Combined[[#This Row],[Time Spent 2]],0.25)</f>
        <v>1</v>
      </c>
      <c r="M985" s="2" t="s">
        <v>91</v>
      </c>
      <c r="N985" t="s">
        <v>80</v>
      </c>
      <c r="O985">
        <f>MATCH(Combined[[#This Row],[Primary Area]],KPIs!$C$4:$C$7,0)</f>
        <v>2</v>
      </c>
      <c r="R985" s="40"/>
      <c r="V985" s="4"/>
      <c r="X985"/>
    </row>
    <row r="986" spans="2:24" x14ac:dyDescent="0.35">
      <c r="B986">
        <f t="shared" si="270"/>
        <v>984</v>
      </c>
      <c r="C986" t="s">
        <v>83</v>
      </c>
      <c r="D986" t="s">
        <v>176</v>
      </c>
      <c r="E986">
        <f>IF(WEEKNUM(Combined[[#This Row],[Date]], 1) = 53, 1, WEEKNUM(Combined[[#This Row],[Date]], 2))</f>
        <v>53</v>
      </c>
      <c r="F986" t="str">
        <f t="shared" si="276"/>
        <v>Friday</v>
      </c>
      <c r="G986" s="41">
        <v>45289</v>
      </c>
      <c r="H986">
        <v>6</v>
      </c>
      <c r="I986" s="1">
        <v>91.8</v>
      </c>
      <c r="J986" s="2">
        <v>0.15416666666666667</v>
      </c>
      <c r="K986" s="12">
        <f>Combined[[#This Row],[Time Spent]]*24</f>
        <v>3.7</v>
      </c>
      <c r="L986" s="12">
        <f>MROUND(Combined[[#This Row],[Time Spent 2]],0.25)</f>
        <v>3.75</v>
      </c>
      <c r="M986" s="2" t="s">
        <v>91</v>
      </c>
      <c r="N986" t="s">
        <v>80</v>
      </c>
      <c r="O986">
        <f>MATCH(Combined[[#This Row],[Primary Area]],KPIs!$C$4:$C$7,0)</f>
        <v>2</v>
      </c>
      <c r="R986" s="40"/>
      <c r="V986" s="4"/>
      <c r="X986"/>
    </row>
    <row r="987" spans="2:24" x14ac:dyDescent="0.35">
      <c r="B987">
        <f t="shared" si="270"/>
        <v>985</v>
      </c>
      <c r="C987" t="s">
        <v>86</v>
      </c>
      <c r="D987" t="s">
        <v>175</v>
      </c>
      <c r="E987">
        <f>IF(WEEKNUM(Combined[[#This Row],[Date]], 1) = 53, 1, WEEKNUM(Combined[[#This Row],[Date]], 2))</f>
        <v>53</v>
      </c>
      <c r="F987" t="str">
        <f t="shared" si="276"/>
        <v>Friday</v>
      </c>
      <c r="G987" s="41">
        <v>45289</v>
      </c>
      <c r="H987">
        <v>1</v>
      </c>
      <c r="I987" s="1">
        <v>11.59</v>
      </c>
      <c r="J987" s="2">
        <v>3.6111111111111115E-2</v>
      </c>
      <c r="K987" s="12">
        <f>Combined[[#This Row],[Time Spent]]*24</f>
        <v>0.8666666666666667</v>
      </c>
      <c r="L987" s="12">
        <f>MROUND(Combined[[#This Row],[Time Spent 2]],0.25)</f>
        <v>0.75</v>
      </c>
      <c r="M987" s="2" t="s">
        <v>91</v>
      </c>
      <c r="N987" t="s">
        <v>80</v>
      </c>
      <c r="O987">
        <f>MATCH(Combined[[#This Row],[Primary Area]],KPIs!$C$4:$C$7,0)</f>
        <v>2</v>
      </c>
      <c r="R987" s="40"/>
      <c r="V987" s="4"/>
      <c r="X987"/>
    </row>
    <row r="988" spans="2:24" x14ac:dyDescent="0.35">
      <c r="B988">
        <f t="shared" si="270"/>
        <v>986</v>
      </c>
      <c r="C988" t="s">
        <v>86</v>
      </c>
      <c r="D988" t="s">
        <v>175</v>
      </c>
      <c r="E988">
        <f>IF(WEEKNUM(Combined[[#This Row],[Date]], 1) = 53, 1, WEEKNUM(Combined[[#This Row],[Date]], 2))</f>
        <v>53</v>
      </c>
      <c r="F988" t="str">
        <f t="shared" si="276"/>
        <v>Friday</v>
      </c>
      <c r="G988" s="41">
        <v>45289</v>
      </c>
      <c r="H988">
        <v>2</v>
      </c>
      <c r="I988" s="1">
        <v>23.83</v>
      </c>
      <c r="J988" s="2">
        <v>3.8194444444444441E-2</v>
      </c>
      <c r="K988" s="12">
        <f>Combined[[#This Row],[Time Spent]]*24</f>
        <v>0.91666666666666652</v>
      </c>
      <c r="L988" s="12">
        <f>MROUND(Combined[[#This Row],[Time Spent 2]],0.25)</f>
        <v>1</v>
      </c>
      <c r="M988" s="2" t="s">
        <v>91</v>
      </c>
      <c r="N988" t="s">
        <v>80</v>
      </c>
      <c r="O988">
        <f>MATCH(Combined[[#This Row],[Primary Area]],KPIs!$C$4:$C$7,0)</f>
        <v>2</v>
      </c>
      <c r="R988" s="40"/>
      <c r="V988" s="4"/>
      <c r="X988"/>
    </row>
    <row r="989" spans="2:24" x14ac:dyDescent="0.35">
      <c r="B989">
        <f t="shared" si="270"/>
        <v>987</v>
      </c>
      <c r="C989" t="s">
        <v>86</v>
      </c>
      <c r="D989" t="s">
        <v>175</v>
      </c>
      <c r="E989">
        <f>IF(WEEKNUM(Combined[[#This Row],[Date]], 1) = 53, 1, WEEKNUM(Combined[[#This Row],[Date]], 2))</f>
        <v>53</v>
      </c>
      <c r="F989" t="str">
        <f t="shared" si="276"/>
        <v>Friday</v>
      </c>
      <c r="G989" s="41">
        <v>45289</v>
      </c>
      <c r="H989">
        <v>5</v>
      </c>
      <c r="I989" s="1">
        <v>51.07</v>
      </c>
      <c r="J989" s="2">
        <v>9.4444444444444442E-2</v>
      </c>
      <c r="K989" s="12">
        <f>Combined[[#This Row],[Time Spent]]*24</f>
        <v>2.2666666666666666</v>
      </c>
      <c r="L989" s="12">
        <f>MROUND(Combined[[#This Row],[Time Spent 2]],0.25)</f>
        <v>2.25</v>
      </c>
      <c r="M989" s="2" t="s">
        <v>92</v>
      </c>
      <c r="N989" t="s">
        <v>80</v>
      </c>
      <c r="O989">
        <f>MATCH(Combined[[#This Row],[Primary Area]],KPIs!$C$4:$C$7,0)</f>
        <v>2</v>
      </c>
      <c r="R989" s="40"/>
      <c r="V989" s="4"/>
      <c r="X989"/>
    </row>
    <row r="990" spans="2:24" x14ac:dyDescent="0.35">
      <c r="B990">
        <f t="shared" si="270"/>
        <v>988</v>
      </c>
      <c r="C990" t="s">
        <v>83</v>
      </c>
      <c r="D990" t="s">
        <v>176</v>
      </c>
      <c r="E990">
        <f>IF(WEEKNUM(Combined[[#This Row],[Date]], 1) = 53, 1, WEEKNUM(Combined[[#This Row],[Date]], 2))</f>
        <v>1</v>
      </c>
      <c r="F990" t="str">
        <f t="shared" ref="F990:F996" si="277">TEXT(WEEKDAY(G990,1),"DDDD")</f>
        <v>Monday</v>
      </c>
      <c r="G990" s="41">
        <v>45292</v>
      </c>
      <c r="H990">
        <v>5</v>
      </c>
      <c r="I990" s="1">
        <v>45.19</v>
      </c>
      <c r="J990" s="2">
        <v>0.10555555555555556</v>
      </c>
      <c r="K990" s="12">
        <f>Combined[[#This Row],[Time Spent]]*24</f>
        <v>2.5333333333333332</v>
      </c>
      <c r="L990" s="12">
        <f>MROUND(Combined[[#This Row],[Time Spent 2]],0.25)</f>
        <v>2.5</v>
      </c>
      <c r="M990" s="2" t="s">
        <v>91</v>
      </c>
      <c r="N990" t="s">
        <v>85</v>
      </c>
      <c r="O990">
        <f>MATCH(Combined[[#This Row],[Primary Area]],KPIs!$C$4:$C$7,0)</f>
        <v>4</v>
      </c>
      <c r="R990" s="40"/>
      <c r="V990" s="4"/>
      <c r="X990"/>
    </row>
    <row r="991" spans="2:24" x14ac:dyDescent="0.35">
      <c r="B991">
        <f t="shared" si="270"/>
        <v>989</v>
      </c>
      <c r="C991" t="s">
        <v>86</v>
      </c>
      <c r="D991" t="s">
        <v>175</v>
      </c>
      <c r="E991">
        <f>IF(WEEKNUM(Combined[[#This Row],[Date]], 1) = 53, 1, WEEKNUM(Combined[[#This Row],[Date]], 2))</f>
        <v>1</v>
      </c>
      <c r="F991" t="str">
        <f t="shared" si="277"/>
        <v>Monday</v>
      </c>
      <c r="G991" s="41">
        <v>45292</v>
      </c>
      <c r="H991">
        <v>1</v>
      </c>
      <c r="I991" s="1">
        <v>11.54</v>
      </c>
      <c r="J991" s="2">
        <v>2.2222222222222223E-2</v>
      </c>
      <c r="K991" s="12">
        <f>Combined[[#This Row],[Time Spent]]*24</f>
        <v>0.53333333333333333</v>
      </c>
      <c r="L991" s="12">
        <f>MROUND(Combined[[#This Row],[Time Spent 2]],0.25)</f>
        <v>0.5</v>
      </c>
      <c r="M991" s="2" t="s">
        <v>91</v>
      </c>
      <c r="N991" t="s">
        <v>85</v>
      </c>
      <c r="O991">
        <f>MATCH(Combined[[#This Row],[Primary Area]],KPIs!$C$4:$C$7,0)</f>
        <v>4</v>
      </c>
      <c r="R991" s="40"/>
      <c r="V991" s="4"/>
      <c r="X991"/>
    </row>
    <row r="992" spans="2:24" x14ac:dyDescent="0.35">
      <c r="B992">
        <f t="shared" si="270"/>
        <v>990</v>
      </c>
      <c r="C992" t="s">
        <v>86</v>
      </c>
      <c r="D992" t="s">
        <v>175</v>
      </c>
      <c r="E992">
        <f>IF(WEEKNUM(Combined[[#This Row],[Date]], 1) = 53, 1, WEEKNUM(Combined[[#This Row],[Date]], 2))</f>
        <v>1</v>
      </c>
      <c r="F992" t="str">
        <f t="shared" si="277"/>
        <v>Monday</v>
      </c>
      <c r="G992" s="41">
        <v>45292</v>
      </c>
      <c r="H992">
        <v>1</v>
      </c>
      <c r="I992" s="1">
        <v>5.27</v>
      </c>
      <c r="J992" s="2">
        <v>3.4722222222222224E-2</v>
      </c>
      <c r="K992" s="12">
        <f>Combined[[#This Row],[Time Spent]]*24</f>
        <v>0.83333333333333337</v>
      </c>
      <c r="L992" s="12">
        <f>MROUND(Combined[[#This Row],[Time Spent 2]],0.25)</f>
        <v>0.75</v>
      </c>
      <c r="M992" s="2" t="s">
        <v>92</v>
      </c>
      <c r="N992" t="s">
        <v>85</v>
      </c>
      <c r="O992">
        <f>MATCH(Combined[[#This Row],[Primary Area]],KPIs!$C$4:$C$7,0)</f>
        <v>4</v>
      </c>
      <c r="R992" s="40"/>
      <c r="V992" s="4"/>
      <c r="X992"/>
    </row>
    <row r="993" spans="2:24" x14ac:dyDescent="0.35">
      <c r="B993">
        <f t="shared" si="270"/>
        <v>991</v>
      </c>
      <c r="C993" t="s">
        <v>83</v>
      </c>
      <c r="D993" t="s">
        <v>176</v>
      </c>
      <c r="E993">
        <f>IF(WEEKNUM(Combined[[#This Row],[Date]], 1) = 53, 1, WEEKNUM(Combined[[#This Row],[Date]], 2))</f>
        <v>1</v>
      </c>
      <c r="F993" t="str">
        <f t="shared" si="277"/>
        <v>Tuesday</v>
      </c>
      <c r="G993" s="41">
        <v>45293</v>
      </c>
      <c r="H993">
        <v>6</v>
      </c>
      <c r="I993" s="1">
        <v>71.77</v>
      </c>
      <c r="J993" s="2">
        <v>0.13125000000000001</v>
      </c>
      <c r="K993" s="12">
        <f>Combined[[#This Row],[Time Spent]]*24</f>
        <v>3.1500000000000004</v>
      </c>
      <c r="L993" s="12">
        <f>MROUND(Combined[[#This Row],[Time Spent 2]],0.25)</f>
        <v>3.25</v>
      </c>
      <c r="M993" s="2" t="s">
        <v>91</v>
      </c>
      <c r="N993" t="s">
        <v>85</v>
      </c>
      <c r="O993">
        <f>MATCH(Combined[[#This Row],[Primary Area]],KPIs!$C$4:$C$7,0)</f>
        <v>4</v>
      </c>
      <c r="R993" s="40"/>
      <c r="V993" s="4"/>
      <c r="X993"/>
    </row>
    <row r="994" spans="2:24" x14ac:dyDescent="0.35">
      <c r="B994">
        <f t="shared" si="270"/>
        <v>992</v>
      </c>
      <c r="C994" t="s">
        <v>86</v>
      </c>
      <c r="D994" t="s">
        <v>175</v>
      </c>
      <c r="E994">
        <f>IF(WEEKNUM(Combined[[#This Row],[Date]], 1) = 53, 1, WEEKNUM(Combined[[#This Row],[Date]], 2))</f>
        <v>1</v>
      </c>
      <c r="F994" t="str">
        <f t="shared" si="277"/>
        <v>Tuesday</v>
      </c>
      <c r="G994" s="41">
        <v>45293</v>
      </c>
      <c r="H994">
        <v>1</v>
      </c>
      <c r="I994" s="1">
        <v>11.26</v>
      </c>
      <c r="J994" s="2">
        <v>1.7361111111111112E-2</v>
      </c>
      <c r="K994" s="12">
        <f>Combined[[#This Row],[Time Spent]]*24</f>
        <v>0.41666666666666669</v>
      </c>
      <c r="L994" s="12">
        <f>MROUND(Combined[[#This Row],[Time Spent 2]],0.25)</f>
        <v>0.5</v>
      </c>
      <c r="M994" s="2" t="s">
        <v>91</v>
      </c>
      <c r="N994" t="s">
        <v>85</v>
      </c>
      <c r="O994">
        <f>MATCH(Combined[[#This Row],[Primary Area]],KPIs!$C$4:$C$7,0)</f>
        <v>4</v>
      </c>
      <c r="R994" s="40"/>
      <c r="V994" s="4"/>
      <c r="X994"/>
    </row>
    <row r="995" spans="2:24" x14ac:dyDescent="0.35">
      <c r="B995">
        <f t="shared" si="270"/>
        <v>993</v>
      </c>
      <c r="C995" t="s">
        <v>83</v>
      </c>
      <c r="D995" t="s">
        <v>176</v>
      </c>
      <c r="E995">
        <f>IF(WEEKNUM(Combined[[#This Row],[Date]], 1) = 53, 1, WEEKNUM(Combined[[#This Row],[Date]], 2))</f>
        <v>1</v>
      </c>
      <c r="F995" t="str">
        <f t="shared" si="277"/>
        <v>Wednesday</v>
      </c>
      <c r="G995" s="41">
        <v>45294</v>
      </c>
      <c r="H995">
        <v>4</v>
      </c>
      <c r="I995" s="1">
        <v>53.99</v>
      </c>
      <c r="J995" s="2">
        <v>8.4722222222222213E-2</v>
      </c>
      <c r="K995" s="12">
        <f>Combined[[#This Row],[Time Spent]]*24</f>
        <v>2.0333333333333332</v>
      </c>
      <c r="L995" s="12">
        <f>MROUND(Combined[[#This Row],[Time Spent 2]],0.25)</f>
        <v>2</v>
      </c>
      <c r="M995" s="2" t="s">
        <v>91</v>
      </c>
      <c r="N995" t="s">
        <v>80</v>
      </c>
      <c r="O995">
        <f>MATCH(Combined[[#This Row],[Primary Area]],KPIs!$C$4:$C$7,0)</f>
        <v>2</v>
      </c>
      <c r="R995" s="40"/>
      <c r="V995" s="4"/>
      <c r="X995"/>
    </row>
    <row r="996" spans="2:24" x14ac:dyDescent="0.35">
      <c r="B996">
        <f t="shared" si="270"/>
        <v>994</v>
      </c>
      <c r="C996" t="s">
        <v>86</v>
      </c>
      <c r="D996" t="s">
        <v>175</v>
      </c>
      <c r="E996">
        <f>IF(WEEKNUM(Combined[[#This Row],[Date]], 1) = 53, 1, WEEKNUM(Combined[[#This Row],[Date]], 2))</f>
        <v>1</v>
      </c>
      <c r="F996" t="str">
        <f t="shared" si="277"/>
        <v>Wednesday</v>
      </c>
      <c r="G996" s="41">
        <v>45294</v>
      </c>
      <c r="H996">
        <v>5</v>
      </c>
      <c r="I996" s="1">
        <v>38.020000000000003</v>
      </c>
      <c r="J996" s="2">
        <v>6.3194444444444442E-2</v>
      </c>
      <c r="K996" s="12">
        <f>Combined[[#This Row],[Time Spent]]*24</f>
        <v>1.5166666666666666</v>
      </c>
      <c r="L996" s="12">
        <f>MROUND(Combined[[#This Row],[Time Spent 2]],0.25)</f>
        <v>1.5</v>
      </c>
      <c r="M996" s="2" t="s">
        <v>91</v>
      </c>
      <c r="N996" t="s">
        <v>80</v>
      </c>
      <c r="O996">
        <f>MATCH(Combined[[#This Row],[Primary Area]],KPIs!$C$4:$C$7,0)</f>
        <v>2</v>
      </c>
      <c r="R996" s="40"/>
      <c r="V996" s="4"/>
      <c r="X996"/>
    </row>
    <row r="997" spans="2:24" x14ac:dyDescent="0.35">
      <c r="B997">
        <f t="shared" si="270"/>
        <v>995</v>
      </c>
      <c r="C997" t="s">
        <v>83</v>
      </c>
      <c r="D997" t="s">
        <v>176</v>
      </c>
      <c r="E997">
        <f>IF(WEEKNUM(Combined[[#This Row],[Date]], 1) = 53, 1, WEEKNUM(Combined[[#This Row],[Date]], 2))</f>
        <v>1</v>
      </c>
      <c r="F997" t="str">
        <f t="shared" ref="F997:F1000" si="278">TEXT(WEEKDAY(G997,1),"DDDD")</f>
        <v>Friday</v>
      </c>
      <c r="G997" s="41">
        <v>45296</v>
      </c>
      <c r="H997">
        <v>4</v>
      </c>
      <c r="I997" s="1">
        <v>44</v>
      </c>
      <c r="J997" s="2">
        <v>0.12222222222222223</v>
      </c>
      <c r="K997" s="12">
        <f>Combined[[#This Row],[Time Spent]]*24</f>
        <v>2.9333333333333336</v>
      </c>
      <c r="L997" s="12">
        <f>MROUND(Combined[[#This Row],[Time Spent 2]],0.25)</f>
        <v>3</v>
      </c>
      <c r="M997" s="2" t="s">
        <v>91</v>
      </c>
      <c r="N997" t="s">
        <v>80</v>
      </c>
      <c r="O997">
        <f>MATCH(Combined[[#This Row],[Primary Area]],KPIs!$C$4:$C$7,0)</f>
        <v>2</v>
      </c>
      <c r="R997" s="40"/>
      <c r="V997" s="4"/>
      <c r="X997"/>
    </row>
    <row r="998" spans="2:24" x14ac:dyDescent="0.35">
      <c r="B998">
        <f t="shared" si="270"/>
        <v>996</v>
      </c>
      <c r="C998" t="s">
        <v>83</v>
      </c>
      <c r="D998" t="s">
        <v>176</v>
      </c>
      <c r="E998">
        <f>IF(WEEKNUM(Combined[[#This Row],[Date]], 1) = 53, 1, WEEKNUM(Combined[[#This Row],[Date]], 2))</f>
        <v>1</v>
      </c>
      <c r="F998" t="str">
        <f t="shared" si="278"/>
        <v>Saturday</v>
      </c>
      <c r="G998" s="41">
        <v>45297</v>
      </c>
      <c r="H998">
        <v>4</v>
      </c>
      <c r="I998" s="1">
        <v>36.24</v>
      </c>
      <c r="J998" s="2">
        <v>0.13333333333333333</v>
      </c>
      <c r="K998" s="12">
        <f>Combined[[#This Row],[Time Spent]]*24</f>
        <v>3.2</v>
      </c>
      <c r="L998" s="12">
        <f>MROUND(Combined[[#This Row],[Time Spent 2]],0.25)</f>
        <v>3.25</v>
      </c>
      <c r="M998" s="2" t="s">
        <v>91</v>
      </c>
      <c r="N998" t="s">
        <v>85</v>
      </c>
      <c r="O998">
        <f>MATCH(Combined[[#This Row],[Primary Area]],KPIs!$C$4:$C$7,0)</f>
        <v>4</v>
      </c>
      <c r="R998" s="40"/>
      <c r="V998" s="4"/>
      <c r="X998"/>
    </row>
    <row r="999" spans="2:24" x14ac:dyDescent="0.35">
      <c r="B999">
        <f t="shared" si="270"/>
        <v>997</v>
      </c>
      <c r="C999" t="s">
        <v>86</v>
      </c>
      <c r="D999" t="s">
        <v>175</v>
      </c>
      <c r="E999">
        <f>IF(WEEKNUM(Combined[[#This Row],[Date]], 1) = 53, 1, WEEKNUM(Combined[[#This Row],[Date]], 2))</f>
        <v>1</v>
      </c>
      <c r="F999" t="str">
        <f t="shared" si="278"/>
        <v>Saturday</v>
      </c>
      <c r="G999" s="41">
        <v>45297</v>
      </c>
      <c r="H999">
        <v>1</v>
      </c>
      <c r="I999" s="1">
        <v>12.93</v>
      </c>
      <c r="J999" s="2">
        <v>2.7083333333333334E-2</v>
      </c>
      <c r="K999" s="12">
        <f>Combined[[#This Row],[Time Spent]]*24</f>
        <v>0.65</v>
      </c>
      <c r="L999" s="12">
        <f>MROUND(Combined[[#This Row],[Time Spent 2]],0.25)</f>
        <v>0.75</v>
      </c>
      <c r="M999" s="2" t="s">
        <v>91</v>
      </c>
      <c r="N999" t="s">
        <v>85</v>
      </c>
      <c r="O999">
        <f>MATCH(Combined[[#This Row],[Primary Area]],KPIs!$C$4:$C$7,0)</f>
        <v>4</v>
      </c>
      <c r="R999" s="40"/>
      <c r="V999" s="4"/>
      <c r="X999"/>
    </row>
    <row r="1000" spans="2:24" x14ac:dyDescent="0.35">
      <c r="B1000">
        <f t="shared" si="270"/>
        <v>998</v>
      </c>
      <c r="C1000" t="s">
        <v>86</v>
      </c>
      <c r="D1000" t="s">
        <v>175</v>
      </c>
      <c r="E1000">
        <f>IF(WEEKNUM(Combined[[#This Row],[Date]], 1) = 53, 1, WEEKNUM(Combined[[#This Row],[Date]], 2))</f>
        <v>1</v>
      </c>
      <c r="F1000" t="str">
        <f t="shared" si="278"/>
        <v>Saturday</v>
      </c>
      <c r="G1000" s="41">
        <v>45297</v>
      </c>
      <c r="H1000">
        <v>4</v>
      </c>
      <c r="I1000" s="1">
        <v>69.61</v>
      </c>
      <c r="J1000" s="2">
        <v>7.9861111111111105E-2</v>
      </c>
      <c r="K1000" s="12">
        <f>Combined[[#This Row],[Time Spent]]*24</f>
        <v>1.9166666666666665</v>
      </c>
      <c r="L1000" s="12">
        <f>MROUND(Combined[[#This Row],[Time Spent 2]],0.25)</f>
        <v>2</v>
      </c>
      <c r="M1000" s="2" t="s">
        <v>91</v>
      </c>
      <c r="N1000" t="s">
        <v>85</v>
      </c>
      <c r="O1000">
        <f>MATCH(Combined[[#This Row],[Primary Area]],KPIs!$C$4:$C$7,0)</f>
        <v>4</v>
      </c>
      <c r="R1000" s="40"/>
      <c r="V1000" s="4"/>
      <c r="X1000"/>
    </row>
    <row r="1001" spans="2:24" x14ac:dyDescent="0.35">
      <c r="B1001">
        <f t="shared" si="270"/>
        <v>999</v>
      </c>
      <c r="C1001" t="s">
        <v>86</v>
      </c>
      <c r="D1001" t="s">
        <v>175</v>
      </c>
      <c r="E1001">
        <f>IF(WEEKNUM(Combined[[#This Row],[Date]], 1) = 53, 1, WEEKNUM(Combined[[#This Row],[Date]], 2))</f>
        <v>1</v>
      </c>
      <c r="F1001" t="str">
        <f>TEXT(WEEKDAY(G1001,1),"DDDD")</f>
        <v>Saturday</v>
      </c>
      <c r="G1001" s="41">
        <v>45297</v>
      </c>
      <c r="H1001">
        <v>1</v>
      </c>
      <c r="I1001" s="1">
        <v>16.63</v>
      </c>
      <c r="J1001" s="2">
        <v>1.5277777777777777E-2</v>
      </c>
      <c r="K1001" s="12">
        <f>Combined[[#This Row],[Time Spent]]*24</f>
        <v>0.36666666666666664</v>
      </c>
      <c r="L1001" s="12">
        <f>MROUND(Combined[[#This Row],[Time Spent 2]],0.25)</f>
        <v>0.25</v>
      </c>
      <c r="M1001" s="2" t="s">
        <v>91</v>
      </c>
      <c r="N1001" t="s">
        <v>85</v>
      </c>
      <c r="O1001">
        <f>MATCH(Combined[[#This Row],[Primary Area]],KPIs!$C$4:$C$7,0)</f>
        <v>4</v>
      </c>
      <c r="R1001" s="40"/>
      <c r="V1001" s="4"/>
      <c r="X1001"/>
    </row>
    <row r="1002" spans="2:24" x14ac:dyDescent="0.35">
      <c r="B1002">
        <f t="shared" si="270"/>
        <v>1000</v>
      </c>
      <c r="C1002" t="s">
        <v>83</v>
      </c>
      <c r="D1002" t="s">
        <v>176</v>
      </c>
      <c r="E1002">
        <f>IF(WEEKNUM(Combined[[#This Row],[Date]], 1) = 53, 1, WEEKNUM(Combined[[#This Row],[Date]], 2))</f>
        <v>1</v>
      </c>
      <c r="F1002" t="str">
        <f t="shared" ref="F1002:F1005" si="279">TEXT(WEEKDAY(G1002,1),"DDDD")</f>
        <v>Sunday</v>
      </c>
      <c r="G1002" s="41">
        <v>45298</v>
      </c>
      <c r="H1002">
        <v>4</v>
      </c>
      <c r="I1002" s="1">
        <v>53.84</v>
      </c>
      <c r="J1002" s="2">
        <v>8.9583333333333334E-2</v>
      </c>
      <c r="K1002" s="12">
        <f>Combined[[#This Row],[Time Spent]]*24</f>
        <v>2.15</v>
      </c>
      <c r="L1002" s="12">
        <f>MROUND(Combined[[#This Row],[Time Spent 2]],0.25)</f>
        <v>2.25</v>
      </c>
      <c r="M1002" s="2" t="s">
        <v>90</v>
      </c>
      <c r="N1002" t="s">
        <v>80</v>
      </c>
      <c r="O1002">
        <f>MATCH(Combined[[#This Row],[Primary Area]],KPIs!$C$4:$C$7,0)</f>
        <v>2</v>
      </c>
      <c r="R1002" s="40"/>
      <c r="V1002" s="4"/>
      <c r="X1002"/>
    </row>
    <row r="1003" spans="2:24" x14ac:dyDescent="0.35">
      <c r="B1003">
        <f t="shared" si="270"/>
        <v>1001</v>
      </c>
      <c r="C1003" t="s">
        <v>86</v>
      </c>
      <c r="D1003" t="s">
        <v>175</v>
      </c>
      <c r="E1003">
        <f>IF(WEEKNUM(Combined[[#This Row],[Date]], 1) = 53, 1, WEEKNUM(Combined[[#This Row],[Date]], 2))</f>
        <v>1</v>
      </c>
      <c r="F1003" t="str">
        <f t="shared" si="279"/>
        <v>Sunday</v>
      </c>
      <c r="G1003" s="41">
        <v>45298</v>
      </c>
      <c r="H1003">
        <v>3</v>
      </c>
      <c r="I1003" s="1">
        <v>38.89</v>
      </c>
      <c r="J1003" s="2">
        <v>0.13402777777777777</v>
      </c>
      <c r="K1003" s="12">
        <f>Combined[[#This Row],[Time Spent]]*24</f>
        <v>3.2166666666666668</v>
      </c>
      <c r="L1003" s="12">
        <f>MROUND(Combined[[#This Row],[Time Spent 2]],0.25)</f>
        <v>3.25</v>
      </c>
      <c r="M1003" s="2" t="s">
        <v>90</v>
      </c>
      <c r="N1003" t="s">
        <v>80</v>
      </c>
      <c r="O1003">
        <f>MATCH(Combined[[#This Row],[Primary Area]],KPIs!$C$4:$C$7,0)</f>
        <v>2</v>
      </c>
      <c r="R1003" s="40"/>
      <c r="V1003" s="4"/>
      <c r="X1003"/>
    </row>
    <row r="1004" spans="2:24" x14ac:dyDescent="0.35">
      <c r="B1004">
        <f t="shared" si="270"/>
        <v>1002</v>
      </c>
      <c r="C1004" t="s">
        <v>83</v>
      </c>
      <c r="D1004" t="s">
        <v>176</v>
      </c>
      <c r="E1004">
        <f>IF(WEEKNUM(Combined[[#This Row],[Date]], 1) = 53, 1, WEEKNUM(Combined[[#This Row],[Date]], 2))</f>
        <v>2</v>
      </c>
      <c r="F1004" t="str">
        <f t="shared" si="279"/>
        <v>Monday</v>
      </c>
      <c r="G1004" s="41">
        <v>45299</v>
      </c>
      <c r="H1004">
        <v>2</v>
      </c>
      <c r="I1004" s="1">
        <v>29.1</v>
      </c>
      <c r="J1004" s="2">
        <v>6.458333333333334E-2</v>
      </c>
      <c r="K1004" s="12">
        <f>Combined[[#This Row],[Time Spent]]*24</f>
        <v>1.5500000000000003</v>
      </c>
      <c r="L1004" s="12">
        <f>MROUND(Combined[[#This Row],[Time Spent 2]],0.25)</f>
        <v>1.5</v>
      </c>
      <c r="M1004" s="2" t="s">
        <v>91</v>
      </c>
      <c r="N1004" t="s">
        <v>80</v>
      </c>
      <c r="O1004">
        <f>MATCH(Combined[[#This Row],[Primary Area]],KPIs!$C$4:$C$7,0)</f>
        <v>2</v>
      </c>
      <c r="R1004" s="40"/>
      <c r="V1004" s="4"/>
      <c r="X1004"/>
    </row>
    <row r="1005" spans="2:24" x14ac:dyDescent="0.35">
      <c r="B1005">
        <f t="shared" si="270"/>
        <v>1003</v>
      </c>
      <c r="C1005" t="s">
        <v>86</v>
      </c>
      <c r="D1005" t="s">
        <v>175</v>
      </c>
      <c r="E1005">
        <f>IF(WEEKNUM(Combined[[#This Row],[Date]], 1) = 53, 1, WEEKNUM(Combined[[#This Row],[Date]], 2))</f>
        <v>2</v>
      </c>
      <c r="F1005" t="str">
        <f t="shared" si="279"/>
        <v>Monday</v>
      </c>
      <c r="G1005" s="41">
        <v>45299</v>
      </c>
      <c r="H1005">
        <v>3</v>
      </c>
      <c r="I1005" s="1">
        <v>29.24</v>
      </c>
      <c r="J1005" s="2">
        <v>5.9722222222222225E-2</v>
      </c>
      <c r="K1005" s="12">
        <f>Combined[[#This Row],[Time Spent]]*24</f>
        <v>1.4333333333333333</v>
      </c>
      <c r="L1005" s="12">
        <f>MROUND(Combined[[#This Row],[Time Spent 2]],0.25)</f>
        <v>1.5</v>
      </c>
      <c r="M1005" s="2" t="s">
        <v>91</v>
      </c>
      <c r="N1005" t="s">
        <v>80</v>
      </c>
      <c r="O1005">
        <f>MATCH(Combined[[#This Row],[Primary Area]],KPIs!$C$4:$C$7,0)</f>
        <v>2</v>
      </c>
      <c r="R1005" s="40"/>
      <c r="V1005" s="4"/>
      <c r="X1005"/>
    </row>
    <row r="1006" spans="2:24" x14ac:dyDescent="0.35">
      <c r="B1006">
        <f t="shared" si="270"/>
        <v>1004</v>
      </c>
      <c r="C1006" t="s">
        <v>86</v>
      </c>
      <c r="D1006" t="s">
        <v>175</v>
      </c>
      <c r="E1006">
        <f>IF(WEEKNUM(Combined[[#This Row],[Date]], 1) = 53, 1, WEEKNUM(Combined[[#This Row],[Date]], 2))</f>
        <v>2</v>
      </c>
      <c r="F1006" t="str">
        <f>TEXT(WEEKDAY(G1006,1),"DDDD")</f>
        <v>Monday</v>
      </c>
      <c r="G1006" s="41">
        <v>45299</v>
      </c>
      <c r="H1006">
        <v>1</v>
      </c>
      <c r="I1006" s="1">
        <v>18.5</v>
      </c>
      <c r="J1006" s="2">
        <v>2.6388888888888889E-2</v>
      </c>
      <c r="K1006" s="12">
        <f>Combined[[#This Row],[Time Spent]]*24</f>
        <v>0.6333333333333333</v>
      </c>
      <c r="L1006" s="12">
        <f>MROUND(Combined[[#This Row],[Time Spent 2]],0.25)</f>
        <v>0.75</v>
      </c>
      <c r="M1006" s="2" t="s">
        <v>91</v>
      </c>
      <c r="N1006" t="s">
        <v>80</v>
      </c>
      <c r="O1006">
        <f>MATCH(Combined[[#This Row],[Primary Area]],KPIs!$C$4:$C$7,0)</f>
        <v>2</v>
      </c>
      <c r="R1006" s="40"/>
      <c r="V1006" s="4"/>
      <c r="X1006"/>
    </row>
    <row r="1007" spans="2:24" x14ac:dyDescent="0.35">
      <c r="B1007">
        <f t="shared" si="270"/>
        <v>1005</v>
      </c>
      <c r="C1007" t="s">
        <v>86</v>
      </c>
      <c r="D1007" t="s">
        <v>175</v>
      </c>
      <c r="E1007">
        <f>IF(WEEKNUM(Combined[[#This Row],[Date]], 1) = 53, 1, WEEKNUM(Combined[[#This Row],[Date]], 2))</f>
        <v>2</v>
      </c>
      <c r="F1007" t="str">
        <f t="shared" ref="F1007:F1015" si="280">TEXT(WEEKDAY(G1007,1),"DDDD")</f>
        <v>Tuesday</v>
      </c>
      <c r="G1007" s="41">
        <v>45300</v>
      </c>
      <c r="H1007">
        <v>4</v>
      </c>
      <c r="I1007" s="1">
        <v>48.6</v>
      </c>
      <c r="J1007" s="2">
        <v>9.5138888888888884E-2</v>
      </c>
      <c r="K1007" s="12">
        <f>Combined[[#This Row],[Time Spent]]*24</f>
        <v>2.2833333333333332</v>
      </c>
      <c r="L1007" s="12">
        <f>MROUND(Combined[[#This Row],[Time Spent 2]],0.25)</f>
        <v>2.25</v>
      </c>
      <c r="M1007" s="2" t="s">
        <v>91</v>
      </c>
      <c r="N1007" t="s">
        <v>80</v>
      </c>
      <c r="O1007">
        <f>MATCH(Combined[[#This Row],[Primary Area]],KPIs!$C$4:$C$7,0)</f>
        <v>2</v>
      </c>
      <c r="R1007" s="40"/>
      <c r="V1007" s="4"/>
      <c r="X1007"/>
    </row>
    <row r="1008" spans="2:24" x14ac:dyDescent="0.35">
      <c r="B1008">
        <f t="shared" si="270"/>
        <v>1006</v>
      </c>
      <c r="C1008" t="s">
        <v>86</v>
      </c>
      <c r="D1008" t="s">
        <v>175</v>
      </c>
      <c r="E1008">
        <f>IF(WEEKNUM(Combined[[#This Row],[Date]], 1) = 53, 1, WEEKNUM(Combined[[#This Row],[Date]], 2))</f>
        <v>2</v>
      </c>
      <c r="F1008" t="str">
        <f t="shared" si="280"/>
        <v>Tuesday</v>
      </c>
      <c r="G1008" s="41">
        <v>45300</v>
      </c>
      <c r="H1008">
        <v>1</v>
      </c>
      <c r="I1008" s="1">
        <v>17.690000000000001</v>
      </c>
      <c r="J1008" s="2">
        <v>2.0833333333333332E-2</v>
      </c>
      <c r="K1008" s="12">
        <f>Combined[[#This Row],[Time Spent]]*24</f>
        <v>0.5</v>
      </c>
      <c r="L1008" s="12">
        <f>MROUND(Combined[[#This Row],[Time Spent 2]],0.25)</f>
        <v>0.5</v>
      </c>
      <c r="M1008" s="2" t="s">
        <v>91</v>
      </c>
      <c r="N1008" t="s">
        <v>80</v>
      </c>
      <c r="O1008">
        <f>MATCH(Combined[[#This Row],[Primary Area]],KPIs!$C$4:$C$7,0)</f>
        <v>2</v>
      </c>
      <c r="R1008" s="40"/>
      <c r="V1008" s="4"/>
      <c r="X1008"/>
    </row>
    <row r="1009" spans="2:24" x14ac:dyDescent="0.35">
      <c r="B1009">
        <f t="shared" si="270"/>
        <v>1007</v>
      </c>
      <c r="C1009" t="s">
        <v>86</v>
      </c>
      <c r="D1009" t="s">
        <v>175</v>
      </c>
      <c r="E1009">
        <f>IF(WEEKNUM(Combined[[#This Row],[Date]], 1) = 53, 1, WEEKNUM(Combined[[#This Row],[Date]], 2))</f>
        <v>2</v>
      </c>
      <c r="F1009" t="str">
        <f t="shared" si="280"/>
        <v>Wednesday</v>
      </c>
      <c r="G1009" s="41">
        <v>45301</v>
      </c>
      <c r="H1009">
        <v>2</v>
      </c>
      <c r="I1009" s="1">
        <v>19.37</v>
      </c>
      <c r="J1009" s="2">
        <v>3.125E-2</v>
      </c>
      <c r="K1009" s="12">
        <f>Combined[[#This Row],[Time Spent]]*24</f>
        <v>0.75</v>
      </c>
      <c r="L1009" s="12">
        <f>MROUND(Combined[[#This Row],[Time Spent 2]],0.25)</f>
        <v>0.75</v>
      </c>
      <c r="M1009" s="2" t="s">
        <v>91</v>
      </c>
      <c r="N1009" t="s">
        <v>80</v>
      </c>
      <c r="O1009">
        <f>MATCH(Combined[[#This Row],[Primary Area]],KPIs!$C$4:$C$7,0)</f>
        <v>2</v>
      </c>
      <c r="R1009" s="40"/>
      <c r="V1009" s="4"/>
      <c r="X1009"/>
    </row>
    <row r="1010" spans="2:24" x14ac:dyDescent="0.35">
      <c r="B1010">
        <f t="shared" si="270"/>
        <v>1008</v>
      </c>
      <c r="C1010" t="s">
        <v>83</v>
      </c>
      <c r="D1010" t="s">
        <v>176</v>
      </c>
      <c r="E1010">
        <f>IF(WEEKNUM(Combined[[#This Row],[Date]], 1) = 53, 1, WEEKNUM(Combined[[#This Row],[Date]], 2))</f>
        <v>2</v>
      </c>
      <c r="F1010" t="str">
        <f t="shared" si="280"/>
        <v>Thursday</v>
      </c>
      <c r="G1010" s="41">
        <v>45302</v>
      </c>
      <c r="H1010">
        <v>4</v>
      </c>
      <c r="I1010" s="1">
        <v>61.35</v>
      </c>
      <c r="J1010" s="2">
        <v>0.11944444444444445</v>
      </c>
      <c r="K1010" s="12">
        <f>Combined[[#This Row],[Time Spent]]*24</f>
        <v>2.8666666666666667</v>
      </c>
      <c r="L1010" s="12">
        <f>MROUND(Combined[[#This Row],[Time Spent 2]],0.25)</f>
        <v>2.75</v>
      </c>
      <c r="M1010" s="2" t="s">
        <v>91</v>
      </c>
      <c r="N1010" t="s">
        <v>174</v>
      </c>
      <c r="O1010">
        <f>MATCH(Combined[[#This Row],[Primary Area]],KPIs!$C$4:$C$7,0)</f>
        <v>1</v>
      </c>
      <c r="R1010" s="40"/>
      <c r="V1010" s="4"/>
      <c r="X1010"/>
    </row>
    <row r="1011" spans="2:24" x14ac:dyDescent="0.35">
      <c r="B1011">
        <f t="shared" si="270"/>
        <v>1009</v>
      </c>
      <c r="C1011" t="s">
        <v>86</v>
      </c>
      <c r="D1011" t="s">
        <v>175</v>
      </c>
      <c r="E1011">
        <f>IF(WEEKNUM(Combined[[#This Row],[Date]], 1) = 53, 1, WEEKNUM(Combined[[#This Row],[Date]], 2))</f>
        <v>2</v>
      </c>
      <c r="F1011" t="str">
        <f t="shared" si="280"/>
        <v>Thursday</v>
      </c>
      <c r="G1011" s="41">
        <v>45302</v>
      </c>
      <c r="H1011">
        <v>1</v>
      </c>
      <c r="I1011" s="1">
        <v>10.81</v>
      </c>
      <c r="J1011" s="2">
        <v>3.1944444444444449E-2</v>
      </c>
      <c r="K1011" s="12">
        <f>Combined[[#This Row],[Time Spent]]*24</f>
        <v>0.76666666666666683</v>
      </c>
      <c r="L1011" s="12">
        <f>MROUND(Combined[[#This Row],[Time Spent 2]],0.25)</f>
        <v>0.75</v>
      </c>
      <c r="M1011" s="2" t="s">
        <v>91</v>
      </c>
      <c r="N1011" t="s">
        <v>174</v>
      </c>
      <c r="O1011">
        <f>MATCH(Combined[[#This Row],[Primary Area]],KPIs!$C$4:$C$7,0)</f>
        <v>1</v>
      </c>
      <c r="R1011" s="40"/>
      <c r="V1011" s="4"/>
      <c r="X1011"/>
    </row>
    <row r="1012" spans="2:24" x14ac:dyDescent="0.35">
      <c r="B1012">
        <f t="shared" si="270"/>
        <v>1010</v>
      </c>
      <c r="C1012" t="s">
        <v>86</v>
      </c>
      <c r="D1012" t="s">
        <v>175</v>
      </c>
      <c r="E1012">
        <f>IF(WEEKNUM(Combined[[#This Row],[Date]], 1) = 53, 1, WEEKNUM(Combined[[#This Row],[Date]], 2))</f>
        <v>2</v>
      </c>
      <c r="F1012" t="str">
        <f t="shared" si="280"/>
        <v>Saturday</v>
      </c>
      <c r="G1012" s="41">
        <v>45304</v>
      </c>
      <c r="H1012">
        <v>6</v>
      </c>
      <c r="I1012" s="1">
        <v>56.12</v>
      </c>
      <c r="J1012" s="2">
        <v>9.1666666666666674E-2</v>
      </c>
      <c r="K1012" s="12">
        <f>Combined[[#This Row],[Time Spent]]*24</f>
        <v>2.2000000000000002</v>
      </c>
      <c r="L1012" s="12">
        <f>MROUND(Combined[[#This Row],[Time Spent 2]],0.25)</f>
        <v>2.25</v>
      </c>
      <c r="M1012" s="2" t="s">
        <v>91</v>
      </c>
      <c r="N1012" t="s">
        <v>82</v>
      </c>
      <c r="O1012">
        <f>MATCH(Combined[[#This Row],[Primary Area]],KPIs!$C$4:$C$7,0)</f>
        <v>3</v>
      </c>
      <c r="R1012" s="40"/>
      <c r="V1012" s="4"/>
      <c r="X1012"/>
    </row>
    <row r="1013" spans="2:24" x14ac:dyDescent="0.35">
      <c r="B1013">
        <f t="shared" si="270"/>
        <v>1011</v>
      </c>
      <c r="C1013" t="s">
        <v>83</v>
      </c>
      <c r="D1013" t="s">
        <v>176</v>
      </c>
      <c r="E1013">
        <f>IF(WEEKNUM(Combined[[#This Row],[Date]], 1) = 53, 1, WEEKNUM(Combined[[#This Row],[Date]], 2))</f>
        <v>2</v>
      </c>
      <c r="F1013" t="str">
        <f t="shared" si="280"/>
        <v>Sunday</v>
      </c>
      <c r="G1013" s="41">
        <v>45305</v>
      </c>
      <c r="H1013">
        <v>3</v>
      </c>
      <c r="I1013" s="1">
        <v>34.57</v>
      </c>
      <c r="J1013" s="2">
        <v>9.4444444444444442E-2</v>
      </c>
      <c r="K1013" s="12">
        <f>Combined[[#This Row],[Time Spent]]*24</f>
        <v>2.2666666666666666</v>
      </c>
      <c r="L1013" s="12">
        <f>MROUND(Combined[[#This Row],[Time Spent 2]],0.25)</f>
        <v>2.25</v>
      </c>
      <c r="M1013" s="2" t="s">
        <v>91</v>
      </c>
      <c r="N1013" t="s">
        <v>80</v>
      </c>
      <c r="O1013">
        <f>MATCH(Combined[[#This Row],[Primary Area]],KPIs!$C$4:$C$7,0)</f>
        <v>2</v>
      </c>
      <c r="R1013" s="40"/>
      <c r="V1013" s="4"/>
      <c r="X1013"/>
    </row>
    <row r="1014" spans="2:24" x14ac:dyDescent="0.35">
      <c r="B1014">
        <f t="shared" si="270"/>
        <v>1012</v>
      </c>
      <c r="C1014" t="s">
        <v>86</v>
      </c>
      <c r="D1014" t="s">
        <v>175</v>
      </c>
      <c r="E1014">
        <f>IF(WEEKNUM(Combined[[#This Row],[Date]], 1) = 53, 1, WEEKNUM(Combined[[#This Row],[Date]], 2))</f>
        <v>2</v>
      </c>
      <c r="F1014" t="str">
        <f t="shared" si="280"/>
        <v>Sunday</v>
      </c>
      <c r="G1014" s="41">
        <v>45305</v>
      </c>
      <c r="H1014">
        <v>2</v>
      </c>
      <c r="I1014" s="1">
        <v>27.19</v>
      </c>
      <c r="J1014" s="2">
        <v>2.6388888888888889E-2</v>
      </c>
      <c r="K1014" s="12">
        <f>Combined[[#This Row],[Time Spent]]*24</f>
        <v>0.6333333333333333</v>
      </c>
      <c r="L1014" s="12">
        <f>MROUND(Combined[[#This Row],[Time Spent 2]],0.25)</f>
        <v>0.75</v>
      </c>
      <c r="M1014" s="2" t="s">
        <v>91</v>
      </c>
      <c r="N1014" t="s">
        <v>80</v>
      </c>
      <c r="O1014">
        <f>MATCH(Combined[[#This Row],[Primary Area]],KPIs!$C$4:$C$7,0)</f>
        <v>2</v>
      </c>
      <c r="R1014" s="40"/>
      <c r="V1014" s="4"/>
      <c r="X1014"/>
    </row>
    <row r="1015" spans="2:24" x14ac:dyDescent="0.35">
      <c r="B1015">
        <f t="shared" si="270"/>
        <v>1013</v>
      </c>
      <c r="C1015" t="s">
        <v>86</v>
      </c>
      <c r="D1015" t="s">
        <v>175</v>
      </c>
      <c r="E1015">
        <f>IF(WEEKNUM(Combined[[#This Row],[Date]], 1) = 53, 1, WEEKNUM(Combined[[#This Row],[Date]], 2))</f>
        <v>2</v>
      </c>
      <c r="F1015" t="str">
        <f t="shared" si="280"/>
        <v>Sunday</v>
      </c>
      <c r="G1015" s="41">
        <v>45305</v>
      </c>
      <c r="H1015">
        <v>2</v>
      </c>
      <c r="I1015" s="1">
        <v>23.75</v>
      </c>
      <c r="J1015" s="2">
        <v>2.2222222222222223E-2</v>
      </c>
      <c r="K1015" s="12">
        <f>Combined[[#This Row],[Time Spent]]*24</f>
        <v>0.53333333333333333</v>
      </c>
      <c r="L1015" s="12">
        <f>MROUND(Combined[[#This Row],[Time Spent 2]],0.25)</f>
        <v>0.5</v>
      </c>
      <c r="M1015" s="2" t="s">
        <v>91</v>
      </c>
      <c r="N1015" t="s">
        <v>80</v>
      </c>
      <c r="O1015">
        <f>MATCH(Combined[[#This Row],[Primary Area]],KPIs!$C$4:$C$7,0)</f>
        <v>2</v>
      </c>
      <c r="R1015" s="40"/>
      <c r="V1015" s="4"/>
      <c r="X1015"/>
    </row>
    <row r="1016" spans="2:24" x14ac:dyDescent="0.35">
      <c r="B1016">
        <f t="shared" si="270"/>
        <v>1014</v>
      </c>
      <c r="C1016" t="s">
        <v>83</v>
      </c>
      <c r="D1016" t="s">
        <v>176</v>
      </c>
      <c r="E1016">
        <f>IF(WEEKNUM(Combined[[#This Row],[Date]], 1) = 53, 1, WEEKNUM(Combined[[#This Row],[Date]], 2))</f>
        <v>3</v>
      </c>
      <c r="F1016" t="str">
        <f t="shared" ref="F1016:F1023" si="281">TEXT(WEEKDAY(G1016,1),"DDDD")</f>
        <v>Monday</v>
      </c>
      <c r="G1016" s="41">
        <v>45306</v>
      </c>
      <c r="H1016">
        <v>1</v>
      </c>
      <c r="I1016" s="1">
        <v>11.07</v>
      </c>
      <c r="J1016" s="2">
        <v>5.0694444444444452E-2</v>
      </c>
      <c r="K1016" s="12">
        <f>Combined[[#This Row],[Time Spent]]*24</f>
        <v>1.2166666666666668</v>
      </c>
      <c r="L1016" s="12">
        <f>MROUND(Combined[[#This Row],[Time Spent 2]],0.25)</f>
        <v>1.25</v>
      </c>
      <c r="M1016" s="2" t="s">
        <v>91</v>
      </c>
      <c r="N1016" t="s">
        <v>80</v>
      </c>
      <c r="O1016">
        <f>MATCH(Combined[[#This Row],[Primary Area]],KPIs!$C$4:$C$7,0)</f>
        <v>2</v>
      </c>
      <c r="R1016" s="40"/>
      <c r="V1016" s="4"/>
      <c r="X1016"/>
    </row>
    <row r="1017" spans="2:24" x14ac:dyDescent="0.35">
      <c r="B1017">
        <f t="shared" si="270"/>
        <v>1015</v>
      </c>
      <c r="C1017" t="s">
        <v>86</v>
      </c>
      <c r="D1017" t="s">
        <v>175</v>
      </c>
      <c r="E1017">
        <f>IF(WEEKNUM(Combined[[#This Row],[Date]], 1) = 53, 1, WEEKNUM(Combined[[#This Row],[Date]], 2))</f>
        <v>3</v>
      </c>
      <c r="F1017" t="str">
        <f t="shared" si="281"/>
        <v>Monday</v>
      </c>
      <c r="G1017" s="41">
        <v>45306</v>
      </c>
      <c r="H1017">
        <v>2</v>
      </c>
      <c r="I1017" s="1">
        <v>29.03</v>
      </c>
      <c r="J1017" s="2">
        <v>3.888888888888889E-2</v>
      </c>
      <c r="K1017" s="12">
        <f>Combined[[#This Row],[Time Spent]]*24</f>
        <v>0.93333333333333335</v>
      </c>
      <c r="L1017" s="12">
        <f>MROUND(Combined[[#This Row],[Time Spent 2]],0.25)</f>
        <v>1</v>
      </c>
      <c r="M1017" s="2" t="s">
        <v>91</v>
      </c>
      <c r="N1017" t="s">
        <v>80</v>
      </c>
      <c r="O1017">
        <f>MATCH(Combined[[#This Row],[Primary Area]],KPIs!$C$4:$C$7,0)</f>
        <v>2</v>
      </c>
      <c r="R1017" s="40"/>
      <c r="V1017" s="4"/>
      <c r="X1017"/>
    </row>
    <row r="1018" spans="2:24" x14ac:dyDescent="0.35">
      <c r="B1018">
        <f t="shared" si="270"/>
        <v>1016</v>
      </c>
      <c r="C1018" t="s">
        <v>86</v>
      </c>
      <c r="D1018" t="s">
        <v>175</v>
      </c>
      <c r="E1018">
        <f>IF(WEEKNUM(Combined[[#This Row],[Date]], 1) = 53, 1, WEEKNUM(Combined[[#This Row],[Date]], 2))</f>
        <v>3</v>
      </c>
      <c r="F1018" t="str">
        <f t="shared" si="281"/>
        <v>Monday</v>
      </c>
      <c r="G1018" s="41">
        <v>45306</v>
      </c>
      <c r="H1018">
        <v>4</v>
      </c>
      <c r="I1018" s="1">
        <v>33.130000000000003</v>
      </c>
      <c r="J1018" s="2">
        <v>5.347222222222222E-2</v>
      </c>
      <c r="K1018" s="12">
        <f>Combined[[#This Row],[Time Spent]]*24</f>
        <v>1.2833333333333332</v>
      </c>
      <c r="L1018" s="12">
        <f>MROUND(Combined[[#This Row],[Time Spent 2]],0.25)</f>
        <v>1.25</v>
      </c>
      <c r="M1018" s="2" t="s">
        <v>91</v>
      </c>
      <c r="N1018" t="s">
        <v>80</v>
      </c>
      <c r="O1018">
        <f>MATCH(Combined[[#This Row],[Primary Area]],KPIs!$C$4:$C$7,0)</f>
        <v>2</v>
      </c>
      <c r="R1018" s="40"/>
      <c r="V1018" s="4"/>
      <c r="X1018"/>
    </row>
    <row r="1019" spans="2:24" x14ac:dyDescent="0.35">
      <c r="B1019">
        <f t="shared" si="270"/>
        <v>1017</v>
      </c>
      <c r="C1019" t="s">
        <v>86</v>
      </c>
      <c r="D1019" t="s">
        <v>175</v>
      </c>
      <c r="E1019">
        <f>IF(WEEKNUM(Combined[[#This Row],[Date]], 1) = 53, 1, WEEKNUM(Combined[[#This Row],[Date]], 2))</f>
        <v>3</v>
      </c>
      <c r="F1019" t="str">
        <f t="shared" si="281"/>
        <v>Monday</v>
      </c>
      <c r="G1019" s="41">
        <v>45306</v>
      </c>
      <c r="H1019">
        <v>1</v>
      </c>
      <c r="I1019" s="1">
        <v>8.9700000000000006</v>
      </c>
      <c r="J1019" s="2">
        <v>2.1527777777777781E-2</v>
      </c>
      <c r="K1019" s="12">
        <f>Combined[[#This Row],[Time Spent]]*24</f>
        <v>0.51666666666666672</v>
      </c>
      <c r="L1019" s="12">
        <f>MROUND(Combined[[#This Row],[Time Spent 2]],0.25)</f>
        <v>0.5</v>
      </c>
      <c r="M1019" s="2" t="s">
        <v>91</v>
      </c>
      <c r="N1019" t="s">
        <v>80</v>
      </c>
      <c r="O1019">
        <f>MATCH(Combined[[#This Row],[Primary Area]],KPIs!$C$4:$C$7,0)</f>
        <v>2</v>
      </c>
      <c r="R1019" s="40"/>
      <c r="V1019" s="4"/>
      <c r="X1019"/>
    </row>
    <row r="1020" spans="2:24" x14ac:dyDescent="0.35">
      <c r="B1020">
        <f t="shared" si="270"/>
        <v>1018</v>
      </c>
      <c r="C1020" t="s">
        <v>83</v>
      </c>
      <c r="D1020" t="s">
        <v>176</v>
      </c>
      <c r="E1020">
        <f>IF(WEEKNUM(Combined[[#This Row],[Date]], 1) = 53, 1, WEEKNUM(Combined[[#This Row],[Date]], 2))</f>
        <v>3</v>
      </c>
      <c r="F1020" t="str">
        <f t="shared" si="281"/>
        <v>Tuesday</v>
      </c>
      <c r="G1020" s="41">
        <v>45307</v>
      </c>
      <c r="H1020">
        <v>4</v>
      </c>
      <c r="I1020" s="1">
        <v>102.67</v>
      </c>
      <c r="J1020" s="2">
        <v>0.125</v>
      </c>
      <c r="K1020" s="12">
        <f>Combined[[#This Row],[Time Spent]]*24</f>
        <v>3</v>
      </c>
      <c r="L1020" s="12">
        <f>MROUND(Combined[[#This Row],[Time Spent 2]],0.25)</f>
        <v>3</v>
      </c>
      <c r="M1020" s="2" t="s">
        <v>91</v>
      </c>
      <c r="N1020" t="s">
        <v>80</v>
      </c>
      <c r="O1020">
        <f>MATCH(Combined[[#This Row],[Primary Area]],KPIs!$C$4:$C$7,0)</f>
        <v>2</v>
      </c>
      <c r="R1020" s="40"/>
      <c r="V1020" s="4"/>
      <c r="X1020"/>
    </row>
    <row r="1021" spans="2:24" x14ac:dyDescent="0.35">
      <c r="B1021">
        <f t="shared" si="270"/>
        <v>1019</v>
      </c>
      <c r="C1021" t="s">
        <v>86</v>
      </c>
      <c r="D1021" t="s">
        <v>175</v>
      </c>
      <c r="E1021">
        <f>IF(WEEKNUM(Combined[[#This Row],[Date]], 1) = 53, 1, WEEKNUM(Combined[[#This Row],[Date]], 2))</f>
        <v>3</v>
      </c>
      <c r="F1021" t="str">
        <f t="shared" si="281"/>
        <v>Tuesday</v>
      </c>
      <c r="G1021" s="41">
        <v>45307</v>
      </c>
      <c r="H1021">
        <v>3</v>
      </c>
      <c r="I1021" s="1">
        <v>52.57</v>
      </c>
      <c r="J1021" s="2">
        <v>9.5138888888888884E-2</v>
      </c>
      <c r="K1021" s="12">
        <f>Combined[[#This Row],[Time Spent]]*24</f>
        <v>2.2833333333333332</v>
      </c>
      <c r="L1021" s="12">
        <f>MROUND(Combined[[#This Row],[Time Spent 2]],0.25)</f>
        <v>2.25</v>
      </c>
      <c r="M1021" s="2" t="s">
        <v>91</v>
      </c>
      <c r="N1021" t="s">
        <v>80</v>
      </c>
      <c r="O1021">
        <f>MATCH(Combined[[#This Row],[Primary Area]],KPIs!$C$4:$C$7,0)</f>
        <v>2</v>
      </c>
      <c r="R1021" s="40"/>
      <c r="V1021" s="4"/>
      <c r="X1021"/>
    </row>
    <row r="1022" spans="2:24" x14ac:dyDescent="0.35">
      <c r="B1022">
        <f t="shared" si="270"/>
        <v>1020</v>
      </c>
      <c r="C1022" t="s">
        <v>86</v>
      </c>
      <c r="D1022" t="s">
        <v>175</v>
      </c>
      <c r="E1022">
        <f>IF(WEEKNUM(Combined[[#This Row],[Date]], 1) = 53, 1, WEEKNUM(Combined[[#This Row],[Date]], 2))</f>
        <v>3</v>
      </c>
      <c r="F1022" t="str">
        <f t="shared" si="281"/>
        <v>Tuesday</v>
      </c>
      <c r="G1022" s="41">
        <v>45307</v>
      </c>
      <c r="H1022">
        <v>2</v>
      </c>
      <c r="I1022" s="1">
        <v>22.25</v>
      </c>
      <c r="J1022" s="2">
        <v>3.2638888888888891E-2</v>
      </c>
      <c r="K1022" s="12">
        <f>Combined[[#This Row],[Time Spent]]*24</f>
        <v>0.78333333333333344</v>
      </c>
      <c r="L1022" s="12">
        <f>MROUND(Combined[[#This Row],[Time Spent 2]],0.25)</f>
        <v>0.75</v>
      </c>
      <c r="M1022" s="2" t="s">
        <v>92</v>
      </c>
      <c r="N1022" t="s">
        <v>80</v>
      </c>
      <c r="O1022">
        <f>MATCH(Combined[[#This Row],[Primary Area]],KPIs!$C$4:$C$7,0)</f>
        <v>2</v>
      </c>
      <c r="R1022" s="40"/>
      <c r="V1022" s="4"/>
      <c r="X1022"/>
    </row>
    <row r="1023" spans="2:24" x14ac:dyDescent="0.35">
      <c r="B1023">
        <f t="shared" si="270"/>
        <v>1021</v>
      </c>
      <c r="C1023" t="s">
        <v>83</v>
      </c>
      <c r="D1023" t="s">
        <v>176</v>
      </c>
      <c r="E1023">
        <f>IF(WEEKNUM(Combined[[#This Row],[Date]], 1) = 53, 1, WEEKNUM(Combined[[#This Row],[Date]], 2))</f>
        <v>3</v>
      </c>
      <c r="F1023" t="str">
        <f t="shared" si="281"/>
        <v>Saturday</v>
      </c>
      <c r="G1023" s="41">
        <v>45311</v>
      </c>
      <c r="H1023">
        <v>2</v>
      </c>
      <c r="I1023" s="1">
        <v>20.12</v>
      </c>
      <c r="J1023" s="2">
        <v>0.10069444444444443</v>
      </c>
      <c r="K1023" s="12">
        <f>Combined[[#This Row],[Time Spent]]*24</f>
        <v>2.4166666666666665</v>
      </c>
      <c r="L1023" s="12">
        <f>MROUND(Combined[[#This Row],[Time Spent 2]],0.25)</f>
        <v>2.5</v>
      </c>
      <c r="M1023" s="2" t="s">
        <v>91</v>
      </c>
      <c r="N1023" t="s">
        <v>80</v>
      </c>
      <c r="O1023">
        <f>MATCH(Combined[[#This Row],[Primary Area]],KPIs!$C$4:$C$7,0)</f>
        <v>2</v>
      </c>
      <c r="R1023" s="40"/>
      <c r="V1023" s="4"/>
      <c r="X1023"/>
    </row>
    <row r="1024" spans="2:24" x14ac:dyDescent="0.35">
      <c r="B1024">
        <f t="shared" si="270"/>
        <v>1022</v>
      </c>
      <c r="C1024" t="s">
        <v>86</v>
      </c>
      <c r="D1024" t="s">
        <v>175</v>
      </c>
      <c r="E1024">
        <f>IF(WEEKNUM(Combined[[#This Row],[Date]], 1) = 53, 1, WEEKNUM(Combined[[#This Row],[Date]], 2))</f>
        <v>3</v>
      </c>
      <c r="F1024" t="str">
        <f t="shared" ref="F1024:F1025" si="282">TEXT(WEEKDAY(G1024,1),"DDDD")</f>
        <v>Saturday</v>
      </c>
      <c r="G1024" s="41">
        <v>45311</v>
      </c>
      <c r="H1024">
        <v>6</v>
      </c>
      <c r="I1024" s="1">
        <v>43.79</v>
      </c>
      <c r="J1024" s="2">
        <v>0.12847222222222224</v>
      </c>
      <c r="K1024" s="12">
        <f>Combined[[#This Row],[Time Spent]]*24</f>
        <v>3.0833333333333339</v>
      </c>
      <c r="L1024" s="12">
        <f>MROUND(Combined[[#This Row],[Time Spent 2]],0.25)</f>
        <v>3</v>
      </c>
      <c r="M1024" s="2" t="s">
        <v>91</v>
      </c>
      <c r="N1024" t="s">
        <v>80</v>
      </c>
      <c r="O1024">
        <f>MATCH(Combined[[#This Row],[Primary Area]],KPIs!$C$4:$C$7,0)</f>
        <v>2</v>
      </c>
      <c r="R1024" s="40"/>
      <c r="V1024" s="4"/>
      <c r="X1024"/>
    </row>
    <row r="1025" spans="2:24" x14ac:dyDescent="0.35">
      <c r="B1025">
        <f t="shared" si="270"/>
        <v>1023</v>
      </c>
      <c r="C1025" t="s">
        <v>86</v>
      </c>
      <c r="D1025" t="s">
        <v>175</v>
      </c>
      <c r="E1025">
        <f>IF(WEEKNUM(Combined[[#This Row],[Date]], 1) = 53, 1, WEEKNUM(Combined[[#This Row],[Date]], 2))</f>
        <v>3</v>
      </c>
      <c r="F1025" t="str">
        <f t="shared" si="282"/>
        <v>Saturday</v>
      </c>
      <c r="G1025" s="41">
        <v>45311</v>
      </c>
      <c r="H1025">
        <v>4</v>
      </c>
      <c r="I1025" s="1">
        <v>33.49</v>
      </c>
      <c r="J1025" s="2">
        <v>7.7777777777777779E-2</v>
      </c>
      <c r="K1025" s="12">
        <f>Combined[[#This Row],[Time Spent]]*24</f>
        <v>1.8666666666666667</v>
      </c>
      <c r="L1025" s="12">
        <f>MROUND(Combined[[#This Row],[Time Spent 2]],0.25)</f>
        <v>1.75</v>
      </c>
      <c r="M1025" s="2" t="s">
        <v>92</v>
      </c>
      <c r="N1025" t="s">
        <v>80</v>
      </c>
      <c r="O1025">
        <f>MATCH(Combined[[#This Row],[Primary Area]],KPIs!$C$4:$C$7,0)</f>
        <v>2</v>
      </c>
      <c r="R1025" s="40"/>
      <c r="V1025" s="4"/>
      <c r="X1025"/>
    </row>
    <row r="1026" spans="2:24" x14ac:dyDescent="0.35">
      <c r="B1026">
        <f t="shared" si="270"/>
        <v>1024</v>
      </c>
      <c r="C1026" t="s">
        <v>83</v>
      </c>
      <c r="D1026" t="s">
        <v>176</v>
      </c>
      <c r="E1026">
        <f>IF(WEEKNUM(Combined[[#This Row],[Date]], 1) = 53, 1, WEEKNUM(Combined[[#This Row],[Date]], 2))</f>
        <v>4</v>
      </c>
      <c r="F1026" t="str">
        <f t="shared" ref="F1026:F1030" si="283">TEXT(WEEKDAY(G1026,1),"DDDD")</f>
        <v>Monday</v>
      </c>
      <c r="G1026" s="41">
        <v>45313</v>
      </c>
      <c r="H1026">
        <v>1</v>
      </c>
      <c r="I1026" s="1">
        <v>11.08</v>
      </c>
      <c r="J1026" s="2">
        <v>7.3611111111111113E-2</v>
      </c>
      <c r="K1026" s="12">
        <f>Combined[[#This Row],[Time Spent]]*24</f>
        <v>1.7666666666666666</v>
      </c>
      <c r="L1026" s="12">
        <f>MROUND(Combined[[#This Row],[Time Spent 2]],0.25)</f>
        <v>1.75</v>
      </c>
      <c r="M1026" s="2" t="s">
        <v>91</v>
      </c>
      <c r="N1026" t="s">
        <v>80</v>
      </c>
      <c r="O1026">
        <f>MATCH(Combined[[#This Row],[Primary Area]],KPIs!$C$4:$C$7,0)</f>
        <v>2</v>
      </c>
      <c r="R1026" s="40"/>
      <c r="V1026" s="4"/>
      <c r="X1026"/>
    </row>
    <row r="1027" spans="2:24" x14ac:dyDescent="0.35">
      <c r="B1027">
        <f t="shared" ref="B1027:B1090" si="284">ROW()-2</f>
        <v>1025</v>
      </c>
      <c r="C1027" t="s">
        <v>86</v>
      </c>
      <c r="D1027" t="s">
        <v>175</v>
      </c>
      <c r="E1027">
        <f>IF(WEEKNUM(Combined[[#This Row],[Date]], 1) = 53, 1, WEEKNUM(Combined[[#This Row],[Date]], 2))</f>
        <v>4</v>
      </c>
      <c r="F1027" t="str">
        <f t="shared" si="283"/>
        <v>Monday</v>
      </c>
      <c r="G1027" s="41">
        <v>45313</v>
      </c>
      <c r="H1027">
        <v>3</v>
      </c>
      <c r="I1027" s="1">
        <v>47.36</v>
      </c>
      <c r="J1027" s="2">
        <v>9.0277777777777776E-2</v>
      </c>
      <c r="K1027" s="12">
        <f>Combined[[#This Row],[Time Spent]]*24</f>
        <v>2.1666666666666665</v>
      </c>
      <c r="L1027" s="12">
        <f>MROUND(Combined[[#This Row],[Time Spent 2]],0.25)</f>
        <v>2.25</v>
      </c>
      <c r="M1027" s="2" t="s">
        <v>91</v>
      </c>
      <c r="N1027" t="s">
        <v>80</v>
      </c>
      <c r="O1027">
        <f>MATCH(Combined[[#This Row],[Primary Area]],KPIs!$C$4:$C$7,0)</f>
        <v>2</v>
      </c>
      <c r="R1027" s="40"/>
      <c r="V1027" s="4"/>
      <c r="X1027"/>
    </row>
    <row r="1028" spans="2:24" x14ac:dyDescent="0.35">
      <c r="B1028">
        <f t="shared" si="284"/>
        <v>1026</v>
      </c>
      <c r="C1028" t="s">
        <v>86</v>
      </c>
      <c r="D1028" t="s">
        <v>175</v>
      </c>
      <c r="E1028">
        <f>IF(WEEKNUM(Combined[[#This Row],[Date]], 1) = 53, 1, WEEKNUM(Combined[[#This Row],[Date]], 2))</f>
        <v>4</v>
      </c>
      <c r="F1028" t="str">
        <f t="shared" si="283"/>
        <v>Monday</v>
      </c>
      <c r="G1028" s="41">
        <v>45313</v>
      </c>
      <c r="H1028">
        <v>1</v>
      </c>
      <c r="I1028" s="1">
        <v>8.26</v>
      </c>
      <c r="J1028" s="2">
        <v>2.013888888888889E-2</v>
      </c>
      <c r="K1028" s="12">
        <f>Combined[[#This Row],[Time Spent]]*24</f>
        <v>0.48333333333333339</v>
      </c>
      <c r="L1028" s="12">
        <f>MROUND(Combined[[#This Row],[Time Spent 2]],0.25)</f>
        <v>0.5</v>
      </c>
      <c r="M1028" s="2" t="s">
        <v>91</v>
      </c>
      <c r="N1028" t="s">
        <v>80</v>
      </c>
      <c r="O1028">
        <f>MATCH(Combined[[#This Row],[Primary Area]],KPIs!$C$4:$C$7,0)</f>
        <v>2</v>
      </c>
      <c r="R1028" s="40"/>
      <c r="V1028" s="4"/>
      <c r="X1028"/>
    </row>
    <row r="1029" spans="2:24" x14ac:dyDescent="0.35">
      <c r="B1029">
        <f t="shared" si="284"/>
        <v>1027</v>
      </c>
      <c r="C1029" t="s">
        <v>86</v>
      </c>
      <c r="D1029" t="s">
        <v>176</v>
      </c>
      <c r="E1029">
        <f>IF(WEEKNUM(Combined[[#This Row],[Date]], 1) = 53, 1, WEEKNUM(Combined[[#This Row],[Date]], 2))</f>
        <v>4</v>
      </c>
      <c r="F1029" t="str">
        <f t="shared" si="283"/>
        <v>Monday</v>
      </c>
      <c r="G1029" s="41">
        <v>45313</v>
      </c>
      <c r="H1029">
        <v>2</v>
      </c>
      <c r="I1029" s="1">
        <v>15</v>
      </c>
      <c r="J1029" s="2">
        <v>2.4305555555555556E-2</v>
      </c>
      <c r="K1029" s="12">
        <f>Combined[[#This Row],[Time Spent]]*24</f>
        <v>0.58333333333333337</v>
      </c>
      <c r="L1029" s="12">
        <f>MROUND(Combined[[#This Row],[Time Spent 2]],0.25)</f>
        <v>0.5</v>
      </c>
      <c r="M1029" s="2" t="s">
        <v>91</v>
      </c>
      <c r="N1029" t="s">
        <v>80</v>
      </c>
      <c r="O1029">
        <f>MATCH(Combined[[#This Row],[Primary Area]],KPIs!$C$4:$C$7,0)</f>
        <v>2</v>
      </c>
      <c r="R1029" s="40"/>
      <c r="V1029" s="4"/>
      <c r="X1029"/>
    </row>
    <row r="1030" spans="2:24" x14ac:dyDescent="0.35">
      <c r="B1030">
        <f t="shared" si="284"/>
        <v>1028</v>
      </c>
      <c r="C1030" t="s">
        <v>86</v>
      </c>
      <c r="D1030" t="s">
        <v>175</v>
      </c>
      <c r="E1030">
        <f>IF(WEEKNUM(Combined[[#This Row],[Date]], 1) = 53, 1, WEEKNUM(Combined[[#This Row],[Date]], 2))</f>
        <v>4</v>
      </c>
      <c r="F1030" t="str">
        <f t="shared" si="283"/>
        <v>Monday</v>
      </c>
      <c r="G1030" s="41">
        <v>45313</v>
      </c>
      <c r="H1030">
        <v>2</v>
      </c>
      <c r="I1030" s="1">
        <v>16.62</v>
      </c>
      <c r="J1030" s="2">
        <v>3.2638888888888891E-2</v>
      </c>
      <c r="K1030" s="12">
        <f>Combined[[#This Row],[Time Spent]]*24</f>
        <v>0.78333333333333344</v>
      </c>
      <c r="L1030" s="12">
        <f>MROUND(Combined[[#This Row],[Time Spent 2]],0.25)</f>
        <v>0.75</v>
      </c>
      <c r="M1030" s="2" t="s">
        <v>92</v>
      </c>
      <c r="N1030" t="s">
        <v>80</v>
      </c>
      <c r="O1030">
        <f>MATCH(Combined[[#This Row],[Primary Area]],KPIs!$C$4:$C$7,0)</f>
        <v>2</v>
      </c>
      <c r="R1030" s="40"/>
      <c r="V1030" s="4"/>
      <c r="X1030"/>
    </row>
    <row r="1031" spans="2:24" x14ac:dyDescent="0.35">
      <c r="B1031">
        <f t="shared" si="284"/>
        <v>1029</v>
      </c>
      <c r="C1031" t="s">
        <v>83</v>
      </c>
      <c r="D1031" t="s">
        <v>176</v>
      </c>
      <c r="E1031">
        <f>IF(WEEKNUM(Combined[[#This Row],[Date]], 1) = 53, 1, WEEKNUM(Combined[[#This Row],[Date]], 2))</f>
        <v>4</v>
      </c>
      <c r="F1031" t="str">
        <f t="shared" ref="F1031:F1032" si="285">TEXT(WEEKDAY(G1031,1),"DDDD")</f>
        <v>Tuesday</v>
      </c>
      <c r="G1031" s="41">
        <v>45314</v>
      </c>
      <c r="H1031">
        <v>2</v>
      </c>
      <c r="I1031" s="1">
        <v>16.97</v>
      </c>
      <c r="J1031" s="2">
        <v>6.3194444444444442E-2</v>
      </c>
      <c r="K1031" s="12">
        <f>Combined[[#This Row],[Time Spent]]*24</f>
        <v>1.5166666666666666</v>
      </c>
      <c r="L1031" s="12">
        <f>MROUND(Combined[[#This Row],[Time Spent 2]],0.25)</f>
        <v>1.5</v>
      </c>
      <c r="M1031" s="2" t="s">
        <v>91</v>
      </c>
      <c r="N1031" t="s">
        <v>80</v>
      </c>
      <c r="O1031">
        <f>MATCH(Combined[[#This Row],[Primary Area]],KPIs!$C$4:$C$7,0)</f>
        <v>2</v>
      </c>
      <c r="R1031" s="40"/>
      <c r="V1031" s="4"/>
      <c r="X1031"/>
    </row>
    <row r="1032" spans="2:24" x14ac:dyDescent="0.35">
      <c r="B1032">
        <f t="shared" si="284"/>
        <v>1030</v>
      </c>
      <c r="C1032" t="s">
        <v>86</v>
      </c>
      <c r="D1032" t="s">
        <v>175</v>
      </c>
      <c r="E1032">
        <f>IF(WEEKNUM(Combined[[#This Row],[Date]], 1) = 53, 1, WEEKNUM(Combined[[#This Row],[Date]], 2))</f>
        <v>4</v>
      </c>
      <c r="F1032" t="str">
        <f t="shared" si="285"/>
        <v>Tuesday</v>
      </c>
      <c r="G1032" s="41">
        <v>45314</v>
      </c>
      <c r="H1032">
        <v>3</v>
      </c>
      <c r="I1032" s="1">
        <v>25.37</v>
      </c>
      <c r="J1032" s="2">
        <v>4.3750000000000004E-2</v>
      </c>
      <c r="K1032" s="12">
        <f>Combined[[#This Row],[Time Spent]]*24</f>
        <v>1.05</v>
      </c>
      <c r="L1032" s="12">
        <f>MROUND(Combined[[#This Row],[Time Spent 2]],0.25)</f>
        <v>1</v>
      </c>
      <c r="M1032" s="2" t="s">
        <v>91</v>
      </c>
      <c r="N1032" t="s">
        <v>80</v>
      </c>
      <c r="O1032">
        <f>MATCH(Combined[[#This Row],[Primary Area]],KPIs!$C$4:$C$7,0)</f>
        <v>2</v>
      </c>
      <c r="R1032" s="40"/>
      <c r="V1032" s="4"/>
      <c r="X1032"/>
    </row>
    <row r="1033" spans="2:24" x14ac:dyDescent="0.35">
      <c r="B1033">
        <f t="shared" si="284"/>
        <v>1031</v>
      </c>
      <c r="C1033" t="s">
        <v>83</v>
      </c>
      <c r="D1033" t="s">
        <v>176</v>
      </c>
      <c r="E1033">
        <f>IF(WEEKNUM(Combined[[#This Row],[Date]], 1) = 53, 1, WEEKNUM(Combined[[#This Row],[Date]], 2))</f>
        <v>4</v>
      </c>
      <c r="F1033" t="str">
        <f t="shared" ref="F1033:F1035" si="286">TEXT(WEEKDAY(G1033,1),"DDDD")</f>
        <v>Thursday</v>
      </c>
      <c r="G1033" s="41">
        <v>45316</v>
      </c>
      <c r="H1033">
        <v>3</v>
      </c>
      <c r="I1033" s="1">
        <v>51.5</v>
      </c>
      <c r="J1033" s="2">
        <v>0.1111111111111111</v>
      </c>
      <c r="K1033" s="12">
        <f>Combined[[#This Row],[Time Spent]]*24</f>
        <v>2.6666666666666665</v>
      </c>
      <c r="L1033" s="12">
        <f>MROUND(Combined[[#This Row],[Time Spent 2]],0.25)</f>
        <v>2.75</v>
      </c>
      <c r="M1033" s="2" t="s">
        <v>91</v>
      </c>
      <c r="N1033" t="s">
        <v>80</v>
      </c>
      <c r="O1033">
        <f>MATCH(Combined[[#This Row],[Primary Area]],KPIs!$C$4:$C$7,0)</f>
        <v>2</v>
      </c>
      <c r="R1033" s="40"/>
      <c r="V1033" s="4"/>
      <c r="X1033"/>
    </row>
    <row r="1034" spans="2:24" x14ac:dyDescent="0.35">
      <c r="B1034">
        <f t="shared" si="284"/>
        <v>1032</v>
      </c>
      <c r="C1034" t="s">
        <v>86</v>
      </c>
      <c r="D1034" t="s">
        <v>175</v>
      </c>
      <c r="E1034">
        <f>IF(WEEKNUM(Combined[[#This Row],[Date]], 1) = 53, 1, WEEKNUM(Combined[[#This Row],[Date]], 2))</f>
        <v>4</v>
      </c>
      <c r="F1034" t="str">
        <f t="shared" si="286"/>
        <v>Thursday</v>
      </c>
      <c r="G1034" s="41">
        <v>45316</v>
      </c>
      <c r="H1034">
        <v>1</v>
      </c>
      <c r="I1034" s="1">
        <v>20.41</v>
      </c>
      <c r="J1034" s="2">
        <v>3.1944444444444449E-2</v>
      </c>
      <c r="K1034" s="12">
        <f>Combined[[#This Row],[Time Spent]]*24</f>
        <v>0.76666666666666683</v>
      </c>
      <c r="L1034" s="12">
        <f>MROUND(Combined[[#This Row],[Time Spent 2]],0.25)</f>
        <v>0.75</v>
      </c>
      <c r="M1034" s="2" t="s">
        <v>91</v>
      </c>
      <c r="N1034" t="s">
        <v>80</v>
      </c>
      <c r="O1034">
        <f>MATCH(Combined[[#This Row],[Primary Area]],KPIs!$C$4:$C$7,0)</f>
        <v>2</v>
      </c>
      <c r="R1034" s="40"/>
      <c r="V1034" s="4"/>
      <c r="X1034"/>
    </row>
    <row r="1035" spans="2:24" x14ac:dyDescent="0.35">
      <c r="B1035">
        <f t="shared" si="284"/>
        <v>1033</v>
      </c>
      <c r="C1035" t="s">
        <v>86</v>
      </c>
      <c r="D1035" t="s">
        <v>175</v>
      </c>
      <c r="E1035">
        <f>IF(WEEKNUM(Combined[[#This Row],[Date]], 1) = 53, 1, WEEKNUM(Combined[[#This Row],[Date]], 2))</f>
        <v>4</v>
      </c>
      <c r="F1035" t="str">
        <f t="shared" si="286"/>
        <v>Thursday</v>
      </c>
      <c r="G1035" s="41">
        <v>45316</v>
      </c>
      <c r="H1035">
        <v>2</v>
      </c>
      <c r="I1035" s="1">
        <v>21.31</v>
      </c>
      <c r="J1035" s="2">
        <v>4.3750000000000004E-2</v>
      </c>
      <c r="K1035" s="12">
        <f>Combined[[#This Row],[Time Spent]]*24</f>
        <v>1.05</v>
      </c>
      <c r="L1035" s="12">
        <f>MROUND(Combined[[#This Row],[Time Spent 2]],0.25)</f>
        <v>1</v>
      </c>
      <c r="M1035" s="2" t="s">
        <v>91</v>
      </c>
      <c r="N1035" t="s">
        <v>80</v>
      </c>
      <c r="O1035">
        <f>MATCH(Combined[[#This Row],[Primary Area]],KPIs!$C$4:$C$7,0)</f>
        <v>2</v>
      </c>
      <c r="R1035" s="40"/>
      <c r="V1035" s="4"/>
      <c r="X1035"/>
    </row>
    <row r="1036" spans="2:24" x14ac:dyDescent="0.35">
      <c r="B1036">
        <f t="shared" si="284"/>
        <v>1034</v>
      </c>
      <c r="C1036" t="s">
        <v>83</v>
      </c>
      <c r="D1036" t="s">
        <v>176</v>
      </c>
      <c r="E1036">
        <f>IF(WEEKNUM(Combined[[#This Row],[Date]], 1) = 53, 1, WEEKNUM(Combined[[#This Row],[Date]], 2))</f>
        <v>4</v>
      </c>
      <c r="F1036" t="str">
        <f t="shared" ref="F1036:F1041" si="287">TEXT(WEEKDAY(G1036,1),"DDDD")</f>
        <v>Friday</v>
      </c>
      <c r="G1036" s="41">
        <v>45317</v>
      </c>
      <c r="H1036">
        <v>2</v>
      </c>
      <c r="I1036" s="1">
        <v>7.74</v>
      </c>
      <c r="J1036" s="2">
        <v>7.013888888888889E-2</v>
      </c>
      <c r="K1036" s="12">
        <f>Combined[[#This Row],[Time Spent]]*24</f>
        <v>1.6833333333333333</v>
      </c>
      <c r="L1036" s="12">
        <f>MROUND(Combined[[#This Row],[Time Spent 2]],0.25)</f>
        <v>1.75</v>
      </c>
      <c r="M1036" s="2" t="s">
        <v>91</v>
      </c>
      <c r="N1036" t="s">
        <v>82</v>
      </c>
      <c r="O1036">
        <f>MATCH(Combined[[#This Row],[Primary Area]],KPIs!$C$4:$C$7,0)</f>
        <v>3</v>
      </c>
      <c r="R1036" s="40"/>
      <c r="V1036" s="4"/>
      <c r="X1036"/>
    </row>
    <row r="1037" spans="2:24" x14ac:dyDescent="0.35">
      <c r="B1037">
        <f t="shared" si="284"/>
        <v>1035</v>
      </c>
      <c r="C1037" t="s">
        <v>86</v>
      </c>
      <c r="D1037" t="s">
        <v>175</v>
      </c>
      <c r="E1037">
        <f>IF(WEEKNUM(Combined[[#This Row],[Date]], 1) = 53, 1, WEEKNUM(Combined[[#This Row],[Date]], 2))</f>
        <v>4</v>
      </c>
      <c r="F1037" t="str">
        <f t="shared" si="287"/>
        <v>Friday</v>
      </c>
      <c r="G1037" s="41">
        <v>45317</v>
      </c>
      <c r="H1037">
        <v>2</v>
      </c>
      <c r="I1037" s="1">
        <v>21.32</v>
      </c>
      <c r="J1037" s="2">
        <v>4.2361111111111106E-2</v>
      </c>
      <c r="K1037" s="12">
        <f>Combined[[#This Row],[Time Spent]]*24</f>
        <v>1.0166666666666666</v>
      </c>
      <c r="L1037" s="12">
        <f>MROUND(Combined[[#This Row],[Time Spent 2]],0.25)</f>
        <v>1</v>
      </c>
      <c r="M1037" s="2" t="s">
        <v>91</v>
      </c>
      <c r="N1037" t="s">
        <v>82</v>
      </c>
      <c r="O1037">
        <f>MATCH(Combined[[#This Row],[Primary Area]],KPIs!$C$4:$C$7,0)</f>
        <v>3</v>
      </c>
      <c r="R1037" s="40"/>
      <c r="V1037" s="4"/>
      <c r="X1037"/>
    </row>
    <row r="1038" spans="2:24" x14ac:dyDescent="0.35">
      <c r="B1038">
        <f t="shared" si="284"/>
        <v>1036</v>
      </c>
      <c r="C1038" t="s">
        <v>86</v>
      </c>
      <c r="D1038" t="s">
        <v>175</v>
      </c>
      <c r="E1038">
        <f>IF(WEEKNUM(Combined[[#This Row],[Date]], 1) = 53, 1, WEEKNUM(Combined[[#This Row],[Date]], 2))</f>
        <v>4</v>
      </c>
      <c r="F1038" t="str">
        <f t="shared" si="287"/>
        <v>Friday</v>
      </c>
      <c r="G1038" s="41">
        <v>45317</v>
      </c>
      <c r="H1038">
        <v>4</v>
      </c>
      <c r="I1038" s="1">
        <v>34</v>
      </c>
      <c r="J1038" s="2">
        <v>8.3333333333333329E-2</v>
      </c>
      <c r="K1038" s="12">
        <f>Combined[[#This Row],[Time Spent]]*24</f>
        <v>2</v>
      </c>
      <c r="L1038" s="12">
        <f>MROUND(Combined[[#This Row],[Time Spent 2]],0.25)</f>
        <v>2</v>
      </c>
      <c r="M1038" s="2" t="s">
        <v>91</v>
      </c>
      <c r="N1038" t="s">
        <v>82</v>
      </c>
      <c r="O1038">
        <f>MATCH(Combined[[#This Row],[Primary Area]],KPIs!$C$4:$C$7,0)</f>
        <v>3</v>
      </c>
      <c r="R1038" s="40"/>
      <c r="V1038" s="4"/>
      <c r="X1038"/>
    </row>
    <row r="1039" spans="2:24" x14ac:dyDescent="0.35">
      <c r="B1039">
        <f t="shared" si="284"/>
        <v>1037</v>
      </c>
      <c r="C1039" t="s">
        <v>86</v>
      </c>
      <c r="D1039" t="s">
        <v>175</v>
      </c>
      <c r="E1039">
        <f>IF(WEEKNUM(Combined[[#This Row],[Date]], 1) = 53, 1, WEEKNUM(Combined[[#This Row],[Date]], 2))</f>
        <v>4</v>
      </c>
      <c r="F1039" t="str">
        <f t="shared" si="287"/>
        <v>Friday</v>
      </c>
      <c r="G1039" s="41">
        <v>45317</v>
      </c>
      <c r="H1039">
        <v>4</v>
      </c>
      <c r="I1039" s="1">
        <v>33.75</v>
      </c>
      <c r="J1039" s="2">
        <v>7.7777777777777779E-2</v>
      </c>
      <c r="K1039" s="12">
        <f>Combined[[#This Row],[Time Spent]]*24</f>
        <v>1.8666666666666667</v>
      </c>
      <c r="L1039" s="12">
        <f>MROUND(Combined[[#This Row],[Time Spent 2]],0.25)</f>
        <v>1.75</v>
      </c>
      <c r="M1039" s="2" t="s">
        <v>92</v>
      </c>
      <c r="N1039" t="s">
        <v>82</v>
      </c>
      <c r="O1039">
        <f>MATCH(Combined[[#This Row],[Primary Area]],KPIs!$C$4:$C$7,0)</f>
        <v>3</v>
      </c>
      <c r="R1039" s="40"/>
      <c r="V1039" s="4"/>
      <c r="X1039"/>
    </row>
    <row r="1040" spans="2:24" x14ac:dyDescent="0.35">
      <c r="B1040">
        <f t="shared" si="284"/>
        <v>1038</v>
      </c>
      <c r="C1040" t="s">
        <v>83</v>
      </c>
      <c r="D1040" t="s">
        <v>176</v>
      </c>
      <c r="E1040">
        <f>IF(WEEKNUM(Combined[[#This Row],[Date]], 1) = 53, 1, WEEKNUM(Combined[[#This Row],[Date]], 2))</f>
        <v>4</v>
      </c>
      <c r="F1040" t="str">
        <f t="shared" si="287"/>
        <v>Saturday</v>
      </c>
      <c r="G1040" s="41">
        <v>45318</v>
      </c>
      <c r="H1040">
        <v>7</v>
      </c>
      <c r="I1040" s="1">
        <v>99.47</v>
      </c>
      <c r="J1040" s="2">
        <v>0.17291666666666669</v>
      </c>
      <c r="K1040" s="12">
        <f>Combined[[#This Row],[Time Spent]]*24</f>
        <v>4.1500000000000004</v>
      </c>
      <c r="L1040" s="12">
        <f>MROUND(Combined[[#This Row],[Time Spent 2]],0.25)</f>
        <v>4.25</v>
      </c>
      <c r="M1040" s="2" t="s">
        <v>91</v>
      </c>
      <c r="N1040" t="s">
        <v>80</v>
      </c>
      <c r="O1040">
        <f>MATCH(Combined[[#This Row],[Primary Area]],KPIs!$C$4:$C$7,0)</f>
        <v>2</v>
      </c>
      <c r="R1040" s="40"/>
      <c r="V1040" s="4"/>
      <c r="X1040"/>
    </row>
    <row r="1041" spans="2:24" x14ac:dyDescent="0.35">
      <c r="B1041">
        <f t="shared" si="284"/>
        <v>1039</v>
      </c>
      <c r="C1041" t="s">
        <v>86</v>
      </c>
      <c r="D1041" t="s">
        <v>175</v>
      </c>
      <c r="E1041">
        <f>IF(WEEKNUM(Combined[[#This Row],[Date]], 1) = 53, 1, WEEKNUM(Combined[[#This Row],[Date]], 2))</f>
        <v>4</v>
      </c>
      <c r="F1041" t="str">
        <f t="shared" si="287"/>
        <v>Saturday</v>
      </c>
      <c r="G1041" s="41">
        <v>45318</v>
      </c>
      <c r="H1041">
        <v>1</v>
      </c>
      <c r="I1041" s="1">
        <v>11.25</v>
      </c>
      <c r="J1041" s="2">
        <v>3.1944444444444449E-2</v>
      </c>
      <c r="K1041" s="12">
        <f>Combined[[#This Row],[Time Spent]]*24</f>
        <v>0.76666666666666683</v>
      </c>
      <c r="L1041" s="12">
        <f>MROUND(Combined[[#This Row],[Time Spent 2]],0.25)</f>
        <v>0.75</v>
      </c>
      <c r="M1041" s="2" t="s">
        <v>91</v>
      </c>
      <c r="N1041" t="s">
        <v>80</v>
      </c>
      <c r="O1041">
        <f>MATCH(Combined[[#This Row],[Primary Area]],KPIs!$C$4:$C$7,0)</f>
        <v>2</v>
      </c>
      <c r="R1041" s="40"/>
      <c r="V1041" s="4"/>
      <c r="X1041"/>
    </row>
    <row r="1042" spans="2:24" x14ac:dyDescent="0.35">
      <c r="B1042">
        <f t="shared" si="284"/>
        <v>1040</v>
      </c>
      <c r="C1042" t="s">
        <v>83</v>
      </c>
      <c r="D1042" t="s">
        <v>176</v>
      </c>
      <c r="E1042">
        <f>IF(WEEKNUM(Combined[[#This Row],[Date]], 1) = 53, 1, WEEKNUM(Combined[[#This Row],[Date]], 2))</f>
        <v>5</v>
      </c>
      <c r="F1042" t="str">
        <f t="shared" ref="F1042:F1049" si="288">TEXT(WEEKDAY(G1042,1),"DDDD")</f>
        <v>Tuesday</v>
      </c>
      <c r="G1042" s="41">
        <v>45321</v>
      </c>
      <c r="H1042">
        <v>5</v>
      </c>
      <c r="I1042" s="1">
        <v>108.86</v>
      </c>
      <c r="J1042" s="2">
        <v>0.11944444444444445</v>
      </c>
      <c r="K1042" s="12">
        <f>Combined[[#This Row],[Time Spent]]*24</f>
        <v>2.8666666666666667</v>
      </c>
      <c r="L1042" s="12">
        <f>MROUND(Combined[[#This Row],[Time Spent 2]],0.25)</f>
        <v>2.75</v>
      </c>
      <c r="M1042" s="2" t="s">
        <v>91</v>
      </c>
      <c r="N1042" t="s">
        <v>80</v>
      </c>
      <c r="O1042">
        <f>MATCH(Combined[[#This Row],[Primary Area]],KPIs!$C$4:$C$7,0)</f>
        <v>2</v>
      </c>
      <c r="R1042" s="40"/>
      <c r="V1042" s="4"/>
      <c r="X1042"/>
    </row>
    <row r="1043" spans="2:24" x14ac:dyDescent="0.35">
      <c r="B1043">
        <f t="shared" si="284"/>
        <v>1041</v>
      </c>
      <c r="C1043" t="s">
        <v>86</v>
      </c>
      <c r="D1043" t="s">
        <v>175</v>
      </c>
      <c r="E1043">
        <f>IF(WEEKNUM(Combined[[#This Row],[Date]], 1) = 53, 1, WEEKNUM(Combined[[#This Row],[Date]], 2))</f>
        <v>5</v>
      </c>
      <c r="F1043" t="str">
        <f t="shared" si="288"/>
        <v>Tuesday</v>
      </c>
      <c r="G1043" s="41">
        <v>45321</v>
      </c>
      <c r="H1043">
        <v>1</v>
      </c>
      <c r="I1043" s="1">
        <v>13</v>
      </c>
      <c r="J1043" s="2">
        <v>3.3333333333333333E-2</v>
      </c>
      <c r="K1043" s="12">
        <f>Combined[[#This Row],[Time Spent]]*24</f>
        <v>0.8</v>
      </c>
      <c r="L1043" s="12">
        <f>MROUND(Combined[[#This Row],[Time Spent 2]],0.25)</f>
        <v>0.75</v>
      </c>
      <c r="M1043" s="2" t="s">
        <v>91</v>
      </c>
      <c r="N1043" t="s">
        <v>80</v>
      </c>
      <c r="O1043">
        <f>MATCH(Combined[[#This Row],[Primary Area]],KPIs!$C$4:$C$7,0)</f>
        <v>2</v>
      </c>
      <c r="R1043" s="40"/>
      <c r="V1043" s="4"/>
      <c r="X1043"/>
    </row>
    <row r="1044" spans="2:24" x14ac:dyDescent="0.35">
      <c r="B1044">
        <f t="shared" si="284"/>
        <v>1042</v>
      </c>
      <c r="C1044" t="s">
        <v>86</v>
      </c>
      <c r="D1044" t="s">
        <v>175</v>
      </c>
      <c r="E1044">
        <f>IF(WEEKNUM(Combined[[#This Row],[Date]], 1) = 53, 1, WEEKNUM(Combined[[#This Row],[Date]], 2))</f>
        <v>5</v>
      </c>
      <c r="F1044" t="str">
        <f t="shared" si="288"/>
        <v>Tuesday</v>
      </c>
      <c r="G1044" s="41">
        <v>45321</v>
      </c>
      <c r="H1044">
        <v>4</v>
      </c>
      <c r="I1044" s="1">
        <v>49.41</v>
      </c>
      <c r="J1044" s="2">
        <v>8.9583333333333334E-2</v>
      </c>
      <c r="K1044" s="12">
        <f>Combined[[#This Row],[Time Spent]]*24</f>
        <v>2.15</v>
      </c>
      <c r="L1044" s="12">
        <f>MROUND(Combined[[#This Row],[Time Spent 2]],0.25)</f>
        <v>2.25</v>
      </c>
      <c r="M1044" s="2" t="s">
        <v>92</v>
      </c>
      <c r="N1044" t="s">
        <v>80</v>
      </c>
      <c r="O1044">
        <f>MATCH(Combined[[#This Row],[Primary Area]],KPIs!$C$4:$C$7,0)</f>
        <v>2</v>
      </c>
      <c r="R1044" s="40"/>
      <c r="V1044" s="4"/>
      <c r="X1044"/>
    </row>
    <row r="1045" spans="2:24" x14ac:dyDescent="0.35">
      <c r="B1045">
        <f t="shared" si="284"/>
        <v>1043</v>
      </c>
      <c r="C1045" t="s">
        <v>86</v>
      </c>
      <c r="D1045" t="s">
        <v>175</v>
      </c>
      <c r="E1045">
        <f>IF(WEEKNUM(Combined[[#This Row],[Date]], 1) = 53, 1, WEEKNUM(Combined[[#This Row],[Date]], 2))</f>
        <v>5</v>
      </c>
      <c r="F1045" t="str">
        <f t="shared" si="288"/>
        <v>Wednesday</v>
      </c>
      <c r="G1045" s="41">
        <v>45322</v>
      </c>
      <c r="H1045">
        <v>3</v>
      </c>
      <c r="I1045" s="1">
        <v>28.75</v>
      </c>
      <c r="J1045" s="2">
        <v>8.4722222222222213E-2</v>
      </c>
      <c r="K1045" s="12">
        <f>Combined[[#This Row],[Time Spent]]*24</f>
        <v>2.0333333333333332</v>
      </c>
      <c r="L1045" s="12">
        <f>MROUND(Combined[[#This Row],[Time Spent 2]],0.25)</f>
        <v>2</v>
      </c>
      <c r="M1045" s="2" t="s">
        <v>91</v>
      </c>
      <c r="N1045" t="s">
        <v>174</v>
      </c>
      <c r="O1045">
        <f>MATCH(Combined[[#This Row],[Primary Area]],KPIs!$C$4:$C$7,0)</f>
        <v>1</v>
      </c>
      <c r="R1045" s="40"/>
      <c r="V1045" s="4"/>
      <c r="X1045"/>
    </row>
    <row r="1046" spans="2:24" x14ac:dyDescent="0.35">
      <c r="B1046">
        <f t="shared" si="284"/>
        <v>1044</v>
      </c>
      <c r="C1046" t="s">
        <v>86</v>
      </c>
      <c r="D1046" t="s">
        <v>176</v>
      </c>
      <c r="E1046">
        <f>IF(WEEKNUM(Combined[[#This Row],[Date]], 1) = 53, 1, WEEKNUM(Combined[[#This Row],[Date]], 2))</f>
        <v>5</v>
      </c>
      <c r="F1046" t="str">
        <f t="shared" si="288"/>
        <v>Wednesday</v>
      </c>
      <c r="G1046" s="41">
        <v>45322</v>
      </c>
      <c r="H1046">
        <v>2</v>
      </c>
      <c r="I1046" s="1">
        <v>12</v>
      </c>
      <c r="J1046" s="2">
        <v>3.6111111111111115E-2</v>
      </c>
      <c r="K1046" s="12">
        <f>Combined[[#This Row],[Time Spent]]*24</f>
        <v>0.8666666666666667</v>
      </c>
      <c r="L1046" s="12">
        <f>MROUND(Combined[[#This Row],[Time Spent 2]],0.25)</f>
        <v>0.75</v>
      </c>
      <c r="M1046" s="2" t="s">
        <v>91</v>
      </c>
      <c r="N1046" t="s">
        <v>174</v>
      </c>
      <c r="O1046">
        <f>MATCH(Combined[[#This Row],[Primary Area]],KPIs!$C$4:$C$7,0)</f>
        <v>1</v>
      </c>
      <c r="R1046" s="40"/>
      <c r="V1046" s="4"/>
      <c r="X1046"/>
    </row>
    <row r="1047" spans="2:24" x14ac:dyDescent="0.35">
      <c r="B1047">
        <f t="shared" si="284"/>
        <v>1045</v>
      </c>
      <c r="C1047" t="s">
        <v>86</v>
      </c>
      <c r="D1047" t="s">
        <v>175</v>
      </c>
      <c r="E1047">
        <f>IF(WEEKNUM(Combined[[#This Row],[Date]], 1) = 53, 1, WEEKNUM(Combined[[#This Row],[Date]], 2))</f>
        <v>5</v>
      </c>
      <c r="F1047" t="str">
        <f t="shared" si="288"/>
        <v>Wednesday</v>
      </c>
      <c r="G1047" s="41">
        <v>45322</v>
      </c>
      <c r="H1047">
        <v>1</v>
      </c>
      <c r="I1047" s="1">
        <v>9.6</v>
      </c>
      <c r="J1047" s="2">
        <v>1.4583333333333332E-2</v>
      </c>
      <c r="K1047" s="12">
        <f>Combined[[#This Row],[Time Spent]]*24</f>
        <v>0.35</v>
      </c>
      <c r="L1047" s="12">
        <f>MROUND(Combined[[#This Row],[Time Spent 2]],0.25)</f>
        <v>0.25</v>
      </c>
      <c r="M1047" s="2" t="s">
        <v>91</v>
      </c>
      <c r="N1047" t="s">
        <v>174</v>
      </c>
      <c r="O1047">
        <f>MATCH(Combined[[#This Row],[Primary Area]],KPIs!$C$4:$C$7,0)</f>
        <v>1</v>
      </c>
      <c r="R1047" s="40"/>
      <c r="V1047" s="4"/>
      <c r="X1047"/>
    </row>
    <row r="1048" spans="2:24" x14ac:dyDescent="0.35">
      <c r="B1048">
        <f t="shared" si="284"/>
        <v>1046</v>
      </c>
      <c r="C1048" t="s">
        <v>83</v>
      </c>
      <c r="D1048" t="s">
        <v>176</v>
      </c>
      <c r="E1048">
        <f>IF(WEEKNUM(Combined[[#This Row],[Date]], 1) = 53, 1, WEEKNUM(Combined[[#This Row],[Date]], 2))</f>
        <v>5</v>
      </c>
      <c r="F1048" t="str">
        <f t="shared" si="288"/>
        <v>Thursday</v>
      </c>
      <c r="G1048" s="41">
        <v>45323</v>
      </c>
      <c r="H1048">
        <v>2</v>
      </c>
      <c r="I1048" s="1">
        <v>19.850000000000001</v>
      </c>
      <c r="J1048" s="2">
        <v>4.5833333333333337E-2</v>
      </c>
      <c r="K1048" s="12">
        <f>Combined[[#This Row],[Time Spent]]*24</f>
        <v>1.1000000000000001</v>
      </c>
      <c r="L1048" s="12">
        <f>MROUND(Combined[[#This Row],[Time Spent 2]],0.25)</f>
        <v>1</v>
      </c>
      <c r="M1048" s="2" t="s">
        <v>91</v>
      </c>
      <c r="N1048" t="s">
        <v>82</v>
      </c>
      <c r="O1048">
        <f>MATCH(Combined[[#This Row],[Primary Area]],KPIs!$C$4:$C$7,0)</f>
        <v>3</v>
      </c>
      <c r="R1048" s="40"/>
      <c r="V1048" s="4"/>
      <c r="X1048"/>
    </row>
    <row r="1049" spans="2:24" x14ac:dyDescent="0.35">
      <c r="B1049">
        <f t="shared" si="284"/>
        <v>1047</v>
      </c>
      <c r="C1049" t="s">
        <v>86</v>
      </c>
      <c r="D1049" t="s">
        <v>175</v>
      </c>
      <c r="E1049">
        <f>IF(WEEKNUM(Combined[[#This Row],[Date]], 1) = 53, 1, WEEKNUM(Combined[[#This Row],[Date]], 2))</f>
        <v>5</v>
      </c>
      <c r="F1049" t="str">
        <f t="shared" si="288"/>
        <v>Thursday</v>
      </c>
      <c r="G1049" s="41">
        <v>45323</v>
      </c>
      <c r="H1049">
        <v>7</v>
      </c>
      <c r="I1049" s="1">
        <v>38.979999999999997</v>
      </c>
      <c r="J1049" s="2">
        <v>0.1361111111111111</v>
      </c>
      <c r="K1049" s="12">
        <f>Combined[[#This Row],[Time Spent]]*24</f>
        <v>3.2666666666666666</v>
      </c>
      <c r="L1049" s="12">
        <f>MROUND(Combined[[#This Row],[Time Spent 2]],0.25)</f>
        <v>3.25</v>
      </c>
      <c r="M1049" s="2" t="s">
        <v>91</v>
      </c>
      <c r="N1049" t="s">
        <v>82</v>
      </c>
      <c r="O1049">
        <f>MATCH(Combined[[#This Row],[Primary Area]],KPIs!$C$4:$C$7,0)</f>
        <v>3</v>
      </c>
      <c r="R1049" s="40"/>
      <c r="V1049" s="4"/>
      <c r="X1049"/>
    </row>
    <row r="1050" spans="2:24" x14ac:dyDescent="0.35">
      <c r="B1050">
        <f t="shared" si="284"/>
        <v>1048</v>
      </c>
      <c r="C1050" t="s">
        <v>83</v>
      </c>
      <c r="D1050" t="s">
        <v>176</v>
      </c>
      <c r="E1050">
        <f>IF(WEEKNUM(Combined[[#This Row],[Date]], 1) = 53, 1, WEEKNUM(Combined[[#This Row],[Date]], 2))</f>
        <v>5</v>
      </c>
      <c r="F1050" t="str">
        <f t="shared" ref="F1050:F1063" si="289">TEXT(WEEKDAY(G1050,1),"DDDD")</f>
        <v>Friday</v>
      </c>
      <c r="G1050" s="41">
        <v>45324</v>
      </c>
      <c r="H1050">
        <v>4</v>
      </c>
      <c r="I1050" s="1">
        <v>23.07</v>
      </c>
      <c r="J1050" s="2">
        <v>8.819444444444445E-2</v>
      </c>
      <c r="K1050" s="12">
        <f>Combined[[#This Row],[Time Spent]]*24</f>
        <v>2.1166666666666667</v>
      </c>
      <c r="L1050" s="12">
        <f>MROUND(Combined[[#This Row],[Time Spent 2]],0.25)</f>
        <v>2</v>
      </c>
      <c r="M1050" s="2" t="s">
        <v>91</v>
      </c>
      <c r="N1050" t="s">
        <v>82</v>
      </c>
      <c r="O1050">
        <f>MATCH(Combined[[#This Row],[Primary Area]],KPIs!$C$4:$C$7,0)</f>
        <v>3</v>
      </c>
      <c r="R1050" s="40"/>
      <c r="V1050" s="4"/>
      <c r="X1050"/>
    </row>
    <row r="1051" spans="2:24" x14ac:dyDescent="0.35">
      <c r="B1051">
        <f t="shared" si="284"/>
        <v>1049</v>
      </c>
      <c r="C1051" t="s">
        <v>86</v>
      </c>
      <c r="D1051" t="s">
        <v>175</v>
      </c>
      <c r="E1051">
        <f>IF(WEEKNUM(Combined[[#This Row],[Date]], 1) = 53, 1, WEEKNUM(Combined[[#This Row],[Date]], 2))</f>
        <v>5</v>
      </c>
      <c r="F1051" t="str">
        <f t="shared" si="289"/>
        <v>Friday</v>
      </c>
      <c r="G1051" s="41">
        <v>45324</v>
      </c>
      <c r="H1051">
        <v>5</v>
      </c>
      <c r="I1051" s="1">
        <v>47.69</v>
      </c>
      <c r="J1051" s="2">
        <v>0.11180555555555556</v>
      </c>
      <c r="K1051" s="12">
        <f>Combined[[#This Row],[Time Spent]]*24</f>
        <v>2.6833333333333336</v>
      </c>
      <c r="L1051" s="12">
        <f>MROUND(Combined[[#This Row],[Time Spent 2]],0.25)</f>
        <v>2.75</v>
      </c>
      <c r="M1051" s="2" t="s">
        <v>91</v>
      </c>
      <c r="N1051" t="s">
        <v>82</v>
      </c>
      <c r="O1051">
        <f>MATCH(Combined[[#This Row],[Primary Area]],KPIs!$C$4:$C$7,0)</f>
        <v>3</v>
      </c>
      <c r="R1051" s="40"/>
      <c r="V1051" s="4"/>
      <c r="X1051"/>
    </row>
    <row r="1052" spans="2:24" x14ac:dyDescent="0.35">
      <c r="B1052">
        <f t="shared" si="284"/>
        <v>1050</v>
      </c>
      <c r="C1052" t="s">
        <v>86</v>
      </c>
      <c r="D1052" t="s">
        <v>175</v>
      </c>
      <c r="E1052">
        <f>IF(WEEKNUM(Combined[[#This Row],[Date]], 1) = 53, 1, WEEKNUM(Combined[[#This Row],[Date]], 2))</f>
        <v>5</v>
      </c>
      <c r="F1052" t="str">
        <f t="shared" si="289"/>
        <v>Friday</v>
      </c>
      <c r="G1052" s="41">
        <v>45324</v>
      </c>
      <c r="H1052">
        <v>1</v>
      </c>
      <c r="I1052" s="1">
        <v>8.65</v>
      </c>
      <c r="J1052" s="2">
        <v>3.6805555555555557E-2</v>
      </c>
      <c r="K1052" s="12">
        <f>Combined[[#This Row],[Time Spent]]*24</f>
        <v>0.8833333333333333</v>
      </c>
      <c r="L1052" s="12">
        <f>MROUND(Combined[[#This Row],[Time Spent 2]],0.25)</f>
        <v>1</v>
      </c>
      <c r="M1052" s="2" t="s">
        <v>91</v>
      </c>
      <c r="N1052" t="s">
        <v>82</v>
      </c>
      <c r="O1052">
        <f>MATCH(Combined[[#This Row],[Primary Area]],KPIs!$C$4:$C$7,0)</f>
        <v>3</v>
      </c>
      <c r="R1052" s="40"/>
      <c r="V1052" s="4"/>
      <c r="X1052"/>
    </row>
    <row r="1053" spans="2:24" x14ac:dyDescent="0.35">
      <c r="B1053">
        <f t="shared" si="284"/>
        <v>1051</v>
      </c>
      <c r="C1053" t="s">
        <v>86</v>
      </c>
      <c r="D1053" t="s">
        <v>175</v>
      </c>
      <c r="E1053">
        <f>IF(WEEKNUM(Combined[[#This Row],[Date]], 1) = 53, 1, WEEKNUM(Combined[[#This Row],[Date]], 2))</f>
        <v>5</v>
      </c>
      <c r="F1053" t="str">
        <f t="shared" si="289"/>
        <v>Friday</v>
      </c>
      <c r="G1053" s="41">
        <v>45324</v>
      </c>
      <c r="H1053">
        <v>2</v>
      </c>
      <c r="I1053" s="1">
        <v>9.23</v>
      </c>
      <c r="J1053" s="2">
        <v>4.3749999999999997E-2</v>
      </c>
      <c r="K1053" s="12">
        <f>Combined[[#This Row],[Time Spent]]*24</f>
        <v>1.0499999999999998</v>
      </c>
      <c r="L1053" s="12">
        <f>MROUND(Combined[[#This Row],[Time Spent 2]],0.25)</f>
        <v>1</v>
      </c>
      <c r="M1053" s="2" t="s">
        <v>91</v>
      </c>
      <c r="N1053" t="s">
        <v>82</v>
      </c>
      <c r="O1053">
        <f>MATCH(Combined[[#This Row],[Primary Area]],KPIs!$C$4:$C$7,0)</f>
        <v>3</v>
      </c>
      <c r="R1053" s="40"/>
      <c r="V1053" s="4"/>
      <c r="X1053"/>
    </row>
    <row r="1054" spans="2:24" x14ac:dyDescent="0.35">
      <c r="B1054">
        <f t="shared" si="284"/>
        <v>1052</v>
      </c>
      <c r="C1054" t="s">
        <v>86</v>
      </c>
      <c r="D1054" t="s">
        <v>175</v>
      </c>
      <c r="E1054">
        <f>IF(WEEKNUM(Combined[[#This Row],[Date]], 1) = 53, 1, WEEKNUM(Combined[[#This Row],[Date]], 2))</f>
        <v>6</v>
      </c>
      <c r="F1054" t="str">
        <f t="shared" si="289"/>
        <v>Monday</v>
      </c>
      <c r="G1054" s="41">
        <v>45327</v>
      </c>
      <c r="H1054">
        <v>5</v>
      </c>
      <c r="I1054" s="1">
        <v>39.82</v>
      </c>
      <c r="J1054" s="2">
        <v>0.10138888888888889</v>
      </c>
      <c r="K1054" s="12">
        <f>Combined[[#This Row],[Time Spent]]*24</f>
        <v>2.4333333333333336</v>
      </c>
      <c r="L1054" s="12">
        <f>MROUND(Combined[[#This Row],[Time Spent 2]],0.25)</f>
        <v>2.5</v>
      </c>
      <c r="M1054" s="2" t="s">
        <v>91</v>
      </c>
      <c r="N1054" t="s">
        <v>82</v>
      </c>
      <c r="O1054">
        <f>MATCH(Combined[[#This Row],[Primary Area]],KPIs!$C$4:$C$7,0)</f>
        <v>3</v>
      </c>
      <c r="R1054" s="40"/>
      <c r="V1054" s="4"/>
      <c r="X1054"/>
    </row>
    <row r="1055" spans="2:24" x14ac:dyDescent="0.35">
      <c r="B1055">
        <f t="shared" si="284"/>
        <v>1053</v>
      </c>
      <c r="C1055" t="s">
        <v>86</v>
      </c>
      <c r="D1055" t="s">
        <v>175</v>
      </c>
      <c r="E1055">
        <f>IF(WEEKNUM(Combined[[#This Row],[Date]], 1) = 53, 1, WEEKNUM(Combined[[#This Row],[Date]], 2))</f>
        <v>6</v>
      </c>
      <c r="F1055" t="str">
        <f t="shared" si="289"/>
        <v>Wednesday</v>
      </c>
      <c r="G1055" s="41">
        <v>45329</v>
      </c>
      <c r="H1055">
        <v>5</v>
      </c>
      <c r="I1055" s="1">
        <v>54.54</v>
      </c>
      <c r="J1055" s="2">
        <v>0.12430555555555556</v>
      </c>
      <c r="K1055" s="12">
        <f>Combined[[#This Row],[Time Spent]]*24</f>
        <v>2.9833333333333334</v>
      </c>
      <c r="L1055" s="12">
        <f>MROUND(Combined[[#This Row],[Time Spent 2]],0.25)</f>
        <v>3</v>
      </c>
      <c r="M1055" s="2" t="s">
        <v>91</v>
      </c>
      <c r="N1055" t="s">
        <v>80</v>
      </c>
      <c r="O1055">
        <f>MATCH(Combined[[#This Row],[Primary Area]],KPIs!$C$4:$C$7,0)</f>
        <v>2</v>
      </c>
      <c r="R1055" s="40"/>
      <c r="V1055" s="4"/>
      <c r="X1055"/>
    </row>
    <row r="1056" spans="2:24" x14ac:dyDescent="0.35">
      <c r="B1056">
        <f t="shared" si="284"/>
        <v>1054</v>
      </c>
      <c r="C1056" t="s">
        <v>83</v>
      </c>
      <c r="D1056" t="s">
        <v>176</v>
      </c>
      <c r="E1056">
        <f>IF(WEEKNUM(Combined[[#This Row],[Date]], 1) = 53, 1, WEEKNUM(Combined[[#This Row],[Date]], 2))</f>
        <v>6</v>
      </c>
      <c r="F1056" t="str">
        <f t="shared" si="289"/>
        <v>Thursday</v>
      </c>
      <c r="G1056" s="41">
        <v>45330</v>
      </c>
      <c r="H1056">
        <v>5</v>
      </c>
      <c r="I1056" s="1">
        <v>52.23</v>
      </c>
      <c r="J1056" s="2">
        <v>0.14791666666666667</v>
      </c>
      <c r="K1056" s="12">
        <f>Combined[[#This Row],[Time Spent]]*24</f>
        <v>3.55</v>
      </c>
      <c r="L1056" s="12">
        <f>MROUND(Combined[[#This Row],[Time Spent 2]],0.25)</f>
        <v>3.5</v>
      </c>
      <c r="M1056" s="2" t="s">
        <v>91</v>
      </c>
      <c r="N1056" t="s">
        <v>82</v>
      </c>
      <c r="O1056">
        <f>MATCH(Combined[[#This Row],[Primary Area]],KPIs!$C$4:$C$7,0)</f>
        <v>3</v>
      </c>
      <c r="R1056" s="40"/>
      <c r="V1056" s="4"/>
      <c r="X1056"/>
    </row>
    <row r="1057" spans="2:24" x14ac:dyDescent="0.35">
      <c r="B1057">
        <f t="shared" si="284"/>
        <v>1055</v>
      </c>
      <c r="C1057" t="s">
        <v>86</v>
      </c>
      <c r="D1057" t="s">
        <v>176</v>
      </c>
      <c r="E1057">
        <f>IF(WEEKNUM(Combined[[#This Row],[Date]], 1) = 53, 1, WEEKNUM(Combined[[#This Row],[Date]], 2))</f>
        <v>6</v>
      </c>
      <c r="F1057" t="str">
        <f t="shared" si="289"/>
        <v>Thursday</v>
      </c>
      <c r="G1057" s="41">
        <v>45330</v>
      </c>
      <c r="H1057">
        <v>4</v>
      </c>
      <c r="I1057" s="1">
        <v>46.5</v>
      </c>
      <c r="J1057" s="2">
        <v>8.2638888888888887E-2</v>
      </c>
      <c r="K1057" s="12">
        <f>Combined[[#This Row],[Time Spent]]*24</f>
        <v>1.9833333333333334</v>
      </c>
      <c r="L1057" s="12">
        <f>MROUND(Combined[[#This Row],[Time Spent 2]],0.25)</f>
        <v>2</v>
      </c>
      <c r="M1057" s="2" t="s">
        <v>91</v>
      </c>
      <c r="N1057" t="s">
        <v>82</v>
      </c>
      <c r="O1057">
        <f>MATCH(Combined[[#This Row],[Primary Area]],KPIs!$C$4:$C$7,0)</f>
        <v>3</v>
      </c>
      <c r="R1057" s="40"/>
      <c r="V1057" s="4"/>
      <c r="X1057"/>
    </row>
    <row r="1058" spans="2:24" x14ac:dyDescent="0.35">
      <c r="B1058">
        <f t="shared" si="284"/>
        <v>1056</v>
      </c>
      <c r="C1058" t="s">
        <v>86</v>
      </c>
      <c r="D1058" t="s">
        <v>176</v>
      </c>
      <c r="E1058">
        <f>IF(WEEKNUM(Combined[[#This Row],[Date]], 1) = 53, 1, WEEKNUM(Combined[[#This Row],[Date]], 2))</f>
        <v>6</v>
      </c>
      <c r="F1058" t="str">
        <f t="shared" si="289"/>
        <v>Thursday</v>
      </c>
      <c r="G1058" s="41">
        <v>45330</v>
      </c>
      <c r="H1058">
        <v>4</v>
      </c>
      <c r="I1058" s="1">
        <v>20</v>
      </c>
      <c r="J1058" s="2">
        <v>4.3749999999999997E-2</v>
      </c>
      <c r="K1058" s="12">
        <f>Combined[[#This Row],[Time Spent]]*24</f>
        <v>1.0499999999999998</v>
      </c>
      <c r="L1058" s="12">
        <f>MROUND(Combined[[#This Row],[Time Spent 2]],0.25)</f>
        <v>1</v>
      </c>
      <c r="M1058" s="2" t="s">
        <v>92</v>
      </c>
      <c r="N1058" t="s">
        <v>82</v>
      </c>
      <c r="O1058">
        <f>MATCH(Combined[[#This Row],[Primary Area]],KPIs!$C$4:$C$7,0)</f>
        <v>3</v>
      </c>
      <c r="R1058" s="40"/>
      <c r="V1058" s="4"/>
      <c r="X1058"/>
    </row>
    <row r="1059" spans="2:24" x14ac:dyDescent="0.35">
      <c r="B1059">
        <f t="shared" si="284"/>
        <v>1057</v>
      </c>
      <c r="C1059" t="s">
        <v>83</v>
      </c>
      <c r="D1059" t="s">
        <v>176</v>
      </c>
      <c r="E1059">
        <f>IF(WEEKNUM(Combined[[#This Row],[Date]], 1) = 53, 1, WEEKNUM(Combined[[#This Row],[Date]], 2))</f>
        <v>6</v>
      </c>
      <c r="F1059" t="str">
        <f t="shared" si="289"/>
        <v>Friday</v>
      </c>
      <c r="G1059" s="41">
        <v>45331</v>
      </c>
      <c r="H1059">
        <v>2</v>
      </c>
      <c r="I1059" s="1">
        <v>25.09</v>
      </c>
      <c r="J1059" s="2">
        <v>9.7916666666666666E-2</v>
      </c>
      <c r="K1059" s="12">
        <f>Combined[[#This Row],[Time Spent]]*24</f>
        <v>2.35</v>
      </c>
      <c r="L1059" s="12">
        <f>MROUND(Combined[[#This Row],[Time Spent 2]],0.25)</f>
        <v>2.25</v>
      </c>
      <c r="M1059" s="2" t="s">
        <v>91</v>
      </c>
      <c r="N1059" t="s">
        <v>82</v>
      </c>
      <c r="O1059">
        <f>MATCH(Combined[[#This Row],[Primary Area]],KPIs!$C$4:$C$7,0)</f>
        <v>3</v>
      </c>
      <c r="R1059" s="40"/>
      <c r="V1059" s="4"/>
      <c r="X1059"/>
    </row>
    <row r="1060" spans="2:24" x14ac:dyDescent="0.35">
      <c r="B1060">
        <f t="shared" si="284"/>
        <v>1058</v>
      </c>
      <c r="C1060" t="s">
        <v>86</v>
      </c>
      <c r="D1060" t="s">
        <v>176</v>
      </c>
      <c r="E1060">
        <f>IF(WEEKNUM(Combined[[#This Row],[Date]], 1) = 53, 1, WEEKNUM(Combined[[#This Row],[Date]], 2))</f>
        <v>6</v>
      </c>
      <c r="F1060" t="str">
        <f t="shared" si="289"/>
        <v>Friday</v>
      </c>
      <c r="G1060" s="41">
        <v>45331</v>
      </c>
      <c r="H1060">
        <v>10</v>
      </c>
      <c r="I1060" s="1">
        <v>84.5</v>
      </c>
      <c r="J1060" s="2">
        <v>0.22638888888888889</v>
      </c>
      <c r="K1060" s="12">
        <f>Combined[[#This Row],[Time Spent]]*24</f>
        <v>5.4333333333333336</v>
      </c>
      <c r="L1060" s="12">
        <f>MROUND(Combined[[#This Row],[Time Spent 2]],0.25)</f>
        <v>5.5</v>
      </c>
      <c r="M1060" s="2" t="s">
        <v>91</v>
      </c>
      <c r="N1060" t="s">
        <v>82</v>
      </c>
      <c r="O1060">
        <f>MATCH(Combined[[#This Row],[Primary Area]],KPIs!$C$4:$C$7,0)</f>
        <v>3</v>
      </c>
      <c r="R1060" s="40"/>
      <c r="V1060" s="4"/>
      <c r="X1060"/>
    </row>
    <row r="1061" spans="2:24" x14ac:dyDescent="0.35">
      <c r="B1061">
        <f t="shared" si="284"/>
        <v>1059</v>
      </c>
      <c r="C1061" t="s">
        <v>86</v>
      </c>
      <c r="D1061" t="s">
        <v>176</v>
      </c>
      <c r="E1061">
        <f>IF(WEEKNUM(Combined[[#This Row],[Date]], 1) = 53, 1, WEEKNUM(Combined[[#This Row],[Date]], 2))</f>
        <v>6</v>
      </c>
      <c r="F1061" t="str">
        <f t="shared" si="289"/>
        <v>Friday</v>
      </c>
      <c r="G1061" s="41">
        <v>45331</v>
      </c>
      <c r="H1061">
        <v>1</v>
      </c>
      <c r="I1061" s="1">
        <v>11</v>
      </c>
      <c r="J1061" s="2">
        <v>2.0833333333333332E-2</v>
      </c>
      <c r="K1061" s="12">
        <f>Combined[[#This Row],[Time Spent]]*24</f>
        <v>0.5</v>
      </c>
      <c r="L1061" s="12">
        <f>MROUND(Combined[[#This Row],[Time Spent 2]],0.25)</f>
        <v>0.5</v>
      </c>
      <c r="M1061" s="2" t="s">
        <v>92</v>
      </c>
      <c r="N1061" t="s">
        <v>82</v>
      </c>
      <c r="O1061">
        <f>MATCH(Combined[[#This Row],[Primary Area]],KPIs!$C$4:$C$7,0)</f>
        <v>3</v>
      </c>
      <c r="R1061" s="40"/>
      <c r="V1061" s="4"/>
      <c r="X1061"/>
    </row>
    <row r="1062" spans="2:24" x14ac:dyDescent="0.35">
      <c r="B1062">
        <f t="shared" si="284"/>
        <v>1060</v>
      </c>
      <c r="C1062" t="s">
        <v>83</v>
      </c>
      <c r="D1062" t="s">
        <v>176</v>
      </c>
      <c r="E1062">
        <f>IF(WEEKNUM(Combined[[#This Row],[Date]], 1) = 53, 1, WEEKNUM(Combined[[#This Row],[Date]], 2))</f>
        <v>6</v>
      </c>
      <c r="F1062" t="str">
        <f t="shared" si="289"/>
        <v>Saturday</v>
      </c>
      <c r="G1062" s="41">
        <v>45332</v>
      </c>
      <c r="H1062">
        <v>1</v>
      </c>
      <c r="I1062" s="1">
        <v>16.02</v>
      </c>
      <c r="J1062" s="2">
        <v>5.5555555555555552E-2</v>
      </c>
      <c r="K1062" s="12">
        <f>Combined[[#This Row],[Time Spent]]*24</f>
        <v>1.3333333333333333</v>
      </c>
      <c r="L1062" s="12">
        <f>MROUND(Combined[[#This Row],[Time Spent 2]],0.25)</f>
        <v>1.25</v>
      </c>
      <c r="M1062" s="2" t="s">
        <v>91</v>
      </c>
      <c r="N1062" t="s">
        <v>80</v>
      </c>
      <c r="O1062">
        <f>MATCH(Combined[[#This Row],[Primary Area]],KPIs!$C$4:$C$7,0)</f>
        <v>2</v>
      </c>
      <c r="R1062" s="40"/>
      <c r="V1062" s="4"/>
      <c r="X1062"/>
    </row>
    <row r="1063" spans="2:24" x14ac:dyDescent="0.35">
      <c r="B1063">
        <f t="shared" si="284"/>
        <v>1061</v>
      </c>
      <c r="C1063" t="s">
        <v>86</v>
      </c>
      <c r="D1063" t="s">
        <v>176</v>
      </c>
      <c r="E1063">
        <f>IF(WEEKNUM(Combined[[#This Row],[Date]], 1) = 53, 1, WEEKNUM(Combined[[#This Row],[Date]], 2))</f>
        <v>6</v>
      </c>
      <c r="F1063" t="str">
        <f t="shared" si="289"/>
        <v>Saturday</v>
      </c>
      <c r="G1063" s="41">
        <v>45332</v>
      </c>
      <c r="H1063">
        <v>7</v>
      </c>
      <c r="I1063" s="1">
        <v>53</v>
      </c>
      <c r="J1063" s="2">
        <v>0.14583333333333334</v>
      </c>
      <c r="K1063" s="12">
        <f>Combined[[#This Row],[Time Spent]]*24</f>
        <v>3.5</v>
      </c>
      <c r="L1063" s="12">
        <f>MROUND(Combined[[#This Row],[Time Spent 2]],0.25)</f>
        <v>3.5</v>
      </c>
      <c r="M1063" s="2" t="s">
        <v>91</v>
      </c>
      <c r="N1063" t="s">
        <v>80</v>
      </c>
      <c r="O1063">
        <f>MATCH(Combined[[#This Row],[Primary Area]],KPIs!$C$4:$C$7,0)</f>
        <v>2</v>
      </c>
      <c r="R1063" s="40"/>
      <c r="V1063" s="4"/>
      <c r="X1063"/>
    </row>
    <row r="1064" spans="2:24" x14ac:dyDescent="0.35">
      <c r="B1064">
        <f t="shared" si="284"/>
        <v>1062</v>
      </c>
      <c r="C1064" t="s">
        <v>83</v>
      </c>
      <c r="D1064" t="s">
        <v>176</v>
      </c>
      <c r="E1064">
        <f>IF(WEEKNUM(Combined[[#This Row],[Date]], 1) = 53, 1, WEEKNUM(Combined[[#This Row],[Date]], 2))</f>
        <v>7</v>
      </c>
      <c r="F1064" t="str">
        <f t="shared" ref="F1064:F1066" si="290">TEXT(WEEKDAY(G1064,1),"DDDD")</f>
        <v>Tuesday</v>
      </c>
      <c r="G1064" s="41">
        <v>45335</v>
      </c>
      <c r="H1064">
        <v>3</v>
      </c>
      <c r="I1064" s="1">
        <v>40.54</v>
      </c>
      <c r="J1064" s="2">
        <v>7.5694444444444439E-2</v>
      </c>
      <c r="K1064" s="12">
        <f>Combined[[#This Row],[Time Spent]]*24</f>
        <v>1.8166666666666664</v>
      </c>
      <c r="L1064" s="12">
        <f>MROUND(Combined[[#This Row],[Time Spent 2]],0.25)</f>
        <v>1.75</v>
      </c>
      <c r="M1064" s="2" t="s">
        <v>91</v>
      </c>
      <c r="N1064" t="s">
        <v>80</v>
      </c>
      <c r="O1064">
        <f>MATCH(Combined[[#This Row],[Primary Area]],KPIs!$C$4:$C$7,0)</f>
        <v>2</v>
      </c>
      <c r="R1064" s="40"/>
      <c r="V1064" s="4"/>
      <c r="X1064"/>
    </row>
    <row r="1065" spans="2:24" x14ac:dyDescent="0.35">
      <c r="B1065">
        <f t="shared" si="284"/>
        <v>1063</v>
      </c>
      <c r="C1065" t="s">
        <v>86</v>
      </c>
      <c r="D1065" t="s">
        <v>176</v>
      </c>
      <c r="E1065">
        <f>IF(WEEKNUM(Combined[[#This Row],[Date]], 1) = 53, 1, WEEKNUM(Combined[[#This Row],[Date]], 2))</f>
        <v>7</v>
      </c>
      <c r="F1065" t="str">
        <f t="shared" si="290"/>
        <v>Tuesday</v>
      </c>
      <c r="G1065" s="41">
        <v>45335</v>
      </c>
      <c r="H1065">
        <v>6</v>
      </c>
      <c r="I1065" s="1">
        <v>48.75</v>
      </c>
      <c r="J1065" s="2">
        <v>0.12361111111111112</v>
      </c>
      <c r="K1065" s="12">
        <f>Combined[[#This Row],[Time Spent]]*24</f>
        <v>2.9666666666666668</v>
      </c>
      <c r="L1065" s="12">
        <f>MROUND(Combined[[#This Row],[Time Spent 2]],0.25)</f>
        <v>3</v>
      </c>
      <c r="M1065" s="2" t="s">
        <v>91</v>
      </c>
      <c r="N1065" t="s">
        <v>80</v>
      </c>
      <c r="O1065">
        <f>MATCH(Combined[[#This Row],[Primary Area]],KPIs!$C$4:$C$7,0)</f>
        <v>2</v>
      </c>
      <c r="R1065" s="40"/>
      <c r="V1065" s="4"/>
      <c r="X1065"/>
    </row>
    <row r="1066" spans="2:24" x14ac:dyDescent="0.35">
      <c r="B1066">
        <f t="shared" si="284"/>
        <v>1064</v>
      </c>
      <c r="C1066" t="s">
        <v>86</v>
      </c>
      <c r="D1066" t="s">
        <v>176</v>
      </c>
      <c r="E1066">
        <f>IF(WEEKNUM(Combined[[#This Row],[Date]], 1) = 53, 1, WEEKNUM(Combined[[#This Row],[Date]], 2))</f>
        <v>7</v>
      </c>
      <c r="F1066" t="str">
        <f t="shared" si="290"/>
        <v>Tuesday</v>
      </c>
      <c r="G1066" s="41">
        <v>45335</v>
      </c>
      <c r="H1066">
        <v>1</v>
      </c>
      <c r="I1066" s="1">
        <v>11.25</v>
      </c>
      <c r="J1066" s="2">
        <v>2.5000000000000001E-2</v>
      </c>
      <c r="K1066" s="12">
        <f>Combined[[#This Row],[Time Spent]]*24</f>
        <v>0.60000000000000009</v>
      </c>
      <c r="L1066" s="12">
        <f>MROUND(Combined[[#This Row],[Time Spent 2]],0.25)</f>
        <v>0.5</v>
      </c>
      <c r="M1066" s="2" t="s">
        <v>92</v>
      </c>
      <c r="N1066" t="s">
        <v>80</v>
      </c>
      <c r="O1066">
        <f>MATCH(Combined[[#This Row],[Primary Area]],KPIs!$C$4:$C$7,0)</f>
        <v>2</v>
      </c>
      <c r="R1066" s="40"/>
      <c r="V1066" s="4"/>
      <c r="X1066"/>
    </row>
    <row r="1067" spans="2:24" x14ac:dyDescent="0.35">
      <c r="B1067">
        <f t="shared" si="284"/>
        <v>1065</v>
      </c>
      <c r="C1067" t="s">
        <v>83</v>
      </c>
      <c r="D1067" t="s">
        <v>176</v>
      </c>
      <c r="E1067">
        <f>IF(WEEKNUM(Combined[[#This Row],[Date]], 1) = 53, 1, WEEKNUM(Combined[[#This Row],[Date]], 2))</f>
        <v>7</v>
      </c>
      <c r="F1067" t="str">
        <f t="shared" ref="F1067:F1071" si="291">TEXT(WEEKDAY(G1067,1),"DDDD")</f>
        <v>Wednesday</v>
      </c>
      <c r="G1067" s="41">
        <v>45336</v>
      </c>
      <c r="H1067">
        <v>11</v>
      </c>
      <c r="I1067" s="1">
        <v>166.65</v>
      </c>
      <c r="J1067" s="2">
        <v>0.18055555555555555</v>
      </c>
      <c r="K1067" s="12">
        <f>Combined[[#This Row],[Time Spent]]*24</f>
        <v>4.333333333333333</v>
      </c>
      <c r="L1067" s="12">
        <f>MROUND(Combined[[#This Row],[Time Spent 2]],0.25)</f>
        <v>4.25</v>
      </c>
      <c r="M1067" s="2" t="s">
        <v>91</v>
      </c>
      <c r="N1067" t="s">
        <v>80</v>
      </c>
      <c r="O1067">
        <f>MATCH(Combined[[#This Row],[Primary Area]],KPIs!$C$4:$C$7,0)</f>
        <v>2</v>
      </c>
      <c r="R1067" s="40"/>
      <c r="V1067" s="4"/>
      <c r="X1067"/>
    </row>
    <row r="1068" spans="2:24" x14ac:dyDescent="0.35">
      <c r="B1068">
        <f t="shared" si="284"/>
        <v>1066</v>
      </c>
      <c r="C1068" t="s">
        <v>86</v>
      </c>
      <c r="D1068" t="s">
        <v>176</v>
      </c>
      <c r="E1068">
        <f>IF(WEEKNUM(Combined[[#This Row],[Date]], 1) = 53, 1, WEEKNUM(Combined[[#This Row],[Date]], 2))</f>
        <v>7</v>
      </c>
      <c r="F1068" t="str">
        <f t="shared" si="291"/>
        <v>Wednesday</v>
      </c>
      <c r="G1068" s="41">
        <v>45336</v>
      </c>
      <c r="H1068">
        <v>2</v>
      </c>
      <c r="I1068" s="1">
        <v>18.5</v>
      </c>
      <c r="J1068" s="2">
        <v>4.4444444444444446E-2</v>
      </c>
      <c r="K1068" s="12">
        <f>Combined[[#This Row],[Time Spent]]*24</f>
        <v>1.0666666666666667</v>
      </c>
      <c r="L1068" s="12">
        <f>MROUND(Combined[[#This Row],[Time Spent 2]],0.25)</f>
        <v>1</v>
      </c>
      <c r="M1068" s="2" t="s">
        <v>91</v>
      </c>
      <c r="N1068" t="s">
        <v>80</v>
      </c>
      <c r="O1068">
        <f>MATCH(Combined[[#This Row],[Primary Area]],KPIs!$C$4:$C$7,0)</f>
        <v>2</v>
      </c>
      <c r="R1068" s="40"/>
      <c r="V1068" s="4"/>
      <c r="X1068"/>
    </row>
    <row r="1069" spans="2:24" x14ac:dyDescent="0.35">
      <c r="B1069">
        <f t="shared" si="284"/>
        <v>1067</v>
      </c>
      <c r="C1069" t="s">
        <v>86</v>
      </c>
      <c r="D1069" t="s">
        <v>176</v>
      </c>
      <c r="E1069">
        <f>IF(WEEKNUM(Combined[[#This Row],[Date]], 1) = 53, 1, WEEKNUM(Combined[[#This Row],[Date]], 2))</f>
        <v>7</v>
      </c>
      <c r="F1069" t="str">
        <f t="shared" si="291"/>
        <v>Wednesday</v>
      </c>
      <c r="G1069" s="41">
        <v>45336</v>
      </c>
      <c r="H1069">
        <v>1</v>
      </c>
      <c r="I1069" s="1">
        <v>7</v>
      </c>
      <c r="J1069" s="2">
        <v>2.013888888888889E-2</v>
      </c>
      <c r="K1069" s="12">
        <f>Combined[[#This Row],[Time Spent]]*24</f>
        <v>0.48333333333333339</v>
      </c>
      <c r="L1069" s="12">
        <f>MROUND(Combined[[#This Row],[Time Spent 2]],0.25)</f>
        <v>0.5</v>
      </c>
      <c r="M1069" s="2" t="s">
        <v>92</v>
      </c>
      <c r="N1069" t="s">
        <v>80</v>
      </c>
      <c r="O1069">
        <f>MATCH(Combined[[#This Row],[Primary Area]],KPIs!$C$4:$C$7,0)</f>
        <v>2</v>
      </c>
      <c r="R1069" s="40"/>
      <c r="V1069" s="4"/>
      <c r="X1069"/>
    </row>
    <row r="1070" spans="2:24" x14ac:dyDescent="0.35">
      <c r="B1070">
        <f t="shared" si="284"/>
        <v>1068</v>
      </c>
      <c r="C1070" t="s">
        <v>83</v>
      </c>
      <c r="D1070" t="s">
        <v>176</v>
      </c>
      <c r="E1070">
        <f>IF(WEEKNUM(Combined[[#This Row],[Date]], 1) = 53, 1, WEEKNUM(Combined[[#This Row],[Date]], 2))</f>
        <v>7</v>
      </c>
      <c r="F1070" t="str">
        <f t="shared" si="291"/>
        <v>Friday</v>
      </c>
      <c r="G1070" s="41">
        <v>45338</v>
      </c>
      <c r="H1070">
        <v>3</v>
      </c>
      <c r="I1070" s="1">
        <v>14.64</v>
      </c>
      <c r="J1070" s="2">
        <v>8.2638888888888887E-2</v>
      </c>
      <c r="K1070" s="12">
        <f>Combined[[#This Row],[Time Spent]]*24</f>
        <v>1.9833333333333334</v>
      </c>
      <c r="L1070" s="12">
        <f>MROUND(Combined[[#This Row],[Time Spent 2]],0.25)</f>
        <v>2</v>
      </c>
      <c r="M1070" s="2" t="s">
        <v>91</v>
      </c>
      <c r="N1070" t="s">
        <v>82</v>
      </c>
      <c r="O1070">
        <f>MATCH(Combined[[#This Row],[Primary Area]],KPIs!$C$4:$C$7,0)</f>
        <v>3</v>
      </c>
      <c r="R1070" s="40"/>
      <c r="V1070" s="4"/>
      <c r="X1070"/>
    </row>
    <row r="1071" spans="2:24" x14ac:dyDescent="0.35">
      <c r="B1071">
        <f t="shared" si="284"/>
        <v>1069</v>
      </c>
      <c r="C1071" t="s">
        <v>86</v>
      </c>
      <c r="D1071" t="s">
        <v>176</v>
      </c>
      <c r="E1071">
        <f>IF(WEEKNUM(Combined[[#This Row],[Date]], 1) = 53, 1, WEEKNUM(Combined[[#This Row],[Date]], 2))</f>
        <v>7</v>
      </c>
      <c r="F1071" t="str">
        <f t="shared" si="291"/>
        <v>Friday</v>
      </c>
      <c r="G1071" s="41">
        <v>45338</v>
      </c>
      <c r="H1071">
        <v>8</v>
      </c>
      <c r="I1071" s="1">
        <v>46.65</v>
      </c>
      <c r="J1071" s="2">
        <v>0.10902777777777778</v>
      </c>
      <c r="K1071" s="12">
        <f>Combined[[#This Row],[Time Spent]]*24</f>
        <v>2.6166666666666667</v>
      </c>
      <c r="L1071" s="12">
        <f>MROUND(Combined[[#This Row],[Time Spent 2]],0.25)</f>
        <v>2.5</v>
      </c>
      <c r="M1071" s="2" t="s">
        <v>91</v>
      </c>
      <c r="N1071" t="s">
        <v>82</v>
      </c>
      <c r="O1071">
        <f>MATCH(Combined[[#This Row],[Primary Area]],KPIs!$C$4:$C$7,0)</f>
        <v>3</v>
      </c>
      <c r="R1071" s="40"/>
      <c r="V1071" s="4"/>
      <c r="X1071"/>
    </row>
    <row r="1072" spans="2:24" x14ac:dyDescent="0.35">
      <c r="B1072">
        <f t="shared" si="284"/>
        <v>1070</v>
      </c>
      <c r="C1072" t="s">
        <v>86</v>
      </c>
      <c r="D1072" t="s">
        <v>176</v>
      </c>
      <c r="E1072">
        <f>IF(WEEKNUM(Combined[[#This Row],[Date]], 1) = 53, 1, WEEKNUM(Combined[[#This Row],[Date]], 2))</f>
        <v>7</v>
      </c>
      <c r="F1072" t="str">
        <f t="shared" ref="F1072:F1077" si="292">TEXT(WEEKDAY(G1072,1),"DDDD")</f>
        <v>Friday</v>
      </c>
      <c r="G1072" s="41">
        <v>45338</v>
      </c>
      <c r="H1072">
        <v>2</v>
      </c>
      <c r="I1072" s="1">
        <v>12.25</v>
      </c>
      <c r="J1072" s="2">
        <v>3.6805555555555557E-2</v>
      </c>
      <c r="K1072" s="12">
        <f>Combined[[#This Row],[Time Spent]]*24</f>
        <v>0.8833333333333333</v>
      </c>
      <c r="L1072" s="12">
        <f>MROUND(Combined[[#This Row],[Time Spent 2]],0.25)</f>
        <v>1</v>
      </c>
      <c r="M1072" s="2" t="s">
        <v>91</v>
      </c>
      <c r="N1072" t="s">
        <v>82</v>
      </c>
      <c r="O1072">
        <f>MATCH(Combined[[#This Row],[Primary Area]],KPIs!$C$4:$C$7,0)</f>
        <v>3</v>
      </c>
      <c r="R1072" s="40"/>
      <c r="V1072" s="4"/>
      <c r="X1072"/>
    </row>
    <row r="1073" spans="2:24" x14ac:dyDescent="0.35">
      <c r="B1073">
        <f t="shared" si="284"/>
        <v>1071</v>
      </c>
      <c r="C1073" t="s">
        <v>86</v>
      </c>
      <c r="D1073" t="s">
        <v>176</v>
      </c>
      <c r="E1073">
        <f>IF(WEEKNUM(Combined[[#This Row],[Date]], 1) = 53, 1, WEEKNUM(Combined[[#This Row],[Date]], 2))</f>
        <v>7</v>
      </c>
      <c r="F1073" t="str">
        <f t="shared" si="292"/>
        <v>Friday</v>
      </c>
      <c r="G1073" s="41">
        <v>45338</v>
      </c>
      <c r="H1073">
        <v>2</v>
      </c>
      <c r="I1073" s="1">
        <v>8</v>
      </c>
      <c r="J1073" s="2">
        <v>2.6388888888888889E-2</v>
      </c>
      <c r="K1073" s="12">
        <f>Combined[[#This Row],[Time Spent]]*24</f>
        <v>0.6333333333333333</v>
      </c>
      <c r="L1073" s="12">
        <f>MROUND(Combined[[#This Row],[Time Spent 2]],0.25)</f>
        <v>0.75</v>
      </c>
      <c r="M1073" s="2" t="s">
        <v>92</v>
      </c>
      <c r="N1073" t="s">
        <v>82</v>
      </c>
      <c r="O1073">
        <f>MATCH(Combined[[#This Row],[Primary Area]],KPIs!$C$4:$C$7,0)</f>
        <v>3</v>
      </c>
      <c r="R1073" s="40"/>
      <c r="V1073" s="4"/>
      <c r="X1073"/>
    </row>
    <row r="1074" spans="2:24" x14ac:dyDescent="0.35">
      <c r="B1074">
        <f t="shared" si="284"/>
        <v>1072</v>
      </c>
      <c r="C1074" t="s">
        <v>83</v>
      </c>
      <c r="D1074" t="s">
        <v>176</v>
      </c>
      <c r="E1074">
        <f>IF(WEEKNUM(Combined[[#This Row],[Date]], 1) = 53, 1, WEEKNUM(Combined[[#This Row],[Date]], 2))</f>
        <v>7</v>
      </c>
      <c r="F1074" t="str">
        <f t="shared" si="292"/>
        <v>Saturday</v>
      </c>
      <c r="G1074" s="41">
        <v>45339</v>
      </c>
      <c r="H1074">
        <v>4</v>
      </c>
      <c r="I1074" s="1">
        <v>58.71</v>
      </c>
      <c r="J1074" s="2">
        <v>0.11944444444444445</v>
      </c>
      <c r="K1074" s="12">
        <f>Combined[[#This Row],[Time Spent]]*24</f>
        <v>2.8666666666666667</v>
      </c>
      <c r="L1074" s="12">
        <f>MROUND(Combined[[#This Row],[Time Spent 2]],0.25)</f>
        <v>2.75</v>
      </c>
      <c r="M1074" s="2" t="s">
        <v>91</v>
      </c>
      <c r="N1074" t="s">
        <v>80</v>
      </c>
      <c r="O1074">
        <f>MATCH(Combined[[#This Row],[Primary Area]],KPIs!$C$4:$C$7,0)</f>
        <v>2</v>
      </c>
      <c r="R1074" s="40"/>
      <c r="V1074" s="4"/>
      <c r="X1074"/>
    </row>
    <row r="1075" spans="2:24" x14ac:dyDescent="0.35">
      <c r="B1075">
        <f t="shared" si="284"/>
        <v>1073</v>
      </c>
      <c r="C1075" t="s">
        <v>86</v>
      </c>
      <c r="D1075" t="s">
        <v>176</v>
      </c>
      <c r="E1075">
        <f>IF(WEEKNUM(Combined[[#This Row],[Date]], 1) = 53, 1, WEEKNUM(Combined[[#This Row],[Date]], 2))</f>
        <v>7</v>
      </c>
      <c r="F1075" t="str">
        <f t="shared" si="292"/>
        <v>Saturday</v>
      </c>
      <c r="G1075" s="41">
        <v>45339</v>
      </c>
      <c r="H1075">
        <v>6</v>
      </c>
      <c r="I1075" s="1">
        <v>53.5</v>
      </c>
      <c r="J1075" s="2">
        <v>9.583333333333334E-2</v>
      </c>
      <c r="K1075" s="12">
        <f>Combined[[#This Row],[Time Spent]]*24</f>
        <v>2.3000000000000003</v>
      </c>
      <c r="L1075" s="12">
        <f>MROUND(Combined[[#This Row],[Time Spent 2]],0.25)</f>
        <v>2.25</v>
      </c>
      <c r="M1075" s="2" t="s">
        <v>91</v>
      </c>
      <c r="N1075" t="s">
        <v>80</v>
      </c>
      <c r="O1075">
        <f>MATCH(Combined[[#This Row],[Primary Area]],KPIs!$C$4:$C$7,0)</f>
        <v>2</v>
      </c>
      <c r="R1075" s="40"/>
      <c r="V1075" s="4"/>
      <c r="X1075"/>
    </row>
    <row r="1076" spans="2:24" x14ac:dyDescent="0.35">
      <c r="B1076">
        <f t="shared" si="284"/>
        <v>1074</v>
      </c>
      <c r="C1076" t="s">
        <v>86</v>
      </c>
      <c r="D1076" t="s">
        <v>176</v>
      </c>
      <c r="E1076">
        <f>IF(WEEKNUM(Combined[[#This Row],[Date]], 1) = 53, 1, WEEKNUM(Combined[[#This Row],[Date]], 2))</f>
        <v>7</v>
      </c>
      <c r="F1076" t="str">
        <f t="shared" si="292"/>
        <v>Saturday</v>
      </c>
      <c r="G1076" s="41">
        <v>45339</v>
      </c>
      <c r="H1076">
        <v>1</v>
      </c>
      <c r="I1076" s="1">
        <v>19.98</v>
      </c>
      <c r="J1076" s="2">
        <v>5.1388888888888887E-2</v>
      </c>
      <c r="K1076" s="12">
        <f>Combined[[#This Row],[Time Spent]]*24</f>
        <v>1.2333333333333334</v>
      </c>
      <c r="L1076" s="12">
        <f>MROUND(Combined[[#This Row],[Time Spent 2]],0.25)</f>
        <v>1.25</v>
      </c>
      <c r="M1076" s="2" t="s">
        <v>92</v>
      </c>
      <c r="N1076" t="s">
        <v>80</v>
      </c>
      <c r="O1076">
        <f>MATCH(Combined[[#This Row],[Primary Area]],KPIs!$C$4:$C$7,0)</f>
        <v>2</v>
      </c>
      <c r="R1076" s="40"/>
      <c r="V1076" s="4"/>
      <c r="X1076"/>
    </row>
    <row r="1077" spans="2:24" x14ac:dyDescent="0.35">
      <c r="B1077">
        <f t="shared" si="284"/>
        <v>1075</v>
      </c>
      <c r="C1077" t="s">
        <v>86</v>
      </c>
      <c r="D1077" t="s">
        <v>175</v>
      </c>
      <c r="E1077">
        <f>IF(WEEKNUM(Combined[[#This Row],[Date]], 1) = 53, 1, WEEKNUM(Combined[[#This Row],[Date]], 2))</f>
        <v>7</v>
      </c>
      <c r="F1077" t="str">
        <f t="shared" si="292"/>
        <v>Sunday</v>
      </c>
      <c r="G1077" s="41">
        <v>45340</v>
      </c>
      <c r="H1077">
        <v>6</v>
      </c>
      <c r="I1077" s="1">
        <v>52.45</v>
      </c>
      <c r="J1077" s="2">
        <v>0.11388888888888889</v>
      </c>
      <c r="K1077" s="12">
        <f>Combined[[#This Row],[Time Spent]]*24</f>
        <v>2.7333333333333334</v>
      </c>
      <c r="L1077" s="12">
        <f>MROUND(Combined[[#This Row],[Time Spent 2]],0.25)</f>
        <v>2.75</v>
      </c>
      <c r="M1077" s="2" t="s">
        <v>90</v>
      </c>
      <c r="N1077" t="s">
        <v>174</v>
      </c>
      <c r="O1077">
        <f>MATCH(Combined[[#This Row],[Primary Area]],KPIs!$C$4:$C$7,0)</f>
        <v>1</v>
      </c>
      <c r="R1077" s="40"/>
      <c r="V1077" s="4"/>
      <c r="X1077"/>
    </row>
    <row r="1078" spans="2:24" x14ac:dyDescent="0.35">
      <c r="B1078">
        <f t="shared" si="284"/>
        <v>1076</v>
      </c>
      <c r="C1078" t="s">
        <v>83</v>
      </c>
      <c r="D1078" t="s">
        <v>176</v>
      </c>
      <c r="E1078">
        <f>IF(WEEKNUM(Combined[[#This Row],[Date]], 1) = 53, 1, WEEKNUM(Combined[[#This Row],[Date]], 2))</f>
        <v>8</v>
      </c>
      <c r="F1078" t="str">
        <f t="shared" ref="F1078:F1091" si="293">TEXT(WEEKDAY(G1078,1),"DDDD")</f>
        <v>Monday</v>
      </c>
      <c r="G1078" s="41">
        <v>45341</v>
      </c>
      <c r="H1078">
        <v>5</v>
      </c>
      <c r="I1078" s="1">
        <v>68.67</v>
      </c>
      <c r="J1078" s="2">
        <v>0.10277777777777777</v>
      </c>
      <c r="K1078" s="12">
        <f>Combined[[#This Row],[Time Spent]]*24</f>
        <v>2.4666666666666668</v>
      </c>
      <c r="L1078" s="12">
        <f>MROUND(Combined[[#This Row],[Time Spent 2]],0.25)</f>
        <v>2.5</v>
      </c>
      <c r="M1078" s="2" t="s">
        <v>91</v>
      </c>
      <c r="N1078" t="s">
        <v>80</v>
      </c>
      <c r="O1078">
        <f>MATCH(Combined[[#This Row],[Primary Area]],KPIs!$C$4:$C$7,0)</f>
        <v>2</v>
      </c>
      <c r="R1078" s="40"/>
      <c r="V1078" s="4"/>
      <c r="X1078"/>
    </row>
    <row r="1079" spans="2:24" x14ac:dyDescent="0.35">
      <c r="B1079">
        <f t="shared" si="284"/>
        <v>1077</v>
      </c>
      <c r="C1079" t="s">
        <v>86</v>
      </c>
      <c r="D1079" t="s">
        <v>175</v>
      </c>
      <c r="E1079">
        <f>IF(WEEKNUM(Combined[[#This Row],[Date]], 1) = 53, 1, WEEKNUM(Combined[[#This Row],[Date]], 2))</f>
        <v>8</v>
      </c>
      <c r="F1079" t="str">
        <f t="shared" si="293"/>
        <v>Monday</v>
      </c>
      <c r="G1079" s="41">
        <v>45341</v>
      </c>
      <c r="H1079">
        <v>4</v>
      </c>
      <c r="I1079" s="1">
        <v>26.82</v>
      </c>
      <c r="J1079" s="2">
        <v>9.4444444444444442E-2</v>
      </c>
      <c r="K1079" s="12">
        <f>Combined[[#This Row],[Time Spent]]*24</f>
        <v>2.2666666666666666</v>
      </c>
      <c r="L1079" s="12">
        <f>MROUND(Combined[[#This Row],[Time Spent 2]],0.25)</f>
        <v>2.25</v>
      </c>
      <c r="M1079" s="2" t="s">
        <v>91</v>
      </c>
      <c r="N1079" t="s">
        <v>80</v>
      </c>
      <c r="O1079">
        <f>MATCH(Combined[[#This Row],[Primary Area]],KPIs!$C$4:$C$7,0)</f>
        <v>2</v>
      </c>
      <c r="R1079" s="40"/>
      <c r="V1079" s="4"/>
      <c r="X1079"/>
    </row>
    <row r="1080" spans="2:24" x14ac:dyDescent="0.35">
      <c r="B1080">
        <f t="shared" si="284"/>
        <v>1078</v>
      </c>
      <c r="C1080" t="s">
        <v>86</v>
      </c>
      <c r="D1080" t="s">
        <v>176</v>
      </c>
      <c r="E1080">
        <f>IF(WEEKNUM(Combined[[#This Row],[Date]], 1) = 53, 1, WEEKNUM(Combined[[#This Row],[Date]], 2))</f>
        <v>8</v>
      </c>
      <c r="F1080" t="str">
        <f t="shared" si="293"/>
        <v>Monday</v>
      </c>
      <c r="G1080" s="41">
        <v>45341</v>
      </c>
      <c r="H1080">
        <v>1</v>
      </c>
      <c r="I1080" s="1">
        <v>17</v>
      </c>
      <c r="J1080" s="2">
        <v>3.2638888888888891E-2</v>
      </c>
      <c r="K1080" s="12">
        <f>Combined[[#This Row],[Time Spent]]*24</f>
        <v>0.78333333333333344</v>
      </c>
      <c r="L1080" s="12">
        <f>MROUND(Combined[[#This Row],[Time Spent 2]],0.25)</f>
        <v>0.75</v>
      </c>
      <c r="M1080" s="2" t="s">
        <v>91</v>
      </c>
      <c r="N1080" t="s">
        <v>80</v>
      </c>
      <c r="O1080">
        <f>MATCH(Combined[[#This Row],[Primary Area]],KPIs!$C$4:$C$7,0)</f>
        <v>2</v>
      </c>
      <c r="R1080" s="40"/>
      <c r="V1080" s="4"/>
      <c r="X1080"/>
    </row>
    <row r="1081" spans="2:24" x14ac:dyDescent="0.35">
      <c r="B1081">
        <f t="shared" si="284"/>
        <v>1079</v>
      </c>
      <c r="C1081" t="s">
        <v>83</v>
      </c>
      <c r="D1081" t="s">
        <v>176</v>
      </c>
      <c r="E1081">
        <f>IF(WEEKNUM(Combined[[#This Row],[Date]], 1) = 53, 1, WEEKNUM(Combined[[#This Row],[Date]], 2))</f>
        <v>8</v>
      </c>
      <c r="F1081" t="str">
        <f t="shared" si="293"/>
        <v>Tuesday</v>
      </c>
      <c r="G1081" s="41">
        <v>45342</v>
      </c>
      <c r="H1081">
        <v>1</v>
      </c>
      <c r="I1081" s="1">
        <v>10.53</v>
      </c>
      <c r="J1081" s="2">
        <v>3.125E-2</v>
      </c>
      <c r="K1081" s="12">
        <f>Combined[[#This Row],[Time Spent]]*24</f>
        <v>0.75</v>
      </c>
      <c r="L1081" s="12">
        <f>MROUND(Combined[[#This Row],[Time Spent 2]],0.25)</f>
        <v>0.75</v>
      </c>
      <c r="M1081" s="2" t="s">
        <v>91</v>
      </c>
      <c r="N1081" t="s">
        <v>82</v>
      </c>
      <c r="O1081">
        <f>MATCH(Combined[[#This Row],[Primary Area]],KPIs!$C$4:$C$7,0)</f>
        <v>3</v>
      </c>
      <c r="R1081" s="40"/>
      <c r="V1081" s="4"/>
      <c r="X1081"/>
    </row>
    <row r="1082" spans="2:24" x14ac:dyDescent="0.35">
      <c r="B1082">
        <f t="shared" si="284"/>
        <v>1080</v>
      </c>
      <c r="C1082" t="s">
        <v>86</v>
      </c>
      <c r="D1082" t="s">
        <v>175</v>
      </c>
      <c r="E1082">
        <f>IF(WEEKNUM(Combined[[#This Row],[Date]], 1) = 53, 1, WEEKNUM(Combined[[#This Row],[Date]], 2))</f>
        <v>8</v>
      </c>
      <c r="F1082" t="str">
        <f t="shared" si="293"/>
        <v>Tuesday</v>
      </c>
      <c r="G1082" s="41">
        <v>45342</v>
      </c>
      <c r="H1082">
        <v>5</v>
      </c>
      <c r="I1082" s="1">
        <v>28.79</v>
      </c>
      <c r="J1082" s="2">
        <v>0.10277777777777777</v>
      </c>
      <c r="K1082" s="12">
        <f>Combined[[#This Row],[Time Spent]]*24</f>
        <v>2.4666666666666668</v>
      </c>
      <c r="L1082" s="12">
        <f>MROUND(Combined[[#This Row],[Time Spent 2]],0.25)</f>
        <v>2.5</v>
      </c>
      <c r="M1082" s="2" t="s">
        <v>91</v>
      </c>
      <c r="N1082" t="s">
        <v>82</v>
      </c>
      <c r="O1082">
        <f>MATCH(Combined[[#This Row],[Primary Area]],KPIs!$C$4:$C$7,0)</f>
        <v>3</v>
      </c>
      <c r="R1082" s="40"/>
      <c r="V1082" s="4"/>
      <c r="X1082"/>
    </row>
    <row r="1083" spans="2:24" x14ac:dyDescent="0.35">
      <c r="B1083">
        <f t="shared" si="284"/>
        <v>1081</v>
      </c>
      <c r="C1083" t="s">
        <v>86</v>
      </c>
      <c r="D1083" t="s">
        <v>175</v>
      </c>
      <c r="E1083">
        <f>IF(WEEKNUM(Combined[[#This Row],[Date]], 1) = 53, 1, WEEKNUM(Combined[[#This Row],[Date]], 2))</f>
        <v>8</v>
      </c>
      <c r="F1083" t="str">
        <f t="shared" si="293"/>
        <v>Wednesday</v>
      </c>
      <c r="G1083" s="41">
        <v>45343</v>
      </c>
      <c r="H1083">
        <v>4</v>
      </c>
      <c r="I1083" s="1">
        <v>27.94</v>
      </c>
      <c r="J1083" s="2">
        <v>7.2916666666666671E-2</v>
      </c>
      <c r="K1083" s="12">
        <f>Combined[[#This Row],[Time Spent]]*24</f>
        <v>1.75</v>
      </c>
      <c r="L1083" s="12">
        <f>MROUND(Combined[[#This Row],[Time Spent 2]],0.25)</f>
        <v>1.75</v>
      </c>
      <c r="M1083" s="2" t="s">
        <v>91</v>
      </c>
      <c r="N1083" t="s">
        <v>82</v>
      </c>
      <c r="O1083">
        <f>MATCH(Combined[[#This Row],[Primary Area]],KPIs!$C$4:$C$7,0)</f>
        <v>3</v>
      </c>
      <c r="R1083" s="40"/>
      <c r="V1083" s="4"/>
      <c r="X1083"/>
    </row>
    <row r="1084" spans="2:24" x14ac:dyDescent="0.35">
      <c r="B1084">
        <f t="shared" si="284"/>
        <v>1082</v>
      </c>
      <c r="C1084" t="s">
        <v>86</v>
      </c>
      <c r="D1084" t="s">
        <v>175</v>
      </c>
      <c r="E1084">
        <f>IF(WEEKNUM(Combined[[#This Row],[Date]], 1) = 53, 1, WEEKNUM(Combined[[#This Row],[Date]], 2))</f>
        <v>8</v>
      </c>
      <c r="F1084" t="str">
        <f t="shared" si="293"/>
        <v>Wednesday</v>
      </c>
      <c r="G1084" s="41">
        <v>45343</v>
      </c>
      <c r="H1084">
        <v>1</v>
      </c>
      <c r="I1084" s="1">
        <v>9.7200000000000006</v>
      </c>
      <c r="J1084" s="2">
        <v>1.9444444444444445E-2</v>
      </c>
      <c r="K1084" s="12">
        <f>Combined[[#This Row],[Time Spent]]*24</f>
        <v>0.46666666666666667</v>
      </c>
      <c r="L1084" s="12">
        <f>MROUND(Combined[[#This Row],[Time Spent 2]],0.25)</f>
        <v>0.5</v>
      </c>
      <c r="M1084" s="2" t="s">
        <v>91</v>
      </c>
      <c r="N1084" t="s">
        <v>82</v>
      </c>
      <c r="O1084">
        <f>MATCH(Combined[[#This Row],[Primary Area]],KPIs!$C$4:$C$7,0)</f>
        <v>3</v>
      </c>
      <c r="R1084" s="40"/>
      <c r="V1084" s="4"/>
      <c r="X1084"/>
    </row>
    <row r="1085" spans="2:24" x14ac:dyDescent="0.35">
      <c r="B1085">
        <f t="shared" si="284"/>
        <v>1083</v>
      </c>
      <c r="C1085" t="s">
        <v>83</v>
      </c>
      <c r="D1085" t="s">
        <v>176</v>
      </c>
      <c r="E1085">
        <f>IF(WEEKNUM(Combined[[#This Row],[Date]], 1) = 53, 1, WEEKNUM(Combined[[#This Row],[Date]], 2))</f>
        <v>8</v>
      </c>
      <c r="F1085" t="str">
        <f t="shared" si="293"/>
        <v>Thursday</v>
      </c>
      <c r="G1085" s="41">
        <v>45344</v>
      </c>
      <c r="H1085">
        <v>5</v>
      </c>
      <c r="I1085" s="1">
        <v>50.98</v>
      </c>
      <c r="J1085" s="2">
        <v>0.10625</v>
      </c>
      <c r="K1085" s="12">
        <f>Combined[[#This Row],[Time Spent]]*24</f>
        <v>2.5499999999999998</v>
      </c>
      <c r="L1085" s="12">
        <f>MROUND(Combined[[#This Row],[Time Spent 2]],0.25)</f>
        <v>2.5</v>
      </c>
      <c r="M1085" s="2" t="s">
        <v>91</v>
      </c>
      <c r="N1085" t="s">
        <v>82</v>
      </c>
      <c r="O1085">
        <f>MATCH(Combined[[#This Row],[Primary Area]],KPIs!$C$4:$C$7,0)</f>
        <v>3</v>
      </c>
      <c r="R1085" s="40"/>
      <c r="V1085" s="4"/>
      <c r="X1085"/>
    </row>
    <row r="1086" spans="2:24" x14ac:dyDescent="0.35">
      <c r="B1086">
        <f t="shared" si="284"/>
        <v>1084</v>
      </c>
      <c r="C1086" t="s">
        <v>86</v>
      </c>
      <c r="D1086" t="s">
        <v>175</v>
      </c>
      <c r="E1086">
        <f>IF(WEEKNUM(Combined[[#This Row],[Date]], 1) = 53, 1, WEEKNUM(Combined[[#This Row],[Date]], 2))</f>
        <v>8</v>
      </c>
      <c r="F1086" t="str">
        <f t="shared" si="293"/>
        <v>Thursday</v>
      </c>
      <c r="G1086" s="41">
        <v>45344</v>
      </c>
      <c r="H1086">
        <v>2</v>
      </c>
      <c r="I1086" s="1">
        <v>29.68</v>
      </c>
      <c r="J1086" s="2">
        <v>6.1805555555555558E-2</v>
      </c>
      <c r="K1086" s="12">
        <f>Combined[[#This Row],[Time Spent]]*24</f>
        <v>1.4833333333333334</v>
      </c>
      <c r="L1086" s="12">
        <f>MROUND(Combined[[#This Row],[Time Spent 2]],0.25)</f>
        <v>1.5</v>
      </c>
      <c r="M1086" s="2" t="s">
        <v>91</v>
      </c>
      <c r="N1086" t="s">
        <v>82</v>
      </c>
      <c r="O1086">
        <f>MATCH(Combined[[#This Row],[Primary Area]],KPIs!$C$4:$C$7,0)</f>
        <v>3</v>
      </c>
      <c r="R1086" s="40"/>
      <c r="V1086" s="4"/>
      <c r="X1086"/>
    </row>
    <row r="1087" spans="2:24" x14ac:dyDescent="0.35">
      <c r="B1087">
        <f t="shared" si="284"/>
        <v>1085</v>
      </c>
      <c r="C1087" t="s">
        <v>86</v>
      </c>
      <c r="D1087" t="s">
        <v>175</v>
      </c>
      <c r="E1087">
        <f>IF(WEEKNUM(Combined[[#This Row],[Date]], 1) = 53, 1, WEEKNUM(Combined[[#This Row],[Date]], 2))</f>
        <v>8</v>
      </c>
      <c r="F1087" t="str">
        <f t="shared" si="293"/>
        <v>Thursday</v>
      </c>
      <c r="G1087" s="41">
        <v>45344</v>
      </c>
      <c r="H1087">
        <v>1</v>
      </c>
      <c r="I1087" s="1">
        <v>5.43</v>
      </c>
      <c r="J1087" s="2">
        <v>4.8611111111111112E-2</v>
      </c>
      <c r="K1087" s="12">
        <f>Combined[[#This Row],[Time Spent]]*24</f>
        <v>1.1666666666666667</v>
      </c>
      <c r="L1087" s="12">
        <f>MROUND(Combined[[#This Row],[Time Spent 2]],0.25)</f>
        <v>1.25</v>
      </c>
      <c r="M1087" s="2" t="s">
        <v>91</v>
      </c>
      <c r="N1087" t="s">
        <v>82</v>
      </c>
      <c r="O1087">
        <f>MATCH(Combined[[#This Row],[Primary Area]],KPIs!$C$4:$C$7,0)</f>
        <v>3</v>
      </c>
      <c r="R1087" s="40"/>
      <c r="V1087" s="4"/>
      <c r="X1087"/>
    </row>
    <row r="1088" spans="2:24" x14ac:dyDescent="0.35">
      <c r="B1088">
        <f t="shared" si="284"/>
        <v>1086</v>
      </c>
      <c r="C1088" t="s">
        <v>86</v>
      </c>
      <c r="D1088" t="s">
        <v>176</v>
      </c>
      <c r="E1088">
        <f>IF(WEEKNUM(Combined[[#This Row],[Date]], 1) = 53, 1, WEEKNUM(Combined[[#This Row],[Date]], 2))</f>
        <v>8</v>
      </c>
      <c r="F1088" t="str">
        <f t="shared" si="293"/>
        <v>Thursday</v>
      </c>
      <c r="G1088" s="41">
        <v>45344</v>
      </c>
      <c r="H1088">
        <v>2</v>
      </c>
      <c r="I1088" s="1">
        <v>19.25</v>
      </c>
      <c r="J1088" s="2">
        <v>3.3333333333333333E-2</v>
      </c>
      <c r="K1088" s="12">
        <f>Combined[[#This Row],[Time Spent]]*24</f>
        <v>0.8</v>
      </c>
      <c r="L1088" s="12">
        <f>MROUND(Combined[[#This Row],[Time Spent 2]],0.25)</f>
        <v>0.75</v>
      </c>
      <c r="M1088" s="2" t="s">
        <v>91</v>
      </c>
      <c r="N1088" t="s">
        <v>82</v>
      </c>
      <c r="O1088">
        <f>MATCH(Combined[[#This Row],[Primary Area]],KPIs!$C$4:$C$7,0)</f>
        <v>3</v>
      </c>
      <c r="R1088" s="40"/>
      <c r="V1088" s="4"/>
      <c r="X1088"/>
    </row>
    <row r="1089" spans="2:24" x14ac:dyDescent="0.35">
      <c r="B1089">
        <f t="shared" si="284"/>
        <v>1087</v>
      </c>
      <c r="C1089" t="s">
        <v>83</v>
      </c>
      <c r="D1089" t="s">
        <v>176</v>
      </c>
      <c r="E1089">
        <f>IF(WEEKNUM(Combined[[#This Row],[Date]], 1) = 53, 1, WEEKNUM(Combined[[#This Row],[Date]], 2))</f>
        <v>8</v>
      </c>
      <c r="F1089" t="str">
        <f t="shared" si="293"/>
        <v>Saturday</v>
      </c>
      <c r="G1089" s="41">
        <v>45346</v>
      </c>
      <c r="H1089">
        <v>7</v>
      </c>
      <c r="I1089" s="1">
        <v>91.17</v>
      </c>
      <c r="J1089" s="2">
        <v>0.13125000000000001</v>
      </c>
      <c r="K1089" s="12">
        <f>Combined[[#This Row],[Time Spent]]*24</f>
        <v>3.1500000000000004</v>
      </c>
      <c r="L1089" s="12">
        <f>MROUND(Combined[[#This Row],[Time Spent 2]],0.25)</f>
        <v>3.25</v>
      </c>
      <c r="M1089" s="2" t="s">
        <v>91</v>
      </c>
      <c r="N1089" t="s">
        <v>80</v>
      </c>
      <c r="O1089">
        <f>MATCH(Combined[[#This Row],[Primary Area]],KPIs!$C$4:$C$7,0)</f>
        <v>2</v>
      </c>
      <c r="R1089" s="40"/>
      <c r="V1089" s="4"/>
      <c r="X1089"/>
    </row>
    <row r="1090" spans="2:24" x14ac:dyDescent="0.35">
      <c r="B1090">
        <f t="shared" si="284"/>
        <v>1088</v>
      </c>
      <c r="C1090" t="s">
        <v>86</v>
      </c>
      <c r="D1090" t="s">
        <v>175</v>
      </c>
      <c r="E1090">
        <f>IF(WEEKNUM(Combined[[#This Row],[Date]], 1) = 53, 1, WEEKNUM(Combined[[#This Row],[Date]], 2))</f>
        <v>8</v>
      </c>
      <c r="F1090" t="str">
        <f t="shared" si="293"/>
        <v>Saturday</v>
      </c>
      <c r="G1090" s="41">
        <v>45346</v>
      </c>
      <c r="H1090">
        <v>1</v>
      </c>
      <c r="I1090" s="1">
        <v>4.6900000000000004</v>
      </c>
      <c r="J1090" s="2">
        <v>3.3333333333333333E-2</v>
      </c>
      <c r="K1090" s="12">
        <f>Combined[[#This Row],[Time Spent]]*24</f>
        <v>0.8</v>
      </c>
      <c r="L1090" s="12">
        <f>MROUND(Combined[[#This Row],[Time Spent 2]],0.25)</f>
        <v>0.75</v>
      </c>
      <c r="M1090" s="2" t="s">
        <v>91</v>
      </c>
      <c r="N1090" t="s">
        <v>80</v>
      </c>
      <c r="O1090">
        <f>MATCH(Combined[[#This Row],[Primary Area]],KPIs!$C$4:$C$7,0)</f>
        <v>2</v>
      </c>
      <c r="R1090" s="40"/>
      <c r="V1090" s="4"/>
      <c r="X1090"/>
    </row>
    <row r="1091" spans="2:24" x14ac:dyDescent="0.35">
      <c r="B1091">
        <f t="shared" ref="B1091:B1154" si="294">ROW()-2</f>
        <v>1089</v>
      </c>
      <c r="C1091" t="s">
        <v>86</v>
      </c>
      <c r="D1091" t="s">
        <v>175</v>
      </c>
      <c r="E1091">
        <f>IF(WEEKNUM(Combined[[#This Row],[Date]], 1) = 53, 1, WEEKNUM(Combined[[#This Row],[Date]], 2))</f>
        <v>8</v>
      </c>
      <c r="F1091" t="str">
        <f t="shared" si="293"/>
        <v>Saturday</v>
      </c>
      <c r="G1091" s="41">
        <v>45346</v>
      </c>
      <c r="H1091">
        <v>2</v>
      </c>
      <c r="I1091" s="1">
        <v>10.52</v>
      </c>
      <c r="J1091" s="2">
        <v>2.4305555555555556E-2</v>
      </c>
      <c r="K1091" s="12">
        <f>Combined[[#This Row],[Time Spent]]*24</f>
        <v>0.58333333333333337</v>
      </c>
      <c r="L1091" s="12">
        <f>MROUND(Combined[[#This Row],[Time Spent 2]],0.25)</f>
        <v>0.5</v>
      </c>
      <c r="M1091" s="2" t="s">
        <v>92</v>
      </c>
      <c r="N1091" t="s">
        <v>80</v>
      </c>
      <c r="O1091">
        <f>MATCH(Combined[[#This Row],[Primary Area]],KPIs!$C$4:$C$7,0)</f>
        <v>2</v>
      </c>
      <c r="R1091" s="40"/>
      <c r="V1091" s="4"/>
      <c r="X1091"/>
    </row>
    <row r="1092" spans="2:24" x14ac:dyDescent="0.35">
      <c r="B1092">
        <f t="shared" si="294"/>
        <v>1090</v>
      </c>
      <c r="C1092" t="s">
        <v>83</v>
      </c>
      <c r="D1092" t="s">
        <v>176</v>
      </c>
      <c r="E1092">
        <f>IF(WEEKNUM(Combined[[#This Row],[Date]], 1) = 53, 1, WEEKNUM(Combined[[#This Row],[Date]], 2))</f>
        <v>9</v>
      </c>
      <c r="F1092" t="str">
        <f t="shared" ref="F1092:F1103" si="295">TEXT(WEEKDAY(G1092,1),"DDDD")</f>
        <v>Tuesday</v>
      </c>
      <c r="G1092" s="41">
        <v>45349</v>
      </c>
      <c r="H1092">
        <v>8</v>
      </c>
      <c r="I1092" s="1">
        <v>98.8</v>
      </c>
      <c r="J1092" s="2">
        <v>0.1361111111111111</v>
      </c>
      <c r="K1092" s="12">
        <f>Combined[[#This Row],[Time Spent]]*24</f>
        <v>3.2666666666666666</v>
      </c>
      <c r="L1092" s="12">
        <f>MROUND(Combined[[#This Row],[Time Spent 2]],0.25)</f>
        <v>3.25</v>
      </c>
      <c r="M1092" s="2" t="s">
        <v>91</v>
      </c>
      <c r="N1092" t="s">
        <v>80</v>
      </c>
      <c r="O1092">
        <f>MATCH(Combined[[#This Row],[Primary Area]],KPIs!$C$4:$C$7,0)</f>
        <v>2</v>
      </c>
      <c r="R1092" s="40"/>
      <c r="V1092" s="4"/>
      <c r="X1092"/>
    </row>
    <row r="1093" spans="2:24" x14ac:dyDescent="0.35">
      <c r="B1093">
        <f t="shared" si="294"/>
        <v>1091</v>
      </c>
      <c r="C1093" t="s">
        <v>86</v>
      </c>
      <c r="D1093" t="s">
        <v>176</v>
      </c>
      <c r="E1093">
        <f>IF(WEEKNUM(Combined[[#This Row],[Date]], 1) = 53, 1, WEEKNUM(Combined[[#This Row],[Date]], 2))</f>
        <v>9</v>
      </c>
      <c r="F1093" t="str">
        <f t="shared" si="295"/>
        <v>Tuesday</v>
      </c>
      <c r="G1093" s="41">
        <v>45349</v>
      </c>
      <c r="H1093">
        <v>2</v>
      </c>
      <c r="I1093" s="1">
        <v>25.75</v>
      </c>
      <c r="J1093" s="2">
        <v>4.3055555555555555E-2</v>
      </c>
      <c r="K1093" s="12">
        <f>Combined[[#This Row],[Time Spent]]*24</f>
        <v>1.0333333333333332</v>
      </c>
      <c r="L1093" s="12">
        <f>MROUND(Combined[[#This Row],[Time Spent 2]],0.25)</f>
        <v>1</v>
      </c>
      <c r="M1093" s="2" t="s">
        <v>92</v>
      </c>
      <c r="N1093" t="s">
        <v>80</v>
      </c>
      <c r="O1093">
        <f>MATCH(Combined[[#This Row],[Primary Area]],KPIs!$C$4:$C$7,0)</f>
        <v>2</v>
      </c>
      <c r="R1093" s="40"/>
      <c r="V1093" s="4"/>
      <c r="X1093"/>
    </row>
    <row r="1094" spans="2:24" x14ac:dyDescent="0.35">
      <c r="B1094">
        <f t="shared" si="294"/>
        <v>1092</v>
      </c>
      <c r="C1094" t="s">
        <v>83</v>
      </c>
      <c r="D1094" t="s">
        <v>176</v>
      </c>
      <c r="E1094">
        <f>IF(WEEKNUM(Combined[[#This Row],[Date]], 1) = 53, 1, WEEKNUM(Combined[[#This Row],[Date]], 2))</f>
        <v>9</v>
      </c>
      <c r="F1094" t="str">
        <f t="shared" si="295"/>
        <v>Wednesday</v>
      </c>
      <c r="G1094" s="41">
        <v>45350</v>
      </c>
      <c r="H1094">
        <v>2</v>
      </c>
      <c r="I1094" s="1">
        <v>20.63</v>
      </c>
      <c r="J1094" s="2">
        <v>5.2777777777777778E-2</v>
      </c>
      <c r="K1094" s="12">
        <f>Combined[[#This Row],[Time Spent]]*24</f>
        <v>1.2666666666666666</v>
      </c>
      <c r="L1094" s="12">
        <f>MROUND(Combined[[#This Row],[Time Spent 2]],0.25)</f>
        <v>1.25</v>
      </c>
      <c r="M1094" s="2" t="s">
        <v>91</v>
      </c>
      <c r="N1094" t="s">
        <v>80</v>
      </c>
      <c r="O1094">
        <f>MATCH(Combined[[#This Row],[Primary Area]],KPIs!$C$4:$C$7,0)</f>
        <v>2</v>
      </c>
      <c r="R1094" s="40"/>
      <c r="V1094" s="4"/>
      <c r="X1094"/>
    </row>
    <row r="1095" spans="2:24" x14ac:dyDescent="0.35">
      <c r="B1095">
        <f t="shared" si="294"/>
        <v>1093</v>
      </c>
      <c r="C1095" t="s">
        <v>86</v>
      </c>
      <c r="D1095" t="s">
        <v>176</v>
      </c>
      <c r="E1095">
        <f>IF(WEEKNUM(Combined[[#This Row],[Date]], 1) = 53, 1, WEEKNUM(Combined[[#This Row],[Date]], 2))</f>
        <v>9</v>
      </c>
      <c r="F1095" t="str">
        <f t="shared" si="295"/>
        <v>Wednesday</v>
      </c>
      <c r="G1095" s="41">
        <v>45350</v>
      </c>
      <c r="H1095">
        <v>2</v>
      </c>
      <c r="I1095" s="1">
        <v>22.25</v>
      </c>
      <c r="J1095" s="2">
        <v>4.4444444444444446E-2</v>
      </c>
      <c r="K1095" s="12">
        <f>Combined[[#This Row],[Time Spent]]*24</f>
        <v>1.0666666666666667</v>
      </c>
      <c r="L1095" s="12">
        <f>MROUND(Combined[[#This Row],[Time Spent 2]],0.25)</f>
        <v>1</v>
      </c>
      <c r="M1095" s="2" t="s">
        <v>91</v>
      </c>
      <c r="N1095" t="s">
        <v>80</v>
      </c>
      <c r="O1095">
        <f>MATCH(Combined[[#This Row],[Primary Area]],KPIs!$C$4:$C$7,0)</f>
        <v>2</v>
      </c>
      <c r="R1095" s="40"/>
      <c r="V1095" s="4"/>
      <c r="X1095"/>
    </row>
    <row r="1096" spans="2:24" x14ac:dyDescent="0.35">
      <c r="B1096">
        <f t="shared" si="294"/>
        <v>1094</v>
      </c>
      <c r="C1096" t="s">
        <v>86</v>
      </c>
      <c r="D1096" t="s">
        <v>176</v>
      </c>
      <c r="E1096">
        <f>IF(WEEKNUM(Combined[[#This Row],[Date]], 1) = 53, 1, WEEKNUM(Combined[[#This Row],[Date]], 2))</f>
        <v>9</v>
      </c>
      <c r="F1096" t="str">
        <f t="shared" si="295"/>
        <v>Wednesday</v>
      </c>
      <c r="G1096" s="41">
        <v>45350</v>
      </c>
      <c r="H1096">
        <v>4</v>
      </c>
      <c r="I1096" s="1">
        <v>29.5</v>
      </c>
      <c r="J1096" s="2">
        <v>4.3749999999999997E-2</v>
      </c>
      <c r="K1096" s="12">
        <f>Combined[[#This Row],[Time Spent]]*24</f>
        <v>1.0499999999999998</v>
      </c>
      <c r="L1096" s="12">
        <f>MROUND(Combined[[#This Row],[Time Spent 2]],0.25)</f>
        <v>1</v>
      </c>
      <c r="M1096" s="2" t="s">
        <v>91</v>
      </c>
      <c r="N1096" t="s">
        <v>80</v>
      </c>
      <c r="O1096">
        <f>MATCH(Combined[[#This Row],[Primary Area]],KPIs!$C$4:$C$7,0)</f>
        <v>2</v>
      </c>
      <c r="R1096" s="40"/>
      <c r="V1096" s="4"/>
      <c r="X1096"/>
    </row>
    <row r="1097" spans="2:24" x14ac:dyDescent="0.35">
      <c r="B1097">
        <f t="shared" si="294"/>
        <v>1095</v>
      </c>
      <c r="C1097" t="s">
        <v>83</v>
      </c>
      <c r="D1097" t="s">
        <v>176</v>
      </c>
      <c r="E1097">
        <f>IF(WEEKNUM(Combined[[#This Row],[Date]], 1) = 53, 1, WEEKNUM(Combined[[#This Row],[Date]], 2))</f>
        <v>9</v>
      </c>
      <c r="F1097" t="str">
        <f t="shared" si="295"/>
        <v>Friday</v>
      </c>
      <c r="G1097" s="41">
        <v>45352</v>
      </c>
      <c r="H1097">
        <v>6</v>
      </c>
      <c r="I1097" s="1">
        <v>85.14</v>
      </c>
      <c r="J1097" s="2">
        <v>0.15208333333333332</v>
      </c>
      <c r="K1097" s="12">
        <f>Combined[[#This Row],[Time Spent]]*24</f>
        <v>3.6499999999999995</v>
      </c>
      <c r="L1097" s="12">
        <f>MROUND(Combined[[#This Row],[Time Spent 2]],0.25)</f>
        <v>3.75</v>
      </c>
      <c r="M1097" s="2" t="s">
        <v>91</v>
      </c>
      <c r="N1097" t="s">
        <v>80</v>
      </c>
      <c r="O1097">
        <f>MATCH(Combined[[#This Row],[Primary Area]],KPIs!$C$4:$C$7,0)</f>
        <v>2</v>
      </c>
      <c r="R1097" s="40"/>
      <c r="V1097" s="4"/>
      <c r="X1097"/>
    </row>
    <row r="1098" spans="2:24" x14ac:dyDescent="0.35">
      <c r="B1098">
        <f t="shared" si="294"/>
        <v>1096</v>
      </c>
      <c r="C1098" t="s">
        <v>83</v>
      </c>
      <c r="D1098" t="s">
        <v>176</v>
      </c>
      <c r="E1098">
        <f>IF(WEEKNUM(Combined[[#This Row],[Date]], 1) = 53, 1, WEEKNUM(Combined[[#This Row],[Date]], 2))</f>
        <v>9</v>
      </c>
      <c r="F1098" t="str">
        <f t="shared" si="295"/>
        <v>Saturday</v>
      </c>
      <c r="G1098" s="41">
        <v>45353</v>
      </c>
      <c r="H1098">
        <v>6</v>
      </c>
      <c r="I1098" s="1">
        <v>88.14</v>
      </c>
      <c r="J1098" s="2">
        <v>0.13819444444444445</v>
      </c>
      <c r="K1098" s="12">
        <f>Combined[[#This Row],[Time Spent]]*24</f>
        <v>3.3166666666666669</v>
      </c>
      <c r="L1098" s="12">
        <f>MROUND(Combined[[#This Row],[Time Spent 2]],0.25)</f>
        <v>3.25</v>
      </c>
      <c r="M1098" s="2" t="s">
        <v>91</v>
      </c>
      <c r="N1098" t="s">
        <v>80</v>
      </c>
      <c r="O1098">
        <f>MATCH(Combined[[#This Row],[Primary Area]],KPIs!$C$4:$C$7,0)</f>
        <v>2</v>
      </c>
      <c r="R1098" s="40"/>
      <c r="V1098" s="4"/>
      <c r="X1098"/>
    </row>
    <row r="1099" spans="2:24" x14ac:dyDescent="0.35">
      <c r="B1099">
        <f t="shared" si="294"/>
        <v>1097</v>
      </c>
      <c r="C1099" t="s">
        <v>86</v>
      </c>
      <c r="D1099" t="s">
        <v>176</v>
      </c>
      <c r="E1099">
        <f>IF(WEEKNUM(Combined[[#This Row],[Date]], 1) = 53, 1, WEEKNUM(Combined[[#This Row],[Date]], 2))</f>
        <v>9</v>
      </c>
      <c r="F1099" t="str">
        <f t="shared" si="295"/>
        <v>Saturday</v>
      </c>
      <c r="G1099" s="41">
        <v>45353</v>
      </c>
      <c r="H1099">
        <v>1</v>
      </c>
      <c r="I1099" s="1">
        <v>16</v>
      </c>
      <c r="J1099" s="2">
        <v>2.7083333333333334E-2</v>
      </c>
      <c r="K1099" s="12">
        <f>Combined[[#This Row],[Time Spent]]*24</f>
        <v>0.65</v>
      </c>
      <c r="L1099" s="12">
        <f>MROUND(Combined[[#This Row],[Time Spent 2]],0.25)</f>
        <v>0.75</v>
      </c>
      <c r="M1099" s="2" t="s">
        <v>91</v>
      </c>
      <c r="N1099" t="s">
        <v>80</v>
      </c>
      <c r="O1099">
        <f>MATCH(Combined[[#This Row],[Primary Area]],KPIs!$C$4:$C$7,0)</f>
        <v>2</v>
      </c>
      <c r="R1099" s="40"/>
      <c r="V1099" s="4"/>
      <c r="X1099"/>
    </row>
    <row r="1100" spans="2:24" x14ac:dyDescent="0.35">
      <c r="B1100">
        <f t="shared" si="294"/>
        <v>1098</v>
      </c>
      <c r="C1100" t="s">
        <v>86</v>
      </c>
      <c r="D1100" t="s">
        <v>176</v>
      </c>
      <c r="E1100">
        <f>IF(WEEKNUM(Combined[[#This Row],[Date]], 1) = 53, 1, WEEKNUM(Combined[[#This Row],[Date]], 2))</f>
        <v>9</v>
      </c>
      <c r="F1100" t="str">
        <f t="shared" si="295"/>
        <v>Saturday</v>
      </c>
      <c r="G1100" s="41">
        <v>45353</v>
      </c>
      <c r="H1100">
        <v>1</v>
      </c>
      <c r="I1100" s="1">
        <v>17.5</v>
      </c>
      <c r="J1100" s="2">
        <v>4.6527777777777779E-2</v>
      </c>
      <c r="K1100" s="12">
        <f>Combined[[#This Row],[Time Spent]]*24</f>
        <v>1.1166666666666667</v>
      </c>
      <c r="L1100" s="12">
        <f>MROUND(Combined[[#This Row],[Time Spent 2]],0.25)</f>
        <v>1</v>
      </c>
      <c r="M1100" s="2" t="s">
        <v>91</v>
      </c>
      <c r="N1100" t="s">
        <v>80</v>
      </c>
      <c r="O1100">
        <f>MATCH(Combined[[#This Row],[Primary Area]],KPIs!$C$4:$C$7,0)</f>
        <v>2</v>
      </c>
      <c r="R1100" s="40"/>
      <c r="V1100" s="4"/>
      <c r="X1100"/>
    </row>
    <row r="1101" spans="2:24" x14ac:dyDescent="0.35">
      <c r="B1101">
        <f t="shared" si="294"/>
        <v>1099</v>
      </c>
      <c r="C1101" t="s">
        <v>86</v>
      </c>
      <c r="D1101" t="s">
        <v>176</v>
      </c>
      <c r="E1101">
        <f>IF(WEEKNUM(Combined[[#This Row],[Date]], 1) = 53, 1, WEEKNUM(Combined[[#This Row],[Date]], 2))</f>
        <v>9</v>
      </c>
      <c r="F1101" t="str">
        <f t="shared" si="295"/>
        <v>Saturday</v>
      </c>
      <c r="G1101" s="41">
        <v>45353</v>
      </c>
      <c r="H1101">
        <v>1</v>
      </c>
      <c r="I1101" s="1">
        <v>7.5</v>
      </c>
      <c r="J1101" s="2">
        <v>2.5694444444444443E-2</v>
      </c>
      <c r="K1101" s="12">
        <f>Combined[[#This Row],[Time Spent]]*24</f>
        <v>0.6166666666666667</v>
      </c>
      <c r="L1101" s="12">
        <f>MROUND(Combined[[#This Row],[Time Spent 2]],0.25)</f>
        <v>0.5</v>
      </c>
      <c r="M1101" s="2" t="s">
        <v>92</v>
      </c>
      <c r="N1101" t="s">
        <v>80</v>
      </c>
      <c r="O1101">
        <f>MATCH(Combined[[#This Row],[Primary Area]],KPIs!$C$4:$C$7,0)</f>
        <v>2</v>
      </c>
      <c r="R1101" s="40"/>
      <c r="V1101" s="4"/>
      <c r="X1101"/>
    </row>
    <row r="1102" spans="2:24" x14ac:dyDescent="0.35">
      <c r="B1102">
        <f t="shared" si="294"/>
        <v>1100</v>
      </c>
      <c r="C1102" t="s">
        <v>83</v>
      </c>
      <c r="D1102" t="s">
        <v>176</v>
      </c>
      <c r="E1102">
        <f>IF(WEEKNUM(Combined[[#This Row],[Date]], 1) = 53, 1, WEEKNUM(Combined[[#This Row],[Date]], 2))</f>
        <v>9</v>
      </c>
      <c r="F1102" t="str">
        <f t="shared" si="295"/>
        <v>Sunday</v>
      </c>
      <c r="G1102" s="41">
        <v>45354</v>
      </c>
      <c r="H1102">
        <v>2</v>
      </c>
      <c r="I1102" s="1">
        <v>24.46</v>
      </c>
      <c r="J1102" s="2">
        <v>6.805555555555555E-2</v>
      </c>
      <c r="K1102" s="12">
        <f>Combined[[#This Row],[Time Spent]]*24</f>
        <v>1.6333333333333333</v>
      </c>
      <c r="L1102" s="12">
        <f>MROUND(Combined[[#This Row],[Time Spent 2]],0.25)</f>
        <v>1.75</v>
      </c>
      <c r="M1102" s="2" t="s">
        <v>91</v>
      </c>
      <c r="N1102" t="s">
        <v>82</v>
      </c>
      <c r="O1102">
        <f>MATCH(Combined[[#This Row],[Primary Area]],KPIs!$C$4:$C$7,0)</f>
        <v>3</v>
      </c>
      <c r="R1102" s="40"/>
      <c r="V1102" s="4"/>
      <c r="X1102"/>
    </row>
    <row r="1103" spans="2:24" x14ac:dyDescent="0.35">
      <c r="B1103">
        <f t="shared" si="294"/>
        <v>1101</v>
      </c>
      <c r="C1103" t="s">
        <v>86</v>
      </c>
      <c r="D1103" t="s">
        <v>176</v>
      </c>
      <c r="E1103">
        <f>IF(WEEKNUM(Combined[[#This Row],[Date]], 1) = 53, 1, WEEKNUM(Combined[[#This Row],[Date]], 2))</f>
        <v>9</v>
      </c>
      <c r="F1103" t="str">
        <f t="shared" si="295"/>
        <v>Sunday</v>
      </c>
      <c r="G1103" s="41">
        <v>45354</v>
      </c>
      <c r="H1103">
        <v>7</v>
      </c>
      <c r="I1103" s="1">
        <v>54.9</v>
      </c>
      <c r="J1103" s="2">
        <v>0.12361111111111112</v>
      </c>
      <c r="K1103" s="12">
        <f>Combined[[#This Row],[Time Spent]]*24</f>
        <v>2.9666666666666668</v>
      </c>
      <c r="L1103" s="12">
        <f>MROUND(Combined[[#This Row],[Time Spent 2]],0.25)</f>
        <v>3</v>
      </c>
      <c r="M1103" s="2" t="s">
        <v>91</v>
      </c>
      <c r="N1103" t="s">
        <v>82</v>
      </c>
      <c r="O1103">
        <f>MATCH(Combined[[#This Row],[Primary Area]],KPIs!$C$4:$C$7,0)</f>
        <v>3</v>
      </c>
      <c r="R1103" s="40"/>
      <c r="V1103" s="4"/>
      <c r="X1103"/>
    </row>
    <row r="1104" spans="2:24" x14ac:dyDescent="0.35">
      <c r="B1104">
        <f t="shared" si="294"/>
        <v>1102</v>
      </c>
      <c r="C1104" t="s">
        <v>83</v>
      </c>
      <c r="D1104" t="s">
        <v>176</v>
      </c>
      <c r="E1104">
        <f>IF(WEEKNUM(Combined[[#This Row],[Date]], 1) = 53, 1, WEEKNUM(Combined[[#This Row],[Date]], 2))</f>
        <v>10</v>
      </c>
      <c r="F1104" t="str">
        <f t="shared" ref="F1104:F1111" si="296">TEXT(WEEKDAY(G1104,1),"DDDD")</f>
        <v>Tuesday</v>
      </c>
      <c r="G1104" s="41">
        <v>45356</v>
      </c>
      <c r="H1104">
        <v>1</v>
      </c>
      <c r="I1104" s="1">
        <v>9.02</v>
      </c>
      <c r="J1104" s="2">
        <v>0.05</v>
      </c>
      <c r="K1104" s="12">
        <f>Combined[[#This Row],[Time Spent]]*24</f>
        <v>1.2000000000000002</v>
      </c>
      <c r="L1104" s="12">
        <f>MROUND(Combined[[#This Row],[Time Spent 2]],0.25)</f>
        <v>1.25</v>
      </c>
      <c r="M1104" s="2" t="s">
        <v>91</v>
      </c>
      <c r="N1104" t="s">
        <v>80</v>
      </c>
      <c r="O1104">
        <f>MATCH(Combined[[#This Row],[Primary Area]],KPIs!$C$4:$C$7,0)</f>
        <v>2</v>
      </c>
      <c r="R1104" s="40"/>
      <c r="V1104" s="4"/>
      <c r="X1104"/>
    </row>
    <row r="1105" spans="2:24" x14ac:dyDescent="0.35">
      <c r="B1105">
        <f t="shared" si="294"/>
        <v>1103</v>
      </c>
      <c r="C1105" t="s">
        <v>86</v>
      </c>
      <c r="D1105" t="s">
        <v>176</v>
      </c>
      <c r="E1105">
        <f>IF(WEEKNUM(Combined[[#This Row],[Date]], 1) = 53, 1, WEEKNUM(Combined[[#This Row],[Date]], 2))</f>
        <v>10</v>
      </c>
      <c r="F1105" t="str">
        <f t="shared" si="296"/>
        <v>Tuesday</v>
      </c>
      <c r="G1105" s="41">
        <v>45356</v>
      </c>
      <c r="H1105">
        <v>6</v>
      </c>
      <c r="I1105" s="1">
        <v>47.5</v>
      </c>
      <c r="J1105" s="2">
        <v>0.12708333333333333</v>
      </c>
      <c r="K1105" s="12">
        <f>Combined[[#This Row],[Time Spent]]*24</f>
        <v>3.05</v>
      </c>
      <c r="L1105" s="12">
        <f>MROUND(Combined[[#This Row],[Time Spent 2]],0.25)</f>
        <v>3</v>
      </c>
      <c r="M1105" s="2" t="s">
        <v>91</v>
      </c>
      <c r="N1105" t="s">
        <v>80</v>
      </c>
      <c r="O1105">
        <f>MATCH(Combined[[#This Row],[Primary Area]],KPIs!$C$4:$C$7,0)</f>
        <v>2</v>
      </c>
      <c r="R1105" s="40"/>
      <c r="V1105" s="4"/>
      <c r="X1105"/>
    </row>
    <row r="1106" spans="2:24" x14ac:dyDescent="0.35">
      <c r="B1106">
        <f t="shared" si="294"/>
        <v>1104</v>
      </c>
      <c r="C1106" t="s">
        <v>86</v>
      </c>
      <c r="D1106" t="s">
        <v>175</v>
      </c>
      <c r="E1106">
        <f>IF(WEEKNUM(Combined[[#This Row],[Date]], 1) = 53, 1, WEEKNUM(Combined[[#This Row],[Date]], 2))</f>
        <v>10</v>
      </c>
      <c r="F1106" t="str">
        <f t="shared" si="296"/>
        <v>Tuesday</v>
      </c>
      <c r="G1106" s="41">
        <v>45356</v>
      </c>
      <c r="H1106">
        <v>1</v>
      </c>
      <c r="I1106" s="1">
        <v>8.8000000000000007</v>
      </c>
      <c r="J1106" s="2">
        <v>1.5972222222222221E-2</v>
      </c>
      <c r="K1106" s="12">
        <f>Combined[[#This Row],[Time Spent]]*24</f>
        <v>0.3833333333333333</v>
      </c>
      <c r="L1106" s="12">
        <f>MROUND(Combined[[#This Row],[Time Spent 2]],0.25)</f>
        <v>0.5</v>
      </c>
      <c r="M1106" s="2" t="s">
        <v>91</v>
      </c>
      <c r="N1106" t="s">
        <v>80</v>
      </c>
      <c r="O1106">
        <f>MATCH(Combined[[#This Row],[Primary Area]],KPIs!$C$4:$C$7,0)</f>
        <v>2</v>
      </c>
      <c r="R1106" s="40"/>
      <c r="V1106" s="4"/>
      <c r="X1106"/>
    </row>
    <row r="1107" spans="2:24" x14ac:dyDescent="0.35">
      <c r="B1107">
        <f t="shared" si="294"/>
        <v>1105</v>
      </c>
      <c r="C1107" t="s">
        <v>83</v>
      </c>
      <c r="D1107" t="s">
        <v>176</v>
      </c>
      <c r="E1107">
        <f>IF(WEEKNUM(Combined[[#This Row],[Date]], 1) = 53, 1, WEEKNUM(Combined[[#This Row],[Date]], 2))</f>
        <v>10</v>
      </c>
      <c r="F1107" t="str">
        <f t="shared" si="296"/>
        <v>Saturday</v>
      </c>
      <c r="G1107" s="41">
        <v>45360</v>
      </c>
      <c r="H1107">
        <v>7</v>
      </c>
      <c r="I1107" s="1">
        <v>123.05</v>
      </c>
      <c r="J1107" s="2">
        <v>0.20833333333333334</v>
      </c>
      <c r="K1107" s="12">
        <f>Combined[[#This Row],[Time Spent]]*24</f>
        <v>5</v>
      </c>
      <c r="L1107" s="12">
        <f>MROUND(Combined[[#This Row],[Time Spent 2]],0.25)</f>
        <v>5</v>
      </c>
      <c r="M1107" s="2"/>
      <c r="N1107" t="s">
        <v>80</v>
      </c>
      <c r="O1107">
        <f>MATCH(Combined[[#This Row],[Primary Area]],KPIs!$C$4:$C$7,0)</f>
        <v>2</v>
      </c>
      <c r="R1107" s="40"/>
      <c r="V1107" s="4"/>
      <c r="X1107"/>
    </row>
    <row r="1108" spans="2:24" x14ac:dyDescent="0.35">
      <c r="B1108">
        <f t="shared" si="294"/>
        <v>1106</v>
      </c>
      <c r="C1108" t="s">
        <v>86</v>
      </c>
      <c r="D1108" t="s">
        <v>176</v>
      </c>
      <c r="E1108">
        <f>IF(WEEKNUM(Combined[[#This Row],[Date]], 1) = 53, 1, WEEKNUM(Combined[[#This Row],[Date]], 2))</f>
        <v>10</v>
      </c>
      <c r="F1108" t="str">
        <f t="shared" si="296"/>
        <v>Saturday</v>
      </c>
      <c r="G1108" s="41">
        <v>45360</v>
      </c>
      <c r="H1108">
        <v>2</v>
      </c>
      <c r="I1108" s="1">
        <v>23.05</v>
      </c>
      <c r="J1108" s="2">
        <v>3.4027777777777775E-2</v>
      </c>
      <c r="K1108" s="12">
        <f>Combined[[#This Row],[Time Spent]]*24</f>
        <v>0.81666666666666665</v>
      </c>
      <c r="L1108" s="12">
        <f>MROUND(Combined[[#This Row],[Time Spent 2]],0.25)</f>
        <v>0.75</v>
      </c>
      <c r="M1108" s="2" t="s">
        <v>90</v>
      </c>
      <c r="N1108" t="s">
        <v>80</v>
      </c>
      <c r="O1108">
        <f>MATCH(Combined[[#This Row],[Primary Area]],KPIs!$C$4:$C$7,0)</f>
        <v>2</v>
      </c>
      <c r="R1108" s="40"/>
      <c r="V1108" s="4"/>
      <c r="X1108"/>
    </row>
    <row r="1109" spans="2:24" x14ac:dyDescent="0.35">
      <c r="B1109">
        <f t="shared" si="294"/>
        <v>1107</v>
      </c>
      <c r="C1109" t="s">
        <v>86</v>
      </c>
      <c r="D1109" t="s">
        <v>175</v>
      </c>
      <c r="E1109">
        <f>IF(WEEKNUM(Combined[[#This Row],[Date]], 1) = 53, 1, WEEKNUM(Combined[[#This Row],[Date]], 2))</f>
        <v>10</v>
      </c>
      <c r="F1109" t="str">
        <f t="shared" si="296"/>
        <v>Saturday</v>
      </c>
      <c r="G1109" s="41">
        <v>45360</v>
      </c>
      <c r="H1109">
        <v>6</v>
      </c>
      <c r="I1109" s="1">
        <v>44.32</v>
      </c>
      <c r="J1109" s="2">
        <v>0.13402777777777777</v>
      </c>
      <c r="K1109" s="12">
        <f>Combined[[#This Row],[Time Spent]]*24</f>
        <v>3.2166666666666668</v>
      </c>
      <c r="L1109" s="12">
        <f>MROUND(Combined[[#This Row],[Time Spent 2]],0.25)</f>
        <v>3.25</v>
      </c>
      <c r="M1109" s="2" t="s">
        <v>90</v>
      </c>
      <c r="N1109" t="s">
        <v>80</v>
      </c>
      <c r="O1109">
        <f>MATCH(Combined[[#This Row],[Primary Area]],KPIs!$C$4:$C$7,0)</f>
        <v>2</v>
      </c>
      <c r="R1109" s="40"/>
      <c r="V1109" s="4"/>
      <c r="X1109"/>
    </row>
    <row r="1110" spans="2:24" x14ac:dyDescent="0.35">
      <c r="B1110">
        <f t="shared" si="294"/>
        <v>1108</v>
      </c>
      <c r="C1110" t="s">
        <v>86</v>
      </c>
      <c r="D1110" t="s">
        <v>176</v>
      </c>
      <c r="E1110">
        <f>IF(WEEKNUM(Combined[[#This Row],[Date]], 1) = 53, 1, WEEKNUM(Combined[[#This Row],[Date]], 2))</f>
        <v>10</v>
      </c>
      <c r="F1110" t="str">
        <f t="shared" si="296"/>
        <v>Saturday</v>
      </c>
      <c r="G1110" s="41">
        <v>45360</v>
      </c>
      <c r="H1110">
        <v>1</v>
      </c>
      <c r="I1110" s="1">
        <v>12.5</v>
      </c>
      <c r="J1110" s="2">
        <v>2.2916666666666665E-2</v>
      </c>
      <c r="K1110" s="12">
        <f>Combined[[#This Row],[Time Spent]]*24</f>
        <v>0.54999999999999993</v>
      </c>
      <c r="L1110" s="12">
        <f>MROUND(Combined[[#This Row],[Time Spent 2]],0.25)</f>
        <v>0.5</v>
      </c>
      <c r="M1110" s="2" t="s">
        <v>91</v>
      </c>
      <c r="N1110" t="s">
        <v>80</v>
      </c>
      <c r="O1110">
        <f>MATCH(Combined[[#This Row],[Primary Area]],KPIs!$C$4:$C$7,0)</f>
        <v>2</v>
      </c>
      <c r="R1110" s="40"/>
      <c r="V1110" s="4"/>
      <c r="X1110"/>
    </row>
    <row r="1111" spans="2:24" x14ac:dyDescent="0.35">
      <c r="B1111">
        <f t="shared" si="294"/>
        <v>1109</v>
      </c>
      <c r="C1111" t="s">
        <v>86</v>
      </c>
      <c r="D1111" t="s">
        <v>175</v>
      </c>
      <c r="E1111">
        <f>IF(WEEKNUM(Combined[[#This Row],[Date]], 1) = 53, 1, WEEKNUM(Combined[[#This Row],[Date]], 2))</f>
        <v>10</v>
      </c>
      <c r="F1111" t="str">
        <f t="shared" si="296"/>
        <v>Saturday</v>
      </c>
      <c r="G1111" s="41">
        <v>45360</v>
      </c>
      <c r="H1111">
        <v>1</v>
      </c>
      <c r="I1111" s="1">
        <v>18.899999999999999</v>
      </c>
      <c r="J1111" s="2">
        <v>2.9166666666666667E-2</v>
      </c>
      <c r="K1111" s="12">
        <f>Combined[[#This Row],[Time Spent]]*24</f>
        <v>0.7</v>
      </c>
      <c r="L1111" s="12">
        <f>MROUND(Combined[[#This Row],[Time Spent 2]],0.25)</f>
        <v>0.75</v>
      </c>
      <c r="M1111" s="2" t="s">
        <v>91</v>
      </c>
      <c r="N1111" t="s">
        <v>80</v>
      </c>
      <c r="O1111">
        <f>MATCH(Combined[[#This Row],[Primary Area]],KPIs!$C$4:$C$7,0)</f>
        <v>2</v>
      </c>
      <c r="R1111" s="40"/>
      <c r="V1111" s="4"/>
      <c r="X1111"/>
    </row>
    <row r="1112" spans="2:24" x14ac:dyDescent="0.35">
      <c r="B1112">
        <f t="shared" si="294"/>
        <v>1110</v>
      </c>
      <c r="C1112" t="s">
        <v>83</v>
      </c>
      <c r="D1112" t="s">
        <v>176</v>
      </c>
      <c r="E1112">
        <f>IF(WEEKNUM(Combined[[#This Row],[Date]], 1) = 53, 1, WEEKNUM(Combined[[#This Row],[Date]], 2))</f>
        <v>11</v>
      </c>
      <c r="F1112" t="str">
        <f t="shared" ref="F1112:F1120" si="297">TEXT(WEEKDAY(G1112,1),"DDDD")</f>
        <v>Monday</v>
      </c>
      <c r="G1112" s="41">
        <v>45362</v>
      </c>
      <c r="H1112">
        <v>1</v>
      </c>
      <c r="I1112" s="1">
        <v>11.06</v>
      </c>
      <c r="J1112" s="2">
        <v>4.6527777777777779E-2</v>
      </c>
      <c r="K1112" s="12">
        <f>Combined[[#This Row],[Time Spent]]*24</f>
        <v>1.1166666666666667</v>
      </c>
      <c r="L1112" s="12">
        <f>MROUND(Combined[[#This Row],[Time Spent 2]],0.25)</f>
        <v>1</v>
      </c>
      <c r="M1112" s="2" t="s">
        <v>91</v>
      </c>
      <c r="N1112" t="s">
        <v>80</v>
      </c>
      <c r="O1112">
        <f>MATCH(Combined[[#This Row],[Primary Area]],KPIs!$C$4:$C$7,0)</f>
        <v>2</v>
      </c>
      <c r="R1112" s="40"/>
      <c r="V1112" s="4"/>
      <c r="X1112"/>
    </row>
    <row r="1113" spans="2:24" x14ac:dyDescent="0.35">
      <c r="B1113">
        <f t="shared" si="294"/>
        <v>1111</v>
      </c>
      <c r="C1113" t="s">
        <v>86</v>
      </c>
      <c r="D1113" t="s">
        <v>176</v>
      </c>
      <c r="E1113">
        <f>IF(WEEKNUM(Combined[[#This Row],[Date]], 1) = 53, 1, WEEKNUM(Combined[[#This Row],[Date]], 2))</f>
        <v>11</v>
      </c>
      <c r="F1113" t="str">
        <f t="shared" si="297"/>
        <v>Monday</v>
      </c>
      <c r="G1113" s="41">
        <v>45362</v>
      </c>
      <c r="H1113">
        <v>9</v>
      </c>
      <c r="I1113" s="1">
        <f>81.5+4.13</f>
        <v>85.63</v>
      </c>
      <c r="J1113" s="2">
        <v>0.12916666666666668</v>
      </c>
      <c r="K1113" s="12">
        <f>Combined[[#This Row],[Time Spent]]*24</f>
        <v>3.1000000000000005</v>
      </c>
      <c r="L1113" s="12">
        <f>MROUND(Combined[[#This Row],[Time Spent 2]],0.25)</f>
        <v>3</v>
      </c>
      <c r="M1113" s="2" t="s">
        <v>91</v>
      </c>
      <c r="N1113" t="s">
        <v>80</v>
      </c>
      <c r="O1113">
        <f>MATCH(Combined[[#This Row],[Primary Area]],KPIs!$C$4:$C$7,0)</f>
        <v>2</v>
      </c>
      <c r="R1113" s="40"/>
      <c r="V1113" s="4"/>
      <c r="X1113"/>
    </row>
    <row r="1114" spans="2:24" x14ac:dyDescent="0.35">
      <c r="B1114">
        <f t="shared" si="294"/>
        <v>1112</v>
      </c>
      <c r="C1114" t="s">
        <v>83</v>
      </c>
      <c r="D1114" t="s">
        <v>176</v>
      </c>
      <c r="E1114">
        <f>IF(WEEKNUM(Combined[[#This Row],[Date]], 1) = 53, 1, WEEKNUM(Combined[[#This Row],[Date]], 2))</f>
        <v>11</v>
      </c>
      <c r="F1114" t="str">
        <f t="shared" si="297"/>
        <v>Wednesday</v>
      </c>
      <c r="G1114" s="41">
        <v>45364</v>
      </c>
      <c r="H1114">
        <v>3</v>
      </c>
      <c r="I1114" s="1">
        <v>42.91</v>
      </c>
      <c r="J1114" s="2">
        <v>7.1527777777777773E-2</v>
      </c>
      <c r="K1114" s="12">
        <f>Combined[[#This Row],[Time Spent]]*24</f>
        <v>1.7166666666666666</v>
      </c>
      <c r="L1114" s="12">
        <f>MROUND(Combined[[#This Row],[Time Spent 2]],0.25)</f>
        <v>1.75</v>
      </c>
      <c r="M1114" s="2" t="s">
        <v>91</v>
      </c>
      <c r="N1114" t="s">
        <v>85</v>
      </c>
      <c r="O1114">
        <f>MATCH(Combined[[#This Row],[Primary Area]],KPIs!$C$4:$C$7,0)</f>
        <v>4</v>
      </c>
      <c r="R1114" s="40"/>
      <c r="V1114" s="4"/>
      <c r="X1114"/>
    </row>
    <row r="1115" spans="2:24" x14ac:dyDescent="0.35">
      <c r="B1115">
        <f t="shared" si="294"/>
        <v>1113</v>
      </c>
      <c r="C1115" t="s">
        <v>86</v>
      </c>
      <c r="D1115" t="s">
        <v>176</v>
      </c>
      <c r="E1115">
        <f>IF(WEEKNUM(Combined[[#This Row],[Date]], 1) = 53, 1, WEEKNUM(Combined[[#This Row],[Date]], 2))</f>
        <v>11</v>
      </c>
      <c r="F1115" t="str">
        <f t="shared" si="297"/>
        <v>Wednesday</v>
      </c>
      <c r="G1115" s="41">
        <v>45364</v>
      </c>
      <c r="H1115">
        <v>4</v>
      </c>
      <c r="I1115" s="1">
        <v>56.36</v>
      </c>
      <c r="J1115" s="2">
        <v>9.7222222222222224E-2</v>
      </c>
      <c r="K1115" s="12">
        <f>Combined[[#This Row],[Time Spent]]*24</f>
        <v>2.3333333333333335</v>
      </c>
      <c r="L1115" s="12">
        <f>MROUND(Combined[[#This Row],[Time Spent 2]],0.25)</f>
        <v>2.25</v>
      </c>
      <c r="M1115" s="2" t="s">
        <v>91</v>
      </c>
      <c r="N1115" t="s">
        <v>80</v>
      </c>
      <c r="O1115">
        <f>MATCH(Combined[[#This Row],[Primary Area]],KPIs!$C$4:$C$7,0)</f>
        <v>2</v>
      </c>
      <c r="R1115" s="40"/>
      <c r="V1115" s="4"/>
      <c r="X1115"/>
    </row>
    <row r="1116" spans="2:24" x14ac:dyDescent="0.35">
      <c r="B1116">
        <f t="shared" si="294"/>
        <v>1114</v>
      </c>
      <c r="C1116" t="s">
        <v>86</v>
      </c>
      <c r="D1116" t="s">
        <v>176</v>
      </c>
      <c r="E1116">
        <f>IF(WEEKNUM(Combined[[#This Row],[Date]], 1) = 53, 1, WEEKNUM(Combined[[#This Row],[Date]], 2))</f>
        <v>11</v>
      </c>
      <c r="F1116" t="str">
        <f t="shared" si="297"/>
        <v>Wednesday</v>
      </c>
      <c r="G1116" s="41">
        <v>45364</v>
      </c>
      <c r="H1116">
        <v>2</v>
      </c>
      <c r="I1116" s="1">
        <v>15.25</v>
      </c>
      <c r="J1116" s="2">
        <v>2.8472222222222222E-2</v>
      </c>
      <c r="K1116" s="12">
        <f>Combined[[#This Row],[Time Spent]]*24</f>
        <v>0.68333333333333335</v>
      </c>
      <c r="L1116" s="12">
        <f>MROUND(Combined[[#This Row],[Time Spent 2]],0.25)</f>
        <v>0.75</v>
      </c>
      <c r="M1116" s="2" t="s">
        <v>91</v>
      </c>
      <c r="N1116" t="s">
        <v>80</v>
      </c>
      <c r="O1116">
        <f>MATCH(Combined[[#This Row],[Primary Area]],KPIs!$C$4:$C$7,0)</f>
        <v>2</v>
      </c>
      <c r="R1116" s="40"/>
      <c r="V1116" s="4"/>
      <c r="X1116"/>
    </row>
    <row r="1117" spans="2:24" x14ac:dyDescent="0.35">
      <c r="B1117">
        <f t="shared" si="294"/>
        <v>1115</v>
      </c>
      <c r="C1117" t="s">
        <v>83</v>
      </c>
      <c r="D1117" t="s">
        <v>176</v>
      </c>
      <c r="E1117">
        <f>IF(WEEKNUM(Combined[[#This Row],[Date]], 1) = 53, 1, WEEKNUM(Combined[[#This Row],[Date]], 2))</f>
        <v>11</v>
      </c>
      <c r="F1117" t="str">
        <f t="shared" si="297"/>
        <v>Thursday</v>
      </c>
      <c r="G1117" s="41">
        <v>45365</v>
      </c>
      <c r="H1117">
        <v>3</v>
      </c>
      <c r="I1117" s="1">
        <v>38.25</v>
      </c>
      <c r="J1117" s="2">
        <v>0.10347222222222222</v>
      </c>
      <c r="K1117" s="12">
        <f>Combined[[#This Row],[Time Spent]]*24</f>
        <v>2.4833333333333334</v>
      </c>
      <c r="L1117" s="12">
        <f>MROUND(Combined[[#This Row],[Time Spent 2]],0.25)</f>
        <v>2.5</v>
      </c>
      <c r="M1117" s="2" t="s">
        <v>91</v>
      </c>
      <c r="N1117" t="s">
        <v>85</v>
      </c>
      <c r="O1117">
        <f>MATCH(Combined[[#This Row],[Primary Area]],KPIs!$C$4:$C$7,0)</f>
        <v>4</v>
      </c>
      <c r="R1117" s="40"/>
      <c r="V1117" s="4"/>
      <c r="X1117"/>
    </row>
    <row r="1118" spans="2:24" x14ac:dyDescent="0.35">
      <c r="B1118">
        <f t="shared" si="294"/>
        <v>1116</v>
      </c>
      <c r="C1118" t="s">
        <v>86</v>
      </c>
      <c r="D1118" t="s">
        <v>176</v>
      </c>
      <c r="E1118">
        <f>IF(WEEKNUM(Combined[[#This Row],[Date]], 1) = 53, 1, WEEKNUM(Combined[[#This Row],[Date]], 2))</f>
        <v>11</v>
      </c>
      <c r="F1118" t="str">
        <f t="shared" si="297"/>
        <v>Thursday</v>
      </c>
      <c r="G1118" s="41">
        <v>45365</v>
      </c>
      <c r="H1118">
        <v>1</v>
      </c>
      <c r="I1118" s="1">
        <v>16.25</v>
      </c>
      <c r="J1118" s="2">
        <v>7.2916666666666671E-2</v>
      </c>
      <c r="K1118" s="12">
        <f>Combined[[#This Row],[Time Spent]]*24</f>
        <v>1.75</v>
      </c>
      <c r="L1118" s="12">
        <f>MROUND(Combined[[#This Row],[Time Spent 2]],0.25)</f>
        <v>1.75</v>
      </c>
      <c r="M1118" s="2" t="s">
        <v>91</v>
      </c>
      <c r="N1118" t="s">
        <v>85</v>
      </c>
      <c r="O1118">
        <f>MATCH(Combined[[#This Row],[Primary Area]],KPIs!$C$4:$C$7,0)</f>
        <v>4</v>
      </c>
      <c r="R1118" s="40"/>
      <c r="V1118" s="4"/>
      <c r="X1118"/>
    </row>
    <row r="1119" spans="2:24" x14ac:dyDescent="0.35">
      <c r="B1119">
        <f t="shared" si="294"/>
        <v>1117</v>
      </c>
      <c r="C1119" t="s">
        <v>86</v>
      </c>
      <c r="D1119" t="s">
        <v>176</v>
      </c>
      <c r="E1119">
        <f>IF(WEEKNUM(Combined[[#This Row],[Date]], 1) = 53, 1, WEEKNUM(Combined[[#This Row],[Date]], 2))</f>
        <v>11</v>
      </c>
      <c r="F1119" t="str">
        <f t="shared" si="297"/>
        <v>Thursday</v>
      </c>
      <c r="G1119" s="41">
        <v>45365</v>
      </c>
      <c r="H1119">
        <v>2</v>
      </c>
      <c r="I1119" s="1">
        <v>21.5</v>
      </c>
      <c r="J1119" s="2">
        <v>4.8611111111111112E-2</v>
      </c>
      <c r="K1119" s="12">
        <f>Combined[[#This Row],[Time Spent]]*24</f>
        <v>1.1666666666666667</v>
      </c>
      <c r="L1119" s="12">
        <f>MROUND(Combined[[#This Row],[Time Spent 2]],0.25)</f>
        <v>1.25</v>
      </c>
      <c r="M1119" s="2" t="s">
        <v>91</v>
      </c>
      <c r="N1119" t="s">
        <v>85</v>
      </c>
      <c r="O1119">
        <f>MATCH(Combined[[#This Row],[Primary Area]],KPIs!$C$4:$C$7,0)</f>
        <v>4</v>
      </c>
      <c r="R1119" s="40"/>
      <c r="V1119" s="4"/>
      <c r="X1119"/>
    </row>
    <row r="1120" spans="2:24" x14ac:dyDescent="0.35">
      <c r="B1120">
        <f t="shared" si="294"/>
        <v>1118</v>
      </c>
      <c r="C1120" t="s">
        <v>83</v>
      </c>
      <c r="D1120" t="s">
        <v>176</v>
      </c>
      <c r="E1120">
        <f>IF(WEEKNUM(Combined[[#This Row],[Date]], 1) = 53, 1, WEEKNUM(Combined[[#This Row],[Date]], 2))</f>
        <v>11</v>
      </c>
      <c r="F1120" t="str">
        <f t="shared" si="297"/>
        <v>Friday</v>
      </c>
      <c r="G1120" s="41">
        <v>45366</v>
      </c>
      <c r="H1120">
        <v>4</v>
      </c>
      <c r="I1120" s="1">
        <v>35.799999999999997</v>
      </c>
      <c r="J1120" s="2">
        <v>6.5277777777777782E-2</v>
      </c>
      <c r="K1120" s="12">
        <f>Combined[[#This Row],[Time Spent]]*24</f>
        <v>1.5666666666666669</v>
      </c>
      <c r="L1120" s="12">
        <f>MROUND(Combined[[#This Row],[Time Spent 2]],0.25)</f>
        <v>1.5</v>
      </c>
      <c r="M1120" s="2" t="s">
        <v>91</v>
      </c>
      <c r="N1120" t="s">
        <v>82</v>
      </c>
      <c r="O1120">
        <f>MATCH(Combined[[#This Row],[Primary Area]],KPIs!$C$4:$C$7,0)</f>
        <v>3</v>
      </c>
      <c r="R1120" s="40"/>
      <c r="V1120" s="4"/>
      <c r="X1120"/>
    </row>
    <row r="1121" spans="2:24" x14ac:dyDescent="0.35">
      <c r="B1121">
        <f t="shared" si="294"/>
        <v>1119</v>
      </c>
      <c r="C1121" t="s">
        <v>86</v>
      </c>
      <c r="D1121" t="s">
        <v>176</v>
      </c>
      <c r="E1121">
        <f>IF(WEEKNUM(Combined[[#This Row],[Date]], 1) = 53, 1, WEEKNUM(Combined[[#This Row],[Date]], 2))</f>
        <v>11</v>
      </c>
      <c r="F1121" t="str">
        <f t="shared" ref="F1121:F1125" si="298">TEXT(WEEKDAY(G1121,1),"DDDD")</f>
        <v>Friday</v>
      </c>
      <c r="G1121" s="41">
        <v>45366</v>
      </c>
      <c r="H1121">
        <v>1</v>
      </c>
      <c r="I1121" s="1">
        <v>9.5</v>
      </c>
      <c r="J1121" s="2">
        <v>3.6805555555555557E-2</v>
      </c>
      <c r="K1121" s="12">
        <f>Combined[[#This Row],[Time Spent]]*24</f>
        <v>0.8833333333333333</v>
      </c>
      <c r="L1121" s="12">
        <f>MROUND(Combined[[#This Row],[Time Spent 2]],0.25)</f>
        <v>1</v>
      </c>
      <c r="M1121" s="2" t="s">
        <v>91</v>
      </c>
      <c r="N1121" t="s">
        <v>82</v>
      </c>
      <c r="O1121">
        <f>MATCH(Combined[[#This Row],[Primary Area]],KPIs!$C$4:$C$7,0)</f>
        <v>3</v>
      </c>
      <c r="R1121" s="40"/>
      <c r="V1121" s="4"/>
      <c r="X1121"/>
    </row>
    <row r="1122" spans="2:24" x14ac:dyDescent="0.35">
      <c r="B1122">
        <f t="shared" si="294"/>
        <v>1120</v>
      </c>
      <c r="C1122" t="s">
        <v>86</v>
      </c>
      <c r="D1122" t="s">
        <v>176</v>
      </c>
      <c r="E1122">
        <f>IF(WEEKNUM(Combined[[#This Row],[Date]], 1) = 53, 1, WEEKNUM(Combined[[#This Row],[Date]], 2))</f>
        <v>11</v>
      </c>
      <c r="F1122" t="str">
        <f t="shared" si="298"/>
        <v>Friday</v>
      </c>
      <c r="G1122" s="41">
        <v>45366</v>
      </c>
      <c r="H1122">
        <v>6</v>
      </c>
      <c r="I1122" s="1">
        <v>39.5</v>
      </c>
      <c r="J1122" s="2">
        <v>7.5694444444444439E-2</v>
      </c>
      <c r="K1122" s="12">
        <f>Combined[[#This Row],[Time Spent]]*24</f>
        <v>1.8166666666666664</v>
      </c>
      <c r="L1122" s="12">
        <f>MROUND(Combined[[#This Row],[Time Spent 2]],0.25)</f>
        <v>1.75</v>
      </c>
      <c r="M1122" s="2" t="s">
        <v>91</v>
      </c>
      <c r="N1122" t="s">
        <v>82</v>
      </c>
      <c r="O1122">
        <f>MATCH(Combined[[#This Row],[Primary Area]],KPIs!$C$4:$C$7,0)</f>
        <v>3</v>
      </c>
      <c r="R1122" s="40"/>
      <c r="V1122" s="4"/>
      <c r="X1122"/>
    </row>
    <row r="1123" spans="2:24" x14ac:dyDescent="0.35">
      <c r="B1123">
        <f t="shared" si="294"/>
        <v>1121</v>
      </c>
      <c r="C1123" t="s">
        <v>86</v>
      </c>
      <c r="D1123" t="s">
        <v>176</v>
      </c>
      <c r="E1123">
        <f>IF(WEEKNUM(Combined[[#This Row],[Date]], 1) = 53, 1, WEEKNUM(Combined[[#This Row],[Date]], 2))</f>
        <v>11</v>
      </c>
      <c r="F1123" t="str">
        <f t="shared" si="298"/>
        <v>Friday</v>
      </c>
      <c r="G1123" s="41">
        <v>45366</v>
      </c>
      <c r="H1123">
        <v>1</v>
      </c>
      <c r="I1123" s="1">
        <v>6.25</v>
      </c>
      <c r="J1123" s="2">
        <v>1.7361111111111112E-2</v>
      </c>
      <c r="K1123" s="12">
        <f>Combined[[#This Row],[Time Spent]]*24</f>
        <v>0.41666666666666669</v>
      </c>
      <c r="L1123" s="12">
        <f>MROUND(Combined[[#This Row],[Time Spent 2]],0.25)</f>
        <v>0.5</v>
      </c>
      <c r="M1123" s="2" t="s">
        <v>92</v>
      </c>
      <c r="N1123" t="s">
        <v>82</v>
      </c>
      <c r="O1123">
        <f>MATCH(Combined[[#This Row],[Primary Area]],KPIs!$C$4:$C$7,0)</f>
        <v>3</v>
      </c>
      <c r="R1123" s="40"/>
      <c r="V1123" s="4"/>
      <c r="X1123"/>
    </row>
    <row r="1124" spans="2:24" x14ac:dyDescent="0.35">
      <c r="B1124">
        <f t="shared" si="294"/>
        <v>1122</v>
      </c>
      <c r="C1124" t="s">
        <v>83</v>
      </c>
      <c r="D1124" t="s">
        <v>176</v>
      </c>
      <c r="E1124">
        <f>IF(WEEKNUM(Combined[[#This Row],[Date]], 1) = 53, 1, WEEKNUM(Combined[[#This Row],[Date]], 2))</f>
        <v>11</v>
      </c>
      <c r="F1124" t="str">
        <f t="shared" si="298"/>
        <v>Saturday</v>
      </c>
      <c r="G1124" s="41">
        <v>45367</v>
      </c>
      <c r="H1124">
        <v>4</v>
      </c>
      <c r="I1124" s="1">
        <v>53.21</v>
      </c>
      <c r="J1124" s="2">
        <v>0.11527777777777778</v>
      </c>
      <c r="K1124" s="12">
        <f>Combined[[#This Row],[Time Spent]]*24</f>
        <v>2.7666666666666666</v>
      </c>
      <c r="L1124" s="12">
        <f>MROUND(Combined[[#This Row],[Time Spent 2]],0.25)</f>
        <v>2.75</v>
      </c>
      <c r="M1124" s="2" t="s">
        <v>90</v>
      </c>
      <c r="N1124" t="s">
        <v>80</v>
      </c>
      <c r="O1124">
        <f>MATCH(Combined[[#This Row],[Primary Area]],KPIs!$C$4:$C$7,0)</f>
        <v>2</v>
      </c>
      <c r="R1124" s="40"/>
      <c r="V1124" s="4"/>
      <c r="X1124"/>
    </row>
    <row r="1125" spans="2:24" x14ac:dyDescent="0.35">
      <c r="B1125">
        <f t="shared" si="294"/>
        <v>1123</v>
      </c>
      <c r="C1125" t="s">
        <v>86</v>
      </c>
      <c r="D1125" t="s">
        <v>176</v>
      </c>
      <c r="E1125">
        <f>IF(WEEKNUM(Combined[[#This Row],[Date]], 1) = 53, 1, WEEKNUM(Combined[[#This Row],[Date]], 2))</f>
        <v>11</v>
      </c>
      <c r="F1125" t="str">
        <f t="shared" si="298"/>
        <v>Saturday</v>
      </c>
      <c r="G1125" s="41">
        <v>45367</v>
      </c>
      <c r="H1125">
        <v>2</v>
      </c>
      <c r="I1125" s="1">
        <v>30.94</v>
      </c>
      <c r="J1125" s="2">
        <v>0.10347222222222222</v>
      </c>
      <c r="K1125" s="12">
        <f>Combined[[#This Row],[Time Spent]]*24</f>
        <v>2.4833333333333334</v>
      </c>
      <c r="L1125" s="12">
        <f>MROUND(Combined[[#This Row],[Time Spent 2]],0.25)</f>
        <v>2.5</v>
      </c>
      <c r="M1125" s="2" t="s">
        <v>90</v>
      </c>
      <c r="N1125" t="s">
        <v>80</v>
      </c>
      <c r="O1125">
        <f>MATCH(Combined[[#This Row],[Primary Area]],KPIs!$C$4:$C$7,0)</f>
        <v>2</v>
      </c>
      <c r="R1125" s="40"/>
      <c r="V1125" s="4"/>
      <c r="X1125"/>
    </row>
    <row r="1126" spans="2:24" x14ac:dyDescent="0.35">
      <c r="B1126">
        <f t="shared" si="294"/>
        <v>1124</v>
      </c>
      <c r="C1126" t="s">
        <v>83</v>
      </c>
      <c r="D1126" t="s">
        <v>176</v>
      </c>
      <c r="E1126">
        <f>IF(WEEKNUM(Combined[[#This Row],[Date]], 1) = 53, 1, WEEKNUM(Combined[[#This Row],[Date]], 2))</f>
        <v>12</v>
      </c>
      <c r="F1126" t="str">
        <f t="shared" ref="F1126" si="299">TEXT(WEEKDAY(G1126,1),"DDDD")</f>
        <v>Tuesday</v>
      </c>
      <c r="G1126" s="41">
        <v>45370</v>
      </c>
      <c r="H1126">
        <v>8</v>
      </c>
      <c r="I1126" s="1">
        <v>114.44</v>
      </c>
      <c r="J1126" s="2">
        <v>0.14027777777777778</v>
      </c>
      <c r="K1126" s="12">
        <f>Combined[[#This Row],[Time Spent]]*24</f>
        <v>3.3666666666666667</v>
      </c>
      <c r="L1126" s="12">
        <f>MROUND(Combined[[#This Row],[Time Spent 2]],0.25)</f>
        <v>3.25</v>
      </c>
      <c r="M1126" s="2" t="s">
        <v>91</v>
      </c>
      <c r="N1126" t="s">
        <v>80</v>
      </c>
      <c r="O1126">
        <f>MATCH(Combined[[#This Row],[Primary Area]],KPIs!$C$4:$C$7,0)</f>
        <v>2</v>
      </c>
      <c r="R1126" s="40"/>
      <c r="V1126" s="4"/>
      <c r="X1126"/>
    </row>
    <row r="1127" spans="2:24" x14ac:dyDescent="0.35">
      <c r="B1127">
        <f t="shared" si="294"/>
        <v>1125</v>
      </c>
      <c r="C1127" t="s">
        <v>83</v>
      </c>
      <c r="D1127" t="s">
        <v>176</v>
      </c>
      <c r="E1127">
        <f>IF(WEEKNUM(Combined[[#This Row],[Date]], 1) = 53, 1, WEEKNUM(Combined[[#This Row],[Date]], 2))</f>
        <v>13</v>
      </c>
      <c r="F1127" t="str">
        <f t="shared" ref="F1127:F1133" si="300">TEXT(WEEKDAY(G1127,1),"DDDD")</f>
        <v>Monday</v>
      </c>
      <c r="G1127" s="41">
        <v>45376</v>
      </c>
      <c r="H1127">
        <v>2</v>
      </c>
      <c r="I1127" s="1">
        <v>44.4</v>
      </c>
      <c r="J1127" s="2">
        <v>6.0416666666666667E-2</v>
      </c>
      <c r="K1127" s="12">
        <f>Combined[[#This Row],[Time Spent]]*24</f>
        <v>1.45</v>
      </c>
      <c r="L1127" s="12">
        <f>MROUND(Combined[[#This Row],[Time Spent 2]],0.25)</f>
        <v>1.5</v>
      </c>
      <c r="M1127" s="2" t="s">
        <v>91</v>
      </c>
      <c r="N1127" t="s">
        <v>80</v>
      </c>
      <c r="O1127">
        <f>MATCH(Combined[[#This Row],[Primary Area]],KPIs!$C$4:$C$7,0)</f>
        <v>2</v>
      </c>
      <c r="R1127" s="40"/>
      <c r="V1127" s="4"/>
      <c r="X1127"/>
    </row>
    <row r="1128" spans="2:24" x14ac:dyDescent="0.35">
      <c r="B1128">
        <f t="shared" si="294"/>
        <v>1126</v>
      </c>
      <c r="C1128" t="s">
        <v>86</v>
      </c>
      <c r="D1128" t="s">
        <v>175</v>
      </c>
      <c r="E1128">
        <f>IF(WEEKNUM(Combined[[#This Row],[Date]], 1) = 53, 1, WEEKNUM(Combined[[#This Row],[Date]], 2))</f>
        <v>13</v>
      </c>
      <c r="F1128" t="str">
        <f t="shared" si="300"/>
        <v>Monday</v>
      </c>
      <c r="G1128" s="41">
        <v>45376</v>
      </c>
      <c r="H1128">
        <v>1</v>
      </c>
      <c r="I1128" s="1">
        <v>26.54</v>
      </c>
      <c r="J1128" s="2">
        <v>3.5416666666666666E-2</v>
      </c>
      <c r="K1128" s="12">
        <f>Combined[[#This Row],[Time Spent]]*24</f>
        <v>0.85</v>
      </c>
      <c r="L1128" s="12">
        <f>MROUND(Combined[[#This Row],[Time Spent 2]],0.25)</f>
        <v>0.75</v>
      </c>
      <c r="M1128" s="2" t="s">
        <v>91</v>
      </c>
      <c r="N1128" t="s">
        <v>80</v>
      </c>
      <c r="O1128">
        <f>MATCH(Combined[[#This Row],[Primary Area]],KPIs!$C$4:$C$7,0)</f>
        <v>2</v>
      </c>
      <c r="R1128" s="40"/>
      <c r="V1128" s="4"/>
      <c r="X1128"/>
    </row>
    <row r="1129" spans="2:24" x14ac:dyDescent="0.35">
      <c r="B1129">
        <f t="shared" si="294"/>
        <v>1127</v>
      </c>
      <c r="C1129" t="s">
        <v>86</v>
      </c>
      <c r="D1129" t="s">
        <v>175</v>
      </c>
      <c r="E1129">
        <f>IF(WEEKNUM(Combined[[#This Row],[Date]], 1) = 53, 1, WEEKNUM(Combined[[#This Row],[Date]], 2))</f>
        <v>13</v>
      </c>
      <c r="F1129" t="str">
        <f t="shared" si="300"/>
        <v>Monday</v>
      </c>
      <c r="G1129" s="41">
        <v>45376</v>
      </c>
      <c r="H1129">
        <v>3</v>
      </c>
      <c r="I1129" s="1">
        <v>31.04</v>
      </c>
      <c r="J1129" s="2">
        <v>7.1527777777777773E-2</v>
      </c>
      <c r="K1129" s="12">
        <f>Combined[[#This Row],[Time Spent]]*24</f>
        <v>1.7166666666666666</v>
      </c>
      <c r="L1129" s="12">
        <f>MROUND(Combined[[#This Row],[Time Spent 2]],0.25)</f>
        <v>1.75</v>
      </c>
      <c r="M1129" s="2" t="s">
        <v>91</v>
      </c>
      <c r="N1129" t="s">
        <v>80</v>
      </c>
      <c r="O1129">
        <f>MATCH(Combined[[#This Row],[Primary Area]],KPIs!$C$4:$C$7,0)</f>
        <v>2</v>
      </c>
      <c r="R1129" s="40"/>
      <c r="V1129" s="4"/>
      <c r="X1129"/>
    </row>
    <row r="1130" spans="2:24" x14ac:dyDescent="0.35">
      <c r="B1130">
        <f t="shared" si="294"/>
        <v>1128</v>
      </c>
      <c r="C1130" t="s">
        <v>86</v>
      </c>
      <c r="D1130" t="s">
        <v>176</v>
      </c>
      <c r="E1130">
        <f>IF(WEEKNUM(Combined[[#This Row],[Date]], 1) = 53, 1, WEEKNUM(Combined[[#This Row],[Date]], 2))</f>
        <v>13</v>
      </c>
      <c r="F1130" t="str">
        <f t="shared" si="300"/>
        <v>Tuesday</v>
      </c>
      <c r="G1130" s="41">
        <v>45377</v>
      </c>
      <c r="H1130">
        <v>7</v>
      </c>
      <c r="I1130" s="1">
        <v>69.17</v>
      </c>
      <c r="J1130" s="2">
        <v>0.10972222222222222</v>
      </c>
      <c r="K1130" s="12">
        <f>Combined[[#This Row],[Time Spent]]*24</f>
        <v>2.6333333333333333</v>
      </c>
      <c r="L1130" s="12">
        <f>MROUND(Combined[[#This Row],[Time Spent 2]],0.25)</f>
        <v>2.75</v>
      </c>
      <c r="M1130" s="2" t="s">
        <v>91</v>
      </c>
      <c r="N1130" t="s">
        <v>80</v>
      </c>
      <c r="O1130">
        <f>MATCH(Combined[[#This Row],[Primary Area]],KPIs!$C$4:$C$7,0)</f>
        <v>2</v>
      </c>
      <c r="R1130" s="40"/>
      <c r="V1130" s="4"/>
      <c r="X1130"/>
    </row>
    <row r="1131" spans="2:24" x14ac:dyDescent="0.35">
      <c r="B1131">
        <f t="shared" si="294"/>
        <v>1129</v>
      </c>
      <c r="C1131" t="s">
        <v>83</v>
      </c>
      <c r="D1131" t="s">
        <v>176</v>
      </c>
      <c r="E1131">
        <f>IF(WEEKNUM(Combined[[#This Row],[Date]], 1) = 53, 1, WEEKNUM(Combined[[#This Row],[Date]], 2))</f>
        <v>13</v>
      </c>
      <c r="F1131" t="str">
        <f t="shared" si="300"/>
        <v>Wednesday</v>
      </c>
      <c r="G1131" s="41">
        <v>45378</v>
      </c>
      <c r="H1131">
        <v>5</v>
      </c>
      <c r="I1131" s="1">
        <v>82.86</v>
      </c>
      <c r="J1131" s="2">
        <v>0.10625</v>
      </c>
      <c r="K1131" s="12">
        <f>Combined[[#This Row],[Time Spent]]*24</f>
        <v>2.5499999999999998</v>
      </c>
      <c r="L1131" s="12">
        <f>MROUND(Combined[[#This Row],[Time Spent 2]],0.25)</f>
        <v>2.5</v>
      </c>
      <c r="M1131" s="2" t="s">
        <v>91</v>
      </c>
      <c r="N1131" t="s">
        <v>80</v>
      </c>
      <c r="O1131">
        <f>MATCH(Combined[[#This Row],[Primary Area]],KPIs!$C$4:$C$7,0)</f>
        <v>2</v>
      </c>
      <c r="R1131" s="40"/>
      <c r="V1131" s="4"/>
      <c r="X1131"/>
    </row>
    <row r="1132" spans="2:24" x14ac:dyDescent="0.35">
      <c r="B1132">
        <f t="shared" si="294"/>
        <v>1130</v>
      </c>
      <c r="C1132" t="s">
        <v>86</v>
      </c>
      <c r="D1132" t="s">
        <v>176</v>
      </c>
      <c r="E1132">
        <f>IF(WEEKNUM(Combined[[#This Row],[Date]], 1) = 53, 1, WEEKNUM(Combined[[#This Row],[Date]], 2))</f>
        <v>13</v>
      </c>
      <c r="F1132" t="str">
        <f t="shared" si="300"/>
        <v>Wednesday</v>
      </c>
      <c r="G1132" s="41">
        <v>45378</v>
      </c>
      <c r="H1132">
        <v>2</v>
      </c>
      <c r="I1132" s="1">
        <v>43.5</v>
      </c>
      <c r="J1132" s="2">
        <v>3.8194444444444448E-2</v>
      </c>
      <c r="K1132" s="12">
        <f>Combined[[#This Row],[Time Spent]]*24</f>
        <v>0.91666666666666674</v>
      </c>
      <c r="L1132" s="12">
        <f>MROUND(Combined[[#This Row],[Time Spent 2]],0.25)</f>
        <v>1</v>
      </c>
      <c r="M1132" s="2" t="s">
        <v>91</v>
      </c>
      <c r="N1132" t="s">
        <v>80</v>
      </c>
      <c r="O1132">
        <f>MATCH(Combined[[#This Row],[Primary Area]],KPIs!$C$4:$C$7,0)</f>
        <v>2</v>
      </c>
      <c r="R1132" s="40"/>
      <c r="V1132" s="4"/>
      <c r="X1132"/>
    </row>
    <row r="1133" spans="2:24" x14ac:dyDescent="0.35">
      <c r="B1133">
        <f t="shared" si="294"/>
        <v>1131</v>
      </c>
      <c r="C1133" t="s">
        <v>83</v>
      </c>
      <c r="D1133" t="s">
        <v>176</v>
      </c>
      <c r="E1133">
        <f>IF(WEEKNUM(Combined[[#This Row],[Date]], 1) = 53, 1, WEEKNUM(Combined[[#This Row],[Date]], 2))</f>
        <v>13</v>
      </c>
      <c r="F1133" t="str">
        <f t="shared" si="300"/>
        <v>Friday</v>
      </c>
      <c r="G1133" s="41">
        <v>45380</v>
      </c>
      <c r="H1133">
        <v>9</v>
      </c>
      <c r="I1133" s="1">
        <v>155.94</v>
      </c>
      <c r="J1133" s="2">
        <v>0.21805555555555556</v>
      </c>
      <c r="K1133" s="12">
        <f>Combined[[#This Row],[Time Spent]]*24</f>
        <v>5.2333333333333334</v>
      </c>
      <c r="L1133" s="12">
        <f>MROUND(Combined[[#This Row],[Time Spent 2]],0.25)</f>
        <v>5.25</v>
      </c>
      <c r="M1133" s="2" t="s">
        <v>91</v>
      </c>
      <c r="N1133" t="s">
        <v>85</v>
      </c>
      <c r="O1133">
        <f>MATCH(Combined[[#This Row],[Primary Area]],KPIs!$C$4:$C$7,0)</f>
        <v>4</v>
      </c>
      <c r="R1133" s="40"/>
      <c r="V1133" s="4"/>
      <c r="X1133"/>
    </row>
    <row r="1134" spans="2:24" x14ac:dyDescent="0.35">
      <c r="B1134">
        <f t="shared" si="294"/>
        <v>1132</v>
      </c>
      <c r="C1134" t="s">
        <v>83</v>
      </c>
      <c r="D1134" t="s">
        <v>176</v>
      </c>
      <c r="E1134">
        <f>IF(WEEKNUM(Combined[[#This Row],[Date]], 1) = 53, 1, WEEKNUM(Combined[[#This Row],[Date]], 2))</f>
        <v>14</v>
      </c>
      <c r="F1134" t="str">
        <f t="shared" ref="F1134:F1144" si="301">TEXT(WEEKDAY(G1134,1),"DDDD")</f>
        <v>Monday</v>
      </c>
      <c r="G1134" s="41">
        <v>45383</v>
      </c>
      <c r="H1134">
        <v>6</v>
      </c>
      <c r="I1134" s="1">
        <v>60.83</v>
      </c>
      <c r="J1134" s="2">
        <v>0.1701388888888889</v>
      </c>
      <c r="K1134" s="12">
        <f>Combined[[#This Row],[Time Spent]]*24</f>
        <v>4.0833333333333339</v>
      </c>
      <c r="L1134" s="12">
        <f>MROUND(Combined[[#This Row],[Time Spent 2]],0.25)</f>
        <v>4</v>
      </c>
      <c r="M1134" s="2" t="s">
        <v>91</v>
      </c>
      <c r="N1134" t="s">
        <v>82</v>
      </c>
      <c r="O1134">
        <f>MATCH(Combined[[#This Row],[Primary Area]],KPIs!$C$4:$C$7,0)</f>
        <v>3</v>
      </c>
      <c r="R1134" s="40"/>
      <c r="V1134" s="4"/>
      <c r="X1134"/>
    </row>
    <row r="1135" spans="2:24" x14ac:dyDescent="0.35">
      <c r="B1135">
        <f t="shared" si="294"/>
        <v>1133</v>
      </c>
      <c r="C1135" t="s">
        <v>86</v>
      </c>
      <c r="D1135" t="s">
        <v>176</v>
      </c>
      <c r="E1135">
        <f>IF(WEEKNUM(Combined[[#This Row],[Date]], 1) = 53, 1, WEEKNUM(Combined[[#This Row],[Date]], 2))</f>
        <v>14</v>
      </c>
      <c r="F1135" t="str">
        <f t="shared" si="301"/>
        <v>Monday</v>
      </c>
      <c r="G1135" s="41">
        <v>45383</v>
      </c>
      <c r="H1135">
        <v>1</v>
      </c>
      <c r="I1135" s="1">
        <v>8</v>
      </c>
      <c r="J1135" s="2">
        <v>3.5416666666666666E-2</v>
      </c>
      <c r="K1135" s="12">
        <f>Combined[[#This Row],[Time Spent]]*24</f>
        <v>0.85</v>
      </c>
      <c r="L1135" s="12">
        <f>MROUND(Combined[[#This Row],[Time Spent 2]],0.25)</f>
        <v>0.75</v>
      </c>
      <c r="M1135" s="2" t="s">
        <v>91</v>
      </c>
      <c r="N1135" t="s">
        <v>82</v>
      </c>
      <c r="O1135">
        <f>MATCH(Combined[[#This Row],[Primary Area]],KPIs!$C$4:$C$7,0)</f>
        <v>3</v>
      </c>
      <c r="R1135" s="40"/>
      <c r="V1135" s="4"/>
      <c r="X1135"/>
    </row>
    <row r="1136" spans="2:24" x14ac:dyDescent="0.35">
      <c r="B1136">
        <f t="shared" si="294"/>
        <v>1134</v>
      </c>
      <c r="C1136" t="s">
        <v>83</v>
      </c>
      <c r="D1136" t="s">
        <v>176</v>
      </c>
      <c r="E1136">
        <f>IF(WEEKNUM(Combined[[#This Row],[Date]], 1) = 53, 1, WEEKNUM(Combined[[#This Row],[Date]], 2))</f>
        <v>14</v>
      </c>
      <c r="F1136" t="str">
        <f t="shared" si="301"/>
        <v>Tuesday</v>
      </c>
      <c r="G1136" s="41">
        <v>45384</v>
      </c>
      <c r="H1136">
        <v>2</v>
      </c>
      <c r="I1136" s="1">
        <v>20.7</v>
      </c>
      <c r="J1136" s="2">
        <v>7.4305555555555555E-2</v>
      </c>
      <c r="K1136" s="12">
        <f>Combined[[#This Row],[Time Spent]]*24</f>
        <v>1.7833333333333332</v>
      </c>
      <c r="L1136" s="12">
        <f>MROUND(Combined[[#This Row],[Time Spent 2]],0.25)</f>
        <v>1.75</v>
      </c>
      <c r="M1136" s="2" t="s">
        <v>91</v>
      </c>
      <c r="N1136" t="s">
        <v>80</v>
      </c>
      <c r="O1136">
        <f>MATCH(Combined[[#This Row],[Primary Area]],KPIs!$C$4:$C$7,0)</f>
        <v>2</v>
      </c>
      <c r="R1136" s="40"/>
      <c r="V1136" s="4"/>
      <c r="X1136"/>
    </row>
    <row r="1137" spans="2:24" x14ac:dyDescent="0.35">
      <c r="B1137">
        <f t="shared" si="294"/>
        <v>1135</v>
      </c>
      <c r="C1137" t="s">
        <v>86</v>
      </c>
      <c r="D1137" t="s">
        <v>176</v>
      </c>
      <c r="E1137">
        <f>IF(WEEKNUM(Combined[[#This Row],[Date]], 1) = 53, 1, WEEKNUM(Combined[[#This Row],[Date]], 2))</f>
        <v>14</v>
      </c>
      <c r="F1137" t="str">
        <f t="shared" si="301"/>
        <v>Tuesday</v>
      </c>
      <c r="G1137" s="41">
        <v>45384</v>
      </c>
      <c r="H1137">
        <v>8</v>
      </c>
      <c r="I1137" s="1">
        <v>50</v>
      </c>
      <c r="J1137" s="2">
        <v>0.10208333333333333</v>
      </c>
      <c r="K1137" s="12">
        <f>Combined[[#This Row],[Time Spent]]*24</f>
        <v>2.4500000000000002</v>
      </c>
      <c r="L1137" s="12">
        <f>MROUND(Combined[[#This Row],[Time Spent 2]],0.25)</f>
        <v>2.5</v>
      </c>
      <c r="M1137" s="2" t="s">
        <v>91</v>
      </c>
      <c r="N1137" t="s">
        <v>80</v>
      </c>
      <c r="O1137">
        <f>MATCH(Combined[[#This Row],[Primary Area]],KPIs!$C$4:$C$7,0)</f>
        <v>2</v>
      </c>
      <c r="R1137" s="40"/>
      <c r="V1137" s="4"/>
      <c r="X1137"/>
    </row>
    <row r="1138" spans="2:24" x14ac:dyDescent="0.35">
      <c r="B1138">
        <f t="shared" si="294"/>
        <v>1136</v>
      </c>
      <c r="C1138" t="s">
        <v>86</v>
      </c>
      <c r="D1138" t="s">
        <v>176</v>
      </c>
      <c r="E1138">
        <f>IF(WEEKNUM(Combined[[#This Row],[Date]], 1) = 53, 1, WEEKNUM(Combined[[#This Row],[Date]], 2))</f>
        <v>14</v>
      </c>
      <c r="F1138" t="str">
        <f t="shared" si="301"/>
        <v>Tuesday</v>
      </c>
      <c r="G1138" s="41">
        <v>45384</v>
      </c>
      <c r="H1138">
        <v>2</v>
      </c>
      <c r="I1138" s="1">
        <v>11</v>
      </c>
      <c r="J1138" s="2">
        <v>2.5694444444444443E-2</v>
      </c>
      <c r="K1138" s="12">
        <f>Combined[[#This Row],[Time Spent]]*24</f>
        <v>0.6166666666666667</v>
      </c>
      <c r="L1138" s="12">
        <f>MROUND(Combined[[#This Row],[Time Spent 2]],0.25)</f>
        <v>0.5</v>
      </c>
      <c r="M1138" s="2" t="s">
        <v>91</v>
      </c>
      <c r="N1138" t="s">
        <v>80</v>
      </c>
      <c r="O1138">
        <f>MATCH(Combined[[#This Row],[Primary Area]],KPIs!$C$4:$C$7,0)</f>
        <v>2</v>
      </c>
      <c r="R1138" s="40"/>
      <c r="V1138" s="4"/>
      <c r="X1138"/>
    </row>
    <row r="1139" spans="2:24" x14ac:dyDescent="0.35">
      <c r="B1139">
        <f t="shared" si="294"/>
        <v>1137</v>
      </c>
      <c r="C1139" t="s">
        <v>86</v>
      </c>
      <c r="D1139" t="s">
        <v>176</v>
      </c>
      <c r="E1139">
        <f>IF(WEEKNUM(Combined[[#This Row],[Date]], 1) = 53, 1, WEEKNUM(Combined[[#This Row],[Date]], 2))</f>
        <v>14</v>
      </c>
      <c r="F1139" t="str">
        <f t="shared" si="301"/>
        <v>Wednesday</v>
      </c>
      <c r="G1139" s="41">
        <v>45385</v>
      </c>
      <c r="H1139">
        <v>4</v>
      </c>
      <c r="I1139" s="1">
        <v>33</v>
      </c>
      <c r="J1139" s="2">
        <v>8.0555555555555561E-2</v>
      </c>
      <c r="K1139" s="12">
        <f>Combined[[#This Row],[Time Spent]]*24</f>
        <v>1.9333333333333336</v>
      </c>
      <c r="L1139" s="12">
        <f>MROUND(Combined[[#This Row],[Time Spent 2]],0.25)</f>
        <v>2</v>
      </c>
      <c r="M1139" s="2" t="s">
        <v>91</v>
      </c>
      <c r="N1139" t="s">
        <v>82</v>
      </c>
      <c r="O1139">
        <f>MATCH(Combined[[#This Row],[Primary Area]],KPIs!$C$4:$C$7,0)</f>
        <v>3</v>
      </c>
      <c r="R1139" s="40"/>
      <c r="V1139" s="4"/>
      <c r="X1139"/>
    </row>
    <row r="1140" spans="2:24" x14ac:dyDescent="0.35">
      <c r="B1140">
        <f t="shared" si="294"/>
        <v>1138</v>
      </c>
      <c r="C1140" t="s">
        <v>86</v>
      </c>
      <c r="D1140" t="s">
        <v>176</v>
      </c>
      <c r="E1140">
        <f>IF(WEEKNUM(Combined[[#This Row],[Date]], 1) = 53, 1, WEEKNUM(Combined[[#This Row],[Date]], 2))</f>
        <v>14</v>
      </c>
      <c r="F1140" t="str">
        <f t="shared" si="301"/>
        <v>Wednesday</v>
      </c>
      <c r="G1140" s="41">
        <v>45385</v>
      </c>
      <c r="H1140">
        <v>1</v>
      </c>
      <c r="I1140" s="1">
        <v>5.25</v>
      </c>
      <c r="J1140" s="2">
        <v>1.8055555555555554E-2</v>
      </c>
      <c r="K1140" s="12">
        <f>Combined[[#This Row],[Time Spent]]*24</f>
        <v>0.43333333333333329</v>
      </c>
      <c r="L1140" s="12">
        <f>MROUND(Combined[[#This Row],[Time Spent 2]],0.25)</f>
        <v>0.5</v>
      </c>
      <c r="M1140" s="2" t="s">
        <v>91</v>
      </c>
      <c r="N1140" t="s">
        <v>82</v>
      </c>
      <c r="O1140">
        <f>MATCH(Combined[[#This Row],[Primary Area]],KPIs!$C$4:$C$7,0)</f>
        <v>3</v>
      </c>
      <c r="R1140" s="40"/>
      <c r="V1140" s="4"/>
      <c r="X1140"/>
    </row>
    <row r="1141" spans="2:24" x14ac:dyDescent="0.35">
      <c r="B1141">
        <f t="shared" si="294"/>
        <v>1139</v>
      </c>
      <c r="C1141" t="s">
        <v>83</v>
      </c>
      <c r="D1141" t="s">
        <v>176</v>
      </c>
      <c r="E1141">
        <f>IF(WEEKNUM(Combined[[#This Row],[Date]], 1) = 53, 1, WEEKNUM(Combined[[#This Row],[Date]], 2))</f>
        <v>14</v>
      </c>
      <c r="F1141" t="str">
        <f t="shared" si="301"/>
        <v>Friday</v>
      </c>
      <c r="G1141" s="41">
        <v>45387</v>
      </c>
      <c r="H1141">
        <v>14</v>
      </c>
      <c r="I1141" s="1">
        <v>225.25</v>
      </c>
      <c r="J1141" s="2">
        <v>0.24861111111111112</v>
      </c>
      <c r="K1141" s="12">
        <f>Combined[[#This Row],[Time Spent]]*24</f>
        <v>5.9666666666666668</v>
      </c>
      <c r="L1141" s="12">
        <f>MROUND(Combined[[#This Row],[Time Spent 2]],0.25)</f>
        <v>6</v>
      </c>
      <c r="M1141" s="2" t="s">
        <v>91</v>
      </c>
      <c r="N1141" t="s">
        <v>80</v>
      </c>
      <c r="O1141">
        <f>MATCH(Combined[[#This Row],[Primary Area]],KPIs!$C$4:$C$7,0)</f>
        <v>2</v>
      </c>
      <c r="R1141" s="40"/>
      <c r="V1141" s="4"/>
      <c r="X1141"/>
    </row>
    <row r="1142" spans="2:24" x14ac:dyDescent="0.35">
      <c r="B1142">
        <f t="shared" si="294"/>
        <v>1140</v>
      </c>
      <c r="C1142" t="s">
        <v>86</v>
      </c>
      <c r="D1142" t="s">
        <v>176</v>
      </c>
      <c r="E1142">
        <f>IF(WEEKNUM(Combined[[#This Row],[Date]], 1) = 53, 1, WEEKNUM(Combined[[#This Row],[Date]], 2))</f>
        <v>14</v>
      </c>
      <c r="F1142" t="str">
        <f t="shared" si="301"/>
        <v>Saturday</v>
      </c>
      <c r="G1142" s="41">
        <v>45388</v>
      </c>
      <c r="H1142">
        <v>3</v>
      </c>
      <c r="I1142" s="1">
        <v>20.65</v>
      </c>
      <c r="J1142" s="2">
        <v>4.8611111111111112E-2</v>
      </c>
      <c r="K1142" s="12">
        <f>Combined[[#This Row],[Time Spent]]*24</f>
        <v>1.1666666666666667</v>
      </c>
      <c r="L1142" s="12">
        <f>MROUND(Combined[[#This Row],[Time Spent 2]],0.25)</f>
        <v>1.25</v>
      </c>
      <c r="M1142" s="2" t="s">
        <v>91</v>
      </c>
      <c r="N1142" t="s">
        <v>82</v>
      </c>
      <c r="O1142">
        <f>MATCH(Combined[[#This Row],[Primary Area]],KPIs!$C$4:$C$7,0)</f>
        <v>3</v>
      </c>
      <c r="R1142" s="40"/>
      <c r="V1142" s="4"/>
      <c r="X1142"/>
    </row>
    <row r="1143" spans="2:24" x14ac:dyDescent="0.35">
      <c r="B1143">
        <f t="shared" si="294"/>
        <v>1141</v>
      </c>
      <c r="C1143" t="s">
        <v>86</v>
      </c>
      <c r="D1143" t="s">
        <v>176</v>
      </c>
      <c r="E1143">
        <f>IF(WEEKNUM(Combined[[#This Row],[Date]], 1) = 53, 1, WEEKNUM(Combined[[#This Row],[Date]], 2))</f>
        <v>14</v>
      </c>
      <c r="F1143" t="str">
        <f t="shared" si="301"/>
        <v>Saturday</v>
      </c>
      <c r="G1143" s="41">
        <v>45388</v>
      </c>
      <c r="H1143">
        <v>3</v>
      </c>
      <c r="I1143" s="1">
        <v>24.25</v>
      </c>
      <c r="J1143" s="2">
        <v>5.9722222222222225E-2</v>
      </c>
      <c r="K1143" s="12">
        <f>Combined[[#This Row],[Time Spent]]*24</f>
        <v>1.4333333333333333</v>
      </c>
      <c r="L1143" s="12">
        <f>MROUND(Combined[[#This Row],[Time Spent 2]],0.25)</f>
        <v>1.5</v>
      </c>
      <c r="M1143" s="2" t="s">
        <v>91</v>
      </c>
      <c r="N1143" t="s">
        <v>82</v>
      </c>
      <c r="O1143">
        <f>MATCH(Combined[[#This Row],[Primary Area]],KPIs!$C$4:$C$7,0)</f>
        <v>3</v>
      </c>
      <c r="R1143" s="40"/>
      <c r="V1143" s="4"/>
      <c r="X1143"/>
    </row>
    <row r="1144" spans="2:24" x14ac:dyDescent="0.35">
      <c r="B1144">
        <f t="shared" si="294"/>
        <v>1142</v>
      </c>
      <c r="C1144" t="s">
        <v>86</v>
      </c>
      <c r="D1144" t="s">
        <v>176</v>
      </c>
      <c r="E1144">
        <f>IF(WEEKNUM(Combined[[#This Row],[Date]], 1) = 53, 1, WEEKNUM(Combined[[#This Row],[Date]], 2))</f>
        <v>14</v>
      </c>
      <c r="F1144" t="str">
        <f t="shared" si="301"/>
        <v>Saturday</v>
      </c>
      <c r="G1144" s="41">
        <v>45388</v>
      </c>
      <c r="H1144">
        <v>2</v>
      </c>
      <c r="I1144" s="1">
        <v>21</v>
      </c>
      <c r="J1144" s="2">
        <v>3.6111111111111108E-2</v>
      </c>
      <c r="K1144" s="12">
        <f>Combined[[#This Row],[Time Spent]]*24</f>
        <v>0.86666666666666659</v>
      </c>
      <c r="L1144" s="12">
        <f>MROUND(Combined[[#This Row],[Time Spent 2]],0.25)</f>
        <v>0.75</v>
      </c>
      <c r="M1144" s="2" t="s">
        <v>91</v>
      </c>
      <c r="N1144" t="s">
        <v>82</v>
      </c>
      <c r="O1144">
        <f>MATCH(Combined[[#This Row],[Primary Area]],KPIs!$C$4:$C$7,0)</f>
        <v>3</v>
      </c>
      <c r="R1144" s="40"/>
      <c r="V1144" s="4"/>
      <c r="X1144"/>
    </row>
    <row r="1145" spans="2:24" x14ac:dyDescent="0.35">
      <c r="B1145">
        <f t="shared" si="294"/>
        <v>1143</v>
      </c>
      <c r="C1145" t="s">
        <v>83</v>
      </c>
      <c r="D1145" t="s">
        <v>176</v>
      </c>
      <c r="E1145">
        <f>IF(WEEKNUM(Combined[[#This Row],[Date]], 1) = 53, 1, WEEKNUM(Combined[[#This Row],[Date]], 2))</f>
        <v>15</v>
      </c>
      <c r="F1145" t="str">
        <f t="shared" ref="F1145:F1152" si="302">TEXT(WEEKDAY(G1145,1),"DDDD")</f>
        <v>Monday</v>
      </c>
      <c r="G1145" s="41">
        <v>45390</v>
      </c>
      <c r="H1145">
        <v>2</v>
      </c>
      <c r="I1145" s="1">
        <v>34.619999999999997</v>
      </c>
      <c r="J1145" s="2">
        <v>8.1250000000000003E-2</v>
      </c>
      <c r="K1145" s="12">
        <f>Combined[[#This Row],[Time Spent]]*24</f>
        <v>1.9500000000000002</v>
      </c>
      <c r="L1145" s="12">
        <f>MROUND(Combined[[#This Row],[Time Spent 2]],0.25)</f>
        <v>2</v>
      </c>
      <c r="M1145" s="2" t="s">
        <v>91</v>
      </c>
      <c r="N1145" t="s">
        <v>85</v>
      </c>
      <c r="O1145">
        <f>MATCH(Combined[[#This Row],[Primary Area]],KPIs!$C$4:$C$7,0)</f>
        <v>4</v>
      </c>
      <c r="R1145" s="40"/>
      <c r="V1145" s="4"/>
      <c r="X1145"/>
    </row>
    <row r="1146" spans="2:24" x14ac:dyDescent="0.35">
      <c r="B1146">
        <f t="shared" si="294"/>
        <v>1144</v>
      </c>
      <c r="C1146" t="s">
        <v>86</v>
      </c>
      <c r="D1146" t="s">
        <v>176</v>
      </c>
      <c r="E1146">
        <f>IF(WEEKNUM(Combined[[#This Row],[Date]], 1) = 53, 1, WEEKNUM(Combined[[#This Row],[Date]], 2))</f>
        <v>15</v>
      </c>
      <c r="F1146" t="str">
        <f t="shared" si="302"/>
        <v>Monday</v>
      </c>
      <c r="G1146" s="41">
        <v>45390</v>
      </c>
      <c r="H1146">
        <v>2</v>
      </c>
      <c r="I1146" s="1">
        <v>21.38</v>
      </c>
      <c r="J1146" s="2">
        <v>5.347222222222222E-2</v>
      </c>
      <c r="K1146" s="12">
        <f>Combined[[#This Row],[Time Spent]]*24</f>
        <v>1.2833333333333332</v>
      </c>
      <c r="L1146" s="12">
        <f>MROUND(Combined[[#This Row],[Time Spent 2]],0.25)</f>
        <v>1.25</v>
      </c>
      <c r="M1146" s="2" t="s">
        <v>91</v>
      </c>
      <c r="N1146" t="s">
        <v>85</v>
      </c>
      <c r="O1146">
        <f>MATCH(Combined[[#This Row],[Primary Area]],KPIs!$C$4:$C$7,0)</f>
        <v>4</v>
      </c>
      <c r="R1146" s="40"/>
      <c r="V1146" s="4"/>
      <c r="X1146"/>
    </row>
    <row r="1147" spans="2:24" x14ac:dyDescent="0.35">
      <c r="B1147">
        <f t="shared" si="294"/>
        <v>1145</v>
      </c>
      <c r="C1147" t="s">
        <v>86</v>
      </c>
      <c r="D1147" t="s">
        <v>176</v>
      </c>
      <c r="E1147">
        <f>IF(WEEKNUM(Combined[[#This Row],[Date]], 1) = 53, 1, WEEKNUM(Combined[[#This Row],[Date]], 2))</f>
        <v>15</v>
      </c>
      <c r="F1147" t="str">
        <f t="shared" si="302"/>
        <v>Monday</v>
      </c>
      <c r="G1147" s="41">
        <v>45390</v>
      </c>
      <c r="H1147">
        <v>4</v>
      </c>
      <c r="I1147" s="1">
        <v>33.75</v>
      </c>
      <c r="J1147" s="2">
        <v>5.347222222222222E-2</v>
      </c>
      <c r="K1147" s="12">
        <f>Combined[[#This Row],[Time Spent]]*24</f>
        <v>1.2833333333333332</v>
      </c>
      <c r="L1147" s="12">
        <f>MROUND(Combined[[#This Row],[Time Spent 2]],0.25)</f>
        <v>1.25</v>
      </c>
      <c r="M1147" s="2" t="s">
        <v>91</v>
      </c>
      <c r="N1147" t="s">
        <v>85</v>
      </c>
      <c r="O1147">
        <f>MATCH(Combined[[#This Row],[Primary Area]],KPIs!$C$4:$C$7,0)</f>
        <v>4</v>
      </c>
      <c r="R1147" s="40"/>
      <c r="V1147" s="4"/>
      <c r="X1147"/>
    </row>
    <row r="1148" spans="2:24" x14ac:dyDescent="0.35">
      <c r="B1148">
        <f t="shared" si="294"/>
        <v>1146</v>
      </c>
      <c r="C1148" t="s">
        <v>83</v>
      </c>
      <c r="D1148" t="s">
        <v>176</v>
      </c>
      <c r="E1148">
        <f>IF(WEEKNUM(Combined[[#This Row],[Date]], 1) = 53, 1, WEEKNUM(Combined[[#This Row],[Date]], 2))</f>
        <v>15</v>
      </c>
      <c r="F1148" t="str">
        <f t="shared" si="302"/>
        <v>Tuesday</v>
      </c>
      <c r="G1148" s="41">
        <v>45391</v>
      </c>
      <c r="H1148">
        <v>6</v>
      </c>
      <c r="I1148" s="1">
        <v>79.87</v>
      </c>
      <c r="J1148" s="2">
        <v>0.12916666666666668</v>
      </c>
      <c r="K1148" s="12">
        <f>Combined[[#This Row],[Time Spent]]*24</f>
        <v>3.1000000000000005</v>
      </c>
      <c r="L1148" s="12">
        <f>MROUND(Combined[[#This Row],[Time Spent 2]],0.25)</f>
        <v>3</v>
      </c>
      <c r="M1148" s="2" t="s">
        <v>91</v>
      </c>
      <c r="N1148" t="s">
        <v>80</v>
      </c>
      <c r="O1148">
        <f>MATCH(Combined[[#This Row],[Primary Area]],KPIs!$C$4:$C$7,0)</f>
        <v>2</v>
      </c>
      <c r="R1148" s="40"/>
      <c r="V1148" s="4"/>
      <c r="X1148"/>
    </row>
    <row r="1149" spans="2:24" x14ac:dyDescent="0.35">
      <c r="B1149">
        <f t="shared" si="294"/>
        <v>1147</v>
      </c>
      <c r="C1149" t="s">
        <v>86</v>
      </c>
      <c r="D1149" t="s">
        <v>176</v>
      </c>
      <c r="E1149">
        <f>IF(WEEKNUM(Combined[[#This Row],[Date]], 1) = 53, 1, WEEKNUM(Combined[[#This Row],[Date]], 2))</f>
        <v>15</v>
      </c>
      <c r="F1149" t="str">
        <f t="shared" si="302"/>
        <v>Tuesday</v>
      </c>
      <c r="G1149" s="41">
        <v>45391</v>
      </c>
      <c r="H1149">
        <v>1</v>
      </c>
      <c r="I1149" s="1">
        <v>5</v>
      </c>
      <c r="J1149" s="2">
        <v>1.5972222222222221E-2</v>
      </c>
      <c r="K1149" s="12">
        <f>Combined[[#This Row],[Time Spent]]*24</f>
        <v>0.3833333333333333</v>
      </c>
      <c r="L1149" s="12">
        <f>MROUND(Combined[[#This Row],[Time Spent 2]],0.25)</f>
        <v>0.5</v>
      </c>
      <c r="M1149" s="2" t="s">
        <v>91</v>
      </c>
      <c r="N1149" t="s">
        <v>80</v>
      </c>
      <c r="O1149">
        <f>MATCH(Combined[[#This Row],[Primary Area]],KPIs!$C$4:$C$7,0)</f>
        <v>2</v>
      </c>
      <c r="R1149" s="40"/>
      <c r="V1149" s="4"/>
      <c r="X1149"/>
    </row>
    <row r="1150" spans="2:24" x14ac:dyDescent="0.35">
      <c r="B1150">
        <f t="shared" si="294"/>
        <v>1148</v>
      </c>
      <c r="C1150" t="s">
        <v>86</v>
      </c>
      <c r="D1150" t="s">
        <v>176</v>
      </c>
      <c r="E1150">
        <f>IF(WEEKNUM(Combined[[#This Row],[Date]], 1) = 53, 1, WEEKNUM(Combined[[#This Row],[Date]], 2))</f>
        <v>15</v>
      </c>
      <c r="F1150" t="str">
        <f t="shared" si="302"/>
        <v>Tuesday</v>
      </c>
      <c r="G1150" s="41">
        <v>45391</v>
      </c>
      <c r="H1150">
        <v>1</v>
      </c>
      <c r="I1150" s="1">
        <v>16.489999999999998</v>
      </c>
      <c r="J1150" s="2">
        <v>4.2361111111111113E-2</v>
      </c>
      <c r="K1150" s="12">
        <f>Combined[[#This Row],[Time Spent]]*24</f>
        <v>1.0166666666666666</v>
      </c>
      <c r="L1150" s="12">
        <f>MROUND(Combined[[#This Row],[Time Spent 2]],0.25)</f>
        <v>1</v>
      </c>
      <c r="M1150" s="2" t="s">
        <v>91</v>
      </c>
      <c r="N1150" t="s">
        <v>80</v>
      </c>
      <c r="O1150">
        <f>MATCH(Combined[[#This Row],[Primary Area]],KPIs!$C$4:$C$7,0)</f>
        <v>2</v>
      </c>
      <c r="R1150" s="40"/>
      <c r="V1150" s="4"/>
      <c r="X1150"/>
    </row>
    <row r="1151" spans="2:24" x14ac:dyDescent="0.35">
      <c r="B1151">
        <f t="shared" si="294"/>
        <v>1149</v>
      </c>
      <c r="C1151" t="s">
        <v>86</v>
      </c>
      <c r="D1151" t="s">
        <v>176</v>
      </c>
      <c r="E1151">
        <f>IF(WEEKNUM(Combined[[#This Row],[Date]], 1) = 53, 1, WEEKNUM(Combined[[#This Row],[Date]], 2))</f>
        <v>15</v>
      </c>
      <c r="F1151" t="str">
        <f t="shared" si="302"/>
        <v>Tuesday</v>
      </c>
      <c r="G1151" s="41">
        <v>45391</v>
      </c>
      <c r="H1151">
        <v>1</v>
      </c>
      <c r="I1151" s="1">
        <v>3.75</v>
      </c>
      <c r="J1151" s="2">
        <v>3.8194444444444448E-2</v>
      </c>
      <c r="K1151" s="12">
        <f>Combined[[#This Row],[Time Spent]]*24</f>
        <v>0.91666666666666674</v>
      </c>
      <c r="L1151" s="12">
        <f>MROUND(Combined[[#This Row],[Time Spent 2]],0.25)</f>
        <v>1</v>
      </c>
      <c r="M1151" s="2" t="s">
        <v>91</v>
      </c>
      <c r="N1151" t="s">
        <v>80</v>
      </c>
      <c r="O1151">
        <f>MATCH(Combined[[#This Row],[Primary Area]],KPIs!$C$4:$C$7,0)</f>
        <v>2</v>
      </c>
      <c r="R1151" s="40"/>
      <c r="V1151" s="4"/>
      <c r="X1151"/>
    </row>
    <row r="1152" spans="2:24" x14ac:dyDescent="0.35">
      <c r="B1152">
        <f t="shared" si="294"/>
        <v>1150</v>
      </c>
      <c r="C1152" t="s">
        <v>83</v>
      </c>
      <c r="D1152" t="s">
        <v>176</v>
      </c>
      <c r="E1152">
        <f>IF(WEEKNUM(Combined[[#This Row],[Date]], 1) = 53, 1, WEEKNUM(Combined[[#This Row],[Date]], 2))</f>
        <v>15</v>
      </c>
      <c r="F1152" t="str">
        <f t="shared" si="302"/>
        <v>Friday</v>
      </c>
      <c r="G1152" s="41">
        <v>45394</v>
      </c>
      <c r="H1152">
        <v>7</v>
      </c>
      <c r="I1152" s="1">
        <v>122.13</v>
      </c>
      <c r="J1152" s="2">
        <v>0.16875000000000001</v>
      </c>
      <c r="K1152" s="12">
        <f>Combined[[#This Row],[Time Spent]]*24</f>
        <v>4.0500000000000007</v>
      </c>
      <c r="L1152" s="12">
        <f>MROUND(Combined[[#This Row],[Time Spent 2]],0.25)</f>
        <v>4</v>
      </c>
      <c r="M1152" s="2" t="s">
        <v>91</v>
      </c>
      <c r="N1152" t="s">
        <v>80</v>
      </c>
      <c r="O1152">
        <f>MATCH(Combined[[#This Row],[Primary Area]],KPIs!$C$4:$C$7,0)</f>
        <v>2</v>
      </c>
      <c r="R1152" s="40"/>
      <c r="V1152" s="4"/>
      <c r="X1152"/>
    </row>
    <row r="1153" spans="2:24" x14ac:dyDescent="0.35">
      <c r="B1153">
        <f t="shared" si="294"/>
        <v>1151</v>
      </c>
      <c r="C1153" t="s">
        <v>86</v>
      </c>
      <c r="D1153" t="s">
        <v>176</v>
      </c>
      <c r="E1153">
        <f>IF(WEEKNUM(Combined[[#This Row],[Date]], 1) = 53, 1, WEEKNUM(Combined[[#This Row],[Date]], 2))</f>
        <v>15</v>
      </c>
      <c r="F1153" t="str">
        <f t="shared" ref="F1153:F1159" si="303">TEXT(WEEKDAY(G1153,1),"DDDD")</f>
        <v>Friday</v>
      </c>
      <c r="G1153" s="41">
        <v>45394</v>
      </c>
      <c r="H1153">
        <v>5</v>
      </c>
      <c r="I1153" s="1">
        <v>32</v>
      </c>
      <c r="J1153" s="2">
        <v>0.10833333333333334</v>
      </c>
      <c r="K1153" s="12">
        <f>Combined[[#This Row],[Time Spent]]*24</f>
        <v>2.6</v>
      </c>
      <c r="L1153" s="12">
        <f>MROUND(Combined[[#This Row],[Time Spent 2]],0.25)</f>
        <v>2.5</v>
      </c>
      <c r="M1153" s="2" t="s">
        <v>91</v>
      </c>
      <c r="N1153" t="s">
        <v>80</v>
      </c>
      <c r="O1153">
        <f>MATCH(Combined[[#This Row],[Primary Area]],KPIs!$C$4:$C$7,0)</f>
        <v>2</v>
      </c>
      <c r="R1153" s="40"/>
      <c r="V1153" s="4"/>
      <c r="X1153"/>
    </row>
    <row r="1154" spans="2:24" x14ac:dyDescent="0.35">
      <c r="B1154">
        <f t="shared" si="294"/>
        <v>1152</v>
      </c>
      <c r="C1154" t="s">
        <v>86</v>
      </c>
      <c r="D1154" t="s">
        <v>176</v>
      </c>
      <c r="E1154">
        <f>IF(WEEKNUM(Combined[[#This Row],[Date]], 1) = 53, 1, WEEKNUM(Combined[[#This Row],[Date]], 2))</f>
        <v>15</v>
      </c>
      <c r="F1154" t="str">
        <f t="shared" si="303"/>
        <v>Friday</v>
      </c>
      <c r="G1154" s="41">
        <v>45394</v>
      </c>
      <c r="H1154">
        <v>2</v>
      </c>
      <c r="I1154" s="1">
        <f>18.75+5.12</f>
        <v>23.87</v>
      </c>
      <c r="J1154" s="2">
        <v>5.1388888888888887E-2</v>
      </c>
      <c r="K1154" s="12">
        <f>Combined[[#This Row],[Time Spent]]*24</f>
        <v>1.2333333333333334</v>
      </c>
      <c r="L1154" s="12">
        <f>MROUND(Combined[[#This Row],[Time Spent 2]],0.25)</f>
        <v>1.25</v>
      </c>
      <c r="M1154" s="2" t="s">
        <v>92</v>
      </c>
      <c r="N1154" t="s">
        <v>80</v>
      </c>
      <c r="O1154">
        <f>MATCH(Combined[[#This Row],[Primary Area]],KPIs!$C$4:$C$7,0)</f>
        <v>2</v>
      </c>
      <c r="R1154" s="40"/>
      <c r="V1154" s="4"/>
      <c r="X1154"/>
    </row>
    <row r="1155" spans="2:24" x14ac:dyDescent="0.35">
      <c r="B1155">
        <f t="shared" ref="B1155:B1218" si="304">ROW()-2</f>
        <v>1153</v>
      </c>
      <c r="C1155" t="s">
        <v>86</v>
      </c>
      <c r="D1155" t="s">
        <v>176</v>
      </c>
      <c r="E1155">
        <f>IF(WEEKNUM(Combined[[#This Row],[Date]], 1) = 53, 1, WEEKNUM(Combined[[#This Row],[Date]], 2))</f>
        <v>15</v>
      </c>
      <c r="F1155" t="str">
        <f t="shared" si="303"/>
        <v>Saturday</v>
      </c>
      <c r="G1155" s="41">
        <v>45395</v>
      </c>
      <c r="H1155">
        <v>2</v>
      </c>
      <c r="I1155" s="1">
        <v>7.25</v>
      </c>
      <c r="J1155" s="2">
        <v>3.7499999999999999E-2</v>
      </c>
      <c r="K1155" s="12">
        <f>Combined[[#This Row],[Time Spent]]*24</f>
        <v>0.89999999999999991</v>
      </c>
      <c r="L1155" s="12">
        <f>MROUND(Combined[[#This Row],[Time Spent 2]],0.25)</f>
        <v>1</v>
      </c>
      <c r="M1155" s="2" t="s">
        <v>92</v>
      </c>
      <c r="N1155" t="s">
        <v>80</v>
      </c>
      <c r="O1155">
        <f>MATCH(Combined[[#This Row],[Primary Area]],KPIs!$C$4:$C$7,0)</f>
        <v>2</v>
      </c>
      <c r="R1155" s="40"/>
      <c r="V1155" s="4"/>
      <c r="X1155"/>
    </row>
    <row r="1156" spans="2:24" x14ac:dyDescent="0.35">
      <c r="B1156">
        <f t="shared" si="304"/>
        <v>1154</v>
      </c>
      <c r="C1156" t="s">
        <v>86</v>
      </c>
      <c r="D1156" t="s">
        <v>176</v>
      </c>
      <c r="E1156">
        <f>IF(WEEKNUM(Combined[[#This Row],[Date]], 1) = 53, 1, WEEKNUM(Combined[[#This Row],[Date]], 2))</f>
        <v>15</v>
      </c>
      <c r="F1156" t="str">
        <f t="shared" si="303"/>
        <v>Saturday</v>
      </c>
      <c r="G1156" s="41">
        <v>45395</v>
      </c>
      <c r="H1156">
        <v>3</v>
      </c>
      <c r="I1156" s="1">
        <v>25.5</v>
      </c>
      <c r="J1156" s="2">
        <v>4.7222222222222221E-2</v>
      </c>
      <c r="K1156" s="12">
        <f>Combined[[#This Row],[Time Spent]]*24</f>
        <v>1.1333333333333333</v>
      </c>
      <c r="L1156" s="12">
        <f>MROUND(Combined[[#This Row],[Time Spent 2]],0.25)</f>
        <v>1.25</v>
      </c>
      <c r="M1156" s="2" t="s">
        <v>92</v>
      </c>
      <c r="N1156" t="s">
        <v>80</v>
      </c>
      <c r="O1156">
        <f>MATCH(Combined[[#This Row],[Primary Area]],KPIs!$C$4:$C$7,0)</f>
        <v>2</v>
      </c>
      <c r="R1156" s="40"/>
      <c r="V1156" s="4"/>
      <c r="X1156"/>
    </row>
    <row r="1157" spans="2:24" x14ac:dyDescent="0.35">
      <c r="B1157">
        <f t="shared" si="304"/>
        <v>1155</v>
      </c>
      <c r="C1157" t="s">
        <v>86</v>
      </c>
      <c r="D1157" t="s">
        <v>176</v>
      </c>
      <c r="E1157">
        <f>IF(WEEKNUM(Combined[[#This Row],[Date]], 1) = 53, 1, WEEKNUM(Combined[[#This Row],[Date]], 2))</f>
        <v>15</v>
      </c>
      <c r="F1157" t="str">
        <f t="shared" si="303"/>
        <v>Saturday</v>
      </c>
      <c r="G1157" s="41">
        <v>45395</v>
      </c>
      <c r="H1157">
        <v>1</v>
      </c>
      <c r="I1157" s="1">
        <v>6.25</v>
      </c>
      <c r="J1157" s="2">
        <v>2.6388888888888889E-2</v>
      </c>
      <c r="K1157" s="12">
        <f>Combined[[#This Row],[Time Spent]]*24</f>
        <v>0.6333333333333333</v>
      </c>
      <c r="L1157" s="12">
        <f>MROUND(Combined[[#This Row],[Time Spent 2]],0.25)</f>
        <v>0.75</v>
      </c>
      <c r="M1157" s="2" t="s">
        <v>91</v>
      </c>
      <c r="N1157" t="s">
        <v>174</v>
      </c>
      <c r="O1157">
        <f>MATCH(Combined[[#This Row],[Primary Area]],KPIs!$C$4:$C$7,0)</f>
        <v>1</v>
      </c>
      <c r="R1157" s="40"/>
      <c r="V1157" s="4"/>
      <c r="X1157"/>
    </row>
    <row r="1158" spans="2:24" x14ac:dyDescent="0.35">
      <c r="B1158">
        <f t="shared" si="304"/>
        <v>1156</v>
      </c>
      <c r="C1158" t="s">
        <v>86</v>
      </c>
      <c r="D1158" t="s">
        <v>176</v>
      </c>
      <c r="E1158">
        <f>IF(WEEKNUM(Combined[[#This Row],[Date]], 1) = 53, 1, WEEKNUM(Combined[[#This Row],[Date]], 2))</f>
        <v>15</v>
      </c>
      <c r="F1158" t="str">
        <f t="shared" si="303"/>
        <v>Saturday</v>
      </c>
      <c r="G1158" s="41">
        <v>45395</v>
      </c>
      <c r="H1158">
        <v>1</v>
      </c>
      <c r="I1158" s="1">
        <v>5</v>
      </c>
      <c r="J1158" s="2">
        <v>2.013888888888889E-2</v>
      </c>
      <c r="K1158" s="12">
        <f>Combined[[#This Row],[Time Spent]]*24</f>
        <v>0.48333333333333339</v>
      </c>
      <c r="L1158" s="12">
        <f>MROUND(Combined[[#This Row],[Time Spent 2]],0.25)</f>
        <v>0.5</v>
      </c>
      <c r="M1158" s="2" t="s">
        <v>91</v>
      </c>
      <c r="N1158" t="s">
        <v>174</v>
      </c>
      <c r="O1158">
        <f>MATCH(Combined[[#This Row],[Primary Area]],KPIs!$C$4:$C$7,0)</f>
        <v>1</v>
      </c>
      <c r="R1158" s="40"/>
      <c r="V1158" s="4"/>
      <c r="X1158"/>
    </row>
    <row r="1159" spans="2:24" x14ac:dyDescent="0.35">
      <c r="B1159">
        <f t="shared" si="304"/>
        <v>1157</v>
      </c>
      <c r="C1159" t="s">
        <v>86</v>
      </c>
      <c r="D1159" t="s">
        <v>176</v>
      </c>
      <c r="E1159">
        <f>IF(WEEKNUM(Combined[[#This Row],[Date]], 1) = 53, 1, WEEKNUM(Combined[[#This Row],[Date]], 2))</f>
        <v>15</v>
      </c>
      <c r="F1159" t="str">
        <f t="shared" si="303"/>
        <v>Saturday</v>
      </c>
      <c r="G1159" s="41">
        <v>45395</v>
      </c>
      <c r="H1159">
        <v>6</v>
      </c>
      <c r="I1159" s="1">
        <v>30.75</v>
      </c>
      <c r="J1159" s="2">
        <v>6.6666666666666666E-2</v>
      </c>
      <c r="K1159" s="12">
        <f>Combined[[#This Row],[Time Spent]]*24</f>
        <v>1.6</v>
      </c>
      <c r="L1159" s="12">
        <f>MROUND(Combined[[#This Row],[Time Spent 2]],0.25)</f>
        <v>1.5</v>
      </c>
      <c r="M1159" s="2" t="s">
        <v>91</v>
      </c>
      <c r="N1159" t="s">
        <v>174</v>
      </c>
      <c r="O1159">
        <f>MATCH(Combined[[#This Row],[Primary Area]],KPIs!$C$4:$C$7,0)</f>
        <v>1</v>
      </c>
      <c r="R1159" s="40"/>
      <c r="V1159" s="4"/>
      <c r="X1159"/>
    </row>
    <row r="1160" spans="2:24" x14ac:dyDescent="0.35">
      <c r="B1160">
        <f t="shared" si="304"/>
        <v>1158</v>
      </c>
      <c r="C1160" t="s">
        <v>83</v>
      </c>
      <c r="D1160" t="s">
        <v>176</v>
      </c>
      <c r="E1160">
        <f>IF(WEEKNUM(Combined[[#This Row],[Date]], 1) = 53, 1, WEEKNUM(Combined[[#This Row],[Date]], 2))</f>
        <v>16</v>
      </c>
      <c r="F1160" t="str">
        <f t="shared" ref="F1160:F1173" si="305">TEXT(WEEKDAY(G1160,1),"DDDD")</f>
        <v>Tuesday</v>
      </c>
      <c r="G1160" s="41">
        <v>45398</v>
      </c>
      <c r="H1160">
        <v>2</v>
      </c>
      <c r="I1160" s="1">
        <v>16.79</v>
      </c>
      <c r="J1160" s="2">
        <v>0.10902777777777778</v>
      </c>
      <c r="K1160" s="12">
        <f>Combined[[#This Row],[Time Spent]]*24</f>
        <v>2.6166666666666667</v>
      </c>
      <c r="L1160" s="12">
        <f>MROUND(Combined[[#This Row],[Time Spent 2]],0.25)</f>
        <v>2.5</v>
      </c>
      <c r="M1160" s="2" t="s">
        <v>91</v>
      </c>
      <c r="N1160" t="s">
        <v>80</v>
      </c>
      <c r="O1160">
        <f>MATCH(Combined[[#This Row],[Primary Area]],KPIs!$C$4:$C$7,0)</f>
        <v>2</v>
      </c>
      <c r="R1160" s="40"/>
      <c r="V1160" s="4"/>
      <c r="X1160"/>
    </row>
    <row r="1161" spans="2:24" x14ac:dyDescent="0.35">
      <c r="B1161">
        <f t="shared" si="304"/>
        <v>1159</v>
      </c>
      <c r="C1161" t="s">
        <v>86</v>
      </c>
      <c r="D1161" t="s">
        <v>176</v>
      </c>
      <c r="E1161">
        <f>IF(WEEKNUM(Combined[[#This Row],[Date]], 1) = 53, 1, WEEKNUM(Combined[[#This Row],[Date]], 2))</f>
        <v>16</v>
      </c>
      <c r="F1161" t="str">
        <f t="shared" si="305"/>
        <v>Tuesday</v>
      </c>
      <c r="G1161" s="41">
        <v>45398</v>
      </c>
      <c r="H1161">
        <v>4</v>
      </c>
      <c r="I1161" s="1">
        <f>41+6.37</f>
        <v>47.37</v>
      </c>
      <c r="J1161" s="2">
        <v>6.1805555555555558E-2</v>
      </c>
      <c r="K1161" s="12">
        <f>Combined[[#This Row],[Time Spent]]*24</f>
        <v>1.4833333333333334</v>
      </c>
      <c r="L1161" s="12">
        <f>MROUND(Combined[[#This Row],[Time Spent 2]],0.25)</f>
        <v>1.5</v>
      </c>
      <c r="M1161" s="2" t="s">
        <v>91</v>
      </c>
      <c r="N1161" t="s">
        <v>80</v>
      </c>
      <c r="O1161">
        <f>MATCH(Combined[[#This Row],[Primary Area]],KPIs!$C$4:$C$7,0)</f>
        <v>2</v>
      </c>
      <c r="R1161" s="40"/>
      <c r="V1161" s="4"/>
      <c r="X1161"/>
    </row>
    <row r="1162" spans="2:24" x14ac:dyDescent="0.35">
      <c r="B1162">
        <f t="shared" si="304"/>
        <v>1160</v>
      </c>
      <c r="C1162" t="s">
        <v>86</v>
      </c>
      <c r="D1162" t="s">
        <v>176</v>
      </c>
      <c r="E1162">
        <f>IF(WEEKNUM(Combined[[#This Row],[Date]], 1) = 53, 1, WEEKNUM(Combined[[#This Row],[Date]], 2))</f>
        <v>16</v>
      </c>
      <c r="F1162" t="str">
        <f t="shared" si="305"/>
        <v>Tuesday</v>
      </c>
      <c r="G1162" s="41">
        <v>45398</v>
      </c>
      <c r="H1162">
        <v>2</v>
      </c>
      <c r="I1162" s="1">
        <f>20.25+6.87</f>
        <v>27.12</v>
      </c>
      <c r="J1162" s="2">
        <v>9.0972222222222218E-2</v>
      </c>
      <c r="K1162" s="12">
        <f>Combined[[#This Row],[Time Spent]]*24</f>
        <v>2.1833333333333331</v>
      </c>
      <c r="L1162" s="12">
        <f>MROUND(Combined[[#This Row],[Time Spent 2]],0.25)</f>
        <v>2.25</v>
      </c>
      <c r="M1162" s="2" t="s">
        <v>92</v>
      </c>
      <c r="N1162" t="s">
        <v>80</v>
      </c>
      <c r="O1162">
        <f>MATCH(Combined[[#This Row],[Primary Area]],KPIs!$C$4:$C$7,0)</f>
        <v>2</v>
      </c>
      <c r="R1162" s="40"/>
      <c r="V1162" s="4"/>
      <c r="X1162"/>
    </row>
    <row r="1163" spans="2:24" x14ac:dyDescent="0.35">
      <c r="B1163">
        <f t="shared" si="304"/>
        <v>1161</v>
      </c>
      <c r="C1163" t="s">
        <v>83</v>
      </c>
      <c r="D1163" t="s">
        <v>176</v>
      </c>
      <c r="E1163">
        <f>IF(WEEKNUM(Combined[[#This Row],[Date]], 1) = 53, 1, WEEKNUM(Combined[[#This Row],[Date]], 2))</f>
        <v>16</v>
      </c>
      <c r="F1163" t="str">
        <f t="shared" si="305"/>
        <v>Wednesday</v>
      </c>
      <c r="G1163" s="41">
        <v>45399</v>
      </c>
      <c r="H1163">
        <v>1</v>
      </c>
      <c r="I1163" s="1">
        <v>18.940000000000001</v>
      </c>
      <c r="J1163" s="2">
        <v>9.0277777777777776E-2</v>
      </c>
      <c r="K1163" s="12">
        <f>Combined[[#This Row],[Time Spent]]*24</f>
        <v>2.1666666666666665</v>
      </c>
      <c r="L1163" s="12">
        <f>MROUND(Combined[[#This Row],[Time Spent 2]],0.25)</f>
        <v>2.25</v>
      </c>
      <c r="M1163" s="2" t="s">
        <v>91</v>
      </c>
      <c r="N1163" t="s">
        <v>174</v>
      </c>
      <c r="O1163">
        <f>MATCH(Combined[[#This Row],[Primary Area]],KPIs!$C$4:$C$7,0)</f>
        <v>1</v>
      </c>
      <c r="R1163" s="40"/>
      <c r="V1163" s="4"/>
      <c r="X1163"/>
    </row>
    <row r="1164" spans="2:24" x14ac:dyDescent="0.35">
      <c r="B1164">
        <f t="shared" si="304"/>
        <v>1162</v>
      </c>
      <c r="C1164" t="s">
        <v>86</v>
      </c>
      <c r="D1164" t="s">
        <v>176</v>
      </c>
      <c r="E1164">
        <f>IF(WEEKNUM(Combined[[#This Row],[Date]], 1) = 53, 1, WEEKNUM(Combined[[#This Row],[Date]], 2))</f>
        <v>16</v>
      </c>
      <c r="F1164" t="str">
        <f t="shared" si="305"/>
        <v>Wednesday</v>
      </c>
      <c r="G1164" s="41">
        <v>45399</v>
      </c>
      <c r="H1164">
        <v>2</v>
      </c>
      <c r="I1164" s="1">
        <v>23.25</v>
      </c>
      <c r="J1164" s="2">
        <v>3.9583333333333331E-2</v>
      </c>
      <c r="K1164" s="12">
        <f>Combined[[#This Row],[Time Spent]]*24</f>
        <v>0.95</v>
      </c>
      <c r="L1164" s="12">
        <f>MROUND(Combined[[#This Row],[Time Spent 2]],0.25)</f>
        <v>1</v>
      </c>
      <c r="M1164" s="2" t="s">
        <v>91</v>
      </c>
      <c r="N1164" t="s">
        <v>174</v>
      </c>
      <c r="O1164">
        <f>MATCH(Combined[[#This Row],[Primary Area]],KPIs!$C$4:$C$7,0)</f>
        <v>1</v>
      </c>
      <c r="R1164" s="40"/>
      <c r="V1164" s="4"/>
      <c r="X1164"/>
    </row>
    <row r="1165" spans="2:24" x14ac:dyDescent="0.35">
      <c r="B1165">
        <f t="shared" si="304"/>
        <v>1163</v>
      </c>
      <c r="C1165" t="s">
        <v>86</v>
      </c>
      <c r="D1165" t="s">
        <v>176</v>
      </c>
      <c r="E1165">
        <f>IF(WEEKNUM(Combined[[#This Row],[Date]], 1) = 53, 1, WEEKNUM(Combined[[#This Row],[Date]], 2))</f>
        <v>16</v>
      </c>
      <c r="F1165" t="str">
        <f t="shared" si="305"/>
        <v>Wednesday</v>
      </c>
      <c r="G1165" s="41">
        <v>45399</v>
      </c>
      <c r="H1165">
        <v>1</v>
      </c>
      <c r="I1165" s="1">
        <v>8.25</v>
      </c>
      <c r="J1165" s="2">
        <v>2.5694444444444443E-2</v>
      </c>
      <c r="K1165" s="12">
        <f>Combined[[#This Row],[Time Spent]]*24</f>
        <v>0.6166666666666667</v>
      </c>
      <c r="L1165" s="12">
        <f>MROUND(Combined[[#This Row],[Time Spent 2]],0.25)</f>
        <v>0.5</v>
      </c>
      <c r="M1165" s="2" t="s">
        <v>91</v>
      </c>
      <c r="N1165" t="s">
        <v>174</v>
      </c>
      <c r="O1165">
        <f>MATCH(Combined[[#This Row],[Primary Area]],KPIs!$C$4:$C$7,0)</f>
        <v>1</v>
      </c>
      <c r="R1165" s="40"/>
      <c r="V1165" s="4"/>
      <c r="X1165"/>
    </row>
    <row r="1166" spans="2:24" x14ac:dyDescent="0.35">
      <c r="B1166">
        <f t="shared" si="304"/>
        <v>1164</v>
      </c>
      <c r="C1166" t="s">
        <v>86</v>
      </c>
      <c r="D1166" t="s">
        <v>176</v>
      </c>
      <c r="E1166">
        <f>IF(WEEKNUM(Combined[[#This Row],[Date]], 1) = 53, 1, WEEKNUM(Combined[[#This Row],[Date]], 2))</f>
        <v>16</v>
      </c>
      <c r="F1166" t="str">
        <f t="shared" si="305"/>
        <v>Friday</v>
      </c>
      <c r="G1166" s="41">
        <v>45401</v>
      </c>
      <c r="H1166">
        <v>6</v>
      </c>
      <c r="I1166" s="1">
        <v>74.75</v>
      </c>
      <c r="J1166" s="2">
        <v>0.16666666666666666</v>
      </c>
      <c r="K1166" s="12">
        <f>Combined[[#This Row],[Time Spent]]*24</f>
        <v>4</v>
      </c>
      <c r="L1166" s="12">
        <f>MROUND(Combined[[#This Row],[Time Spent 2]],0.25)</f>
        <v>4</v>
      </c>
      <c r="M1166" s="2" t="s">
        <v>91</v>
      </c>
      <c r="N1166" t="s">
        <v>80</v>
      </c>
      <c r="O1166">
        <f>MATCH(Combined[[#This Row],[Primary Area]],KPIs!$C$4:$C$7,0)</f>
        <v>2</v>
      </c>
      <c r="R1166" s="40"/>
      <c r="V1166" s="4"/>
      <c r="X1166"/>
    </row>
    <row r="1167" spans="2:24" x14ac:dyDescent="0.35">
      <c r="B1167">
        <f t="shared" si="304"/>
        <v>1165</v>
      </c>
      <c r="C1167" t="s">
        <v>83</v>
      </c>
      <c r="D1167" t="s">
        <v>176</v>
      </c>
      <c r="E1167">
        <f>IF(WEEKNUM(Combined[[#This Row],[Date]], 1) = 53, 1, WEEKNUM(Combined[[#This Row],[Date]], 2))</f>
        <v>16</v>
      </c>
      <c r="F1167" t="str">
        <f t="shared" si="305"/>
        <v>Saturday</v>
      </c>
      <c r="G1167" s="41">
        <v>45402</v>
      </c>
      <c r="H1167">
        <v>2</v>
      </c>
      <c r="I1167" s="1">
        <v>23.52</v>
      </c>
      <c r="J1167" s="2">
        <v>9.166666666666666E-2</v>
      </c>
      <c r="K1167" s="12">
        <f>Combined[[#This Row],[Time Spent]]*24</f>
        <v>2.1999999999999997</v>
      </c>
      <c r="L1167" s="12">
        <f>MROUND(Combined[[#This Row],[Time Spent 2]],0.25)</f>
        <v>2.25</v>
      </c>
      <c r="M1167" s="2" t="s">
        <v>91</v>
      </c>
      <c r="N1167" t="s">
        <v>80</v>
      </c>
      <c r="O1167">
        <f>MATCH(Combined[[#This Row],[Primary Area]],KPIs!$C$4:$C$7,0)</f>
        <v>2</v>
      </c>
      <c r="R1167" s="40"/>
      <c r="V1167" s="4"/>
      <c r="X1167"/>
    </row>
    <row r="1168" spans="2:24" x14ac:dyDescent="0.35">
      <c r="B1168">
        <f t="shared" si="304"/>
        <v>1166</v>
      </c>
      <c r="C1168" t="s">
        <v>86</v>
      </c>
      <c r="D1168" t="s">
        <v>176</v>
      </c>
      <c r="E1168">
        <f>IF(WEEKNUM(Combined[[#This Row],[Date]], 1) = 53, 1, WEEKNUM(Combined[[#This Row],[Date]], 2))</f>
        <v>16</v>
      </c>
      <c r="F1168" t="str">
        <f t="shared" si="305"/>
        <v>Saturday</v>
      </c>
      <c r="G1168" s="41">
        <v>45402</v>
      </c>
      <c r="H1168">
        <v>2</v>
      </c>
      <c r="I1168" s="1">
        <v>20.75</v>
      </c>
      <c r="J1168" s="2">
        <v>6.3888888888888884E-2</v>
      </c>
      <c r="K1168" s="12">
        <f>Combined[[#This Row],[Time Spent]]*24</f>
        <v>1.5333333333333332</v>
      </c>
      <c r="L1168" s="12">
        <f>MROUND(Combined[[#This Row],[Time Spent 2]],0.25)</f>
        <v>1.5</v>
      </c>
      <c r="M1168" s="2" t="s">
        <v>91</v>
      </c>
      <c r="N1168" t="s">
        <v>80</v>
      </c>
      <c r="O1168">
        <f>MATCH(Combined[[#This Row],[Primary Area]],KPIs!$C$4:$C$7,0)</f>
        <v>2</v>
      </c>
      <c r="R1168" s="40"/>
      <c r="V1168" s="4"/>
      <c r="X1168"/>
    </row>
    <row r="1169" spans="2:24" x14ac:dyDescent="0.35">
      <c r="B1169">
        <f t="shared" si="304"/>
        <v>1167</v>
      </c>
      <c r="C1169" t="s">
        <v>86</v>
      </c>
      <c r="D1169" t="s">
        <v>176</v>
      </c>
      <c r="E1169">
        <f>IF(WEEKNUM(Combined[[#This Row],[Date]], 1) = 53, 1, WEEKNUM(Combined[[#This Row],[Date]], 2))</f>
        <v>16</v>
      </c>
      <c r="F1169" t="str">
        <f t="shared" si="305"/>
        <v>Saturday</v>
      </c>
      <c r="G1169" s="41">
        <v>45402</v>
      </c>
      <c r="H1169">
        <v>4</v>
      </c>
      <c r="I1169" s="1">
        <f>32.75+2.75</f>
        <v>35.5</v>
      </c>
      <c r="J1169" s="2">
        <v>6.9444444444444448E-2</v>
      </c>
      <c r="K1169" s="12">
        <f>Combined[[#This Row],[Time Spent]]*24</f>
        <v>1.6666666666666667</v>
      </c>
      <c r="L1169" s="12">
        <f>MROUND(Combined[[#This Row],[Time Spent 2]],0.25)</f>
        <v>1.75</v>
      </c>
      <c r="M1169" s="2" t="s">
        <v>91</v>
      </c>
      <c r="N1169" t="s">
        <v>80</v>
      </c>
      <c r="O1169">
        <f>MATCH(Combined[[#This Row],[Primary Area]],KPIs!$C$4:$C$7,0)</f>
        <v>2</v>
      </c>
      <c r="R1169" s="40"/>
      <c r="V1169" s="4"/>
      <c r="X1169"/>
    </row>
    <row r="1170" spans="2:24" x14ac:dyDescent="0.35">
      <c r="B1170">
        <f t="shared" si="304"/>
        <v>1168</v>
      </c>
      <c r="C1170" t="s">
        <v>86</v>
      </c>
      <c r="D1170" t="s">
        <v>176</v>
      </c>
      <c r="E1170">
        <f>IF(WEEKNUM(Combined[[#This Row],[Date]], 1) = 53, 1, WEEKNUM(Combined[[#This Row],[Date]], 2))</f>
        <v>16</v>
      </c>
      <c r="F1170" t="str">
        <f t="shared" si="305"/>
        <v>Saturday</v>
      </c>
      <c r="G1170" s="41">
        <v>45402</v>
      </c>
      <c r="H1170">
        <v>2</v>
      </c>
      <c r="I1170" s="1">
        <f>22.45+2.5</f>
        <v>24.95</v>
      </c>
      <c r="J1170" s="2">
        <v>4.9305555555555554E-2</v>
      </c>
      <c r="K1170" s="12">
        <f>Combined[[#This Row],[Time Spent]]*24</f>
        <v>1.1833333333333333</v>
      </c>
      <c r="L1170" s="12">
        <f>MROUND(Combined[[#This Row],[Time Spent 2]],0.25)</f>
        <v>1.25</v>
      </c>
      <c r="M1170" s="2" t="s">
        <v>91</v>
      </c>
      <c r="N1170" t="s">
        <v>80</v>
      </c>
      <c r="O1170">
        <f>MATCH(Combined[[#This Row],[Primary Area]],KPIs!$C$4:$C$7,0)</f>
        <v>2</v>
      </c>
      <c r="R1170" s="40"/>
      <c r="V1170" s="4"/>
      <c r="X1170"/>
    </row>
    <row r="1171" spans="2:24" x14ac:dyDescent="0.35">
      <c r="B1171">
        <f t="shared" si="304"/>
        <v>1169</v>
      </c>
      <c r="C1171" t="s">
        <v>83</v>
      </c>
      <c r="D1171" t="s">
        <v>176</v>
      </c>
      <c r="E1171">
        <f>IF(WEEKNUM(Combined[[#This Row],[Date]], 1) = 53, 1, WEEKNUM(Combined[[#This Row],[Date]], 2))</f>
        <v>16</v>
      </c>
      <c r="F1171" t="str">
        <f t="shared" si="305"/>
        <v>Sunday</v>
      </c>
      <c r="G1171" s="41">
        <v>45403</v>
      </c>
      <c r="H1171">
        <v>7</v>
      </c>
      <c r="I1171" s="1">
        <v>107.51</v>
      </c>
      <c r="J1171" s="2">
        <v>0.15486111111111112</v>
      </c>
      <c r="K1171" s="12">
        <f>Combined[[#This Row],[Time Spent]]*24</f>
        <v>3.7166666666666668</v>
      </c>
      <c r="L1171" s="12">
        <f>MROUND(Combined[[#This Row],[Time Spent 2]],0.25)</f>
        <v>3.75</v>
      </c>
      <c r="M1171" s="2" t="s">
        <v>91</v>
      </c>
      <c r="N1171" t="s">
        <v>80</v>
      </c>
      <c r="O1171">
        <f>MATCH(Combined[[#This Row],[Primary Area]],KPIs!$C$4:$C$7,0)</f>
        <v>2</v>
      </c>
      <c r="R1171" s="40"/>
      <c r="V1171" s="4"/>
      <c r="X1171"/>
    </row>
    <row r="1172" spans="2:24" x14ac:dyDescent="0.35">
      <c r="B1172">
        <f t="shared" si="304"/>
        <v>1170</v>
      </c>
      <c r="C1172" t="s">
        <v>86</v>
      </c>
      <c r="D1172" t="s">
        <v>176</v>
      </c>
      <c r="E1172">
        <f>IF(WEEKNUM(Combined[[#This Row],[Date]], 1) = 53, 1, WEEKNUM(Combined[[#This Row],[Date]], 2))</f>
        <v>16</v>
      </c>
      <c r="F1172" t="str">
        <f t="shared" si="305"/>
        <v>Sunday</v>
      </c>
      <c r="G1172" s="41">
        <v>45403</v>
      </c>
      <c r="H1172">
        <v>1</v>
      </c>
      <c r="I1172" s="1">
        <v>8.25</v>
      </c>
      <c r="J1172" s="2">
        <v>5.0694444444444445E-2</v>
      </c>
      <c r="K1172" s="12">
        <f>Combined[[#This Row],[Time Spent]]*24</f>
        <v>1.2166666666666668</v>
      </c>
      <c r="L1172" s="12">
        <f>MROUND(Combined[[#This Row],[Time Spent 2]],0.25)</f>
        <v>1.25</v>
      </c>
      <c r="M1172" s="2" t="s">
        <v>91</v>
      </c>
      <c r="N1172" t="s">
        <v>80</v>
      </c>
      <c r="O1172">
        <f>MATCH(Combined[[#This Row],[Primary Area]],KPIs!$C$4:$C$7,0)</f>
        <v>2</v>
      </c>
      <c r="R1172" s="40"/>
      <c r="V1172" s="4"/>
      <c r="X1172"/>
    </row>
    <row r="1173" spans="2:24" x14ac:dyDescent="0.35">
      <c r="B1173">
        <f t="shared" si="304"/>
        <v>1171</v>
      </c>
      <c r="C1173" t="s">
        <v>86</v>
      </c>
      <c r="D1173" t="s">
        <v>176</v>
      </c>
      <c r="E1173">
        <f>IF(WEEKNUM(Combined[[#This Row],[Date]], 1) = 53, 1, WEEKNUM(Combined[[#This Row],[Date]], 2))</f>
        <v>16</v>
      </c>
      <c r="F1173" t="str">
        <f t="shared" si="305"/>
        <v>Sunday</v>
      </c>
      <c r="G1173" s="41">
        <v>45403</v>
      </c>
      <c r="H1173">
        <v>2</v>
      </c>
      <c r="I1173" s="1">
        <v>12.9</v>
      </c>
      <c r="J1173" s="2">
        <v>4.0972222222222222E-2</v>
      </c>
      <c r="K1173" s="12">
        <f>Combined[[#This Row],[Time Spent]]*24</f>
        <v>0.98333333333333339</v>
      </c>
      <c r="L1173" s="12">
        <f>MROUND(Combined[[#This Row],[Time Spent 2]],0.25)</f>
        <v>1</v>
      </c>
      <c r="M1173" s="2" t="s">
        <v>92</v>
      </c>
      <c r="N1173" t="s">
        <v>80</v>
      </c>
      <c r="O1173">
        <f>MATCH(Combined[[#This Row],[Primary Area]],KPIs!$C$4:$C$7,0)</f>
        <v>2</v>
      </c>
      <c r="R1173" s="40"/>
      <c r="V1173" s="4"/>
      <c r="X1173"/>
    </row>
    <row r="1174" spans="2:24" x14ac:dyDescent="0.35">
      <c r="B1174">
        <f t="shared" si="304"/>
        <v>1172</v>
      </c>
      <c r="C1174" t="s">
        <v>86</v>
      </c>
      <c r="D1174" t="s">
        <v>176</v>
      </c>
      <c r="E1174">
        <f>IF(WEEKNUM(Combined[[#This Row],[Date]], 1) = 53, 1, WEEKNUM(Combined[[#This Row],[Date]], 2))</f>
        <v>17</v>
      </c>
      <c r="F1174" t="str">
        <f t="shared" ref="F1174:F1187" si="306">TEXT(WEEKDAY(G1174,1),"DDDD")</f>
        <v>Monday</v>
      </c>
      <c r="G1174" s="41">
        <v>45404</v>
      </c>
      <c r="H1174">
        <v>6</v>
      </c>
      <c r="I1174" s="1">
        <v>37.25</v>
      </c>
      <c r="J1174" s="2">
        <v>8.819444444444445E-2</v>
      </c>
      <c r="K1174" s="12">
        <f>Combined[[#This Row],[Time Spent]]*24</f>
        <v>2.1166666666666667</v>
      </c>
      <c r="L1174" s="12">
        <f>MROUND(Combined[[#This Row],[Time Spent 2]],0.25)</f>
        <v>2</v>
      </c>
      <c r="M1174" s="2" t="s">
        <v>91</v>
      </c>
      <c r="N1174" t="s">
        <v>80</v>
      </c>
      <c r="O1174">
        <f>MATCH(Combined[[#This Row],[Primary Area]],KPIs!$C$4:$C$7,0)</f>
        <v>2</v>
      </c>
      <c r="R1174" s="40"/>
      <c r="V1174" s="4"/>
      <c r="X1174"/>
    </row>
    <row r="1175" spans="2:24" x14ac:dyDescent="0.35">
      <c r="B1175">
        <f t="shared" si="304"/>
        <v>1173</v>
      </c>
      <c r="C1175" t="s">
        <v>86</v>
      </c>
      <c r="D1175" t="s">
        <v>176</v>
      </c>
      <c r="E1175">
        <f>IF(WEEKNUM(Combined[[#This Row],[Date]], 1) = 53, 1, WEEKNUM(Combined[[#This Row],[Date]], 2))</f>
        <v>17</v>
      </c>
      <c r="F1175" t="str">
        <f t="shared" si="306"/>
        <v>Monday</v>
      </c>
      <c r="G1175" s="41">
        <v>45404</v>
      </c>
      <c r="H1175">
        <v>3</v>
      </c>
      <c r="I1175" s="1">
        <v>19.75</v>
      </c>
      <c r="J1175" s="2">
        <v>4.791666666666667E-2</v>
      </c>
      <c r="K1175" s="12">
        <f>Combined[[#This Row],[Time Spent]]*24</f>
        <v>1.1500000000000001</v>
      </c>
      <c r="L1175" s="12">
        <f>MROUND(Combined[[#This Row],[Time Spent 2]],0.25)</f>
        <v>1.25</v>
      </c>
      <c r="M1175" s="2" t="s">
        <v>91</v>
      </c>
      <c r="N1175" t="s">
        <v>80</v>
      </c>
      <c r="O1175">
        <f>MATCH(Combined[[#This Row],[Primary Area]],KPIs!$C$4:$C$7,0)</f>
        <v>2</v>
      </c>
      <c r="R1175" s="40"/>
      <c r="V1175" s="4"/>
      <c r="X1175"/>
    </row>
    <row r="1176" spans="2:24" x14ac:dyDescent="0.35">
      <c r="B1176">
        <f t="shared" si="304"/>
        <v>1174</v>
      </c>
      <c r="C1176" t="s">
        <v>83</v>
      </c>
      <c r="D1176" t="s">
        <v>176</v>
      </c>
      <c r="E1176">
        <f>IF(WEEKNUM(Combined[[#This Row],[Date]], 1) = 53, 1, WEEKNUM(Combined[[#This Row],[Date]], 2))</f>
        <v>17</v>
      </c>
      <c r="F1176" t="str">
        <f t="shared" si="306"/>
        <v>Tuesday</v>
      </c>
      <c r="G1176" s="41">
        <v>45405</v>
      </c>
      <c r="H1176">
        <v>1</v>
      </c>
      <c r="I1176" s="1">
        <v>5.05</v>
      </c>
      <c r="J1176" s="2">
        <v>4.9305555555555554E-2</v>
      </c>
      <c r="K1176" s="12">
        <f>Combined[[#This Row],[Time Spent]]*24</f>
        <v>1.1833333333333333</v>
      </c>
      <c r="L1176" s="12">
        <f>MROUND(Combined[[#This Row],[Time Spent 2]],0.25)</f>
        <v>1.25</v>
      </c>
      <c r="M1176" s="2" t="s">
        <v>91</v>
      </c>
      <c r="N1176" t="s">
        <v>82</v>
      </c>
      <c r="O1176">
        <f>MATCH(Combined[[#This Row],[Primary Area]],KPIs!$C$4:$C$7,0)</f>
        <v>3</v>
      </c>
      <c r="R1176" s="40"/>
      <c r="V1176" s="4"/>
      <c r="X1176"/>
    </row>
    <row r="1177" spans="2:24" x14ac:dyDescent="0.35">
      <c r="B1177">
        <f t="shared" si="304"/>
        <v>1175</v>
      </c>
      <c r="C1177" t="s">
        <v>86</v>
      </c>
      <c r="D1177" t="s">
        <v>176</v>
      </c>
      <c r="E1177">
        <f>IF(WEEKNUM(Combined[[#This Row],[Date]], 1) = 53, 1, WEEKNUM(Combined[[#This Row],[Date]], 2))</f>
        <v>17</v>
      </c>
      <c r="F1177" t="str">
        <f t="shared" si="306"/>
        <v>Tuesday</v>
      </c>
      <c r="G1177" s="41">
        <v>45405</v>
      </c>
      <c r="H1177">
        <v>4</v>
      </c>
      <c r="I1177" s="1">
        <v>39.75</v>
      </c>
      <c r="J1177" s="2">
        <v>9.6527777777777782E-2</v>
      </c>
      <c r="K1177" s="12">
        <f>Combined[[#This Row],[Time Spent]]*24</f>
        <v>2.3166666666666669</v>
      </c>
      <c r="L1177" s="12">
        <f>MROUND(Combined[[#This Row],[Time Spent 2]],0.25)</f>
        <v>2.25</v>
      </c>
      <c r="M1177" s="2" t="s">
        <v>91</v>
      </c>
      <c r="N1177" t="s">
        <v>82</v>
      </c>
      <c r="O1177">
        <f>MATCH(Combined[[#This Row],[Primary Area]],KPIs!$C$4:$C$7,0)</f>
        <v>3</v>
      </c>
      <c r="R1177" s="40"/>
      <c r="V1177" s="4"/>
      <c r="X1177"/>
    </row>
    <row r="1178" spans="2:24" x14ac:dyDescent="0.35">
      <c r="B1178">
        <f t="shared" si="304"/>
        <v>1176</v>
      </c>
      <c r="C1178" t="s">
        <v>86</v>
      </c>
      <c r="D1178" t="s">
        <v>176</v>
      </c>
      <c r="E1178">
        <f>IF(WEEKNUM(Combined[[#This Row],[Date]], 1) = 53, 1, WEEKNUM(Combined[[#This Row],[Date]], 2))</f>
        <v>17</v>
      </c>
      <c r="F1178" t="str">
        <f t="shared" si="306"/>
        <v>Tuesday</v>
      </c>
      <c r="G1178" s="41">
        <v>45405</v>
      </c>
      <c r="H1178">
        <v>6</v>
      </c>
      <c r="I1178" s="1">
        <v>28</v>
      </c>
      <c r="J1178" s="2">
        <v>7.8472222222222221E-2</v>
      </c>
      <c r="K1178" s="12">
        <f>Combined[[#This Row],[Time Spent]]*24</f>
        <v>1.8833333333333333</v>
      </c>
      <c r="L1178" s="12">
        <f>MROUND(Combined[[#This Row],[Time Spent 2]],0.25)</f>
        <v>2</v>
      </c>
      <c r="M1178" s="2" t="s">
        <v>91</v>
      </c>
      <c r="N1178" t="s">
        <v>82</v>
      </c>
      <c r="O1178">
        <f>MATCH(Combined[[#This Row],[Primary Area]],KPIs!$C$4:$C$7,0)</f>
        <v>3</v>
      </c>
      <c r="R1178" s="40"/>
      <c r="V1178" s="4"/>
      <c r="X1178"/>
    </row>
    <row r="1179" spans="2:24" x14ac:dyDescent="0.35">
      <c r="B1179">
        <f t="shared" si="304"/>
        <v>1177</v>
      </c>
      <c r="C1179" t="s">
        <v>83</v>
      </c>
      <c r="D1179" t="s">
        <v>176</v>
      </c>
      <c r="E1179">
        <f>IF(WEEKNUM(Combined[[#This Row],[Date]], 1) = 53, 1, WEEKNUM(Combined[[#This Row],[Date]], 2))</f>
        <v>17</v>
      </c>
      <c r="F1179" t="str">
        <f t="shared" si="306"/>
        <v>Thursday</v>
      </c>
      <c r="G1179" s="41">
        <v>45407</v>
      </c>
      <c r="H1179">
        <v>3</v>
      </c>
      <c r="I1179" s="1">
        <v>41.86</v>
      </c>
      <c r="J1179" s="2">
        <v>0.1076388888888889</v>
      </c>
      <c r="K1179" s="12">
        <f>Combined[[#This Row],[Time Spent]]*24</f>
        <v>2.5833333333333335</v>
      </c>
      <c r="L1179" s="12">
        <f>MROUND(Combined[[#This Row],[Time Spent 2]],0.25)</f>
        <v>2.5</v>
      </c>
      <c r="M1179" s="2" t="s">
        <v>91</v>
      </c>
      <c r="N1179" t="s">
        <v>82</v>
      </c>
      <c r="O1179">
        <f>MATCH(Combined[[#This Row],[Primary Area]],KPIs!$C$4:$C$7,0)</f>
        <v>3</v>
      </c>
      <c r="R1179" s="40"/>
      <c r="V1179" s="4"/>
      <c r="X1179"/>
    </row>
    <row r="1180" spans="2:24" x14ac:dyDescent="0.35">
      <c r="B1180">
        <f t="shared" si="304"/>
        <v>1178</v>
      </c>
      <c r="C1180" t="s">
        <v>86</v>
      </c>
      <c r="D1180" t="s">
        <v>176</v>
      </c>
      <c r="E1180">
        <f>IF(WEEKNUM(Combined[[#This Row],[Date]], 1) = 53, 1, WEEKNUM(Combined[[#This Row],[Date]], 2))</f>
        <v>17</v>
      </c>
      <c r="F1180" t="str">
        <f t="shared" si="306"/>
        <v>Thursday</v>
      </c>
      <c r="G1180" s="41">
        <v>45407</v>
      </c>
      <c r="H1180">
        <v>3</v>
      </c>
      <c r="I1180" s="1">
        <v>26.75</v>
      </c>
      <c r="J1180" s="2">
        <v>8.2638888888888887E-2</v>
      </c>
      <c r="K1180" s="12">
        <f>Combined[[#This Row],[Time Spent]]*24</f>
        <v>1.9833333333333334</v>
      </c>
      <c r="L1180" s="12">
        <f>MROUND(Combined[[#This Row],[Time Spent 2]],0.25)</f>
        <v>2</v>
      </c>
      <c r="M1180" s="2" t="s">
        <v>91</v>
      </c>
      <c r="N1180" t="s">
        <v>82</v>
      </c>
      <c r="O1180">
        <f>MATCH(Combined[[#This Row],[Primary Area]],KPIs!$C$4:$C$7,0)</f>
        <v>3</v>
      </c>
      <c r="R1180" s="40"/>
      <c r="V1180" s="4"/>
      <c r="X1180"/>
    </row>
    <row r="1181" spans="2:24" x14ac:dyDescent="0.35">
      <c r="B1181">
        <f t="shared" si="304"/>
        <v>1179</v>
      </c>
      <c r="C1181" t="s">
        <v>83</v>
      </c>
      <c r="D1181" t="s">
        <v>176</v>
      </c>
      <c r="E1181">
        <f>IF(WEEKNUM(Combined[[#This Row],[Date]], 1) = 53, 1, WEEKNUM(Combined[[#This Row],[Date]], 2))</f>
        <v>17</v>
      </c>
      <c r="F1181" t="str">
        <f t="shared" si="306"/>
        <v>Friday</v>
      </c>
      <c r="G1181" s="41">
        <v>45408</v>
      </c>
      <c r="H1181">
        <v>2</v>
      </c>
      <c r="I1181" s="1">
        <v>25.16</v>
      </c>
      <c r="J1181" s="2">
        <v>6.458333333333334E-2</v>
      </c>
      <c r="K1181" s="12">
        <f>Combined[[#This Row],[Time Spent]]*24</f>
        <v>1.5500000000000003</v>
      </c>
      <c r="L1181" s="12">
        <f>MROUND(Combined[[#This Row],[Time Spent 2]],0.25)</f>
        <v>1.5</v>
      </c>
      <c r="M1181" s="2" t="s">
        <v>91</v>
      </c>
      <c r="N1181" t="s">
        <v>80</v>
      </c>
      <c r="O1181">
        <f>MATCH(Combined[[#This Row],[Primary Area]],KPIs!$C$4:$C$7,0)</f>
        <v>2</v>
      </c>
      <c r="R1181" s="40"/>
      <c r="V1181" s="4"/>
      <c r="X1181"/>
    </row>
    <row r="1182" spans="2:24" x14ac:dyDescent="0.35">
      <c r="B1182">
        <f t="shared" si="304"/>
        <v>1180</v>
      </c>
      <c r="C1182" t="s">
        <v>86</v>
      </c>
      <c r="D1182" t="s">
        <v>176</v>
      </c>
      <c r="E1182">
        <f>IF(WEEKNUM(Combined[[#This Row],[Date]], 1) = 53, 1, WEEKNUM(Combined[[#This Row],[Date]], 2))</f>
        <v>17</v>
      </c>
      <c r="F1182" t="str">
        <f t="shared" si="306"/>
        <v>Friday</v>
      </c>
      <c r="G1182" s="41">
        <v>45408</v>
      </c>
      <c r="H1182">
        <v>5</v>
      </c>
      <c r="I1182" s="1">
        <v>47.04</v>
      </c>
      <c r="J1182" s="2">
        <v>8.9583333333333334E-2</v>
      </c>
      <c r="K1182" s="12">
        <f>Combined[[#This Row],[Time Spent]]*24</f>
        <v>2.15</v>
      </c>
      <c r="L1182" s="12">
        <f>MROUND(Combined[[#This Row],[Time Spent 2]],0.25)</f>
        <v>2.25</v>
      </c>
      <c r="M1182" s="2" t="s">
        <v>91</v>
      </c>
      <c r="N1182" t="s">
        <v>80</v>
      </c>
      <c r="O1182">
        <f>MATCH(Combined[[#This Row],[Primary Area]],KPIs!$C$4:$C$7,0)</f>
        <v>2</v>
      </c>
      <c r="R1182" s="40"/>
      <c r="V1182" s="4"/>
      <c r="X1182"/>
    </row>
    <row r="1183" spans="2:24" x14ac:dyDescent="0.35">
      <c r="B1183">
        <f t="shared" si="304"/>
        <v>1181</v>
      </c>
      <c r="C1183" t="s">
        <v>86</v>
      </c>
      <c r="D1183" t="s">
        <v>176</v>
      </c>
      <c r="E1183">
        <f>IF(WEEKNUM(Combined[[#This Row],[Date]], 1) = 53, 1, WEEKNUM(Combined[[#This Row],[Date]], 2))</f>
        <v>17</v>
      </c>
      <c r="F1183" t="str">
        <f t="shared" si="306"/>
        <v>Friday</v>
      </c>
      <c r="G1183" s="41">
        <v>45408</v>
      </c>
      <c r="H1183">
        <v>5</v>
      </c>
      <c r="I1183" s="1">
        <v>34.5</v>
      </c>
      <c r="J1183" s="2">
        <v>7.9861111111111105E-2</v>
      </c>
      <c r="K1183" s="12">
        <f>Combined[[#This Row],[Time Spent]]*24</f>
        <v>1.9166666666666665</v>
      </c>
      <c r="L1183" s="12">
        <f>MROUND(Combined[[#This Row],[Time Spent 2]],0.25)</f>
        <v>2</v>
      </c>
      <c r="M1183" s="2" t="s">
        <v>91</v>
      </c>
      <c r="N1183" t="s">
        <v>80</v>
      </c>
      <c r="O1183">
        <f>MATCH(Combined[[#This Row],[Primary Area]],KPIs!$C$4:$C$7,0)</f>
        <v>2</v>
      </c>
      <c r="R1183" s="40"/>
      <c r="V1183" s="4"/>
      <c r="X1183"/>
    </row>
    <row r="1184" spans="2:24" x14ac:dyDescent="0.35">
      <c r="B1184">
        <f t="shared" si="304"/>
        <v>1182</v>
      </c>
      <c r="C1184" t="s">
        <v>86</v>
      </c>
      <c r="D1184" t="s">
        <v>176</v>
      </c>
      <c r="E1184">
        <f>IF(WEEKNUM(Combined[[#This Row],[Date]], 1) = 53, 1, WEEKNUM(Combined[[#This Row],[Date]], 2))</f>
        <v>17</v>
      </c>
      <c r="F1184" t="str">
        <f t="shared" si="306"/>
        <v>Friday</v>
      </c>
      <c r="G1184" s="41">
        <v>45408</v>
      </c>
      <c r="H1184">
        <v>2</v>
      </c>
      <c r="I1184" s="1">
        <v>14</v>
      </c>
      <c r="J1184" s="2">
        <v>4.1666666666666664E-2</v>
      </c>
      <c r="K1184" s="12">
        <f>Combined[[#This Row],[Time Spent]]*24</f>
        <v>1</v>
      </c>
      <c r="L1184" s="12">
        <f>MROUND(Combined[[#This Row],[Time Spent 2]],0.25)</f>
        <v>1</v>
      </c>
      <c r="M1184" s="2" t="s">
        <v>92</v>
      </c>
      <c r="N1184" t="s">
        <v>80</v>
      </c>
      <c r="O1184">
        <f>MATCH(Combined[[#This Row],[Primary Area]],KPIs!$C$4:$C$7,0)</f>
        <v>2</v>
      </c>
      <c r="R1184" s="40"/>
      <c r="V1184" s="4"/>
      <c r="X1184"/>
    </row>
    <row r="1185" spans="2:24" x14ac:dyDescent="0.35">
      <c r="B1185">
        <f t="shared" si="304"/>
        <v>1183</v>
      </c>
      <c r="C1185" t="s">
        <v>83</v>
      </c>
      <c r="D1185" t="s">
        <v>176</v>
      </c>
      <c r="E1185">
        <f>IF(WEEKNUM(Combined[[#This Row],[Date]], 1) = 53, 1, WEEKNUM(Combined[[#This Row],[Date]], 2))</f>
        <v>17</v>
      </c>
      <c r="F1185" t="str">
        <f t="shared" si="306"/>
        <v>Saturday</v>
      </c>
      <c r="G1185" s="41">
        <v>45409</v>
      </c>
      <c r="H1185">
        <v>5</v>
      </c>
      <c r="I1185" s="1">
        <v>71.91</v>
      </c>
      <c r="J1185" s="2">
        <v>0.13402777777777777</v>
      </c>
      <c r="K1185" s="12">
        <f>Combined[[#This Row],[Time Spent]]*24</f>
        <v>3.2166666666666668</v>
      </c>
      <c r="L1185" s="12">
        <f>MROUND(Combined[[#This Row],[Time Spent 2]],0.25)</f>
        <v>3.25</v>
      </c>
      <c r="M1185" s="2" t="s">
        <v>91</v>
      </c>
      <c r="N1185" t="s">
        <v>80</v>
      </c>
      <c r="O1185">
        <f>MATCH(Combined[[#This Row],[Primary Area]],KPIs!$C$4:$C$7,0)</f>
        <v>2</v>
      </c>
      <c r="R1185" s="40"/>
      <c r="V1185" s="4"/>
      <c r="X1185"/>
    </row>
    <row r="1186" spans="2:24" x14ac:dyDescent="0.35">
      <c r="B1186">
        <f t="shared" si="304"/>
        <v>1184</v>
      </c>
      <c r="C1186" t="s">
        <v>86</v>
      </c>
      <c r="D1186" t="s">
        <v>176</v>
      </c>
      <c r="E1186">
        <f>IF(WEEKNUM(Combined[[#This Row],[Date]], 1) = 53, 1, WEEKNUM(Combined[[#This Row],[Date]], 2))</f>
        <v>17</v>
      </c>
      <c r="F1186" t="str">
        <f t="shared" si="306"/>
        <v>Saturday</v>
      </c>
      <c r="G1186" s="41">
        <v>45409</v>
      </c>
      <c r="H1186">
        <v>3</v>
      </c>
      <c r="I1186" s="1">
        <v>17</v>
      </c>
      <c r="J1186" s="2">
        <v>7.8472222222222221E-2</v>
      </c>
      <c r="K1186" s="12">
        <f>Combined[[#This Row],[Time Spent]]*24</f>
        <v>1.8833333333333333</v>
      </c>
      <c r="L1186" s="12">
        <f>MROUND(Combined[[#This Row],[Time Spent 2]],0.25)</f>
        <v>2</v>
      </c>
      <c r="M1186" s="2" t="s">
        <v>91</v>
      </c>
      <c r="N1186" t="s">
        <v>80</v>
      </c>
      <c r="O1186">
        <f>MATCH(Combined[[#This Row],[Primary Area]],KPIs!$C$4:$C$7,0)</f>
        <v>2</v>
      </c>
      <c r="R1186" s="40"/>
      <c r="V1186" s="4"/>
      <c r="X1186"/>
    </row>
    <row r="1187" spans="2:24" x14ac:dyDescent="0.35">
      <c r="B1187">
        <f t="shared" si="304"/>
        <v>1185</v>
      </c>
      <c r="C1187" t="s">
        <v>86</v>
      </c>
      <c r="D1187" t="s">
        <v>176</v>
      </c>
      <c r="E1187">
        <f>IF(WEEKNUM(Combined[[#This Row],[Date]], 1) = 53, 1, WEEKNUM(Combined[[#This Row],[Date]], 2))</f>
        <v>17</v>
      </c>
      <c r="F1187" t="str">
        <f t="shared" si="306"/>
        <v>Saturday</v>
      </c>
      <c r="G1187" s="41">
        <v>45409</v>
      </c>
      <c r="H1187">
        <v>1</v>
      </c>
      <c r="I1187" s="1">
        <v>9.75</v>
      </c>
      <c r="J1187" s="2">
        <v>3.4027777777777775E-2</v>
      </c>
      <c r="K1187" s="12">
        <f>Combined[[#This Row],[Time Spent]]*24</f>
        <v>0.81666666666666665</v>
      </c>
      <c r="L1187" s="12">
        <f>MROUND(Combined[[#This Row],[Time Spent 2]],0.25)</f>
        <v>0.75</v>
      </c>
      <c r="M1187" s="2" t="s">
        <v>91</v>
      </c>
      <c r="N1187" t="s">
        <v>80</v>
      </c>
      <c r="O1187">
        <f>MATCH(Combined[[#This Row],[Primary Area]],KPIs!$C$4:$C$7,0)</f>
        <v>2</v>
      </c>
      <c r="R1187" s="40"/>
      <c r="V1187" s="4"/>
      <c r="X1187"/>
    </row>
    <row r="1188" spans="2:24" x14ac:dyDescent="0.35">
      <c r="B1188">
        <f t="shared" si="304"/>
        <v>1186</v>
      </c>
      <c r="C1188" t="s">
        <v>86</v>
      </c>
      <c r="D1188" t="s">
        <v>176</v>
      </c>
      <c r="E1188">
        <f>IF(WEEKNUM(Combined[[#This Row],[Date]], 1) = 53, 1, WEEKNUM(Combined[[#This Row],[Date]], 2))</f>
        <v>17</v>
      </c>
      <c r="F1188" t="str">
        <f t="shared" ref="F1188:F1191" si="307">TEXT(WEEKDAY(G1188,1),"DDDD")</f>
        <v>Saturday</v>
      </c>
      <c r="G1188" s="41">
        <v>45409</v>
      </c>
      <c r="H1188">
        <v>3</v>
      </c>
      <c r="I1188" s="1">
        <v>22.5</v>
      </c>
      <c r="J1188" s="2">
        <v>4.6527777777777779E-2</v>
      </c>
      <c r="K1188" s="12">
        <f>Combined[[#This Row],[Time Spent]]*24</f>
        <v>1.1166666666666667</v>
      </c>
      <c r="L1188" s="12">
        <f>MROUND(Combined[[#This Row],[Time Spent 2]],0.25)</f>
        <v>1</v>
      </c>
      <c r="M1188" s="2" t="s">
        <v>92</v>
      </c>
      <c r="N1188" t="s">
        <v>80</v>
      </c>
      <c r="O1188">
        <f>MATCH(Combined[[#This Row],[Primary Area]],KPIs!$C$4:$C$7,0)</f>
        <v>2</v>
      </c>
      <c r="R1188" s="40"/>
      <c r="V1188" s="4"/>
      <c r="X1188"/>
    </row>
    <row r="1189" spans="2:24" x14ac:dyDescent="0.35">
      <c r="B1189">
        <f t="shared" si="304"/>
        <v>1187</v>
      </c>
      <c r="C1189" t="s">
        <v>83</v>
      </c>
      <c r="D1189" t="s">
        <v>176</v>
      </c>
      <c r="E1189">
        <f>IF(WEEKNUM(Combined[[#This Row],[Date]], 1) = 53, 1, WEEKNUM(Combined[[#This Row],[Date]], 2))</f>
        <v>17</v>
      </c>
      <c r="F1189" t="str">
        <f t="shared" si="307"/>
        <v>Sunday</v>
      </c>
      <c r="G1189" s="41">
        <v>45410</v>
      </c>
      <c r="H1189">
        <v>1</v>
      </c>
      <c r="I1189" s="1">
        <v>9.27</v>
      </c>
      <c r="J1189" s="2">
        <v>7.7777777777777779E-2</v>
      </c>
      <c r="K1189" s="12">
        <f>Combined[[#This Row],[Time Spent]]*24</f>
        <v>1.8666666666666667</v>
      </c>
      <c r="L1189" s="12">
        <f>MROUND(Combined[[#This Row],[Time Spent 2]],0.25)</f>
        <v>1.75</v>
      </c>
      <c r="M1189" s="2" t="s">
        <v>91</v>
      </c>
      <c r="N1189" t="s">
        <v>174</v>
      </c>
      <c r="O1189">
        <f>MATCH(Combined[[#This Row],[Primary Area]],KPIs!$C$4:$C$7,0)</f>
        <v>1</v>
      </c>
      <c r="R1189" s="40"/>
      <c r="V1189" s="4"/>
      <c r="X1189"/>
    </row>
    <row r="1190" spans="2:24" x14ac:dyDescent="0.35">
      <c r="B1190">
        <f t="shared" si="304"/>
        <v>1188</v>
      </c>
      <c r="C1190" t="s">
        <v>86</v>
      </c>
      <c r="D1190" t="s">
        <v>176</v>
      </c>
      <c r="E1190">
        <f>IF(WEEKNUM(Combined[[#This Row],[Date]], 1) = 53, 1, WEEKNUM(Combined[[#This Row],[Date]], 2))</f>
        <v>17</v>
      </c>
      <c r="F1190" t="str">
        <f t="shared" si="307"/>
        <v>Sunday</v>
      </c>
      <c r="G1190" s="41">
        <v>45410</v>
      </c>
      <c r="H1190">
        <v>2</v>
      </c>
      <c r="I1190" s="1">
        <v>24.5</v>
      </c>
      <c r="J1190" s="2">
        <v>3.4722222222222224E-2</v>
      </c>
      <c r="K1190" s="12">
        <f>Combined[[#This Row],[Time Spent]]*24</f>
        <v>0.83333333333333337</v>
      </c>
      <c r="L1190" s="12">
        <f>MROUND(Combined[[#This Row],[Time Spent 2]],0.25)</f>
        <v>0.75</v>
      </c>
      <c r="M1190" s="2" t="s">
        <v>91</v>
      </c>
      <c r="N1190" t="s">
        <v>174</v>
      </c>
      <c r="O1190">
        <f>MATCH(Combined[[#This Row],[Primary Area]],KPIs!$C$4:$C$7,0)</f>
        <v>1</v>
      </c>
      <c r="R1190" s="40"/>
      <c r="V1190" s="4"/>
      <c r="X1190"/>
    </row>
    <row r="1191" spans="2:24" x14ac:dyDescent="0.35">
      <c r="B1191">
        <f t="shared" si="304"/>
        <v>1189</v>
      </c>
      <c r="C1191" t="s">
        <v>86</v>
      </c>
      <c r="D1191" t="s">
        <v>176</v>
      </c>
      <c r="E1191">
        <f>IF(WEEKNUM(Combined[[#This Row],[Date]], 1) = 53, 1, WEEKNUM(Combined[[#This Row],[Date]], 2))</f>
        <v>17</v>
      </c>
      <c r="F1191" t="str">
        <f t="shared" si="307"/>
        <v>Sunday</v>
      </c>
      <c r="G1191" s="41">
        <v>45410</v>
      </c>
      <c r="H1191">
        <v>4</v>
      </c>
      <c r="I1191" s="1">
        <v>17.5</v>
      </c>
      <c r="J1191" s="2">
        <v>5.486111111111111E-2</v>
      </c>
      <c r="K1191" s="12">
        <f>Combined[[#This Row],[Time Spent]]*24</f>
        <v>1.3166666666666667</v>
      </c>
      <c r="L1191" s="12">
        <f>MROUND(Combined[[#This Row],[Time Spent 2]],0.25)</f>
        <v>1.25</v>
      </c>
      <c r="M1191" s="2" t="s">
        <v>91</v>
      </c>
      <c r="N1191" t="s">
        <v>174</v>
      </c>
      <c r="O1191">
        <f>MATCH(Combined[[#This Row],[Primary Area]],KPIs!$C$4:$C$7,0)</f>
        <v>1</v>
      </c>
      <c r="R1191" s="40"/>
      <c r="V1191" s="4"/>
      <c r="X1191"/>
    </row>
    <row r="1192" spans="2:24" x14ac:dyDescent="0.35">
      <c r="B1192">
        <f t="shared" si="304"/>
        <v>1190</v>
      </c>
      <c r="C1192" t="s">
        <v>83</v>
      </c>
      <c r="D1192" t="s">
        <v>176</v>
      </c>
      <c r="E1192">
        <f>IF(WEEKNUM(Combined[[#This Row],[Date]], 1) = 53, 1, WEEKNUM(Combined[[#This Row],[Date]], 2))</f>
        <v>18</v>
      </c>
      <c r="F1192" t="str">
        <f t="shared" ref="F1192:F1210" si="308">TEXT(WEEKDAY(G1192,1),"DDDD")</f>
        <v>Tuesday</v>
      </c>
      <c r="G1192" s="41">
        <v>45412</v>
      </c>
      <c r="H1192">
        <v>1</v>
      </c>
      <c r="I1192" s="1">
        <v>16.350000000000001</v>
      </c>
      <c r="J1192" s="2">
        <v>2.1527777777777778E-2</v>
      </c>
      <c r="K1192" s="12">
        <f>Combined[[#This Row],[Time Spent]]*24</f>
        <v>0.51666666666666661</v>
      </c>
      <c r="L1192" s="12">
        <f>MROUND(Combined[[#This Row],[Time Spent 2]],0.25)</f>
        <v>0.5</v>
      </c>
      <c r="M1192" s="2" t="s">
        <v>91</v>
      </c>
      <c r="N1192" t="s">
        <v>80</v>
      </c>
      <c r="O1192">
        <f>MATCH(Combined[[#This Row],[Primary Area]],KPIs!$C$4:$C$7,0)</f>
        <v>2</v>
      </c>
      <c r="R1192" s="40"/>
      <c r="V1192" s="4"/>
      <c r="X1192"/>
    </row>
    <row r="1193" spans="2:24" x14ac:dyDescent="0.35">
      <c r="B1193">
        <f t="shared" si="304"/>
        <v>1191</v>
      </c>
      <c r="C1193" t="s">
        <v>86</v>
      </c>
      <c r="D1193" t="s">
        <v>176</v>
      </c>
      <c r="E1193">
        <f>IF(WEEKNUM(Combined[[#This Row],[Date]], 1) = 53, 1, WEEKNUM(Combined[[#This Row],[Date]], 2))</f>
        <v>18</v>
      </c>
      <c r="F1193" t="str">
        <f t="shared" si="308"/>
        <v>Tuesday</v>
      </c>
      <c r="G1193" s="41">
        <v>45412</v>
      </c>
      <c r="H1193">
        <v>1</v>
      </c>
      <c r="I1193" s="1">
        <v>16.25</v>
      </c>
      <c r="J1193" s="2">
        <v>3.1944444444444442E-2</v>
      </c>
      <c r="K1193" s="12">
        <f>Combined[[#This Row],[Time Spent]]*24</f>
        <v>0.76666666666666661</v>
      </c>
      <c r="L1193" s="12">
        <f>MROUND(Combined[[#This Row],[Time Spent 2]],0.25)</f>
        <v>0.75</v>
      </c>
      <c r="M1193" s="2" t="s">
        <v>91</v>
      </c>
      <c r="N1193" t="s">
        <v>80</v>
      </c>
      <c r="O1193">
        <f>MATCH(Combined[[#This Row],[Primary Area]],KPIs!$C$4:$C$7,0)</f>
        <v>2</v>
      </c>
      <c r="R1193" s="40"/>
      <c r="V1193" s="4"/>
      <c r="X1193"/>
    </row>
    <row r="1194" spans="2:24" x14ac:dyDescent="0.35">
      <c r="B1194">
        <f t="shared" si="304"/>
        <v>1192</v>
      </c>
      <c r="C1194" t="s">
        <v>86</v>
      </c>
      <c r="D1194" t="s">
        <v>176</v>
      </c>
      <c r="E1194">
        <f>IF(WEEKNUM(Combined[[#This Row],[Date]], 1) = 53, 1, WEEKNUM(Combined[[#This Row],[Date]], 2))</f>
        <v>18</v>
      </c>
      <c r="F1194" t="str">
        <f t="shared" si="308"/>
        <v>Tuesday</v>
      </c>
      <c r="G1194" s="41">
        <v>45412</v>
      </c>
      <c r="H1194">
        <v>4</v>
      </c>
      <c r="I1194" s="1">
        <v>25.5</v>
      </c>
      <c r="J1194" s="2">
        <v>6.458333333333334E-2</v>
      </c>
      <c r="K1194" s="12">
        <f>Combined[[#This Row],[Time Spent]]*24</f>
        <v>1.5500000000000003</v>
      </c>
      <c r="L1194" s="12">
        <f>MROUND(Combined[[#This Row],[Time Spent 2]],0.25)</f>
        <v>1.5</v>
      </c>
      <c r="M1194" s="2" t="s">
        <v>91</v>
      </c>
      <c r="N1194" t="s">
        <v>80</v>
      </c>
      <c r="O1194">
        <f>MATCH(Combined[[#This Row],[Primary Area]],KPIs!$C$4:$C$7,0)</f>
        <v>2</v>
      </c>
      <c r="R1194" s="40"/>
      <c r="V1194" s="4"/>
      <c r="X1194"/>
    </row>
    <row r="1195" spans="2:24" x14ac:dyDescent="0.35">
      <c r="B1195">
        <f t="shared" si="304"/>
        <v>1193</v>
      </c>
      <c r="C1195" t="s">
        <v>86</v>
      </c>
      <c r="D1195" t="s">
        <v>176</v>
      </c>
      <c r="E1195">
        <f>IF(WEEKNUM(Combined[[#This Row],[Date]], 1) = 53, 1, WEEKNUM(Combined[[#This Row],[Date]], 2))</f>
        <v>18</v>
      </c>
      <c r="F1195" t="str">
        <f t="shared" si="308"/>
        <v>Tuesday</v>
      </c>
      <c r="G1195" s="41">
        <v>45412</v>
      </c>
      <c r="H1195">
        <v>4</v>
      </c>
      <c r="I1195" s="1">
        <v>26.5</v>
      </c>
      <c r="J1195" s="2">
        <v>5.9027777777777776E-2</v>
      </c>
      <c r="K1195" s="12">
        <f>Combined[[#This Row],[Time Spent]]*24</f>
        <v>1.4166666666666665</v>
      </c>
      <c r="L1195" s="12">
        <f>MROUND(Combined[[#This Row],[Time Spent 2]],0.25)</f>
        <v>1.5</v>
      </c>
      <c r="M1195" s="2" t="s">
        <v>92</v>
      </c>
      <c r="N1195" t="s">
        <v>80</v>
      </c>
      <c r="O1195">
        <f>MATCH(Combined[[#This Row],[Primary Area]],KPIs!$C$4:$C$7,0)</f>
        <v>2</v>
      </c>
      <c r="R1195" s="40"/>
      <c r="V1195" s="4"/>
      <c r="X1195"/>
    </row>
    <row r="1196" spans="2:24" x14ac:dyDescent="0.35">
      <c r="B1196">
        <f t="shared" si="304"/>
        <v>1194</v>
      </c>
      <c r="C1196" t="s">
        <v>83</v>
      </c>
      <c r="D1196" t="s">
        <v>176</v>
      </c>
      <c r="E1196">
        <f>IF(WEEKNUM(Combined[[#This Row],[Date]], 1) = 53, 1, WEEKNUM(Combined[[#This Row],[Date]], 2))</f>
        <v>18</v>
      </c>
      <c r="F1196" t="str">
        <f t="shared" si="308"/>
        <v>Wednesday</v>
      </c>
      <c r="G1196" s="41">
        <v>45413</v>
      </c>
      <c r="H1196">
        <v>2</v>
      </c>
      <c r="I1196" s="1">
        <f>10.67+25.09</f>
        <v>35.76</v>
      </c>
      <c r="J1196" s="2">
        <f>TIME(0,22,)+TIME(0,47,)</f>
        <v>4.791666666666667E-2</v>
      </c>
      <c r="K1196" s="12">
        <f>Combined[[#This Row],[Time Spent]]*24</f>
        <v>1.1500000000000001</v>
      </c>
      <c r="L1196" s="12">
        <f>MROUND(Combined[[#This Row],[Time Spent 2]],0.25)</f>
        <v>1.25</v>
      </c>
      <c r="M1196" s="2" t="s">
        <v>91</v>
      </c>
      <c r="N1196" t="s">
        <v>80</v>
      </c>
      <c r="O1196">
        <f>MATCH(Combined[[#This Row],[Primary Area]],KPIs!$C$4:$C$7,0)</f>
        <v>2</v>
      </c>
      <c r="R1196" s="40"/>
      <c r="V1196" s="4"/>
      <c r="X1196"/>
    </row>
    <row r="1197" spans="2:24" x14ac:dyDescent="0.35">
      <c r="B1197">
        <f t="shared" si="304"/>
        <v>1195</v>
      </c>
      <c r="C1197" t="s">
        <v>86</v>
      </c>
      <c r="D1197" t="s">
        <v>176</v>
      </c>
      <c r="E1197">
        <f>IF(WEEKNUM(Combined[[#This Row],[Date]], 1) = 53, 1, WEEKNUM(Combined[[#This Row],[Date]], 2))</f>
        <v>18</v>
      </c>
      <c r="F1197" t="str">
        <f t="shared" si="308"/>
        <v>Wednesday</v>
      </c>
      <c r="G1197" s="41">
        <v>45413</v>
      </c>
      <c r="H1197">
        <v>4</v>
      </c>
      <c r="I1197" s="1">
        <v>36.75</v>
      </c>
      <c r="J1197" s="2">
        <v>9.0972222222222218E-2</v>
      </c>
      <c r="K1197" s="12">
        <f>Combined[[#This Row],[Time Spent]]*24</f>
        <v>2.1833333333333331</v>
      </c>
      <c r="L1197" s="12">
        <f>MROUND(Combined[[#This Row],[Time Spent 2]],0.25)</f>
        <v>2.25</v>
      </c>
      <c r="M1197" s="2" t="s">
        <v>91</v>
      </c>
      <c r="N1197" t="s">
        <v>80</v>
      </c>
      <c r="O1197">
        <f>MATCH(Combined[[#This Row],[Primary Area]],KPIs!$C$4:$C$7,0)</f>
        <v>2</v>
      </c>
      <c r="R1197" s="40"/>
      <c r="V1197" s="4"/>
      <c r="X1197"/>
    </row>
    <row r="1198" spans="2:24" x14ac:dyDescent="0.35">
      <c r="B1198">
        <f t="shared" si="304"/>
        <v>1196</v>
      </c>
      <c r="C1198" t="s">
        <v>86</v>
      </c>
      <c r="D1198" t="s">
        <v>176</v>
      </c>
      <c r="E1198">
        <f>IF(WEEKNUM(Combined[[#This Row],[Date]], 1) = 53, 1, WEEKNUM(Combined[[#This Row],[Date]], 2))</f>
        <v>18</v>
      </c>
      <c r="F1198" t="str">
        <f t="shared" si="308"/>
        <v>Wednesday</v>
      </c>
      <c r="G1198" s="41">
        <v>45413</v>
      </c>
      <c r="H1198">
        <v>5</v>
      </c>
      <c r="I1198" s="1">
        <v>36</v>
      </c>
      <c r="J1198" s="2">
        <v>6.6666666666666666E-2</v>
      </c>
      <c r="K1198" s="12">
        <f>Combined[[#This Row],[Time Spent]]*24</f>
        <v>1.6</v>
      </c>
      <c r="L1198" s="12">
        <f>MROUND(Combined[[#This Row],[Time Spent 2]],0.25)</f>
        <v>1.5</v>
      </c>
      <c r="M1198" s="2" t="s">
        <v>91</v>
      </c>
      <c r="N1198" t="s">
        <v>80</v>
      </c>
      <c r="O1198">
        <f>MATCH(Combined[[#This Row],[Primary Area]],KPIs!$C$4:$C$7,0)</f>
        <v>2</v>
      </c>
      <c r="R1198" s="40"/>
      <c r="V1198" s="4"/>
      <c r="X1198"/>
    </row>
    <row r="1199" spans="2:24" x14ac:dyDescent="0.35">
      <c r="B1199">
        <f t="shared" si="304"/>
        <v>1197</v>
      </c>
      <c r="C1199" t="s">
        <v>86</v>
      </c>
      <c r="D1199" t="s">
        <v>176</v>
      </c>
      <c r="E1199">
        <f>IF(WEEKNUM(Combined[[#This Row],[Date]], 1) = 53, 1, WEEKNUM(Combined[[#This Row],[Date]], 2))</f>
        <v>18</v>
      </c>
      <c r="F1199" t="str">
        <f t="shared" si="308"/>
        <v>Wednesday</v>
      </c>
      <c r="G1199" s="41">
        <v>45413</v>
      </c>
      <c r="H1199">
        <v>1</v>
      </c>
      <c r="I1199" s="1">
        <v>6.9</v>
      </c>
      <c r="J1199" s="2">
        <v>3.3333333333333333E-2</v>
      </c>
      <c r="K1199" s="12">
        <f>Combined[[#This Row],[Time Spent]]*24</f>
        <v>0.8</v>
      </c>
      <c r="L1199" s="12">
        <f>MROUND(Combined[[#This Row],[Time Spent 2]],0.25)</f>
        <v>0.75</v>
      </c>
      <c r="M1199" s="2" t="s">
        <v>92</v>
      </c>
      <c r="N1199" t="s">
        <v>80</v>
      </c>
      <c r="O1199">
        <f>MATCH(Combined[[#This Row],[Primary Area]],KPIs!$C$4:$C$7,0)</f>
        <v>2</v>
      </c>
      <c r="R1199" s="40"/>
      <c r="V1199" s="4"/>
      <c r="X1199"/>
    </row>
    <row r="1200" spans="2:24" x14ac:dyDescent="0.35">
      <c r="B1200">
        <f t="shared" si="304"/>
        <v>1198</v>
      </c>
      <c r="C1200" t="s">
        <v>83</v>
      </c>
      <c r="D1200" t="s">
        <v>176</v>
      </c>
      <c r="E1200">
        <f>IF(WEEKNUM(Combined[[#This Row],[Date]], 1) = 53, 1, WEEKNUM(Combined[[#This Row],[Date]], 2))</f>
        <v>18</v>
      </c>
      <c r="F1200" t="str">
        <f t="shared" si="308"/>
        <v>Thursday</v>
      </c>
      <c r="G1200" s="41">
        <v>45414</v>
      </c>
      <c r="H1200">
        <v>6</v>
      </c>
      <c r="I1200" s="1">
        <f>13.51+11.68+14.23+10.7+10.5+5.3</f>
        <v>65.92</v>
      </c>
      <c r="J1200" s="2">
        <f>TIME(0,17,)+TIME(0,20,)+TIME(0,22,)+TIME(0,28,)+TIME(0,22,)+TIME(0,18,)</f>
        <v>8.8194444444444436E-2</v>
      </c>
      <c r="K1200" s="12">
        <f>Combined[[#This Row],[Time Spent]]*24</f>
        <v>2.1166666666666663</v>
      </c>
      <c r="L1200" s="12">
        <f>MROUND(Combined[[#This Row],[Time Spent 2]],0.25)</f>
        <v>2</v>
      </c>
      <c r="M1200" s="2" t="s">
        <v>91</v>
      </c>
      <c r="N1200" t="s">
        <v>174</v>
      </c>
      <c r="O1200">
        <f>MATCH(Combined[[#This Row],[Primary Area]],KPIs!$C$4:$C$7,0)</f>
        <v>1</v>
      </c>
      <c r="R1200" s="40"/>
      <c r="V1200" s="4"/>
      <c r="X1200"/>
    </row>
    <row r="1201" spans="2:24" x14ac:dyDescent="0.35">
      <c r="B1201">
        <f t="shared" si="304"/>
        <v>1199</v>
      </c>
      <c r="C1201" t="s">
        <v>86</v>
      </c>
      <c r="D1201" t="s">
        <v>175</v>
      </c>
      <c r="E1201">
        <f>IF(WEEKNUM(Combined[[#This Row],[Date]], 1) = 53, 1, WEEKNUM(Combined[[#This Row],[Date]], 2))</f>
        <v>18</v>
      </c>
      <c r="F1201" t="str">
        <f t="shared" si="308"/>
        <v>Thursday</v>
      </c>
      <c r="G1201" s="41">
        <v>45414</v>
      </c>
      <c r="H1201">
        <v>3</v>
      </c>
      <c r="I1201" s="1">
        <v>18.71</v>
      </c>
      <c r="J1201" s="2">
        <v>7.4305555555555555E-2</v>
      </c>
      <c r="K1201" s="12">
        <f>Combined[[#This Row],[Time Spent]]*24</f>
        <v>1.7833333333333332</v>
      </c>
      <c r="L1201" s="12">
        <f>MROUND(Combined[[#This Row],[Time Spent 2]],0.25)</f>
        <v>1.75</v>
      </c>
      <c r="M1201" s="2" t="s">
        <v>91</v>
      </c>
      <c r="N1201" t="s">
        <v>174</v>
      </c>
      <c r="O1201">
        <f>MATCH(Combined[[#This Row],[Primary Area]],KPIs!$C$4:$C$7,0)</f>
        <v>1</v>
      </c>
      <c r="R1201" s="40"/>
      <c r="V1201" s="4"/>
      <c r="X1201"/>
    </row>
    <row r="1202" spans="2:24" x14ac:dyDescent="0.35">
      <c r="B1202">
        <f t="shared" si="304"/>
        <v>1200</v>
      </c>
      <c r="C1202" t="s">
        <v>86</v>
      </c>
      <c r="D1202" t="s">
        <v>176</v>
      </c>
      <c r="E1202">
        <f>IF(WEEKNUM(Combined[[#This Row],[Date]], 1) = 53, 1, WEEKNUM(Combined[[#This Row],[Date]], 2))</f>
        <v>18</v>
      </c>
      <c r="F1202" t="str">
        <f t="shared" si="308"/>
        <v>Thursday</v>
      </c>
      <c r="G1202" s="41">
        <v>45414</v>
      </c>
      <c r="H1202">
        <v>4</v>
      </c>
      <c r="I1202" s="1">
        <v>23</v>
      </c>
      <c r="J1202" s="2">
        <v>6.3194444444444442E-2</v>
      </c>
      <c r="K1202" s="12">
        <f>Combined[[#This Row],[Time Spent]]*24</f>
        <v>1.5166666666666666</v>
      </c>
      <c r="L1202" s="12">
        <f>MROUND(Combined[[#This Row],[Time Spent 2]],0.25)</f>
        <v>1.5</v>
      </c>
      <c r="M1202" s="2" t="s">
        <v>92</v>
      </c>
      <c r="N1202" t="s">
        <v>174</v>
      </c>
      <c r="O1202">
        <f>MATCH(Combined[[#This Row],[Primary Area]],KPIs!$C$4:$C$7,0)</f>
        <v>1</v>
      </c>
      <c r="R1202" s="40"/>
      <c r="V1202" s="4"/>
      <c r="X1202"/>
    </row>
    <row r="1203" spans="2:24" x14ac:dyDescent="0.35">
      <c r="B1203">
        <f t="shared" si="304"/>
        <v>1201</v>
      </c>
      <c r="C1203" t="s">
        <v>83</v>
      </c>
      <c r="D1203" t="s">
        <v>176</v>
      </c>
      <c r="E1203">
        <f>IF(WEEKNUM(Combined[[#This Row],[Date]], 1) = 53, 1, WEEKNUM(Combined[[#This Row],[Date]], 2))</f>
        <v>18</v>
      </c>
      <c r="F1203" t="str">
        <f t="shared" si="308"/>
        <v>Friday</v>
      </c>
      <c r="G1203" s="41">
        <v>45415</v>
      </c>
      <c r="H1203">
        <v>1</v>
      </c>
      <c r="I1203" s="1">
        <v>9.3699999999999992</v>
      </c>
      <c r="J1203" s="2">
        <v>2.7777777777777776E-2</v>
      </c>
      <c r="K1203" s="12">
        <f>Combined[[#This Row],[Time Spent]]*24</f>
        <v>0.66666666666666663</v>
      </c>
      <c r="L1203" s="12">
        <f>MROUND(Combined[[#This Row],[Time Spent 2]],0.25)</f>
        <v>0.75</v>
      </c>
      <c r="M1203" s="2" t="s">
        <v>91</v>
      </c>
      <c r="N1203" t="s">
        <v>82</v>
      </c>
      <c r="O1203">
        <f>MATCH(Combined[[#This Row],[Primary Area]],KPIs!$C$4:$C$7,0)</f>
        <v>3</v>
      </c>
      <c r="R1203" s="40"/>
      <c r="V1203" s="4"/>
      <c r="X1203"/>
    </row>
    <row r="1204" spans="2:24" x14ac:dyDescent="0.35">
      <c r="B1204">
        <f t="shared" si="304"/>
        <v>1202</v>
      </c>
      <c r="C1204" t="s">
        <v>86</v>
      </c>
      <c r="D1204" t="s">
        <v>176</v>
      </c>
      <c r="E1204">
        <f>IF(WEEKNUM(Combined[[#This Row],[Date]], 1) = 53, 1, WEEKNUM(Combined[[#This Row],[Date]], 2))</f>
        <v>18</v>
      </c>
      <c r="F1204" t="str">
        <f t="shared" si="308"/>
        <v>Friday</v>
      </c>
      <c r="G1204" s="41">
        <v>45415</v>
      </c>
      <c r="H1204">
        <v>8</v>
      </c>
      <c r="I1204" s="1">
        <v>77.17</v>
      </c>
      <c r="J1204" s="2">
        <v>0.12152777777777778</v>
      </c>
      <c r="K1204" s="12">
        <f>Combined[[#This Row],[Time Spent]]*24</f>
        <v>2.9166666666666665</v>
      </c>
      <c r="L1204" s="12">
        <f>MROUND(Combined[[#This Row],[Time Spent 2]],0.25)</f>
        <v>3</v>
      </c>
      <c r="M1204" s="2" t="s">
        <v>91</v>
      </c>
      <c r="N1204" t="s">
        <v>82</v>
      </c>
      <c r="O1204">
        <f>MATCH(Combined[[#This Row],[Primary Area]],KPIs!$C$4:$C$7,0)</f>
        <v>3</v>
      </c>
      <c r="R1204" s="40"/>
      <c r="V1204" s="4"/>
      <c r="X1204"/>
    </row>
    <row r="1205" spans="2:24" x14ac:dyDescent="0.35">
      <c r="B1205">
        <f t="shared" si="304"/>
        <v>1203</v>
      </c>
      <c r="C1205" t="s">
        <v>86</v>
      </c>
      <c r="D1205" t="s">
        <v>176</v>
      </c>
      <c r="E1205">
        <f>IF(WEEKNUM(Combined[[#This Row],[Date]], 1) = 53, 1, WEEKNUM(Combined[[#This Row],[Date]], 2))</f>
        <v>18</v>
      </c>
      <c r="F1205" t="str">
        <f t="shared" si="308"/>
        <v>Friday</v>
      </c>
      <c r="G1205" s="41">
        <v>45415</v>
      </c>
      <c r="H1205">
        <v>6</v>
      </c>
      <c r="I1205" s="1">
        <v>37</v>
      </c>
      <c r="J1205" s="2">
        <v>6.458333333333334E-2</v>
      </c>
      <c r="K1205" s="12">
        <f>Combined[[#This Row],[Time Spent]]*24</f>
        <v>1.5500000000000003</v>
      </c>
      <c r="L1205" s="12">
        <f>MROUND(Combined[[#This Row],[Time Spent 2]],0.25)</f>
        <v>1.5</v>
      </c>
      <c r="M1205" s="2" t="s">
        <v>92</v>
      </c>
      <c r="N1205" t="s">
        <v>82</v>
      </c>
      <c r="O1205">
        <f>MATCH(Combined[[#This Row],[Primary Area]],KPIs!$C$4:$C$7,0)</f>
        <v>3</v>
      </c>
      <c r="R1205" s="40"/>
      <c r="V1205" s="4"/>
      <c r="X1205"/>
    </row>
    <row r="1206" spans="2:24" x14ac:dyDescent="0.35">
      <c r="B1206">
        <f t="shared" si="304"/>
        <v>1204</v>
      </c>
      <c r="C1206" t="s">
        <v>83</v>
      </c>
      <c r="D1206" t="s">
        <v>176</v>
      </c>
      <c r="E1206">
        <f>IF(WEEKNUM(Combined[[#This Row],[Date]], 1) = 53, 1, WEEKNUM(Combined[[#This Row],[Date]], 2))</f>
        <v>18</v>
      </c>
      <c r="F1206" t="str">
        <f t="shared" si="308"/>
        <v>Saturday</v>
      </c>
      <c r="G1206" s="41">
        <v>45416</v>
      </c>
      <c r="H1206">
        <v>3</v>
      </c>
      <c r="I1206" s="1">
        <f>11.74+11.04+8.43</f>
        <v>31.21</v>
      </c>
      <c r="J1206" s="2">
        <f>TIME(,14,)+TIME(,28,)+TIME(,27,)</f>
        <v>4.7916666666666663E-2</v>
      </c>
      <c r="K1206" s="12">
        <f>Combined[[#This Row],[Time Spent]]*24</f>
        <v>1.1499999999999999</v>
      </c>
      <c r="L1206" s="12">
        <f>MROUND(Combined[[#This Row],[Time Spent 2]],0.25)</f>
        <v>1.25</v>
      </c>
      <c r="M1206" s="2" t="s">
        <v>91</v>
      </c>
      <c r="N1206" t="s">
        <v>80</v>
      </c>
      <c r="O1206">
        <f>MATCH(Combined[[#This Row],[Primary Area]],KPIs!$C$4:$C$7,0)</f>
        <v>2</v>
      </c>
      <c r="R1206" s="40"/>
      <c r="V1206" s="4"/>
      <c r="X1206"/>
    </row>
    <row r="1207" spans="2:24" x14ac:dyDescent="0.35">
      <c r="B1207">
        <f t="shared" si="304"/>
        <v>1205</v>
      </c>
      <c r="C1207" t="s">
        <v>86</v>
      </c>
      <c r="D1207" t="s">
        <v>175</v>
      </c>
      <c r="E1207">
        <f>IF(WEEKNUM(Combined[[#This Row],[Date]], 1) = 53, 1, WEEKNUM(Combined[[#This Row],[Date]], 2))</f>
        <v>18</v>
      </c>
      <c r="F1207" t="str">
        <f t="shared" si="308"/>
        <v>Saturday</v>
      </c>
      <c r="G1207" s="41">
        <v>45416</v>
      </c>
      <c r="H1207">
        <v>5</v>
      </c>
      <c r="I1207" s="1">
        <v>41.84</v>
      </c>
      <c r="J1207" s="2">
        <v>0.11805555555555555</v>
      </c>
      <c r="K1207" s="12">
        <f>Combined[[#This Row],[Time Spent]]*24</f>
        <v>2.833333333333333</v>
      </c>
      <c r="L1207" s="12">
        <f>MROUND(Combined[[#This Row],[Time Spent 2]],0.25)</f>
        <v>2.75</v>
      </c>
      <c r="M1207" s="2" t="s">
        <v>91</v>
      </c>
      <c r="N1207" t="s">
        <v>80</v>
      </c>
      <c r="O1207">
        <f>MATCH(Combined[[#This Row],[Primary Area]],KPIs!$C$4:$C$7,0)</f>
        <v>2</v>
      </c>
      <c r="R1207" s="40"/>
      <c r="V1207" s="4"/>
      <c r="X1207"/>
    </row>
    <row r="1208" spans="2:24" x14ac:dyDescent="0.35">
      <c r="B1208">
        <f t="shared" si="304"/>
        <v>1206</v>
      </c>
      <c r="C1208" t="s">
        <v>83</v>
      </c>
      <c r="D1208" t="s">
        <v>176</v>
      </c>
      <c r="E1208">
        <f>IF(WEEKNUM(Combined[[#This Row],[Date]], 1) = 53, 1, WEEKNUM(Combined[[#This Row],[Date]], 2))</f>
        <v>18</v>
      </c>
      <c r="F1208" t="str">
        <f t="shared" si="308"/>
        <v>Sunday</v>
      </c>
      <c r="G1208" s="41">
        <v>45417</v>
      </c>
      <c r="H1208">
        <v>2</v>
      </c>
      <c r="I1208" s="1">
        <f>29.49+17.02</f>
        <v>46.51</v>
      </c>
      <c r="J1208" s="2">
        <f>TIME(,34,)+TIME(,27,)</f>
        <v>4.2361111111111113E-2</v>
      </c>
      <c r="K1208" s="12">
        <f>Combined[[#This Row],[Time Spent]]*24</f>
        <v>1.0166666666666666</v>
      </c>
      <c r="L1208" s="12">
        <f>MROUND(Combined[[#This Row],[Time Spent 2]],0.25)</f>
        <v>1</v>
      </c>
      <c r="M1208" s="2" t="s">
        <v>91</v>
      </c>
      <c r="N1208" t="s">
        <v>80</v>
      </c>
      <c r="O1208">
        <f>MATCH(Combined[[#This Row],[Primary Area]],KPIs!$C$4:$C$7,0)</f>
        <v>2</v>
      </c>
      <c r="R1208" s="40"/>
      <c r="V1208" s="4"/>
      <c r="X1208"/>
    </row>
    <row r="1209" spans="2:24" x14ac:dyDescent="0.35">
      <c r="B1209">
        <f t="shared" si="304"/>
        <v>1207</v>
      </c>
      <c r="C1209" t="s">
        <v>86</v>
      </c>
      <c r="D1209" t="s">
        <v>176</v>
      </c>
      <c r="E1209">
        <f>IF(WEEKNUM(Combined[[#This Row],[Date]], 1) = 53, 1, WEEKNUM(Combined[[#This Row],[Date]], 2))</f>
        <v>18</v>
      </c>
      <c r="F1209" t="str">
        <f t="shared" si="308"/>
        <v>Sunday</v>
      </c>
      <c r="G1209" s="41">
        <v>45417</v>
      </c>
      <c r="H1209">
        <v>6</v>
      </c>
      <c r="I1209" s="1">
        <v>60.57</v>
      </c>
      <c r="J1209" s="2">
        <v>0.12222222222222222</v>
      </c>
      <c r="K1209" s="12">
        <f>Combined[[#This Row],[Time Spent]]*24</f>
        <v>2.9333333333333331</v>
      </c>
      <c r="L1209" s="12">
        <f>MROUND(Combined[[#This Row],[Time Spent 2]],0.25)</f>
        <v>3</v>
      </c>
      <c r="M1209" s="2" t="s">
        <v>91</v>
      </c>
      <c r="N1209" t="s">
        <v>80</v>
      </c>
      <c r="O1209">
        <f>MATCH(Combined[[#This Row],[Primary Area]],KPIs!$C$4:$C$7,0)</f>
        <v>2</v>
      </c>
      <c r="R1209" s="40"/>
      <c r="V1209" s="4"/>
      <c r="X1209"/>
    </row>
    <row r="1210" spans="2:24" x14ac:dyDescent="0.35">
      <c r="B1210">
        <f t="shared" si="304"/>
        <v>1208</v>
      </c>
      <c r="C1210" t="s">
        <v>86</v>
      </c>
      <c r="D1210" t="s">
        <v>176</v>
      </c>
      <c r="E1210">
        <f>IF(WEEKNUM(Combined[[#This Row],[Date]], 1) = 53, 1, WEEKNUM(Combined[[#This Row],[Date]], 2))</f>
        <v>18</v>
      </c>
      <c r="F1210" t="str">
        <f t="shared" si="308"/>
        <v>Sunday</v>
      </c>
      <c r="G1210" s="41">
        <v>45417</v>
      </c>
      <c r="H1210">
        <v>2</v>
      </c>
      <c r="I1210" s="1">
        <f>22.8+7.75+4</f>
        <v>34.549999999999997</v>
      </c>
      <c r="J1210" s="2">
        <v>5.5555555555555552E-2</v>
      </c>
      <c r="K1210" s="12">
        <f>Combined[[#This Row],[Time Spent]]*24</f>
        <v>1.3333333333333333</v>
      </c>
      <c r="L1210" s="12">
        <f>MROUND(Combined[[#This Row],[Time Spent 2]],0.25)</f>
        <v>1.25</v>
      </c>
      <c r="M1210" s="2" t="s">
        <v>92</v>
      </c>
      <c r="N1210" t="s">
        <v>80</v>
      </c>
      <c r="O1210">
        <f>MATCH(Combined[[#This Row],[Primary Area]],KPIs!$C$4:$C$7,0)</f>
        <v>2</v>
      </c>
      <c r="R1210" s="40"/>
      <c r="V1210" s="4"/>
      <c r="X1210"/>
    </row>
    <row r="1211" spans="2:24" x14ac:dyDescent="0.35">
      <c r="B1211">
        <f t="shared" si="304"/>
        <v>1209</v>
      </c>
      <c r="C1211" t="s">
        <v>83</v>
      </c>
      <c r="D1211" t="s">
        <v>176</v>
      </c>
      <c r="E1211">
        <f>IF(WEEKNUM(Combined[[#This Row],[Date]], 1) = 53, 1, WEEKNUM(Combined[[#This Row],[Date]], 2))</f>
        <v>19</v>
      </c>
      <c r="F1211" t="str">
        <f t="shared" ref="F1211:F1219" si="309">TEXT(WEEKDAY(G1211,1),"DDDD")</f>
        <v>Monday</v>
      </c>
      <c r="G1211" s="41">
        <v>45418</v>
      </c>
      <c r="H1211">
        <v>5</v>
      </c>
      <c r="I1211" s="1">
        <v>75.8</v>
      </c>
      <c r="J1211" s="2">
        <v>0.125</v>
      </c>
      <c r="K1211" s="12">
        <f>Combined[[#This Row],[Time Spent]]*24</f>
        <v>3</v>
      </c>
      <c r="L1211" s="12">
        <f>MROUND(Combined[[#This Row],[Time Spent 2]],0.25)</f>
        <v>3</v>
      </c>
      <c r="M1211" s="2" t="s">
        <v>91</v>
      </c>
      <c r="N1211" t="s">
        <v>80</v>
      </c>
      <c r="O1211">
        <f>MATCH(Combined[[#This Row],[Primary Area]],KPIs!$C$4:$C$7,0)</f>
        <v>2</v>
      </c>
      <c r="R1211" s="40"/>
      <c r="V1211" s="4"/>
      <c r="X1211"/>
    </row>
    <row r="1212" spans="2:24" x14ac:dyDescent="0.35">
      <c r="B1212">
        <f t="shared" si="304"/>
        <v>1210</v>
      </c>
      <c r="C1212" t="s">
        <v>86</v>
      </c>
      <c r="D1212" t="s">
        <v>176</v>
      </c>
      <c r="E1212">
        <f>IF(WEEKNUM(Combined[[#This Row],[Date]], 1) = 53, 1, WEEKNUM(Combined[[#This Row],[Date]], 2))</f>
        <v>19</v>
      </c>
      <c r="F1212" t="str">
        <f t="shared" si="309"/>
        <v>Monday</v>
      </c>
      <c r="G1212" s="41">
        <v>45418</v>
      </c>
      <c r="H1212">
        <v>6</v>
      </c>
      <c r="I1212" s="1">
        <v>41.5</v>
      </c>
      <c r="J1212" s="2">
        <v>0.12916666666666668</v>
      </c>
      <c r="K1212" s="12">
        <f>Combined[[#This Row],[Time Spent]]*24</f>
        <v>3.1000000000000005</v>
      </c>
      <c r="L1212" s="12">
        <f>MROUND(Combined[[#This Row],[Time Spent 2]],0.25)</f>
        <v>3</v>
      </c>
      <c r="M1212" s="2" t="s">
        <v>91</v>
      </c>
      <c r="N1212" t="s">
        <v>80</v>
      </c>
      <c r="O1212">
        <f>MATCH(Combined[[#This Row],[Primary Area]],KPIs!$C$4:$C$7,0)</f>
        <v>2</v>
      </c>
      <c r="R1212" s="40"/>
      <c r="V1212" s="4"/>
      <c r="X1212"/>
    </row>
    <row r="1213" spans="2:24" x14ac:dyDescent="0.35">
      <c r="B1213">
        <f t="shared" si="304"/>
        <v>1211</v>
      </c>
      <c r="C1213" t="s">
        <v>86</v>
      </c>
      <c r="D1213" t="s">
        <v>176</v>
      </c>
      <c r="E1213">
        <f>IF(WEEKNUM(Combined[[#This Row],[Date]], 1) = 53, 1, WEEKNUM(Combined[[#This Row],[Date]], 2))</f>
        <v>19</v>
      </c>
      <c r="F1213" t="str">
        <f t="shared" si="309"/>
        <v>Monday</v>
      </c>
      <c r="G1213" s="41">
        <v>45418</v>
      </c>
      <c r="H1213">
        <v>2</v>
      </c>
      <c r="I1213" s="1">
        <v>15.75</v>
      </c>
      <c r="J1213" s="2">
        <v>5.6944444444444443E-2</v>
      </c>
      <c r="K1213" s="12">
        <f>Combined[[#This Row],[Time Spent]]*24</f>
        <v>1.3666666666666667</v>
      </c>
      <c r="L1213" s="12">
        <f>MROUND(Combined[[#This Row],[Time Spent 2]],0.25)</f>
        <v>1.25</v>
      </c>
      <c r="M1213" s="2" t="s">
        <v>92</v>
      </c>
      <c r="N1213" t="s">
        <v>80</v>
      </c>
      <c r="O1213">
        <f>MATCH(Combined[[#This Row],[Primary Area]],KPIs!$C$4:$C$7,0)</f>
        <v>2</v>
      </c>
      <c r="R1213" s="40"/>
      <c r="V1213" s="4"/>
      <c r="X1213"/>
    </row>
    <row r="1214" spans="2:24" x14ac:dyDescent="0.35">
      <c r="B1214">
        <f t="shared" si="304"/>
        <v>1212</v>
      </c>
      <c r="C1214" t="s">
        <v>83</v>
      </c>
      <c r="D1214" t="s">
        <v>176</v>
      </c>
      <c r="E1214">
        <f>IF(WEEKNUM(Combined[[#This Row],[Date]], 1) = 53, 1, WEEKNUM(Combined[[#This Row],[Date]], 2))</f>
        <v>19</v>
      </c>
      <c r="F1214" t="str">
        <f t="shared" si="309"/>
        <v>Tuesday</v>
      </c>
      <c r="G1214" s="41">
        <v>45419</v>
      </c>
      <c r="H1214">
        <v>4</v>
      </c>
      <c r="I1214" s="1">
        <v>55.91</v>
      </c>
      <c r="J1214" s="2">
        <v>0.11666666666666667</v>
      </c>
      <c r="K1214" s="12">
        <f>Combined[[#This Row],[Time Spent]]*24</f>
        <v>2.8</v>
      </c>
      <c r="L1214" s="12">
        <f>MROUND(Combined[[#This Row],[Time Spent 2]],0.25)</f>
        <v>2.75</v>
      </c>
      <c r="M1214" s="2" t="s">
        <v>91</v>
      </c>
      <c r="N1214" t="s">
        <v>85</v>
      </c>
      <c r="O1214">
        <f>MATCH(Combined[[#This Row],[Primary Area]],KPIs!$C$4:$C$7,0)</f>
        <v>4</v>
      </c>
      <c r="R1214" s="40"/>
      <c r="V1214" s="4"/>
      <c r="X1214"/>
    </row>
    <row r="1215" spans="2:24" x14ac:dyDescent="0.35">
      <c r="B1215">
        <f t="shared" si="304"/>
        <v>1213</v>
      </c>
      <c r="C1215" t="s">
        <v>86</v>
      </c>
      <c r="D1215" t="s">
        <v>175</v>
      </c>
      <c r="E1215">
        <f>IF(WEEKNUM(Combined[[#This Row],[Date]], 1) = 53, 1, WEEKNUM(Combined[[#This Row],[Date]], 2))</f>
        <v>19</v>
      </c>
      <c r="F1215" t="str">
        <f t="shared" si="309"/>
        <v>Tuesday</v>
      </c>
      <c r="G1215" s="41">
        <v>45419</v>
      </c>
      <c r="H1215">
        <v>2</v>
      </c>
      <c r="I1215" s="1">
        <v>13.08</v>
      </c>
      <c r="J1215" s="2">
        <v>3.9583333333333331E-2</v>
      </c>
      <c r="K1215" s="12">
        <f>Combined[[#This Row],[Time Spent]]*24</f>
        <v>0.95</v>
      </c>
      <c r="L1215" s="12">
        <f>MROUND(Combined[[#This Row],[Time Spent 2]],0.25)</f>
        <v>1</v>
      </c>
      <c r="M1215" s="2" t="s">
        <v>91</v>
      </c>
      <c r="N1215" t="s">
        <v>85</v>
      </c>
      <c r="O1215">
        <f>MATCH(Combined[[#This Row],[Primary Area]],KPIs!$C$4:$C$7,0)</f>
        <v>4</v>
      </c>
      <c r="R1215" s="40"/>
      <c r="V1215" s="4"/>
      <c r="X1215"/>
    </row>
    <row r="1216" spans="2:24" x14ac:dyDescent="0.35">
      <c r="B1216">
        <f t="shared" si="304"/>
        <v>1214</v>
      </c>
      <c r="C1216" t="s">
        <v>86</v>
      </c>
      <c r="D1216" t="s">
        <v>175</v>
      </c>
      <c r="E1216">
        <f>IF(WEEKNUM(Combined[[#This Row],[Date]], 1) = 53, 1, WEEKNUM(Combined[[#This Row],[Date]], 2))</f>
        <v>19</v>
      </c>
      <c r="F1216" t="str">
        <f t="shared" si="309"/>
        <v>Tuesday</v>
      </c>
      <c r="G1216" s="41">
        <v>45419</v>
      </c>
      <c r="H1216">
        <v>1</v>
      </c>
      <c r="I1216" s="1">
        <v>6.03</v>
      </c>
      <c r="J1216" s="2">
        <v>1.9444444444444445E-2</v>
      </c>
      <c r="K1216" s="12">
        <f>Combined[[#This Row],[Time Spent]]*24</f>
        <v>0.46666666666666667</v>
      </c>
      <c r="L1216" s="12">
        <f>MROUND(Combined[[#This Row],[Time Spent 2]],0.25)</f>
        <v>0.5</v>
      </c>
      <c r="M1216" s="2" t="s">
        <v>91</v>
      </c>
      <c r="N1216" t="s">
        <v>85</v>
      </c>
      <c r="O1216">
        <f>MATCH(Combined[[#This Row],[Primary Area]],KPIs!$C$4:$C$7,0)</f>
        <v>4</v>
      </c>
      <c r="R1216" s="40"/>
      <c r="V1216" s="4"/>
      <c r="X1216"/>
    </row>
    <row r="1217" spans="2:24" x14ac:dyDescent="0.35">
      <c r="B1217">
        <f t="shared" si="304"/>
        <v>1215</v>
      </c>
      <c r="C1217" t="s">
        <v>83</v>
      </c>
      <c r="D1217" t="s">
        <v>176</v>
      </c>
      <c r="E1217">
        <f>IF(WEEKNUM(Combined[[#This Row],[Date]], 1) = 53, 1, WEEKNUM(Combined[[#This Row],[Date]], 2))</f>
        <v>19</v>
      </c>
      <c r="F1217" t="str">
        <f t="shared" si="309"/>
        <v>Thursday</v>
      </c>
      <c r="G1217" s="41">
        <v>45421</v>
      </c>
      <c r="H1217">
        <v>3</v>
      </c>
      <c r="I1217" s="1">
        <v>53.21</v>
      </c>
      <c r="J1217" s="2">
        <v>9.930555555555555E-2</v>
      </c>
      <c r="K1217" s="12">
        <f>Combined[[#This Row],[Time Spent]]*24</f>
        <v>2.3833333333333333</v>
      </c>
      <c r="L1217" s="12">
        <f>MROUND(Combined[[#This Row],[Time Spent 2]],0.25)</f>
        <v>2.5</v>
      </c>
      <c r="M1217" s="2" t="s">
        <v>91</v>
      </c>
      <c r="N1217" t="s">
        <v>80</v>
      </c>
      <c r="O1217">
        <f>MATCH(Combined[[#This Row],[Primary Area]],KPIs!$C$4:$C$7,0)</f>
        <v>2</v>
      </c>
      <c r="R1217" s="40"/>
      <c r="V1217" s="4"/>
      <c r="X1217"/>
    </row>
    <row r="1218" spans="2:24" x14ac:dyDescent="0.35">
      <c r="B1218">
        <f t="shared" si="304"/>
        <v>1216</v>
      </c>
      <c r="C1218" t="s">
        <v>86</v>
      </c>
      <c r="D1218" t="s">
        <v>176</v>
      </c>
      <c r="E1218">
        <f>IF(WEEKNUM(Combined[[#This Row],[Date]], 1) = 53, 1, WEEKNUM(Combined[[#This Row],[Date]], 2))</f>
        <v>19</v>
      </c>
      <c r="F1218" t="str">
        <f t="shared" si="309"/>
        <v>Thursday</v>
      </c>
      <c r="G1218" s="41">
        <v>45421</v>
      </c>
      <c r="H1218">
        <v>4</v>
      </c>
      <c r="I1218" s="1">
        <v>32.840000000000003</v>
      </c>
      <c r="J1218" s="2">
        <v>8.8888888888888892E-2</v>
      </c>
      <c r="K1218" s="12">
        <f>Combined[[#This Row],[Time Spent]]*24</f>
        <v>2.1333333333333333</v>
      </c>
      <c r="L1218" s="12">
        <f>MROUND(Combined[[#This Row],[Time Spent 2]],0.25)</f>
        <v>2.25</v>
      </c>
      <c r="M1218" s="2" t="s">
        <v>91</v>
      </c>
      <c r="N1218" t="s">
        <v>80</v>
      </c>
      <c r="O1218">
        <f>MATCH(Combined[[#This Row],[Primary Area]],KPIs!$C$4:$C$7,0)</f>
        <v>2</v>
      </c>
      <c r="R1218" s="40"/>
      <c r="V1218" s="4"/>
      <c r="X1218"/>
    </row>
    <row r="1219" spans="2:24" x14ac:dyDescent="0.35">
      <c r="B1219">
        <f t="shared" ref="B1219:B1282" si="310">ROW()-2</f>
        <v>1217</v>
      </c>
      <c r="C1219" t="s">
        <v>86</v>
      </c>
      <c r="D1219" t="s">
        <v>176</v>
      </c>
      <c r="E1219">
        <f>IF(WEEKNUM(Combined[[#This Row],[Date]], 1) = 53, 1, WEEKNUM(Combined[[#This Row],[Date]], 2))</f>
        <v>19</v>
      </c>
      <c r="F1219" t="str">
        <f t="shared" si="309"/>
        <v>Thursday</v>
      </c>
      <c r="G1219" s="41">
        <v>45421</v>
      </c>
      <c r="H1219">
        <v>1</v>
      </c>
      <c r="I1219" s="1">
        <v>5.5</v>
      </c>
      <c r="J1219" s="2">
        <v>1.3194444444444444E-2</v>
      </c>
      <c r="K1219" s="12">
        <f>Combined[[#This Row],[Time Spent]]*24</f>
        <v>0.31666666666666665</v>
      </c>
      <c r="L1219" s="12">
        <f>MROUND(Combined[[#This Row],[Time Spent 2]],0.25)</f>
        <v>0.25</v>
      </c>
      <c r="M1219" s="2" t="s">
        <v>92</v>
      </c>
      <c r="N1219" t="s">
        <v>80</v>
      </c>
      <c r="O1219">
        <f>MATCH(Combined[[#This Row],[Primary Area]],KPIs!$C$4:$C$7,0)</f>
        <v>2</v>
      </c>
      <c r="R1219" s="40"/>
      <c r="V1219" s="4"/>
      <c r="X1219"/>
    </row>
    <row r="1220" spans="2:24" x14ac:dyDescent="0.35">
      <c r="B1220">
        <f t="shared" si="310"/>
        <v>1218</v>
      </c>
      <c r="C1220" t="s">
        <v>83</v>
      </c>
      <c r="D1220" t="s">
        <v>176</v>
      </c>
      <c r="E1220">
        <f>IF(WEEKNUM(Combined[[#This Row],[Date]], 1) = 53, 1, WEEKNUM(Combined[[#This Row],[Date]], 2))</f>
        <v>20</v>
      </c>
      <c r="F1220" t="str">
        <f t="shared" ref="F1220:F1233" si="311">TEXT(WEEKDAY(G1220,1),"DDDD")</f>
        <v>Monday</v>
      </c>
      <c r="G1220" s="41">
        <v>45425</v>
      </c>
      <c r="H1220">
        <v>6</v>
      </c>
      <c r="I1220" s="1">
        <f>89.45+7.25</f>
        <v>96.7</v>
      </c>
      <c r="J1220" s="2">
        <v>0.13402777777777777</v>
      </c>
      <c r="K1220" s="12">
        <f>Combined[[#This Row],[Time Spent]]*24</f>
        <v>3.2166666666666668</v>
      </c>
      <c r="L1220" s="12">
        <f>MROUND(Combined[[#This Row],[Time Spent 2]],0.25)</f>
        <v>3.25</v>
      </c>
      <c r="M1220" s="2" t="s">
        <v>91</v>
      </c>
      <c r="N1220" t="s">
        <v>80</v>
      </c>
      <c r="O1220">
        <f>MATCH(Combined[[#This Row],[Primary Area]],KPIs!$C$4:$C$7,0)</f>
        <v>2</v>
      </c>
      <c r="R1220" s="40"/>
      <c r="V1220" s="4"/>
      <c r="X1220"/>
    </row>
    <row r="1221" spans="2:24" x14ac:dyDescent="0.35">
      <c r="B1221">
        <f t="shared" si="310"/>
        <v>1219</v>
      </c>
      <c r="C1221" t="s">
        <v>86</v>
      </c>
      <c r="D1221" t="s">
        <v>176</v>
      </c>
      <c r="E1221">
        <f>IF(WEEKNUM(Combined[[#This Row],[Date]], 1) = 53, 1, WEEKNUM(Combined[[#This Row],[Date]], 2))</f>
        <v>20</v>
      </c>
      <c r="F1221" t="str">
        <f t="shared" si="311"/>
        <v>Monday</v>
      </c>
      <c r="G1221" s="41">
        <v>45425</v>
      </c>
      <c r="H1221">
        <v>7</v>
      </c>
      <c r="I1221" s="1">
        <f>41.5+5.63</f>
        <v>47.13</v>
      </c>
      <c r="J1221" s="2">
        <v>0.16527777777777777</v>
      </c>
      <c r="K1221" s="12">
        <f>Combined[[#This Row],[Time Spent]]*24</f>
        <v>3.9666666666666668</v>
      </c>
      <c r="L1221" s="12">
        <f>MROUND(Combined[[#This Row],[Time Spent 2]],0.25)</f>
        <v>4</v>
      </c>
      <c r="M1221" s="2" t="s">
        <v>91</v>
      </c>
      <c r="N1221" t="s">
        <v>80</v>
      </c>
      <c r="O1221">
        <f>MATCH(Combined[[#This Row],[Primary Area]],KPIs!$C$4:$C$7,0)</f>
        <v>2</v>
      </c>
      <c r="R1221" s="40"/>
      <c r="V1221" s="4"/>
      <c r="X1221"/>
    </row>
    <row r="1222" spans="2:24" x14ac:dyDescent="0.35">
      <c r="B1222">
        <f t="shared" si="310"/>
        <v>1220</v>
      </c>
      <c r="C1222" t="s">
        <v>83</v>
      </c>
      <c r="D1222" t="s">
        <v>176</v>
      </c>
      <c r="E1222">
        <f>IF(WEEKNUM(Combined[[#This Row],[Date]], 1) = 53, 1, WEEKNUM(Combined[[#This Row],[Date]], 2))</f>
        <v>20</v>
      </c>
      <c r="F1222" t="str">
        <f t="shared" si="311"/>
        <v>Tuesday</v>
      </c>
      <c r="G1222" s="41">
        <v>45426</v>
      </c>
      <c r="H1222">
        <v>4</v>
      </c>
      <c r="I1222" s="1">
        <v>58.48</v>
      </c>
      <c r="J1222" s="2">
        <v>0.12430555555555556</v>
      </c>
      <c r="K1222" s="12">
        <f>Combined[[#This Row],[Time Spent]]*24</f>
        <v>2.9833333333333334</v>
      </c>
      <c r="L1222" s="12">
        <f>MROUND(Combined[[#This Row],[Time Spent 2]],0.25)</f>
        <v>3</v>
      </c>
      <c r="M1222" s="2" t="s">
        <v>91</v>
      </c>
      <c r="N1222" t="s">
        <v>80</v>
      </c>
      <c r="O1222">
        <f>MATCH(Combined[[#This Row],[Primary Area]],KPIs!$C$4:$C$7,0)</f>
        <v>2</v>
      </c>
      <c r="R1222" s="40"/>
      <c r="V1222" s="4"/>
      <c r="X1222"/>
    </row>
    <row r="1223" spans="2:24" x14ac:dyDescent="0.35">
      <c r="B1223">
        <f t="shared" si="310"/>
        <v>1221</v>
      </c>
      <c r="C1223" t="s">
        <v>86</v>
      </c>
      <c r="D1223" t="s">
        <v>176</v>
      </c>
      <c r="E1223">
        <f>IF(WEEKNUM(Combined[[#This Row],[Date]], 1) = 53, 1, WEEKNUM(Combined[[#This Row],[Date]], 2))</f>
        <v>20</v>
      </c>
      <c r="F1223" t="str">
        <f t="shared" si="311"/>
        <v>Tuesday</v>
      </c>
      <c r="G1223" s="41">
        <v>45426</v>
      </c>
      <c r="H1223">
        <v>10</v>
      </c>
      <c r="I1223" s="1">
        <v>76</v>
      </c>
      <c r="J1223" s="2">
        <v>0.15902777777777777</v>
      </c>
      <c r="K1223" s="12">
        <f>Combined[[#This Row],[Time Spent]]*24</f>
        <v>3.8166666666666664</v>
      </c>
      <c r="L1223" s="12">
        <f>MROUND(Combined[[#This Row],[Time Spent 2]],0.25)</f>
        <v>3.75</v>
      </c>
      <c r="M1223" s="2" t="s">
        <v>91</v>
      </c>
      <c r="N1223" t="s">
        <v>80</v>
      </c>
      <c r="O1223">
        <f>MATCH(Combined[[#This Row],[Primary Area]],KPIs!$C$4:$C$7,0)</f>
        <v>2</v>
      </c>
      <c r="R1223" s="40"/>
      <c r="V1223" s="4"/>
      <c r="X1223"/>
    </row>
    <row r="1224" spans="2:24" x14ac:dyDescent="0.35">
      <c r="B1224">
        <f t="shared" si="310"/>
        <v>1222</v>
      </c>
      <c r="C1224" t="s">
        <v>86</v>
      </c>
      <c r="D1224" t="s">
        <v>176</v>
      </c>
      <c r="E1224">
        <f>IF(WEEKNUM(Combined[[#This Row],[Date]], 1) = 53, 1, WEEKNUM(Combined[[#This Row],[Date]], 2))</f>
        <v>20</v>
      </c>
      <c r="F1224" t="str">
        <f t="shared" si="311"/>
        <v>Tuesday</v>
      </c>
      <c r="G1224" s="41">
        <v>45426</v>
      </c>
      <c r="H1224">
        <v>2</v>
      </c>
      <c r="I1224" s="1">
        <v>8</v>
      </c>
      <c r="J1224" s="2">
        <v>5.8333333333333334E-2</v>
      </c>
      <c r="K1224" s="12">
        <f>Combined[[#This Row],[Time Spent]]*24</f>
        <v>1.4</v>
      </c>
      <c r="L1224" s="12">
        <f>MROUND(Combined[[#This Row],[Time Spent 2]],0.25)</f>
        <v>1.5</v>
      </c>
      <c r="M1224" s="2" t="s">
        <v>92</v>
      </c>
      <c r="N1224" t="s">
        <v>80</v>
      </c>
      <c r="O1224">
        <f>MATCH(Combined[[#This Row],[Primary Area]],KPIs!$C$4:$C$7,0)</f>
        <v>2</v>
      </c>
      <c r="R1224" s="40"/>
      <c r="V1224" s="4"/>
      <c r="X1224"/>
    </row>
    <row r="1225" spans="2:24" x14ac:dyDescent="0.35">
      <c r="B1225">
        <f t="shared" si="310"/>
        <v>1223</v>
      </c>
      <c r="C1225" t="s">
        <v>83</v>
      </c>
      <c r="D1225" t="s">
        <v>176</v>
      </c>
      <c r="E1225">
        <f>IF(WEEKNUM(Combined[[#This Row],[Date]], 1) = 53, 1, WEEKNUM(Combined[[#This Row],[Date]], 2))</f>
        <v>20</v>
      </c>
      <c r="F1225" t="str">
        <f t="shared" si="311"/>
        <v>Wednesday</v>
      </c>
      <c r="G1225" s="41">
        <v>45427</v>
      </c>
      <c r="H1225">
        <v>4</v>
      </c>
      <c r="I1225" s="1">
        <v>56.65</v>
      </c>
      <c r="J1225" s="2">
        <v>9.0277777777777776E-2</v>
      </c>
      <c r="K1225" s="12">
        <f>Combined[[#This Row],[Time Spent]]*24</f>
        <v>2.1666666666666665</v>
      </c>
      <c r="L1225" s="12">
        <f>MROUND(Combined[[#This Row],[Time Spent 2]],0.25)</f>
        <v>2.25</v>
      </c>
      <c r="M1225" s="2" t="s">
        <v>91</v>
      </c>
      <c r="N1225" t="s">
        <v>80</v>
      </c>
      <c r="O1225">
        <f>MATCH(Combined[[#This Row],[Primary Area]],KPIs!$C$4:$C$7,0)</f>
        <v>2</v>
      </c>
      <c r="R1225" s="40"/>
      <c r="V1225" s="4"/>
      <c r="X1225"/>
    </row>
    <row r="1226" spans="2:24" x14ac:dyDescent="0.35">
      <c r="B1226">
        <f t="shared" si="310"/>
        <v>1224</v>
      </c>
      <c r="C1226" t="s">
        <v>86</v>
      </c>
      <c r="D1226" t="s">
        <v>176</v>
      </c>
      <c r="E1226">
        <f>IF(WEEKNUM(Combined[[#This Row],[Date]], 1) = 53, 1, WEEKNUM(Combined[[#This Row],[Date]], 2))</f>
        <v>20</v>
      </c>
      <c r="F1226" t="str">
        <f t="shared" si="311"/>
        <v>Wednesday</v>
      </c>
      <c r="G1226" s="41">
        <v>45427</v>
      </c>
      <c r="H1226">
        <v>10</v>
      </c>
      <c r="I1226" s="1">
        <v>62.5</v>
      </c>
      <c r="J1226" s="2">
        <v>0.18541666666666667</v>
      </c>
      <c r="K1226" s="12">
        <f>Combined[[#This Row],[Time Spent]]*24</f>
        <v>4.45</v>
      </c>
      <c r="L1226" s="12">
        <f>MROUND(Combined[[#This Row],[Time Spent 2]],0.25)</f>
        <v>4.5</v>
      </c>
      <c r="M1226" s="2" t="s">
        <v>91</v>
      </c>
      <c r="N1226" t="s">
        <v>80</v>
      </c>
      <c r="O1226">
        <f>MATCH(Combined[[#This Row],[Primary Area]],KPIs!$C$4:$C$7,0)</f>
        <v>2</v>
      </c>
      <c r="R1226" s="40"/>
      <c r="V1226" s="4"/>
      <c r="X1226"/>
    </row>
    <row r="1227" spans="2:24" x14ac:dyDescent="0.35">
      <c r="B1227">
        <f t="shared" si="310"/>
        <v>1225</v>
      </c>
      <c r="C1227" t="s">
        <v>86</v>
      </c>
      <c r="D1227" t="s">
        <v>176</v>
      </c>
      <c r="E1227">
        <f>IF(WEEKNUM(Combined[[#This Row],[Date]], 1) = 53, 1, WEEKNUM(Combined[[#This Row],[Date]], 2))</f>
        <v>20</v>
      </c>
      <c r="F1227" t="str">
        <f t="shared" si="311"/>
        <v>Wednesday</v>
      </c>
      <c r="G1227" s="41">
        <v>45427</v>
      </c>
      <c r="H1227">
        <v>1</v>
      </c>
      <c r="I1227" s="1">
        <v>6</v>
      </c>
      <c r="J1227" s="2">
        <v>2.9166666666666667E-2</v>
      </c>
      <c r="K1227" s="12">
        <f>Combined[[#This Row],[Time Spent]]*24</f>
        <v>0.7</v>
      </c>
      <c r="L1227" s="12">
        <f>MROUND(Combined[[#This Row],[Time Spent 2]],0.25)</f>
        <v>0.75</v>
      </c>
      <c r="M1227" s="2" t="s">
        <v>92</v>
      </c>
      <c r="N1227" t="s">
        <v>80</v>
      </c>
      <c r="O1227">
        <f>MATCH(Combined[[#This Row],[Primary Area]],KPIs!$C$4:$C$7,0)</f>
        <v>2</v>
      </c>
      <c r="R1227" s="40"/>
      <c r="V1227" s="4"/>
      <c r="X1227"/>
    </row>
    <row r="1228" spans="2:24" x14ac:dyDescent="0.35">
      <c r="B1228">
        <f t="shared" si="310"/>
        <v>1226</v>
      </c>
      <c r="C1228" t="s">
        <v>83</v>
      </c>
      <c r="D1228" t="s">
        <v>176</v>
      </c>
      <c r="E1228">
        <f>IF(WEEKNUM(Combined[[#This Row],[Date]], 1) = 53, 1, WEEKNUM(Combined[[#This Row],[Date]], 2))</f>
        <v>20</v>
      </c>
      <c r="F1228" t="str">
        <f t="shared" si="311"/>
        <v>Thursday</v>
      </c>
      <c r="G1228" s="41">
        <v>45428</v>
      </c>
      <c r="H1228">
        <v>5</v>
      </c>
      <c r="I1228" s="1">
        <v>80.17</v>
      </c>
      <c r="J1228" s="2">
        <v>0.15</v>
      </c>
      <c r="K1228" s="12">
        <f>Combined[[#This Row],[Time Spent]]*24</f>
        <v>3.5999999999999996</v>
      </c>
      <c r="L1228" s="12">
        <f>MROUND(Combined[[#This Row],[Time Spent 2]],0.25)</f>
        <v>3.5</v>
      </c>
      <c r="M1228" s="2" t="s">
        <v>91</v>
      </c>
      <c r="N1228" t="s">
        <v>80</v>
      </c>
      <c r="O1228">
        <f>MATCH(Combined[[#This Row],[Primary Area]],KPIs!$C$4:$C$7,0)</f>
        <v>2</v>
      </c>
      <c r="R1228" s="40"/>
      <c r="V1228" s="4"/>
      <c r="X1228"/>
    </row>
    <row r="1229" spans="2:24" x14ac:dyDescent="0.35">
      <c r="B1229">
        <f t="shared" si="310"/>
        <v>1227</v>
      </c>
      <c r="C1229" t="s">
        <v>86</v>
      </c>
      <c r="D1229" t="s">
        <v>176</v>
      </c>
      <c r="E1229">
        <f>IF(WEEKNUM(Combined[[#This Row],[Date]], 1) = 53, 1, WEEKNUM(Combined[[#This Row],[Date]], 2))</f>
        <v>20</v>
      </c>
      <c r="F1229" t="str">
        <f t="shared" si="311"/>
        <v>Thursday</v>
      </c>
      <c r="G1229" s="41">
        <v>45428</v>
      </c>
      <c r="H1229">
        <v>2</v>
      </c>
      <c r="I1229" s="1">
        <v>17.5</v>
      </c>
      <c r="J1229" s="2">
        <v>9.5138888888888884E-2</v>
      </c>
      <c r="K1229" s="12">
        <f>Combined[[#This Row],[Time Spent]]*24</f>
        <v>2.2833333333333332</v>
      </c>
      <c r="L1229" s="12">
        <f>MROUND(Combined[[#This Row],[Time Spent 2]],0.25)</f>
        <v>2.25</v>
      </c>
      <c r="M1229" s="2" t="s">
        <v>91</v>
      </c>
      <c r="N1229" t="s">
        <v>80</v>
      </c>
      <c r="O1229">
        <f>MATCH(Combined[[#This Row],[Primary Area]],KPIs!$C$4:$C$7,0)</f>
        <v>2</v>
      </c>
      <c r="R1229" s="40"/>
      <c r="V1229" s="4"/>
      <c r="X1229"/>
    </row>
    <row r="1230" spans="2:24" x14ac:dyDescent="0.35">
      <c r="B1230">
        <f t="shared" si="310"/>
        <v>1228</v>
      </c>
      <c r="C1230" t="s">
        <v>86</v>
      </c>
      <c r="D1230" t="s">
        <v>176</v>
      </c>
      <c r="E1230">
        <f>IF(WEEKNUM(Combined[[#This Row],[Date]], 1) = 53, 1, WEEKNUM(Combined[[#This Row],[Date]], 2))</f>
        <v>20</v>
      </c>
      <c r="F1230" t="str">
        <f t="shared" si="311"/>
        <v>Thursday</v>
      </c>
      <c r="G1230" s="41">
        <v>45428</v>
      </c>
      <c r="H1230">
        <v>3</v>
      </c>
      <c r="I1230" s="1">
        <v>22</v>
      </c>
      <c r="J1230" s="2">
        <v>0.10277777777777777</v>
      </c>
      <c r="K1230" s="12">
        <f>Combined[[#This Row],[Time Spent]]*24</f>
        <v>2.4666666666666668</v>
      </c>
      <c r="L1230" s="12">
        <f>MROUND(Combined[[#This Row],[Time Spent 2]],0.25)</f>
        <v>2.5</v>
      </c>
      <c r="M1230" s="2" t="s">
        <v>91</v>
      </c>
      <c r="N1230" t="s">
        <v>80</v>
      </c>
      <c r="O1230">
        <f>MATCH(Combined[[#This Row],[Primary Area]],KPIs!$C$4:$C$7,0)</f>
        <v>2</v>
      </c>
      <c r="R1230" s="40"/>
      <c r="V1230" s="4"/>
      <c r="X1230"/>
    </row>
    <row r="1231" spans="2:24" x14ac:dyDescent="0.35">
      <c r="B1231">
        <f t="shared" si="310"/>
        <v>1229</v>
      </c>
      <c r="C1231" t="s">
        <v>86</v>
      </c>
      <c r="D1231" t="s">
        <v>176</v>
      </c>
      <c r="E1231">
        <f>IF(WEEKNUM(Combined[[#This Row],[Date]], 1) = 53, 1, WEEKNUM(Combined[[#This Row],[Date]], 2))</f>
        <v>20</v>
      </c>
      <c r="F1231" t="str">
        <f t="shared" si="311"/>
        <v>Thursday</v>
      </c>
      <c r="G1231" s="41">
        <v>45428</v>
      </c>
      <c r="H1231">
        <v>1</v>
      </c>
      <c r="I1231" s="1">
        <v>10</v>
      </c>
      <c r="J1231" s="2">
        <v>2.2222222222222223E-2</v>
      </c>
      <c r="K1231" s="12">
        <f>Combined[[#This Row],[Time Spent]]*24</f>
        <v>0.53333333333333333</v>
      </c>
      <c r="L1231" s="12">
        <f>MROUND(Combined[[#This Row],[Time Spent 2]],0.25)</f>
        <v>0.5</v>
      </c>
      <c r="M1231" s="2" t="s">
        <v>92</v>
      </c>
      <c r="N1231" t="s">
        <v>80</v>
      </c>
      <c r="O1231">
        <f>MATCH(Combined[[#This Row],[Primary Area]],KPIs!$C$4:$C$7,0)</f>
        <v>2</v>
      </c>
      <c r="R1231" s="40"/>
      <c r="V1231" s="4"/>
      <c r="X1231"/>
    </row>
    <row r="1232" spans="2:24" x14ac:dyDescent="0.35">
      <c r="B1232">
        <f t="shared" si="310"/>
        <v>1230</v>
      </c>
      <c r="C1232" t="s">
        <v>83</v>
      </c>
      <c r="D1232" t="s">
        <v>176</v>
      </c>
      <c r="E1232">
        <f>IF(WEEKNUM(Combined[[#This Row],[Date]], 1) = 53, 1, WEEKNUM(Combined[[#This Row],[Date]], 2))</f>
        <v>20</v>
      </c>
      <c r="F1232" t="str">
        <f t="shared" si="311"/>
        <v>Friday</v>
      </c>
      <c r="G1232" s="41">
        <v>45429</v>
      </c>
      <c r="H1232">
        <v>12</v>
      </c>
      <c r="I1232" s="1">
        <v>114.74</v>
      </c>
      <c r="J1232" s="2">
        <v>0.21736111111111112</v>
      </c>
      <c r="K1232" s="12">
        <f>Combined[[#This Row],[Time Spent]]*24</f>
        <v>5.2166666666666668</v>
      </c>
      <c r="L1232" s="12">
        <f>MROUND(Combined[[#This Row],[Time Spent 2]],0.25)</f>
        <v>5.25</v>
      </c>
      <c r="M1232" s="2" t="s">
        <v>91</v>
      </c>
      <c r="N1232" t="s">
        <v>85</v>
      </c>
      <c r="O1232">
        <f>MATCH(Combined[[#This Row],[Primary Area]],KPIs!$C$4:$C$7,0)</f>
        <v>4</v>
      </c>
      <c r="R1232" s="40"/>
      <c r="V1232" s="4"/>
      <c r="X1232"/>
    </row>
    <row r="1233" spans="2:24" x14ac:dyDescent="0.35">
      <c r="B1233">
        <f t="shared" si="310"/>
        <v>1231</v>
      </c>
      <c r="C1233" t="s">
        <v>86</v>
      </c>
      <c r="D1233" t="s">
        <v>176</v>
      </c>
      <c r="E1233">
        <f>IF(WEEKNUM(Combined[[#This Row],[Date]], 1) = 53, 1, WEEKNUM(Combined[[#This Row],[Date]], 2))</f>
        <v>20</v>
      </c>
      <c r="F1233" t="str">
        <f t="shared" si="311"/>
        <v>Friday</v>
      </c>
      <c r="G1233" s="41">
        <v>45429</v>
      </c>
      <c r="H1233">
        <v>2</v>
      </c>
      <c r="I1233" s="1">
        <v>20.75</v>
      </c>
      <c r="J1233" s="2">
        <v>4.4444444444444446E-2</v>
      </c>
      <c r="K1233" s="12">
        <f>Combined[[#This Row],[Time Spent]]*24</f>
        <v>1.0666666666666667</v>
      </c>
      <c r="L1233" s="12">
        <f>MROUND(Combined[[#This Row],[Time Spent 2]],0.25)</f>
        <v>1</v>
      </c>
      <c r="M1233" s="2" t="s">
        <v>91</v>
      </c>
      <c r="N1233" t="s">
        <v>85</v>
      </c>
      <c r="O1233">
        <f>MATCH(Combined[[#This Row],[Primary Area]],KPIs!$C$4:$C$7,0)</f>
        <v>4</v>
      </c>
      <c r="R1233" s="40"/>
      <c r="V1233" s="4"/>
      <c r="X1233"/>
    </row>
    <row r="1234" spans="2:24" x14ac:dyDescent="0.35">
      <c r="B1234">
        <f t="shared" si="310"/>
        <v>1232</v>
      </c>
      <c r="C1234" t="s">
        <v>86</v>
      </c>
      <c r="D1234" t="s">
        <v>176</v>
      </c>
      <c r="E1234">
        <f>IF(WEEKNUM(Combined[[#This Row],[Date]], 1) = 53, 1, WEEKNUM(Combined[[#This Row],[Date]], 2))</f>
        <v>20</v>
      </c>
      <c r="F1234" t="str">
        <f t="shared" ref="F1234" si="312">TEXT(WEEKDAY(G1234,1),"DDDD")</f>
        <v>Friday</v>
      </c>
      <c r="G1234" s="41">
        <v>45429</v>
      </c>
      <c r="H1234">
        <v>3</v>
      </c>
      <c r="I1234" s="1">
        <v>16</v>
      </c>
      <c r="J1234" s="2">
        <v>2.7777777777777776E-2</v>
      </c>
      <c r="K1234" s="12">
        <f>Combined[[#This Row],[Time Spent]]*24</f>
        <v>0.66666666666666663</v>
      </c>
      <c r="L1234" s="12">
        <f>MROUND(Combined[[#This Row],[Time Spent 2]],0.25)</f>
        <v>0.75</v>
      </c>
      <c r="M1234" s="2" t="s">
        <v>92</v>
      </c>
      <c r="N1234" t="s">
        <v>85</v>
      </c>
      <c r="O1234">
        <f>MATCH(Combined[[#This Row],[Primary Area]],KPIs!$C$4:$C$7,0)</f>
        <v>4</v>
      </c>
      <c r="R1234" s="40"/>
      <c r="V1234" s="4"/>
      <c r="X1234"/>
    </row>
    <row r="1235" spans="2:24" x14ac:dyDescent="0.35">
      <c r="B1235">
        <f t="shared" si="310"/>
        <v>1233</v>
      </c>
      <c r="C1235" t="s">
        <v>86</v>
      </c>
      <c r="D1235" t="s">
        <v>176</v>
      </c>
      <c r="E1235">
        <f>IF(WEEKNUM(Combined[[#This Row],[Date]], 1) = 53, 1, WEEKNUM(Combined[[#This Row],[Date]], 2))</f>
        <v>21</v>
      </c>
      <c r="F1235" t="str">
        <f t="shared" ref="F1235:F1243" si="313">TEXT(WEEKDAY(G1235,1),"DDDD")</f>
        <v>Monday</v>
      </c>
      <c r="G1235" s="41">
        <v>45432</v>
      </c>
      <c r="H1235">
        <v>4</v>
      </c>
      <c r="I1235" s="1">
        <v>22</v>
      </c>
      <c r="J1235" s="2">
        <v>6.0416666666666667E-2</v>
      </c>
      <c r="K1235" s="12">
        <f>Combined[[#This Row],[Time Spent]]*24</f>
        <v>1.45</v>
      </c>
      <c r="L1235" s="12">
        <f>MROUND(Combined[[#This Row],[Time Spent 2]],0.25)</f>
        <v>1.5</v>
      </c>
      <c r="M1235" s="2" t="s">
        <v>90</v>
      </c>
      <c r="N1235" t="s">
        <v>80</v>
      </c>
      <c r="O1235">
        <f>MATCH(Combined[[#This Row],[Primary Area]],KPIs!$C$4:$C$7,0)</f>
        <v>2</v>
      </c>
      <c r="R1235" s="40"/>
      <c r="V1235" s="4"/>
      <c r="X1235"/>
    </row>
    <row r="1236" spans="2:24" x14ac:dyDescent="0.35">
      <c r="B1236">
        <f t="shared" si="310"/>
        <v>1234</v>
      </c>
      <c r="C1236" t="s">
        <v>83</v>
      </c>
      <c r="D1236" t="s">
        <v>176</v>
      </c>
      <c r="E1236">
        <f>IF(WEEKNUM(Combined[[#This Row],[Date]], 1) = 53, 1, WEEKNUM(Combined[[#This Row],[Date]], 2))</f>
        <v>21</v>
      </c>
      <c r="F1236" t="str">
        <f t="shared" si="313"/>
        <v>Wednesday</v>
      </c>
      <c r="G1236" s="41">
        <v>45434</v>
      </c>
      <c r="H1236">
        <v>2</v>
      </c>
      <c r="I1236" s="1">
        <v>30.4</v>
      </c>
      <c r="J1236" s="2">
        <v>7.4999999999999997E-2</v>
      </c>
      <c r="K1236" s="12">
        <f>Combined[[#This Row],[Time Spent]]*24</f>
        <v>1.7999999999999998</v>
      </c>
      <c r="L1236" s="12">
        <f>MROUND(Combined[[#This Row],[Time Spent 2]],0.25)</f>
        <v>1.75</v>
      </c>
      <c r="M1236" s="2" t="s">
        <v>91</v>
      </c>
      <c r="N1236" t="s">
        <v>80</v>
      </c>
      <c r="O1236">
        <f>MATCH(Combined[[#This Row],[Primary Area]],KPIs!$C$4:$C$7,0)</f>
        <v>2</v>
      </c>
      <c r="R1236" s="40"/>
      <c r="V1236" s="4"/>
      <c r="X1236"/>
    </row>
    <row r="1237" spans="2:24" x14ac:dyDescent="0.35">
      <c r="B1237">
        <f t="shared" si="310"/>
        <v>1235</v>
      </c>
      <c r="C1237" t="s">
        <v>86</v>
      </c>
      <c r="D1237" t="s">
        <v>176</v>
      </c>
      <c r="E1237">
        <f>IF(WEEKNUM(Combined[[#This Row],[Date]], 1) = 53, 1, WEEKNUM(Combined[[#This Row],[Date]], 2))</f>
        <v>21</v>
      </c>
      <c r="F1237" t="str">
        <f t="shared" si="313"/>
        <v>Wednesday</v>
      </c>
      <c r="G1237" s="41">
        <v>45434</v>
      </c>
      <c r="H1237">
        <v>1</v>
      </c>
      <c r="I1237" s="1">
        <v>11.25</v>
      </c>
      <c r="J1237" s="2">
        <v>2.2916666666666665E-2</v>
      </c>
      <c r="K1237" s="12">
        <f>Combined[[#This Row],[Time Spent]]*24</f>
        <v>0.54999999999999993</v>
      </c>
      <c r="L1237" s="12">
        <f>MROUND(Combined[[#This Row],[Time Spent 2]],0.25)</f>
        <v>0.5</v>
      </c>
      <c r="M1237" s="2" t="s">
        <v>91</v>
      </c>
      <c r="N1237" t="s">
        <v>80</v>
      </c>
      <c r="O1237">
        <f>MATCH(Combined[[#This Row],[Primary Area]],KPIs!$C$4:$C$7,0)</f>
        <v>2</v>
      </c>
      <c r="R1237" s="40"/>
      <c r="V1237" s="4"/>
      <c r="X1237"/>
    </row>
    <row r="1238" spans="2:24" x14ac:dyDescent="0.35">
      <c r="B1238">
        <f t="shared" si="310"/>
        <v>1236</v>
      </c>
      <c r="C1238" t="s">
        <v>86</v>
      </c>
      <c r="D1238" t="s">
        <v>176</v>
      </c>
      <c r="E1238">
        <f>IF(WEEKNUM(Combined[[#This Row],[Date]], 1) = 53, 1, WEEKNUM(Combined[[#This Row],[Date]], 2))</f>
        <v>21</v>
      </c>
      <c r="F1238" t="str">
        <f t="shared" si="313"/>
        <v>Wednesday</v>
      </c>
      <c r="G1238" s="41">
        <v>45434</v>
      </c>
      <c r="H1238">
        <v>6</v>
      </c>
      <c r="I1238" s="1">
        <v>63.75</v>
      </c>
      <c r="J1238" s="2">
        <v>0.18263888888888888</v>
      </c>
      <c r="K1238" s="12">
        <f>Combined[[#This Row],[Time Spent]]*24</f>
        <v>4.3833333333333329</v>
      </c>
      <c r="L1238" s="12">
        <f>MROUND(Combined[[#This Row],[Time Spent 2]],0.25)</f>
        <v>4.5</v>
      </c>
      <c r="M1238" s="2" t="s">
        <v>91</v>
      </c>
      <c r="N1238" t="s">
        <v>80</v>
      </c>
      <c r="O1238">
        <f>MATCH(Combined[[#This Row],[Primary Area]],KPIs!$C$4:$C$7,0)</f>
        <v>2</v>
      </c>
      <c r="R1238" s="40"/>
      <c r="V1238" s="4"/>
      <c r="X1238"/>
    </row>
    <row r="1239" spans="2:24" x14ac:dyDescent="0.35">
      <c r="B1239">
        <f t="shared" si="310"/>
        <v>1237</v>
      </c>
      <c r="C1239" t="s">
        <v>86</v>
      </c>
      <c r="D1239" t="s">
        <v>176</v>
      </c>
      <c r="E1239">
        <f>IF(WEEKNUM(Combined[[#This Row],[Date]], 1) = 53, 1, WEEKNUM(Combined[[#This Row],[Date]], 2))</f>
        <v>21</v>
      </c>
      <c r="F1239" t="str">
        <f t="shared" si="313"/>
        <v>Thursday</v>
      </c>
      <c r="G1239" s="41">
        <v>45435</v>
      </c>
      <c r="H1239">
        <v>10</v>
      </c>
      <c r="I1239" s="1">
        <v>72.94</v>
      </c>
      <c r="J1239" s="2">
        <v>0.16805555555555557</v>
      </c>
      <c r="K1239" s="12">
        <f>Combined[[#This Row],[Time Spent]]*24</f>
        <v>4.0333333333333332</v>
      </c>
      <c r="L1239" s="12">
        <f>MROUND(Combined[[#This Row],[Time Spent 2]],0.25)</f>
        <v>4</v>
      </c>
      <c r="M1239" s="2" t="s">
        <v>91</v>
      </c>
      <c r="N1239" t="s">
        <v>80</v>
      </c>
      <c r="O1239">
        <f>MATCH(Combined[[#This Row],[Primary Area]],KPIs!$C$4:$C$7,0)</f>
        <v>2</v>
      </c>
      <c r="R1239" s="40"/>
      <c r="V1239" s="4"/>
      <c r="X1239"/>
    </row>
    <row r="1240" spans="2:24" x14ac:dyDescent="0.35">
      <c r="B1240">
        <f t="shared" si="310"/>
        <v>1238</v>
      </c>
      <c r="C1240" t="s">
        <v>83</v>
      </c>
      <c r="D1240" t="s">
        <v>176</v>
      </c>
      <c r="E1240">
        <f>IF(WEEKNUM(Combined[[#This Row],[Date]], 1) = 53, 1, WEEKNUM(Combined[[#This Row],[Date]], 2))</f>
        <v>21</v>
      </c>
      <c r="F1240" t="str">
        <f t="shared" si="313"/>
        <v>Friday</v>
      </c>
      <c r="G1240" s="41">
        <v>45436</v>
      </c>
      <c r="H1240">
        <v>3</v>
      </c>
      <c r="I1240" s="1">
        <v>28.19</v>
      </c>
      <c r="J1240" s="2">
        <v>0.11041666666666666</v>
      </c>
      <c r="K1240" s="12">
        <f>Combined[[#This Row],[Time Spent]]*24</f>
        <v>2.65</v>
      </c>
      <c r="L1240" s="12">
        <f>MROUND(Combined[[#This Row],[Time Spent 2]],0.25)</f>
        <v>2.75</v>
      </c>
      <c r="M1240" s="2" t="s">
        <v>91</v>
      </c>
      <c r="N1240" t="s">
        <v>80</v>
      </c>
      <c r="O1240">
        <f>MATCH(Combined[[#This Row],[Primary Area]],KPIs!$C$4:$C$7,0)</f>
        <v>2</v>
      </c>
      <c r="R1240" s="40"/>
      <c r="V1240" s="4"/>
      <c r="X1240"/>
    </row>
    <row r="1241" spans="2:24" x14ac:dyDescent="0.35">
      <c r="B1241">
        <f t="shared" si="310"/>
        <v>1239</v>
      </c>
      <c r="C1241" t="s">
        <v>86</v>
      </c>
      <c r="D1241" t="s">
        <v>176</v>
      </c>
      <c r="E1241">
        <f>IF(WEEKNUM(Combined[[#This Row],[Date]], 1) = 53, 1, WEEKNUM(Combined[[#This Row],[Date]], 2))</f>
        <v>21</v>
      </c>
      <c r="F1241" t="str">
        <f t="shared" si="313"/>
        <v>Friday</v>
      </c>
      <c r="G1241" s="41">
        <v>45436</v>
      </c>
      <c r="H1241">
        <v>1</v>
      </c>
      <c r="I1241" s="1">
        <v>5.5</v>
      </c>
      <c r="J1241" s="2">
        <v>4.3055555555555555E-2</v>
      </c>
      <c r="K1241" s="12">
        <f>Combined[[#This Row],[Time Spent]]*24</f>
        <v>1.0333333333333332</v>
      </c>
      <c r="L1241" s="12">
        <f>MROUND(Combined[[#This Row],[Time Spent 2]],0.25)</f>
        <v>1</v>
      </c>
      <c r="M1241" s="2" t="s">
        <v>91</v>
      </c>
      <c r="N1241" t="s">
        <v>80</v>
      </c>
      <c r="O1241">
        <f>MATCH(Combined[[#This Row],[Primary Area]],KPIs!$C$4:$C$7,0)</f>
        <v>2</v>
      </c>
      <c r="R1241" s="40"/>
      <c r="V1241" s="4"/>
      <c r="X1241"/>
    </row>
    <row r="1242" spans="2:24" x14ac:dyDescent="0.35">
      <c r="B1242">
        <f t="shared" si="310"/>
        <v>1240</v>
      </c>
      <c r="C1242" t="s">
        <v>86</v>
      </c>
      <c r="D1242" t="s">
        <v>176</v>
      </c>
      <c r="E1242">
        <f>IF(WEEKNUM(Combined[[#This Row],[Date]], 1) = 53, 1, WEEKNUM(Combined[[#This Row],[Date]], 2))</f>
        <v>21</v>
      </c>
      <c r="F1242" t="str">
        <f t="shared" si="313"/>
        <v>Friday</v>
      </c>
      <c r="G1242" s="41">
        <v>45436</v>
      </c>
      <c r="H1242">
        <v>2</v>
      </c>
      <c r="I1242" s="1">
        <v>15</v>
      </c>
      <c r="J1242" s="2">
        <v>5.6944444444444443E-2</v>
      </c>
      <c r="K1242" s="12">
        <f>Combined[[#This Row],[Time Spent]]*24</f>
        <v>1.3666666666666667</v>
      </c>
      <c r="L1242" s="12">
        <f>MROUND(Combined[[#This Row],[Time Spent 2]],0.25)</f>
        <v>1.25</v>
      </c>
      <c r="M1242" s="2" t="s">
        <v>91</v>
      </c>
      <c r="N1242" t="s">
        <v>80</v>
      </c>
      <c r="O1242">
        <f>MATCH(Combined[[#This Row],[Primary Area]],KPIs!$C$4:$C$7,0)</f>
        <v>2</v>
      </c>
      <c r="R1242" s="40"/>
      <c r="V1242" s="4"/>
      <c r="X1242"/>
    </row>
    <row r="1243" spans="2:24" x14ac:dyDescent="0.35">
      <c r="B1243">
        <f t="shared" si="310"/>
        <v>1241</v>
      </c>
      <c r="C1243" t="s">
        <v>86</v>
      </c>
      <c r="D1243" t="s">
        <v>176</v>
      </c>
      <c r="E1243">
        <f>IF(WEEKNUM(Combined[[#This Row],[Date]], 1) = 53, 1, WEEKNUM(Combined[[#This Row],[Date]], 2))</f>
        <v>21</v>
      </c>
      <c r="F1243" t="str">
        <f t="shared" si="313"/>
        <v>Friday</v>
      </c>
      <c r="G1243" s="41">
        <v>45436</v>
      </c>
      <c r="H1243">
        <v>2</v>
      </c>
      <c r="I1243" s="1">
        <v>23.5</v>
      </c>
      <c r="J1243" s="2">
        <v>0.05</v>
      </c>
      <c r="K1243" s="12">
        <f>Combined[[#This Row],[Time Spent]]*24</f>
        <v>1.2000000000000002</v>
      </c>
      <c r="L1243" s="12">
        <f>MROUND(Combined[[#This Row],[Time Spent 2]],0.25)</f>
        <v>1.25</v>
      </c>
      <c r="M1243" s="2" t="s">
        <v>91</v>
      </c>
      <c r="N1243" t="s">
        <v>80</v>
      </c>
      <c r="O1243">
        <f>MATCH(Combined[[#This Row],[Primary Area]],KPIs!$C$4:$C$7,0)</f>
        <v>2</v>
      </c>
      <c r="R1243" s="40"/>
      <c r="V1243" s="4"/>
      <c r="X1243"/>
    </row>
    <row r="1244" spans="2:24" x14ac:dyDescent="0.35">
      <c r="B1244">
        <f t="shared" si="310"/>
        <v>1242</v>
      </c>
      <c r="C1244" t="s">
        <v>83</v>
      </c>
      <c r="D1244" t="s">
        <v>176</v>
      </c>
      <c r="E1244">
        <f>IF(WEEKNUM(Combined[[#This Row],[Date]], 1) = 53, 1, WEEKNUM(Combined[[#This Row],[Date]], 2))</f>
        <v>22</v>
      </c>
      <c r="F1244" t="str">
        <f t="shared" ref="F1244:F1258" si="314">TEXT(WEEKDAY(G1244,1),"DDDD")</f>
        <v>Monday</v>
      </c>
      <c r="G1244" s="41">
        <v>45439</v>
      </c>
      <c r="H1244">
        <v>3</v>
      </c>
      <c r="I1244" s="1">
        <v>38.770000000000003</v>
      </c>
      <c r="J1244" s="2">
        <f>TIME(,30,)+TIME(,37,)+TIME(,21,)</f>
        <v>6.1111111111111116E-2</v>
      </c>
      <c r="K1244" s="12">
        <f>Combined[[#This Row],[Time Spent]]*24</f>
        <v>1.4666666666666668</v>
      </c>
      <c r="L1244" s="12">
        <f>MROUND(Combined[[#This Row],[Time Spent 2]],0.25)</f>
        <v>1.5</v>
      </c>
      <c r="M1244" s="2" t="s">
        <v>91</v>
      </c>
      <c r="N1244" t="s">
        <v>174</v>
      </c>
      <c r="O1244">
        <f>MATCH(Combined[[#This Row],[Primary Area]],KPIs!$C$4:$C$7,0)</f>
        <v>1</v>
      </c>
      <c r="R1244" s="40"/>
      <c r="V1244" s="4"/>
      <c r="X1244"/>
    </row>
    <row r="1245" spans="2:24" x14ac:dyDescent="0.35">
      <c r="B1245">
        <f t="shared" si="310"/>
        <v>1243</v>
      </c>
      <c r="C1245" t="s">
        <v>86</v>
      </c>
      <c r="D1245" t="s">
        <v>176</v>
      </c>
      <c r="E1245">
        <f>IF(WEEKNUM(Combined[[#This Row],[Date]], 1) = 53, 1, WEEKNUM(Combined[[#This Row],[Date]], 2))</f>
        <v>22</v>
      </c>
      <c r="F1245" t="str">
        <f t="shared" si="314"/>
        <v>Monday</v>
      </c>
      <c r="G1245" s="41">
        <v>45439</v>
      </c>
      <c r="H1245">
        <v>1</v>
      </c>
      <c r="I1245" s="1">
        <v>5.5</v>
      </c>
      <c r="J1245" s="2">
        <v>2.361111111111111E-2</v>
      </c>
      <c r="K1245" s="12">
        <f>Combined[[#This Row],[Time Spent]]*24</f>
        <v>0.56666666666666665</v>
      </c>
      <c r="L1245" s="12">
        <f>MROUND(Combined[[#This Row],[Time Spent 2]],0.25)</f>
        <v>0.5</v>
      </c>
      <c r="M1245" s="2" t="s">
        <v>91</v>
      </c>
      <c r="N1245" t="s">
        <v>174</v>
      </c>
      <c r="O1245">
        <f>MATCH(Combined[[#This Row],[Primary Area]],KPIs!$C$4:$C$7,0)</f>
        <v>1</v>
      </c>
      <c r="R1245" s="40"/>
      <c r="V1245" s="4"/>
      <c r="X1245"/>
    </row>
    <row r="1246" spans="2:24" x14ac:dyDescent="0.35">
      <c r="B1246">
        <f t="shared" si="310"/>
        <v>1244</v>
      </c>
      <c r="C1246" t="s">
        <v>86</v>
      </c>
      <c r="D1246" t="s">
        <v>175</v>
      </c>
      <c r="E1246">
        <f>IF(WEEKNUM(Combined[[#This Row],[Date]], 1) = 53, 1, WEEKNUM(Combined[[#This Row],[Date]], 2))</f>
        <v>22</v>
      </c>
      <c r="F1246" t="str">
        <f t="shared" si="314"/>
        <v>Monday</v>
      </c>
      <c r="G1246" s="41">
        <v>45439</v>
      </c>
      <c r="H1246">
        <v>3</v>
      </c>
      <c r="I1246" s="1">
        <v>27.98</v>
      </c>
      <c r="J1246" s="2">
        <v>9.0972222222222218E-2</v>
      </c>
      <c r="K1246" s="12">
        <f>Combined[[#This Row],[Time Spent]]*24</f>
        <v>2.1833333333333331</v>
      </c>
      <c r="L1246" s="12">
        <f>MROUND(Combined[[#This Row],[Time Spent 2]],0.25)</f>
        <v>2.25</v>
      </c>
      <c r="M1246" s="2" t="s">
        <v>91</v>
      </c>
      <c r="N1246" t="s">
        <v>174</v>
      </c>
      <c r="O1246">
        <f>MATCH(Combined[[#This Row],[Primary Area]],KPIs!$C$4:$C$7,0)</f>
        <v>1</v>
      </c>
      <c r="R1246" s="40"/>
      <c r="V1246" s="4"/>
      <c r="X1246"/>
    </row>
    <row r="1247" spans="2:24" x14ac:dyDescent="0.35">
      <c r="B1247">
        <f t="shared" si="310"/>
        <v>1245</v>
      </c>
      <c r="C1247" t="s">
        <v>86</v>
      </c>
      <c r="D1247" t="s">
        <v>175</v>
      </c>
      <c r="E1247">
        <f>IF(WEEKNUM(Combined[[#This Row],[Date]], 1) = 53, 1, WEEKNUM(Combined[[#This Row],[Date]], 2))</f>
        <v>22</v>
      </c>
      <c r="F1247" t="str">
        <f t="shared" si="314"/>
        <v>Monday</v>
      </c>
      <c r="G1247" s="41">
        <v>45439</v>
      </c>
      <c r="H1247">
        <v>3</v>
      </c>
      <c r="I1247" s="1">
        <v>21.24</v>
      </c>
      <c r="J1247" s="2">
        <v>4.0972222222222222E-2</v>
      </c>
      <c r="K1247" s="12">
        <f>Combined[[#This Row],[Time Spent]]*24</f>
        <v>0.98333333333333339</v>
      </c>
      <c r="L1247" s="12">
        <f>MROUND(Combined[[#This Row],[Time Spent 2]],0.25)</f>
        <v>1</v>
      </c>
      <c r="M1247" s="2" t="s">
        <v>91</v>
      </c>
      <c r="N1247" t="s">
        <v>174</v>
      </c>
      <c r="O1247">
        <f>MATCH(Combined[[#This Row],[Primary Area]],KPIs!$C$4:$C$7,0)</f>
        <v>1</v>
      </c>
      <c r="R1247" s="40"/>
      <c r="V1247" s="4"/>
      <c r="X1247"/>
    </row>
    <row r="1248" spans="2:24" x14ac:dyDescent="0.35">
      <c r="B1248">
        <f t="shared" si="310"/>
        <v>1246</v>
      </c>
      <c r="C1248" t="s">
        <v>83</v>
      </c>
      <c r="D1248" t="s">
        <v>176</v>
      </c>
      <c r="E1248">
        <f>IF(WEEKNUM(Combined[[#This Row],[Date]], 1) = 53, 1, WEEKNUM(Combined[[#This Row],[Date]], 2))</f>
        <v>22</v>
      </c>
      <c r="F1248" t="str">
        <f t="shared" si="314"/>
        <v>Tuesday</v>
      </c>
      <c r="G1248" s="41">
        <v>45440</v>
      </c>
      <c r="H1248">
        <v>2</v>
      </c>
      <c r="I1248" s="1">
        <f>8.66+15.08</f>
        <v>23.740000000000002</v>
      </c>
      <c r="J1248" s="2">
        <f>TIME(,19,)+TIME(,40,)</f>
        <v>4.0972222222222222E-2</v>
      </c>
      <c r="K1248" s="12">
        <f>Combined[[#This Row],[Time Spent]]*24</f>
        <v>0.98333333333333339</v>
      </c>
      <c r="L1248" s="12">
        <f>MROUND(Combined[[#This Row],[Time Spent 2]],0.25)</f>
        <v>1</v>
      </c>
      <c r="M1248" s="2" t="s">
        <v>91</v>
      </c>
      <c r="N1248" t="s">
        <v>80</v>
      </c>
      <c r="O1248">
        <f>MATCH(Combined[[#This Row],[Primary Area]],KPIs!$C$4:$C$7,0)</f>
        <v>2</v>
      </c>
      <c r="R1248" s="40"/>
      <c r="V1248" s="4"/>
      <c r="X1248"/>
    </row>
    <row r="1249" spans="2:24" x14ac:dyDescent="0.35">
      <c r="B1249">
        <f t="shared" si="310"/>
        <v>1247</v>
      </c>
      <c r="C1249" t="s">
        <v>86</v>
      </c>
      <c r="D1249" t="s">
        <v>176</v>
      </c>
      <c r="E1249">
        <f>IF(WEEKNUM(Combined[[#This Row],[Date]], 1) = 53, 1, WEEKNUM(Combined[[#This Row],[Date]], 2))</f>
        <v>22</v>
      </c>
      <c r="F1249" t="str">
        <f t="shared" si="314"/>
        <v>Tuesday</v>
      </c>
      <c r="G1249" s="41">
        <v>45440</v>
      </c>
      <c r="H1249">
        <v>1</v>
      </c>
      <c r="I1249" s="1">
        <v>7.75</v>
      </c>
      <c r="J1249" s="2">
        <v>5.6250000000000001E-2</v>
      </c>
      <c r="K1249" s="12">
        <f>Combined[[#This Row],[Time Spent]]*24</f>
        <v>1.35</v>
      </c>
      <c r="L1249" s="12">
        <f>MROUND(Combined[[#This Row],[Time Spent 2]],0.25)</f>
        <v>1.25</v>
      </c>
      <c r="M1249" s="2" t="s">
        <v>91</v>
      </c>
      <c r="N1249" t="s">
        <v>80</v>
      </c>
      <c r="O1249">
        <f>MATCH(Combined[[#This Row],[Primary Area]],KPIs!$C$4:$C$7,0)</f>
        <v>2</v>
      </c>
      <c r="R1249" s="40"/>
      <c r="V1249" s="4"/>
      <c r="X1249"/>
    </row>
    <row r="1250" spans="2:24" x14ac:dyDescent="0.35">
      <c r="B1250">
        <f t="shared" si="310"/>
        <v>1248</v>
      </c>
      <c r="C1250" t="s">
        <v>86</v>
      </c>
      <c r="D1250" t="s">
        <v>176</v>
      </c>
      <c r="E1250">
        <f>IF(WEEKNUM(Combined[[#This Row],[Date]], 1) = 53, 1, WEEKNUM(Combined[[#This Row],[Date]], 2))</f>
        <v>22</v>
      </c>
      <c r="F1250" t="str">
        <f t="shared" si="314"/>
        <v>Tuesday</v>
      </c>
      <c r="G1250" s="41">
        <v>45440</v>
      </c>
      <c r="H1250">
        <v>2</v>
      </c>
      <c r="I1250" s="1">
        <v>31.98</v>
      </c>
      <c r="J1250" s="2">
        <v>5.9027777777777776E-2</v>
      </c>
      <c r="K1250" s="12">
        <f>Combined[[#This Row],[Time Spent]]*24</f>
        <v>1.4166666666666665</v>
      </c>
      <c r="L1250" s="12">
        <f>MROUND(Combined[[#This Row],[Time Spent 2]],0.25)</f>
        <v>1.5</v>
      </c>
      <c r="M1250" s="2" t="s">
        <v>91</v>
      </c>
      <c r="N1250" t="s">
        <v>80</v>
      </c>
      <c r="O1250">
        <f>MATCH(Combined[[#This Row],[Primary Area]],KPIs!$C$4:$C$7,0)</f>
        <v>2</v>
      </c>
      <c r="R1250" s="40"/>
      <c r="V1250" s="4"/>
      <c r="X1250"/>
    </row>
    <row r="1251" spans="2:24" x14ac:dyDescent="0.35">
      <c r="B1251">
        <f t="shared" si="310"/>
        <v>1249</v>
      </c>
      <c r="C1251" t="s">
        <v>86</v>
      </c>
      <c r="D1251" t="s">
        <v>176</v>
      </c>
      <c r="E1251">
        <f>IF(WEEKNUM(Combined[[#This Row],[Date]], 1) = 53, 1, WEEKNUM(Combined[[#This Row],[Date]], 2))</f>
        <v>22</v>
      </c>
      <c r="F1251" t="str">
        <f t="shared" si="314"/>
        <v>Tuesday</v>
      </c>
      <c r="G1251" s="41">
        <v>45440</v>
      </c>
      <c r="H1251">
        <v>5</v>
      </c>
      <c r="I1251" s="1">
        <v>45.75</v>
      </c>
      <c r="J1251" s="2">
        <v>7.7083333333333337E-2</v>
      </c>
      <c r="K1251" s="12">
        <f>Combined[[#This Row],[Time Spent]]*24</f>
        <v>1.85</v>
      </c>
      <c r="L1251" s="12">
        <f>MROUND(Combined[[#This Row],[Time Spent 2]],0.25)</f>
        <v>1.75</v>
      </c>
      <c r="M1251" s="2" t="s">
        <v>91</v>
      </c>
      <c r="N1251" t="s">
        <v>80</v>
      </c>
      <c r="O1251">
        <f>MATCH(Combined[[#This Row],[Primary Area]],KPIs!$C$4:$C$7,0)</f>
        <v>2</v>
      </c>
      <c r="R1251" s="40"/>
      <c r="V1251" s="4"/>
      <c r="X1251"/>
    </row>
    <row r="1252" spans="2:24" x14ac:dyDescent="0.35">
      <c r="B1252">
        <f t="shared" si="310"/>
        <v>1250</v>
      </c>
      <c r="C1252" t="s">
        <v>86</v>
      </c>
      <c r="D1252" t="s">
        <v>176</v>
      </c>
      <c r="E1252">
        <f>IF(WEEKNUM(Combined[[#This Row],[Date]], 1) = 53, 1, WEEKNUM(Combined[[#This Row],[Date]], 2))</f>
        <v>22</v>
      </c>
      <c r="F1252" t="str">
        <f t="shared" si="314"/>
        <v>Tuesday</v>
      </c>
      <c r="G1252" s="41">
        <v>45440</v>
      </c>
      <c r="H1252">
        <v>1</v>
      </c>
      <c r="I1252" s="1">
        <v>12</v>
      </c>
      <c r="J1252" s="2">
        <v>3.6805555555555557E-2</v>
      </c>
      <c r="K1252" s="12">
        <f>Combined[[#This Row],[Time Spent]]*24</f>
        <v>0.8833333333333333</v>
      </c>
      <c r="L1252" s="12">
        <f>MROUND(Combined[[#This Row],[Time Spent 2]],0.25)</f>
        <v>1</v>
      </c>
      <c r="M1252" s="2" t="s">
        <v>92</v>
      </c>
      <c r="N1252" t="s">
        <v>80</v>
      </c>
      <c r="O1252">
        <f>MATCH(Combined[[#This Row],[Primary Area]],KPIs!$C$4:$C$7,0)</f>
        <v>2</v>
      </c>
      <c r="R1252" s="40"/>
      <c r="V1252" s="4"/>
      <c r="X1252"/>
    </row>
    <row r="1253" spans="2:24" x14ac:dyDescent="0.35">
      <c r="B1253">
        <f t="shared" si="310"/>
        <v>1251</v>
      </c>
      <c r="C1253" t="s">
        <v>83</v>
      </c>
      <c r="D1253" t="s">
        <v>176</v>
      </c>
      <c r="E1253">
        <f>IF(WEEKNUM(Combined[[#This Row],[Date]], 1) = 53, 1, WEEKNUM(Combined[[#This Row],[Date]], 2))</f>
        <v>22</v>
      </c>
      <c r="F1253" t="str">
        <f t="shared" si="314"/>
        <v>Wednesday</v>
      </c>
      <c r="G1253" s="41">
        <v>45441</v>
      </c>
      <c r="H1253">
        <v>2</v>
      </c>
      <c r="I1253" s="1">
        <f>7.18+4.05</f>
        <v>11.23</v>
      </c>
      <c r="J1253" s="2">
        <f>TIME(,20,)+TIME(,15,)</f>
        <v>2.4305555555555552E-2</v>
      </c>
      <c r="K1253" s="12">
        <f>Combined[[#This Row],[Time Spent]]*24</f>
        <v>0.58333333333333326</v>
      </c>
      <c r="L1253" s="12">
        <f>MROUND(Combined[[#This Row],[Time Spent 2]],0.25)</f>
        <v>0.5</v>
      </c>
      <c r="M1253" s="2" t="s">
        <v>91</v>
      </c>
      <c r="N1253" t="s">
        <v>80</v>
      </c>
      <c r="O1253">
        <f>MATCH(Combined[[#This Row],[Primary Area]],KPIs!$C$4:$C$7,0)</f>
        <v>2</v>
      </c>
      <c r="R1253" s="40"/>
      <c r="V1253" s="4"/>
      <c r="X1253"/>
    </row>
    <row r="1254" spans="2:24" x14ac:dyDescent="0.35">
      <c r="B1254">
        <f t="shared" si="310"/>
        <v>1252</v>
      </c>
      <c r="C1254" t="s">
        <v>86</v>
      </c>
      <c r="D1254" t="s">
        <v>176</v>
      </c>
      <c r="E1254">
        <f>IF(WEEKNUM(Combined[[#This Row],[Date]], 1) = 53, 1, WEEKNUM(Combined[[#This Row],[Date]], 2))</f>
        <v>22</v>
      </c>
      <c r="F1254" t="str">
        <f t="shared" si="314"/>
        <v>Wednesday</v>
      </c>
      <c r="G1254" s="41">
        <v>45441</v>
      </c>
      <c r="H1254">
        <v>5</v>
      </c>
      <c r="I1254" s="1">
        <v>37</v>
      </c>
      <c r="J1254" s="2">
        <v>0.14097222222222222</v>
      </c>
      <c r="K1254" s="12">
        <f>Combined[[#This Row],[Time Spent]]*24</f>
        <v>3.3833333333333333</v>
      </c>
      <c r="L1254" s="12">
        <f>MROUND(Combined[[#This Row],[Time Spent 2]],0.25)</f>
        <v>3.5</v>
      </c>
      <c r="M1254" s="2" t="s">
        <v>91</v>
      </c>
      <c r="N1254" t="s">
        <v>80</v>
      </c>
      <c r="O1254">
        <f>MATCH(Combined[[#This Row],[Primary Area]],KPIs!$C$4:$C$7,0)</f>
        <v>2</v>
      </c>
      <c r="R1254" s="40"/>
      <c r="V1254" s="4"/>
      <c r="X1254"/>
    </row>
    <row r="1255" spans="2:24" x14ac:dyDescent="0.35">
      <c r="B1255">
        <f t="shared" si="310"/>
        <v>1253</v>
      </c>
      <c r="C1255" t="s">
        <v>83</v>
      </c>
      <c r="D1255" t="s">
        <v>176</v>
      </c>
      <c r="E1255">
        <f>IF(WEEKNUM(Combined[[#This Row],[Date]], 1) = 53, 1, WEEKNUM(Combined[[#This Row],[Date]], 2))</f>
        <v>22</v>
      </c>
      <c r="F1255" t="str">
        <f t="shared" si="314"/>
        <v>Thursday</v>
      </c>
      <c r="G1255" s="41">
        <v>45442</v>
      </c>
      <c r="H1255">
        <v>4</v>
      </c>
      <c r="I1255" s="1">
        <f>42.09+19.07+15.46+8.59</f>
        <v>85.210000000000008</v>
      </c>
      <c r="J1255" s="2">
        <f>TIME(,29,)+TIME(,20,)+TIME(,18,)+TIME(,26,)</f>
        <v>6.4583333333333326E-2</v>
      </c>
      <c r="K1255" s="12">
        <f>Combined[[#This Row],[Time Spent]]*24</f>
        <v>1.5499999999999998</v>
      </c>
      <c r="L1255" s="12">
        <f>MROUND(Combined[[#This Row],[Time Spent 2]],0.25)</f>
        <v>1.5</v>
      </c>
      <c r="M1255" s="2" t="s">
        <v>91</v>
      </c>
      <c r="N1255" t="s">
        <v>80</v>
      </c>
      <c r="O1255">
        <f>MATCH(Combined[[#This Row],[Primary Area]],KPIs!$C$4:$C$7,0)</f>
        <v>2</v>
      </c>
      <c r="R1255" s="40"/>
      <c r="V1255" s="4"/>
      <c r="X1255"/>
    </row>
    <row r="1256" spans="2:24" x14ac:dyDescent="0.35">
      <c r="B1256">
        <f t="shared" si="310"/>
        <v>1254</v>
      </c>
      <c r="C1256" t="s">
        <v>86</v>
      </c>
      <c r="D1256" t="s">
        <v>176</v>
      </c>
      <c r="E1256">
        <f>IF(WEEKNUM(Combined[[#This Row],[Date]], 1) = 53, 1, WEEKNUM(Combined[[#This Row],[Date]], 2))</f>
        <v>22</v>
      </c>
      <c r="F1256" t="str">
        <f t="shared" si="314"/>
        <v>Thursday</v>
      </c>
      <c r="G1256" s="41">
        <v>45442</v>
      </c>
      <c r="H1256">
        <v>4</v>
      </c>
      <c r="I1256" s="1">
        <v>46.89</v>
      </c>
      <c r="J1256" s="2">
        <v>8.0555555555555561E-2</v>
      </c>
      <c r="K1256" s="12">
        <f>Combined[[#This Row],[Time Spent]]*24</f>
        <v>1.9333333333333336</v>
      </c>
      <c r="L1256" s="12">
        <f>MROUND(Combined[[#This Row],[Time Spent 2]],0.25)</f>
        <v>2</v>
      </c>
      <c r="M1256" s="2" t="s">
        <v>91</v>
      </c>
      <c r="N1256" t="s">
        <v>80</v>
      </c>
      <c r="O1256">
        <f>MATCH(Combined[[#This Row],[Primary Area]],KPIs!$C$4:$C$7,0)</f>
        <v>2</v>
      </c>
      <c r="R1256" s="40"/>
      <c r="V1256" s="4"/>
      <c r="X1256"/>
    </row>
    <row r="1257" spans="2:24" x14ac:dyDescent="0.35">
      <c r="B1257">
        <f t="shared" si="310"/>
        <v>1255</v>
      </c>
      <c r="C1257" t="s">
        <v>86</v>
      </c>
      <c r="D1257" t="s">
        <v>176</v>
      </c>
      <c r="E1257">
        <f>IF(WEEKNUM(Combined[[#This Row],[Date]], 1) = 53, 1, WEEKNUM(Combined[[#This Row],[Date]], 2))</f>
        <v>22</v>
      </c>
      <c r="F1257" t="str">
        <f t="shared" si="314"/>
        <v>Thursday</v>
      </c>
      <c r="G1257" s="41">
        <v>45442</v>
      </c>
      <c r="H1257">
        <v>1</v>
      </c>
      <c r="I1257" s="1">
        <v>8.25</v>
      </c>
      <c r="J1257" s="2">
        <v>4.1666666666666664E-2</v>
      </c>
      <c r="K1257" s="12">
        <f>Combined[[#This Row],[Time Spent]]*24</f>
        <v>1</v>
      </c>
      <c r="L1257" s="12">
        <f>MROUND(Combined[[#This Row],[Time Spent 2]],0.25)</f>
        <v>1</v>
      </c>
      <c r="M1257" s="2" t="s">
        <v>91</v>
      </c>
      <c r="N1257" t="s">
        <v>80</v>
      </c>
      <c r="O1257">
        <f>MATCH(Combined[[#This Row],[Primary Area]],KPIs!$C$4:$C$7,0)</f>
        <v>2</v>
      </c>
      <c r="R1257" s="40"/>
      <c r="V1257" s="4"/>
      <c r="X1257"/>
    </row>
    <row r="1258" spans="2:24" x14ac:dyDescent="0.35">
      <c r="B1258">
        <f t="shared" si="310"/>
        <v>1256</v>
      </c>
      <c r="C1258" t="s">
        <v>86</v>
      </c>
      <c r="D1258" t="s">
        <v>176</v>
      </c>
      <c r="E1258">
        <f>IF(WEEKNUM(Combined[[#This Row],[Date]], 1) = 53, 1, WEEKNUM(Combined[[#This Row],[Date]], 2))</f>
        <v>22</v>
      </c>
      <c r="F1258" t="str">
        <f t="shared" si="314"/>
        <v>Thursday</v>
      </c>
      <c r="G1258" s="41">
        <v>45442</v>
      </c>
      <c r="H1258">
        <v>2</v>
      </c>
      <c r="I1258" s="1">
        <v>15.58</v>
      </c>
      <c r="J1258" s="2">
        <v>4.5138888888888888E-2</v>
      </c>
      <c r="K1258" s="12">
        <f>Combined[[#This Row],[Time Spent]]*24</f>
        <v>1.0833333333333333</v>
      </c>
      <c r="L1258" s="12">
        <f>MROUND(Combined[[#This Row],[Time Spent 2]],0.25)</f>
        <v>1</v>
      </c>
      <c r="M1258" s="2" t="s">
        <v>92</v>
      </c>
      <c r="N1258" t="s">
        <v>80</v>
      </c>
      <c r="O1258">
        <f>MATCH(Combined[[#This Row],[Primary Area]],KPIs!$C$4:$C$7,0)</f>
        <v>2</v>
      </c>
      <c r="R1258" s="40"/>
      <c r="V1258" s="4"/>
      <c r="X1258"/>
    </row>
    <row r="1259" spans="2:24" x14ac:dyDescent="0.35">
      <c r="B1259">
        <f t="shared" si="310"/>
        <v>1257</v>
      </c>
      <c r="C1259" t="s">
        <v>83</v>
      </c>
      <c r="D1259" t="s">
        <v>176</v>
      </c>
      <c r="E1259">
        <f>IF(WEEKNUM(Combined[[#This Row],[Date]], 1) = 53, 1, WEEKNUM(Combined[[#This Row],[Date]], 2))</f>
        <v>22</v>
      </c>
      <c r="F1259" t="str">
        <f t="shared" ref="F1259:F1262" si="315">TEXT(WEEKDAY(G1259,1),"DDDD")</f>
        <v>Friday</v>
      </c>
      <c r="G1259" s="41">
        <v>45443</v>
      </c>
      <c r="H1259">
        <v>5</v>
      </c>
      <c r="I1259" s="1">
        <f>7.6+12.01+5.01+6.93+12.08</f>
        <v>43.629999999999995</v>
      </c>
      <c r="J1259" s="2">
        <f>TIME(,15,)+TIME(,33,)+TIME(,28,)+TIME(,13,)+TIME(,30,)</f>
        <v>8.2638888888888887E-2</v>
      </c>
      <c r="K1259" s="12">
        <f>Combined[[#This Row],[Time Spent]]*24</f>
        <v>1.9833333333333334</v>
      </c>
      <c r="L1259" s="12">
        <f>MROUND(Combined[[#This Row],[Time Spent 2]],0.25)</f>
        <v>2</v>
      </c>
      <c r="M1259" s="2" t="s">
        <v>91</v>
      </c>
      <c r="N1259" t="s">
        <v>80</v>
      </c>
      <c r="O1259">
        <f>MATCH(Combined[[#This Row],[Primary Area]],KPIs!$C$4:$C$7,0)</f>
        <v>2</v>
      </c>
      <c r="R1259" s="40"/>
      <c r="V1259" s="4"/>
      <c r="X1259"/>
    </row>
    <row r="1260" spans="2:24" x14ac:dyDescent="0.35">
      <c r="B1260">
        <f t="shared" si="310"/>
        <v>1258</v>
      </c>
      <c r="C1260" t="s">
        <v>86</v>
      </c>
      <c r="D1260" t="s">
        <v>176</v>
      </c>
      <c r="E1260">
        <f>IF(WEEKNUM(Combined[[#This Row],[Date]], 1) = 53, 1, WEEKNUM(Combined[[#This Row],[Date]], 2))</f>
        <v>22</v>
      </c>
      <c r="F1260" t="str">
        <f t="shared" si="315"/>
        <v>Friday</v>
      </c>
      <c r="G1260" s="41">
        <v>45443</v>
      </c>
      <c r="H1260">
        <v>7</v>
      </c>
      <c r="I1260" s="1">
        <v>79.5</v>
      </c>
      <c r="J1260" s="2">
        <v>0.17152777777777778</v>
      </c>
      <c r="K1260" s="12">
        <f>Combined[[#This Row],[Time Spent]]*24</f>
        <v>4.1166666666666671</v>
      </c>
      <c r="L1260" s="12">
        <f>MROUND(Combined[[#This Row],[Time Spent 2]],0.25)</f>
        <v>4</v>
      </c>
      <c r="M1260" s="2" t="s">
        <v>91</v>
      </c>
      <c r="N1260" t="s">
        <v>80</v>
      </c>
      <c r="O1260">
        <f>MATCH(Combined[[#This Row],[Primary Area]],KPIs!$C$4:$C$7,0)</f>
        <v>2</v>
      </c>
      <c r="R1260" s="40"/>
      <c r="V1260" s="4"/>
      <c r="X1260"/>
    </row>
    <row r="1261" spans="2:24" x14ac:dyDescent="0.35">
      <c r="B1261">
        <f t="shared" si="310"/>
        <v>1259</v>
      </c>
      <c r="C1261" t="s">
        <v>86</v>
      </c>
      <c r="D1261" t="s">
        <v>176</v>
      </c>
      <c r="E1261">
        <f>IF(WEEKNUM(Combined[[#This Row],[Date]], 1) = 53, 1, WEEKNUM(Combined[[#This Row],[Date]], 2))</f>
        <v>22</v>
      </c>
      <c r="F1261" t="str">
        <f t="shared" si="315"/>
        <v>Friday</v>
      </c>
      <c r="G1261" s="41">
        <v>45443</v>
      </c>
      <c r="H1261">
        <v>1</v>
      </c>
      <c r="I1261" s="1">
        <v>8</v>
      </c>
      <c r="J1261" s="2">
        <v>1.3194444444444444E-2</v>
      </c>
      <c r="K1261" s="12">
        <f>Combined[[#This Row],[Time Spent]]*24</f>
        <v>0.31666666666666665</v>
      </c>
      <c r="L1261" s="12">
        <f>MROUND(Combined[[#This Row],[Time Spent 2]],0.25)</f>
        <v>0.25</v>
      </c>
      <c r="M1261" s="2" t="s">
        <v>92</v>
      </c>
      <c r="N1261" t="s">
        <v>80</v>
      </c>
      <c r="O1261">
        <f>MATCH(Combined[[#This Row],[Primary Area]],KPIs!$C$4:$C$7,0)</f>
        <v>2</v>
      </c>
      <c r="R1261" s="40"/>
      <c r="V1261" s="4"/>
      <c r="X1261"/>
    </row>
    <row r="1262" spans="2:24" x14ac:dyDescent="0.35">
      <c r="B1262">
        <f t="shared" si="310"/>
        <v>1260</v>
      </c>
      <c r="C1262" t="s">
        <v>83</v>
      </c>
      <c r="D1262" t="s">
        <v>176</v>
      </c>
      <c r="E1262">
        <f>IF(WEEKNUM(Combined[[#This Row],[Date]], 1) = 53, 1, WEEKNUM(Combined[[#This Row],[Date]], 2))</f>
        <v>22</v>
      </c>
      <c r="F1262" t="str">
        <f t="shared" si="315"/>
        <v>Saturday</v>
      </c>
      <c r="G1262" s="41">
        <v>45444</v>
      </c>
      <c r="H1262">
        <v>5</v>
      </c>
      <c r="I1262" s="1">
        <f>9.48+56.48+5.02+26+18.24</f>
        <v>115.21999999999998</v>
      </c>
      <c r="J1262" s="2">
        <f>TIME(,25,)+TIME(,43,)+TIME(,17,)+TIME(,41,)+TIME(,34,)</f>
        <v>0.1111111111111111</v>
      </c>
      <c r="K1262" s="12">
        <f>Combined[[#This Row],[Time Spent]]*24</f>
        <v>2.6666666666666665</v>
      </c>
      <c r="L1262" s="12">
        <f>MROUND(Combined[[#This Row],[Time Spent 2]],0.25)</f>
        <v>2.75</v>
      </c>
      <c r="M1262" s="2" t="s">
        <v>91</v>
      </c>
      <c r="N1262" t="s">
        <v>85</v>
      </c>
      <c r="O1262">
        <f>MATCH(Combined[[#This Row],[Primary Area]],KPIs!$C$4:$C$7,0)</f>
        <v>4</v>
      </c>
      <c r="R1262" s="40"/>
      <c r="V1262" s="4"/>
      <c r="X1262"/>
    </row>
    <row r="1263" spans="2:24" x14ac:dyDescent="0.35">
      <c r="B1263">
        <f t="shared" si="310"/>
        <v>1261</v>
      </c>
      <c r="C1263" t="s">
        <v>86</v>
      </c>
      <c r="D1263" t="s">
        <v>175</v>
      </c>
      <c r="E1263">
        <f>IF(WEEKNUM(Combined[[#This Row],[Date]], 1) = 53, 1, WEEKNUM(Combined[[#This Row],[Date]], 2))</f>
        <v>22</v>
      </c>
      <c r="F1263" t="str">
        <f t="shared" ref="F1263:F1265" si="316">TEXT(WEEKDAY(G1263,1),"DDDD")</f>
        <v>Saturday</v>
      </c>
      <c r="G1263" s="41">
        <v>45444</v>
      </c>
      <c r="H1263">
        <v>3</v>
      </c>
      <c r="I1263" s="1">
        <v>37.5</v>
      </c>
      <c r="J1263" s="2">
        <v>7.8472222222222221E-2</v>
      </c>
      <c r="K1263" s="12">
        <f>Combined[[#This Row],[Time Spent]]*24</f>
        <v>1.8833333333333333</v>
      </c>
      <c r="L1263" s="12">
        <f>MROUND(Combined[[#This Row],[Time Spent 2]],0.25)</f>
        <v>2</v>
      </c>
      <c r="M1263" s="2" t="s">
        <v>91</v>
      </c>
      <c r="N1263" t="s">
        <v>85</v>
      </c>
      <c r="O1263">
        <f>MATCH(Combined[[#This Row],[Primary Area]],KPIs!$C$4:$C$7,0)</f>
        <v>4</v>
      </c>
      <c r="R1263" s="40"/>
      <c r="V1263" s="4"/>
      <c r="X1263"/>
    </row>
    <row r="1264" spans="2:24" x14ac:dyDescent="0.35">
      <c r="B1264">
        <f t="shared" si="310"/>
        <v>1262</v>
      </c>
      <c r="C1264" t="s">
        <v>86</v>
      </c>
      <c r="D1264" t="s">
        <v>176</v>
      </c>
      <c r="E1264">
        <f>IF(WEEKNUM(Combined[[#This Row],[Date]], 1) = 53, 1, WEEKNUM(Combined[[#This Row],[Date]], 2))</f>
        <v>22</v>
      </c>
      <c r="F1264" t="str">
        <f t="shared" si="316"/>
        <v>Sunday</v>
      </c>
      <c r="G1264" s="41">
        <v>45445</v>
      </c>
      <c r="H1264">
        <v>10</v>
      </c>
      <c r="I1264" s="1">
        <v>80.06</v>
      </c>
      <c r="J1264" s="2">
        <v>0.17916666666666667</v>
      </c>
      <c r="K1264" s="12">
        <f>Combined[[#This Row],[Time Spent]]*24</f>
        <v>4.3</v>
      </c>
      <c r="L1264" s="12">
        <f>MROUND(Combined[[#This Row],[Time Spent 2]],0.25)</f>
        <v>4.25</v>
      </c>
      <c r="M1264" s="2" t="s">
        <v>91</v>
      </c>
      <c r="N1264" t="s">
        <v>82</v>
      </c>
      <c r="O1264">
        <f>MATCH(Combined[[#This Row],[Primary Area]],KPIs!$C$4:$C$7,0)</f>
        <v>3</v>
      </c>
      <c r="R1264" s="40"/>
      <c r="V1264" s="4"/>
      <c r="X1264"/>
    </row>
    <row r="1265" spans="2:24" x14ac:dyDescent="0.35">
      <c r="B1265">
        <f t="shared" si="310"/>
        <v>1263</v>
      </c>
      <c r="C1265" t="s">
        <v>86</v>
      </c>
      <c r="D1265" t="s">
        <v>176</v>
      </c>
      <c r="E1265">
        <f>IF(WEEKNUM(Combined[[#This Row],[Date]], 1) = 53, 1, WEEKNUM(Combined[[#This Row],[Date]], 2))</f>
        <v>22</v>
      </c>
      <c r="F1265" t="str">
        <f t="shared" si="316"/>
        <v>Sunday</v>
      </c>
      <c r="G1265" s="41">
        <v>45445</v>
      </c>
      <c r="H1265">
        <v>2</v>
      </c>
      <c r="I1265" s="1">
        <v>14.5</v>
      </c>
      <c r="J1265" s="2">
        <v>5.0694444444444445E-2</v>
      </c>
      <c r="K1265" s="12">
        <f>Combined[[#This Row],[Time Spent]]*24</f>
        <v>1.2166666666666668</v>
      </c>
      <c r="L1265" s="12">
        <f>MROUND(Combined[[#This Row],[Time Spent 2]],0.25)</f>
        <v>1.25</v>
      </c>
      <c r="M1265" s="2" t="s">
        <v>92</v>
      </c>
      <c r="N1265" t="s">
        <v>82</v>
      </c>
      <c r="O1265">
        <f>MATCH(Combined[[#This Row],[Primary Area]],KPIs!$C$4:$C$7,0)</f>
        <v>3</v>
      </c>
      <c r="R1265" s="40"/>
      <c r="V1265" s="4"/>
      <c r="X1265"/>
    </row>
    <row r="1266" spans="2:24" x14ac:dyDescent="0.35">
      <c r="B1266">
        <f t="shared" si="310"/>
        <v>1264</v>
      </c>
      <c r="C1266" t="s">
        <v>86</v>
      </c>
      <c r="D1266" t="s">
        <v>176</v>
      </c>
      <c r="E1266">
        <f>IF(WEEKNUM(Combined[[#This Row],[Date]], 1) = 53, 1, WEEKNUM(Combined[[#This Row],[Date]], 2))</f>
        <v>23</v>
      </c>
      <c r="F1266" t="str">
        <f t="shared" ref="F1266:F1279" si="317">TEXT(WEEKDAY(G1266,1),"DDDD")</f>
        <v>Monday</v>
      </c>
      <c r="G1266" s="41">
        <v>45446</v>
      </c>
      <c r="H1266">
        <v>10</v>
      </c>
      <c r="I1266" s="1">
        <v>96</v>
      </c>
      <c r="J1266" s="2">
        <v>0.21527777777777779</v>
      </c>
      <c r="K1266" s="12">
        <f>Combined[[#This Row],[Time Spent]]*24</f>
        <v>5.166666666666667</v>
      </c>
      <c r="L1266" s="12">
        <f>MROUND(Combined[[#This Row],[Time Spent 2]],0.25)</f>
        <v>5.25</v>
      </c>
      <c r="M1266" s="2" t="s">
        <v>91</v>
      </c>
      <c r="N1266" t="s">
        <v>80</v>
      </c>
      <c r="O1266">
        <f>MATCH(Combined[[#This Row],[Primary Area]],KPIs!$C$4:$C$7,0)</f>
        <v>2</v>
      </c>
      <c r="R1266" s="40"/>
      <c r="V1266" s="4"/>
      <c r="X1266"/>
    </row>
    <row r="1267" spans="2:24" x14ac:dyDescent="0.35">
      <c r="B1267">
        <f t="shared" si="310"/>
        <v>1265</v>
      </c>
      <c r="C1267" t="s">
        <v>83</v>
      </c>
      <c r="D1267" t="s">
        <v>176</v>
      </c>
      <c r="E1267">
        <f>IF(WEEKNUM(Combined[[#This Row],[Date]], 1) = 53, 1, WEEKNUM(Combined[[#This Row],[Date]], 2))</f>
        <v>23</v>
      </c>
      <c r="F1267" t="str">
        <f t="shared" si="317"/>
        <v>Tuesday</v>
      </c>
      <c r="G1267" s="41">
        <v>45447</v>
      </c>
      <c r="H1267">
        <v>6</v>
      </c>
      <c r="I1267" s="1">
        <v>81.44</v>
      </c>
      <c r="J1267" s="2">
        <v>0.19236111111111112</v>
      </c>
      <c r="K1267" s="12">
        <f>Combined[[#This Row],[Time Spent]]*24</f>
        <v>4.6166666666666671</v>
      </c>
      <c r="L1267" s="12">
        <f>MROUND(Combined[[#This Row],[Time Spent 2]],0.25)</f>
        <v>4.5</v>
      </c>
      <c r="M1267" s="2" t="s">
        <v>91</v>
      </c>
      <c r="N1267" t="s">
        <v>80</v>
      </c>
      <c r="O1267">
        <f>MATCH(Combined[[#This Row],[Primary Area]],KPIs!$C$4:$C$7,0)</f>
        <v>2</v>
      </c>
      <c r="R1267" s="40"/>
      <c r="V1267" s="4"/>
      <c r="X1267"/>
    </row>
    <row r="1268" spans="2:24" x14ac:dyDescent="0.35">
      <c r="B1268">
        <f t="shared" si="310"/>
        <v>1266</v>
      </c>
      <c r="C1268" t="s">
        <v>86</v>
      </c>
      <c r="D1268" t="s">
        <v>176</v>
      </c>
      <c r="E1268">
        <f>IF(WEEKNUM(Combined[[#This Row],[Date]], 1) = 53, 1, WEEKNUM(Combined[[#This Row],[Date]], 2))</f>
        <v>23</v>
      </c>
      <c r="F1268" t="str">
        <f t="shared" si="317"/>
        <v>Tuesday</v>
      </c>
      <c r="G1268" s="41">
        <v>45447</v>
      </c>
      <c r="H1268">
        <v>4</v>
      </c>
      <c r="I1268" s="1">
        <v>23.1</v>
      </c>
      <c r="J1268" s="2">
        <v>0.1111111111111111</v>
      </c>
      <c r="K1268" s="12">
        <f>Combined[[#This Row],[Time Spent]]*24</f>
        <v>2.6666666666666665</v>
      </c>
      <c r="L1268" s="12">
        <f>MROUND(Combined[[#This Row],[Time Spent 2]],0.25)</f>
        <v>2.75</v>
      </c>
      <c r="M1268" s="2" t="s">
        <v>91</v>
      </c>
      <c r="N1268" t="s">
        <v>80</v>
      </c>
      <c r="O1268">
        <f>MATCH(Combined[[#This Row],[Primary Area]],KPIs!$C$4:$C$7,0)</f>
        <v>2</v>
      </c>
      <c r="R1268" s="40"/>
      <c r="V1268" s="4"/>
      <c r="X1268"/>
    </row>
    <row r="1269" spans="2:24" x14ac:dyDescent="0.35">
      <c r="B1269">
        <f t="shared" si="310"/>
        <v>1267</v>
      </c>
      <c r="C1269" t="s">
        <v>83</v>
      </c>
      <c r="D1269" t="s">
        <v>176</v>
      </c>
      <c r="E1269">
        <f>IF(WEEKNUM(Combined[[#This Row],[Date]], 1) = 53, 1, WEEKNUM(Combined[[#This Row],[Date]], 2))</f>
        <v>23</v>
      </c>
      <c r="F1269" t="str">
        <f t="shared" si="317"/>
        <v>Wednesday</v>
      </c>
      <c r="G1269" s="41">
        <v>45448</v>
      </c>
      <c r="H1269">
        <v>11</v>
      </c>
      <c r="I1269" s="1">
        <v>97.84</v>
      </c>
      <c r="J1269" s="2">
        <v>0.21736111111111112</v>
      </c>
      <c r="K1269" s="12">
        <f>Combined[[#This Row],[Time Spent]]*24</f>
        <v>5.2166666666666668</v>
      </c>
      <c r="L1269" s="12">
        <f>MROUND(Combined[[#This Row],[Time Spent 2]],0.25)</f>
        <v>5.25</v>
      </c>
      <c r="M1269" s="2" t="s">
        <v>91</v>
      </c>
      <c r="N1269" t="s">
        <v>85</v>
      </c>
      <c r="O1269">
        <f>MATCH(Combined[[#This Row],[Primary Area]],KPIs!$C$4:$C$7,0)</f>
        <v>4</v>
      </c>
      <c r="R1269" s="40"/>
      <c r="V1269" s="4"/>
      <c r="X1269"/>
    </row>
    <row r="1270" spans="2:24" x14ac:dyDescent="0.35">
      <c r="B1270">
        <f t="shared" si="310"/>
        <v>1268</v>
      </c>
      <c r="C1270" t="s">
        <v>86</v>
      </c>
      <c r="D1270" t="s">
        <v>176</v>
      </c>
      <c r="E1270">
        <f>IF(WEEKNUM(Combined[[#This Row],[Date]], 1) = 53, 1, WEEKNUM(Combined[[#This Row],[Date]], 2))</f>
        <v>23</v>
      </c>
      <c r="F1270" t="str">
        <f t="shared" si="317"/>
        <v>Wednesday</v>
      </c>
      <c r="G1270" s="41">
        <v>45448</v>
      </c>
      <c r="H1270">
        <v>1</v>
      </c>
      <c r="I1270" s="1">
        <v>6.75</v>
      </c>
      <c r="J1270" s="2">
        <v>3.8194444444444448E-2</v>
      </c>
      <c r="K1270" s="12">
        <f>Combined[[#This Row],[Time Spent]]*24</f>
        <v>0.91666666666666674</v>
      </c>
      <c r="L1270" s="12">
        <f>MROUND(Combined[[#This Row],[Time Spent 2]],0.25)</f>
        <v>1</v>
      </c>
      <c r="M1270" s="2" t="s">
        <v>91</v>
      </c>
      <c r="N1270" t="s">
        <v>85</v>
      </c>
      <c r="O1270">
        <f>MATCH(Combined[[#This Row],[Primary Area]],KPIs!$C$4:$C$7,0)</f>
        <v>4</v>
      </c>
      <c r="R1270" s="40"/>
      <c r="V1270" s="4"/>
      <c r="X1270"/>
    </row>
    <row r="1271" spans="2:24" x14ac:dyDescent="0.35">
      <c r="B1271">
        <f t="shared" si="310"/>
        <v>1269</v>
      </c>
      <c r="C1271" t="s">
        <v>86</v>
      </c>
      <c r="D1271" t="s">
        <v>176</v>
      </c>
      <c r="E1271">
        <f>IF(WEEKNUM(Combined[[#This Row],[Date]], 1) = 53, 1, WEEKNUM(Combined[[#This Row],[Date]], 2))</f>
        <v>23</v>
      </c>
      <c r="F1271" t="str">
        <f t="shared" si="317"/>
        <v>Wednesday</v>
      </c>
      <c r="G1271" s="41">
        <v>45448</v>
      </c>
      <c r="H1271">
        <v>1</v>
      </c>
      <c r="I1271" s="1">
        <v>8.5</v>
      </c>
      <c r="J1271" s="2">
        <v>3.9583333333333331E-2</v>
      </c>
      <c r="K1271" s="12">
        <f>Combined[[#This Row],[Time Spent]]*24</f>
        <v>0.95</v>
      </c>
      <c r="L1271" s="12">
        <f>MROUND(Combined[[#This Row],[Time Spent 2]],0.25)</f>
        <v>1</v>
      </c>
      <c r="M1271" s="2" t="s">
        <v>91</v>
      </c>
      <c r="N1271" t="s">
        <v>85</v>
      </c>
      <c r="O1271">
        <f>MATCH(Combined[[#This Row],[Primary Area]],KPIs!$C$4:$C$7,0)</f>
        <v>4</v>
      </c>
      <c r="R1271" s="40"/>
      <c r="V1271" s="4"/>
      <c r="X1271"/>
    </row>
    <row r="1272" spans="2:24" x14ac:dyDescent="0.35">
      <c r="B1272">
        <f t="shared" si="310"/>
        <v>1270</v>
      </c>
      <c r="C1272" t="s">
        <v>83</v>
      </c>
      <c r="D1272" t="s">
        <v>176</v>
      </c>
      <c r="E1272">
        <f>IF(WEEKNUM(Combined[[#This Row],[Date]], 1) = 53, 1, WEEKNUM(Combined[[#This Row],[Date]], 2))</f>
        <v>23</v>
      </c>
      <c r="F1272" t="str">
        <f t="shared" si="317"/>
        <v>Thursday</v>
      </c>
      <c r="G1272" s="41">
        <v>45449</v>
      </c>
      <c r="H1272">
        <v>10</v>
      </c>
      <c r="I1272" s="1">
        <v>139.02000000000001</v>
      </c>
      <c r="J1272" s="2">
        <v>0.25624999999999998</v>
      </c>
      <c r="K1272" s="12">
        <f>Combined[[#This Row],[Time Spent]]*24</f>
        <v>6.1499999999999995</v>
      </c>
      <c r="L1272" s="12">
        <f>MROUND(Combined[[#This Row],[Time Spent 2]],0.25)</f>
        <v>6.25</v>
      </c>
      <c r="M1272" s="2" t="s">
        <v>91</v>
      </c>
      <c r="N1272" t="s">
        <v>85</v>
      </c>
      <c r="O1272">
        <f>MATCH(Combined[[#This Row],[Primary Area]],KPIs!$C$4:$C$7,0)</f>
        <v>4</v>
      </c>
      <c r="R1272" s="40"/>
      <c r="V1272" s="4"/>
      <c r="X1272"/>
    </row>
    <row r="1273" spans="2:24" x14ac:dyDescent="0.35">
      <c r="B1273">
        <f t="shared" si="310"/>
        <v>1271</v>
      </c>
      <c r="C1273" t="s">
        <v>83</v>
      </c>
      <c r="D1273" t="s">
        <v>176</v>
      </c>
      <c r="E1273">
        <f>IF(WEEKNUM(Combined[[#This Row],[Date]], 1) = 53, 1, WEEKNUM(Combined[[#This Row],[Date]], 2))</f>
        <v>23</v>
      </c>
      <c r="F1273" t="str">
        <f t="shared" si="317"/>
        <v>Friday</v>
      </c>
      <c r="G1273" s="41">
        <v>45450</v>
      </c>
      <c r="H1273">
        <v>6</v>
      </c>
      <c r="I1273" s="1">
        <v>78.06</v>
      </c>
      <c r="J1273" s="2">
        <v>0.14930555555555555</v>
      </c>
      <c r="K1273" s="12">
        <f>Combined[[#This Row],[Time Spent]]*24</f>
        <v>3.583333333333333</v>
      </c>
      <c r="L1273" s="12">
        <f>MROUND(Combined[[#This Row],[Time Spent 2]],0.25)</f>
        <v>3.5</v>
      </c>
      <c r="M1273" s="2" t="s">
        <v>91</v>
      </c>
      <c r="N1273" t="s">
        <v>80</v>
      </c>
      <c r="O1273">
        <f>MATCH(Combined[[#This Row],[Primary Area]],KPIs!$C$4:$C$7,0)</f>
        <v>2</v>
      </c>
      <c r="R1273" s="40"/>
      <c r="V1273" s="4"/>
      <c r="X1273"/>
    </row>
    <row r="1274" spans="2:24" x14ac:dyDescent="0.35">
      <c r="B1274">
        <f t="shared" si="310"/>
        <v>1272</v>
      </c>
      <c r="C1274" t="s">
        <v>86</v>
      </c>
      <c r="D1274" t="s">
        <v>176</v>
      </c>
      <c r="E1274">
        <f>IF(WEEKNUM(Combined[[#This Row],[Date]], 1) = 53, 1, WEEKNUM(Combined[[#This Row],[Date]], 2))</f>
        <v>23</v>
      </c>
      <c r="F1274" t="str">
        <f t="shared" si="317"/>
        <v>Friday</v>
      </c>
      <c r="G1274" s="41">
        <v>45450</v>
      </c>
      <c r="H1274">
        <v>7</v>
      </c>
      <c r="I1274" s="1">
        <v>65.5</v>
      </c>
      <c r="J1274" s="2">
        <v>0.1361111111111111</v>
      </c>
      <c r="K1274" s="12">
        <f>Combined[[#This Row],[Time Spent]]*24</f>
        <v>3.2666666666666666</v>
      </c>
      <c r="L1274" s="12">
        <f>MROUND(Combined[[#This Row],[Time Spent 2]],0.25)</f>
        <v>3.25</v>
      </c>
      <c r="M1274" s="2" t="s">
        <v>91</v>
      </c>
      <c r="N1274" t="s">
        <v>80</v>
      </c>
      <c r="O1274">
        <f>MATCH(Combined[[#This Row],[Primary Area]],KPIs!$C$4:$C$7,0)</f>
        <v>2</v>
      </c>
      <c r="R1274" s="40"/>
      <c r="V1274" s="4"/>
      <c r="X1274"/>
    </row>
    <row r="1275" spans="2:24" x14ac:dyDescent="0.35">
      <c r="B1275">
        <f t="shared" si="310"/>
        <v>1273</v>
      </c>
      <c r="C1275" t="s">
        <v>83</v>
      </c>
      <c r="D1275" t="s">
        <v>176</v>
      </c>
      <c r="E1275">
        <f>IF(WEEKNUM(Combined[[#This Row],[Date]], 1) = 53, 1, WEEKNUM(Combined[[#This Row],[Date]], 2))</f>
        <v>23</v>
      </c>
      <c r="F1275" t="str">
        <f t="shared" si="317"/>
        <v>Saturday</v>
      </c>
      <c r="G1275" s="41">
        <v>45451</v>
      </c>
      <c r="H1275">
        <v>2</v>
      </c>
      <c r="I1275" s="1">
        <v>24.52</v>
      </c>
      <c r="J1275" s="2">
        <v>0.12916666666666668</v>
      </c>
      <c r="K1275" s="12">
        <f>Combined[[#This Row],[Time Spent]]*24</f>
        <v>3.1000000000000005</v>
      </c>
      <c r="L1275" s="12">
        <f>MROUND(Combined[[#This Row],[Time Spent 2]],0.25)</f>
        <v>3</v>
      </c>
      <c r="M1275" s="2" t="s">
        <v>91</v>
      </c>
      <c r="N1275" t="s">
        <v>80</v>
      </c>
      <c r="O1275">
        <f>MATCH(Combined[[#This Row],[Primary Area]],KPIs!$C$4:$C$7,0)</f>
        <v>2</v>
      </c>
      <c r="R1275" s="40"/>
      <c r="V1275" s="4"/>
      <c r="X1275"/>
    </row>
    <row r="1276" spans="2:24" x14ac:dyDescent="0.35">
      <c r="B1276">
        <f t="shared" si="310"/>
        <v>1274</v>
      </c>
      <c r="C1276" t="s">
        <v>86</v>
      </c>
      <c r="D1276" t="s">
        <v>175</v>
      </c>
      <c r="E1276">
        <f>IF(WEEKNUM(Combined[[#This Row],[Date]], 1) = 53, 1, WEEKNUM(Combined[[#This Row],[Date]], 2))</f>
        <v>23</v>
      </c>
      <c r="F1276" t="str">
        <f t="shared" si="317"/>
        <v>Saturday</v>
      </c>
      <c r="G1276" s="41">
        <v>45451</v>
      </c>
      <c r="H1276">
        <v>8</v>
      </c>
      <c r="I1276" s="1">
        <v>63.28</v>
      </c>
      <c r="J1276" s="2">
        <v>0.15416666666666667</v>
      </c>
      <c r="K1276" s="12">
        <f>Combined[[#This Row],[Time Spent]]*24</f>
        <v>3.7</v>
      </c>
      <c r="L1276" s="12">
        <f>MROUND(Combined[[#This Row],[Time Spent 2]],0.25)</f>
        <v>3.75</v>
      </c>
      <c r="M1276" s="2" t="s">
        <v>91</v>
      </c>
      <c r="N1276" t="s">
        <v>80</v>
      </c>
      <c r="O1276">
        <f>MATCH(Combined[[#This Row],[Primary Area]],KPIs!$C$4:$C$7,0)</f>
        <v>2</v>
      </c>
      <c r="R1276" s="40"/>
      <c r="V1276" s="4"/>
      <c r="X1276"/>
    </row>
    <row r="1277" spans="2:24" x14ac:dyDescent="0.35">
      <c r="B1277">
        <f t="shared" si="310"/>
        <v>1275</v>
      </c>
      <c r="C1277" t="s">
        <v>86</v>
      </c>
      <c r="D1277" t="s">
        <v>175</v>
      </c>
      <c r="E1277">
        <f>IF(WEEKNUM(Combined[[#This Row],[Date]], 1) = 53, 1, WEEKNUM(Combined[[#This Row],[Date]], 2))</f>
        <v>23</v>
      </c>
      <c r="F1277" t="str">
        <f t="shared" si="317"/>
        <v>Saturday</v>
      </c>
      <c r="G1277" s="41">
        <v>45451</v>
      </c>
      <c r="H1277">
        <v>6</v>
      </c>
      <c r="I1277" s="1">
        <v>41.71</v>
      </c>
      <c r="J1277" s="2">
        <v>8.9583333333333334E-2</v>
      </c>
      <c r="K1277" s="12">
        <f>Combined[[#This Row],[Time Spent]]*24</f>
        <v>2.15</v>
      </c>
      <c r="L1277" s="12">
        <f>MROUND(Combined[[#This Row],[Time Spent 2]],0.25)</f>
        <v>2.25</v>
      </c>
      <c r="M1277" s="2" t="s">
        <v>91</v>
      </c>
      <c r="N1277" t="s">
        <v>80</v>
      </c>
      <c r="O1277">
        <f>MATCH(Combined[[#This Row],[Primary Area]],KPIs!$C$4:$C$7,0)</f>
        <v>2</v>
      </c>
      <c r="R1277" s="40"/>
      <c r="V1277" s="4"/>
      <c r="X1277"/>
    </row>
    <row r="1278" spans="2:24" x14ac:dyDescent="0.35">
      <c r="B1278">
        <f t="shared" si="310"/>
        <v>1276</v>
      </c>
      <c r="C1278" t="s">
        <v>86</v>
      </c>
      <c r="D1278" t="s">
        <v>175</v>
      </c>
      <c r="E1278">
        <f>IF(WEEKNUM(Combined[[#This Row],[Date]], 1) = 53, 1, WEEKNUM(Combined[[#This Row],[Date]], 2))</f>
        <v>23</v>
      </c>
      <c r="F1278" t="str">
        <f t="shared" si="317"/>
        <v>Saturday</v>
      </c>
      <c r="G1278" s="41">
        <v>45451</v>
      </c>
      <c r="H1278">
        <v>1</v>
      </c>
      <c r="I1278" s="1">
        <v>6.58</v>
      </c>
      <c r="J1278" s="2">
        <v>1.4583333333333334E-2</v>
      </c>
      <c r="K1278" s="12">
        <f>Combined[[#This Row],[Time Spent]]*24</f>
        <v>0.35</v>
      </c>
      <c r="L1278" s="12">
        <f>MROUND(Combined[[#This Row],[Time Spent 2]],0.25)</f>
        <v>0.25</v>
      </c>
      <c r="M1278" s="2" t="s">
        <v>92</v>
      </c>
      <c r="N1278" t="s">
        <v>80</v>
      </c>
      <c r="O1278">
        <f>MATCH(Combined[[#This Row],[Primary Area]],KPIs!$C$4:$C$7,0)</f>
        <v>2</v>
      </c>
      <c r="R1278" s="40"/>
      <c r="V1278" s="4"/>
      <c r="X1278"/>
    </row>
    <row r="1279" spans="2:24" x14ac:dyDescent="0.35">
      <c r="B1279">
        <f t="shared" si="310"/>
        <v>1277</v>
      </c>
      <c r="C1279" t="s">
        <v>83</v>
      </c>
      <c r="D1279" t="s">
        <v>176</v>
      </c>
      <c r="E1279">
        <f>IF(WEEKNUM(Combined[[#This Row],[Date]], 1) = 53, 1, WEEKNUM(Combined[[#This Row],[Date]], 2))</f>
        <v>23</v>
      </c>
      <c r="F1279" t="str">
        <f t="shared" si="317"/>
        <v>Sunday</v>
      </c>
      <c r="G1279" s="41">
        <v>45452</v>
      </c>
      <c r="H1279">
        <v>12</v>
      </c>
      <c r="I1279" s="1">
        <v>168.09</v>
      </c>
      <c r="J1279" s="2">
        <v>0.25347222222222221</v>
      </c>
      <c r="K1279" s="12">
        <f>Combined[[#This Row],[Time Spent]]*24</f>
        <v>6.083333333333333</v>
      </c>
      <c r="L1279" s="12">
        <f>MROUND(Combined[[#This Row],[Time Spent 2]],0.25)</f>
        <v>6</v>
      </c>
      <c r="M1279" s="2" t="s">
        <v>91</v>
      </c>
      <c r="N1279" t="s">
        <v>85</v>
      </c>
      <c r="O1279">
        <f>MATCH(Combined[[#This Row],[Primary Area]],KPIs!$C$4:$C$7,0)</f>
        <v>4</v>
      </c>
      <c r="R1279" s="40"/>
      <c r="V1279" s="4"/>
      <c r="X1279"/>
    </row>
    <row r="1280" spans="2:24" x14ac:dyDescent="0.35">
      <c r="B1280">
        <f t="shared" si="310"/>
        <v>1278</v>
      </c>
      <c r="C1280" t="s">
        <v>86</v>
      </c>
      <c r="D1280" t="s">
        <v>175</v>
      </c>
      <c r="E1280">
        <f>IF(WEEKNUM(Combined[[#This Row],[Date]], 1) = 53, 1, WEEKNUM(Combined[[#This Row],[Date]], 2))</f>
        <v>23</v>
      </c>
      <c r="F1280" t="str">
        <f t="shared" ref="F1280" si="318">TEXT(WEEKDAY(G1280,1),"DDDD")</f>
        <v>Sunday</v>
      </c>
      <c r="G1280" s="41">
        <v>45452</v>
      </c>
      <c r="H1280">
        <v>1</v>
      </c>
      <c r="I1280" s="1">
        <v>5.98</v>
      </c>
      <c r="J1280" s="2">
        <v>7.7083333333333337E-2</v>
      </c>
      <c r="K1280" s="12">
        <f>Combined[[#This Row],[Time Spent]]*24</f>
        <v>1.85</v>
      </c>
      <c r="L1280" s="12">
        <f>MROUND(Combined[[#This Row],[Time Spent 2]],0.25)</f>
        <v>1.75</v>
      </c>
      <c r="M1280" s="2" t="s">
        <v>91</v>
      </c>
      <c r="N1280" t="s">
        <v>85</v>
      </c>
      <c r="O1280">
        <f>MATCH(Combined[[#This Row],[Primary Area]],KPIs!$C$4:$C$7,0)</f>
        <v>4</v>
      </c>
      <c r="R1280" s="40"/>
      <c r="V1280" s="4"/>
      <c r="X1280"/>
    </row>
    <row r="1281" spans="2:24" x14ac:dyDescent="0.35">
      <c r="B1281">
        <f t="shared" si="310"/>
        <v>1279</v>
      </c>
      <c r="C1281" t="s">
        <v>83</v>
      </c>
      <c r="D1281" t="s">
        <v>176</v>
      </c>
      <c r="E1281">
        <f>IF(WEEKNUM(Combined[[#This Row],[Date]], 1) = 53, 1, WEEKNUM(Combined[[#This Row],[Date]], 2))</f>
        <v>24</v>
      </c>
      <c r="F1281" t="str">
        <f t="shared" ref="F1281:F1295" si="319">TEXT(WEEKDAY(G1281,1),"DDDD")</f>
        <v>Monday</v>
      </c>
      <c r="G1281" s="41">
        <v>45453</v>
      </c>
      <c r="H1281">
        <v>3</v>
      </c>
      <c r="I1281" s="1">
        <v>57.58</v>
      </c>
      <c r="J1281" s="2">
        <v>0.14097222222222222</v>
      </c>
      <c r="K1281" s="12">
        <f>Combined[[#This Row],[Time Spent]]*24</f>
        <v>3.3833333333333333</v>
      </c>
      <c r="L1281" s="12">
        <f>MROUND(Combined[[#This Row],[Time Spent 2]],0.25)</f>
        <v>3.5</v>
      </c>
      <c r="M1281" s="2" t="s">
        <v>91</v>
      </c>
      <c r="N1281" t="s">
        <v>85</v>
      </c>
      <c r="O1281">
        <f>MATCH(Combined[[#This Row],[Primary Area]],KPIs!$C$4:$C$7,0)</f>
        <v>4</v>
      </c>
      <c r="R1281" s="40"/>
      <c r="V1281" s="4"/>
      <c r="X1281"/>
    </row>
    <row r="1282" spans="2:24" x14ac:dyDescent="0.35">
      <c r="B1282">
        <f t="shared" si="310"/>
        <v>1280</v>
      </c>
      <c r="C1282" t="s">
        <v>86</v>
      </c>
      <c r="D1282" t="s">
        <v>176</v>
      </c>
      <c r="E1282">
        <f>IF(WEEKNUM(Combined[[#This Row],[Date]], 1) = 53, 1, WEEKNUM(Combined[[#This Row],[Date]], 2))</f>
        <v>24</v>
      </c>
      <c r="F1282" t="str">
        <f t="shared" si="319"/>
        <v>Monday</v>
      </c>
      <c r="G1282" s="41">
        <v>45453</v>
      </c>
      <c r="H1282">
        <v>1</v>
      </c>
      <c r="I1282" s="1">
        <v>26.94</v>
      </c>
      <c r="J1282" s="2">
        <v>7.2916666666666671E-2</v>
      </c>
      <c r="K1282" s="12">
        <f>Combined[[#This Row],[Time Spent]]*24</f>
        <v>1.75</v>
      </c>
      <c r="L1282" s="12">
        <f>MROUND(Combined[[#This Row],[Time Spent 2]],0.25)</f>
        <v>1.75</v>
      </c>
      <c r="M1282" s="2" t="s">
        <v>91</v>
      </c>
      <c r="N1282" t="s">
        <v>85</v>
      </c>
      <c r="O1282">
        <f>MATCH(Combined[[#This Row],[Primary Area]],KPIs!$C$4:$C$7,0)</f>
        <v>4</v>
      </c>
      <c r="R1282" s="40"/>
      <c r="V1282" s="4"/>
      <c r="X1282"/>
    </row>
    <row r="1283" spans="2:24" x14ac:dyDescent="0.35">
      <c r="B1283">
        <f t="shared" ref="B1283:B1334" si="320">ROW()-2</f>
        <v>1281</v>
      </c>
      <c r="C1283" t="s">
        <v>86</v>
      </c>
      <c r="D1283" t="s">
        <v>176</v>
      </c>
      <c r="E1283">
        <f>IF(WEEKNUM(Combined[[#This Row],[Date]], 1) = 53, 1, WEEKNUM(Combined[[#This Row],[Date]], 2))</f>
        <v>24</v>
      </c>
      <c r="F1283" t="str">
        <f t="shared" si="319"/>
        <v>Monday</v>
      </c>
      <c r="G1283" s="41">
        <v>45453</v>
      </c>
      <c r="H1283">
        <v>3</v>
      </c>
      <c r="I1283" s="1">
        <v>28.25</v>
      </c>
      <c r="J1283" s="2">
        <v>6.1111111111111109E-2</v>
      </c>
      <c r="K1283" s="12">
        <f>Combined[[#This Row],[Time Spent]]*24</f>
        <v>1.4666666666666666</v>
      </c>
      <c r="L1283" s="12">
        <f>MROUND(Combined[[#This Row],[Time Spent 2]],0.25)</f>
        <v>1.5</v>
      </c>
      <c r="M1283" s="2" t="s">
        <v>92</v>
      </c>
      <c r="N1283" t="s">
        <v>85</v>
      </c>
      <c r="O1283">
        <f>MATCH(Combined[[#This Row],[Primary Area]],KPIs!$C$4:$C$7,0)</f>
        <v>4</v>
      </c>
      <c r="R1283" s="40"/>
      <c r="V1283" s="4"/>
      <c r="X1283"/>
    </row>
    <row r="1284" spans="2:24" x14ac:dyDescent="0.35">
      <c r="B1284">
        <f t="shared" si="320"/>
        <v>1282</v>
      </c>
      <c r="C1284" t="s">
        <v>86</v>
      </c>
      <c r="D1284" t="s">
        <v>176</v>
      </c>
      <c r="E1284">
        <f>IF(WEEKNUM(Combined[[#This Row],[Date]], 1) = 53, 1, WEEKNUM(Combined[[#This Row],[Date]], 2))</f>
        <v>24</v>
      </c>
      <c r="F1284" t="str">
        <f t="shared" si="319"/>
        <v>Monday</v>
      </c>
      <c r="G1284" s="41">
        <v>45453</v>
      </c>
      <c r="H1284">
        <v>1</v>
      </c>
      <c r="I1284" s="1">
        <v>18</v>
      </c>
      <c r="J1284" s="2">
        <v>2.6388888888888889E-2</v>
      </c>
      <c r="K1284" s="12">
        <f>Combined[[#This Row],[Time Spent]]*24</f>
        <v>0.6333333333333333</v>
      </c>
      <c r="L1284" s="12">
        <f>MROUND(Combined[[#This Row],[Time Spent 2]],0.25)</f>
        <v>0.75</v>
      </c>
      <c r="M1284" s="2" t="s">
        <v>92</v>
      </c>
      <c r="N1284" t="s">
        <v>85</v>
      </c>
      <c r="O1284">
        <f>MATCH(Combined[[#This Row],[Primary Area]],KPIs!$C$4:$C$7,0)</f>
        <v>4</v>
      </c>
      <c r="R1284" s="40"/>
      <c r="V1284" s="4"/>
      <c r="X1284"/>
    </row>
    <row r="1285" spans="2:24" x14ac:dyDescent="0.35">
      <c r="B1285">
        <f t="shared" si="320"/>
        <v>1283</v>
      </c>
      <c r="C1285" t="s">
        <v>83</v>
      </c>
      <c r="D1285" t="s">
        <v>176</v>
      </c>
      <c r="E1285">
        <f>IF(WEEKNUM(Combined[[#This Row],[Date]], 1) = 53, 1, WEEKNUM(Combined[[#This Row],[Date]], 2))</f>
        <v>24</v>
      </c>
      <c r="F1285" t="str">
        <f t="shared" si="319"/>
        <v>Tuesday</v>
      </c>
      <c r="G1285" s="41">
        <v>45454</v>
      </c>
      <c r="H1285">
        <v>2</v>
      </c>
      <c r="I1285" s="1">
        <v>36.630000000000003</v>
      </c>
      <c r="J1285" s="2">
        <v>0.11874999999999999</v>
      </c>
      <c r="K1285" s="12">
        <f>Combined[[#This Row],[Time Spent]]*24</f>
        <v>2.8499999999999996</v>
      </c>
      <c r="L1285" s="12">
        <f>MROUND(Combined[[#This Row],[Time Spent 2]],0.25)</f>
        <v>2.75</v>
      </c>
      <c r="M1285" s="2" t="s">
        <v>91</v>
      </c>
      <c r="N1285" t="s">
        <v>80</v>
      </c>
      <c r="O1285">
        <f>MATCH(Combined[[#This Row],[Primary Area]],KPIs!$C$4:$C$7,0)</f>
        <v>2</v>
      </c>
      <c r="R1285" s="40"/>
      <c r="V1285" s="4"/>
      <c r="X1285"/>
    </row>
    <row r="1286" spans="2:24" x14ac:dyDescent="0.35">
      <c r="B1286">
        <f t="shared" si="320"/>
        <v>1284</v>
      </c>
      <c r="C1286" t="s">
        <v>86</v>
      </c>
      <c r="D1286" t="s">
        <v>176</v>
      </c>
      <c r="E1286">
        <f>IF(WEEKNUM(Combined[[#This Row],[Date]], 1) = 53, 1, WEEKNUM(Combined[[#This Row],[Date]], 2))</f>
        <v>24</v>
      </c>
      <c r="F1286" t="str">
        <f t="shared" si="319"/>
        <v>Tuesday</v>
      </c>
      <c r="G1286" s="41">
        <v>45454</v>
      </c>
      <c r="H1286">
        <v>3</v>
      </c>
      <c r="I1286" s="1">
        <v>21</v>
      </c>
      <c r="J1286" s="2">
        <v>5.486111111111111E-2</v>
      </c>
      <c r="K1286" s="12">
        <f>Combined[[#This Row],[Time Spent]]*24</f>
        <v>1.3166666666666667</v>
      </c>
      <c r="L1286" s="12">
        <f>MROUND(Combined[[#This Row],[Time Spent 2]],0.25)</f>
        <v>1.25</v>
      </c>
      <c r="M1286" s="2" t="s">
        <v>91</v>
      </c>
      <c r="N1286" t="s">
        <v>80</v>
      </c>
      <c r="O1286">
        <f>MATCH(Combined[[#This Row],[Primary Area]],KPIs!$C$4:$C$7,0)</f>
        <v>2</v>
      </c>
      <c r="R1286" s="40"/>
      <c r="V1286" s="4"/>
      <c r="X1286"/>
    </row>
    <row r="1287" spans="2:24" x14ac:dyDescent="0.35">
      <c r="B1287">
        <f t="shared" si="320"/>
        <v>1285</v>
      </c>
      <c r="C1287" t="s">
        <v>86</v>
      </c>
      <c r="D1287" t="s">
        <v>176</v>
      </c>
      <c r="E1287">
        <f>IF(WEEKNUM(Combined[[#This Row],[Date]], 1) = 53, 1, WEEKNUM(Combined[[#This Row],[Date]], 2))</f>
        <v>24</v>
      </c>
      <c r="F1287" t="str">
        <f t="shared" si="319"/>
        <v>Tuesday</v>
      </c>
      <c r="G1287" s="41">
        <v>45454</v>
      </c>
      <c r="H1287">
        <v>4</v>
      </c>
      <c r="I1287" s="1">
        <v>42.77</v>
      </c>
      <c r="J1287" s="2">
        <v>9.930555555555555E-2</v>
      </c>
      <c r="K1287" s="12">
        <f>Combined[[#This Row],[Time Spent]]*24</f>
        <v>2.3833333333333333</v>
      </c>
      <c r="L1287" s="12">
        <f>MROUND(Combined[[#This Row],[Time Spent 2]],0.25)</f>
        <v>2.5</v>
      </c>
      <c r="M1287" s="2" t="s">
        <v>91</v>
      </c>
      <c r="N1287" t="s">
        <v>80</v>
      </c>
      <c r="O1287">
        <f>MATCH(Combined[[#This Row],[Primary Area]],KPIs!$C$4:$C$7,0)</f>
        <v>2</v>
      </c>
      <c r="R1287" s="40"/>
      <c r="V1287" s="4"/>
      <c r="X1287"/>
    </row>
    <row r="1288" spans="2:24" x14ac:dyDescent="0.35">
      <c r="B1288">
        <f t="shared" si="320"/>
        <v>1286</v>
      </c>
      <c r="C1288" t="s">
        <v>86</v>
      </c>
      <c r="D1288" t="s">
        <v>176</v>
      </c>
      <c r="E1288">
        <f>IF(WEEKNUM(Combined[[#This Row],[Date]], 1) = 53, 1, WEEKNUM(Combined[[#This Row],[Date]], 2))</f>
        <v>24</v>
      </c>
      <c r="F1288" t="str">
        <f t="shared" si="319"/>
        <v>Wednesday</v>
      </c>
      <c r="G1288" s="41">
        <v>45455</v>
      </c>
      <c r="H1288">
        <v>12</v>
      </c>
      <c r="I1288" s="1">
        <v>104.98</v>
      </c>
      <c r="J1288" s="2">
        <v>0.24444444444444444</v>
      </c>
      <c r="K1288" s="12">
        <f>Combined[[#This Row],[Time Spent]]*24</f>
        <v>5.8666666666666663</v>
      </c>
      <c r="L1288" s="12">
        <f>MROUND(Combined[[#This Row],[Time Spent 2]],0.25)</f>
        <v>5.75</v>
      </c>
      <c r="M1288" s="2" t="s">
        <v>91</v>
      </c>
      <c r="N1288" t="s">
        <v>80</v>
      </c>
      <c r="O1288">
        <f>MATCH(Combined[[#This Row],[Primary Area]],KPIs!$C$4:$C$7,0)</f>
        <v>2</v>
      </c>
      <c r="R1288" s="40"/>
      <c r="V1288" s="4"/>
      <c r="X1288"/>
    </row>
    <row r="1289" spans="2:24" x14ac:dyDescent="0.35">
      <c r="B1289">
        <f t="shared" si="320"/>
        <v>1287</v>
      </c>
      <c r="C1289" t="s">
        <v>83</v>
      </c>
      <c r="D1289" t="s">
        <v>176</v>
      </c>
      <c r="E1289">
        <f>IF(WEEKNUM(Combined[[#This Row],[Date]], 1) = 53, 1, WEEKNUM(Combined[[#This Row],[Date]], 2))</f>
        <v>24</v>
      </c>
      <c r="F1289" t="str">
        <f t="shared" si="319"/>
        <v>Thursday</v>
      </c>
      <c r="G1289" s="41">
        <v>45456</v>
      </c>
      <c r="H1289">
        <v>4</v>
      </c>
      <c r="I1289" s="1">
        <v>47.25</v>
      </c>
      <c r="J1289" s="2">
        <v>0.12291666666666666</v>
      </c>
      <c r="K1289" s="12">
        <f>Combined[[#This Row],[Time Spent]]*24</f>
        <v>2.9499999999999997</v>
      </c>
      <c r="L1289" s="12">
        <f>MROUND(Combined[[#This Row],[Time Spent 2]],0.25)</f>
        <v>3</v>
      </c>
      <c r="M1289" s="2" t="s">
        <v>91</v>
      </c>
      <c r="N1289" t="s">
        <v>80</v>
      </c>
      <c r="O1289">
        <f>MATCH(Combined[[#This Row],[Primary Area]],KPIs!$C$4:$C$7,0)</f>
        <v>2</v>
      </c>
      <c r="R1289" s="40"/>
      <c r="V1289" s="4"/>
      <c r="X1289"/>
    </row>
    <row r="1290" spans="2:24" x14ac:dyDescent="0.35">
      <c r="B1290">
        <f t="shared" si="320"/>
        <v>1288</v>
      </c>
      <c r="C1290" t="s">
        <v>86</v>
      </c>
      <c r="D1290" t="s">
        <v>176</v>
      </c>
      <c r="E1290">
        <f>IF(WEEKNUM(Combined[[#This Row],[Date]], 1) = 53, 1, WEEKNUM(Combined[[#This Row],[Date]], 2))</f>
        <v>24</v>
      </c>
      <c r="F1290" t="str">
        <f t="shared" si="319"/>
        <v>Thursday</v>
      </c>
      <c r="G1290" s="41">
        <v>45456</v>
      </c>
      <c r="H1290">
        <v>5</v>
      </c>
      <c r="I1290" s="1">
        <v>50.75</v>
      </c>
      <c r="J1290" s="2">
        <v>0.15555555555555556</v>
      </c>
      <c r="K1290" s="12">
        <f>Combined[[#This Row],[Time Spent]]*24</f>
        <v>3.7333333333333334</v>
      </c>
      <c r="L1290" s="12">
        <f>MROUND(Combined[[#This Row],[Time Spent 2]],0.25)</f>
        <v>3.75</v>
      </c>
      <c r="M1290" s="2" t="s">
        <v>91</v>
      </c>
      <c r="N1290" t="s">
        <v>80</v>
      </c>
      <c r="O1290">
        <f>MATCH(Combined[[#This Row],[Primary Area]],KPIs!$C$4:$C$7,0)</f>
        <v>2</v>
      </c>
      <c r="R1290" s="40"/>
      <c r="V1290" s="4"/>
      <c r="X1290"/>
    </row>
    <row r="1291" spans="2:24" x14ac:dyDescent="0.35">
      <c r="B1291">
        <f t="shared" si="320"/>
        <v>1289</v>
      </c>
      <c r="C1291" t="s">
        <v>86</v>
      </c>
      <c r="D1291" t="s">
        <v>176</v>
      </c>
      <c r="E1291">
        <f>IF(WEEKNUM(Combined[[#This Row],[Date]], 1) = 53, 1, WEEKNUM(Combined[[#This Row],[Date]], 2))</f>
        <v>24</v>
      </c>
      <c r="F1291" t="str">
        <f t="shared" si="319"/>
        <v>Thursday</v>
      </c>
      <c r="G1291" s="41">
        <v>45456</v>
      </c>
      <c r="H1291">
        <v>5</v>
      </c>
      <c r="I1291" s="1">
        <v>36</v>
      </c>
      <c r="J1291" s="2">
        <v>8.4027777777777785E-2</v>
      </c>
      <c r="K1291" s="12">
        <f>Combined[[#This Row],[Time Spent]]*24</f>
        <v>2.0166666666666666</v>
      </c>
      <c r="L1291" s="12">
        <f>MROUND(Combined[[#This Row],[Time Spent 2]],0.25)</f>
        <v>2</v>
      </c>
      <c r="M1291" s="2" t="s">
        <v>92</v>
      </c>
      <c r="N1291" t="s">
        <v>80</v>
      </c>
      <c r="O1291">
        <f>MATCH(Combined[[#This Row],[Primary Area]],KPIs!$C$4:$C$7,0)</f>
        <v>2</v>
      </c>
      <c r="R1291" s="40"/>
      <c r="V1291" s="4"/>
      <c r="X1291"/>
    </row>
    <row r="1292" spans="2:24" x14ac:dyDescent="0.35">
      <c r="B1292">
        <f t="shared" si="320"/>
        <v>1290</v>
      </c>
      <c r="C1292" t="s">
        <v>83</v>
      </c>
      <c r="D1292" t="s">
        <v>176</v>
      </c>
      <c r="E1292">
        <f>IF(WEEKNUM(Combined[[#This Row],[Date]], 1) = 53, 1, WEEKNUM(Combined[[#This Row],[Date]], 2))</f>
        <v>24</v>
      </c>
      <c r="F1292" t="str">
        <f t="shared" si="319"/>
        <v>Friday</v>
      </c>
      <c r="G1292" s="41">
        <v>45457</v>
      </c>
      <c r="H1292">
        <v>2</v>
      </c>
      <c r="I1292" s="1">
        <v>44.04</v>
      </c>
      <c r="J1292" s="2">
        <v>0.1</v>
      </c>
      <c r="K1292" s="12">
        <f>Combined[[#This Row],[Time Spent]]*24</f>
        <v>2.4000000000000004</v>
      </c>
      <c r="L1292" s="12">
        <f>MROUND(Combined[[#This Row],[Time Spent 2]],0.25)</f>
        <v>2.5</v>
      </c>
      <c r="M1292" s="2" t="s">
        <v>91</v>
      </c>
      <c r="N1292" t="s">
        <v>80</v>
      </c>
      <c r="O1292">
        <f>MATCH(Combined[[#This Row],[Primary Area]],KPIs!$C$4:$C$7,0)</f>
        <v>2</v>
      </c>
      <c r="R1292" s="40"/>
      <c r="V1292" s="4"/>
      <c r="X1292"/>
    </row>
    <row r="1293" spans="2:24" x14ac:dyDescent="0.35">
      <c r="B1293">
        <f t="shared" si="320"/>
        <v>1291</v>
      </c>
      <c r="C1293" t="s">
        <v>86</v>
      </c>
      <c r="D1293" t="s">
        <v>176</v>
      </c>
      <c r="E1293">
        <f>IF(WEEKNUM(Combined[[#This Row],[Date]], 1) = 53, 1, WEEKNUM(Combined[[#This Row],[Date]], 2))</f>
        <v>24</v>
      </c>
      <c r="F1293" t="str">
        <f t="shared" si="319"/>
        <v>Friday</v>
      </c>
      <c r="G1293" s="41">
        <v>45457</v>
      </c>
      <c r="H1293">
        <v>8</v>
      </c>
      <c r="I1293" s="1">
        <v>100</v>
      </c>
      <c r="J1293" s="2">
        <v>0.18472222222222223</v>
      </c>
      <c r="K1293" s="12">
        <f>Combined[[#This Row],[Time Spent]]*24</f>
        <v>4.4333333333333336</v>
      </c>
      <c r="L1293" s="12">
        <f>MROUND(Combined[[#This Row],[Time Spent 2]],0.25)</f>
        <v>4.5</v>
      </c>
      <c r="M1293" s="2" t="s">
        <v>91</v>
      </c>
      <c r="N1293" t="s">
        <v>80</v>
      </c>
      <c r="O1293">
        <f>MATCH(Combined[[#This Row],[Primary Area]],KPIs!$C$4:$C$7,0)</f>
        <v>2</v>
      </c>
      <c r="R1293" s="40"/>
      <c r="V1293" s="4"/>
      <c r="X1293"/>
    </row>
    <row r="1294" spans="2:24" x14ac:dyDescent="0.35">
      <c r="B1294">
        <f t="shared" si="320"/>
        <v>1292</v>
      </c>
      <c r="C1294" t="s">
        <v>86</v>
      </c>
      <c r="D1294" t="s">
        <v>176</v>
      </c>
      <c r="E1294">
        <f>IF(WEEKNUM(Combined[[#This Row],[Date]], 1) = 53, 1, WEEKNUM(Combined[[#This Row],[Date]], 2))</f>
        <v>24</v>
      </c>
      <c r="F1294" t="str">
        <f t="shared" si="319"/>
        <v>Friday</v>
      </c>
      <c r="G1294" s="41">
        <v>45457</v>
      </c>
      <c r="H1294">
        <v>3</v>
      </c>
      <c r="I1294" s="1">
        <v>25.75</v>
      </c>
      <c r="J1294" s="2">
        <v>6.25E-2</v>
      </c>
      <c r="K1294" s="12">
        <f>Combined[[#This Row],[Time Spent]]*24</f>
        <v>1.5</v>
      </c>
      <c r="L1294" s="12">
        <f>MROUND(Combined[[#This Row],[Time Spent 2]],0.25)</f>
        <v>1.5</v>
      </c>
      <c r="M1294" s="2" t="s">
        <v>92</v>
      </c>
      <c r="N1294" t="s">
        <v>80</v>
      </c>
      <c r="O1294">
        <f>MATCH(Combined[[#This Row],[Primary Area]],KPIs!$C$4:$C$7,0)</f>
        <v>2</v>
      </c>
      <c r="R1294" s="40"/>
      <c r="V1294" s="4"/>
      <c r="X1294"/>
    </row>
    <row r="1295" spans="2:24" x14ac:dyDescent="0.35">
      <c r="B1295">
        <f t="shared" si="320"/>
        <v>1293</v>
      </c>
      <c r="C1295" t="s">
        <v>86</v>
      </c>
      <c r="D1295" t="s">
        <v>176</v>
      </c>
      <c r="E1295">
        <f>IF(WEEKNUM(Combined[[#This Row],[Date]], 1) = 53, 1, WEEKNUM(Combined[[#This Row],[Date]], 2))</f>
        <v>24</v>
      </c>
      <c r="F1295" t="str">
        <f t="shared" si="319"/>
        <v>Friday</v>
      </c>
      <c r="G1295" s="41">
        <v>45457</v>
      </c>
      <c r="H1295">
        <v>4</v>
      </c>
      <c r="I1295" s="1">
        <v>37</v>
      </c>
      <c r="J1295" s="2">
        <v>6.805555555555555E-2</v>
      </c>
      <c r="K1295" s="12">
        <f>Combined[[#This Row],[Time Spent]]*24</f>
        <v>1.6333333333333333</v>
      </c>
      <c r="L1295" s="12">
        <f>MROUND(Combined[[#This Row],[Time Spent 2]],0.25)</f>
        <v>1.75</v>
      </c>
      <c r="M1295" s="2" t="s">
        <v>92</v>
      </c>
      <c r="N1295" t="s">
        <v>80</v>
      </c>
      <c r="O1295">
        <f>MATCH(Combined[[#This Row],[Primary Area]],KPIs!$C$4:$C$7,0)</f>
        <v>2</v>
      </c>
      <c r="R1295" s="40"/>
      <c r="V1295" s="4"/>
      <c r="X1295"/>
    </row>
    <row r="1296" spans="2:24" x14ac:dyDescent="0.35">
      <c r="B1296">
        <f t="shared" si="320"/>
        <v>1294</v>
      </c>
      <c r="C1296" t="s">
        <v>83</v>
      </c>
      <c r="D1296" t="s">
        <v>176</v>
      </c>
      <c r="E1296">
        <f>IF(WEEKNUM(Combined[[#This Row],[Date]], 1) = 53, 1, WEEKNUM(Combined[[#This Row],[Date]], 2))</f>
        <v>24</v>
      </c>
      <c r="F1296" t="str">
        <f t="shared" ref="F1296:F1298" si="321">TEXT(WEEKDAY(G1296,1),"DDDD")</f>
        <v>Saturday</v>
      </c>
      <c r="G1296" s="41">
        <v>45458</v>
      </c>
      <c r="H1296">
        <v>1</v>
      </c>
      <c r="I1296" s="1">
        <v>21.62</v>
      </c>
      <c r="J1296" s="2">
        <v>7.6388888888888895E-2</v>
      </c>
      <c r="K1296" s="12">
        <f>Combined[[#This Row],[Time Spent]]*24</f>
        <v>1.8333333333333335</v>
      </c>
      <c r="L1296" s="12">
        <f>MROUND(Combined[[#This Row],[Time Spent 2]],0.25)</f>
        <v>1.75</v>
      </c>
      <c r="M1296" s="2" t="s">
        <v>91</v>
      </c>
      <c r="N1296" t="s">
        <v>80</v>
      </c>
      <c r="O1296">
        <f>MATCH(Combined[[#This Row],[Primary Area]],KPIs!$C$4:$C$7,0)</f>
        <v>2</v>
      </c>
      <c r="R1296" s="40"/>
      <c r="V1296" s="4"/>
      <c r="X1296"/>
    </row>
    <row r="1297" spans="2:24" x14ac:dyDescent="0.35">
      <c r="B1297">
        <f t="shared" si="320"/>
        <v>1295</v>
      </c>
      <c r="C1297" t="s">
        <v>86</v>
      </c>
      <c r="D1297" t="s">
        <v>175</v>
      </c>
      <c r="E1297">
        <f>IF(WEEKNUM(Combined[[#This Row],[Date]], 1) = 53, 1, WEEKNUM(Combined[[#This Row],[Date]], 2))</f>
        <v>24</v>
      </c>
      <c r="F1297" t="str">
        <f t="shared" si="321"/>
        <v>Saturday</v>
      </c>
      <c r="G1297" s="41">
        <v>45458</v>
      </c>
      <c r="H1297">
        <v>1</v>
      </c>
      <c r="I1297" s="1">
        <v>14.54</v>
      </c>
      <c r="J1297" s="2">
        <v>2.4305555555555556E-2</v>
      </c>
      <c r="K1297" s="12">
        <f>Combined[[#This Row],[Time Spent]]*24</f>
        <v>0.58333333333333337</v>
      </c>
      <c r="L1297" s="12">
        <f>MROUND(Combined[[#This Row],[Time Spent 2]],0.25)</f>
        <v>0.5</v>
      </c>
      <c r="M1297" s="2" t="s">
        <v>91</v>
      </c>
      <c r="N1297" t="s">
        <v>80</v>
      </c>
      <c r="O1297">
        <f>MATCH(Combined[[#This Row],[Primary Area]],KPIs!$C$4:$C$7,0)</f>
        <v>2</v>
      </c>
      <c r="R1297" s="40"/>
      <c r="V1297" s="4"/>
      <c r="X1297"/>
    </row>
    <row r="1298" spans="2:24" x14ac:dyDescent="0.35">
      <c r="B1298">
        <f t="shared" si="320"/>
        <v>1296</v>
      </c>
      <c r="C1298" t="s">
        <v>86</v>
      </c>
      <c r="D1298" t="s">
        <v>175</v>
      </c>
      <c r="E1298">
        <f>IF(WEEKNUM(Combined[[#This Row],[Date]], 1) = 53, 1, WEEKNUM(Combined[[#This Row],[Date]], 2))</f>
        <v>24</v>
      </c>
      <c r="F1298" t="str">
        <f t="shared" si="321"/>
        <v>Saturday</v>
      </c>
      <c r="G1298" s="41">
        <v>45458</v>
      </c>
      <c r="H1298">
        <v>9</v>
      </c>
      <c r="I1298" s="1">
        <v>106.72</v>
      </c>
      <c r="J1298" s="2">
        <v>0.22916666666666666</v>
      </c>
      <c r="K1298" s="12">
        <f>Combined[[#This Row],[Time Spent]]*24</f>
        <v>5.5</v>
      </c>
      <c r="L1298" s="12">
        <f>MROUND(Combined[[#This Row],[Time Spent 2]],0.25)</f>
        <v>5.5</v>
      </c>
      <c r="M1298" s="2" t="s">
        <v>91</v>
      </c>
      <c r="N1298" t="s">
        <v>80</v>
      </c>
      <c r="O1298">
        <f>MATCH(Combined[[#This Row],[Primary Area]],KPIs!$C$4:$C$7,0)</f>
        <v>2</v>
      </c>
      <c r="R1298" s="40"/>
      <c r="V1298" s="4"/>
      <c r="X1298"/>
    </row>
    <row r="1299" spans="2:24" x14ac:dyDescent="0.35">
      <c r="B1299">
        <f t="shared" si="320"/>
        <v>1297</v>
      </c>
      <c r="C1299" t="s">
        <v>83</v>
      </c>
      <c r="D1299" t="s">
        <v>176</v>
      </c>
      <c r="E1299">
        <f>IF(WEEKNUM(Combined[[#This Row],[Date]], 1) = 53, 1, WEEKNUM(Combined[[#This Row],[Date]], 2))</f>
        <v>25</v>
      </c>
      <c r="F1299" t="str">
        <f t="shared" ref="F1299:F1312" si="322">TEXT(WEEKDAY(G1299,1),"DDDD")</f>
        <v>Monday</v>
      </c>
      <c r="G1299" s="41">
        <v>45460</v>
      </c>
      <c r="H1299">
        <v>9</v>
      </c>
      <c r="I1299" s="1">
        <v>77.45</v>
      </c>
      <c r="J1299" s="2">
        <v>0.17569444444444443</v>
      </c>
      <c r="K1299" s="12">
        <f>Combined[[#This Row],[Time Spent]]*24</f>
        <v>4.2166666666666668</v>
      </c>
      <c r="L1299" s="12">
        <f>MROUND(Combined[[#This Row],[Time Spent 2]],0.25)</f>
        <v>4.25</v>
      </c>
      <c r="M1299" s="2" t="s">
        <v>91</v>
      </c>
      <c r="N1299" t="s">
        <v>85</v>
      </c>
      <c r="O1299">
        <f>MATCH(Combined[[#This Row],[Primary Area]],KPIs!$C$4:$C$7,0)</f>
        <v>4</v>
      </c>
      <c r="R1299" s="40"/>
      <c r="V1299" s="4"/>
      <c r="X1299"/>
    </row>
    <row r="1300" spans="2:24" x14ac:dyDescent="0.35">
      <c r="B1300">
        <f t="shared" si="320"/>
        <v>1298</v>
      </c>
      <c r="C1300" t="s">
        <v>86</v>
      </c>
      <c r="D1300" t="s">
        <v>176</v>
      </c>
      <c r="E1300">
        <f>IF(WEEKNUM(Combined[[#This Row],[Date]], 1) = 53, 1, WEEKNUM(Combined[[#This Row],[Date]], 2))</f>
        <v>25</v>
      </c>
      <c r="F1300" t="str">
        <f t="shared" si="322"/>
        <v>Monday</v>
      </c>
      <c r="G1300" s="41">
        <v>45460</v>
      </c>
      <c r="H1300">
        <v>2</v>
      </c>
      <c r="I1300" s="1">
        <f>29+4.5+6.88</f>
        <v>40.380000000000003</v>
      </c>
      <c r="J1300" s="2">
        <v>6.25E-2</v>
      </c>
      <c r="K1300" s="12">
        <f>Combined[[#This Row],[Time Spent]]*24</f>
        <v>1.5</v>
      </c>
      <c r="L1300" s="12">
        <f>MROUND(Combined[[#This Row],[Time Spent 2]],0.25)</f>
        <v>1.5</v>
      </c>
      <c r="M1300" s="2" t="s">
        <v>91</v>
      </c>
      <c r="N1300" t="s">
        <v>85</v>
      </c>
      <c r="O1300">
        <f>MATCH(Combined[[#This Row],[Primary Area]],KPIs!$C$4:$C$7,0)</f>
        <v>4</v>
      </c>
      <c r="R1300" s="40"/>
      <c r="V1300" s="4"/>
      <c r="X1300"/>
    </row>
    <row r="1301" spans="2:24" x14ac:dyDescent="0.35">
      <c r="B1301">
        <f t="shared" si="320"/>
        <v>1299</v>
      </c>
      <c r="C1301" t="s">
        <v>83</v>
      </c>
      <c r="D1301" t="s">
        <v>176</v>
      </c>
      <c r="E1301">
        <f>IF(WEEKNUM(Combined[[#This Row],[Date]], 1) = 53, 1, WEEKNUM(Combined[[#This Row],[Date]], 2))</f>
        <v>25</v>
      </c>
      <c r="F1301" t="str">
        <f t="shared" si="322"/>
        <v>Tuesday</v>
      </c>
      <c r="G1301" s="41">
        <v>45461</v>
      </c>
      <c r="H1301">
        <v>1</v>
      </c>
      <c r="I1301" s="1">
        <v>10.220000000000001</v>
      </c>
      <c r="J1301" s="2">
        <v>7.2916666666666671E-2</v>
      </c>
      <c r="K1301" s="12">
        <f>Combined[[#This Row],[Time Spent]]*24</f>
        <v>1.75</v>
      </c>
      <c r="L1301" s="12">
        <f>MROUND(Combined[[#This Row],[Time Spent 2]],0.25)</f>
        <v>1.75</v>
      </c>
      <c r="M1301" s="2" t="s">
        <v>91</v>
      </c>
      <c r="N1301" t="s">
        <v>80</v>
      </c>
      <c r="O1301">
        <f>MATCH(Combined[[#This Row],[Primary Area]],KPIs!$C$4:$C$7,0)</f>
        <v>2</v>
      </c>
      <c r="R1301" s="40"/>
      <c r="V1301" s="4"/>
      <c r="X1301"/>
    </row>
    <row r="1302" spans="2:24" x14ac:dyDescent="0.35">
      <c r="B1302">
        <f t="shared" si="320"/>
        <v>1300</v>
      </c>
      <c r="C1302" t="s">
        <v>86</v>
      </c>
      <c r="D1302" t="s">
        <v>176</v>
      </c>
      <c r="E1302">
        <f>IF(WEEKNUM(Combined[[#This Row],[Date]], 1) = 53, 1, WEEKNUM(Combined[[#This Row],[Date]], 2))</f>
        <v>25</v>
      </c>
      <c r="F1302" t="str">
        <f t="shared" si="322"/>
        <v>Tuesday</v>
      </c>
      <c r="G1302" s="41">
        <v>45461</v>
      </c>
      <c r="H1302">
        <v>12</v>
      </c>
      <c r="I1302" s="1">
        <v>94</v>
      </c>
      <c r="J1302" s="2">
        <v>0.20694444444444443</v>
      </c>
      <c r="K1302" s="12">
        <f>Combined[[#This Row],[Time Spent]]*24</f>
        <v>4.9666666666666668</v>
      </c>
      <c r="L1302" s="12">
        <f>MROUND(Combined[[#This Row],[Time Spent 2]],0.25)</f>
        <v>5</v>
      </c>
      <c r="M1302" s="2" t="s">
        <v>91</v>
      </c>
      <c r="N1302" t="s">
        <v>80</v>
      </c>
      <c r="O1302">
        <f>MATCH(Combined[[#This Row],[Primary Area]],KPIs!$C$4:$C$7,0)</f>
        <v>2</v>
      </c>
      <c r="R1302" s="40"/>
      <c r="V1302" s="4"/>
      <c r="X1302"/>
    </row>
    <row r="1303" spans="2:24" x14ac:dyDescent="0.35">
      <c r="B1303">
        <f t="shared" si="320"/>
        <v>1301</v>
      </c>
      <c r="C1303" t="s">
        <v>86</v>
      </c>
      <c r="D1303" t="s">
        <v>176</v>
      </c>
      <c r="E1303">
        <f>IF(WEEKNUM(Combined[[#This Row],[Date]], 1) = 53, 1, WEEKNUM(Combined[[#This Row],[Date]], 2))</f>
        <v>25</v>
      </c>
      <c r="F1303" t="str">
        <f t="shared" si="322"/>
        <v>Tuesday</v>
      </c>
      <c r="G1303" s="41">
        <v>45461</v>
      </c>
      <c r="H1303">
        <v>1</v>
      </c>
      <c r="I1303" s="1">
        <v>12.75</v>
      </c>
      <c r="J1303" s="2">
        <v>2.013888888888889E-2</v>
      </c>
      <c r="K1303" s="12">
        <f>Combined[[#This Row],[Time Spent]]*24</f>
        <v>0.48333333333333339</v>
      </c>
      <c r="L1303" s="12">
        <f>MROUND(Combined[[#This Row],[Time Spent 2]],0.25)</f>
        <v>0.5</v>
      </c>
      <c r="M1303" s="2" t="s">
        <v>92</v>
      </c>
      <c r="N1303" t="s">
        <v>80</v>
      </c>
      <c r="O1303">
        <f>MATCH(Combined[[#This Row],[Primary Area]],KPIs!$C$4:$C$7,0)</f>
        <v>2</v>
      </c>
      <c r="R1303" s="40"/>
      <c r="V1303" s="4"/>
      <c r="X1303"/>
    </row>
    <row r="1304" spans="2:24" x14ac:dyDescent="0.35">
      <c r="B1304">
        <f t="shared" si="320"/>
        <v>1302</v>
      </c>
      <c r="C1304" t="s">
        <v>83</v>
      </c>
      <c r="D1304" t="s">
        <v>176</v>
      </c>
      <c r="E1304">
        <f>IF(WEEKNUM(Combined[[#This Row],[Date]], 1) = 53, 1, WEEKNUM(Combined[[#This Row],[Date]], 2))</f>
        <v>25</v>
      </c>
      <c r="F1304" t="str">
        <f t="shared" si="322"/>
        <v>Wednesday</v>
      </c>
      <c r="G1304" s="41">
        <v>45462</v>
      </c>
      <c r="H1304">
        <v>1</v>
      </c>
      <c r="I1304" s="1">
        <v>19.03</v>
      </c>
      <c r="J1304" s="2">
        <v>7.6388888888888895E-2</v>
      </c>
      <c r="K1304" s="12">
        <f>Combined[[#This Row],[Time Spent]]*24</f>
        <v>1.8333333333333335</v>
      </c>
      <c r="L1304" s="12">
        <f>MROUND(Combined[[#This Row],[Time Spent 2]],0.25)</f>
        <v>1.75</v>
      </c>
      <c r="M1304" s="2" t="s">
        <v>91</v>
      </c>
      <c r="N1304" t="s">
        <v>80</v>
      </c>
      <c r="O1304">
        <f>MATCH(Combined[[#This Row],[Primary Area]],KPIs!$C$4:$C$7,0)</f>
        <v>2</v>
      </c>
      <c r="R1304" s="40"/>
      <c r="V1304" s="4"/>
      <c r="X1304"/>
    </row>
    <row r="1305" spans="2:24" x14ac:dyDescent="0.35">
      <c r="B1305">
        <f t="shared" si="320"/>
        <v>1303</v>
      </c>
      <c r="C1305" t="s">
        <v>86</v>
      </c>
      <c r="D1305" t="s">
        <v>176</v>
      </c>
      <c r="E1305">
        <f>IF(WEEKNUM(Combined[[#This Row],[Date]], 1) = 53, 1, WEEKNUM(Combined[[#This Row],[Date]], 2))</f>
        <v>25</v>
      </c>
      <c r="F1305" t="str">
        <f t="shared" si="322"/>
        <v>Wednesday</v>
      </c>
      <c r="G1305" s="41">
        <v>45462</v>
      </c>
      <c r="H1305">
        <v>11</v>
      </c>
      <c r="I1305" s="1">
        <v>119.83</v>
      </c>
      <c r="J1305" s="2">
        <v>0.24374999999999999</v>
      </c>
      <c r="K1305" s="12">
        <f>Combined[[#This Row],[Time Spent]]*24</f>
        <v>5.85</v>
      </c>
      <c r="L1305" s="12">
        <f>MROUND(Combined[[#This Row],[Time Spent 2]],0.25)</f>
        <v>5.75</v>
      </c>
      <c r="M1305" s="2" t="s">
        <v>91</v>
      </c>
      <c r="N1305" t="s">
        <v>80</v>
      </c>
      <c r="O1305">
        <f>MATCH(Combined[[#This Row],[Primary Area]],KPIs!$C$4:$C$7,0)</f>
        <v>2</v>
      </c>
      <c r="R1305" s="40"/>
      <c r="V1305" s="4"/>
      <c r="X1305"/>
    </row>
    <row r="1306" spans="2:24" x14ac:dyDescent="0.35">
      <c r="B1306">
        <f t="shared" si="320"/>
        <v>1304</v>
      </c>
      <c r="C1306" t="s">
        <v>83</v>
      </c>
      <c r="D1306" t="s">
        <v>176</v>
      </c>
      <c r="E1306">
        <f>IF(WEEKNUM(Combined[[#This Row],[Date]], 1) = 53, 1, WEEKNUM(Combined[[#This Row],[Date]], 2))</f>
        <v>25</v>
      </c>
      <c r="F1306" t="str">
        <f t="shared" si="322"/>
        <v>Thursday</v>
      </c>
      <c r="G1306" s="41">
        <v>45463</v>
      </c>
      <c r="H1306">
        <v>1</v>
      </c>
      <c r="I1306" s="1">
        <v>13.03</v>
      </c>
      <c r="J1306" s="2">
        <v>3.7499999999999999E-2</v>
      </c>
      <c r="K1306" s="12">
        <f>Combined[[#This Row],[Time Spent]]*24</f>
        <v>0.89999999999999991</v>
      </c>
      <c r="L1306" s="12">
        <f>MROUND(Combined[[#This Row],[Time Spent 2]],0.25)</f>
        <v>1</v>
      </c>
      <c r="M1306" s="2" t="s">
        <v>91</v>
      </c>
      <c r="N1306" t="s">
        <v>80</v>
      </c>
      <c r="O1306">
        <f>MATCH(Combined[[#This Row],[Primary Area]],KPIs!$C$4:$C$7,0)</f>
        <v>2</v>
      </c>
      <c r="R1306" s="40"/>
      <c r="V1306" s="4"/>
      <c r="X1306"/>
    </row>
    <row r="1307" spans="2:24" x14ac:dyDescent="0.35">
      <c r="B1307">
        <f t="shared" si="320"/>
        <v>1305</v>
      </c>
      <c r="C1307" t="s">
        <v>86</v>
      </c>
      <c r="D1307" t="s">
        <v>176</v>
      </c>
      <c r="E1307">
        <f>IF(WEEKNUM(Combined[[#This Row],[Date]], 1) = 53, 1, WEEKNUM(Combined[[#This Row],[Date]], 2))</f>
        <v>25</v>
      </c>
      <c r="F1307" t="str">
        <f t="shared" si="322"/>
        <v>Thursday</v>
      </c>
      <c r="G1307" s="41">
        <v>45463</v>
      </c>
      <c r="H1307">
        <v>11</v>
      </c>
      <c r="I1307" s="1">
        <v>129.91</v>
      </c>
      <c r="J1307" s="2">
        <v>0.23055555555555557</v>
      </c>
      <c r="K1307" s="12">
        <f>Combined[[#This Row],[Time Spent]]*24</f>
        <v>5.5333333333333332</v>
      </c>
      <c r="L1307" s="12">
        <f>MROUND(Combined[[#This Row],[Time Spent 2]],0.25)</f>
        <v>5.5</v>
      </c>
      <c r="M1307" s="2" t="s">
        <v>91</v>
      </c>
      <c r="N1307" t="s">
        <v>80</v>
      </c>
      <c r="O1307">
        <f>MATCH(Combined[[#This Row],[Primary Area]],KPIs!$C$4:$C$7,0)</f>
        <v>2</v>
      </c>
      <c r="R1307" s="40"/>
      <c r="V1307" s="4"/>
      <c r="X1307"/>
    </row>
    <row r="1308" spans="2:24" x14ac:dyDescent="0.35">
      <c r="B1308">
        <f t="shared" si="320"/>
        <v>1306</v>
      </c>
      <c r="C1308" t="s">
        <v>83</v>
      </c>
      <c r="D1308" t="s">
        <v>176</v>
      </c>
      <c r="E1308">
        <f>IF(WEEKNUM(Combined[[#This Row],[Date]], 1) = 53, 1, WEEKNUM(Combined[[#This Row],[Date]], 2))</f>
        <v>25</v>
      </c>
      <c r="F1308" t="str">
        <f t="shared" si="322"/>
        <v>Friday</v>
      </c>
      <c r="G1308" s="41">
        <v>45464</v>
      </c>
      <c r="H1308">
        <v>1</v>
      </c>
      <c r="I1308" s="1">
        <v>35</v>
      </c>
      <c r="J1308" s="2">
        <v>0.10625</v>
      </c>
      <c r="K1308" s="12">
        <f>Combined[[#This Row],[Time Spent]]*24</f>
        <v>2.5499999999999998</v>
      </c>
      <c r="L1308" s="12">
        <f>MROUND(Combined[[#This Row],[Time Spent 2]],0.25)</f>
        <v>2.5</v>
      </c>
      <c r="M1308" s="2" t="s">
        <v>91</v>
      </c>
      <c r="N1308" t="s">
        <v>80</v>
      </c>
      <c r="O1308">
        <f>MATCH(Combined[[#This Row],[Primary Area]],KPIs!$C$4:$C$7,0)</f>
        <v>2</v>
      </c>
      <c r="R1308" s="40"/>
      <c r="V1308" s="4"/>
      <c r="X1308"/>
    </row>
    <row r="1309" spans="2:24" x14ac:dyDescent="0.35">
      <c r="B1309">
        <f t="shared" si="320"/>
        <v>1307</v>
      </c>
      <c r="C1309" t="s">
        <v>86</v>
      </c>
      <c r="D1309" t="s">
        <v>176</v>
      </c>
      <c r="E1309">
        <f>IF(WEEKNUM(Combined[[#This Row],[Date]], 1) = 53, 1, WEEKNUM(Combined[[#This Row],[Date]], 2))</f>
        <v>25</v>
      </c>
      <c r="F1309" t="str">
        <f t="shared" si="322"/>
        <v>Friday</v>
      </c>
      <c r="G1309" s="41">
        <v>45464</v>
      </c>
      <c r="H1309">
        <v>6</v>
      </c>
      <c r="I1309" s="1">
        <v>53.25</v>
      </c>
      <c r="J1309" s="2">
        <v>0.14166666666666666</v>
      </c>
      <c r="K1309" s="12">
        <f>Combined[[#This Row],[Time Spent]]*24</f>
        <v>3.4</v>
      </c>
      <c r="L1309" s="12">
        <f>MROUND(Combined[[#This Row],[Time Spent 2]],0.25)</f>
        <v>3.5</v>
      </c>
      <c r="M1309" s="2" t="s">
        <v>91</v>
      </c>
      <c r="N1309" t="s">
        <v>80</v>
      </c>
      <c r="O1309">
        <f>MATCH(Combined[[#This Row],[Primary Area]],KPIs!$C$4:$C$7,0)</f>
        <v>2</v>
      </c>
      <c r="R1309" s="40"/>
      <c r="V1309" s="4"/>
      <c r="X1309"/>
    </row>
    <row r="1310" spans="2:24" x14ac:dyDescent="0.35">
      <c r="B1310">
        <f t="shared" si="320"/>
        <v>1308</v>
      </c>
      <c r="C1310" t="s">
        <v>86</v>
      </c>
      <c r="D1310" t="s">
        <v>176</v>
      </c>
      <c r="E1310">
        <f>IF(WEEKNUM(Combined[[#This Row],[Date]], 1) = 53, 1, WEEKNUM(Combined[[#This Row],[Date]], 2))</f>
        <v>25</v>
      </c>
      <c r="F1310" t="str">
        <f t="shared" si="322"/>
        <v>Friday</v>
      </c>
      <c r="G1310" s="41">
        <v>45464</v>
      </c>
      <c r="H1310">
        <v>4</v>
      </c>
      <c r="I1310" s="1">
        <v>25.25</v>
      </c>
      <c r="J1310" s="2">
        <v>9.4444444444444442E-2</v>
      </c>
      <c r="K1310" s="12">
        <f>Combined[[#This Row],[Time Spent]]*24</f>
        <v>2.2666666666666666</v>
      </c>
      <c r="L1310" s="12">
        <f>MROUND(Combined[[#This Row],[Time Spent 2]],0.25)</f>
        <v>2.25</v>
      </c>
      <c r="M1310" s="2" t="s">
        <v>92</v>
      </c>
      <c r="N1310" t="s">
        <v>80</v>
      </c>
      <c r="O1310">
        <f>MATCH(Combined[[#This Row],[Primary Area]],KPIs!$C$4:$C$7,0)</f>
        <v>2</v>
      </c>
      <c r="R1310" s="40"/>
      <c r="V1310" s="4"/>
      <c r="X1310"/>
    </row>
    <row r="1311" spans="2:24" x14ac:dyDescent="0.35">
      <c r="B1311">
        <f t="shared" si="320"/>
        <v>1309</v>
      </c>
      <c r="C1311" t="s">
        <v>83</v>
      </c>
      <c r="D1311" t="s">
        <v>176</v>
      </c>
      <c r="E1311">
        <f>IF(WEEKNUM(Combined[[#This Row],[Date]], 1) = 53, 1, WEEKNUM(Combined[[#This Row],[Date]], 2))</f>
        <v>25</v>
      </c>
      <c r="F1311" t="str">
        <f t="shared" si="322"/>
        <v>Sunday</v>
      </c>
      <c r="G1311" s="41">
        <v>45466</v>
      </c>
      <c r="H1311">
        <v>7</v>
      </c>
      <c r="I1311" s="1">
        <v>81.709999999999994</v>
      </c>
      <c r="J1311" s="2">
        <v>0.15902777777777777</v>
      </c>
      <c r="K1311" s="12">
        <f>Combined[[#This Row],[Time Spent]]*24</f>
        <v>3.8166666666666664</v>
      </c>
      <c r="L1311" s="12">
        <f>MROUND(Combined[[#This Row],[Time Spent 2]],0.25)</f>
        <v>3.75</v>
      </c>
      <c r="M1311" s="2" t="s">
        <v>91</v>
      </c>
      <c r="N1311" t="s">
        <v>85</v>
      </c>
      <c r="O1311">
        <f>MATCH(Combined[[#This Row],[Primary Area]],KPIs!$C$4:$C$7,0)</f>
        <v>4</v>
      </c>
      <c r="R1311" s="40"/>
      <c r="V1311" s="4"/>
      <c r="X1311"/>
    </row>
    <row r="1312" spans="2:24" x14ac:dyDescent="0.35">
      <c r="B1312">
        <f t="shared" si="320"/>
        <v>1310</v>
      </c>
      <c r="C1312" t="s">
        <v>86</v>
      </c>
      <c r="D1312" t="s">
        <v>176</v>
      </c>
      <c r="E1312">
        <f>IF(WEEKNUM(Combined[[#This Row],[Date]], 1) = 53, 1, WEEKNUM(Combined[[#This Row],[Date]], 2))</f>
        <v>25</v>
      </c>
      <c r="F1312" t="str">
        <f t="shared" si="322"/>
        <v>Sunday</v>
      </c>
      <c r="G1312" s="41">
        <v>45466</v>
      </c>
      <c r="H1312">
        <v>1</v>
      </c>
      <c r="I1312" s="1">
        <v>7.17</v>
      </c>
      <c r="J1312" s="2">
        <v>4.027777777777778E-2</v>
      </c>
      <c r="K1312" s="12">
        <f>Combined[[#This Row],[Time Spent]]*24</f>
        <v>0.96666666666666679</v>
      </c>
      <c r="L1312" s="12">
        <f>MROUND(Combined[[#This Row],[Time Spent 2]],0.25)</f>
        <v>1</v>
      </c>
      <c r="M1312" s="2" t="s">
        <v>91</v>
      </c>
      <c r="N1312" t="s">
        <v>85</v>
      </c>
      <c r="O1312">
        <f>MATCH(Combined[[#This Row],[Primary Area]],KPIs!$C$4:$C$7,0)</f>
        <v>4</v>
      </c>
      <c r="R1312" s="40"/>
      <c r="V1312" s="4"/>
      <c r="X1312"/>
    </row>
    <row r="1313" spans="2:24" x14ac:dyDescent="0.35">
      <c r="B1313">
        <f t="shared" si="320"/>
        <v>1311</v>
      </c>
      <c r="C1313" t="s">
        <v>83</v>
      </c>
      <c r="D1313" t="s">
        <v>176</v>
      </c>
      <c r="E1313">
        <f>IF(WEEKNUM(Combined[[#This Row],[Date]], 1) = 53, 1, WEEKNUM(Combined[[#This Row],[Date]], 2))</f>
        <v>27</v>
      </c>
      <c r="F1313" t="str">
        <f t="shared" ref="F1313:F1321" si="323">TEXT(WEEKDAY(G1313,1),"DDDD")</f>
        <v>Monday</v>
      </c>
      <c r="G1313" s="41">
        <v>45474</v>
      </c>
      <c r="H1313">
        <v>7</v>
      </c>
      <c r="I1313" s="1">
        <v>74.25</v>
      </c>
      <c r="J1313" s="2">
        <v>0.13680555555555557</v>
      </c>
      <c r="K1313" s="12">
        <f>Combined[[#This Row],[Time Spent]]*24</f>
        <v>3.2833333333333337</v>
      </c>
      <c r="L1313" s="12">
        <f>MROUND(Combined[[#This Row],[Time Spent 2]],0.25)</f>
        <v>3.25</v>
      </c>
      <c r="M1313" s="2" t="s">
        <v>91</v>
      </c>
      <c r="N1313" t="s">
        <v>82</v>
      </c>
      <c r="O1313">
        <f>MATCH(Combined[[#This Row],[Primary Area]],KPIs!$C$4:$C$7,0)</f>
        <v>3</v>
      </c>
      <c r="R1313" s="40"/>
      <c r="V1313" s="4"/>
      <c r="X1313"/>
    </row>
    <row r="1314" spans="2:24" x14ac:dyDescent="0.35">
      <c r="B1314">
        <f t="shared" si="320"/>
        <v>1312</v>
      </c>
      <c r="C1314" t="s">
        <v>86</v>
      </c>
      <c r="D1314" t="s">
        <v>176</v>
      </c>
      <c r="E1314">
        <f>IF(WEEKNUM(Combined[[#This Row],[Date]], 1) = 53, 1, WEEKNUM(Combined[[#This Row],[Date]], 2))</f>
        <v>27</v>
      </c>
      <c r="F1314" t="str">
        <f t="shared" si="323"/>
        <v>Monday</v>
      </c>
      <c r="G1314" s="41">
        <v>45474</v>
      </c>
      <c r="H1314">
        <v>4</v>
      </c>
      <c r="I1314" s="1">
        <v>24.25</v>
      </c>
      <c r="J1314" s="2">
        <v>7.4305555555555555E-2</v>
      </c>
      <c r="K1314" s="12">
        <f>Combined[[#This Row],[Time Spent]]*24</f>
        <v>1.7833333333333332</v>
      </c>
      <c r="L1314" s="12">
        <f>MROUND(Combined[[#This Row],[Time Spent 2]],0.25)</f>
        <v>1.75</v>
      </c>
      <c r="M1314" s="2" t="s">
        <v>91</v>
      </c>
      <c r="N1314" t="s">
        <v>82</v>
      </c>
      <c r="O1314">
        <f>MATCH(Combined[[#This Row],[Primary Area]],KPIs!$C$4:$C$7,0)</f>
        <v>3</v>
      </c>
      <c r="R1314" s="40"/>
      <c r="V1314" s="4"/>
      <c r="X1314"/>
    </row>
    <row r="1315" spans="2:24" x14ac:dyDescent="0.35">
      <c r="B1315">
        <f t="shared" si="320"/>
        <v>1313</v>
      </c>
      <c r="C1315" t="s">
        <v>86</v>
      </c>
      <c r="D1315" t="s">
        <v>176</v>
      </c>
      <c r="E1315">
        <f>IF(WEEKNUM(Combined[[#This Row],[Date]], 1) = 53, 1, WEEKNUM(Combined[[#This Row],[Date]], 2))</f>
        <v>27</v>
      </c>
      <c r="F1315" t="str">
        <f t="shared" si="323"/>
        <v>Monday</v>
      </c>
      <c r="G1315" s="41">
        <v>45474</v>
      </c>
      <c r="H1315">
        <v>3</v>
      </c>
      <c r="I1315" s="1">
        <v>18</v>
      </c>
      <c r="J1315" s="2">
        <v>6.0416666666666667E-2</v>
      </c>
      <c r="K1315" s="12">
        <f>Combined[[#This Row],[Time Spent]]*24</f>
        <v>1.45</v>
      </c>
      <c r="L1315" s="12">
        <f>MROUND(Combined[[#This Row],[Time Spent 2]],0.25)</f>
        <v>1.5</v>
      </c>
      <c r="M1315" s="2" t="s">
        <v>92</v>
      </c>
      <c r="N1315" t="s">
        <v>82</v>
      </c>
      <c r="O1315">
        <f>MATCH(Combined[[#This Row],[Primary Area]],KPIs!$C$4:$C$7,0)</f>
        <v>3</v>
      </c>
      <c r="R1315" s="40"/>
      <c r="V1315" s="4"/>
      <c r="X1315"/>
    </row>
    <row r="1316" spans="2:24" x14ac:dyDescent="0.35">
      <c r="B1316">
        <f t="shared" si="320"/>
        <v>1314</v>
      </c>
      <c r="C1316" t="s">
        <v>83</v>
      </c>
      <c r="D1316" t="s">
        <v>176</v>
      </c>
      <c r="E1316">
        <f>IF(WEEKNUM(Combined[[#This Row],[Date]], 1) = 53, 1, WEEKNUM(Combined[[#This Row],[Date]], 2))</f>
        <v>27</v>
      </c>
      <c r="F1316" t="str">
        <f t="shared" si="323"/>
        <v>Tuesday</v>
      </c>
      <c r="G1316" s="41">
        <v>45475</v>
      </c>
      <c r="H1316">
        <v>9</v>
      </c>
      <c r="I1316" s="1">
        <v>130.74</v>
      </c>
      <c r="J1316" s="2">
        <v>0.21180555555555555</v>
      </c>
      <c r="K1316" s="12">
        <f>Combined[[#This Row],[Time Spent]]*24</f>
        <v>5.083333333333333</v>
      </c>
      <c r="L1316" s="12">
        <f>MROUND(Combined[[#This Row],[Time Spent 2]],0.25)</f>
        <v>5</v>
      </c>
      <c r="M1316" s="2" t="s">
        <v>91</v>
      </c>
      <c r="N1316" t="s">
        <v>85</v>
      </c>
      <c r="O1316">
        <f>MATCH(Combined[[#This Row],[Primary Area]],KPIs!$C$4:$C$7,0)</f>
        <v>4</v>
      </c>
      <c r="R1316" s="40"/>
      <c r="V1316" s="4"/>
      <c r="X1316"/>
    </row>
    <row r="1317" spans="2:24" x14ac:dyDescent="0.35">
      <c r="B1317">
        <f t="shared" si="320"/>
        <v>1315</v>
      </c>
      <c r="C1317" t="s">
        <v>86</v>
      </c>
      <c r="D1317" t="s">
        <v>176</v>
      </c>
      <c r="E1317">
        <f>IF(WEEKNUM(Combined[[#This Row],[Date]], 1) = 53, 1, WEEKNUM(Combined[[#This Row],[Date]], 2))</f>
        <v>27</v>
      </c>
      <c r="F1317" t="str">
        <f t="shared" si="323"/>
        <v>Tuesday</v>
      </c>
      <c r="G1317" s="41">
        <v>45475</v>
      </c>
      <c r="H1317">
        <v>3</v>
      </c>
      <c r="I1317" s="1">
        <v>23</v>
      </c>
      <c r="J1317" s="2">
        <v>4.5138888888888888E-2</v>
      </c>
      <c r="K1317" s="12">
        <f>Combined[[#This Row],[Time Spent]]*24</f>
        <v>1.0833333333333333</v>
      </c>
      <c r="L1317" s="12">
        <f>MROUND(Combined[[#This Row],[Time Spent 2]],0.25)</f>
        <v>1</v>
      </c>
      <c r="M1317" s="2" t="s">
        <v>92</v>
      </c>
      <c r="N1317" t="s">
        <v>85</v>
      </c>
      <c r="O1317">
        <f>MATCH(Combined[[#This Row],[Primary Area]],KPIs!$C$4:$C$7,0)</f>
        <v>4</v>
      </c>
      <c r="R1317" s="40"/>
      <c r="V1317" s="4"/>
      <c r="X1317"/>
    </row>
    <row r="1318" spans="2:24" x14ac:dyDescent="0.35">
      <c r="B1318">
        <f t="shared" si="320"/>
        <v>1316</v>
      </c>
      <c r="C1318" t="s">
        <v>83</v>
      </c>
      <c r="D1318" t="s">
        <v>176</v>
      </c>
      <c r="E1318">
        <f>IF(WEEKNUM(Combined[[#This Row],[Date]], 1) = 53, 1, WEEKNUM(Combined[[#This Row],[Date]], 2))</f>
        <v>27</v>
      </c>
      <c r="F1318" t="str">
        <f t="shared" si="323"/>
        <v>Wednesday</v>
      </c>
      <c r="G1318" s="41">
        <v>45476</v>
      </c>
      <c r="H1318">
        <v>3</v>
      </c>
      <c r="I1318" s="1">
        <v>38.54</v>
      </c>
      <c r="J1318" s="2">
        <v>8.5416666666666669E-2</v>
      </c>
      <c r="K1318" s="12">
        <f>Combined[[#This Row],[Time Spent]]*24</f>
        <v>2.0499999999999998</v>
      </c>
      <c r="L1318" s="12">
        <f>MROUND(Combined[[#This Row],[Time Spent 2]],0.25)</f>
        <v>2</v>
      </c>
      <c r="M1318" s="2" t="s">
        <v>91</v>
      </c>
      <c r="N1318" t="s">
        <v>80</v>
      </c>
      <c r="O1318">
        <f>MATCH(Combined[[#This Row],[Primary Area]],KPIs!$C$4:$C$7,0)</f>
        <v>2</v>
      </c>
      <c r="R1318" s="40"/>
      <c r="V1318" s="4"/>
      <c r="X1318"/>
    </row>
    <row r="1319" spans="2:24" x14ac:dyDescent="0.35">
      <c r="B1319">
        <f t="shared" si="320"/>
        <v>1317</v>
      </c>
      <c r="C1319" t="s">
        <v>86</v>
      </c>
      <c r="D1319" t="s">
        <v>176</v>
      </c>
      <c r="E1319">
        <f>IF(WEEKNUM(Combined[[#This Row],[Date]], 1) = 53, 1, WEEKNUM(Combined[[#This Row],[Date]], 2))</f>
        <v>27</v>
      </c>
      <c r="F1319" t="str">
        <f t="shared" si="323"/>
        <v>Wednesday</v>
      </c>
      <c r="G1319" s="41">
        <v>45476</v>
      </c>
      <c r="H1319">
        <v>11</v>
      </c>
      <c r="I1319" s="1">
        <v>92.25</v>
      </c>
      <c r="J1319" s="2">
        <v>0.19513888888888889</v>
      </c>
      <c r="K1319" s="12">
        <f>Combined[[#This Row],[Time Spent]]*24</f>
        <v>4.6833333333333336</v>
      </c>
      <c r="L1319" s="12">
        <f>MROUND(Combined[[#This Row],[Time Spent 2]],0.25)</f>
        <v>4.75</v>
      </c>
      <c r="M1319" s="2" t="s">
        <v>91</v>
      </c>
      <c r="N1319" t="s">
        <v>80</v>
      </c>
      <c r="O1319">
        <f>MATCH(Combined[[#This Row],[Primary Area]],KPIs!$C$4:$C$7,0)</f>
        <v>2</v>
      </c>
      <c r="R1319" s="40"/>
      <c r="V1319" s="4"/>
      <c r="X1319"/>
    </row>
    <row r="1320" spans="2:24" x14ac:dyDescent="0.35">
      <c r="B1320">
        <f t="shared" si="320"/>
        <v>1318</v>
      </c>
      <c r="C1320" t="s">
        <v>83</v>
      </c>
      <c r="D1320" t="s">
        <v>176</v>
      </c>
      <c r="E1320">
        <f>IF(WEEKNUM(Combined[[#This Row],[Date]], 1) = 53, 1, WEEKNUM(Combined[[#This Row],[Date]], 2))</f>
        <v>27</v>
      </c>
      <c r="F1320" t="str">
        <f t="shared" si="323"/>
        <v>Thursday</v>
      </c>
      <c r="G1320" s="41">
        <v>45477</v>
      </c>
      <c r="H1320">
        <v>6</v>
      </c>
      <c r="I1320" s="1">
        <v>95.36</v>
      </c>
      <c r="J1320" s="2">
        <v>0.13819444444444445</v>
      </c>
      <c r="K1320" s="12">
        <f>Combined[[#This Row],[Time Spent]]*24</f>
        <v>3.3166666666666669</v>
      </c>
      <c r="L1320" s="12">
        <f>MROUND(Combined[[#This Row],[Time Spent 2]],0.25)</f>
        <v>3.25</v>
      </c>
      <c r="M1320" s="2" t="s">
        <v>91</v>
      </c>
      <c r="N1320" t="s">
        <v>85</v>
      </c>
      <c r="O1320">
        <f>MATCH(Combined[[#This Row],[Primary Area]],KPIs!$C$4:$C$7,0)</f>
        <v>4</v>
      </c>
      <c r="R1320" s="40"/>
      <c r="V1320" s="4"/>
      <c r="X1320"/>
    </row>
    <row r="1321" spans="2:24" x14ac:dyDescent="0.35">
      <c r="B1321">
        <f t="shared" si="320"/>
        <v>1319</v>
      </c>
      <c r="C1321" t="s">
        <v>86</v>
      </c>
      <c r="D1321" t="s">
        <v>176</v>
      </c>
      <c r="E1321">
        <f>IF(WEEKNUM(Combined[[#This Row],[Date]], 1) = 53, 1, WEEKNUM(Combined[[#This Row],[Date]], 2))</f>
        <v>27</v>
      </c>
      <c r="F1321" t="str">
        <f t="shared" si="323"/>
        <v>Thursday</v>
      </c>
      <c r="G1321" s="41">
        <v>45477</v>
      </c>
      <c r="H1321">
        <v>4</v>
      </c>
      <c r="I1321" s="1">
        <v>70.569999999999993</v>
      </c>
      <c r="J1321" s="2">
        <v>0.14305555555555555</v>
      </c>
      <c r="K1321" s="12">
        <f>Combined[[#This Row],[Time Spent]]*24</f>
        <v>3.4333333333333331</v>
      </c>
      <c r="L1321" s="12">
        <f>MROUND(Combined[[#This Row],[Time Spent 2]],0.25)</f>
        <v>3.5</v>
      </c>
      <c r="M1321" s="2" t="s">
        <v>91</v>
      </c>
      <c r="N1321" t="s">
        <v>85</v>
      </c>
      <c r="O1321">
        <f>MATCH(Combined[[#This Row],[Primary Area]],KPIs!$C$4:$C$7,0)</f>
        <v>4</v>
      </c>
      <c r="R1321" s="40"/>
      <c r="V1321" s="4"/>
      <c r="X1321"/>
    </row>
    <row r="1322" spans="2:24" x14ac:dyDescent="0.35">
      <c r="B1322">
        <f t="shared" si="320"/>
        <v>1320</v>
      </c>
      <c r="C1322" t="s">
        <v>83</v>
      </c>
      <c r="D1322" t="s">
        <v>176</v>
      </c>
      <c r="E1322">
        <f>IF(WEEKNUM(Combined[[#This Row],[Date]], 1) = 53, 1, WEEKNUM(Combined[[#This Row],[Date]], 2))</f>
        <v>28</v>
      </c>
      <c r="F1322" t="str">
        <f t="shared" ref="F1322:F1327" si="324">TEXT(WEEKDAY(G1322,1),"DDDD")</f>
        <v>Tuesday</v>
      </c>
      <c r="G1322" s="41">
        <v>45482</v>
      </c>
      <c r="H1322">
        <v>1</v>
      </c>
      <c r="I1322" s="1">
        <v>8.5</v>
      </c>
      <c r="J1322" s="2">
        <v>6.5972222222222224E-2</v>
      </c>
      <c r="K1322" s="12">
        <f>Combined[[#This Row],[Time Spent]]*24</f>
        <v>1.5833333333333335</v>
      </c>
      <c r="L1322" s="12">
        <f>MROUND(Combined[[#This Row],[Time Spent 2]],0.25)</f>
        <v>1.5</v>
      </c>
      <c r="M1322" s="2" t="s">
        <v>91</v>
      </c>
      <c r="N1322" t="s">
        <v>85</v>
      </c>
      <c r="O1322">
        <f>MATCH(Combined[[#This Row],[Primary Area]],KPIs!$C$4:$C$7,0)</f>
        <v>4</v>
      </c>
      <c r="R1322" s="40"/>
      <c r="V1322" s="4"/>
      <c r="X1322"/>
    </row>
    <row r="1323" spans="2:24" x14ac:dyDescent="0.35">
      <c r="B1323">
        <f t="shared" si="320"/>
        <v>1321</v>
      </c>
      <c r="C1323" t="s">
        <v>86</v>
      </c>
      <c r="D1323" t="s">
        <v>176</v>
      </c>
      <c r="E1323">
        <f>IF(WEEKNUM(Combined[[#This Row],[Date]], 1) = 53, 1, WEEKNUM(Combined[[#This Row],[Date]], 2))</f>
        <v>28</v>
      </c>
      <c r="F1323" t="str">
        <f t="shared" si="324"/>
        <v>Tuesday</v>
      </c>
      <c r="G1323" s="41">
        <v>45482</v>
      </c>
      <c r="H1323">
        <v>2</v>
      </c>
      <c r="I1323" s="1">
        <f>13.25+6.25</f>
        <v>19.5</v>
      </c>
      <c r="J1323" s="2">
        <v>5.1388888888888887E-2</v>
      </c>
      <c r="K1323" s="12">
        <f>Combined[[#This Row],[Time Spent]]*24</f>
        <v>1.2333333333333334</v>
      </c>
      <c r="L1323" s="12">
        <f>MROUND(Combined[[#This Row],[Time Spent 2]],0.25)</f>
        <v>1.25</v>
      </c>
      <c r="M1323" s="2" t="s">
        <v>91</v>
      </c>
      <c r="N1323" t="s">
        <v>85</v>
      </c>
      <c r="O1323">
        <f>MATCH(Combined[[#This Row],[Primary Area]],KPIs!$C$4:$C$7,0)</f>
        <v>4</v>
      </c>
      <c r="R1323" s="40"/>
      <c r="V1323" s="4"/>
      <c r="X1323"/>
    </row>
    <row r="1324" spans="2:24" x14ac:dyDescent="0.35">
      <c r="B1324">
        <f t="shared" si="320"/>
        <v>1322</v>
      </c>
      <c r="C1324" t="s">
        <v>83</v>
      </c>
      <c r="D1324" t="s">
        <v>176</v>
      </c>
      <c r="E1324">
        <f>IF(WEEKNUM(Combined[[#This Row],[Date]], 1) = 53, 1, WEEKNUM(Combined[[#This Row],[Date]], 2))</f>
        <v>28</v>
      </c>
      <c r="F1324" t="str">
        <f t="shared" si="324"/>
        <v>Thursday</v>
      </c>
      <c r="G1324" s="41">
        <v>45484</v>
      </c>
      <c r="H1324">
        <v>1</v>
      </c>
      <c r="I1324" s="1">
        <v>13.39</v>
      </c>
      <c r="J1324" s="2">
        <v>3.1944444444444442E-2</v>
      </c>
      <c r="K1324" s="12">
        <f>Combined[[#This Row],[Time Spent]]*24</f>
        <v>0.76666666666666661</v>
      </c>
      <c r="L1324" s="12">
        <f>MROUND(Combined[[#This Row],[Time Spent 2]],0.25)</f>
        <v>0.75</v>
      </c>
      <c r="M1324" s="2" t="s">
        <v>91</v>
      </c>
      <c r="N1324" t="s">
        <v>80</v>
      </c>
      <c r="O1324">
        <f>MATCH(Combined[[#This Row],[Primary Area]],KPIs!$C$4:$C$7,0)</f>
        <v>2</v>
      </c>
      <c r="R1324" s="40"/>
      <c r="V1324" s="4"/>
      <c r="X1324"/>
    </row>
    <row r="1325" spans="2:24" x14ac:dyDescent="0.35">
      <c r="B1325">
        <f t="shared" si="320"/>
        <v>1323</v>
      </c>
      <c r="C1325" t="s">
        <v>83</v>
      </c>
      <c r="D1325" t="s">
        <v>176</v>
      </c>
      <c r="E1325">
        <f>IF(WEEKNUM(Combined[[#This Row],[Date]], 1) = 53, 1, WEEKNUM(Combined[[#This Row],[Date]], 2))</f>
        <v>28</v>
      </c>
      <c r="F1325" t="str">
        <f>TEXT(WEEKDAY(G1325,1),"DDDD")</f>
        <v>Friday</v>
      </c>
      <c r="G1325" s="41">
        <v>45485</v>
      </c>
      <c r="H1325">
        <v>6</v>
      </c>
      <c r="I1325" s="1">
        <v>66.62</v>
      </c>
      <c r="J1325" s="2">
        <v>0.18124999999999999</v>
      </c>
      <c r="K1325" s="12">
        <f>Combined[[#This Row],[Time Spent]]*24</f>
        <v>4.3499999999999996</v>
      </c>
      <c r="L1325" s="12">
        <f>MROUND(Combined[[#This Row],[Time Spent 2]],0.25)</f>
        <v>4.25</v>
      </c>
      <c r="M1325" s="2" t="s">
        <v>91</v>
      </c>
      <c r="N1325" t="s">
        <v>85</v>
      </c>
      <c r="O1325">
        <f>MATCH(Combined[[#This Row],[Primary Area]],KPIs!$C$4:$C$7,0)</f>
        <v>4</v>
      </c>
      <c r="R1325" s="40"/>
      <c r="V1325" s="4"/>
      <c r="X1325"/>
    </row>
    <row r="1326" spans="2:24" x14ac:dyDescent="0.35">
      <c r="B1326">
        <f t="shared" si="320"/>
        <v>1324</v>
      </c>
      <c r="C1326" t="s">
        <v>86</v>
      </c>
      <c r="D1326" t="s">
        <v>175</v>
      </c>
      <c r="E1326">
        <f>IF(WEEKNUM(Combined[[#This Row],[Date]], 1) = 53, 1, WEEKNUM(Combined[[#This Row],[Date]], 2))</f>
        <v>28</v>
      </c>
      <c r="F1326" t="str">
        <f t="shared" si="324"/>
        <v>Friday</v>
      </c>
      <c r="G1326" s="41">
        <v>45485</v>
      </c>
      <c r="H1326">
        <v>2</v>
      </c>
      <c r="I1326" s="1">
        <v>26.07</v>
      </c>
      <c r="J1326" s="2">
        <v>7.4305555555555555E-2</v>
      </c>
      <c r="K1326" s="12">
        <f>Combined[[#This Row],[Time Spent]]*24</f>
        <v>1.7833333333333332</v>
      </c>
      <c r="L1326" s="12">
        <f>MROUND(Combined[[#This Row],[Time Spent 2]],0.25)</f>
        <v>1.75</v>
      </c>
      <c r="M1326" s="2" t="s">
        <v>91</v>
      </c>
      <c r="N1326" t="s">
        <v>85</v>
      </c>
      <c r="O1326">
        <f>MATCH(Combined[[#This Row],[Primary Area]],KPIs!$C$4:$C$7,0)</f>
        <v>4</v>
      </c>
      <c r="R1326" s="40"/>
      <c r="V1326" s="4"/>
      <c r="X1326"/>
    </row>
    <row r="1327" spans="2:24" x14ac:dyDescent="0.35">
      <c r="B1327">
        <f t="shared" si="320"/>
        <v>1325</v>
      </c>
      <c r="C1327" t="s">
        <v>86</v>
      </c>
      <c r="D1327" t="s">
        <v>175</v>
      </c>
      <c r="E1327">
        <f>IF(WEEKNUM(Combined[[#This Row],[Date]], 1) = 53, 1, WEEKNUM(Combined[[#This Row],[Date]], 2))</f>
        <v>28</v>
      </c>
      <c r="F1327" t="str">
        <f t="shared" si="324"/>
        <v>Friday</v>
      </c>
      <c r="G1327" s="41">
        <v>45485</v>
      </c>
      <c r="H1327">
        <v>4</v>
      </c>
      <c r="I1327" s="1">
        <f>29.93+5.04</f>
        <v>34.97</v>
      </c>
      <c r="J1327" s="2">
        <v>5.4166666666666669E-2</v>
      </c>
      <c r="K1327" s="12">
        <f>Combined[[#This Row],[Time Spent]]*24</f>
        <v>1.3</v>
      </c>
      <c r="L1327" s="12">
        <f>MROUND(Combined[[#This Row],[Time Spent 2]],0.25)</f>
        <v>1.25</v>
      </c>
      <c r="M1327" s="2" t="s">
        <v>92</v>
      </c>
      <c r="N1327" t="s">
        <v>85</v>
      </c>
      <c r="O1327">
        <f>MATCH(Combined[[#This Row],[Primary Area]],KPIs!$C$4:$C$7,0)</f>
        <v>4</v>
      </c>
      <c r="R1327" s="40"/>
      <c r="V1327" s="4"/>
      <c r="X1327"/>
    </row>
    <row r="1328" spans="2:24" x14ac:dyDescent="0.35">
      <c r="B1328">
        <f t="shared" si="320"/>
        <v>1326</v>
      </c>
      <c r="C1328" t="s">
        <v>83</v>
      </c>
      <c r="D1328" t="s">
        <v>176</v>
      </c>
      <c r="E1328">
        <f>IF(WEEKNUM(Combined[[#This Row],[Date]], 1) = 53, 1, WEEKNUM(Combined[[#This Row],[Date]], 2))</f>
        <v>29</v>
      </c>
      <c r="F1328" t="str">
        <f t="shared" ref="F1328:F1340" si="325">TEXT(WEEKDAY(G1328,1),"DDDD")</f>
        <v>Monday</v>
      </c>
      <c r="G1328" s="41">
        <v>45488</v>
      </c>
      <c r="H1328">
        <v>12</v>
      </c>
      <c r="I1328" s="1">
        <v>119.68</v>
      </c>
      <c r="J1328" s="2">
        <v>0.26319444444444445</v>
      </c>
      <c r="K1328" s="12">
        <f>Combined[[#This Row],[Time Spent]]*24</f>
        <v>6.3166666666666664</v>
      </c>
      <c r="L1328" s="12">
        <f>MROUND(Combined[[#This Row],[Time Spent 2]],0.25)</f>
        <v>6.25</v>
      </c>
      <c r="M1328" s="2" t="s">
        <v>91</v>
      </c>
      <c r="N1328" t="s">
        <v>85</v>
      </c>
      <c r="O1328">
        <f>MATCH(Combined[[#This Row],[Primary Area]],KPIs!$C$4:$C$7,0)</f>
        <v>4</v>
      </c>
      <c r="R1328" s="40"/>
      <c r="V1328" s="4"/>
      <c r="X1328"/>
    </row>
    <row r="1329" spans="2:24" x14ac:dyDescent="0.35">
      <c r="B1329">
        <f t="shared" si="320"/>
        <v>1327</v>
      </c>
      <c r="C1329" t="s">
        <v>83</v>
      </c>
      <c r="D1329" t="s">
        <v>176</v>
      </c>
      <c r="E1329">
        <f>IF(WEEKNUM(Combined[[#This Row],[Date]], 1) = 53, 1, WEEKNUM(Combined[[#This Row],[Date]], 2))</f>
        <v>29</v>
      </c>
      <c r="F1329" t="str">
        <f t="shared" si="325"/>
        <v>Tuesday</v>
      </c>
      <c r="G1329" s="41">
        <v>45489</v>
      </c>
      <c r="H1329">
        <v>1</v>
      </c>
      <c r="I1329" s="1">
        <v>20.07</v>
      </c>
      <c r="J1329" s="2">
        <v>5.9027777777777776E-2</v>
      </c>
      <c r="K1329" s="12">
        <f>Combined[[#This Row],[Time Spent]]*24</f>
        <v>1.4166666666666665</v>
      </c>
      <c r="L1329" s="12">
        <f>MROUND(Combined[[#This Row],[Time Spent 2]],0.25)</f>
        <v>1.5</v>
      </c>
      <c r="M1329" s="2" t="s">
        <v>91</v>
      </c>
      <c r="N1329" t="s">
        <v>80</v>
      </c>
      <c r="O1329">
        <f>MATCH(Combined[[#This Row],[Primary Area]],KPIs!$C$4:$C$7,0)</f>
        <v>2</v>
      </c>
      <c r="R1329" s="40"/>
      <c r="V1329" s="4"/>
      <c r="X1329"/>
    </row>
    <row r="1330" spans="2:24" x14ac:dyDescent="0.35">
      <c r="B1330">
        <f t="shared" si="320"/>
        <v>1328</v>
      </c>
      <c r="C1330" t="s">
        <v>86</v>
      </c>
      <c r="D1330" t="s">
        <v>176</v>
      </c>
      <c r="E1330">
        <f>IF(WEEKNUM(Combined[[#This Row],[Date]], 1) = 53, 1, WEEKNUM(Combined[[#This Row],[Date]], 2))</f>
        <v>29</v>
      </c>
      <c r="F1330" t="str">
        <f t="shared" si="325"/>
        <v>Tuesday</v>
      </c>
      <c r="G1330" s="41">
        <v>45489</v>
      </c>
      <c r="H1330">
        <v>9</v>
      </c>
      <c r="I1330" s="1">
        <v>96.14</v>
      </c>
      <c r="J1330" s="2">
        <v>0.21458333333333332</v>
      </c>
      <c r="K1330" s="12">
        <f>Combined[[#This Row],[Time Spent]]*24</f>
        <v>5.1499999999999995</v>
      </c>
      <c r="L1330" s="12">
        <f>MROUND(Combined[[#This Row],[Time Spent 2]],0.25)</f>
        <v>5.25</v>
      </c>
      <c r="M1330" s="2" t="s">
        <v>91</v>
      </c>
      <c r="N1330" t="s">
        <v>80</v>
      </c>
      <c r="O1330">
        <f>MATCH(Combined[[#This Row],[Primary Area]],KPIs!$C$4:$C$7,0)</f>
        <v>2</v>
      </c>
      <c r="R1330" s="40"/>
      <c r="V1330" s="4"/>
      <c r="X1330"/>
    </row>
    <row r="1331" spans="2:24" x14ac:dyDescent="0.35">
      <c r="B1331">
        <f t="shared" si="320"/>
        <v>1329</v>
      </c>
      <c r="C1331" t="s">
        <v>83</v>
      </c>
      <c r="D1331" t="s">
        <v>176</v>
      </c>
      <c r="E1331">
        <f>IF(WEEKNUM(Combined[[#This Row],[Date]], 1) = 53, 1, WEEKNUM(Combined[[#This Row],[Date]], 2))</f>
        <v>29</v>
      </c>
      <c r="F1331" t="str">
        <f t="shared" si="325"/>
        <v>Wednesday</v>
      </c>
      <c r="G1331" s="41">
        <v>45490</v>
      </c>
      <c r="H1331">
        <v>3</v>
      </c>
      <c r="I1331" s="1">
        <v>24.38</v>
      </c>
      <c r="J1331" s="2">
        <v>8.819444444444445E-2</v>
      </c>
      <c r="K1331" s="12">
        <f>Combined[[#This Row],[Time Spent]]*24</f>
        <v>2.1166666666666667</v>
      </c>
      <c r="L1331" s="12">
        <f>MROUND(Combined[[#This Row],[Time Spent 2]],0.25)</f>
        <v>2</v>
      </c>
      <c r="M1331" s="2" t="s">
        <v>91</v>
      </c>
      <c r="N1331" t="s">
        <v>82</v>
      </c>
      <c r="O1331">
        <f>MATCH(Combined[[#This Row],[Primary Area]],KPIs!$C$4:$C$7,0)</f>
        <v>3</v>
      </c>
      <c r="R1331" s="40"/>
      <c r="V1331" s="4"/>
      <c r="X1331"/>
    </row>
    <row r="1332" spans="2:24" x14ac:dyDescent="0.35">
      <c r="B1332">
        <f t="shared" si="320"/>
        <v>1330</v>
      </c>
      <c r="C1332" t="s">
        <v>86</v>
      </c>
      <c r="D1332" t="s">
        <v>176</v>
      </c>
      <c r="E1332">
        <f>IF(WEEKNUM(Combined[[#This Row],[Date]], 1) = 53, 1, WEEKNUM(Combined[[#This Row],[Date]], 2))</f>
        <v>29</v>
      </c>
      <c r="F1332" t="str">
        <f t="shared" si="325"/>
        <v>Wednesday</v>
      </c>
      <c r="G1332" s="41">
        <v>45490</v>
      </c>
      <c r="H1332">
        <v>5</v>
      </c>
      <c r="I1332" s="1">
        <v>34.5</v>
      </c>
      <c r="J1332" s="2">
        <v>9.166666666666666E-2</v>
      </c>
      <c r="K1332" s="12">
        <f>Combined[[#This Row],[Time Spent]]*24</f>
        <v>2.1999999999999997</v>
      </c>
      <c r="L1332" s="12">
        <f>MROUND(Combined[[#This Row],[Time Spent 2]],0.25)</f>
        <v>2.25</v>
      </c>
      <c r="M1332" s="2" t="s">
        <v>91</v>
      </c>
      <c r="N1332" t="s">
        <v>82</v>
      </c>
      <c r="O1332">
        <f>MATCH(Combined[[#This Row],[Primary Area]],KPIs!$C$4:$C$7,0)</f>
        <v>3</v>
      </c>
      <c r="R1332" s="40"/>
      <c r="V1332" s="4"/>
      <c r="X1332"/>
    </row>
    <row r="1333" spans="2:24" x14ac:dyDescent="0.35">
      <c r="B1333">
        <f t="shared" si="320"/>
        <v>1331</v>
      </c>
      <c r="C1333" t="s">
        <v>83</v>
      </c>
      <c r="D1333" t="s">
        <v>176</v>
      </c>
      <c r="E1333">
        <f>IF(WEEKNUM(Combined[[#This Row],[Date]], 1) = 53, 1, WEEKNUM(Combined[[#This Row],[Date]], 2))</f>
        <v>29</v>
      </c>
      <c r="F1333" t="str">
        <f t="shared" si="325"/>
        <v>Thursday</v>
      </c>
      <c r="G1333" s="41">
        <v>45491</v>
      </c>
      <c r="H1333">
        <v>6</v>
      </c>
      <c r="I1333" s="1">
        <v>72.97</v>
      </c>
      <c r="J1333" s="2">
        <v>0.16527777777777777</v>
      </c>
      <c r="K1333" s="12">
        <f>Combined[[#This Row],[Time Spent]]*24</f>
        <v>3.9666666666666668</v>
      </c>
      <c r="L1333" s="12">
        <f>MROUND(Combined[[#This Row],[Time Spent 2]],0.25)</f>
        <v>4</v>
      </c>
      <c r="M1333" s="2" t="s">
        <v>91</v>
      </c>
      <c r="N1333" t="s">
        <v>85</v>
      </c>
      <c r="O1333">
        <f>MATCH(Combined[[#This Row],[Primary Area]],KPIs!$C$4:$C$7,0)</f>
        <v>4</v>
      </c>
      <c r="R1333" s="40"/>
      <c r="V1333" s="4"/>
      <c r="X1333"/>
    </row>
    <row r="1334" spans="2:24" x14ac:dyDescent="0.35">
      <c r="B1334">
        <f t="shared" si="320"/>
        <v>1332</v>
      </c>
      <c r="C1334" t="s">
        <v>86</v>
      </c>
      <c r="D1334" t="s">
        <v>176</v>
      </c>
      <c r="E1334">
        <f>IF(WEEKNUM(Combined[[#This Row],[Date]], 1) = 53, 1, WEEKNUM(Combined[[#This Row],[Date]], 2))</f>
        <v>29</v>
      </c>
      <c r="F1334" t="str">
        <f t="shared" si="325"/>
        <v>Thursday</v>
      </c>
      <c r="G1334" s="41">
        <v>45491</v>
      </c>
      <c r="H1334">
        <v>2</v>
      </c>
      <c r="I1334" s="1">
        <v>41.25</v>
      </c>
      <c r="J1334" s="2">
        <v>8.5416666666666669E-2</v>
      </c>
      <c r="K1334" s="12">
        <f>Combined[[#This Row],[Time Spent]]*24</f>
        <v>2.0499999999999998</v>
      </c>
      <c r="L1334" s="12">
        <f>MROUND(Combined[[#This Row],[Time Spent 2]],0.25)</f>
        <v>2</v>
      </c>
      <c r="M1334" s="2" t="s">
        <v>91</v>
      </c>
      <c r="N1334" t="s">
        <v>85</v>
      </c>
      <c r="O1334">
        <f>MATCH(Combined[[#This Row],[Primary Area]],KPIs!$C$4:$C$7,0)</f>
        <v>4</v>
      </c>
      <c r="R1334" s="40"/>
      <c r="V1334" s="4"/>
      <c r="X1334"/>
    </row>
    <row r="1335" spans="2:24" x14ac:dyDescent="0.35">
      <c r="B1335">
        <f t="shared" ref="B1335:B1398" si="326">ROW()-2</f>
        <v>1333</v>
      </c>
      <c r="C1335" t="s">
        <v>86</v>
      </c>
      <c r="D1335" t="s">
        <v>176</v>
      </c>
      <c r="E1335">
        <f>IF(WEEKNUM(Combined[[#This Row],[Date]], 1) = 53, 1, WEEKNUM(Combined[[#This Row],[Date]], 2))</f>
        <v>29</v>
      </c>
      <c r="F1335" t="str">
        <f t="shared" si="325"/>
        <v>Thursday</v>
      </c>
      <c r="G1335" s="41">
        <v>45491</v>
      </c>
      <c r="H1335">
        <v>2</v>
      </c>
      <c r="I1335" s="1">
        <v>25.47</v>
      </c>
      <c r="J1335" s="2">
        <v>6.0416666666666667E-2</v>
      </c>
      <c r="K1335" s="12">
        <f>Combined[[#This Row],[Time Spent]]*24</f>
        <v>1.45</v>
      </c>
      <c r="L1335" s="12">
        <f>MROUND(Combined[[#This Row],[Time Spent 2]],0.25)</f>
        <v>1.5</v>
      </c>
      <c r="M1335" s="2" t="s">
        <v>91</v>
      </c>
      <c r="N1335" t="s">
        <v>85</v>
      </c>
      <c r="O1335">
        <f>MATCH(Combined[[#This Row],[Primary Area]],KPIs!$C$4:$C$7,0)</f>
        <v>4</v>
      </c>
      <c r="R1335" s="40"/>
      <c r="V1335" s="4"/>
      <c r="X1335"/>
    </row>
    <row r="1336" spans="2:24" x14ac:dyDescent="0.35">
      <c r="B1336">
        <f t="shared" si="326"/>
        <v>1334</v>
      </c>
      <c r="C1336" t="s">
        <v>83</v>
      </c>
      <c r="D1336" t="s">
        <v>176</v>
      </c>
      <c r="E1336">
        <f>IF(WEEKNUM(Combined[[#This Row],[Date]], 1) = 53, 1, WEEKNUM(Combined[[#This Row],[Date]], 2))</f>
        <v>29</v>
      </c>
      <c r="F1336" t="str">
        <f t="shared" si="325"/>
        <v>Friday</v>
      </c>
      <c r="G1336" s="41">
        <v>45492</v>
      </c>
      <c r="H1336">
        <v>2</v>
      </c>
      <c r="I1336" s="1">
        <v>38.1</v>
      </c>
      <c r="J1336" s="2">
        <v>0.12916666666666668</v>
      </c>
      <c r="K1336" s="12">
        <f>Combined[[#This Row],[Time Spent]]*24</f>
        <v>3.1000000000000005</v>
      </c>
      <c r="L1336" s="12">
        <f>MROUND(Combined[[#This Row],[Time Spent 2]],0.25)</f>
        <v>3</v>
      </c>
      <c r="M1336" s="2" t="s">
        <v>91</v>
      </c>
      <c r="N1336" t="s">
        <v>80</v>
      </c>
      <c r="O1336">
        <f>MATCH(Combined[[#This Row],[Primary Area]],KPIs!$C$4:$C$7,0)</f>
        <v>2</v>
      </c>
      <c r="R1336" s="40"/>
      <c r="V1336" s="4"/>
      <c r="X1336"/>
    </row>
    <row r="1337" spans="2:24" x14ac:dyDescent="0.35">
      <c r="B1337">
        <f t="shared" si="326"/>
        <v>1335</v>
      </c>
      <c r="C1337" t="s">
        <v>86</v>
      </c>
      <c r="D1337" t="s">
        <v>176</v>
      </c>
      <c r="E1337">
        <f>IF(WEEKNUM(Combined[[#This Row],[Date]], 1) = 53, 1, WEEKNUM(Combined[[#This Row],[Date]], 2))</f>
        <v>29</v>
      </c>
      <c r="F1337" t="str">
        <f t="shared" si="325"/>
        <v>Friday</v>
      </c>
      <c r="G1337" s="41">
        <v>45492</v>
      </c>
      <c r="H1337">
        <v>1</v>
      </c>
      <c r="I1337" s="1">
        <v>8</v>
      </c>
      <c r="J1337" s="2">
        <v>2.2222222222222223E-2</v>
      </c>
      <c r="K1337" s="12">
        <f>Combined[[#This Row],[Time Spent]]*24</f>
        <v>0.53333333333333333</v>
      </c>
      <c r="L1337" s="12">
        <f>MROUND(Combined[[#This Row],[Time Spent 2]],0.25)</f>
        <v>0.5</v>
      </c>
      <c r="M1337" s="2" t="s">
        <v>91</v>
      </c>
      <c r="N1337" t="s">
        <v>80</v>
      </c>
      <c r="O1337">
        <f>MATCH(Combined[[#This Row],[Primary Area]],KPIs!$C$4:$C$7,0)</f>
        <v>2</v>
      </c>
      <c r="R1337" s="40"/>
      <c r="V1337" s="4"/>
      <c r="X1337"/>
    </row>
    <row r="1338" spans="2:24" x14ac:dyDescent="0.35">
      <c r="B1338">
        <f t="shared" si="326"/>
        <v>1336</v>
      </c>
      <c r="C1338" t="s">
        <v>86</v>
      </c>
      <c r="D1338" t="s">
        <v>176</v>
      </c>
      <c r="E1338">
        <f>IF(WEEKNUM(Combined[[#This Row],[Date]], 1) = 53, 1, WEEKNUM(Combined[[#This Row],[Date]], 2))</f>
        <v>29</v>
      </c>
      <c r="F1338" t="str">
        <f t="shared" si="325"/>
        <v>Friday</v>
      </c>
      <c r="G1338" s="41">
        <v>45492</v>
      </c>
      <c r="H1338">
        <v>4</v>
      </c>
      <c r="I1338" s="1">
        <v>32.5</v>
      </c>
      <c r="J1338" s="2">
        <v>6.1805555555555558E-2</v>
      </c>
      <c r="K1338" s="12">
        <f>Combined[[#This Row],[Time Spent]]*24</f>
        <v>1.4833333333333334</v>
      </c>
      <c r="L1338" s="12">
        <f>MROUND(Combined[[#This Row],[Time Spent 2]],0.25)</f>
        <v>1.5</v>
      </c>
      <c r="M1338" s="2" t="s">
        <v>91</v>
      </c>
      <c r="N1338" t="s">
        <v>80</v>
      </c>
      <c r="O1338">
        <f>MATCH(Combined[[#This Row],[Primary Area]],KPIs!$C$4:$C$7,0)</f>
        <v>2</v>
      </c>
      <c r="R1338" s="40"/>
      <c r="V1338" s="4"/>
      <c r="X1338"/>
    </row>
    <row r="1339" spans="2:24" x14ac:dyDescent="0.35">
      <c r="B1339">
        <f t="shared" si="326"/>
        <v>1337</v>
      </c>
      <c r="C1339" t="s">
        <v>86</v>
      </c>
      <c r="D1339" t="s">
        <v>176</v>
      </c>
      <c r="E1339">
        <f>IF(WEEKNUM(Combined[[#This Row],[Date]], 1) = 53, 1, WEEKNUM(Combined[[#This Row],[Date]], 2))</f>
        <v>29</v>
      </c>
      <c r="F1339" t="str">
        <f t="shared" si="325"/>
        <v>Friday</v>
      </c>
      <c r="G1339" s="41">
        <v>45492</v>
      </c>
      <c r="H1339">
        <v>9</v>
      </c>
      <c r="I1339" s="1">
        <v>69</v>
      </c>
      <c r="J1339" s="2">
        <v>0.17847222222222223</v>
      </c>
      <c r="K1339" s="12">
        <f>Combined[[#This Row],[Time Spent]]*24</f>
        <v>4.2833333333333332</v>
      </c>
      <c r="L1339" s="12">
        <f>MROUND(Combined[[#This Row],[Time Spent 2]],0.25)</f>
        <v>4.25</v>
      </c>
      <c r="M1339" s="2" t="s">
        <v>92</v>
      </c>
      <c r="N1339" t="s">
        <v>80</v>
      </c>
      <c r="O1339">
        <f>MATCH(Combined[[#This Row],[Primary Area]],KPIs!$C$4:$C$7,0)</f>
        <v>2</v>
      </c>
      <c r="R1339" s="40"/>
      <c r="V1339" s="4"/>
      <c r="X1339"/>
    </row>
    <row r="1340" spans="2:24" x14ac:dyDescent="0.35">
      <c r="B1340">
        <f t="shared" si="326"/>
        <v>1338</v>
      </c>
      <c r="C1340" t="s">
        <v>83</v>
      </c>
      <c r="D1340" t="s">
        <v>176</v>
      </c>
      <c r="E1340">
        <f>IF(WEEKNUM(Combined[[#This Row],[Date]], 1) = 53, 1, WEEKNUM(Combined[[#This Row],[Date]], 2))</f>
        <v>29</v>
      </c>
      <c r="F1340" t="str">
        <f t="shared" si="325"/>
        <v>Saturday</v>
      </c>
      <c r="G1340" s="41">
        <v>45493</v>
      </c>
      <c r="H1340">
        <v>4</v>
      </c>
      <c r="I1340" s="1">
        <v>70.42</v>
      </c>
      <c r="J1340" s="2">
        <v>0.15486111111111112</v>
      </c>
      <c r="K1340" s="12">
        <f>Combined[[#This Row],[Time Spent]]*24</f>
        <v>3.7166666666666668</v>
      </c>
      <c r="L1340" s="12">
        <f>MROUND(Combined[[#This Row],[Time Spent 2]],0.25)</f>
        <v>3.75</v>
      </c>
      <c r="M1340" s="2" t="s">
        <v>91</v>
      </c>
      <c r="N1340" t="s">
        <v>174</v>
      </c>
      <c r="O1340">
        <f>MATCH(Combined[[#This Row],[Primary Area]],KPIs!$C$4:$C$7,0)</f>
        <v>1</v>
      </c>
      <c r="R1340" s="40"/>
      <c r="V1340" s="4"/>
      <c r="X1340"/>
    </row>
    <row r="1341" spans="2:24" x14ac:dyDescent="0.35">
      <c r="B1341">
        <f t="shared" si="326"/>
        <v>1339</v>
      </c>
      <c r="C1341" t="s">
        <v>86</v>
      </c>
      <c r="D1341" t="s">
        <v>176</v>
      </c>
      <c r="E1341">
        <f>IF(WEEKNUM(Combined[[#This Row],[Date]], 1) = 53, 1, WEEKNUM(Combined[[#This Row],[Date]], 2))</f>
        <v>29</v>
      </c>
      <c r="F1341" t="str">
        <f t="shared" ref="F1341:F1343" si="327">TEXT(WEEKDAY(G1341,1),"DDDD")</f>
        <v>Saturday</v>
      </c>
      <c r="G1341" s="41">
        <v>45493</v>
      </c>
      <c r="H1341">
        <v>2</v>
      </c>
      <c r="I1341" s="1">
        <v>21</v>
      </c>
      <c r="J1341" s="2">
        <v>8.1944444444444445E-2</v>
      </c>
      <c r="K1341" s="12">
        <f>Combined[[#This Row],[Time Spent]]*24</f>
        <v>1.9666666666666668</v>
      </c>
      <c r="L1341" s="12">
        <f>MROUND(Combined[[#This Row],[Time Spent 2]],0.25)</f>
        <v>2</v>
      </c>
      <c r="M1341" s="2" t="s">
        <v>90</v>
      </c>
      <c r="N1341" t="s">
        <v>174</v>
      </c>
      <c r="O1341">
        <f>MATCH(Combined[[#This Row],[Primary Area]],KPIs!$C$4:$C$7,0)</f>
        <v>1</v>
      </c>
      <c r="R1341" s="40"/>
      <c r="V1341" s="4"/>
      <c r="X1341"/>
    </row>
    <row r="1342" spans="2:24" x14ac:dyDescent="0.35">
      <c r="B1342">
        <f t="shared" si="326"/>
        <v>1340</v>
      </c>
      <c r="C1342" t="s">
        <v>86</v>
      </c>
      <c r="D1342" t="s">
        <v>176</v>
      </c>
      <c r="E1342">
        <f>IF(WEEKNUM(Combined[[#This Row],[Date]], 1) = 53, 1, WEEKNUM(Combined[[#This Row],[Date]], 2))</f>
        <v>29</v>
      </c>
      <c r="F1342" t="str">
        <f t="shared" si="327"/>
        <v>Saturday</v>
      </c>
      <c r="G1342" s="41">
        <v>45493</v>
      </c>
      <c r="H1342">
        <v>3</v>
      </c>
      <c r="I1342" s="1">
        <v>36.5</v>
      </c>
      <c r="J1342" s="2">
        <v>6.1805555555555558E-2</v>
      </c>
      <c r="K1342" s="12">
        <f>Combined[[#This Row],[Time Spent]]*24</f>
        <v>1.4833333333333334</v>
      </c>
      <c r="L1342" s="12">
        <f>MROUND(Combined[[#This Row],[Time Spent 2]],0.25)</f>
        <v>1.5</v>
      </c>
      <c r="M1342" s="2" t="s">
        <v>91</v>
      </c>
      <c r="N1342" t="s">
        <v>174</v>
      </c>
      <c r="O1342">
        <f>MATCH(Combined[[#This Row],[Primary Area]],KPIs!$C$4:$C$7,0)</f>
        <v>1</v>
      </c>
      <c r="R1342" s="40"/>
      <c r="V1342" s="4"/>
      <c r="X1342"/>
    </row>
    <row r="1343" spans="2:24" x14ac:dyDescent="0.35">
      <c r="B1343">
        <f t="shared" si="326"/>
        <v>1341</v>
      </c>
      <c r="C1343" t="s">
        <v>86</v>
      </c>
      <c r="D1343" t="s">
        <v>176</v>
      </c>
      <c r="E1343">
        <f>IF(WEEKNUM(Combined[[#This Row],[Date]], 1) = 53, 1, WEEKNUM(Combined[[#This Row],[Date]], 2))</f>
        <v>29</v>
      </c>
      <c r="F1343" t="str">
        <f t="shared" si="327"/>
        <v>Saturday</v>
      </c>
      <c r="G1343" s="41">
        <v>45493</v>
      </c>
      <c r="H1343">
        <v>3</v>
      </c>
      <c r="I1343" s="1">
        <v>28.75</v>
      </c>
      <c r="J1343" s="2">
        <v>7.2222222222222215E-2</v>
      </c>
      <c r="K1343" s="12">
        <f>Combined[[#This Row],[Time Spent]]*24</f>
        <v>1.7333333333333332</v>
      </c>
      <c r="L1343" s="12">
        <f>MROUND(Combined[[#This Row],[Time Spent 2]],0.25)</f>
        <v>1.75</v>
      </c>
      <c r="M1343" s="2" t="s">
        <v>91</v>
      </c>
      <c r="N1343" t="s">
        <v>174</v>
      </c>
      <c r="O1343">
        <f>MATCH(Combined[[#This Row],[Primary Area]],KPIs!$C$4:$C$7,0)</f>
        <v>1</v>
      </c>
      <c r="R1343" s="40"/>
      <c r="V1343" s="4"/>
      <c r="X1343"/>
    </row>
    <row r="1344" spans="2:24" x14ac:dyDescent="0.35">
      <c r="B1344">
        <f t="shared" si="326"/>
        <v>1342</v>
      </c>
      <c r="C1344" t="s">
        <v>83</v>
      </c>
      <c r="D1344" t="s">
        <v>176</v>
      </c>
      <c r="E1344">
        <f>IF(WEEKNUM(Combined[[#This Row],[Date]], 1) = 53, 1, WEEKNUM(Combined[[#This Row],[Date]], 2))</f>
        <v>30</v>
      </c>
      <c r="F1344" t="str">
        <f t="shared" ref="F1344:F1359" si="328">TEXT(WEEKDAY(G1344,1),"DDDD")</f>
        <v>Monday</v>
      </c>
      <c r="G1344" s="41">
        <v>45495</v>
      </c>
      <c r="H1344">
        <v>5</v>
      </c>
      <c r="I1344" s="1">
        <v>63.76</v>
      </c>
      <c r="J1344" s="2">
        <v>0.14861111111111111</v>
      </c>
      <c r="K1344" s="12">
        <f>Combined[[#This Row],[Time Spent]]*24</f>
        <v>3.5666666666666664</v>
      </c>
      <c r="L1344" s="12">
        <f>MROUND(Combined[[#This Row],[Time Spent 2]],0.25)</f>
        <v>3.5</v>
      </c>
      <c r="M1344" s="2" t="s">
        <v>91</v>
      </c>
      <c r="N1344" t="s">
        <v>85</v>
      </c>
      <c r="O1344">
        <f>MATCH(Combined[[#This Row],[Primary Area]],KPIs!$C$4:$C$7,0)</f>
        <v>4</v>
      </c>
      <c r="R1344" s="40"/>
      <c r="V1344" s="4"/>
      <c r="X1344"/>
    </row>
    <row r="1345" spans="2:24" x14ac:dyDescent="0.35">
      <c r="B1345">
        <f t="shared" si="326"/>
        <v>1343</v>
      </c>
      <c r="C1345" t="s">
        <v>86</v>
      </c>
      <c r="D1345" t="s">
        <v>176</v>
      </c>
      <c r="E1345">
        <f>IF(WEEKNUM(Combined[[#This Row],[Date]], 1) = 53, 1, WEEKNUM(Combined[[#This Row],[Date]], 2))</f>
        <v>30</v>
      </c>
      <c r="F1345" t="str">
        <f t="shared" si="328"/>
        <v>Monday</v>
      </c>
      <c r="G1345" s="41">
        <v>45495</v>
      </c>
      <c r="H1345">
        <v>1</v>
      </c>
      <c r="I1345" s="1">
        <v>22.73</v>
      </c>
      <c r="J1345" s="2">
        <v>8.4027777777777785E-2</v>
      </c>
      <c r="K1345" s="12">
        <f>Combined[[#This Row],[Time Spent]]*24</f>
        <v>2.0166666666666666</v>
      </c>
      <c r="L1345" s="12">
        <f>MROUND(Combined[[#This Row],[Time Spent 2]],0.25)</f>
        <v>2</v>
      </c>
      <c r="M1345" s="2" t="s">
        <v>91</v>
      </c>
      <c r="N1345" t="s">
        <v>85</v>
      </c>
      <c r="O1345">
        <f>MATCH(Combined[[#This Row],[Primary Area]],KPIs!$C$4:$C$7,0)</f>
        <v>4</v>
      </c>
      <c r="R1345" s="40"/>
      <c r="V1345" s="4"/>
      <c r="X1345"/>
    </row>
    <row r="1346" spans="2:24" x14ac:dyDescent="0.35">
      <c r="B1346">
        <f t="shared" si="326"/>
        <v>1344</v>
      </c>
      <c r="C1346" t="s">
        <v>86</v>
      </c>
      <c r="D1346" t="s">
        <v>176</v>
      </c>
      <c r="E1346">
        <f>IF(WEEKNUM(Combined[[#This Row],[Date]], 1) = 53, 1, WEEKNUM(Combined[[#This Row],[Date]], 2))</f>
        <v>30</v>
      </c>
      <c r="F1346" t="str">
        <f t="shared" si="328"/>
        <v>Monday</v>
      </c>
      <c r="G1346" s="41">
        <v>45495</v>
      </c>
      <c r="H1346">
        <v>2</v>
      </c>
      <c r="I1346" s="1">
        <v>13.5</v>
      </c>
      <c r="J1346" s="2">
        <v>2.7083333333333334E-2</v>
      </c>
      <c r="K1346" s="12">
        <f>Combined[[#This Row],[Time Spent]]*24</f>
        <v>0.65</v>
      </c>
      <c r="L1346" s="12">
        <f>MROUND(Combined[[#This Row],[Time Spent 2]],0.25)</f>
        <v>0.75</v>
      </c>
      <c r="M1346" s="2" t="s">
        <v>91</v>
      </c>
      <c r="N1346" t="s">
        <v>85</v>
      </c>
      <c r="O1346">
        <f>MATCH(Combined[[#This Row],[Primary Area]],KPIs!$C$4:$C$7,0)</f>
        <v>4</v>
      </c>
      <c r="R1346" s="40"/>
      <c r="V1346" s="4"/>
      <c r="X1346"/>
    </row>
    <row r="1347" spans="2:24" x14ac:dyDescent="0.35">
      <c r="B1347">
        <f t="shared" si="326"/>
        <v>1345</v>
      </c>
      <c r="C1347" t="s">
        <v>86</v>
      </c>
      <c r="D1347" t="s">
        <v>176</v>
      </c>
      <c r="E1347">
        <f>IF(WEEKNUM(Combined[[#This Row],[Date]], 1) = 53, 1, WEEKNUM(Combined[[#This Row],[Date]], 2))</f>
        <v>30</v>
      </c>
      <c r="F1347" t="str">
        <f t="shared" si="328"/>
        <v>Monday</v>
      </c>
      <c r="G1347" s="41">
        <v>45495</v>
      </c>
      <c r="H1347">
        <v>4</v>
      </c>
      <c r="I1347" s="1">
        <v>23</v>
      </c>
      <c r="J1347" s="2">
        <v>5.6944444444444443E-2</v>
      </c>
      <c r="K1347" s="12">
        <f>Combined[[#This Row],[Time Spent]]*24</f>
        <v>1.3666666666666667</v>
      </c>
      <c r="L1347" s="12">
        <f>MROUND(Combined[[#This Row],[Time Spent 2]],0.25)</f>
        <v>1.25</v>
      </c>
      <c r="M1347" s="2" t="s">
        <v>92</v>
      </c>
      <c r="N1347" t="s">
        <v>85</v>
      </c>
      <c r="O1347">
        <f>MATCH(Combined[[#This Row],[Primary Area]],KPIs!$C$4:$C$7,0)</f>
        <v>4</v>
      </c>
      <c r="R1347" s="40"/>
      <c r="V1347" s="4"/>
      <c r="X1347"/>
    </row>
    <row r="1348" spans="2:24" x14ac:dyDescent="0.35">
      <c r="B1348">
        <f t="shared" si="326"/>
        <v>1346</v>
      </c>
      <c r="C1348" t="s">
        <v>83</v>
      </c>
      <c r="D1348" t="s">
        <v>176</v>
      </c>
      <c r="E1348">
        <f>IF(WEEKNUM(Combined[[#This Row],[Date]], 1) = 53, 1, WEEKNUM(Combined[[#This Row],[Date]], 2))</f>
        <v>30</v>
      </c>
      <c r="F1348" t="str">
        <f t="shared" si="328"/>
        <v>Tuesday</v>
      </c>
      <c r="G1348" s="41">
        <v>45496</v>
      </c>
      <c r="H1348">
        <v>2</v>
      </c>
      <c r="I1348" s="1">
        <v>38.61</v>
      </c>
      <c r="J1348" s="2">
        <v>9.7916666666666666E-2</v>
      </c>
      <c r="K1348" s="12">
        <f>Combined[[#This Row],[Time Spent]]*24</f>
        <v>2.35</v>
      </c>
      <c r="L1348" s="12">
        <f>MROUND(Combined[[#This Row],[Time Spent 2]],0.25)</f>
        <v>2.25</v>
      </c>
      <c r="M1348" s="2" t="s">
        <v>91</v>
      </c>
      <c r="N1348" t="s">
        <v>80</v>
      </c>
      <c r="O1348">
        <f>MATCH(Combined[[#This Row],[Primary Area]],KPIs!$C$4:$C$7,0)</f>
        <v>2</v>
      </c>
      <c r="R1348" s="40"/>
      <c r="V1348" s="4"/>
      <c r="X1348"/>
    </row>
    <row r="1349" spans="2:24" x14ac:dyDescent="0.35">
      <c r="B1349">
        <f t="shared" si="326"/>
        <v>1347</v>
      </c>
      <c r="C1349" t="s">
        <v>86</v>
      </c>
      <c r="D1349" t="s">
        <v>176</v>
      </c>
      <c r="E1349">
        <f>IF(WEEKNUM(Combined[[#This Row],[Date]], 1) = 53, 1, WEEKNUM(Combined[[#This Row],[Date]], 2))</f>
        <v>30</v>
      </c>
      <c r="F1349" t="str">
        <f t="shared" si="328"/>
        <v>Tuesday</v>
      </c>
      <c r="G1349" s="41">
        <v>45496</v>
      </c>
      <c r="H1349">
        <v>3</v>
      </c>
      <c r="I1349" s="1">
        <v>17</v>
      </c>
      <c r="J1349" s="2">
        <v>5.7638888888888892E-2</v>
      </c>
      <c r="K1349" s="12">
        <f>Combined[[#This Row],[Time Spent]]*24</f>
        <v>1.3833333333333333</v>
      </c>
      <c r="L1349" s="12">
        <f>MROUND(Combined[[#This Row],[Time Spent 2]],0.25)</f>
        <v>1.5</v>
      </c>
      <c r="M1349" s="2" t="s">
        <v>91</v>
      </c>
      <c r="N1349" t="s">
        <v>80</v>
      </c>
      <c r="O1349">
        <f>MATCH(Combined[[#This Row],[Primary Area]],KPIs!$C$4:$C$7,0)</f>
        <v>2</v>
      </c>
      <c r="R1349" s="40"/>
      <c r="V1349" s="4"/>
      <c r="X1349"/>
    </row>
    <row r="1350" spans="2:24" x14ac:dyDescent="0.35">
      <c r="B1350">
        <f t="shared" si="326"/>
        <v>1348</v>
      </c>
      <c r="C1350" t="s">
        <v>86</v>
      </c>
      <c r="D1350" t="s">
        <v>176</v>
      </c>
      <c r="E1350">
        <f>IF(WEEKNUM(Combined[[#This Row],[Date]], 1) = 53, 1, WEEKNUM(Combined[[#This Row],[Date]], 2))</f>
        <v>30</v>
      </c>
      <c r="F1350" t="str">
        <f t="shared" si="328"/>
        <v>Tuesday</v>
      </c>
      <c r="G1350" s="41">
        <v>45496</v>
      </c>
      <c r="H1350">
        <v>1</v>
      </c>
      <c r="I1350" s="1">
        <v>4.25</v>
      </c>
      <c r="J1350" s="2">
        <v>2.6388888888888889E-2</v>
      </c>
      <c r="K1350" s="12">
        <f>Combined[[#This Row],[Time Spent]]*24</f>
        <v>0.6333333333333333</v>
      </c>
      <c r="L1350" s="12">
        <f>MROUND(Combined[[#This Row],[Time Spent 2]],0.25)</f>
        <v>0.75</v>
      </c>
      <c r="M1350" s="2" t="s">
        <v>91</v>
      </c>
      <c r="N1350" t="s">
        <v>80</v>
      </c>
      <c r="O1350">
        <f>MATCH(Combined[[#This Row],[Primary Area]],KPIs!$C$4:$C$7,0)</f>
        <v>2</v>
      </c>
      <c r="R1350" s="40"/>
      <c r="V1350" s="4"/>
      <c r="X1350"/>
    </row>
    <row r="1351" spans="2:24" x14ac:dyDescent="0.35">
      <c r="B1351">
        <f t="shared" si="326"/>
        <v>1349</v>
      </c>
      <c r="C1351" t="s">
        <v>86</v>
      </c>
      <c r="D1351" t="s">
        <v>176</v>
      </c>
      <c r="E1351">
        <f>IF(WEEKNUM(Combined[[#This Row],[Date]], 1) = 53, 1, WEEKNUM(Combined[[#This Row],[Date]], 2))</f>
        <v>30</v>
      </c>
      <c r="F1351" t="str">
        <f t="shared" si="328"/>
        <v>Tuesday</v>
      </c>
      <c r="G1351" s="41">
        <v>45496</v>
      </c>
      <c r="H1351">
        <v>3</v>
      </c>
      <c r="I1351" s="1">
        <v>31.25</v>
      </c>
      <c r="J1351" s="2">
        <v>7.3611111111111113E-2</v>
      </c>
      <c r="K1351" s="12">
        <f>Combined[[#This Row],[Time Spent]]*24</f>
        <v>1.7666666666666666</v>
      </c>
      <c r="L1351" s="12">
        <f>MROUND(Combined[[#This Row],[Time Spent 2]],0.25)</f>
        <v>1.75</v>
      </c>
      <c r="M1351" s="2" t="s">
        <v>91</v>
      </c>
      <c r="N1351" t="s">
        <v>80</v>
      </c>
      <c r="O1351">
        <f>MATCH(Combined[[#This Row],[Primary Area]],KPIs!$C$4:$C$7,0)</f>
        <v>2</v>
      </c>
      <c r="R1351" s="40"/>
      <c r="V1351" s="4"/>
      <c r="X1351"/>
    </row>
    <row r="1352" spans="2:24" x14ac:dyDescent="0.35">
      <c r="B1352">
        <f t="shared" si="326"/>
        <v>1350</v>
      </c>
      <c r="C1352" t="s">
        <v>83</v>
      </c>
      <c r="D1352" t="s">
        <v>176</v>
      </c>
      <c r="E1352">
        <f>IF(WEEKNUM(Combined[[#This Row],[Date]], 1) = 53, 1, WEEKNUM(Combined[[#This Row],[Date]], 2))</f>
        <v>30</v>
      </c>
      <c r="F1352" t="str">
        <f t="shared" si="328"/>
        <v>Wednesday</v>
      </c>
      <c r="G1352" s="41">
        <v>45497</v>
      </c>
      <c r="H1352">
        <v>6</v>
      </c>
      <c r="I1352" s="1">
        <v>71.28</v>
      </c>
      <c r="J1352" s="2">
        <v>0.13333333333333333</v>
      </c>
      <c r="K1352" s="12">
        <f>Combined[[#This Row],[Time Spent]]*24</f>
        <v>3.2</v>
      </c>
      <c r="L1352" s="12">
        <f>MROUND(Combined[[#This Row],[Time Spent 2]],0.25)</f>
        <v>3.25</v>
      </c>
      <c r="M1352" s="2" t="s">
        <v>91</v>
      </c>
      <c r="N1352" t="s">
        <v>80</v>
      </c>
      <c r="O1352">
        <f>MATCH(Combined[[#This Row],[Primary Area]],KPIs!$C$4:$C$7,0)</f>
        <v>2</v>
      </c>
      <c r="R1352" s="40"/>
      <c r="V1352" s="4"/>
      <c r="X1352"/>
    </row>
    <row r="1353" spans="2:24" x14ac:dyDescent="0.35">
      <c r="B1353">
        <f t="shared" si="326"/>
        <v>1351</v>
      </c>
      <c r="C1353" t="s">
        <v>86</v>
      </c>
      <c r="D1353" t="s">
        <v>176</v>
      </c>
      <c r="E1353">
        <f>IF(WEEKNUM(Combined[[#This Row],[Date]], 1) = 53, 1, WEEKNUM(Combined[[#This Row],[Date]], 2))</f>
        <v>30</v>
      </c>
      <c r="F1353" t="str">
        <f t="shared" si="328"/>
        <v>Wednesday</v>
      </c>
      <c r="G1353" s="41">
        <v>45497</v>
      </c>
      <c r="H1353">
        <v>6</v>
      </c>
      <c r="I1353" s="1">
        <v>39.97</v>
      </c>
      <c r="J1353" s="2">
        <v>0.14722222222222223</v>
      </c>
      <c r="K1353" s="12">
        <f>Combined[[#This Row],[Time Spent]]*24</f>
        <v>3.5333333333333332</v>
      </c>
      <c r="L1353" s="12">
        <f>MROUND(Combined[[#This Row],[Time Spent 2]],0.25)</f>
        <v>3.5</v>
      </c>
      <c r="M1353" s="2" t="s">
        <v>91</v>
      </c>
      <c r="N1353" t="s">
        <v>80</v>
      </c>
      <c r="O1353">
        <f>MATCH(Combined[[#This Row],[Primary Area]],KPIs!$C$4:$C$7,0)</f>
        <v>2</v>
      </c>
      <c r="R1353" s="40"/>
      <c r="V1353" s="4"/>
      <c r="X1353"/>
    </row>
    <row r="1354" spans="2:24" x14ac:dyDescent="0.35">
      <c r="B1354">
        <f t="shared" si="326"/>
        <v>1352</v>
      </c>
      <c r="C1354" t="s">
        <v>86</v>
      </c>
      <c r="D1354" t="s">
        <v>176</v>
      </c>
      <c r="E1354">
        <f>IF(WEEKNUM(Combined[[#This Row],[Date]], 1) = 53, 1, WEEKNUM(Combined[[#This Row],[Date]], 2))</f>
        <v>30</v>
      </c>
      <c r="F1354" t="str">
        <f t="shared" si="328"/>
        <v>Wednesday</v>
      </c>
      <c r="G1354" s="41">
        <v>45497</v>
      </c>
      <c r="H1354">
        <v>4</v>
      </c>
      <c r="I1354" s="1">
        <v>33</v>
      </c>
      <c r="J1354" s="2">
        <v>6.6666666666666666E-2</v>
      </c>
      <c r="K1354" s="12">
        <f>Combined[[#This Row],[Time Spent]]*24</f>
        <v>1.6</v>
      </c>
      <c r="L1354" s="12">
        <f>MROUND(Combined[[#This Row],[Time Spent 2]],0.25)</f>
        <v>1.5</v>
      </c>
      <c r="M1354" s="2" t="s">
        <v>92</v>
      </c>
      <c r="N1354" t="s">
        <v>80</v>
      </c>
      <c r="O1354">
        <f>MATCH(Combined[[#This Row],[Primary Area]],KPIs!$C$4:$C$7,0)</f>
        <v>2</v>
      </c>
      <c r="R1354" s="40"/>
      <c r="V1354" s="4"/>
      <c r="X1354"/>
    </row>
    <row r="1355" spans="2:24" x14ac:dyDescent="0.35">
      <c r="B1355">
        <f t="shared" si="326"/>
        <v>1353</v>
      </c>
      <c r="C1355" t="s">
        <v>83</v>
      </c>
      <c r="D1355" t="s">
        <v>176</v>
      </c>
      <c r="E1355">
        <f>IF(WEEKNUM(Combined[[#This Row],[Date]], 1) = 53, 1, WEEKNUM(Combined[[#This Row],[Date]], 2))</f>
        <v>30</v>
      </c>
      <c r="F1355" t="str">
        <f t="shared" si="328"/>
        <v>Friday</v>
      </c>
      <c r="G1355" s="41">
        <v>45499</v>
      </c>
      <c r="H1355">
        <v>10</v>
      </c>
      <c r="I1355" s="1">
        <v>138.21</v>
      </c>
      <c r="J1355" s="2">
        <v>0.30486111111111114</v>
      </c>
      <c r="K1355" s="12">
        <f>Combined[[#This Row],[Time Spent]]*24</f>
        <v>7.3166666666666673</v>
      </c>
      <c r="L1355" s="12">
        <f>MROUND(Combined[[#This Row],[Time Spent 2]],0.25)</f>
        <v>7.25</v>
      </c>
      <c r="M1355" s="2" t="s">
        <v>91</v>
      </c>
      <c r="N1355" t="s">
        <v>85</v>
      </c>
      <c r="O1355">
        <f>MATCH(Combined[[#This Row],[Primary Area]],KPIs!$C$4:$C$7,0)</f>
        <v>4</v>
      </c>
      <c r="R1355" s="40"/>
      <c r="V1355" s="4"/>
      <c r="X1355"/>
    </row>
    <row r="1356" spans="2:24" x14ac:dyDescent="0.35">
      <c r="B1356">
        <f t="shared" si="326"/>
        <v>1354</v>
      </c>
      <c r="C1356" t="s">
        <v>86</v>
      </c>
      <c r="D1356" t="s">
        <v>176</v>
      </c>
      <c r="E1356">
        <f>IF(WEEKNUM(Combined[[#This Row],[Date]], 1) = 53, 1, WEEKNUM(Combined[[#This Row],[Date]], 2))</f>
        <v>30</v>
      </c>
      <c r="F1356" t="str">
        <f t="shared" si="328"/>
        <v>Friday</v>
      </c>
      <c r="G1356" s="41">
        <v>45499</v>
      </c>
      <c r="H1356">
        <v>3</v>
      </c>
      <c r="I1356" s="1">
        <v>37.11</v>
      </c>
      <c r="J1356" s="2">
        <v>0.11874999999999999</v>
      </c>
      <c r="K1356" s="12">
        <f>Combined[[#This Row],[Time Spent]]*24</f>
        <v>2.8499999999999996</v>
      </c>
      <c r="L1356" s="12">
        <f>MROUND(Combined[[#This Row],[Time Spent 2]],0.25)</f>
        <v>2.75</v>
      </c>
      <c r="M1356" s="2" t="s">
        <v>92</v>
      </c>
      <c r="N1356" t="s">
        <v>85</v>
      </c>
      <c r="O1356">
        <f>MATCH(Combined[[#This Row],[Primary Area]],KPIs!$C$4:$C$7,0)</f>
        <v>4</v>
      </c>
      <c r="R1356" s="40"/>
      <c r="V1356" s="4"/>
      <c r="X1356"/>
    </row>
    <row r="1357" spans="2:24" x14ac:dyDescent="0.35">
      <c r="B1357">
        <f t="shared" si="326"/>
        <v>1355</v>
      </c>
      <c r="C1357" t="s">
        <v>86</v>
      </c>
      <c r="D1357" t="s">
        <v>176</v>
      </c>
      <c r="E1357">
        <f>IF(WEEKNUM(Combined[[#This Row],[Date]], 1) = 53, 1, WEEKNUM(Combined[[#This Row],[Date]], 2))</f>
        <v>30</v>
      </c>
      <c r="F1357" t="str">
        <f t="shared" si="328"/>
        <v>Friday</v>
      </c>
      <c r="G1357" s="41">
        <v>45499</v>
      </c>
      <c r="H1357">
        <v>1</v>
      </c>
      <c r="I1357" s="1">
        <v>4.9800000000000004</v>
      </c>
      <c r="J1357" s="2">
        <v>3.9583333333333331E-2</v>
      </c>
      <c r="K1357" s="12">
        <f>Combined[[#This Row],[Time Spent]]*24</f>
        <v>0.95</v>
      </c>
      <c r="L1357" s="12">
        <f>MROUND(Combined[[#This Row],[Time Spent 2]],0.25)</f>
        <v>1</v>
      </c>
      <c r="M1357" s="2" t="s">
        <v>92</v>
      </c>
      <c r="N1357" t="s">
        <v>85</v>
      </c>
      <c r="O1357">
        <f>MATCH(Combined[[#This Row],[Primary Area]],KPIs!$C$4:$C$7,0)</f>
        <v>4</v>
      </c>
      <c r="R1357" s="40"/>
      <c r="V1357" s="4"/>
      <c r="X1357"/>
    </row>
    <row r="1358" spans="2:24" x14ac:dyDescent="0.35">
      <c r="B1358">
        <f t="shared" si="326"/>
        <v>1356</v>
      </c>
      <c r="C1358" t="s">
        <v>83</v>
      </c>
      <c r="D1358" t="s">
        <v>176</v>
      </c>
      <c r="E1358">
        <f>IF(WEEKNUM(Combined[[#This Row],[Date]], 1) = 53, 1, WEEKNUM(Combined[[#This Row],[Date]], 2))</f>
        <v>30</v>
      </c>
      <c r="F1358" t="str">
        <f t="shared" si="328"/>
        <v>Saturday</v>
      </c>
      <c r="G1358" s="41">
        <v>45500</v>
      </c>
      <c r="H1358">
        <v>1</v>
      </c>
      <c r="I1358" s="1">
        <v>12.34</v>
      </c>
      <c r="J1358" s="2">
        <v>5.486111111111111E-2</v>
      </c>
      <c r="K1358" s="12">
        <f>Combined[[#This Row],[Time Spent]]*24</f>
        <v>1.3166666666666667</v>
      </c>
      <c r="L1358" s="12">
        <f>MROUND(Combined[[#This Row],[Time Spent 2]],0.25)</f>
        <v>1.25</v>
      </c>
      <c r="M1358" s="2" t="s">
        <v>91</v>
      </c>
      <c r="N1358" t="s">
        <v>82</v>
      </c>
      <c r="O1358">
        <f>MATCH(Combined[[#This Row],[Primary Area]],KPIs!$C$4:$C$7,0)</f>
        <v>3</v>
      </c>
      <c r="R1358" s="40"/>
      <c r="V1358" s="4"/>
      <c r="X1358"/>
    </row>
    <row r="1359" spans="2:24" x14ac:dyDescent="0.35">
      <c r="B1359">
        <f t="shared" si="326"/>
        <v>1357</v>
      </c>
      <c r="C1359" t="s">
        <v>86</v>
      </c>
      <c r="D1359" t="s">
        <v>176</v>
      </c>
      <c r="E1359">
        <f>IF(WEEKNUM(Combined[[#This Row],[Date]], 1) = 53, 1, WEEKNUM(Combined[[#This Row],[Date]], 2))</f>
        <v>30</v>
      </c>
      <c r="F1359" t="str">
        <f t="shared" si="328"/>
        <v>Saturday</v>
      </c>
      <c r="G1359" s="41">
        <v>45500</v>
      </c>
      <c r="H1359">
        <v>16</v>
      </c>
      <c r="I1359" s="1">
        <f>112.99+3.62</f>
        <v>116.61</v>
      </c>
      <c r="J1359" s="2">
        <v>0.22638888888888889</v>
      </c>
      <c r="K1359" s="12">
        <f>Combined[[#This Row],[Time Spent]]*24</f>
        <v>5.4333333333333336</v>
      </c>
      <c r="L1359" s="12">
        <f>MROUND(Combined[[#This Row],[Time Spent 2]],0.25)</f>
        <v>5.5</v>
      </c>
      <c r="M1359" s="2" t="s">
        <v>91</v>
      </c>
      <c r="N1359" t="s">
        <v>82</v>
      </c>
      <c r="O1359">
        <f>MATCH(Combined[[#This Row],[Primary Area]],KPIs!$C$4:$C$7,0)</f>
        <v>3</v>
      </c>
      <c r="R1359" s="40"/>
      <c r="V1359" s="4"/>
      <c r="X1359"/>
    </row>
    <row r="1360" spans="2:24" x14ac:dyDescent="0.35">
      <c r="B1360">
        <f t="shared" si="326"/>
        <v>1358</v>
      </c>
      <c r="C1360" t="s">
        <v>83</v>
      </c>
      <c r="D1360" t="s">
        <v>176</v>
      </c>
      <c r="E1360">
        <f>IF(WEEKNUM(Combined[[#This Row],[Date]], 1) = 53, 1, WEEKNUM(Combined[[#This Row],[Date]], 2))</f>
        <v>31</v>
      </c>
      <c r="F1360" t="str">
        <f t="shared" ref="F1360:F1368" si="329">TEXT(WEEKDAY(G1360,1),"DDDD")</f>
        <v>Monday</v>
      </c>
      <c r="G1360" s="41">
        <v>45502</v>
      </c>
      <c r="H1360">
        <v>6</v>
      </c>
      <c r="I1360" s="1">
        <v>87.96</v>
      </c>
      <c r="J1360" s="2">
        <v>0.16319444444444445</v>
      </c>
      <c r="K1360" s="12">
        <f>Combined[[#This Row],[Time Spent]]*24</f>
        <v>3.916666666666667</v>
      </c>
      <c r="L1360" s="12">
        <f>MROUND(Combined[[#This Row],[Time Spent 2]],0.25)</f>
        <v>4</v>
      </c>
      <c r="M1360" s="2" t="s">
        <v>91</v>
      </c>
      <c r="N1360" t="s">
        <v>85</v>
      </c>
      <c r="O1360">
        <f>MATCH(Combined[[#This Row],[Primary Area]],KPIs!$C$4:$C$7,0)</f>
        <v>4</v>
      </c>
      <c r="R1360" s="40"/>
      <c r="V1360" s="4"/>
      <c r="X1360"/>
    </row>
    <row r="1361" spans="2:24" x14ac:dyDescent="0.35">
      <c r="B1361">
        <f t="shared" si="326"/>
        <v>1359</v>
      </c>
      <c r="C1361" t="s">
        <v>86</v>
      </c>
      <c r="D1361" t="s">
        <v>176</v>
      </c>
      <c r="E1361">
        <f>IF(WEEKNUM(Combined[[#This Row],[Date]], 1) = 53, 1, WEEKNUM(Combined[[#This Row],[Date]], 2))</f>
        <v>31</v>
      </c>
      <c r="F1361" t="str">
        <f t="shared" si="329"/>
        <v>Monday</v>
      </c>
      <c r="G1361" s="41">
        <v>45502</v>
      </c>
      <c r="H1361">
        <v>2</v>
      </c>
      <c r="I1361" s="1">
        <v>60.43</v>
      </c>
      <c r="J1361" s="2">
        <v>3.4027777777777775E-2</v>
      </c>
      <c r="K1361" s="12">
        <f>Combined[[#This Row],[Time Spent]]*24</f>
        <v>0.81666666666666665</v>
      </c>
      <c r="L1361" s="12">
        <f>MROUND(Combined[[#This Row],[Time Spent 2]],0.25)</f>
        <v>0.75</v>
      </c>
      <c r="M1361" s="2" t="s">
        <v>91</v>
      </c>
      <c r="N1361" t="s">
        <v>85</v>
      </c>
      <c r="O1361">
        <f>MATCH(Combined[[#This Row],[Primary Area]],KPIs!$C$4:$C$7,0)</f>
        <v>4</v>
      </c>
      <c r="R1361" s="40"/>
      <c r="V1361" s="4"/>
      <c r="X1361"/>
    </row>
    <row r="1362" spans="2:24" x14ac:dyDescent="0.35">
      <c r="B1362">
        <f t="shared" si="326"/>
        <v>1360</v>
      </c>
      <c r="C1362" t="s">
        <v>86</v>
      </c>
      <c r="D1362" t="s">
        <v>176</v>
      </c>
      <c r="E1362">
        <f>IF(WEEKNUM(Combined[[#This Row],[Date]], 1) = 53, 1, WEEKNUM(Combined[[#This Row],[Date]], 2))</f>
        <v>31</v>
      </c>
      <c r="F1362" t="str">
        <f t="shared" si="329"/>
        <v>Monday</v>
      </c>
      <c r="G1362" s="41">
        <v>45502</v>
      </c>
      <c r="H1362">
        <v>3</v>
      </c>
      <c r="I1362" s="1">
        <v>26.12</v>
      </c>
      <c r="J1362" s="2">
        <v>7.4305555555555555E-2</v>
      </c>
      <c r="K1362" s="12">
        <f>Combined[[#This Row],[Time Spent]]*24</f>
        <v>1.7833333333333332</v>
      </c>
      <c r="L1362" s="12">
        <f>MROUND(Combined[[#This Row],[Time Spent 2]],0.25)</f>
        <v>1.75</v>
      </c>
      <c r="M1362" s="2" t="s">
        <v>92</v>
      </c>
      <c r="N1362" t="s">
        <v>85</v>
      </c>
      <c r="O1362">
        <f>MATCH(Combined[[#This Row],[Primary Area]],KPIs!$C$4:$C$7,0)</f>
        <v>4</v>
      </c>
      <c r="R1362" s="40"/>
      <c r="V1362" s="4"/>
      <c r="X1362"/>
    </row>
    <row r="1363" spans="2:24" x14ac:dyDescent="0.35">
      <c r="B1363">
        <f t="shared" si="326"/>
        <v>1361</v>
      </c>
      <c r="C1363" t="s">
        <v>83</v>
      </c>
      <c r="D1363" t="s">
        <v>176</v>
      </c>
      <c r="E1363">
        <f>IF(WEEKNUM(Combined[[#This Row],[Date]], 1) = 53, 1, WEEKNUM(Combined[[#This Row],[Date]], 2))</f>
        <v>31</v>
      </c>
      <c r="F1363" t="str">
        <f t="shared" si="329"/>
        <v>Tuesday</v>
      </c>
      <c r="G1363" s="41">
        <v>45503</v>
      </c>
      <c r="H1363">
        <v>1</v>
      </c>
      <c r="I1363" s="1">
        <v>16.3</v>
      </c>
      <c r="J1363" s="2">
        <v>6.5277777777777782E-2</v>
      </c>
      <c r="K1363" s="12">
        <f>Combined[[#This Row],[Time Spent]]*24</f>
        <v>1.5666666666666669</v>
      </c>
      <c r="L1363" s="12">
        <f>MROUND(Combined[[#This Row],[Time Spent 2]],0.25)</f>
        <v>1.5</v>
      </c>
      <c r="M1363" s="2" t="s">
        <v>91</v>
      </c>
      <c r="N1363" t="s">
        <v>80</v>
      </c>
      <c r="O1363">
        <f>MATCH(Combined[[#This Row],[Primary Area]],KPIs!$C$4:$C$7,0)</f>
        <v>2</v>
      </c>
      <c r="R1363" s="40"/>
      <c r="V1363" s="4"/>
      <c r="X1363"/>
    </row>
    <row r="1364" spans="2:24" x14ac:dyDescent="0.35">
      <c r="B1364">
        <f t="shared" si="326"/>
        <v>1362</v>
      </c>
      <c r="C1364" t="s">
        <v>86</v>
      </c>
      <c r="D1364" t="s">
        <v>176</v>
      </c>
      <c r="E1364">
        <f>IF(WEEKNUM(Combined[[#This Row],[Date]], 1) = 53, 1, WEEKNUM(Combined[[#This Row],[Date]], 2))</f>
        <v>31</v>
      </c>
      <c r="F1364" t="str">
        <f t="shared" si="329"/>
        <v>Tuesday</v>
      </c>
      <c r="G1364" s="41">
        <v>45503</v>
      </c>
      <c r="H1364">
        <v>13</v>
      </c>
      <c r="I1364" s="1">
        <v>117.45</v>
      </c>
      <c r="J1364" s="2">
        <v>0.19652777777777777</v>
      </c>
      <c r="K1364" s="12">
        <f>Combined[[#This Row],[Time Spent]]*24</f>
        <v>4.7166666666666668</v>
      </c>
      <c r="L1364" s="12">
        <f>MROUND(Combined[[#This Row],[Time Spent 2]],0.25)</f>
        <v>4.75</v>
      </c>
      <c r="M1364" s="2" t="s">
        <v>91</v>
      </c>
      <c r="N1364" t="s">
        <v>80</v>
      </c>
      <c r="O1364">
        <f>MATCH(Combined[[#This Row],[Primary Area]],KPIs!$C$4:$C$7,0)</f>
        <v>2</v>
      </c>
      <c r="R1364" s="40"/>
      <c r="V1364" s="4"/>
      <c r="X1364"/>
    </row>
    <row r="1365" spans="2:24" x14ac:dyDescent="0.35">
      <c r="B1365">
        <f t="shared" si="326"/>
        <v>1363</v>
      </c>
      <c r="C1365" t="s">
        <v>86</v>
      </c>
      <c r="D1365" t="s">
        <v>176</v>
      </c>
      <c r="E1365">
        <f>IF(WEEKNUM(Combined[[#This Row],[Date]], 1) = 53, 1, WEEKNUM(Combined[[#This Row],[Date]], 2))</f>
        <v>31</v>
      </c>
      <c r="F1365" t="str">
        <f t="shared" si="329"/>
        <v>Wednesday</v>
      </c>
      <c r="G1365" s="41">
        <v>45504</v>
      </c>
      <c r="H1365">
        <v>5</v>
      </c>
      <c r="I1365" s="1">
        <v>42.74</v>
      </c>
      <c r="J1365" s="2">
        <v>0.12222222222222222</v>
      </c>
      <c r="K1365" s="12">
        <f>Combined[[#This Row],[Time Spent]]*24</f>
        <v>2.9333333333333331</v>
      </c>
      <c r="L1365" s="12">
        <f>MROUND(Combined[[#This Row],[Time Spent 2]],0.25)</f>
        <v>3</v>
      </c>
      <c r="M1365" s="2" t="s">
        <v>91</v>
      </c>
      <c r="N1365" t="s">
        <v>80</v>
      </c>
      <c r="O1365">
        <f>MATCH(Combined[[#This Row],[Primary Area]],KPIs!$C$4:$C$7,0)</f>
        <v>2</v>
      </c>
      <c r="R1365" s="40"/>
      <c r="V1365" s="4"/>
      <c r="X1365"/>
    </row>
    <row r="1366" spans="2:24" x14ac:dyDescent="0.35">
      <c r="B1366">
        <f t="shared" si="326"/>
        <v>1364</v>
      </c>
      <c r="C1366" t="s">
        <v>83</v>
      </c>
      <c r="D1366" t="s">
        <v>176</v>
      </c>
      <c r="E1366">
        <f>IF(WEEKNUM(Combined[[#This Row],[Date]], 1) = 53, 1, WEEKNUM(Combined[[#This Row],[Date]], 2))</f>
        <v>31</v>
      </c>
      <c r="F1366" t="str">
        <f t="shared" si="329"/>
        <v>Thursday</v>
      </c>
      <c r="G1366" s="41">
        <v>45505</v>
      </c>
      <c r="H1366">
        <v>3</v>
      </c>
      <c r="I1366" s="1">
        <v>18.14</v>
      </c>
      <c r="J1366" s="2">
        <v>0.1</v>
      </c>
      <c r="K1366" s="12">
        <f>Combined[[#This Row],[Time Spent]]*24</f>
        <v>2.4000000000000004</v>
      </c>
      <c r="L1366" s="12">
        <f>MROUND(Combined[[#This Row],[Time Spent 2]],0.25)</f>
        <v>2.5</v>
      </c>
      <c r="M1366" s="2" t="s">
        <v>91</v>
      </c>
      <c r="N1366" t="s">
        <v>82</v>
      </c>
      <c r="O1366">
        <f>MATCH(Combined[[#This Row],[Primary Area]],KPIs!$C$4:$C$7,0)</f>
        <v>3</v>
      </c>
      <c r="R1366" s="40"/>
      <c r="V1366" s="4"/>
      <c r="X1366"/>
    </row>
    <row r="1367" spans="2:24" x14ac:dyDescent="0.35">
      <c r="B1367">
        <f t="shared" si="326"/>
        <v>1365</v>
      </c>
      <c r="C1367" t="s">
        <v>86</v>
      </c>
      <c r="D1367" t="s">
        <v>176</v>
      </c>
      <c r="E1367">
        <f>IF(WEEKNUM(Combined[[#This Row],[Date]], 1) = 53, 1, WEEKNUM(Combined[[#This Row],[Date]], 2))</f>
        <v>31</v>
      </c>
      <c r="F1367" t="str">
        <f t="shared" si="329"/>
        <v>Thursday</v>
      </c>
      <c r="G1367" s="41">
        <v>45505</v>
      </c>
      <c r="H1367">
        <v>6</v>
      </c>
      <c r="I1367" s="1">
        <v>37.450000000000003</v>
      </c>
      <c r="J1367" s="2">
        <v>0.10208333333333333</v>
      </c>
      <c r="K1367" s="12">
        <f>Combined[[#This Row],[Time Spent]]*24</f>
        <v>2.4500000000000002</v>
      </c>
      <c r="L1367" s="12">
        <f>MROUND(Combined[[#This Row],[Time Spent 2]],0.25)</f>
        <v>2.5</v>
      </c>
      <c r="M1367" s="2" t="s">
        <v>91</v>
      </c>
      <c r="N1367" t="s">
        <v>82</v>
      </c>
      <c r="O1367">
        <f>MATCH(Combined[[#This Row],[Primary Area]],KPIs!$C$4:$C$7,0)</f>
        <v>3</v>
      </c>
      <c r="R1367" s="40"/>
      <c r="V1367" s="4"/>
      <c r="X1367"/>
    </row>
    <row r="1368" spans="2:24" x14ac:dyDescent="0.35">
      <c r="B1368">
        <f t="shared" si="326"/>
        <v>1366</v>
      </c>
      <c r="C1368" t="s">
        <v>86</v>
      </c>
      <c r="D1368" t="s">
        <v>176</v>
      </c>
      <c r="E1368">
        <f>IF(WEEKNUM(Combined[[#This Row],[Date]], 1) = 53, 1, WEEKNUM(Combined[[#This Row],[Date]], 2))</f>
        <v>31</v>
      </c>
      <c r="F1368" t="str">
        <f t="shared" si="329"/>
        <v>Thursday</v>
      </c>
      <c r="G1368" s="41">
        <v>45505</v>
      </c>
      <c r="H1368">
        <v>5</v>
      </c>
      <c r="I1368" s="1">
        <v>30.25</v>
      </c>
      <c r="J1368" s="2">
        <v>6.9444444444444448E-2</v>
      </c>
      <c r="K1368" s="12">
        <f>Combined[[#This Row],[Time Spent]]*24</f>
        <v>1.6666666666666667</v>
      </c>
      <c r="L1368" s="12">
        <f>MROUND(Combined[[#This Row],[Time Spent 2]],0.25)</f>
        <v>1.75</v>
      </c>
      <c r="M1368" s="2" t="s">
        <v>92</v>
      </c>
      <c r="N1368" t="s">
        <v>82</v>
      </c>
      <c r="O1368">
        <f>MATCH(Combined[[#This Row],[Primary Area]],KPIs!$C$4:$C$7,0)</f>
        <v>3</v>
      </c>
      <c r="R1368" s="40"/>
      <c r="V1368" s="4"/>
      <c r="X1368"/>
    </row>
    <row r="1369" spans="2:24" x14ac:dyDescent="0.35">
      <c r="B1369">
        <f t="shared" si="326"/>
        <v>1367</v>
      </c>
      <c r="C1369" t="s">
        <v>83</v>
      </c>
      <c r="D1369" t="s">
        <v>176</v>
      </c>
      <c r="E1369">
        <f>IF(WEEKNUM(Combined[[#This Row],[Date]], 1) = 53, 1, WEEKNUM(Combined[[#This Row],[Date]], 2))</f>
        <v>31</v>
      </c>
      <c r="F1369" t="str">
        <f t="shared" ref="F1369:F1372" si="330">TEXT(WEEKDAY(G1369,1),"DDDD")</f>
        <v>Saturday</v>
      </c>
      <c r="G1369" s="41">
        <v>45507</v>
      </c>
      <c r="H1369">
        <v>5</v>
      </c>
      <c r="I1369" s="1">
        <v>73.81</v>
      </c>
      <c r="J1369" s="2">
        <v>0.17916666666666667</v>
      </c>
      <c r="K1369" s="12">
        <f>Combined[[#This Row],[Time Spent]]*24</f>
        <v>4.3</v>
      </c>
      <c r="L1369" s="12">
        <f>MROUND(Combined[[#This Row],[Time Spent 2]],0.25)</f>
        <v>4.25</v>
      </c>
      <c r="M1369" s="2" t="s">
        <v>91</v>
      </c>
      <c r="N1369" t="s">
        <v>82</v>
      </c>
      <c r="O1369">
        <f>MATCH(Combined[[#This Row],[Primary Area]],KPIs!$C$4:$C$7,0)</f>
        <v>3</v>
      </c>
      <c r="R1369" s="40"/>
      <c r="V1369" s="4"/>
      <c r="X1369"/>
    </row>
    <row r="1370" spans="2:24" x14ac:dyDescent="0.35">
      <c r="B1370">
        <f t="shared" si="326"/>
        <v>1368</v>
      </c>
      <c r="C1370" t="s">
        <v>86</v>
      </c>
      <c r="D1370" t="s">
        <v>176</v>
      </c>
      <c r="E1370">
        <f>IF(WEEKNUM(Combined[[#This Row],[Date]], 1) = 53, 1, WEEKNUM(Combined[[#This Row],[Date]], 2))</f>
        <v>31</v>
      </c>
      <c r="F1370" t="str">
        <f t="shared" si="330"/>
        <v>Saturday</v>
      </c>
      <c r="G1370" s="41">
        <v>45507</v>
      </c>
      <c r="H1370">
        <v>13</v>
      </c>
      <c r="I1370" s="1">
        <v>94.17</v>
      </c>
      <c r="J1370" s="2">
        <v>0.18472222222222223</v>
      </c>
      <c r="K1370" s="12">
        <f>Combined[[#This Row],[Time Spent]]*24</f>
        <v>4.4333333333333336</v>
      </c>
      <c r="L1370" s="12">
        <f>MROUND(Combined[[#This Row],[Time Spent 2]],0.25)</f>
        <v>4.5</v>
      </c>
      <c r="M1370" s="2" t="s">
        <v>91</v>
      </c>
      <c r="N1370" t="s">
        <v>82</v>
      </c>
      <c r="O1370">
        <f>MATCH(Combined[[#This Row],[Primary Area]],KPIs!$C$4:$C$7,0)</f>
        <v>3</v>
      </c>
      <c r="R1370" s="40"/>
      <c r="V1370" s="4"/>
      <c r="X1370"/>
    </row>
    <row r="1371" spans="2:24" x14ac:dyDescent="0.35">
      <c r="B1371">
        <f t="shared" si="326"/>
        <v>1369</v>
      </c>
      <c r="C1371" t="s">
        <v>83</v>
      </c>
      <c r="D1371" t="s">
        <v>176</v>
      </c>
      <c r="E1371">
        <f>IF(WEEKNUM(Combined[[#This Row],[Date]], 1) = 53, 1, WEEKNUM(Combined[[#This Row],[Date]], 2))</f>
        <v>31</v>
      </c>
      <c r="F1371" t="str">
        <f t="shared" si="330"/>
        <v>Sunday</v>
      </c>
      <c r="G1371" s="41">
        <v>45508</v>
      </c>
      <c r="H1371">
        <v>1</v>
      </c>
      <c r="I1371" s="1">
        <v>9.06</v>
      </c>
      <c r="J1371" s="2">
        <v>7.5694444444444439E-2</v>
      </c>
      <c r="K1371" s="12">
        <f>Combined[[#This Row],[Time Spent]]*24</f>
        <v>1.8166666666666664</v>
      </c>
      <c r="L1371" s="12">
        <f>MROUND(Combined[[#This Row],[Time Spent 2]],0.25)</f>
        <v>1.75</v>
      </c>
      <c r="M1371" s="2" t="s">
        <v>91</v>
      </c>
      <c r="N1371" t="s">
        <v>174</v>
      </c>
      <c r="O1371">
        <f>MATCH(Combined[[#This Row],[Primary Area]],KPIs!$C$4:$C$7,0)</f>
        <v>1</v>
      </c>
      <c r="R1371" s="40"/>
      <c r="V1371" s="4"/>
      <c r="X1371"/>
    </row>
    <row r="1372" spans="2:24" x14ac:dyDescent="0.35">
      <c r="B1372">
        <f t="shared" si="326"/>
        <v>1370</v>
      </c>
      <c r="C1372" t="s">
        <v>86</v>
      </c>
      <c r="D1372" t="s">
        <v>176</v>
      </c>
      <c r="E1372">
        <f>IF(WEEKNUM(Combined[[#This Row],[Date]], 1) = 53, 1, WEEKNUM(Combined[[#This Row],[Date]], 2))</f>
        <v>31</v>
      </c>
      <c r="F1372" t="str">
        <f t="shared" si="330"/>
        <v>Sunday</v>
      </c>
      <c r="G1372" s="41">
        <v>45508</v>
      </c>
      <c r="H1372">
        <v>11</v>
      </c>
      <c r="I1372" s="1">
        <f>107+3.63</f>
        <v>110.63</v>
      </c>
      <c r="J1372" s="2">
        <v>0.26319444444444445</v>
      </c>
      <c r="K1372" s="12">
        <f>Combined[[#This Row],[Time Spent]]*24</f>
        <v>6.3166666666666664</v>
      </c>
      <c r="L1372" s="12">
        <f>MROUND(Combined[[#This Row],[Time Spent 2]],0.25)</f>
        <v>6.25</v>
      </c>
      <c r="M1372" s="2" t="s">
        <v>91</v>
      </c>
      <c r="N1372" t="s">
        <v>174</v>
      </c>
      <c r="O1372">
        <f>MATCH(Combined[[#This Row],[Primary Area]],KPIs!$C$4:$C$7,0)</f>
        <v>1</v>
      </c>
      <c r="R1372" s="40"/>
      <c r="V1372" s="4"/>
      <c r="X1372"/>
    </row>
    <row r="1373" spans="2:24" x14ac:dyDescent="0.35">
      <c r="B1373">
        <f t="shared" si="326"/>
        <v>1371</v>
      </c>
      <c r="C1373" t="s">
        <v>83</v>
      </c>
      <c r="D1373" t="s">
        <v>176</v>
      </c>
      <c r="E1373">
        <f>IF(WEEKNUM(Combined[[#This Row],[Date]], 1) = 53, 1, WEEKNUM(Combined[[#This Row],[Date]], 2))</f>
        <v>32</v>
      </c>
      <c r="F1373" t="str">
        <f t="shared" ref="F1373:F1385" si="331">TEXT(WEEKDAY(G1373,1),"DDDD")</f>
        <v>Tuesday</v>
      </c>
      <c r="G1373" s="41">
        <v>45510</v>
      </c>
      <c r="H1373">
        <v>4</v>
      </c>
      <c r="I1373" s="1">
        <v>52.87</v>
      </c>
      <c r="J1373" s="2">
        <v>0.11874999999999999</v>
      </c>
      <c r="K1373" s="12">
        <f>Combined[[#This Row],[Time Spent]]*24</f>
        <v>2.8499999999999996</v>
      </c>
      <c r="L1373" s="12">
        <f>MROUND(Combined[[#This Row],[Time Spent 2]],0.25)</f>
        <v>2.75</v>
      </c>
      <c r="M1373" s="2" t="s">
        <v>91</v>
      </c>
      <c r="N1373" t="s">
        <v>85</v>
      </c>
      <c r="O1373">
        <f>MATCH(Combined[[#This Row],[Primary Area]],KPIs!$C$4:$C$7,0)</f>
        <v>4</v>
      </c>
      <c r="R1373" s="40"/>
      <c r="V1373" s="4"/>
      <c r="X1373"/>
    </row>
    <row r="1374" spans="2:24" x14ac:dyDescent="0.35">
      <c r="B1374">
        <f t="shared" si="326"/>
        <v>1372</v>
      </c>
      <c r="C1374" t="s">
        <v>86</v>
      </c>
      <c r="D1374" t="s">
        <v>176</v>
      </c>
      <c r="E1374">
        <f>IF(WEEKNUM(Combined[[#This Row],[Date]], 1) = 53, 1, WEEKNUM(Combined[[#This Row],[Date]], 2))</f>
        <v>32</v>
      </c>
      <c r="F1374" t="str">
        <f t="shared" si="331"/>
        <v>Tuesday</v>
      </c>
      <c r="G1374" s="41">
        <v>45510</v>
      </c>
      <c r="H1374">
        <v>5</v>
      </c>
      <c r="I1374" s="1">
        <v>49</v>
      </c>
      <c r="J1374" s="2">
        <v>0.12013888888888889</v>
      </c>
      <c r="K1374" s="12">
        <f>Combined[[#This Row],[Time Spent]]*24</f>
        <v>2.8833333333333333</v>
      </c>
      <c r="L1374" s="12">
        <f>MROUND(Combined[[#This Row],[Time Spent 2]],0.25)</f>
        <v>3</v>
      </c>
      <c r="M1374" s="2" t="s">
        <v>91</v>
      </c>
      <c r="N1374" t="s">
        <v>85</v>
      </c>
      <c r="O1374">
        <f>MATCH(Combined[[#This Row],[Primary Area]],KPIs!$C$4:$C$7,0)</f>
        <v>4</v>
      </c>
      <c r="R1374" s="40"/>
      <c r="V1374" s="4"/>
      <c r="X1374"/>
    </row>
    <row r="1375" spans="2:24" x14ac:dyDescent="0.35">
      <c r="B1375">
        <f t="shared" si="326"/>
        <v>1373</v>
      </c>
      <c r="C1375" t="s">
        <v>86</v>
      </c>
      <c r="D1375" t="s">
        <v>176</v>
      </c>
      <c r="E1375">
        <f>IF(WEEKNUM(Combined[[#This Row],[Date]], 1) = 53, 1, WEEKNUM(Combined[[#This Row],[Date]], 2))</f>
        <v>32</v>
      </c>
      <c r="F1375" t="str">
        <f t="shared" si="331"/>
        <v>Tuesday</v>
      </c>
      <c r="G1375" s="41">
        <v>45510</v>
      </c>
      <c r="H1375">
        <v>5</v>
      </c>
      <c r="I1375" s="1">
        <v>43.27</v>
      </c>
      <c r="J1375" s="2">
        <v>7.013888888888889E-2</v>
      </c>
      <c r="K1375" s="12">
        <f>Combined[[#This Row],[Time Spent]]*24</f>
        <v>1.6833333333333333</v>
      </c>
      <c r="L1375" s="12">
        <f>MROUND(Combined[[#This Row],[Time Spent 2]],0.25)</f>
        <v>1.75</v>
      </c>
      <c r="M1375" s="2" t="s">
        <v>92</v>
      </c>
      <c r="N1375" t="s">
        <v>85</v>
      </c>
      <c r="O1375">
        <f>MATCH(Combined[[#This Row],[Primary Area]],KPIs!$C$4:$C$7,0)</f>
        <v>4</v>
      </c>
      <c r="R1375" s="40"/>
      <c r="V1375" s="4"/>
      <c r="X1375"/>
    </row>
    <row r="1376" spans="2:24" x14ac:dyDescent="0.35">
      <c r="B1376">
        <f t="shared" si="326"/>
        <v>1374</v>
      </c>
      <c r="C1376" t="s">
        <v>83</v>
      </c>
      <c r="D1376" t="s">
        <v>176</v>
      </c>
      <c r="E1376">
        <f>IF(WEEKNUM(Combined[[#This Row],[Date]], 1) = 53, 1, WEEKNUM(Combined[[#This Row],[Date]], 2))</f>
        <v>32</v>
      </c>
      <c r="F1376" t="str">
        <f t="shared" si="331"/>
        <v>Friday</v>
      </c>
      <c r="G1376" s="41">
        <v>45513</v>
      </c>
      <c r="H1376">
        <v>5</v>
      </c>
      <c r="I1376" s="1">
        <v>50.9</v>
      </c>
      <c r="J1376" s="2">
        <v>0.14583333333333334</v>
      </c>
      <c r="K1376" s="12">
        <f>Combined[[#This Row],[Time Spent]]*24</f>
        <v>3.5</v>
      </c>
      <c r="L1376" s="12">
        <f>MROUND(Combined[[#This Row],[Time Spent 2]],0.25)</f>
        <v>3.5</v>
      </c>
      <c r="M1376" s="2" t="s">
        <v>91</v>
      </c>
      <c r="N1376" t="s">
        <v>85</v>
      </c>
      <c r="O1376">
        <f>MATCH(Combined[[#This Row],[Primary Area]],KPIs!$C$4:$C$7,0)</f>
        <v>4</v>
      </c>
      <c r="R1376" s="40"/>
      <c r="V1376" s="4"/>
      <c r="X1376"/>
    </row>
    <row r="1377" spans="2:24" x14ac:dyDescent="0.35">
      <c r="B1377">
        <f t="shared" si="326"/>
        <v>1375</v>
      </c>
      <c r="C1377" t="s">
        <v>86</v>
      </c>
      <c r="D1377" t="s">
        <v>176</v>
      </c>
      <c r="E1377">
        <f>IF(WEEKNUM(Combined[[#This Row],[Date]], 1) = 53, 1, WEEKNUM(Combined[[#This Row],[Date]], 2))</f>
        <v>32</v>
      </c>
      <c r="F1377" t="str">
        <f t="shared" si="331"/>
        <v>Friday</v>
      </c>
      <c r="G1377" s="41">
        <v>45513</v>
      </c>
      <c r="H1377">
        <v>5</v>
      </c>
      <c r="I1377" s="1">
        <v>36</v>
      </c>
      <c r="J1377" s="2">
        <v>9.2361111111111116E-2</v>
      </c>
      <c r="K1377" s="12">
        <f>Combined[[#This Row],[Time Spent]]*24</f>
        <v>2.2166666666666668</v>
      </c>
      <c r="L1377" s="12">
        <f>MROUND(Combined[[#This Row],[Time Spent 2]],0.25)</f>
        <v>2.25</v>
      </c>
      <c r="M1377" s="2" t="s">
        <v>91</v>
      </c>
      <c r="N1377" t="s">
        <v>85</v>
      </c>
      <c r="O1377">
        <f>MATCH(Combined[[#This Row],[Primary Area]],KPIs!$C$4:$C$7,0)</f>
        <v>4</v>
      </c>
      <c r="R1377" s="40"/>
      <c r="V1377" s="4"/>
      <c r="X1377"/>
    </row>
    <row r="1378" spans="2:24" x14ac:dyDescent="0.35">
      <c r="B1378">
        <f t="shared" si="326"/>
        <v>1376</v>
      </c>
      <c r="C1378" t="s">
        <v>86</v>
      </c>
      <c r="D1378" t="s">
        <v>175</v>
      </c>
      <c r="E1378">
        <f>IF(WEEKNUM(Combined[[#This Row],[Date]], 1) = 53, 1, WEEKNUM(Combined[[#This Row],[Date]], 2))</f>
        <v>32</v>
      </c>
      <c r="F1378" t="str">
        <f t="shared" si="331"/>
        <v>Friday</v>
      </c>
      <c r="G1378" s="41">
        <v>45513</v>
      </c>
      <c r="H1378">
        <v>7</v>
      </c>
      <c r="I1378" s="1">
        <v>58.02</v>
      </c>
      <c r="J1378" s="2">
        <v>0.12777777777777777</v>
      </c>
      <c r="K1378" s="12">
        <f>Combined[[#This Row],[Time Spent]]*24</f>
        <v>3.0666666666666664</v>
      </c>
      <c r="L1378" s="12">
        <f>MROUND(Combined[[#This Row],[Time Spent 2]],0.25)</f>
        <v>3</v>
      </c>
      <c r="M1378" s="2" t="s">
        <v>92</v>
      </c>
      <c r="N1378" t="s">
        <v>85</v>
      </c>
      <c r="O1378">
        <f>MATCH(Combined[[#This Row],[Primary Area]],KPIs!$C$4:$C$7,0)</f>
        <v>4</v>
      </c>
      <c r="R1378" s="40"/>
      <c r="V1378" s="4"/>
      <c r="X1378"/>
    </row>
    <row r="1379" spans="2:24" x14ac:dyDescent="0.35">
      <c r="B1379">
        <f t="shared" si="326"/>
        <v>1377</v>
      </c>
      <c r="C1379" t="s">
        <v>86</v>
      </c>
      <c r="D1379" t="s">
        <v>175</v>
      </c>
      <c r="E1379">
        <f>IF(WEEKNUM(Combined[[#This Row],[Date]], 1) = 53, 1, WEEKNUM(Combined[[#This Row],[Date]], 2))</f>
        <v>32</v>
      </c>
      <c r="F1379" t="str">
        <f t="shared" si="331"/>
        <v>Friday</v>
      </c>
      <c r="G1379" s="41">
        <v>45513</v>
      </c>
      <c r="H1379">
        <v>2</v>
      </c>
      <c r="I1379" s="1">
        <v>12.65</v>
      </c>
      <c r="J1379" s="2">
        <v>1.9444444444444445E-2</v>
      </c>
      <c r="K1379" s="12">
        <f>Combined[[#This Row],[Time Spent]]*24</f>
        <v>0.46666666666666667</v>
      </c>
      <c r="L1379" s="12">
        <f>MROUND(Combined[[#This Row],[Time Spent 2]],0.25)</f>
        <v>0.5</v>
      </c>
      <c r="M1379" s="2" t="s">
        <v>92</v>
      </c>
      <c r="N1379" t="s">
        <v>85</v>
      </c>
      <c r="O1379">
        <f>MATCH(Combined[[#This Row],[Primary Area]],KPIs!$C$4:$C$7,0)</f>
        <v>4</v>
      </c>
      <c r="R1379" s="40"/>
      <c r="V1379" s="4"/>
      <c r="X1379"/>
    </row>
    <row r="1380" spans="2:24" x14ac:dyDescent="0.35">
      <c r="B1380">
        <f t="shared" si="326"/>
        <v>1378</v>
      </c>
      <c r="C1380" t="s">
        <v>83</v>
      </c>
      <c r="D1380" t="s">
        <v>176</v>
      </c>
      <c r="E1380">
        <f>IF(WEEKNUM(Combined[[#This Row],[Date]], 1) = 53, 1, WEEKNUM(Combined[[#This Row],[Date]], 2))</f>
        <v>32</v>
      </c>
      <c r="F1380" t="str">
        <f t="shared" si="331"/>
        <v>Saturday</v>
      </c>
      <c r="G1380" s="41">
        <v>45514</v>
      </c>
      <c r="H1380">
        <v>10</v>
      </c>
      <c r="I1380" s="1">
        <v>76.34</v>
      </c>
      <c r="J1380" s="2">
        <v>0.20694444444444443</v>
      </c>
      <c r="K1380" s="12">
        <f>Combined[[#This Row],[Time Spent]]*24</f>
        <v>4.9666666666666668</v>
      </c>
      <c r="L1380" s="12">
        <f>MROUND(Combined[[#This Row],[Time Spent 2]],0.25)</f>
        <v>5</v>
      </c>
      <c r="M1380" s="2" t="s">
        <v>91</v>
      </c>
      <c r="N1380" t="s">
        <v>82</v>
      </c>
      <c r="O1380">
        <f>MATCH(Combined[[#This Row],[Primary Area]],KPIs!$C$4:$C$7,0)</f>
        <v>3</v>
      </c>
      <c r="R1380" s="40"/>
      <c r="V1380" s="4"/>
      <c r="X1380"/>
    </row>
    <row r="1381" spans="2:24" x14ac:dyDescent="0.35">
      <c r="B1381">
        <f t="shared" si="326"/>
        <v>1379</v>
      </c>
      <c r="C1381" t="s">
        <v>86</v>
      </c>
      <c r="D1381" t="s">
        <v>176</v>
      </c>
      <c r="E1381">
        <f>IF(WEEKNUM(Combined[[#This Row],[Date]], 1) = 53, 1, WEEKNUM(Combined[[#This Row],[Date]], 2))</f>
        <v>32</v>
      </c>
      <c r="F1381" t="str">
        <f t="shared" si="331"/>
        <v>Saturday</v>
      </c>
      <c r="G1381" s="41">
        <v>45514</v>
      </c>
      <c r="H1381">
        <v>1</v>
      </c>
      <c r="I1381" s="1">
        <v>7.5</v>
      </c>
      <c r="J1381" s="2">
        <v>4.5138888888888888E-2</v>
      </c>
      <c r="K1381" s="12">
        <f>Combined[[#This Row],[Time Spent]]*24</f>
        <v>1.0833333333333333</v>
      </c>
      <c r="L1381" s="12">
        <f>MROUND(Combined[[#This Row],[Time Spent 2]],0.25)</f>
        <v>1</v>
      </c>
      <c r="M1381" s="2" t="s">
        <v>91</v>
      </c>
      <c r="N1381" t="s">
        <v>82</v>
      </c>
      <c r="O1381">
        <f>MATCH(Combined[[#This Row],[Primary Area]],KPIs!$C$4:$C$7,0)</f>
        <v>3</v>
      </c>
      <c r="R1381" s="40"/>
      <c r="V1381" s="4"/>
      <c r="X1381"/>
    </row>
    <row r="1382" spans="2:24" x14ac:dyDescent="0.35">
      <c r="B1382">
        <f t="shared" si="326"/>
        <v>1380</v>
      </c>
      <c r="C1382" t="s">
        <v>86</v>
      </c>
      <c r="D1382" t="s">
        <v>176</v>
      </c>
      <c r="E1382">
        <f>IF(WEEKNUM(Combined[[#This Row],[Date]], 1) = 53, 1, WEEKNUM(Combined[[#This Row],[Date]], 2))</f>
        <v>32</v>
      </c>
      <c r="F1382" t="str">
        <f t="shared" si="331"/>
        <v>Saturday</v>
      </c>
      <c r="G1382" s="41">
        <v>45514</v>
      </c>
      <c r="H1382">
        <v>5</v>
      </c>
      <c r="I1382" s="1">
        <v>42.75</v>
      </c>
      <c r="J1382" s="2">
        <v>0.11597222222222223</v>
      </c>
      <c r="K1382" s="12">
        <f>Combined[[#This Row],[Time Spent]]*24</f>
        <v>2.7833333333333332</v>
      </c>
      <c r="L1382" s="12">
        <f>MROUND(Combined[[#This Row],[Time Spent 2]],0.25)</f>
        <v>2.75</v>
      </c>
      <c r="M1382" s="2" t="s">
        <v>91</v>
      </c>
      <c r="N1382" t="s">
        <v>82</v>
      </c>
      <c r="O1382">
        <f>MATCH(Combined[[#This Row],[Primary Area]],KPIs!$C$4:$C$7,0)</f>
        <v>3</v>
      </c>
      <c r="R1382" s="40"/>
      <c r="V1382" s="4"/>
      <c r="X1382"/>
    </row>
    <row r="1383" spans="2:24" x14ac:dyDescent="0.35">
      <c r="B1383">
        <f t="shared" si="326"/>
        <v>1381</v>
      </c>
      <c r="C1383" t="s">
        <v>86</v>
      </c>
      <c r="D1383" t="s">
        <v>176</v>
      </c>
      <c r="E1383">
        <f>IF(WEEKNUM(Combined[[#This Row],[Date]], 1) = 53, 1, WEEKNUM(Combined[[#This Row],[Date]], 2))</f>
        <v>32</v>
      </c>
      <c r="F1383" t="str">
        <f t="shared" si="331"/>
        <v>Saturday</v>
      </c>
      <c r="G1383" s="41">
        <v>45514</v>
      </c>
      <c r="H1383">
        <v>1</v>
      </c>
      <c r="I1383" s="1">
        <v>4</v>
      </c>
      <c r="J1383" s="2">
        <v>1.1805555555555555E-2</v>
      </c>
      <c r="K1383" s="12">
        <f>Combined[[#This Row],[Time Spent]]*24</f>
        <v>0.28333333333333333</v>
      </c>
      <c r="L1383" s="12">
        <f>MROUND(Combined[[#This Row],[Time Spent 2]],0.25)</f>
        <v>0.25</v>
      </c>
      <c r="M1383" s="2" t="s">
        <v>92</v>
      </c>
      <c r="N1383" t="s">
        <v>82</v>
      </c>
      <c r="O1383">
        <f>MATCH(Combined[[#This Row],[Primary Area]],KPIs!$C$4:$C$7,0)</f>
        <v>3</v>
      </c>
      <c r="R1383" s="40"/>
      <c r="V1383" s="4"/>
      <c r="X1383"/>
    </row>
    <row r="1384" spans="2:24" x14ac:dyDescent="0.35">
      <c r="B1384">
        <f t="shared" si="326"/>
        <v>1382</v>
      </c>
      <c r="C1384" t="s">
        <v>83</v>
      </c>
      <c r="D1384" t="s">
        <v>176</v>
      </c>
      <c r="E1384">
        <f>IF(WEEKNUM(Combined[[#This Row],[Date]], 1) = 53, 1, WEEKNUM(Combined[[#This Row],[Date]], 2))</f>
        <v>32</v>
      </c>
      <c r="F1384" t="str">
        <f t="shared" si="331"/>
        <v>Sunday</v>
      </c>
      <c r="G1384" s="41">
        <v>45515</v>
      </c>
      <c r="H1384">
        <v>12</v>
      </c>
      <c r="I1384" s="1">
        <v>163.27000000000001</v>
      </c>
      <c r="J1384" s="2">
        <v>0.25416666666666665</v>
      </c>
      <c r="K1384" s="12">
        <f>Combined[[#This Row],[Time Spent]]*24</f>
        <v>6.1</v>
      </c>
      <c r="L1384" s="12">
        <f>MROUND(Combined[[#This Row],[Time Spent 2]],0.25)</f>
        <v>6</v>
      </c>
      <c r="M1384" s="2" t="s">
        <v>91</v>
      </c>
      <c r="N1384" t="s">
        <v>85</v>
      </c>
      <c r="O1384">
        <f>MATCH(Combined[[#This Row],[Primary Area]],KPIs!$C$4:$C$7,0)</f>
        <v>4</v>
      </c>
      <c r="R1384" s="40"/>
      <c r="V1384" s="4"/>
      <c r="X1384"/>
    </row>
    <row r="1385" spans="2:24" x14ac:dyDescent="0.35">
      <c r="B1385">
        <f t="shared" si="326"/>
        <v>1383</v>
      </c>
      <c r="C1385" t="s">
        <v>86</v>
      </c>
      <c r="D1385" t="s">
        <v>175</v>
      </c>
      <c r="E1385">
        <f>IF(WEEKNUM(Combined[[#This Row],[Date]], 1) = 53, 1, WEEKNUM(Combined[[#This Row],[Date]], 2))</f>
        <v>32</v>
      </c>
      <c r="F1385" t="str">
        <f t="shared" si="331"/>
        <v>Sunday</v>
      </c>
      <c r="G1385" s="41">
        <v>45515</v>
      </c>
      <c r="H1385">
        <v>1</v>
      </c>
      <c r="I1385" s="1">
        <v>7.77</v>
      </c>
      <c r="J1385" s="2">
        <v>2.361111111111111E-2</v>
      </c>
      <c r="K1385" s="12">
        <f>Combined[[#This Row],[Time Spent]]*24</f>
        <v>0.56666666666666665</v>
      </c>
      <c r="L1385" s="12">
        <f>MROUND(Combined[[#This Row],[Time Spent 2]],0.25)</f>
        <v>0.5</v>
      </c>
      <c r="M1385" s="2" t="s">
        <v>91</v>
      </c>
      <c r="N1385" t="s">
        <v>85</v>
      </c>
      <c r="O1385">
        <f>MATCH(Combined[[#This Row],[Primary Area]],KPIs!$C$4:$C$7,0)</f>
        <v>4</v>
      </c>
      <c r="R1385" s="40"/>
      <c r="V1385" s="4"/>
      <c r="X1385"/>
    </row>
    <row r="1386" spans="2:24" x14ac:dyDescent="0.35">
      <c r="B1386">
        <f t="shared" si="326"/>
        <v>1384</v>
      </c>
      <c r="C1386" t="s">
        <v>83</v>
      </c>
      <c r="D1386" t="s">
        <v>176</v>
      </c>
      <c r="E1386">
        <f>IF(WEEKNUM(Combined[[#This Row],[Date]], 1) = 53, 1, WEEKNUM(Combined[[#This Row],[Date]], 2))</f>
        <v>33</v>
      </c>
      <c r="F1386" t="str">
        <f t="shared" ref="F1386:F1398" si="332">TEXT(WEEKDAY(G1386,1),"DDDD")</f>
        <v>Monday</v>
      </c>
      <c r="G1386" s="41">
        <v>45516</v>
      </c>
      <c r="H1386">
        <v>8</v>
      </c>
      <c r="I1386" s="1">
        <v>81.36</v>
      </c>
      <c r="J1386" s="2">
        <v>0.16458333333333333</v>
      </c>
      <c r="K1386" s="12">
        <f>Combined[[#This Row],[Time Spent]]*24</f>
        <v>3.95</v>
      </c>
      <c r="L1386" s="12">
        <f>MROUND(Combined[[#This Row],[Time Spent 2]],0.25)</f>
        <v>4</v>
      </c>
      <c r="M1386" s="2" t="s">
        <v>91</v>
      </c>
      <c r="N1386" t="s">
        <v>85</v>
      </c>
      <c r="O1386">
        <f>MATCH(Combined[[#This Row],[Primary Area]],KPIs!$C$4:$C$7,0)</f>
        <v>4</v>
      </c>
      <c r="R1386" s="40"/>
      <c r="V1386" s="4"/>
      <c r="X1386"/>
    </row>
    <row r="1387" spans="2:24" x14ac:dyDescent="0.35">
      <c r="B1387">
        <f t="shared" si="326"/>
        <v>1385</v>
      </c>
      <c r="C1387" t="s">
        <v>86</v>
      </c>
      <c r="D1387" t="s">
        <v>176</v>
      </c>
      <c r="E1387">
        <f>IF(WEEKNUM(Combined[[#This Row],[Date]], 1) = 53, 1, WEEKNUM(Combined[[#This Row],[Date]], 2))</f>
        <v>33</v>
      </c>
      <c r="F1387" t="str">
        <f t="shared" si="332"/>
        <v>Monday</v>
      </c>
      <c r="G1387" s="41">
        <v>45516</v>
      </c>
      <c r="H1387">
        <v>2</v>
      </c>
      <c r="I1387" s="1">
        <v>20</v>
      </c>
      <c r="J1387" s="2">
        <v>8.4722222222222227E-2</v>
      </c>
      <c r="K1387" s="12">
        <f>Combined[[#This Row],[Time Spent]]*24</f>
        <v>2.0333333333333332</v>
      </c>
      <c r="L1387" s="12">
        <f>MROUND(Combined[[#This Row],[Time Spent 2]],0.25)</f>
        <v>2</v>
      </c>
      <c r="M1387" s="2" t="s">
        <v>91</v>
      </c>
      <c r="N1387" t="s">
        <v>85</v>
      </c>
      <c r="O1387">
        <f>MATCH(Combined[[#This Row],[Primary Area]],KPIs!$C$4:$C$7,0)</f>
        <v>4</v>
      </c>
      <c r="R1387" s="40"/>
      <c r="V1387" s="4"/>
      <c r="X1387"/>
    </row>
    <row r="1388" spans="2:24" x14ac:dyDescent="0.35">
      <c r="B1388">
        <f t="shared" si="326"/>
        <v>1386</v>
      </c>
      <c r="C1388" t="s">
        <v>86</v>
      </c>
      <c r="D1388" t="s">
        <v>176</v>
      </c>
      <c r="E1388">
        <f>IF(WEEKNUM(Combined[[#This Row],[Date]], 1) = 53, 1, WEEKNUM(Combined[[#This Row],[Date]], 2))</f>
        <v>33</v>
      </c>
      <c r="F1388" t="str">
        <f t="shared" si="332"/>
        <v>Monday</v>
      </c>
      <c r="G1388" s="41">
        <v>45516</v>
      </c>
      <c r="H1388">
        <v>1</v>
      </c>
      <c r="I1388" s="1">
        <v>13.25</v>
      </c>
      <c r="J1388" s="2">
        <v>5.486111111111111E-2</v>
      </c>
      <c r="K1388" s="12">
        <f>Combined[[#This Row],[Time Spent]]*24</f>
        <v>1.3166666666666667</v>
      </c>
      <c r="L1388" s="12">
        <f>MROUND(Combined[[#This Row],[Time Spent 2]],0.25)</f>
        <v>1.25</v>
      </c>
      <c r="M1388" s="2" t="s">
        <v>91</v>
      </c>
      <c r="N1388" t="s">
        <v>85</v>
      </c>
      <c r="O1388">
        <f>MATCH(Combined[[#This Row],[Primary Area]],KPIs!$C$4:$C$7,0)</f>
        <v>4</v>
      </c>
      <c r="R1388" s="40"/>
      <c r="V1388" s="4"/>
      <c r="X1388"/>
    </row>
    <row r="1389" spans="2:24" x14ac:dyDescent="0.35">
      <c r="B1389">
        <f t="shared" si="326"/>
        <v>1387</v>
      </c>
      <c r="C1389" t="s">
        <v>86</v>
      </c>
      <c r="D1389" t="s">
        <v>176</v>
      </c>
      <c r="E1389">
        <f>IF(WEEKNUM(Combined[[#This Row],[Date]], 1) = 53, 1, WEEKNUM(Combined[[#This Row],[Date]], 2))</f>
        <v>33</v>
      </c>
      <c r="F1389" t="str">
        <f t="shared" si="332"/>
        <v>Monday</v>
      </c>
      <c r="G1389" s="41">
        <v>45516</v>
      </c>
      <c r="H1389">
        <v>3</v>
      </c>
      <c r="I1389" s="1">
        <v>19</v>
      </c>
      <c r="J1389" s="2">
        <v>7.013888888888889E-2</v>
      </c>
      <c r="K1389" s="12">
        <f>Combined[[#This Row],[Time Spent]]*24</f>
        <v>1.6833333333333333</v>
      </c>
      <c r="L1389" s="12">
        <f>MROUND(Combined[[#This Row],[Time Spent 2]],0.25)</f>
        <v>1.75</v>
      </c>
      <c r="M1389" s="2" t="s">
        <v>92</v>
      </c>
      <c r="N1389" t="s">
        <v>85</v>
      </c>
      <c r="O1389">
        <f>MATCH(Combined[[#This Row],[Primary Area]],KPIs!$C$4:$C$7,0)</f>
        <v>4</v>
      </c>
      <c r="R1389" s="40"/>
      <c r="V1389" s="4"/>
      <c r="X1389"/>
    </row>
    <row r="1390" spans="2:24" x14ac:dyDescent="0.35">
      <c r="B1390">
        <f t="shared" si="326"/>
        <v>1388</v>
      </c>
      <c r="C1390" t="s">
        <v>86</v>
      </c>
      <c r="D1390" t="s">
        <v>176</v>
      </c>
      <c r="E1390">
        <f>IF(WEEKNUM(Combined[[#This Row],[Date]], 1) = 53, 1, WEEKNUM(Combined[[#This Row],[Date]], 2))</f>
        <v>33</v>
      </c>
      <c r="F1390" t="str">
        <f t="shared" si="332"/>
        <v>Tuesday</v>
      </c>
      <c r="G1390" s="41">
        <v>45517</v>
      </c>
      <c r="H1390">
        <v>6</v>
      </c>
      <c r="I1390" s="1">
        <v>39.75</v>
      </c>
      <c r="J1390" s="2">
        <v>0.12569444444444444</v>
      </c>
      <c r="K1390" s="12">
        <f>Combined[[#This Row],[Time Spent]]*24</f>
        <v>3.0166666666666666</v>
      </c>
      <c r="L1390" s="12">
        <f>MROUND(Combined[[#This Row],[Time Spent 2]],0.25)</f>
        <v>3</v>
      </c>
      <c r="M1390" s="2" t="s">
        <v>91</v>
      </c>
      <c r="N1390" t="s">
        <v>82</v>
      </c>
      <c r="O1390">
        <f>MATCH(Combined[[#This Row],[Primary Area]],KPIs!$C$4:$C$7,0)</f>
        <v>3</v>
      </c>
      <c r="R1390" s="40"/>
      <c r="V1390" s="4"/>
      <c r="X1390"/>
    </row>
    <row r="1391" spans="2:24" x14ac:dyDescent="0.35">
      <c r="B1391">
        <f t="shared" si="326"/>
        <v>1389</v>
      </c>
      <c r="C1391" t="s">
        <v>83</v>
      </c>
      <c r="D1391" t="s">
        <v>176</v>
      </c>
      <c r="E1391">
        <f>IF(WEEKNUM(Combined[[#This Row],[Date]], 1) = 53, 1, WEEKNUM(Combined[[#This Row],[Date]], 2))</f>
        <v>33</v>
      </c>
      <c r="F1391" t="str">
        <f t="shared" si="332"/>
        <v>Wednesday</v>
      </c>
      <c r="G1391" s="41">
        <v>45518</v>
      </c>
      <c r="H1391">
        <v>9</v>
      </c>
      <c r="I1391" s="1">
        <v>120.32</v>
      </c>
      <c r="J1391" s="2">
        <v>0.21388888888888888</v>
      </c>
      <c r="K1391" s="12">
        <f>Combined[[#This Row],[Time Spent]]*24</f>
        <v>5.1333333333333329</v>
      </c>
      <c r="L1391" s="12">
        <f>MROUND(Combined[[#This Row],[Time Spent 2]],0.25)</f>
        <v>5.25</v>
      </c>
      <c r="M1391" s="2" t="s">
        <v>91</v>
      </c>
      <c r="N1391" t="s">
        <v>85</v>
      </c>
      <c r="O1391">
        <f>MATCH(Combined[[#This Row],[Primary Area]],KPIs!$C$4:$C$7,0)</f>
        <v>4</v>
      </c>
      <c r="R1391" s="40"/>
      <c r="V1391" s="4"/>
      <c r="X1391"/>
    </row>
    <row r="1392" spans="2:24" x14ac:dyDescent="0.35">
      <c r="B1392">
        <f t="shared" si="326"/>
        <v>1390</v>
      </c>
      <c r="C1392" t="s">
        <v>86</v>
      </c>
      <c r="D1392" t="s">
        <v>175</v>
      </c>
      <c r="E1392">
        <f>IF(WEEKNUM(Combined[[#This Row],[Date]], 1) = 53, 1, WEEKNUM(Combined[[#This Row],[Date]], 2))</f>
        <v>33</v>
      </c>
      <c r="F1392" t="str">
        <f t="shared" si="332"/>
        <v>Wednesday</v>
      </c>
      <c r="G1392" s="41">
        <v>45518</v>
      </c>
      <c r="H1392">
        <v>1</v>
      </c>
      <c r="I1392" s="1">
        <v>9.73</v>
      </c>
      <c r="J1392" s="2">
        <v>4.8611111111111112E-2</v>
      </c>
      <c r="K1392" s="12">
        <f>Combined[[#This Row],[Time Spent]]*24</f>
        <v>1.1666666666666667</v>
      </c>
      <c r="L1392" s="12">
        <f>MROUND(Combined[[#This Row],[Time Spent 2]],0.25)</f>
        <v>1.25</v>
      </c>
      <c r="M1392" s="2" t="s">
        <v>91</v>
      </c>
      <c r="N1392" t="s">
        <v>85</v>
      </c>
      <c r="O1392">
        <f>MATCH(Combined[[#This Row],[Primary Area]],KPIs!$C$4:$C$7,0)</f>
        <v>4</v>
      </c>
      <c r="R1392" s="40"/>
      <c r="V1392" s="4"/>
      <c r="X1392"/>
    </row>
    <row r="1393" spans="2:24" x14ac:dyDescent="0.35">
      <c r="B1393">
        <f t="shared" si="326"/>
        <v>1391</v>
      </c>
      <c r="C1393" t="s">
        <v>86</v>
      </c>
      <c r="D1393" t="s">
        <v>175</v>
      </c>
      <c r="E1393">
        <f>IF(WEEKNUM(Combined[[#This Row],[Date]], 1) = 53, 1, WEEKNUM(Combined[[#This Row],[Date]], 2))</f>
        <v>33</v>
      </c>
      <c r="F1393" t="str">
        <f t="shared" si="332"/>
        <v>Wednesday</v>
      </c>
      <c r="G1393" s="41">
        <v>45518</v>
      </c>
      <c r="H1393">
        <v>3</v>
      </c>
      <c r="I1393" s="1">
        <v>19.02</v>
      </c>
      <c r="J1393" s="2">
        <v>5.2777777777777778E-2</v>
      </c>
      <c r="K1393" s="12">
        <f>Combined[[#This Row],[Time Spent]]*24</f>
        <v>1.2666666666666666</v>
      </c>
      <c r="L1393" s="12">
        <f>MROUND(Combined[[#This Row],[Time Spent 2]],0.25)</f>
        <v>1.25</v>
      </c>
      <c r="M1393" s="2" t="s">
        <v>92</v>
      </c>
      <c r="N1393" t="s">
        <v>85</v>
      </c>
      <c r="O1393">
        <f>MATCH(Combined[[#This Row],[Primary Area]],KPIs!$C$4:$C$7,0)</f>
        <v>4</v>
      </c>
      <c r="R1393" s="40"/>
      <c r="V1393" s="4"/>
      <c r="X1393"/>
    </row>
    <row r="1394" spans="2:24" x14ac:dyDescent="0.35">
      <c r="B1394">
        <f t="shared" si="326"/>
        <v>1392</v>
      </c>
      <c r="C1394" t="s">
        <v>86</v>
      </c>
      <c r="D1394" t="s">
        <v>175</v>
      </c>
      <c r="E1394">
        <f>IF(WEEKNUM(Combined[[#This Row],[Date]], 1) = 53, 1, WEEKNUM(Combined[[#This Row],[Date]], 2))</f>
        <v>33</v>
      </c>
      <c r="F1394" t="str">
        <f t="shared" si="332"/>
        <v>Wednesday</v>
      </c>
      <c r="G1394" s="41">
        <v>45518</v>
      </c>
      <c r="H1394">
        <v>1</v>
      </c>
      <c r="I1394" s="1">
        <v>9.94</v>
      </c>
      <c r="J1394" s="2">
        <v>2.6388888888888889E-2</v>
      </c>
      <c r="K1394" s="12">
        <f>Combined[[#This Row],[Time Spent]]*24</f>
        <v>0.6333333333333333</v>
      </c>
      <c r="L1394" s="12">
        <f>MROUND(Combined[[#This Row],[Time Spent 2]],0.25)</f>
        <v>0.75</v>
      </c>
      <c r="M1394" s="2" t="s">
        <v>92</v>
      </c>
      <c r="N1394" t="s">
        <v>85</v>
      </c>
      <c r="O1394">
        <f>MATCH(Combined[[#This Row],[Primary Area]],KPIs!$C$4:$C$7,0)</f>
        <v>4</v>
      </c>
      <c r="R1394" s="40"/>
      <c r="V1394" s="4"/>
      <c r="X1394"/>
    </row>
    <row r="1395" spans="2:24" x14ac:dyDescent="0.35">
      <c r="B1395">
        <f t="shared" si="326"/>
        <v>1393</v>
      </c>
      <c r="C1395" t="s">
        <v>83</v>
      </c>
      <c r="D1395" t="s">
        <v>176</v>
      </c>
      <c r="E1395">
        <f>IF(WEEKNUM(Combined[[#This Row],[Date]], 1) = 53, 1, WEEKNUM(Combined[[#This Row],[Date]], 2))</f>
        <v>33</v>
      </c>
      <c r="F1395" t="str">
        <f t="shared" si="332"/>
        <v>Thursday</v>
      </c>
      <c r="G1395" s="41">
        <v>45519</v>
      </c>
      <c r="H1395">
        <v>3</v>
      </c>
      <c r="I1395" s="1">
        <v>18.75</v>
      </c>
      <c r="J1395" s="2">
        <v>7.4999999999999997E-2</v>
      </c>
      <c r="K1395" s="12">
        <f>Combined[[#This Row],[Time Spent]]*24</f>
        <v>1.7999999999999998</v>
      </c>
      <c r="L1395" s="12">
        <f>MROUND(Combined[[#This Row],[Time Spent 2]],0.25)</f>
        <v>1.75</v>
      </c>
      <c r="M1395" s="2" t="s">
        <v>91</v>
      </c>
      <c r="N1395" t="s">
        <v>82</v>
      </c>
      <c r="O1395">
        <f>MATCH(Combined[[#This Row],[Primary Area]],KPIs!$C$4:$C$7,0)</f>
        <v>3</v>
      </c>
      <c r="R1395" s="40"/>
      <c r="V1395" s="4"/>
      <c r="X1395"/>
    </row>
    <row r="1396" spans="2:24" x14ac:dyDescent="0.35">
      <c r="B1396">
        <f t="shared" si="326"/>
        <v>1394</v>
      </c>
      <c r="C1396" t="s">
        <v>86</v>
      </c>
      <c r="D1396" t="s">
        <v>176</v>
      </c>
      <c r="E1396">
        <f>IF(WEEKNUM(Combined[[#This Row],[Date]], 1) = 53, 1, WEEKNUM(Combined[[#This Row],[Date]], 2))</f>
        <v>33</v>
      </c>
      <c r="F1396" t="str">
        <f t="shared" si="332"/>
        <v>Thursday</v>
      </c>
      <c r="G1396" s="41">
        <v>45519</v>
      </c>
      <c r="H1396">
        <v>15</v>
      </c>
      <c r="I1396" s="1">
        <v>91.92</v>
      </c>
      <c r="J1396" s="2">
        <v>0.26041666666666669</v>
      </c>
      <c r="K1396" s="12">
        <f>Combined[[#This Row],[Time Spent]]*24</f>
        <v>6.25</v>
      </c>
      <c r="L1396" s="12">
        <f>MROUND(Combined[[#This Row],[Time Spent 2]],0.25)</f>
        <v>6.25</v>
      </c>
      <c r="M1396" s="2" t="s">
        <v>91</v>
      </c>
      <c r="N1396" t="s">
        <v>82</v>
      </c>
      <c r="O1396">
        <f>MATCH(Combined[[#This Row],[Primary Area]],KPIs!$C$4:$C$7,0)</f>
        <v>3</v>
      </c>
      <c r="R1396" s="40"/>
      <c r="V1396" s="4"/>
      <c r="X1396"/>
    </row>
    <row r="1397" spans="2:24" x14ac:dyDescent="0.35">
      <c r="B1397">
        <f t="shared" si="326"/>
        <v>1395</v>
      </c>
      <c r="C1397" t="s">
        <v>83</v>
      </c>
      <c r="D1397" t="s">
        <v>176</v>
      </c>
      <c r="E1397">
        <f>IF(WEEKNUM(Combined[[#This Row],[Date]], 1) = 53, 1, WEEKNUM(Combined[[#This Row],[Date]], 2))</f>
        <v>33</v>
      </c>
      <c r="F1397" t="str">
        <f t="shared" si="332"/>
        <v>Friday</v>
      </c>
      <c r="G1397" s="41">
        <v>45520</v>
      </c>
      <c r="H1397">
        <v>4</v>
      </c>
      <c r="I1397" s="1">
        <v>50.67</v>
      </c>
      <c r="J1397" s="2">
        <v>0.13402777777777777</v>
      </c>
      <c r="K1397" s="12">
        <f>Combined[[#This Row],[Time Spent]]*24</f>
        <v>3.2166666666666668</v>
      </c>
      <c r="L1397" s="12">
        <f>MROUND(Combined[[#This Row],[Time Spent 2]],0.25)</f>
        <v>3.25</v>
      </c>
      <c r="M1397" s="2" t="s">
        <v>91</v>
      </c>
      <c r="N1397" t="s">
        <v>85</v>
      </c>
      <c r="O1397">
        <f>MATCH(Combined[[#This Row],[Primary Area]],KPIs!$C$4:$C$7,0)</f>
        <v>4</v>
      </c>
      <c r="R1397" s="40"/>
      <c r="V1397" s="4"/>
      <c r="X1397"/>
    </row>
    <row r="1398" spans="2:24" x14ac:dyDescent="0.35">
      <c r="B1398">
        <f t="shared" si="326"/>
        <v>1396</v>
      </c>
      <c r="C1398" t="s">
        <v>86</v>
      </c>
      <c r="D1398" t="s">
        <v>175</v>
      </c>
      <c r="E1398">
        <f>IF(WEEKNUM(Combined[[#This Row],[Date]], 1) = 53, 1, WEEKNUM(Combined[[#This Row],[Date]], 2))</f>
        <v>33</v>
      </c>
      <c r="F1398" t="str">
        <f t="shared" si="332"/>
        <v>Friday</v>
      </c>
      <c r="G1398" s="41">
        <v>45520</v>
      </c>
      <c r="H1398">
        <v>4</v>
      </c>
      <c r="I1398" s="1">
        <v>43.38</v>
      </c>
      <c r="J1398" s="2">
        <v>7.5694444444444439E-2</v>
      </c>
      <c r="K1398" s="12">
        <f>Combined[[#This Row],[Time Spent]]*24</f>
        <v>1.8166666666666664</v>
      </c>
      <c r="L1398" s="12">
        <f>MROUND(Combined[[#This Row],[Time Spent 2]],0.25)</f>
        <v>1.75</v>
      </c>
      <c r="M1398" s="2" t="s">
        <v>91</v>
      </c>
      <c r="N1398" t="s">
        <v>85</v>
      </c>
      <c r="O1398">
        <f>MATCH(Combined[[#This Row],[Primary Area]],KPIs!$C$4:$C$7,0)</f>
        <v>4</v>
      </c>
      <c r="R1398" s="40"/>
      <c r="V1398" s="4"/>
      <c r="X1398"/>
    </row>
    <row r="1399" spans="2:24" x14ac:dyDescent="0.35">
      <c r="B1399">
        <f t="shared" ref="B1399:B1462" si="333">ROW()-2</f>
        <v>1397</v>
      </c>
      <c r="C1399" t="s">
        <v>86</v>
      </c>
      <c r="D1399" t="s">
        <v>175</v>
      </c>
      <c r="E1399">
        <f>IF(WEEKNUM(Combined[[#This Row],[Date]], 1) = 53, 1, WEEKNUM(Combined[[#This Row],[Date]], 2))</f>
        <v>33</v>
      </c>
      <c r="F1399" t="str">
        <f t="shared" ref="F1399:F1402" si="334">TEXT(WEEKDAY(G1399,1),"DDDD")</f>
        <v>Friday</v>
      </c>
      <c r="G1399" s="41">
        <v>45520</v>
      </c>
      <c r="H1399">
        <v>6</v>
      </c>
      <c r="I1399" s="1">
        <v>40.06</v>
      </c>
      <c r="J1399" s="2">
        <v>9.2361111111111116E-2</v>
      </c>
      <c r="K1399" s="12">
        <f>Combined[[#This Row],[Time Spent]]*24</f>
        <v>2.2166666666666668</v>
      </c>
      <c r="L1399" s="12">
        <f>MROUND(Combined[[#This Row],[Time Spent 2]],0.25)</f>
        <v>2.25</v>
      </c>
      <c r="M1399" s="2" t="s">
        <v>92</v>
      </c>
      <c r="N1399" t="s">
        <v>85</v>
      </c>
      <c r="O1399">
        <f>MATCH(Combined[[#This Row],[Primary Area]],KPIs!$C$4:$C$7,0)</f>
        <v>4</v>
      </c>
      <c r="R1399" s="40"/>
      <c r="V1399" s="4"/>
      <c r="X1399"/>
    </row>
    <row r="1400" spans="2:24" x14ac:dyDescent="0.35">
      <c r="B1400">
        <f t="shared" si="333"/>
        <v>1398</v>
      </c>
      <c r="C1400" t="s">
        <v>86</v>
      </c>
      <c r="D1400" t="s">
        <v>175</v>
      </c>
      <c r="E1400">
        <f>IF(WEEKNUM(Combined[[#This Row],[Date]], 1) = 53, 1, WEEKNUM(Combined[[#This Row],[Date]], 2))</f>
        <v>33</v>
      </c>
      <c r="F1400" t="str">
        <f t="shared" si="334"/>
        <v>Friday</v>
      </c>
      <c r="G1400" s="41">
        <v>45520</v>
      </c>
      <c r="H1400">
        <v>1</v>
      </c>
      <c r="I1400" s="1">
        <v>7.4</v>
      </c>
      <c r="J1400" s="2">
        <v>3.6805555555555557E-2</v>
      </c>
      <c r="K1400" s="12"/>
      <c r="L1400" s="12"/>
      <c r="M1400" s="2" t="s">
        <v>92</v>
      </c>
      <c r="N1400" t="s">
        <v>85</v>
      </c>
      <c r="O1400">
        <f>MATCH(Combined[[#This Row],[Primary Area]],KPIs!$C$4:$C$7,0)</f>
        <v>4</v>
      </c>
      <c r="R1400" s="40"/>
      <c r="V1400" s="4"/>
      <c r="X1400"/>
    </row>
    <row r="1401" spans="2:24" x14ac:dyDescent="0.35">
      <c r="B1401">
        <f t="shared" si="333"/>
        <v>1399</v>
      </c>
      <c r="C1401" t="s">
        <v>83</v>
      </c>
      <c r="D1401" t="s">
        <v>176</v>
      </c>
      <c r="E1401">
        <f>IF(WEEKNUM(Combined[[#This Row],[Date]], 1) = 53, 1, WEEKNUM(Combined[[#This Row],[Date]], 2))</f>
        <v>33</v>
      </c>
      <c r="F1401" t="str">
        <f t="shared" si="334"/>
        <v>Saturday</v>
      </c>
      <c r="G1401" s="41">
        <v>45521</v>
      </c>
      <c r="H1401">
        <v>15</v>
      </c>
      <c r="I1401" s="1">
        <v>144.69999999999999</v>
      </c>
      <c r="J1401" s="2">
        <v>0.2361111111111111</v>
      </c>
      <c r="K1401" s="12">
        <f>Combined[[#This Row],[Time Spent]]*24</f>
        <v>5.6666666666666661</v>
      </c>
      <c r="L1401" s="12">
        <f>MROUND(Combined[[#This Row],[Time Spent 2]],0.25)</f>
        <v>5.75</v>
      </c>
      <c r="M1401" s="2" t="s">
        <v>91</v>
      </c>
      <c r="N1401" t="s">
        <v>85</v>
      </c>
      <c r="O1401">
        <f>MATCH(Combined[[#This Row],[Primary Area]],KPIs!$C$4:$C$7,0)</f>
        <v>4</v>
      </c>
      <c r="R1401" s="40"/>
      <c r="V1401" s="4"/>
      <c r="X1401"/>
    </row>
    <row r="1402" spans="2:24" x14ac:dyDescent="0.35">
      <c r="B1402">
        <f t="shared" si="333"/>
        <v>1400</v>
      </c>
      <c r="C1402" t="s">
        <v>86</v>
      </c>
      <c r="D1402" t="s">
        <v>176</v>
      </c>
      <c r="E1402">
        <f>IF(WEEKNUM(Combined[[#This Row],[Date]], 1) = 53, 1, WEEKNUM(Combined[[#This Row],[Date]], 2))</f>
        <v>33</v>
      </c>
      <c r="F1402" t="str">
        <f t="shared" si="334"/>
        <v>Saturday</v>
      </c>
      <c r="G1402" s="41">
        <v>45521</v>
      </c>
      <c r="H1402">
        <v>2</v>
      </c>
      <c r="I1402" s="1">
        <v>20.75</v>
      </c>
      <c r="J1402" s="2">
        <v>5.6250000000000001E-2</v>
      </c>
      <c r="K1402" s="12">
        <f>Combined[[#This Row],[Time Spent]]*24</f>
        <v>1.35</v>
      </c>
      <c r="L1402" s="12">
        <f>MROUND(Combined[[#This Row],[Time Spent 2]],0.25)</f>
        <v>1.25</v>
      </c>
      <c r="M1402" s="2" t="s">
        <v>92</v>
      </c>
      <c r="N1402" t="s">
        <v>85</v>
      </c>
      <c r="O1402">
        <f>MATCH(Combined[[#This Row],[Primary Area]],KPIs!$C$4:$C$7,0)</f>
        <v>4</v>
      </c>
      <c r="R1402" s="40"/>
      <c r="V1402" s="4"/>
      <c r="X1402"/>
    </row>
    <row r="1403" spans="2:24" x14ac:dyDescent="0.35">
      <c r="B1403">
        <f t="shared" si="333"/>
        <v>1401</v>
      </c>
      <c r="C1403" t="s">
        <v>86</v>
      </c>
      <c r="D1403" t="s">
        <v>175</v>
      </c>
      <c r="E1403">
        <f>IF(WEEKNUM(Combined[[#This Row],[Date]], 1) = 53, 1, WEEKNUM(Combined[[#This Row],[Date]], 2))</f>
        <v>33</v>
      </c>
      <c r="F1403" t="str">
        <f>TEXT(WEEKDAY(G1403,1),"DDDD")</f>
        <v>Sunday</v>
      </c>
      <c r="G1403" s="41">
        <v>45522</v>
      </c>
      <c r="H1403">
        <v>11</v>
      </c>
      <c r="I1403" s="1">
        <v>76.099999999999994</v>
      </c>
      <c r="J1403" s="2">
        <v>0.19375000000000001</v>
      </c>
      <c r="K1403" s="12">
        <f>Combined[[#This Row],[Time Spent]]*24</f>
        <v>4.6500000000000004</v>
      </c>
      <c r="L1403" s="12">
        <f>MROUND(Combined[[#This Row],[Time Spent 2]],0.25)</f>
        <v>4.75</v>
      </c>
      <c r="M1403" s="2" t="s">
        <v>91</v>
      </c>
      <c r="N1403" t="s">
        <v>85</v>
      </c>
      <c r="O1403">
        <f>MATCH(Combined[[#This Row],[Primary Area]],KPIs!$C$4:$C$7,0)</f>
        <v>4</v>
      </c>
      <c r="R1403" s="40"/>
      <c r="V1403" s="4"/>
      <c r="X1403"/>
    </row>
    <row r="1404" spans="2:24" x14ac:dyDescent="0.35">
      <c r="B1404">
        <f t="shared" si="333"/>
        <v>1402</v>
      </c>
      <c r="C1404" t="s">
        <v>83</v>
      </c>
      <c r="D1404" t="s">
        <v>176</v>
      </c>
      <c r="E1404">
        <f>IF(WEEKNUM(Combined[[#This Row],[Date]], 1) = 53, 1, WEEKNUM(Combined[[#This Row],[Date]], 2))</f>
        <v>34</v>
      </c>
      <c r="F1404" t="str">
        <f t="shared" ref="F1404:F1418" si="335">TEXT(WEEKDAY(G1404,1),"DDDD")</f>
        <v>Wednesday</v>
      </c>
      <c r="G1404" s="41">
        <v>45525</v>
      </c>
      <c r="H1404">
        <v>10</v>
      </c>
      <c r="I1404" s="1">
        <v>125.16</v>
      </c>
      <c r="J1404" s="2">
        <v>0.21249999999999999</v>
      </c>
      <c r="K1404" s="12">
        <f>Combined[[#This Row],[Time Spent]]*24</f>
        <v>5.0999999999999996</v>
      </c>
      <c r="L1404" s="12">
        <f>MROUND(Combined[[#This Row],[Time Spent 2]],0.25)</f>
        <v>5</v>
      </c>
      <c r="M1404" s="2" t="s">
        <v>91</v>
      </c>
      <c r="N1404" t="s">
        <v>85</v>
      </c>
      <c r="O1404">
        <f>MATCH(Combined[[#This Row],[Primary Area]],KPIs!$C$4:$C$7,0)</f>
        <v>4</v>
      </c>
      <c r="R1404" s="40"/>
      <c r="V1404" s="4"/>
      <c r="X1404"/>
    </row>
    <row r="1405" spans="2:24" x14ac:dyDescent="0.35">
      <c r="B1405">
        <f t="shared" si="333"/>
        <v>1403</v>
      </c>
      <c r="C1405" t="s">
        <v>86</v>
      </c>
      <c r="D1405" t="s">
        <v>175</v>
      </c>
      <c r="E1405">
        <f>IF(WEEKNUM(Combined[[#This Row],[Date]], 1) = 53, 1, WEEKNUM(Combined[[#This Row],[Date]], 2))</f>
        <v>34</v>
      </c>
      <c r="F1405" t="str">
        <f t="shared" si="335"/>
        <v>Wednesday</v>
      </c>
      <c r="G1405" s="41">
        <v>45525</v>
      </c>
      <c r="H1405">
        <v>1</v>
      </c>
      <c r="I1405" s="1">
        <v>10.18</v>
      </c>
      <c r="J1405" s="2">
        <v>6.3194444444444442E-2</v>
      </c>
      <c r="K1405" s="12">
        <f>Combined[[#This Row],[Time Spent]]*24</f>
        <v>1.5166666666666666</v>
      </c>
      <c r="L1405" s="12">
        <f>MROUND(Combined[[#This Row],[Time Spent 2]],0.25)</f>
        <v>1.5</v>
      </c>
      <c r="M1405" s="2" t="s">
        <v>92</v>
      </c>
      <c r="N1405" t="s">
        <v>85</v>
      </c>
      <c r="O1405">
        <f>MATCH(Combined[[#This Row],[Primary Area]],KPIs!$C$4:$C$7,0)</f>
        <v>4</v>
      </c>
      <c r="R1405" s="40"/>
      <c r="V1405" s="4"/>
      <c r="X1405"/>
    </row>
    <row r="1406" spans="2:24" x14ac:dyDescent="0.35">
      <c r="B1406">
        <f t="shared" si="333"/>
        <v>1404</v>
      </c>
      <c r="C1406" t="s">
        <v>86</v>
      </c>
      <c r="D1406" t="s">
        <v>175</v>
      </c>
      <c r="E1406">
        <f>IF(WEEKNUM(Combined[[#This Row],[Date]], 1) = 53, 1, WEEKNUM(Combined[[#This Row],[Date]], 2))</f>
        <v>34</v>
      </c>
      <c r="F1406" t="str">
        <f t="shared" si="335"/>
        <v>Wednesday</v>
      </c>
      <c r="G1406" s="41">
        <v>45525</v>
      </c>
      <c r="H1406">
        <v>1</v>
      </c>
      <c r="I1406" s="1">
        <v>8.27</v>
      </c>
      <c r="J1406" s="2">
        <v>1.8055555555555554E-2</v>
      </c>
      <c r="K1406" s="12">
        <f>Combined[[#This Row],[Time Spent]]*24</f>
        <v>0.43333333333333329</v>
      </c>
      <c r="L1406" s="12">
        <f>MROUND(Combined[[#This Row],[Time Spent 2]],0.25)</f>
        <v>0.5</v>
      </c>
      <c r="M1406" s="2" t="s">
        <v>92</v>
      </c>
      <c r="N1406" t="s">
        <v>85</v>
      </c>
      <c r="O1406">
        <f>MATCH(Combined[[#This Row],[Primary Area]],KPIs!$C$4:$C$7,0)</f>
        <v>4</v>
      </c>
      <c r="R1406" s="40"/>
      <c r="V1406" s="4"/>
      <c r="X1406"/>
    </row>
    <row r="1407" spans="2:24" x14ac:dyDescent="0.35">
      <c r="B1407">
        <f t="shared" si="333"/>
        <v>1405</v>
      </c>
      <c r="C1407" t="s">
        <v>83</v>
      </c>
      <c r="D1407" t="s">
        <v>176</v>
      </c>
      <c r="E1407">
        <f>IF(WEEKNUM(Combined[[#This Row],[Date]], 1) = 53, 1, WEEKNUM(Combined[[#This Row],[Date]], 2))</f>
        <v>34</v>
      </c>
      <c r="F1407" t="str">
        <f t="shared" si="335"/>
        <v>Thursday</v>
      </c>
      <c r="G1407" s="41">
        <v>45526</v>
      </c>
      <c r="H1407">
        <v>7</v>
      </c>
      <c r="I1407" s="1">
        <v>83.65</v>
      </c>
      <c r="J1407" s="2">
        <v>0.15486111111111112</v>
      </c>
      <c r="K1407" s="12">
        <f>Combined[[#This Row],[Time Spent]]*24</f>
        <v>3.7166666666666668</v>
      </c>
      <c r="L1407" s="12">
        <f>MROUND(Combined[[#This Row],[Time Spent 2]],0.25)</f>
        <v>3.75</v>
      </c>
      <c r="M1407" s="2" t="s">
        <v>91</v>
      </c>
      <c r="N1407" t="s">
        <v>85</v>
      </c>
      <c r="O1407">
        <f>MATCH(Combined[[#This Row],[Primary Area]],KPIs!$C$4:$C$7,0)</f>
        <v>4</v>
      </c>
      <c r="R1407" s="40"/>
      <c r="V1407" s="4"/>
      <c r="X1407"/>
    </row>
    <row r="1408" spans="2:24" x14ac:dyDescent="0.35">
      <c r="B1408">
        <f t="shared" si="333"/>
        <v>1406</v>
      </c>
      <c r="C1408" t="s">
        <v>86</v>
      </c>
      <c r="D1408" t="s">
        <v>176</v>
      </c>
      <c r="E1408">
        <f>IF(WEEKNUM(Combined[[#This Row],[Date]], 1) = 53, 1, WEEKNUM(Combined[[#This Row],[Date]], 2))</f>
        <v>34</v>
      </c>
      <c r="F1408" t="str">
        <f t="shared" si="335"/>
        <v>Thursday</v>
      </c>
      <c r="G1408" s="41">
        <v>45526</v>
      </c>
      <c r="H1408">
        <v>2</v>
      </c>
      <c r="I1408" s="1">
        <v>25</v>
      </c>
      <c r="J1408" s="2">
        <v>7.5694444444444439E-2</v>
      </c>
      <c r="K1408" s="12">
        <f>Combined[[#This Row],[Time Spent]]*24</f>
        <v>1.8166666666666664</v>
      </c>
      <c r="L1408" s="12">
        <f>MROUND(Combined[[#This Row],[Time Spent 2]],0.25)</f>
        <v>1.75</v>
      </c>
      <c r="M1408" s="2" t="s">
        <v>91</v>
      </c>
      <c r="N1408" t="s">
        <v>85</v>
      </c>
      <c r="O1408">
        <f>MATCH(Combined[[#This Row],[Primary Area]],KPIs!$C$4:$C$7,0)</f>
        <v>4</v>
      </c>
      <c r="R1408" s="40"/>
      <c r="V1408" s="4"/>
      <c r="X1408"/>
    </row>
    <row r="1409" spans="2:24" x14ac:dyDescent="0.35">
      <c r="B1409">
        <f t="shared" si="333"/>
        <v>1407</v>
      </c>
      <c r="C1409" t="s">
        <v>86</v>
      </c>
      <c r="D1409" t="s">
        <v>176</v>
      </c>
      <c r="E1409">
        <f>IF(WEEKNUM(Combined[[#This Row],[Date]], 1) = 53, 1, WEEKNUM(Combined[[#This Row],[Date]], 2))</f>
        <v>34</v>
      </c>
      <c r="F1409" t="str">
        <f t="shared" si="335"/>
        <v>Thursday</v>
      </c>
      <c r="G1409" s="41">
        <v>45526</v>
      </c>
      <c r="H1409">
        <v>4</v>
      </c>
      <c r="I1409" s="1">
        <v>26.03</v>
      </c>
      <c r="J1409" s="2">
        <v>8.3333333333333329E-2</v>
      </c>
      <c r="K1409" s="12">
        <f>Combined[[#This Row],[Time Spent]]*24</f>
        <v>2</v>
      </c>
      <c r="L1409" s="12">
        <f>MROUND(Combined[[#This Row],[Time Spent 2]],0.25)</f>
        <v>2</v>
      </c>
      <c r="M1409" s="2" t="s">
        <v>92</v>
      </c>
      <c r="N1409" t="s">
        <v>85</v>
      </c>
      <c r="O1409">
        <f>MATCH(Combined[[#This Row],[Primary Area]],KPIs!$C$4:$C$7,0)</f>
        <v>4</v>
      </c>
      <c r="R1409" s="40"/>
      <c r="V1409" s="4"/>
      <c r="X1409"/>
    </row>
    <row r="1410" spans="2:24" x14ac:dyDescent="0.35">
      <c r="B1410">
        <f t="shared" si="333"/>
        <v>1408</v>
      </c>
      <c r="C1410" t="s">
        <v>86</v>
      </c>
      <c r="D1410" t="s">
        <v>176</v>
      </c>
      <c r="E1410">
        <f>IF(WEEKNUM(Combined[[#This Row],[Date]], 1) = 53, 1, WEEKNUM(Combined[[#This Row],[Date]], 2))</f>
        <v>34</v>
      </c>
      <c r="F1410" t="str">
        <f t="shared" si="335"/>
        <v>Thursday</v>
      </c>
      <c r="G1410" s="41">
        <v>45526</v>
      </c>
      <c r="H1410">
        <v>2</v>
      </c>
      <c r="I1410" s="1">
        <v>10.5</v>
      </c>
      <c r="J1410" s="2">
        <v>1.9444444444444445E-2</v>
      </c>
      <c r="K1410" s="12">
        <f>Combined[[#This Row],[Time Spent]]*24</f>
        <v>0.46666666666666667</v>
      </c>
      <c r="L1410" s="12">
        <f>MROUND(Combined[[#This Row],[Time Spent 2]],0.25)</f>
        <v>0.5</v>
      </c>
      <c r="M1410" s="2" t="s">
        <v>92</v>
      </c>
      <c r="N1410" t="s">
        <v>85</v>
      </c>
      <c r="O1410">
        <f>MATCH(Combined[[#This Row],[Primary Area]],KPIs!$C$4:$C$7,0)</f>
        <v>4</v>
      </c>
      <c r="R1410" s="40"/>
      <c r="V1410" s="4"/>
      <c r="X1410"/>
    </row>
    <row r="1411" spans="2:24" x14ac:dyDescent="0.35">
      <c r="B1411">
        <f t="shared" si="333"/>
        <v>1409</v>
      </c>
      <c r="C1411" t="s">
        <v>83</v>
      </c>
      <c r="D1411" t="s">
        <v>176</v>
      </c>
      <c r="E1411">
        <f>IF(WEEKNUM(Combined[[#This Row],[Date]], 1) = 53, 1, WEEKNUM(Combined[[#This Row],[Date]], 2))</f>
        <v>34</v>
      </c>
      <c r="F1411" t="str">
        <f t="shared" si="335"/>
        <v>Friday</v>
      </c>
      <c r="G1411" s="41">
        <v>45527</v>
      </c>
      <c r="H1411">
        <v>14</v>
      </c>
      <c r="I1411" s="1">
        <v>206.9</v>
      </c>
      <c r="J1411" s="2">
        <v>0.29305555555555557</v>
      </c>
      <c r="K1411" s="12">
        <f>Combined[[#This Row],[Time Spent]]*24</f>
        <v>7.0333333333333332</v>
      </c>
      <c r="L1411" s="12">
        <f>MROUND(Combined[[#This Row],[Time Spent 2]],0.25)</f>
        <v>7</v>
      </c>
      <c r="M1411" s="2" t="s">
        <v>91</v>
      </c>
      <c r="N1411" t="s">
        <v>85</v>
      </c>
      <c r="O1411">
        <f>MATCH(Combined[[#This Row],[Primary Area]],KPIs!$C$4:$C$7,0)</f>
        <v>4</v>
      </c>
      <c r="R1411" s="40"/>
      <c r="V1411" s="4"/>
      <c r="X1411"/>
    </row>
    <row r="1412" spans="2:24" x14ac:dyDescent="0.35">
      <c r="B1412">
        <f t="shared" si="333"/>
        <v>1410</v>
      </c>
      <c r="C1412" t="s">
        <v>86</v>
      </c>
      <c r="D1412" t="s">
        <v>175</v>
      </c>
      <c r="E1412">
        <f>IF(WEEKNUM(Combined[[#This Row],[Date]], 1) = 53, 1, WEEKNUM(Combined[[#This Row],[Date]], 2))</f>
        <v>34</v>
      </c>
      <c r="F1412" t="str">
        <f t="shared" si="335"/>
        <v>Friday</v>
      </c>
      <c r="G1412" s="41">
        <v>45527</v>
      </c>
      <c r="H1412">
        <v>2</v>
      </c>
      <c r="I1412" s="1">
        <v>27.69</v>
      </c>
      <c r="J1412" s="2">
        <v>6.3888888888888884E-2</v>
      </c>
      <c r="K1412" s="12">
        <f>Combined[[#This Row],[Time Spent]]*24</f>
        <v>1.5333333333333332</v>
      </c>
      <c r="L1412" s="12">
        <f>MROUND(Combined[[#This Row],[Time Spent 2]],0.25)</f>
        <v>1.5</v>
      </c>
      <c r="M1412" s="2" t="s">
        <v>91</v>
      </c>
      <c r="N1412" t="s">
        <v>85</v>
      </c>
      <c r="O1412">
        <f>MATCH(Combined[[#This Row],[Primary Area]],KPIs!$C$4:$C$7,0)</f>
        <v>4</v>
      </c>
      <c r="R1412" s="40"/>
      <c r="V1412" s="4"/>
      <c r="X1412"/>
    </row>
    <row r="1413" spans="2:24" x14ac:dyDescent="0.35">
      <c r="B1413">
        <f t="shared" si="333"/>
        <v>1411</v>
      </c>
      <c r="C1413" t="s">
        <v>83</v>
      </c>
      <c r="D1413" t="s">
        <v>176</v>
      </c>
      <c r="E1413">
        <f>IF(WEEKNUM(Combined[[#This Row],[Date]], 1) = 53, 1, WEEKNUM(Combined[[#This Row],[Date]], 2))</f>
        <v>34</v>
      </c>
      <c r="F1413" t="str">
        <f t="shared" si="335"/>
        <v>Saturday</v>
      </c>
      <c r="G1413" s="41">
        <v>45528</v>
      </c>
      <c r="H1413">
        <v>9</v>
      </c>
      <c r="I1413" s="1">
        <v>86.79</v>
      </c>
      <c r="J1413" s="2">
        <v>0.2013888888888889</v>
      </c>
      <c r="K1413" s="12">
        <f>Combined[[#This Row],[Time Spent]]*24</f>
        <v>4.8333333333333339</v>
      </c>
      <c r="L1413" s="12">
        <f>MROUND(Combined[[#This Row],[Time Spent 2]],0.25)</f>
        <v>4.75</v>
      </c>
      <c r="M1413" s="2" t="s">
        <v>91</v>
      </c>
      <c r="N1413" t="s">
        <v>85</v>
      </c>
      <c r="O1413">
        <f>MATCH(Combined[[#This Row],[Primary Area]],KPIs!$C$4:$C$7,0)</f>
        <v>4</v>
      </c>
      <c r="R1413" s="40"/>
      <c r="V1413" s="4"/>
      <c r="X1413"/>
    </row>
    <row r="1414" spans="2:24" x14ac:dyDescent="0.35">
      <c r="B1414">
        <f t="shared" si="333"/>
        <v>1412</v>
      </c>
      <c r="C1414" t="s">
        <v>86</v>
      </c>
      <c r="D1414" t="s">
        <v>176</v>
      </c>
      <c r="E1414">
        <f>IF(WEEKNUM(Combined[[#This Row],[Date]], 1) = 53, 1, WEEKNUM(Combined[[#This Row],[Date]], 2))</f>
        <v>34</v>
      </c>
      <c r="F1414" t="str">
        <f t="shared" si="335"/>
        <v>Saturday</v>
      </c>
      <c r="G1414" s="41">
        <v>45528</v>
      </c>
      <c r="H1414">
        <v>4</v>
      </c>
      <c r="I1414" s="1">
        <v>38.5</v>
      </c>
      <c r="J1414" s="2">
        <v>9.930555555555555E-2</v>
      </c>
      <c r="K1414" s="12">
        <f>Combined[[#This Row],[Time Spent]]*24</f>
        <v>2.3833333333333333</v>
      </c>
      <c r="L1414" s="12">
        <f>MROUND(Combined[[#This Row],[Time Spent 2]],0.25)</f>
        <v>2.5</v>
      </c>
      <c r="M1414" s="2" t="s">
        <v>91</v>
      </c>
      <c r="N1414" t="s">
        <v>85</v>
      </c>
      <c r="O1414">
        <f>MATCH(Combined[[#This Row],[Primary Area]],KPIs!$C$4:$C$7,0)</f>
        <v>4</v>
      </c>
      <c r="R1414" s="40"/>
      <c r="V1414" s="4"/>
      <c r="X1414"/>
    </row>
    <row r="1415" spans="2:24" x14ac:dyDescent="0.35">
      <c r="B1415">
        <f t="shared" si="333"/>
        <v>1413</v>
      </c>
      <c r="C1415" t="s">
        <v>86</v>
      </c>
      <c r="D1415" t="s">
        <v>176</v>
      </c>
      <c r="E1415">
        <f>IF(WEEKNUM(Combined[[#This Row],[Date]], 1) = 53, 1, WEEKNUM(Combined[[#This Row],[Date]], 2))</f>
        <v>34</v>
      </c>
      <c r="F1415" t="str">
        <f t="shared" si="335"/>
        <v>Saturday</v>
      </c>
      <c r="G1415" s="41">
        <v>45528</v>
      </c>
      <c r="H1415">
        <v>1</v>
      </c>
      <c r="I1415" s="1">
        <v>11.25</v>
      </c>
      <c r="J1415" s="2">
        <v>3.6805555555555557E-2</v>
      </c>
      <c r="K1415" s="12">
        <f>Combined[[#This Row],[Time Spent]]*24</f>
        <v>0.8833333333333333</v>
      </c>
      <c r="L1415" s="12">
        <f>MROUND(Combined[[#This Row],[Time Spent 2]],0.25)</f>
        <v>1</v>
      </c>
      <c r="M1415" s="2" t="s">
        <v>92</v>
      </c>
      <c r="N1415" t="s">
        <v>85</v>
      </c>
      <c r="O1415">
        <f>MATCH(Combined[[#This Row],[Primary Area]],KPIs!$C$4:$C$7,0)</f>
        <v>4</v>
      </c>
      <c r="R1415" s="40"/>
      <c r="V1415" s="4"/>
      <c r="X1415"/>
    </row>
    <row r="1416" spans="2:24" x14ac:dyDescent="0.35">
      <c r="B1416">
        <f t="shared" si="333"/>
        <v>1414</v>
      </c>
      <c r="C1416" t="s">
        <v>86</v>
      </c>
      <c r="D1416" t="s">
        <v>176</v>
      </c>
      <c r="E1416">
        <f>IF(WEEKNUM(Combined[[#This Row],[Date]], 1) = 53, 1, WEEKNUM(Combined[[#This Row],[Date]], 2))</f>
        <v>34</v>
      </c>
      <c r="F1416" t="str">
        <f t="shared" si="335"/>
        <v>Saturday</v>
      </c>
      <c r="G1416" s="41">
        <v>45528</v>
      </c>
      <c r="H1416">
        <v>2</v>
      </c>
      <c r="I1416" s="1">
        <v>8</v>
      </c>
      <c r="J1416" s="2">
        <v>1.3194444444444444E-2</v>
      </c>
      <c r="K1416" s="12">
        <f>Combined[[#This Row],[Time Spent]]*24</f>
        <v>0.31666666666666665</v>
      </c>
      <c r="L1416" s="12">
        <f>MROUND(Combined[[#This Row],[Time Spent 2]],0.25)</f>
        <v>0.25</v>
      </c>
      <c r="M1416" s="2" t="s">
        <v>92</v>
      </c>
      <c r="N1416" t="s">
        <v>85</v>
      </c>
      <c r="O1416">
        <f>MATCH(Combined[[#This Row],[Primary Area]],KPIs!$C$4:$C$7,0)</f>
        <v>4</v>
      </c>
      <c r="R1416" s="40"/>
      <c r="V1416" s="4"/>
      <c r="X1416"/>
    </row>
    <row r="1417" spans="2:24" x14ac:dyDescent="0.35">
      <c r="B1417">
        <f t="shared" si="333"/>
        <v>1415</v>
      </c>
      <c r="C1417" t="s">
        <v>83</v>
      </c>
      <c r="D1417" t="s">
        <v>176</v>
      </c>
      <c r="E1417">
        <f>IF(WEEKNUM(Combined[[#This Row],[Date]], 1) = 53, 1, WEEKNUM(Combined[[#This Row],[Date]], 2))</f>
        <v>34</v>
      </c>
      <c r="F1417" t="str">
        <f t="shared" si="335"/>
        <v>Sunday</v>
      </c>
      <c r="G1417" s="41">
        <v>45529</v>
      </c>
      <c r="H1417">
        <v>7</v>
      </c>
      <c r="I1417" s="1">
        <v>97.74</v>
      </c>
      <c r="J1417" s="2">
        <v>0.16111111111111112</v>
      </c>
      <c r="K1417" s="12">
        <f>Combined[[#This Row],[Time Spent]]*24</f>
        <v>3.8666666666666671</v>
      </c>
      <c r="L1417" s="12">
        <f>MROUND(Combined[[#This Row],[Time Spent 2]],0.25)</f>
        <v>3.75</v>
      </c>
      <c r="M1417" s="2" t="s">
        <v>91</v>
      </c>
      <c r="N1417" t="s">
        <v>85</v>
      </c>
      <c r="O1417">
        <f>MATCH(Combined[[#This Row],[Primary Area]],KPIs!$C$4:$C$7,0)</f>
        <v>4</v>
      </c>
      <c r="R1417" s="40"/>
      <c r="V1417" s="4"/>
      <c r="X1417"/>
    </row>
    <row r="1418" spans="2:24" x14ac:dyDescent="0.35">
      <c r="B1418">
        <f t="shared" si="333"/>
        <v>1416</v>
      </c>
      <c r="C1418" t="s">
        <v>86</v>
      </c>
      <c r="D1418" t="s">
        <v>175</v>
      </c>
      <c r="E1418">
        <f>IF(WEEKNUM(Combined[[#This Row],[Date]], 1) = 53, 1, WEEKNUM(Combined[[#This Row],[Date]], 2))</f>
        <v>34</v>
      </c>
      <c r="F1418" t="str">
        <f t="shared" si="335"/>
        <v>Sunday</v>
      </c>
      <c r="G1418" s="41">
        <v>45529</v>
      </c>
      <c r="H1418">
        <v>8</v>
      </c>
      <c r="I1418" s="1">
        <v>61.28</v>
      </c>
      <c r="J1418" s="2">
        <v>0.10208333333333333</v>
      </c>
      <c r="K1418" s="12">
        <f>Combined[[#This Row],[Time Spent]]*24</f>
        <v>2.4500000000000002</v>
      </c>
      <c r="L1418" s="12">
        <f>MROUND(Combined[[#This Row],[Time Spent 2]],0.25)</f>
        <v>2.5</v>
      </c>
      <c r="M1418" s="2" t="s">
        <v>91</v>
      </c>
      <c r="N1418" t="s">
        <v>85</v>
      </c>
      <c r="O1418">
        <f>MATCH(Combined[[#This Row],[Primary Area]],KPIs!$C$4:$C$7,0)</f>
        <v>4</v>
      </c>
      <c r="R1418" s="40"/>
      <c r="V1418" s="4"/>
      <c r="X1418"/>
    </row>
    <row r="1419" spans="2:24" x14ac:dyDescent="0.35">
      <c r="B1419">
        <f t="shared" si="333"/>
        <v>1417</v>
      </c>
      <c r="C1419" t="s">
        <v>83</v>
      </c>
      <c r="D1419" t="s">
        <v>176</v>
      </c>
      <c r="E1419">
        <f>IF(WEEKNUM(Combined[[#This Row],[Date]], 1) = 53, 1, WEEKNUM(Combined[[#This Row],[Date]], 2))</f>
        <v>35</v>
      </c>
      <c r="F1419" t="str">
        <f t="shared" ref="F1419:F1433" si="336">TEXT(WEEKDAY(G1419,1),"DDDD")</f>
        <v>Monday</v>
      </c>
      <c r="G1419" s="41">
        <v>45530</v>
      </c>
      <c r="H1419">
        <v>8</v>
      </c>
      <c r="I1419" s="1">
        <v>110.51</v>
      </c>
      <c r="J1419" s="2">
        <v>0.18055555555555555</v>
      </c>
      <c r="K1419" s="12">
        <f>Combined[[#This Row],[Time Spent]]*24</f>
        <v>4.333333333333333</v>
      </c>
      <c r="L1419" s="12">
        <f>MROUND(Combined[[#This Row],[Time Spent 2]],0.25)</f>
        <v>4.25</v>
      </c>
      <c r="M1419" s="2" t="s">
        <v>91</v>
      </c>
      <c r="N1419" t="s">
        <v>85</v>
      </c>
      <c r="O1419">
        <f>MATCH(Combined[[#This Row],[Primary Area]],KPIs!$C$4:$C$7,0)</f>
        <v>4</v>
      </c>
      <c r="R1419" s="40"/>
      <c r="V1419" s="4"/>
      <c r="X1419"/>
    </row>
    <row r="1420" spans="2:24" x14ac:dyDescent="0.35">
      <c r="B1420">
        <f t="shared" si="333"/>
        <v>1418</v>
      </c>
      <c r="C1420" t="s">
        <v>86</v>
      </c>
      <c r="D1420" t="s">
        <v>176</v>
      </c>
      <c r="E1420">
        <f>IF(WEEKNUM(Combined[[#This Row],[Date]], 1) = 53, 1, WEEKNUM(Combined[[#This Row],[Date]], 2))</f>
        <v>35</v>
      </c>
      <c r="F1420" t="str">
        <f t="shared" si="336"/>
        <v>Monday</v>
      </c>
      <c r="G1420" s="41">
        <v>45530</v>
      </c>
      <c r="H1420">
        <v>5</v>
      </c>
      <c r="I1420" s="1">
        <v>37.06</v>
      </c>
      <c r="J1420" s="2">
        <v>8.8888888888888892E-2</v>
      </c>
      <c r="K1420" s="12">
        <f>Combined[[#This Row],[Time Spent]]*24</f>
        <v>2.1333333333333333</v>
      </c>
      <c r="L1420" s="12">
        <f>MROUND(Combined[[#This Row],[Time Spent 2]],0.25)</f>
        <v>2.25</v>
      </c>
      <c r="M1420" s="2" t="s">
        <v>92</v>
      </c>
      <c r="N1420" t="s">
        <v>85</v>
      </c>
      <c r="O1420">
        <f>MATCH(Combined[[#This Row],[Primary Area]],KPIs!$C$4:$C$7,0)</f>
        <v>4</v>
      </c>
      <c r="R1420" s="40"/>
      <c r="V1420" s="4"/>
      <c r="X1420"/>
    </row>
    <row r="1421" spans="2:24" x14ac:dyDescent="0.35">
      <c r="B1421">
        <f t="shared" si="333"/>
        <v>1419</v>
      </c>
      <c r="C1421" t="s">
        <v>86</v>
      </c>
      <c r="D1421" t="s">
        <v>176</v>
      </c>
      <c r="E1421">
        <f>IF(WEEKNUM(Combined[[#This Row],[Date]], 1) = 53, 1, WEEKNUM(Combined[[#This Row],[Date]], 2))</f>
        <v>35</v>
      </c>
      <c r="F1421" t="str">
        <f t="shared" si="336"/>
        <v>Tuesday</v>
      </c>
      <c r="G1421" s="41">
        <v>45531</v>
      </c>
      <c r="H1421">
        <v>11</v>
      </c>
      <c r="I1421" s="1">
        <f>98.75+7.72</f>
        <v>106.47</v>
      </c>
      <c r="J1421" s="2">
        <v>0.23055555555555557</v>
      </c>
      <c r="K1421" s="12">
        <f>Combined[[#This Row],[Time Spent]]*24</f>
        <v>5.5333333333333332</v>
      </c>
      <c r="L1421" s="12">
        <f>MROUND(Combined[[#This Row],[Time Spent 2]],0.25)</f>
        <v>5.5</v>
      </c>
      <c r="M1421" s="2" t="s">
        <v>91</v>
      </c>
      <c r="N1421" t="s">
        <v>85</v>
      </c>
      <c r="O1421">
        <f>MATCH(Combined[[#This Row],[Primary Area]],KPIs!$C$4:$C$7,0)</f>
        <v>4</v>
      </c>
      <c r="R1421" s="40"/>
      <c r="V1421" s="4"/>
      <c r="X1421"/>
    </row>
    <row r="1422" spans="2:24" x14ac:dyDescent="0.35">
      <c r="B1422">
        <f t="shared" si="333"/>
        <v>1420</v>
      </c>
      <c r="C1422" t="s">
        <v>83</v>
      </c>
      <c r="D1422" t="s">
        <v>176</v>
      </c>
      <c r="E1422">
        <f>IF(WEEKNUM(Combined[[#This Row],[Date]], 1) = 53, 1, WEEKNUM(Combined[[#This Row],[Date]], 2))</f>
        <v>35</v>
      </c>
      <c r="F1422" t="str">
        <f t="shared" si="336"/>
        <v>Wednesday</v>
      </c>
      <c r="G1422" s="41">
        <v>45532</v>
      </c>
      <c r="H1422">
        <v>4</v>
      </c>
      <c r="I1422" s="1">
        <v>36.42</v>
      </c>
      <c r="J1422" s="2">
        <v>7.5694444444444439E-2</v>
      </c>
      <c r="K1422" s="12">
        <f>Combined[[#This Row],[Time Spent]]*24</f>
        <v>1.8166666666666664</v>
      </c>
      <c r="L1422" s="12">
        <f>MROUND(Combined[[#This Row],[Time Spent 2]],0.25)</f>
        <v>1.75</v>
      </c>
      <c r="M1422" s="2" t="s">
        <v>91</v>
      </c>
      <c r="N1422" t="s">
        <v>80</v>
      </c>
      <c r="O1422">
        <f>MATCH(Combined[[#This Row],[Primary Area]],KPIs!$C$4:$C$7,0)</f>
        <v>2</v>
      </c>
      <c r="R1422" s="40"/>
      <c r="V1422" s="4"/>
      <c r="X1422"/>
    </row>
    <row r="1423" spans="2:24" x14ac:dyDescent="0.35">
      <c r="B1423">
        <f t="shared" si="333"/>
        <v>1421</v>
      </c>
      <c r="C1423" t="s">
        <v>86</v>
      </c>
      <c r="D1423" t="s">
        <v>176</v>
      </c>
      <c r="E1423">
        <f>IF(WEEKNUM(Combined[[#This Row],[Date]], 1) = 53, 1, WEEKNUM(Combined[[#This Row],[Date]], 2))</f>
        <v>35</v>
      </c>
      <c r="F1423" t="str">
        <f t="shared" si="336"/>
        <v>Wednesday</v>
      </c>
      <c r="G1423" s="41">
        <v>45532</v>
      </c>
      <c r="H1423">
        <v>4</v>
      </c>
      <c r="I1423" s="1">
        <v>25.75</v>
      </c>
      <c r="J1423" s="2">
        <v>7.7777777777777779E-2</v>
      </c>
      <c r="K1423" s="12">
        <f>Combined[[#This Row],[Time Spent]]*24</f>
        <v>1.8666666666666667</v>
      </c>
      <c r="L1423" s="12">
        <f>MROUND(Combined[[#This Row],[Time Spent 2]],0.25)</f>
        <v>1.75</v>
      </c>
      <c r="M1423" s="2" t="s">
        <v>91</v>
      </c>
      <c r="N1423" t="s">
        <v>80</v>
      </c>
      <c r="O1423">
        <f>MATCH(Combined[[#This Row],[Primary Area]],KPIs!$C$4:$C$7,0)</f>
        <v>2</v>
      </c>
      <c r="R1423" s="40"/>
      <c r="V1423" s="4"/>
      <c r="X1423"/>
    </row>
    <row r="1424" spans="2:24" x14ac:dyDescent="0.35">
      <c r="B1424">
        <f t="shared" si="333"/>
        <v>1422</v>
      </c>
      <c r="C1424" t="s">
        <v>83</v>
      </c>
      <c r="D1424" t="s">
        <v>176</v>
      </c>
      <c r="E1424">
        <f>IF(WEEKNUM(Combined[[#This Row],[Date]], 1) = 53, 1, WEEKNUM(Combined[[#This Row],[Date]], 2))</f>
        <v>36</v>
      </c>
      <c r="F1424" t="str">
        <f t="shared" si="336"/>
        <v>Monday</v>
      </c>
      <c r="G1424" s="41">
        <v>45537</v>
      </c>
      <c r="H1424">
        <v>8</v>
      </c>
      <c r="I1424" s="1">
        <v>120.34</v>
      </c>
      <c r="J1424" s="2">
        <v>0.16388888888888889</v>
      </c>
      <c r="K1424" s="12">
        <f>Combined[[#This Row],[Time Spent]]*24</f>
        <v>3.9333333333333336</v>
      </c>
      <c r="L1424" s="12">
        <f>MROUND(Combined[[#This Row],[Time Spent 2]],0.25)</f>
        <v>4</v>
      </c>
      <c r="M1424" s="2" t="s">
        <v>91</v>
      </c>
      <c r="N1424" t="s">
        <v>85</v>
      </c>
      <c r="O1424">
        <f>MATCH(Combined[[#This Row],[Primary Area]],KPIs!$C$4:$C$7,0)</f>
        <v>4</v>
      </c>
      <c r="R1424" s="40"/>
      <c r="V1424" s="4"/>
      <c r="X1424"/>
    </row>
    <row r="1425" spans="2:24" x14ac:dyDescent="0.35">
      <c r="B1425">
        <f t="shared" si="333"/>
        <v>1423</v>
      </c>
      <c r="C1425" t="s">
        <v>86</v>
      </c>
      <c r="D1425" t="s">
        <v>176</v>
      </c>
      <c r="E1425">
        <f>IF(WEEKNUM(Combined[[#This Row],[Date]], 1) = 53, 1, WEEKNUM(Combined[[#This Row],[Date]], 2))</f>
        <v>36</v>
      </c>
      <c r="F1425" t="str">
        <f t="shared" si="336"/>
        <v>Monday</v>
      </c>
      <c r="G1425" s="41">
        <v>45537</v>
      </c>
      <c r="H1425">
        <v>2</v>
      </c>
      <c r="I1425" s="1">
        <v>14.25</v>
      </c>
      <c r="J1425" s="2">
        <v>5.0694444444444445E-2</v>
      </c>
      <c r="K1425" s="12">
        <f>Combined[[#This Row],[Time Spent]]*24</f>
        <v>1.2166666666666668</v>
      </c>
      <c r="L1425" s="12">
        <f>MROUND(Combined[[#This Row],[Time Spent 2]],0.25)</f>
        <v>1.25</v>
      </c>
      <c r="M1425" s="2" t="s">
        <v>91</v>
      </c>
      <c r="N1425" t="s">
        <v>85</v>
      </c>
      <c r="O1425">
        <f>MATCH(Combined[[#This Row],[Primary Area]],KPIs!$C$4:$C$7,0)</f>
        <v>4</v>
      </c>
      <c r="R1425" s="40"/>
      <c r="V1425" s="4"/>
      <c r="X1425"/>
    </row>
    <row r="1426" spans="2:24" x14ac:dyDescent="0.35">
      <c r="B1426">
        <f t="shared" si="333"/>
        <v>1424</v>
      </c>
      <c r="C1426" t="s">
        <v>86</v>
      </c>
      <c r="D1426" t="s">
        <v>176</v>
      </c>
      <c r="E1426">
        <f>IF(WEEKNUM(Combined[[#This Row],[Date]], 1) = 53, 1, WEEKNUM(Combined[[#This Row],[Date]], 2))</f>
        <v>36</v>
      </c>
      <c r="F1426" t="str">
        <f t="shared" si="336"/>
        <v>Monday</v>
      </c>
      <c r="G1426" s="41">
        <v>45537</v>
      </c>
      <c r="H1426">
        <v>7</v>
      </c>
      <c r="I1426" s="1">
        <v>62.32</v>
      </c>
      <c r="J1426" s="2">
        <v>0.10833333333333334</v>
      </c>
      <c r="K1426" s="12">
        <f>Combined[[#This Row],[Time Spent]]*24</f>
        <v>2.6</v>
      </c>
      <c r="L1426" s="12">
        <f>MROUND(Combined[[#This Row],[Time Spent 2]],0.25)</f>
        <v>2.5</v>
      </c>
      <c r="M1426" s="2" t="s">
        <v>91</v>
      </c>
      <c r="N1426" t="s">
        <v>85</v>
      </c>
      <c r="O1426">
        <f>MATCH(Combined[[#This Row],[Primary Area]],KPIs!$C$4:$C$7,0)</f>
        <v>4</v>
      </c>
      <c r="R1426" s="40"/>
      <c r="V1426" s="4"/>
      <c r="X1426"/>
    </row>
    <row r="1427" spans="2:24" x14ac:dyDescent="0.35">
      <c r="B1427">
        <f t="shared" si="333"/>
        <v>1425</v>
      </c>
      <c r="C1427" t="s">
        <v>83</v>
      </c>
      <c r="D1427" t="s">
        <v>176</v>
      </c>
      <c r="E1427">
        <f>IF(WEEKNUM(Combined[[#This Row],[Date]], 1) = 53, 1, WEEKNUM(Combined[[#This Row],[Date]], 2))</f>
        <v>36</v>
      </c>
      <c r="F1427" t="str">
        <f t="shared" si="336"/>
        <v>Thursday</v>
      </c>
      <c r="G1427" s="41">
        <v>45540</v>
      </c>
      <c r="H1427">
        <v>1</v>
      </c>
      <c r="I1427" s="1">
        <v>26.05</v>
      </c>
      <c r="J1427" s="2">
        <v>6.3194444444444442E-2</v>
      </c>
      <c r="K1427" s="12">
        <f>Combined[[#This Row],[Time Spent]]*24</f>
        <v>1.5166666666666666</v>
      </c>
      <c r="L1427" s="12">
        <f>MROUND(Combined[[#This Row],[Time Spent 2]],0.25)</f>
        <v>1.5</v>
      </c>
      <c r="M1427" s="2" t="s">
        <v>91</v>
      </c>
      <c r="N1427" t="s">
        <v>82</v>
      </c>
      <c r="O1427">
        <f>MATCH(Combined[[#This Row],[Primary Area]],KPIs!$C$4:$C$7,0)</f>
        <v>3</v>
      </c>
      <c r="R1427" s="40"/>
      <c r="V1427" s="4"/>
      <c r="X1427"/>
    </row>
    <row r="1428" spans="2:24" x14ac:dyDescent="0.35">
      <c r="B1428">
        <f t="shared" si="333"/>
        <v>1426</v>
      </c>
      <c r="C1428" t="s">
        <v>86</v>
      </c>
      <c r="D1428" t="s">
        <v>176</v>
      </c>
      <c r="E1428">
        <f>IF(WEEKNUM(Combined[[#This Row],[Date]], 1) = 53, 1, WEEKNUM(Combined[[#This Row],[Date]], 2))</f>
        <v>36</v>
      </c>
      <c r="F1428" t="str">
        <f t="shared" si="336"/>
        <v>Thursday</v>
      </c>
      <c r="G1428" s="41">
        <v>45540</v>
      </c>
      <c r="H1428">
        <v>1</v>
      </c>
      <c r="I1428" s="1">
        <v>14.5</v>
      </c>
      <c r="J1428" s="2">
        <v>2.2916666666666665E-2</v>
      </c>
      <c r="K1428" s="12">
        <f>Combined[[#This Row],[Time Spent]]*24</f>
        <v>0.54999999999999993</v>
      </c>
      <c r="L1428" s="12">
        <f>MROUND(Combined[[#This Row],[Time Spent 2]],0.25)</f>
        <v>0.5</v>
      </c>
      <c r="M1428" s="2" t="s">
        <v>91</v>
      </c>
      <c r="N1428" t="s">
        <v>82</v>
      </c>
      <c r="O1428">
        <f>MATCH(Combined[[#This Row],[Primary Area]],KPIs!$C$4:$C$7,0)</f>
        <v>3</v>
      </c>
      <c r="R1428" s="40"/>
      <c r="V1428" s="4"/>
      <c r="X1428"/>
    </row>
    <row r="1429" spans="2:24" x14ac:dyDescent="0.35">
      <c r="B1429">
        <f t="shared" si="333"/>
        <v>1427</v>
      </c>
      <c r="C1429" t="s">
        <v>86</v>
      </c>
      <c r="D1429" t="s">
        <v>176</v>
      </c>
      <c r="E1429">
        <f>IF(WEEKNUM(Combined[[#This Row],[Date]], 1) = 53, 1, WEEKNUM(Combined[[#This Row],[Date]], 2))</f>
        <v>36</v>
      </c>
      <c r="F1429" t="str">
        <f t="shared" si="336"/>
        <v>Thursday</v>
      </c>
      <c r="G1429" s="41">
        <v>45540</v>
      </c>
      <c r="H1429">
        <v>6</v>
      </c>
      <c r="I1429" s="1">
        <v>39.75</v>
      </c>
      <c r="J1429" s="2">
        <v>0.10833333333333334</v>
      </c>
      <c r="K1429" s="12">
        <f>Combined[[#This Row],[Time Spent]]*24</f>
        <v>2.6</v>
      </c>
      <c r="L1429" s="12">
        <f>MROUND(Combined[[#This Row],[Time Spent 2]],0.25)</f>
        <v>2.5</v>
      </c>
      <c r="M1429" s="2" t="s">
        <v>91</v>
      </c>
      <c r="N1429" t="s">
        <v>82</v>
      </c>
      <c r="O1429">
        <f>MATCH(Combined[[#This Row],[Primary Area]],KPIs!$C$4:$C$7,0)</f>
        <v>3</v>
      </c>
      <c r="R1429" s="40"/>
      <c r="V1429" s="4"/>
      <c r="X1429"/>
    </row>
    <row r="1430" spans="2:24" x14ac:dyDescent="0.35">
      <c r="B1430">
        <f t="shared" si="333"/>
        <v>1428</v>
      </c>
      <c r="C1430" t="s">
        <v>83</v>
      </c>
      <c r="D1430" t="s">
        <v>176</v>
      </c>
      <c r="E1430">
        <f>IF(WEEKNUM(Combined[[#This Row],[Date]], 1) = 53, 1, WEEKNUM(Combined[[#This Row],[Date]], 2))</f>
        <v>36</v>
      </c>
      <c r="F1430" t="str">
        <f t="shared" si="336"/>
        <v>Friday</v>
      </c>
      <c r="G1430" s="41">
        <v>45541</v>
      </c>
      <c r="H1430">
        <v>5</v>
      </c>
      <c r="I1430" s="1">
        <v>53.12</v>
      </c>
      <c r="J1430" s="2">
        <v>0.11458333333333333</v>
      </c>
      <c r="K1430" s="12">
        <f>Combined[[#This Row],[Time Spent]]*24</f>
        <v>2.75</v>
      </c>
      <c r="L1430" s="12">
        <f>MROUND(Combined[[#This Row],[Time Spent 2]],0.25)</f>
        <v>2.75</v>
      </c>
      <c r="M1430" s="2" t="s">
        <v>91</v>
      </c>
      <c r="N1430" t="s">
        <v>85</v>
      </c>
      <c r="O1430">
        <f>MATCH(Combined[[#This Row],[Primary Area]],KPIs!$C$4:$C$7,0)</f>
        <v>4</v>
      </c>
      <c r="R1430" s="40"/>
      <c r="V1430" s="4"/>
      <c r="X1430"/>
    </row>
    <row r="1431" spans="2:24" x14ac:dyDescent="0.35">
      <c r="B1431">
        <f t="shared" si="333"/>
        <v>1429</v>
      </c>
      <c r="C1431" t="s">
        <v>86</v>
      </c>
      <c r="D1431" t="s">
        <v>175</v>
      </c>
      <c r="E1431">
        <f>IF(WEEKNUM(Combined[[#This Row],[Date]], 1) = 53, 1, WEEKNUM(Combined[[#This Row],[Date]], 2))</f>
        <v>36</v>
      </c>
      <c r="F1431" t="str">
        <f t="shared" si="336"/>
        <v>Friday</v>
      </c>
      <c r="G1431" s="41">
        <v>45541</v>
      </c>
      <c r="H1431">
        <v>8</v>
      </c>
      <c r="I1431" s="1">
        <v>77.16</v>
      </c>
      <c r="J1431" s="2">
        <v>0.18680555555555556</v>
      </c>
      <c r="K1431" s="12">
        <f>Combined[[#This Row],[Time Spent]]*24</f>
        <v>4.4833333333333334</v>
      </c>
      <c r="L1431" s="12">
        <f>MROUND(Combined[[#This Row],[Time Spent 2]],0.25)</f>
        <v>4.5</v>
      </c>
      <c r="M1431" s="2" t="s">
        <v>91</v>
      </c>
      <c r="N1431" t="s">
        <v>85</v>
      </c>
      <c r="O1431">
        <f>MATCH(Combined[[#This Row],[Primary Area]],KPIs!$C$4:$C$7,0)</f>
        <v>4</v>
      </c>
      <c r="R1431" s="40"/>
      <c r="V1431" s="4"/>
      <c r="X1431"/>
    </row>
    <row r="1432" spans="2:24" x14ac:dyDescent="0.35">
      <c r="B1432">
        <f t="shared" si="333"/>
        <v>1430</v>
      </c>
      <c r="C1432" t="s">
        <v>83</v>
      </c>
      <c r="D1432" t="s">
        <v>176</v>
      </c>
      <c r="E1432">
        <f>IF(WEEKNUM(Combined[[#This Row],[Date]], 1) = 53, 1, WEEKNUM(Combined[[#This Row],[Date]], 2))</f>
        <v>36</v>
      </c>
      <c r="F1432" t="str">
        <f t="shared" si="336"/>
        <v>Saturday</v>
      </c>
      <c r="G1432" s="41">
        <v>45542</v>
      </c>
      <c r="H1432">
        <v>2</v>
      </c>
      <c r="I1432" s="1">
        <v>15.07</v>
      </c>
      <c r="J1432" s="2">
        <v>8.4722222222222227E-2</v>
      </c>
      <c r="K1432" s="12">
        <f>Combined[[#This Row],[Time Spent]]*24</f>
        <v>2.0333333333333332</v>
      </c>
      <c r="L1432" s="12">
        <f>MROUND(Combined[[#This Row],[Time Spent 2]],0.25)</f>
        <v>2</v>
      </c>
      <c r="M1432" s="2" t="s">
        <v>91</v>
      </c>
      <c r="N1432" t="s">
        <v>85</v>
      </c>
      <c r="O1432">
        <f>MATCH(Combined[[#This Row],[Primary Area]],KPIs!$C$4:$C$7,0)</f>
        <v>4</v>
      </c>
      <c r="R1432" s="40"/>
      <c r="V1432" s="4"/>
      <c r="X1432"/>
    </row>
    <row r="1433" spans="2:24" x14ac:dyDescent="0.35">
      <c r="B1433">
        <f t="shared" si="333"/>
        <v>1431</v>
      </c>
      <c r="C1433" t="s">
        <v>86</v>
      </c>
      <c r="D1433" t="s">
        <v>176</v>
      </c>
      <c r="E1433">
        <f>IF(WEEKNUM(Combined[[#This Row],[Date]], 1) = 53, 1, WEEKNUM(Combined[[#This Row],[Date]], 2))</f>
        <v>36</v>
      </c>
      <c r="F1433" t="str">
        <f t="shared" si="336"/>
        <v>Saturday</v>
      </c>
      <c r="G1433" s="41">
        <v>45542</v>
      </c>
      <c r="H1433">
        <v>5</v>
      </c>
      <c r="I1433" s="1">
        <v>66.14</v>
      </c>
      <c r="J1433" s="2">
        <v>0.14166666666666666</v>
      </c>
      <c r="K1433" s="12">
        <f>Combined[[#This Row],[Time Spent]]*24</f>
        <v>3.4</v>
      </c>
      <c r="L1433" s="12">
        <f>MROUND(Combined[[#This Row],[Time Spent 2]],0.25)</f>
        <v>3.5</v>
      </c>
      <c r="M1433" s="2" t="s">
        <v>91</v>
      </c>
      <c r="N1433" t="s">
        <v>85</v>
      </c>
      <c r="O1433">
        <f>MATCH(Combined[[#This Row],[Primary Area]],KPIs!$C$4:$C$7,0)</f>
        <v>4</v>
      </c>
      <c r="R1433" s="40"/>
      <c r="V1433" s="4"/>
      <c r="X1433"/>
    </row>
    <row r="1434" spans="2:24" x14ac:dyDescent="0.35">
      <c r="B1434">
        <f t="shared" si="333"/>
        <v>1432</v>
      </c>
      <c r="C1434" t="s">
        <v>83</v>
      </c>
      <c r="D1434" t="s">
        <v>176</v>
      </c>
      <c r="E1434">
        <f>IF(WEEKNUM(Combined[[#This Row],[Date]], 1) = 53, 1, WEEKNUM(Combined[[#This Row],[Date]], 2))</f>
        <v>37</v>
      </c>
      <c r="F1434" t="str">
        <f t="shared" ref="F1434:F1439" si="337">TEXT(WEEKDAY(G1434,1),"DDDD")</f>
        <v>Monday</v>
      </c>
      <c r="G1434" s="41">
        <v>45544</v>
      </c>
      <c r="H1434">
        <v>6</v>
      </c>
      <c r="I1434" s="1">
        <v>106.21</v>
      </c>
      <c r="J1434" s="2">
        <v>0.13333333333333333</v>
      </c>
      <c r="K1434" s="12">
        <f>Combined[[#This Row],[Time Spent]]*24</f>
        <v>3.2</v>
      </c>
      <c r="L1434" s="12">
        <f>MROUND(Combined[[#This Row],[Time Spent 2]],0.25)</f>
        <v>3.25</v>
      </c>
      <c r="M1434" s="2" t="s">
        <v>91</v>
      </c>
      <c r="N1434" t="s">
        <v>80</v>
      </c>
      <c r="O1434">
        <f>MATCH(Combined[[#This Row],[Primary Area]],KPIs!$C$4:$C$7,0)</f>
        <v>2</v>
      </c>
      <c r="R1434" s="40"/>
      <c r="V1434" s="4"/>
      <c r="X1434"/>
    </row>
    <row r="1435" spans="2:24" x14ac:dyDescent="0.35">
      <c r="B1435">
        <f t="shared" si="333"/>
        <v>1433</v>
      </c>
      <c r="C1435" t="s">
        <v>86</v>
      </c>
      <c r="D1435" t="s">
        <v>175</v>
      </c>
      <c r="E1435">
        <f>IF(WEEKNUM(Combined[[#This Row],[Date]], 1) = 53, 1, WEEKNUM(Combined[[#This Row],[Date]], 2))</f>
        <v>37</v>
      </c>
      <c r="F1435" t="str">
        <f t="shared" si="337"/>
        <v>Monday</v>
      </c>
      <c r="G1435" s="41">
        <v>45544</v>
      </c>
      <c r="H1435">
        <v>2</v>
      </c>
      <c r="I1435" s="1">
        <v>17.28</v>
      </c>
      <c r="J1435" s="2">
        <v>5.1388888888888887E-2</v>
      </c>
      <c r="K1435" s="12">
        <f>Combined[[#This Row],[Time Spent]]*24</f>
        <v>1.2333333333333334</v>
      </c>
      <c r="L1435" s="12">
        <f>MROUND(Combined[[#This Row],[Time Spent 2]],0.25)</f>
        <v>1.25</v>
      </c>
      <c r="M1435" s="2" t="s">
        <v>91</v>
      </c>
      <c r="N1435" t="s">
        <v>80</v>
      </c>
      <c r="O1435">
        <f>MATCH(Combined[[#This Row],[Primary Area]],KPIs!$C$4:$C$7,0)</f>
        <v>2</v>
      </c>
      <c r="R1435" s="40"/>
      <c r="V1435" s="4"/>
      <c r="X1435"/>
    </row>
    <row r="1436" spans="2:24" x14ac:dyDescent="0.35">
      <c r="B1436">
        <f t="shared" si="333"/>
        <v>1434</v>
      </c>
      <c r="C1436" t="s">
        <v>86</v>
      </c>
      <c r="D1436" t="s">
        <v>175</v>
      </c>
      <c r="E1436">
        <f>IF(WEEKNUM(Combined[[#This Row],[Date]], 1) = 53, 1, WEEKNUM(Combined[[#This Row],[Date]], 2))</f>
        <v>37</v>
      </c>
      <c r="F1436" t="str">
        <f t="shared" si="337"/>
        <v>Monday</v>
      </c>
      <c r="G1436" s="41">
        <v>45544</v>
      </c>
      <c r="H1436">
        <v>8</v>
      </c>
      <c r="I1436" s="1">
        <v>80.25</v>
      </c>
      <c r="J1436" s="2">
        <v>0.13402777777777777</v>
      </c>
      <c r="K1436" s="12">
        <f>Combined[[#This Row],[Time Spent]]*24</f>
        <v>3.2166666666666668</v>
      </c>
      <c r="L1436" s="12">
        <f>MROUND(Combined[[#This Row],[Time Spent 2]],0.25)</f>
        <v>3.25</v>
      </c>
      <c r="M1436" s="2" t="s">
        <v>91</v>
      </c>
      <c r="N1436" t="s">
        <v>80</v>
      </c>
      <c r="O1436">
        <f>MATCH(Combined[[#This Row],[Primary Area]],KPIs!$C$4:$C$7,0)</f>
        <v>2</v>
      </c>
      <c r="R1436" s="40"/>
      <c r="V1436" s="4"/>
      <c r="X1436"/>
    </row>
    <row r="1437" spans="2:24" x14ac:dyDescent="0.35">
      <c r="B1437">
        <f t="shared" si="333"/>
        <v>1435</v>
      </c>
      <c r="C1437" t="s">
        <v>86</v>
      </c>
      <c r="D1437" t="s">
        <v>176</v>
      </c>
      <c r="E1437">
        <f>IF(WEEKNUM(Combined[[#This Row],[Date]], 1) = 53, 1, WEEKNUM(Combined[[#This Row],[Date]], 2))</f>
        <v>37</v>
      </c>
      <c r="F1437" t="str">
        <f t="shared" si="337"/>
        <v>Tuesday</v>
      </c>
      <c r="G1437" s="41">
        <v>45545</v>
      </c>
      <c r="H1437">
        <v>10</v>
      </c>
      <c r="I1437" s="1">
        <v>96.5</v>
      </c>
      <c r="J1437" s="2">
        <v>0.23402777777777778</v>
      </c>
      <c r="K1437" s="12">
        <f>Combined[[#This Row],[Time Spent]]*24</f>
        <v>5.6166666666666671</v>
      </c>
      <c r="L1437" s="12">
        <f>MROUND(Combined[[#This Row],[Time Spent 2]],0.25)</f>
        <v>5.5</v>
      </c>
      <c r="M1437" s="2" t="s">
        <v>91</v>
      </c>
      <c r="N1437" t="s">
        <v>80</v>
      </c>
      <c r="O1437">
        <f>MATCH(Combined[[#This Row],[Primary Area]],KPIs!$C$4:$C$7,0)</f>
        <v>2</v>
      </c>
      <c r="R1437" s="40"/>
      <c r="V1437" s="4"/>
      <c r="X1437"/>
    </row>
    <row r="1438" spans="2:24" x14ac:dyDescent="0.35">
      <c r="B1438">
        <f t="shared" si="333"/>
        <v>1436</v>
      </c>
      <c r="C1438" t="s">
        <v>83</v>
      </c>
      <c r="D1438" t="s">
        <v>176</v>
      </c>
      <c r="E1438">
        <f>IF(WEEKNUM(Combined[[#This Row],[Date]], 1) = 53, 1, WEEKNUM(Combined[[#This Row],[Date]], 2))</f>
        <v>37</v>
      </c>
      <c r="F1438" t="str">
        <f t="shared" si="337"/>
        <v>Wednesday</v>
      </c>
      <c r="G1438" s="41">
        <v>45546</v>
      </c>
      <c r="H1438">
        <v>1</v>
      </c>
      <c r="I1438" s="1">
        <v>9.1999999999999993</v>
      </c>
      <c r="J1438" s="2">
        <v>6.3194444444444442E-2</v>
      </c>
      <c r="K1438" s="12">
        <f>Combined[[#This Row],[Time Spent]]*24</f>
        <v>1.5166666666666666</v>
      </c>
      <c r="L1438" s="12">
        <f>MROUND(Combined[[#This Row],[Time Spent 2]],0.25)</f>
        <v>1.5</v>
      </c>
      <c r="M1438" s="2" t="s">
        <v>91</v>
      </c>
      <c r="N1438" t="s">
        <v>80</v>
      </c>
      <c r="O1438">
        <f>MATCH(Combined[[#This Row],[Primary Area]],KPIs!$C$4:$C$7,0)</f>
        <v>2</v>
      </c>
      <c r="R1438" s="40"/>
      <c r="V1438" s="4"/>
      <c r="X1438"/>
    </row>
    <row r="1439" spans="2:24" x14ac:dyDescent="0.35">
      <c r="B1439">
        <f t="shared" si="333"/>
        <v>1437</v>
      </c>
      <c r="C1439" t="s">
        <v>86</v>
      </c>
      <c r="D1439" t="s">
        <v>176</v>
      </c>
      <c r="E1439">
        <f>IF(WEEKNUM(Combined[[#This Row],[Date]], 1) = 53, 1, WEEKNUM(Combined[[#This Row],[Date]], 2))</f>
        <v>37</v>
      </c>
      <c r="F1439" t="str">
        <f t="shared" si="337"/>
        <v>Wednesday</v>
      </c>
      <c r="G1439" s="41">
        <v>45546</v>
      </c>
      <c r="H1439">
        <v>12</v>
      </c>
      <c r="I1439" s="1">
        <f>97.67+3.75</f>
        <v>101.42</v>
      </c>
      <c r="J1439" s="2">
        <v>0.25277777777777777</v>
      </c>
      <c r="K1439" s="12">
        <f>Combined[[#This Row],[Time Spent]]*24</f>
        <v>6.0666666666666664</v>
      </c>
      <c r="L1439" s="12">
        <f>MROUND(Combined[[#This Row],[Time Spent 2]],0.25)</f>
        <v>6</v>
      </c>
      <c r="M1439" s="2" t="s">
        <v>91</v>
      </c>
      <c r="N1439" t="s">
        <v>80</v>
      </c>
      <c r="O1439">
        <f>MATCH(Combined[[#This Row],[Primary Area]],KPIs!$C$4:$C$7,0)</f>
        <v>2</v>
      </c>
      <c r="R1439" s="40"/>
      <c r="V1439" s="4"/>
      <c r="X1439"/>
    </row>
    <row r="1440" spans="2:24" x14ac:dyDescent="0.35">
      <c r="B1440">
        <f t="shared" si="333"/>
        <v>1438</v>
      </c>
      <c r="C1440" t="s">
        <v>83</v>
      </c>
      <c r="D1440" t="s">
        <v>176</v>
      </c>
      <c r="E1440">
        <f>IF(WEEKNUM(Combined[[#This Row],[Date]], 1) = 53, 1, WEEKNUM(Combined[[#This Row],[Date]], 2))</f>
        <v>37</v>
      </c>
      <c r="F1440" t="str">
        <f t="shared" ref="F1440:F1443" si="338">TEXT(WEEKDAY(G1440,1),"DDDD")</f>
        <v>Thursday</v>
      </c>
      <c r="G1440" s="41">
        <v>45547</v>
      </c>
      <c r="H1440">
        <v>4</v>
      </c>
      <c r="I1440" s="1">
        <v>43.28</v>
      </c>
      <c r="J1440" s="2">
        <v>0.1</v>
      </c>
      <c r="K1440" s="12">
        <f>Combined[[#This Row],[Time Spent]]*24</f>
        <v>2.4000000000000004</v>
      </c>
      <c r="L1440" s="12">
        <f>MROUND(Combined[[#This Row],[Time Spent 2]],0.25)</f>
        <v>2.5</v>
      </c>
      <c r="M1440" s="2" t="s">
        <v>91</v>
      </c>
      <c r="N1440" t="s">
        <v>82</v>
      </c>
      <c r="O1440">
        <f>MATCH(Combined[[#This Row],[Primary Area]],KPIs!$C$4:$C$7,0)</f>
        <v>3</v>
      </c>
      <c r="R1440" s="40"/>
      <c r="V1440" s="4"/>
      <c r="X1440"/>
    </row>
    <row r="1441" spans="2:24" x14ac:dyDescent="0.35">
      <c r="B1441">
        <f t="shared" si="333"/>
        <v>1439</v>
      </c>
      <c r="C1441" t="s">
        <v>86</v>
      </c>
      <c r="D1441" t="s">
        <v>175</v>
      </c>
      <c r="E1441">
        <f>IF(WEEKNUM(Combined[[#This Row],[Date]], 1) = 53, 1, WEEKNUM(Combined[[#This Row],[Date]], 2))</f>
        <v>37</v>
      </c>
      <c r="F1441" t="str">
        <f t="shared" si="338"/>
        <v>Thursday</v>
      </c>
      <c r="G1441" s="41">
        <v>45547</v>
      </c>
      <c r="H1441">
        <v>2</v>
      </c>
      <c r="I1441" s="1">
        <v>14.59</v>
      </c>
      <c r="J1441" s="2">
        <v>7.2916666666666671E-2</v>
      </c>
      <c r="K1441" s="12">
        <f>Combined[[#This Row],[Time Spent]]*24</f>
        <v>1.75</v>
      </c>
      <c r="L1441" s="12">
        <f>MROUND(Combined[[#This Row],[Time Spent 2]],0.25)</f>
        <v>1.75</v>
      </c>
      <c r="M1441" s="2" t="s">
        <v>91</v>
      </c>
      <c r="N1441" t="s">
        <v>82</v>
      </c>
      <c r="O1441">
        <f>MATCH(Combined[[#This Row],[Primary Area]],KPIs!$C$4:$C$7,0)</f>
        <v>3</v>
      </c>
      <c r="R1441" s="40"/>
      <c r="V1441" s="4"/>
      <c r="X1441"/>
    </row>
    <row r="1442" spans="2:24" x14ac:dyDescent="0.35">
      <c r="B1442">
        <f t="shared" si="333"/>
        <v>1440</v>
      </c>
      <c r="C1442" t="s">
        <v>86</v>
      </c>
      <c r="D1442" t="s">
        <v>175</v>
      </c>
      <c r="E1442">
        <f>IF(WEEKNUM(Combined[[#This Row],[Date]], 1) = 53, 1, WEEKNUM(Combined[[#This Row],[Date]], 2))</f>
        <v>37</v>
      </c>
      <c r="F1442" t="str">
        <f t="shared" si="338"/>
        <v>Thursday</v>
      </c>
      <c r="G1442" s="41">
        <v>45547</v>
      </c>
      <c r="H1442">
        <v>9</v>
      </c>
      <c r="I1442" s="1">
        <v>65.540000000000006</v>
      </c>
      <c r="J1442" s="2">
        <v>0.13472222222222222</v>
      </c>
      <c r="K1442" s="12">
        <f>Combined[[#This Row],[Time Spent]]*24</f>
        <v>3.2333333333333334</v>
      </c>
      <c r="L1442" s="12">
        <f>MROUND(Combined[[#This Row],[Time Spent 2]],0.25)</f>
        <v>3.25</v>
      </c>
      <c r="M1442" s="2" t="s">
        <v>91</v>
      </c>
      <c r="N1442" t="s">
        <v>82</v>
      </c>
      <c r="O1442">
        <f>MATCH(Combined[[#This Row],[Primary Area]],KPIs!$C$4:$C$7,0)</f>
        <v>3</v>
      </c>
      <c r="R1442" s="40"/>
      <c r="V1442" s="4"/>
      <c r="X1442"/>
    </row>
    <row r="1443" spans="2:24" x14ac:dyDescent="0.35">
      <c r="B1443">
        <f t="shared" si="333"/>
        <v>1441</v>
      </c>
      <c r="C1443" t="s">
        <v>86</v>
      </c>
      <c r="D1443" t="s">
        <v>175</v>
      </c>
      <c r="E1443">
        <f>IF(WEEKNUM(Combined[[#This Row],[Date]], 1) = 53, 1, WEEKNUM(Combined[[#This Row],[Date]], 2))</f>
        <v>37</v>
      </c>
      <c r="F1443" t="str">
        <f t="shared" si="338"/>
        <v>Thursday</v>
      </c>
      <c r="G1443" s="41">
        <v>45547</v>
      </c>
      <c r="H1443">
        <v>4</v>
      </c>
      <c r="I1443" s="1">
        <v>31.08</v>
      </c>
      <c r="J1443" s="2">
        <v>3.5416666666666666E-2</v>
      </c>
      <c r="K1443" s="12">
        <f>Combined[[#This Row],[Time Spent]]*24</f>
        <v>0.85</v>
      </c>
      <c r="L1443" s="12">
        <f>MROUND(Combined[[#This Row],[Time Spent 2]],0.25)</f>
        <v>0.75</v>
      </c>
      <c r="M1443" s="2" t="s">
        <v>92</v>
      </c>
      <c r="N1443" t="s">
        <v>82</v>
      </c>
      <c r="O1443">
        <f>MATCH(Combined[[#This Row],[Primary Area]],KPIs!$C$4:$C$7,0)</f>
        <v>3</v>
      </c>
      <c r="R1443" s="40"/>
      <c r="V1443" s="4"/>
      <c r="X1443"/>
    </row>
    <row r="1444" spans="2:24" x14ac:dyDescent="0.35">
      <c r="B1444">
        <f t="shared" si="333"/>
        <v>1442</v>
      </c>
      <c r="C1444" t="s">
        <v>83</v>
      </c>
      <c r="D1444" t="s">
        <v>176</v>
      </c>
      <c r="E1444">
        <f>IF(WEEKNUM(Combined[[#This Row],[Date]], 1) = 53, 1, WEEKNUM(Combined[[#This Row],[Date]], 2))</f>
        <v>37</v>
      </c>
      <c r="F1444" t="str">
        <f t="shared" ref="F1444:F1450" si="339">TEXT(WEEKDAY(G1444,1),"DDDD")</f>
        <v>Friday</v>
      </c>
      <c r="G1444" s="41">
        <v>45548</v>
      </c>
      <c r="H1444">
        <v>9</v>
      </c>
      <c r="I1444" s="1">
        <v>113.95</v>
      </c>
      <c r="J1444" s="2">
        <v>0.2076388888888889</v>
      </c>
      <c r="K1444" s="12">
        <f>Combined[[#This Row],[Time Spent]]*24</f>
        <v>4.9833333333333334</v>
      </c>
      <c r="L1444" s="12">
        <f>MROUND(Combined[[#This Row],[Time Spent 2]],0.25)</f>
        <v>5</v>
      </c>
      <c r="M1444" s="2" t="s">
        <v>91</v>
      </c>
      <c r="N1444" t="s">
        <v>82</v>
      </c>
      <c r="O1444">
        <f>MATCH(Combined[[#This Row],[Primary Area]],KPIs!$C$4:$C$7,0)</f>
        <v>3</v>
      </c>
      <c r="R1444" s="40"/>
      <c r="V1444" s="4"/>
      <c r="X1444"/>
    </row>
    <row r="1445" spans="2:24" x14ac:dyDescent="0.35">
      <c r="B1445">
        <f t="shared" si="333"/>
        <v>1443</v>
      </c>
      <c r="C1445" t="s">
        <v>86</v>
      </c>
      <c r="D1445" t="s">
        <v>176</v>
      </c>
      <c r="E1445">
        <f>IF(WEEKNUM(Combined[[#This Row],[Date]], 1) = 53, 1, WEEKNUM(Combined[[#This Row],[Date]], 2))</f>
        <v>37</v>
      </c>
      <c r="F1445" t="str">
        <f t="shared" si="339"/>
        <v>Friday</v>
      </c>
      <c r="G1445" s="41">
        <v>45548</v>
      </c>
      <c r="H1445">
        <v>2</v>
      </c>
      <c r="I1445" s="1">
        <v>37.25</v>
      </c>
      <c r="J1445" s="2">
        <v>0.11527777777777778</v>
      </c>
      <c r="K1445" s="12">
        <f>Combined[[#This Row],[Time Spent]]*24</f>
        <v>2.7666666666666666</v>
      </c>
      <c r="L1445" s="12">
        <f>MROUND(Combined[[#This Row],[Time Spent 2]],0.25)</f>
        <v>2.75</v>
      </c>
      <c r="M1445" s="2" t="s">
        <v>91</v>
      </c>
      <c r="N1445" t="s">
        <v>82</v>
      </c>
      <c r="O1445">
        <f>MATCH(Combined[[#This Row],[Primary Area]],KPIs!$C$4:$C$7,0)</f>
        <v>3</v>
      </c>
      <c r="R1445" s="40"/>
      <c r="V1445" s="4"/>
      <c r="X1445"/>
    </row>
    <row r="1446" spans="2:24" x14ac:dyDescent="0.35">
      <c r="B1446">
        <f t="shared" si="333"/>
        <v>1444</v>
      </c>
      <c r="C1446" t="s">
        <v>86</v>
      </c>
      <c r="D1446" t="s">
        <v>176</v>
      </c>
      <c r="E1446">
        <f>IF(WEEKNUM(Combined[[#This Row],[Date]], 1) = 53, 1, WEEKNUM(Combined[[#This Row],[Date]], 2))</f>
        <v>37</v>
      </c>
      <c r="F1446" t="str">
        <f t="shared" si="339"/>
        <v>Friday</v>
      </c>
      <c r="G1446" s="41">
        <v>45548</v>
      </c>
      <c r="H1446">
        <v>3</v>
      </c>
      <c r="I1446" s="1">
        <v>21.75</v>
      </c>
      <c r="J1446" s="2">
        <v>0.11874999999999999</v>
      </c>
      <c r="K1446" s="12">
        <f>Combined[[#This Row],[Time Spent]]*24</f>
        <v>2.8499999999999996</v>
      </c>
      <c r="L1446" s="12">
        <f>MROUND(Combined[[#This Row],[Time Spent 2]],0.25)</f>
        <v>2.75</v>
      </c>
      <c r="M1446" s="2" t="s">
        <v>92</v>
      </c>
      <c r="N1446" t="s">
        <v>82</v>
      </c>
      <c r="O1446">
        <f>MATCH(Combined[[#This Row],[Primary Area]],KPIs!$C$4:$C$7,0)</f>
        <v>3</v>
      </c>
      <c r="R1446" s="40"/>
      <c r="V1446" s="4"/>
      <c r="X1446"/>
    </row>
    <row r="1447" spans="2:24" x14ac:dyDescent="0.35">
      <c r="B1447">
        <f t="shared" si="333"/>
        <v>1445</v>
      </c>
      <c r="C1447" t="s">
        <v>83</v>
      </c>
      <c r="D1447" t="s">
        <v>176</v>
      </c>
      <c r="E1447">
        <f>IF(WEEKNUM(Combined[[#This Row],[Date]], 1) = 53, 1, WEEKNUM(Combined[[#This Row],[Date]], 2))</f>
        <v>37</v>
      </c>
      <c r="F1447" t="str">
        <f t="shared" si="339"/>
        <v>Saturday</v>
      </c>
      <c r="G1447" s="41">
        <v>45549</v>
      </c>
      <c r="H1447">
        <v>3</v>
      </c>
      <c r="I1447" s="1">
        <v>35.07</v>
      </c>
      <c r="J1447" s="2">
        <v>0.11527777777777778</v>
      </c>
      <c r="K1447" s="12">
        <f>Combined[[#This Row],[Time Spent]]*24</f>
        <v>2.7666666666666666</v>
      </c>
      <c r="L1447" s="12">
        <f>MROUND(Combined[[#This Row],[Time Spent 2]],0.25)</f>
        <v>2.75</v>
      </c>
      <c r="M1447" s="2" t="s">
        <v>91</v>
      </c>
      <c r="N1447" t="s">
        <v>82</v>
      </c>
      <c r="O1447">
        <f>MATCH(Combined[[#This Row],[Primary Area]],KPIs!$C$4:$C$7,0)</f>
        <v>3</v>
      </c>
      <c r="R1447" s="40"/>
      <c r="V1447" s="4"/>
      <c r="X1447"/>
    </row>
    <row r="1448" spans="2:24" x14ac:dyDescent="0.35">
      <c r="B1448">
        <f t="shared" si="333"/>
        <v>1446</v>
      </c>
      <c r="C1448" t="s">
        <v>86</v>
      </c>
      <c r="D1448" t="s">
        <v>175</v>
      </c>
      <c r="E1448">
        <f>IF(WEEKNUM(Combined[[#This Row],[Date]], 1) = 53, 1, WEEKNUM(Combined[[#This Row],[Date]], 2))</f>
        <v>37</v>
      </c>
      <c r="F1448" t="str">
        <f t="shared" si="339"/>
        <v>Saturday</v>
      </c>
      <c r="G1448" s="41">
        <v>45549</v>
      </c>
      <c r="H1448">
        <v>6</v>
      </c>
      <c r="I1448" s="1">
        <v>49.06</v>
      </c>
      <c r="J1448" s="2">
        <v>0.12708333333333333</v>
      </c>
      <c r="K1448" s="12">
        <f>Combined[[#This Row],[Time Spent]]*24</f>
        <v>3.05</v>
      </c>
      <c r="L1448" s="12">
        <f>MROUND(Combined[[#This Row],[Time Spent 2]],0.25)</f>
        <v>3</v>
      </c>
      <c r="M1448" s="2" t="s">
        <v>91</v>
      </c>
      <c r="N1448" t="s">
        <v>82</v>
      </c>
      <c r="O1448">
        <f>MATCH(Combined[[#This Row],[Primary Area]],KPIs!$C$4:$C$7,0)</f>
        <v>3</v>
      </c>
      <c r="R1448" s="40"/>
      <c r="V1448" s="4"/>
      <c r="X1448"/>
    </row>
    <row r="1449" spans="2:24" x14ac:dyDescent="0.35">
      <c r="B1449">
        <f t="shared" si="333"/>
        <v>1447</v>
      </c>
      <c r="C1449" t="s">
        <v>86</v>
      </c>
      <c r="D1449" t="s">
        <v>175</v>
      </c>
      <c r="E1449">
        <f>IF(WEEKNUM(Combined[[#This Row],[Date]], 1) = 53, 1, WEEKNUM(Combined[[#This Row],[Date]], 2))</f>
        <v>37</v>
      </c>
      <c r="F1449" t="str">
        <f t="shared" si="339"/>
        <v>Saturday</v>
      </c>
      <c r="G1449" s="41">
        <v>45549</v>
      </c>
      <c r="H1449">
        <v>5</v>
      </c>
      <c r="I1449" s="1">
        <v>35.94</v>
      </c>
      <c r="J1449" s="2">
        <v>6.3888888888888884E-2</v>
      </c>
      <c r="K1449" s="12">
        <f>Combined[[#This Row],[Time Spent]]*24</f>
        <v>1.5333333333333332</v>
      </c>
      <c r="L1449" s="12">
        <f>MROUND(Combined[[#This Row],[Time Spent 2]],0.25)</f>
        <v>1.5</v>
      </c>
      <c r="M1449" s="2" t="s">
        <v>91</v>
      </c>
      <c r="N1449" t="s">
        <v>82</v>
      </c>
      <c r="O1449">
        <f>MATCH(Combined[[#This Row],[Primary Area]],KPIs!$C$4:$C$7,0)</f>
        <v>3</v>
      </c>
      <c r="R1449" s="40"/>
      <c r="V1449" s="4"/>
      <c r="X1449"/>
    </row>
    <row r="1450" spans="2:24" x14ac:dyDescent="0.35">
      <c r="B1450">
        <f t="shared" si="333"/>
        <v>1448</v>
      </c>
      <c r="C1450" t="s">
        <v>86</v>
      </c>
      <c r="D1450" t="s">
        <v>175</v>
      </c>
      <c r="E1450">
        <f>IF(WEEKNUM(Combined[[#This Row],[Date]], 1) = 53, 1, WEEKNUM(Combined[[#This Row],[Date]], 2))</f>
        <v>37</v>
      </c>
      <c r="F1450" t="str">
        <f t="shared" si="339"/>
        <v>Sunday</v>
      </c>
      <c r="G1450" s="41">
        <v>45550</v>
      </c>
      <c r="H1450">
        <v>11</v>
      </c>
      <c r="I1450" s="1">
        <v>93.35</v>
      </c>
      <c r="J1450" s="2">
        <v>0.19027777777777777</v>
      </c>
      <c r="K1450" s="12">
        <f>Combined[[#This Row],[Time Spent]]*24</f>
        <v>4.5666666666666664</v>
      </c>
      <c r="L1450" s="12">
        <f>MROUND(Combined[[#This Row],[Time Spent 2]],0.25)</f>
        <v>4.5</v>
      </c>
      <c r="M1450" s="2" t="s">
        <v>90</v>
      </c>
      <c r="N1450" t="s">
        <v>80</v>
      </c>
      <c r="O1450">
        <f>MATCH(Combined[[#This Row],[Primary Area]],KPIs!$C$4:$C$7,0)</f>
        <v>2</v>
      </c>
      <c r="R1450" s="40"/>
      <c r="V1450" s="4"/>
      <c r="X1450"/>
    </row>
    <row r="1451" spans="2:24" x14ac:dyDescent="0.35">
      <c r="B1451">
        <f t="shared" si="333"/>
        <v>1449</v>
      </c>
      <c r="C1451" t="s">
        <v>83</v>
      </c>
      <c r="D1451" t="s">
        <v>176</v>
      </c>
      <c r="E1451">
        <f>IF(WEEKNUM(Combined[[#This Row],[Date]], 1) = 53, 1, WEEKNUM(Combined[[#This Row],[Date]], 2))</f>
        <v>38</v>
      </c>
      <c r="F1451" t="str">
        <f t="shared" ref="F1451:F1455" si="340">TEXT(WEEKDAY(G1451,1),"DDDD")</f>
        <v>Friday</v>
      </c>
      <c r="G1451" s="41">
        <v>45555</v>
      </c>
      <c r="H1451">
        <v>13</v>
      </c>
      <c r="I1451" s="1">
        <v>138.31</v>
      </c>
      <c r="J1451" s="2">
        <v>0.22777777777777777</v>
      </c>
      <c r="K1451" s="12">
        <f>Combined[[#This Row],[Time Spent]]*24</f>
        <v>5.4666666666666668</v>
      </c>
      <c r="L1451" s="12">
        <f>MROUND(Combined[[#This Row],[Time Spent 2]],0.25)</f>
        <v>5.5</v>
      </c>
      <c r="M1451" s="2" t="s">
        <v>91</v>
      </c>
      <c r="N1451" t="s">
        <v>85</v>
      </c>
      <c r="O1451">
        <f>MATCH(Combined[[#This Row],[Primary Area]],KPIs!$C$4:$C$7,0)</f>
        <v>4</v>
      </c>
      <c r="R1451" s="40"/>
      <c r="V1451" s="4"/>
      <c r="X1451"/>
    </row>
    <row r="1452" spans="2:24" x14ac:dyDescent="0.35">
      <c r="B1452">
        <f t="shared" si="333"/>
        <v>1450</v>
      </c>
      <c r="C1452" t="s">
        <v>86</v>
      </c>
      <c r="D1452" t="s">
        <v>176</v>
      </c>
      <c r="E1452">
        <f>IF(WEEKNUM(Combined[[#This Row],[Date]], 1) = 53, 1, WEEKNUM(Combined[[#This Row],[Date]], 2))</f>
        <v>38</v>
      </c>
      <c r="F1452" t="str">
        <f t="shared" si="340"/>
        <v>Friday</v>
      </c>
      <c r="G1452" s="41">
        <v>45555</v>
      </c>
      <c r="H1452">
        <v>3</v>
      </c>
      <c r="I1452" s="1">
        <v>38.29</v>
      </c>
      <c r="J1452" s="2">
        <v>9.5138888888888884E-2</v>
      </c>
      <c r="K1452" s="12">
        <f>Combined[[#This Row],[Time Spent]]*24</f>
        <v>2.2833333333333332</v>
      </c>
      <c r="L1452" s="12">
        <f>MROUND(Combined[[#This Row],[Time Spent 2]],0.25)</f>
        <v>2.25</v>
      </c>
      <c r="M1452" s="2" t="s">
        <v>91</v>
      </c>
      <c r="N1452" t="s">
        <v>85</v>
      </c>
      <c r="O1452">
        <f>MATCH(Combined[[#This Row],[Primary Area]],KPIs!$C$4:$C$7,0)</f>
        <v>4</v>
      </c>
      <c r="R1452" s="40"/>
      <c r="V1452" s="4"/>
      <c r="X1452"/>
    </row>
    <row r="1453" spans="2:24" x14ac:dyDescent="0.35">
      <c r="B1453">
        <f t="shared" si="333"/>
        <v>1451</v>
      </c>
      <c r="C1453" t="s">
        <v>86</v>
      </c>
      <c r="D1453" t="s">
        <v>176</v>
      </c>
      <c r="E1453">
        <f>IF(WEEKNUM(Combined[[#This Row],[Date]], 1) = 53, 1, WEEKNUM(Combined[[#This Row],[Date]], 2))</f>
        <v>38</v>
      </c>
      <c r="F1453" t="str">
        <f t="shared" si="340"/>
        <v>Friday</v>
      </c>
      <c r="G1453" s="41">
        <v>45555</v>
      </c>
      <c r="H1453">
        <v>2</v>
      </c>
      <c r="I1453" s="1">
        <v>12.25</v>
      </c>
      <c r="J1453" s="2">
        <v>2.4305555555555556E-2</v>
      </c>
      <c r="K1453" s="12">
        <f>Combined[[#This Row],[Time Spent]]*24</f>
        <v>0.58333333333333337</v>
      </c>
      <c r="L1453" s="12">
        <f>MROUND(Combined[[#This Row],[Time Spent 2]],0.25)</f>
        <v>0.5</v>
      </c>
      <c r="M1453" s="2" t="s">
        <v>92</v>
      </c>
      <c r="N1453" t="s">
        <v>85</v>
      </c>
      <c r="O1453">
        <f>MATCH(Combined[[#This Row],[Primary Area]],KPIs!$C$4:$C$7,0)</f>
        <v>4</v>
      </c>
      <c r="R1453" s="40"/>
      <c r="V1453" s="4"/>
      <c r="X1453"/>
    </row>
    <row r="1454" spans="2:24" x14ac:dyDescent="0.35">
      <c r="B1454">
        <f t="shared" si="333"/>
        <v>1452</v>
      </c>
      <c r="C1454" t="s">
        <v>83</v>
      </c>
      <c r="D1454" t="s">
        <v>176</v>
      </c>
      <c r="E1454">
        <f>IF(WEEKNUM(Combined[[#This Row],[Date]], 1) = 53, 1, WEEKNUM(Combined[[#This Row],[Date]], 2))</f>
        <v>38</v>
      </c>
      <c r="F1454" t="str">
        <f t="shared" si="340"/>
        <v>Sunday</v>
      </c>
      <c r="G1454" s="41">
        <v>45557</v>
      </c>
      <c r="H1454">
        <v>2</v>
      </c>
      <c r="I1454" s="1">
        <v>26.02</v>
      </c>
      <c r="J1454" s="2">
        <v>3.888888888888889E-2</v>
      </c>
      <c r="K1454" s="12">
        <f>Combined[[#This Row],[Time Spent]]*24</f>
        <v>0.93333333333333335</v>
      </c>
      <c r="L1454" s="12">
        <f>MROUND(Combined[[#This Row],[Time Spent 2]],0.25)</f>
        <v>1</v>
      </c>
      <c r="M1454" s="2" t="s">
        <v>90</v>
      </c>
      <c r="N1454" t="s">
        <v>80</v>
      </c>
      <c r="O1454">
        <f>MATCH(Combined[[#This Row],[Primary Area]],KPIs!$C$4:$C$7,0)</f>
        <v>2</v>
      </c>
      <c r="R1454" s="40"/>
      <c r="V1454" s="4"/>
      <c r="X1454"/>
    </row>
    <row r="1455" spans="2:24" x14ac:dyDescent="0.35">
      <c r="B1455">
        <f t="shared" si="333"/>
        <v>1453</v>
      </c>
      <c r="C1455" t="s">
        <v>86</v>
      </c>
      <c r="D1455" t="s">
        <v>176</v>
      </c>
      <c r="E1455">
        <f>IF(WEEKNUM(Combined[[#This Row],[Date]], 1) = 53, 1, WEEKNUM(Combined[[#This Row],[Date]], 2))</f>
        <v>38</v>
      </c>
      <c r="F1455" t="str">
        <f t="shared" si="340"/>
        <v>Sunday</v>
      </c>
      <c r="G1455" s="41">
        <v>45557</v>
      </c>
      <c r="H1455">
        <v>3</v>
      </c>
      <c r="I1455" s="1">
        <f>36.91+5.5</f>
        <v>42.41</v>
      </c>
      <c r="J1455" s="2">
        <v>7.0833333333333331E-2</v>
      </c>
      <c r="K1455" s="12">
        <f>Combined[[#This Row],[Time Spent]]*24</f>
        <v>1.7</v>
      </c>
      <c r="L1455" s="12">
        <f>MROUND(Combined[[#This Row],[Time Spent 2]],0.25)</f>
        <v>1.75</v>
      </c>
      <c r="M1455" s="2" t="s">
        <v>90</v>
      </c>
      <c r="N1455" t="s">
        <v>80</v>
      </c>
      <c r="O1455">
        <f>MATCH(Combined[[#This Row],[Primary Area]],KPIs!$C$4:$C$7,0)</f>
        <v>2</v>
      </c>
      <c r="R1455" s="40"/>
      <c r="V1455" s="4"/>
      <c r="X1455"/>
    </row>
    <row r="1456" spans="2:24" x14ac:dyDescent="0.35">
      <c r="B1456">
        <f t="shared" si="333"/>
        <v>1454</v>
      </c>
      <c r="C1456" t="s">
        <v>83</v>
      </c>
      <c r="D1456" t="s">
        <v>176</v>
      </c>
      <c r="E1456">
        <f>IF(WEEKNUM(Combined[[#This Row],[Date]], 1) = 53, 1, WEEKNUM(Combined[[#This Row],[Date]], 2))</f>
        <v>39</v>
      </c>
      <c r="F1456" t="str">
        <f t="shared" ref="F1456:F1466" si="341">TEXT(WEEKDAY(G1456,1),"DDDD")</f>
        <v>Monday</v>
      </c>
      <c r="G1456" s="41">
        <v>45558</v>
      </c>
      <c r="H1456">
        <v>6</v>
      </c>
      <c r="I1456" s="1">
        <v>87.81</v>
      </c>
      <c r="J1456" s="2">
        <v>0.15208333333333332</v>
      </c>
      <c r="K1456" s="12">
        <f>Combined[[#This Row],[Time Spent]]*24</f>
        <v>3.6499999999999995</v>
      </c>
      <c r="L1456" s="12">
        <f>MROUND(Combined[[#This Row],[Time Spent 2]],0.25)</f>
        <v>3.75</v>
      </c>
      <c r="M1456" s="2" t="s">
        <v>91</v>
      </c>
      <c r="N1456" t="s">
        <v>85</v>
      </c>
      <c r="O1456">
        <f>MATCH(Combined[[#This Row],[Primary Area]],KPIs!$C$4:$C$7,0)</f>
        <v>4</v>
      </c>
      <c r="R1456" s="40"/>
      <c r="V1456" s="4"/>
      <c r="X1456"/>
    </row>
    <row r="1457" spans="2:24" x14ac:dyDescent="0.35">
      <c r="B1457">
        <f t="shared" si="333"/>
        <v>1455</v>
      </c>
      <c r="C1457" t="s">
        <v>86</v>
      </c>
      <c r="D1457" t="s">
        <v>176</v>
      </c>
      <c r="E1457">
        <f>IF(WEEKNUM(Combined[[#This Row],[Date]], 1) = 53, 1, WEEKNUM(Combined[[#This Row],[Date]], 2))</f>
        <v>39</v>
      </c>
      <c r="F1457" t="str">
        <f t="shared" si="341"/>
        <v>Monday</v>
      </c>
      <c r="G1457" s="41">
        <v>45558</v>
      </c>
      <c r="H1457">
        <v>3</v>
      </c>
      <c r="I1457" s="1">
        <v>31.25</v>
      </c>
      <c r="J1457" s="2">
        <v>5.9027777777777776E-2</v>
      </c>
      <c r="K1457" s="12">
        <f>Combined[[#This Row],[Time Spent]]*24</f>
        <v>1.4166666666666665</v>
      </c>
      <c r="L1457" s="12">
        <f>MROUND(Combined[[#This Row],[Time Spent 2]],0.25)</f>
        <v>1.5</v>
      </c>
      <c r="M1457" s="2" t="s">
        <v>91</v>
      </c>
      <c r="N1457" t="s">
        <v>85</v>
      </c>
      <c r="O1457">
        <f>MATCH(Combined[[#This Row],[Primary Area]],KPIs!$C$4:$C$7,0)</f>
        <v>4</v>
      </c>
      <c r="R1457" s="40"/>
      <c r="V1457" s="4"/>
      <c r="X1457"/>
    </row>
    <row r="1458" spans="2:24" x14ac:dyDescent="0.35">
      <c r="B1458">
        <f t="shared" si="333"/>
        <v>1456</v>
      </c>
      <c r="C1458" t="s">
        <v>86</v>
      </c>
      <c r="D1458" t="s">
        <v>175</v>
      </c>
      <c r="E1458">
        <f>IF(WEEKNUM(Combined[[#This Row],[Date]], 1) = 53, 1, WEEKNUM(Combined[[#This Row],[Date]], 2))</f>
        <v>39</v>
      </c>
      <c r="F1458" t="str">
        <f t="shared" si="341"/>
        <v>Monday</v>
      </c>
      <c r="G1458" s="41">
        <v>45558</v>
      </c>
      <c r="H1458">
        <v>2</v>
      </c>
      <c r="I1458" s="1">
        <v>19.329999999999998</v>
      </c>
      <c r="J1458" s="2">
        <v>7.2222222222222215E-2</v>
      </c>
      <c r="K1458" s="12">
        <f>Combined[[#This Row],[Time Spent]]*24</f>
        <v>1.7333333333333332</v>
      </c>
      <c r="L1458" s="12">
        <f>MROUND(Combined[[#This Row],[Time Spent 2]],0.25)</f>
        <v>1.75</v>
      </c>
      <c r="M1458" s="2" t="s">
        <v>91</v>
      </c>
      <c r="N1458" t="s">
        <v>85</v>
      </c>
      <c r="O1458">
        <f>MATCH(Combined[[#This Row],[Primary Area]],KPIs!$C$4:$C$7,0)</f>
        <v>4</v>
      </c>
      <c r="R1458" s="40"/>
      <c r="V1458" s="4"/>
      <c r="X1458"/>
    </row>
    <row r="1459" spans="2:24" x14ac:dyDescent="0.35">
      <c r="B1459">
        <f t="shared" si="333"/>
        <v>1457</v>
      </c>
      <c r="C1459" t="s">
        <v>83</v>
      </c>
      <c r="D1459" t="s">
        <v>176</v>
      </c>
      <c r="E1459">
        <f>IF(WEEKNUM(Combined[[#This Row],[Date]], 1) = 53, 1, WEEKNUM(Combined[[#This Row],[Date]], 2))</f>
        <v>39</v>
      </c>
      <c r="F1459" t="str">
        <f t="shared" si="341"/>
        <v>Tuesday</v>
      </c>
      <c r="G1459" s="41">
        <v>45559</v>
      </c>
      <c r="H1459">
        <v>3</v>
      </c>
      <c r="I1459" s="1">
        <v>33.71</v>
      </c>
      <c r="J1459" s="2">
        <v>7.6388888888888895E-2</v>
      </c>
      <c r="K1459" s="12">
        <f>Combined[[#This Row],[Time Spent]]*24</f>
        <v>1.8333333333333335</v>
      </c>
      <c r="L1459" s="12">
        <f>MROUND(Combined[[#This Row],[Time Spent 2]],0.25)</f>
        <v>1.75</v>
      </c>
      <c r="M1459" s="2" t="s">
        <v>91</v>
      </c>
      <c r="N1459" t="s">
        <v>80</v>
      </c>
      <c r="O1459">
        <f>MATCH(Combined[[#This Row],[Primary Area]],KPIs!$C$4:$C$7,0)</f>
        <v>2</v>
      </c>
      <c r="R1459" s="40"/>
      <c r="V1459" s="4"/>
      <c r="X1459"/>
    </row>
    <row r="1460" spans="2:24" x14ac:dyDescent="0.35">
      <c r="B1460">
        <f t="shared" si="333"/>
        <v>1458</v>
      </c>
      <c r="C1460" t="s">
        <v>86</v>
      </c>
      <c r="D1460" t="s">
        <v>176</v>
      </c>
      <c r="E1460">
        <f>IF(WEEKNUM(Combined[[#This Row],[Date]], 1) = 53, 1, WEEKNUM(Combined[[#This Row],[Date]], 2))</f>
        <v>39</v>
      </c>
      <c r="F1460" t="str">
        <f t="shared" si="341"/>
        <v>Tuesday</v>
      </c>
      <c r="G1460" s="41">
        <v>45559</v>
      </c>
      <c r="H1460">
        <v>6</v>
      </c>
      <c r="I1460" s="1">
        <v>86.33</v>
      </c>
      <c r="J1460" s="2">
        <v>0.14652777777777778</v>
      </c>
      <c r="K1460" s="12">
        <f>Combined[[#This Row],[Time Spent]]*24</f>
        <v>3.5166666666666666</v>
      </c>
      <c r="L1460" s="12">
        <f>MROUND(Combined[[#This Row],[Time Spent 2]],0.25)</f>
        <v>3.5</v>
      </c>
      <c r="M1460" s="2" t="s">
        <v>91</v>
      </c>
      <c r="N1460" t="s">
        <v>80</v>
      </c>
      <c r="O1460">
        <f>MATCH(Combined[[#This Row],[Primary Area]],KPIs!$C$4:$C$7,0)</f>
        <v>2</v>
      </c>
      <c r="R1460" s="40"/>
      <c r="V1460" s="4"/>
      <c r="X1460"/>
    </row>
    <row r="1461" spans="2:24" x14ac:dyDescent="0.35">
      <c r="B1461">
        <f t="shared" si="333"/>
        <v>1459</v>
      </c>
      <c r="C1461" t="s">
        <v>83</v>
      </c>
      <c r="D1461" t="s">
        <v>176</v>
      </c>
      <c r="E1461">
        <f>IF(WEEKNUM(Combined[[#This Row],[Date]], 1) = 53, 1, WEEKNUM(Combined[[#This Row],[Date]], 2))</f>
        <v>39</v>
      </c>
      <c r="F1461" t="str">
        <f t="shared" si="341"/>
        <v>Wednesday</v>
      </c>
      <c r="G1461" s="41">
        <v>45560</v>
      </c>
      <c r="H1461">
        <v>4</v>
      </c>
      <c r="I1461" s="1">
        <v>53.22</v>
      </c>
      <c r="J1461" s="2">
        <v>0.11180555555555556</v>
      </c>
      <c r="K1461" s="12">
        <f>Combined[[#This Row],[Time Spent]]*24</f>
        <v>2.6833333333333336</v>
      </c>
      <c r="L1461" s="12">
        <f>MROUND(Combined[[#This Row],[Time Spent 2]],0.25)</f>
        <v>2.75</v>
      </c>
      <c r="M1461" s="2" t="s">
        <v>91</v>
      </c>
      <c r="N1461" t="s">
        <v>80</v>
      </c>
      <c r="O1461">
        <f>MATCH(Combined[[#This Row],[Primary Area]],KPIs!$C$4:$C$7,0)</f>
        <v>2</v>
      </c>
      <c r="R1461" s="40"/>
      <c r="V1461" s="4"/>
      <c r="X1461"/>
    </row>
    <row r="1462" spans="2:24" x14ac:dyDescent="0.35">
      <c r="B1462">
        <f t="shared" si="333"/>
        <v>1460</v>
      </c>
      <c r="C1462" t="s">
        <v>86</v>
      </c>
      <c r="D1462" t="s">
        <v>176</v>
      </c>
      <c r="E1462">
        <f>IF(WEEKNUM(Combined[[#This Row],[Date]], 1) = 53, 1, WEEKNUM(Combined[[#This Row],[Date]], 2))</f>
        <v>39</v>
      </c>
      <c r="F1462" t="str">
        <f t="shared" si="341"/>
        <v>Wednesday</v>
      </c>
      <c r="G1462" s="41">
        <v>45560</v>
      </c>
      <c r="H1462">
        <v>5</v>
      </c>
      <c r="I1462" s="1">
        <v>42</v>
      </c>
      <c r="J1462" s="2">
        <v>9.7222222222222224E-2</v>
      </c>
      <c r="K1462" s="12">
        <f>Combined[[#This Row],[Time Spent]]*24</f>
        <v>2.3333333333333335</v>
      </c>
      <c r="L1462" s="12">
        <f>MROUND(Combined[[#This Row],[Time Spent 2]],0.25)</f>
        <v>2.25</v>
      </c>
      <c r="M1462" s="2" t="s">
        <v>91</v>
      </c>
      <c r="N1462" t="s">
        <v>80</v>
      </c>
      <c r="O1462">
        <f>MATCH(Combined[[#This Row],[Primary Area]],KPIs!$C$4:$C$7,0)</f>
        <v>2</v>
      </c>
      <c r="R1462" s="40"/>
      <c r="V1462" s="4"/>
      <c r="X1462"/>
    </row>
    <row r="1463" spans="2:24" x14ac:dyDescent="0.35">
      <c r="B1463">
        <f t="shared" ref="B1463:B1526" si="342">ROW()-2</f>
        <v>1461</v>
      </c>
      <c r="C1463" t="s">
        <v>86</v>
      </c>
      <c r="D1463" t="s">
        <v>176</v>
      </c>
      <c r="E1463">
        <f>IF(WEEKNUM(Combined[[#This Row],[Date]], 1) = 53, 1, WEEKNUM(Combined[[#This Row],[Date]], 2))</f>
        <v>39</v>
      </c>
      <c r="F1463" t="str">
        <f t="shared" si="341"/>
        <v>Wednesday</v>
      </c>
      <c r="G1463" s="41">
        <v>45560</v>
      </c>
      <c r="H1463">
        <v>4</v>
      </c>
      <c r="I1463" s="1">
        <f>21.75+4.75+8.5</f>
        <v>35</v>
      </c>
      <c r="J1463" s="2">
        <v>8.0555555555555561E-2</v>
      </c>
      <c r="K1463" s="12">
        <f>Combined[[#This Row],[Time Spent]]*24</f>
        <v>1.9333333333333336</v>
      </c>
      <c r="L1463" s="12">
        <f>MROUND(Combined[[#This Row],[Time Spent 2]],0.25)</f>
        <v>2</v>
      </c>
      <c r="M1463" s="2" t="s">
        <v>91</v>
      </c>
      <c r="N1463" t="s">
        <v>80</v>
      </c>
      <c r="O1463">
        <f>MATCH(Combined[[#This Row],[Primary Area]],KPIs!$C$4:$C$7,0)</f>
        <v>2</v>
      </c>
      <c r="R1463" s="40"/>
      <c r="V1463" s="4"/>
      <c r="X1463"/>
    </row>
    <row r="1464" spans="2:24" x14ac:dyDescent="0.35">
      <c r="B1464">
        <f t="shared" si="342"/>
        <v>1462</v>
      </c>
      <c r="C1464" t="s">
        <v>83</v>
      </c>
      <c r="D1464" t="s">
        <v>176</v>
      </c>
      <c r="E1464">
        <f>IF(WEEKNUM(Combined[[#This Row],[Date]], 1) = 53, 1, WEEKNUM(Combined[[#This Row],[Date]], 2))</f>
        <v>39</v>
      </c>
      <c r="F1464" t="str">
        <f t="shared" si="341"/>
        <v>Friday</v>
      </c>
      <c r="G1464" s="41">
        <v>45562</v>
      </c>
      <c r="H1464">
        <v>14</v>
      </c>
      <c r="I1464" s="1">
        <v>158.51</v>
      </c>
      <c r="J1464" s="2">
        <v>0.2673611111111111</v>
      </c>
      <c r="K1464" s="12">
        <f>Combined[[#This Row],[Time Spent]]*24</f>
        <v>6.4166666666666661</v>
      </c>
      <c r="L1464" s="12">
        <f>MROUND(Combined[[#This Row],[Time Spent 2]],0.25)</f>
        <v>6.5</v>
      </c>
      <c r="M1464" s="2" t="s">
        <v>91</v>
      </c>
      <c r="N1464" t="s">
        <v>85</v>
      </c>
      <c r="O1464">
        <f>MATCH(Combined[[#This Row],[Primary Area]],KPIs!$C$4:$C$7,0)</f>
        <v>4</v>
      </c>
      <c r="R1464" s="40"/>
      <c r="V1464" s="4"/>
      <c r="X1464"/>
    </row>
    <row r="1465" spans="2:24" x14ac:dyDescent="0.35">
      <c r="B1465">
        <f t="shared" si="342"/>
        <v>1463</v>
      </c>
      <c r="C1465" t="s">
        <v>86</v>
      </c>
      <c r="D1465" t="s">
        <v>175</v>
      </c>
      <c r="E1465">
        <f>IF(WEEKNUM(Combined[[#This Row],[Date]], 1) = 53, 1, WEEKNUM(Combined[[#This Row],[Date]], 2))</f>
        <v>39</v>
      </c>
      <c r="F1465" t="str">
        <f t="shared" si="341"/>
        <v>Friday</v>
      </c>
      <c r="G1465" s="41">
        <v>45562</v>
      </c>
      <c r="H1465">
        <v>1</v>
      </c>
      <c r="I1465" s="1">
        <v>8.39</v>
      </c>
      <c r="J1465" s="2">
        <v>4.1666666666666664E-2</v>
      </c>
      <c r="K1465" s="12">
        <f>Combined[[#This Row],[Time Spent]]*24</f>
        <v>1</v>
      </c>
      <c r="L1465" s="12">
        <f>MROUND(Combined[[#This Row],[Time Spent 2]],0.25)</f>
        <v>1</v>
      </c>
      <c r="M1465" s="2" t="s">
        <v>91</v>
      </c>
      <c r="N1465" t="s">
        <v>85</v>
      </c>
      <c r="O1465">
        <f>MATCH(Combined[[#This Row],[Primary Area]],KPIs!$C$4:$C$7,0)</f>
        <v>4</v>
      </c>
      <c r="R1465" s="40"/>
      <c r="V1465" s="4"/>
      <c r="X1465"/>
    </row>
    <row r="1466" spans="2:24" x14ac:dyDescent="0.35">
      <c r="B1466">
        <f t="shared" si="342"/>
        <v>1464</v>
      </c>
      <c r="C1466" t="s">
        <v>86</v>
      </c>
      <c r="D1466" t="s">
        <v>175</v>
      </c>
      <c r="E1466">
        <f>IF(WEEKNUM(Combined[[#This Row],[Date]], 1) = 53, 1, WEEKNUM(Combined[[#This Row],[Date]], 2))</f>
        <v>39</v>
      </c>
      <c r="F1466" t="str">
        <f t="shared" si="341"/>
        <v>Friday</v>
      </c>
      <c r="G1466" s="41">
        <v>45562</v>
      </c>
      <c r="H1466">
        <v>8</v>
      </c>
      <c r="I1466" s="1">
        <v>70.12</v>
      </c>
      <c r="J1466" s="2">
        <v>0.10138888888888889</v>
      </c>
      <c r="K1466" s="12">
        <f>Combined[[#This Row],[Time Spent]]*24</f>
        <v>2.4333333333333336</v>
      </c>
      <c r="L1466" s="12">
        <f>MROUND(Combined[[#This Row],[Time Spent 2]],0.25)</f>
        <v>2.5</v>
      </c>
      <c r="M1466" s="2" t="s">
        <v>92</v>
      </c>
      <c r="N1466" t="s">
        <v>85</v>
      </c>
      <c r="O1466">
        <f>MATCH(Combined[[#This Row],[Primary Area]],KPIs!$C$4:$C$7,0)</f>
        <v>4</v>
      </c>
      <c r="R1466" s="40"/>
      <c r="V1466" s="4"/>
      <c r="X1466"/>
    </row>
    <row r="1467" spans="2:24" x14ac:dyDescent="0.35">
      <c r="B1467">
        <f t="shared" si="342"/>
        <v>1465</v>
      </c>
      <c r="C1467" t="s">
        <v>83</v>
      </c>
      <c r="D1467" t="s">
        <v>176</v>
      </c>
      <c r="E1467">
        <f>IF(WEEKNUM(Combined[[#This Row],[Date]], 1) = 53, 1, WEEKNUM(Combined[[#This Row],[Date]], 2))</f>
        <v>40</v>
      </c>
      <c r="F1467" t="str">
        <f t="shared" ref="F1467:F1474" si="343">TEXT(WEEKDAY(G1467,1),"DDDD")</f>
        <v>Monday</v>
      </c>
      <c r="G1467" s="41">
        <v>45565</v>
      </c>
      <c r="H1467">
        <v>6</v>
      </c>
      <c r="I1467" s="1">
        <v>52.73</v>
      </c>
      <c r="J1467" s="2">
        <v>0.13958333333333334</v>
      </c>
      <c r="K1467" s="12">
        <f>Combined[[#This Row],[Time Spent]]*24</f>
        <v>3.35</v>
      </c>
      <c r="L1467" s="12">
        <f>MROUND(Combined[[#This Row],[Time Spent 2]],0.25)</f>
        <v>3.25</v>
      </c>
      <c r="M1467" s="2" t="s">
        <v>91</v>
      </c>
      <c r="N1467" t="s">
        <v>85</v>
      </c>
      <c r="O1467">
        <f>MATCH(Combined[[#This Row],[Primary Area]],KPIs!$C$4:$C$7,0)</f>
        <v>4</v>
      </c>
      <c r="R1467" s="40"/>
      <c r="V1467" s="4"/>
      <c r="X1467"/>
    </row>
    <row r="1468" spans="2:24" x14ac:dyDescent="0.35">
      <c r="B1468">
        <f t="shared" si="342"/>
        <v>1466</v>
      </c>
      <c r="C1468" t="s">
        <v>86</v>
      </c>
      <c r="D1468" t="s">
        <v>175</v>
      </c>
      <c r="E1468">
        <f>IF(WEEKNUM(Combined[[#This Row],[Date]], 1) = 53, 1, WEEKNUM(Combined[[#This Row],[Date]], 2))</f>
        <v>40</v>
      </c>
      <c r="F1468" t="str">
        <f t="shared" si="343"/>
        <v>Monday</v>
      </c>
      <c r="G1468" s="41">
        <v>45565</v>
      </c>
      <c r="H1468">
        <v>6</v>
      </c>
      <c r="I1468" s="1">
        <v>45.37</v>
      </c>
      <c r="J1468" s="2">
        <v>0.11597222222222223</v>
      </c>
      <c r="K1468" s="12">
        <f>Combined[[#This Row],[Time Spent]]*24</f>
        <v>2.7833333333333332</v>
      </c>
      <c r="L1468" s="12">
        <f>MROUND(Combined[[#This Row],[Time Spent 2]],0.25)</f>
        <v>2.75</v>
      </c>
      <c r="M1468" s="2" t="s">
        <v>91</v>
      </c>
      <c r="N1468" t="s">
        <v>85</v>
      </c>
      <c r="O1468">
        <f>MATCH(Combined[[#This Row],[Primary Area]],KPIs!$C$4:$C$7,0)</f>
        <v>4</v>
      </c>
      <c r="R1468" s="40"/>
      <c r="V1468" s="4"/>
      <c r="X1468"/>
    </row>
    <row r="1469" spans="2:24" x14ac:dyDescent="0.35">
      <c r="B1469">
        <f t="shared" si="342"/>
        <v>1467</v>
      </c>
      <c r="C1469" t="s">
        <v>83</v>
      </c>
      <c r="D1469" t="s">
        <v>176</v>
      </c>
      <c r="E1469">
        <f>IF(WEEKNUM(Combined[[#This Row],[Date]], 1) = 53, 1, WEEKNUM(Combined[[#This Row],[Date]], 2))</f>
        <v>40</v>
      </c>
      <c r="F1469" t="str">
        <f t="shared" si="343"/>
        <v>Tuesday</v>
      </c>
      <c r="G1469" s="41">
        <v>45566</v>
      </c>
      <c r="H1469">
        <v>3</v>
      </c>
      <c r="I1469" s="1">
        <v>34.5</v>
      </c>
      <c r="J1469" s="2">
        <v>0.12430555555555556</v>
      </c>
      <c r="K1469" s="12">
        <f>Combined[[#This Row],[Time Spent]]*24</f>
        <v>2.9833333333333334</v>
      </c>
      <c r="L1469" s="12">
        <f>MROUND(Combined[[#This Row],[Time Spent 2]],0.25)</f>
        <v>3</v>
      </c>
      <c r="M1469" s="2" t="s">
        <v>91</v>
      </c>
      <c r="N1469" t="s">
        <v>174</v>
      </c>
      <c r="O1469">
        <f>MATCH(Combined[[#This Row],[Primary Area]],KPIs!$C$4:$C$7,0)</f>
        <v>1</v>
      </c>
      <c r="R1469" s="40"/>
      <c r="V1469" s="4"/>
      <c r="X1469"/>
    </row>
    <row r="1470" spans="2:24" x14ac:dyDescent="0.35">
      <c r="B1470">
        <f t="shared" si="342"/>
        <v>1468</v>
      </c>
      <c r="C1470" t="s">
        <v>86</v>
      </c>
      <c r="D1470" t="s">
        <v>176</v>
      </c>
      <c r="E1470">
        <f>IF(WEEKNUM(Combined[[#This Row],[Date]], 1) = 53, 1, WEEKNUM(Combined[[#This Row],[Date]], 2))</f>
        <v>40</v>
      </c>
      <c r="F1470" t="str">
        <f t="shared" si="343"/>
        <v>Tuesday</v>
      </c>
      <c r="G1470" s="41">
        <v>45566</v>
      </c>
      <c r="H1470">
        <v>2</v>
      </c>
      <c r="I1470" s="1">
        <v>13.81</v>
      </c>
      <c r="J1470" s="2">
        <v>6.3888888888888884E-2</v>
      </c>
      <c r="K1470" s="12">
        <f>Combined[[#This Row],[Time Spent]]*24</f>
        <v>1.5333333333333332</v>
      </c>
      <c r="L1470" s="12">
        <f>MROUND(Combined[[#This Row],[Time Spent 2]],0.25)</f>
        <v>1.5</v>
      </c>
      <c r="M1470" s="2" t="s">
        <v>91</v>
      </c>
      <c r="N1470" t="s">
        <v>174</v>
      </c>
      <c r="O1470">
        <f>MATCH(Combined[[#This Row],[Primary Area]],KPIs!$C$4:$C$7,0)</f>
        <v>1</v>
      </c>
      <c r="R1470" s="40"/>
      <c r="V1470" s="4"/>
      <c r="X1470"/>
    </row>
    <row r="1471" spans="2:24" x14ac:dyDescent="0.35">
      <c r="B1471">
        <f t="shared" si="342"/>
        <v>1469</v>
      </c>
      <c r="C1471" t="s">
        <v>86</v>
      </c>
      <c r="D1471" t="s">
        <v>175</v>
      </c>
      <c r="E1471">
        <f>IF(WEEKNUM(Combined[[#This Row],[Date]], 1) = 53, 1, WEEKNUM(Combined[[#This Row],[Date]], 2))</f>
        <v>40</v>
      </c>
      <c r="F1471" t="str">
        <f t="shared" si="343"/>
        <v>Tuesday</v>
      </c>
      <c r="G1471" s="41">
        <v>45566</v>
      </c>
      <c r="H1471">
        <v>1</v>
      </c>
      <c r="I1471" s="1">
        <v>10.28</v>
      </c>
      <c r="J1471" s="2">
        <v>5.7638888888888892E-2</v>
      </c>
      <c r="K1471" s="12">
        <f>Combined[[#This Row],[Time Spent]]*24</f>
        <v>1.3833333333333333</v>
      </c>
      <c r="L1471" s="12">
        <f>MROUND(Combined[[#This Row],[Time Spent 2]],0.25)</f>
        <v>1.5</v>
      </c>
      <c r="M1471" s="2" t="s">
        <v>91</v>
      </c>
      <c r="N1471" t="s">
        <v>174</v>
      </c>
      <c r="O1471">
        <f>MATCH(Combined[[#This Row],[Primary Area]],KPIs!$C$4:$C$7,0)</f>
        <v>1</v>
      </c>
      <c r="R1471" s="40"/>
      <c r="V1471" s="4"/>
      <c r="X1471"/>
    </row>
    <row r="1472" spans="2:24" x14ac:dyDescent="0.35">
      <c r="B1472">
        <f t="shared" si="342"/>
        <v>1470</v>
      </c>
      <c r="C1472" t="s">
        <v>83</v>
      </c>
      <c r="D1472" t="s">
        <v>176</v>
      </c>
      <c r="E1472">
        <f>IF(WEEKNUM(Combined[[#This Row],[Date]], 1) = 53, 1, WEEKNUM(Combined[[#This Row],[Date]], 2))</f>
        <v>40</v>
      </c>
      <c r="F1472" t="str">
        <f t="shared" si="343"/>
        <v>Saturday</v>
      </c>
      <c r="G1472" s="41">
        <v>45570</v>
      </c>
      <c r="H1472">
        <v>9</v>
      </c>
      <c r="I1472" s="1">
        <v>99.28</v>
      </c>
      <c r="J1472" s="2">
        <v>0.20208333333333334</v>
      </c>
      <c r="K1472" s="12">
        <f>Combined[[#This Row],[Time Spent]]*24</f>
        <v>4.8499999999999996</v>
      </c>
      <c r="L1472" s="12">
        <f>MROUND(Combined[[#This Row],[Time Spent 2]],0.25)</f>
        <v>4.75</v>
      </c>
      <c r="M1472" s="2" t="s">
        <v>91</v>
      </c>
      <c r="N1472" t="s">
        <v>85</v>
      </c>
      <c r="O1472">
        <f>MATCH(Combined[[#This Row],[Primary Area]],KPIs!$C$4:$C$7,0)</f>
        <v>4</v>
      </c>
      <c r="R1472" s="40"/>
      <c r="V1472" s="4"/>
      <c r="X1472"/>
    </row>
    <row r="1473" spans="2:24" x14ac:dyDescent="0.35">
      <c r="B1473">
        <f t="shared" si="342"/>
        <v>1471</v>
      </c>
      <c r="C1473" t="s">
        <v>86</v>
      </c>
      <c r="D1473" t="s">
        <v>175</v>
      </c>
      <c r="E1473">
        <f>IF(WEEKNUM(Combined[[#This Row],[Date]], 1) = 53, 1, WEEKNUM(Combined[[#This Row],[Date]], 2))</f>
        <v>40</v>
      </c>
      <c r="F1473" t="str">
        <f t="shared" si="343"/>
        <v>Saturday</v>
      </c>
      <c r="G1473" s="41">
        <v>45570</v>
      </c>
      <c r="H1473">
        <v>2</v>
      </c>
      <c r="I1473" s="1">
        <v>23.04</v>
      </c>
      <c r="J1473" s="2">
        <v>8.819444444444445E-2</v>
      </c>
      <c r="K1473" s="12">
        <f>Combined[[#This Row],[Time Spent]]*24</f>
        <v>2.1166666666666667</v>
      </c>
      <c r="L1473" s="12">
        <f>MROUND(Combined[[#This Row],[Time Spent 2]],0.25)</f>
        <v>2</v>
      </c>
      <c r="M1473" s="2" t="s">
        <v>91</v>
      </c>
      <c r="N1473" t="s">
        <v>85</v>
      </c>
      <c r="O1473">
        <f>MATCH(Combined[[#This Row],[Primary Area]],KPIs!$C$4:$C$7,0)</f>
        <v>4</v>
      </c>
      <c r="R1473" s="40"/>
      <c r="V1473" s="4"/>
      <c r="X1473"/>
    </row>
    <row r="1474" spans="2:24" x14ac:dyDescent="0.35">
      <c r="B1474">
        <f t="shared" si="342"/>
        <v>1472</v>
      </c>
      <c r="C1474" t="s">
        <v>86</v>
      </c>
      <c r="D1474" t="s">
        <v>175</v>
      </c>
      <c r="E1474">
        <f>IF(WEEKNUM(Combined[[#This Row],[Date]], 1) = 53, 1, WEEKNUM(Combined[[#This Row],[Date]], 2))</f>
        <v>40</v>
      </c>
      <c r="F1474" t="str">
        <f t="shared" si="343"/>
        <v>Saturday</v>
      </c>
      <c r="G1474" s="41">
        <v>45570</v>
      </c>
      <c r="H1474">
        <v>4</v>
      </c>
      <c r="I1474" s="1">
        <v>22.22</v>
      </c>
      <c r="J1474" s="2">
        <v>8.4027777777777785E-2</v>
      </c>
      <c r="K1474" s="12">
        <f>Combined[[#This Row],[Time Spent]]*24</f>
        <v>2.0166666666666666</v>
      </c>
      <c r="L1474" s="12">
        <f>MROUND(Combined[[#This Row],[Time Spent 2]],0.25)</f>
        <v>2</v>
      </c>
      <c r="M1474" s="2" t="s">
        <v>92</v>
      </c>
      <c r="N1474" t="s">
        <v>85</v>
      </c>
      <c r="O1474">
        <f>MATCH(Combined[[#This Row],[Primary Area]],KPIs!$C$4:$C$7,0)</f>
        <v>4</v>
      </c>
      <c r="R1474" s="40"/>
      <c r="V1474" s="4"/>
      <c r="X1474"/>
    </row>
    <row r="1475" spans="2:24" x14ac:dyDescent="0.35">
      <c r="B1475">
        <f t="shared" si="342"/>
        <v>1473</v>
      </c>
      <c r="C1475" t="s">
        <v>83</v>
      </c>
      <c r="D1475" t="s">
        <v>176</v>
      </c>
      <c r="E1475">
        <f>IF(WEEKNUM(Combined[[#This Row],[Date]], 1) = 53, 1, WEEKNUM(Combined[[#This Row],[Date]], 2))</f>
        <v>40</v>
      </c>
      <c r="F1475" t="str">
        <f t="shared" ref="F1475:F1477" si="344">TEXT(WEEKDAY(G1475,1),"DDDD")</f>
        <v>Sunday</v>
      </c>
      <c r="G1475" s="41">
        <v>45571</v>
      </c>
      <c r="H1475">
        <v>5</v>
      </c>
      <c r="I1475" s="1">
        <v>85.53</v>
      </c>
      <c r="J1475" s="2">
        <v>0.14930555555555555</v>
      </c>
      <c r="K1475" s="12">
        <f>Combined[[#This Row],[Time Spent]]*24</f>
        <v>3.583333333333333</v>
      </c>
      <c r="L1475" s="12">
        <f>MROUND(Combined[[#This Row],[Time Spent 2]],0.25)</f>
        <v>3.5</v>
      </c>
      <c r="M1475" s="2" t="s">
        <v>91</v>
      </c>
      <c r="N1475" t="s">
        <v>80</v>
      </c>
      <c r="O1475">
        <f>MATCH(Combined[[#This Row],[Primary Area]],KPIs!$C$4:$C$7,0)</f>
        <v>2</v>
      </c>
      <c r="R1475" s="40"/>
      <c r="V1475" s="4"/>
      <c r="X1475"/>
    </row>
    <row r="1476" spans="2:24" x14ac:dyDescent="0.35">
      <c r="B1476">
        <f t="shared" si="342"/>
        <v>1474</v>
      </c>
      <c r="C1476" t="s">
        <v>86</v>
      </c>
      <c r="D1476" t="s">
        <v>176</v>
      </c>
      <c r="E1476">
        <f>IF(WEEKNUM(Combined[[#This Row],[Date]], 1) = 53, 1, WEEKNUM(Combined[[#This Row],[Date]], 2))</f>
        <v>40</v>
      </c>
      <c r="F1476" t="str">
        <f t="shared" si="344"/>
        <v>Sunday</v>
      </c>
      <c r="G1476" s="41">
        <v>45571</v>
      </c>
      <c r="H1476">
        <v>3</v>
      </c>
      <c r="I1476" s="1">
        <v>44.6</v>
      </c>
      <c r="J1476" s="2">
        <v>0.14722222222222223</v>
      </c>
      <c r="K1476" s="12">
        <f>Combined[[#This Row],[Time Spent]]*24</f>
        <v>3.5333333333333332</v>
      </c>
      <c r="L1476" s="12">
        <f>MROUND(Combined[[#This Row],[Time Spent 2]],0.25)</f>
        <v>3.5</v>
      </c>
      <c r="M1476" s="2" t="s">
        <v>91</v>
      </c>
      <c r="N1476" t="s">
        <v>80</v>
      </c>
      <c r="O1476">
        <f>MATCH(Combined[[#This Row],[Primary Area]],KPIs!$C$4:$C$7,0)</f>
        <v>2</v>
      </c>
      <c r="R1476" s="40"/>
      <c r="V1476" s="4"/>
      <c r="X1476"/>
    </row>
    <row r="1477" spans="2:24" x14ac:dyDescent="0.35">
      <c r="B1477">
        <f t="shared" si="342"/>
        <v>1475</v>
      </c>
      <c r="C1477" t="s">
        <v>86</v>
      </c>
      <c r="D1477" t="s">
        <v>175</v>
      </c>
      <c r="E1477">
        <f>IF(WEEKNUM(Combined[[#This Row],[Date]], 1) = 53, 1, WEEKNUM(Combined[[#This Row],[Date]], 2))</f>
        <v>40</v>
      </c>
      <c r="F1477" t="str">
        <f t="shared" si="344"/>
        <v>Sunday</v>
      </c>
      <c r="G1477" s="41">
        <v>45571</v>
      </c>
      <c r="H1477">
        <v>2</v>
      </c>
      <c r="I1477" s="1">
        <v>19.170000000000002</v>
      </c>
      <c r="J1477" s="2">
        <v>4.791666666666667E-2</v>
      </c>
      <c r="K1477" s="12">
        <f>Combined[[#This Row],[Time Spent]]*24</f>
        <v>1.1500000000000001</v>
      </c>
      <c r="L1477" s="12">
        <f>MROUND(Combined[[#This Row],[Time Spent 2]],0.25)</f>
        <v>1.25</v>
      </c>
      <c r="M1477" s="2" t="s">
        <v>91</v>
      </c>
      <c r="N1477" t="s">
        <v>80</v>
      </c>
      <c r="O1477">
        <f>MATCH(Combined[[#This Row],[Primary Area]],KPIs!$C$4:$C$7,0)</f>
        <v>2</v>
      </c>
      <c r="R1477" s="40"/>
      <c r="V1477" s="4"/>
      <c r="X1477"/>
    </row>
    <row r="1478" spans="2:24" x14ac:dyDescent="0.35">
      <c r="B1478">
        <f t="shared" si="342"/>
        <v>1476</v>
      </c>
      <c r="C1478" t="s">
        <v>83</v>
      </c>
      <c r="D1478" t="s">
        <v>176</v>
      </c>
      <c r="E1478">
        <f>IF(WEEKNUM(Combined[[#This Row],[Date]], 1) = 53, 1, WEEKNUM(Combined[[#This Row],[Date]], 2))</f>
        <v>41</v>
      </c>
      <c r="F1478" t="str">
        <f t="shared" ref="F1478:F1485" si="345">TEXT(WEEKDAY(G1478,1),"DDDD")</f>
        <v>Monday</v>
      </c>
      <c r="G1478" s="41">
        <v>45572</v>
      </c>
      <c r="H1478">
        <v>5</v>
      </c>
      <c r="I1478" s="1">
        <v>71.87</v>
      </c>
      <c r="J1478" s="2">
        <v>0.12708333333333333</v>
      </c>
      <c r="K1478" s="12">
        <f>Combined[[#This Row],[Time Spent]]*24</f>
        <v>3.05</v>
      </c>
      <c r="L1478" s="12">
        <f>MROUND(Combined[[#This Row],[Time Spent 2]],0.25)</f>
        <v>3</v>
      </c>
      <c r="M1478" s="2" t="s">
        <v>91</v>
      </c>
      <c r="N1478" t="s">
        <v>80</v>
      </c>
      <c r="O1478">
        <f>MATCH(Combined[[#This Row],[Primary Area]],KPIs!$C$4:$C$7,0)</f>
        <v>2</v>
      </c>
      <c r="R1478" s="40"/>
      <c r="V1478" s="4"/>
      <c r="X1478"/>
    </row>
    <row r="1479" spans="2:24" x14ac:dyDescent="0.35">
      <c r="B1479">
        <f t="shared" si="342"/>
        <v>1477</v>
      </c>
      <c r="C1479" t="s">
        <v>86</v>
      </c>
      <c r="D1479" t="s">
        <v>176</v>
      </c>
      <c r="E1479">
        <f>IF(WEEKNUM(Combined[[#This Row],[Date]], 1) = 53, 1, WEEKNUM(Combined[[#This Row],[Date]], 2))</f>
        <v>41</v>
      </c>
      <c r="F1479" t="str">
        <f t="shared" si="345"/>
        <v>Monday</v>
      </c>
      <c r="G1479" s="41">
        <v>45572</v>
      </c>
      <c r="H1479">
        <v>7</v>
      </c>
      <c r="I1479" s="1">
        <v>73.09</v>
      </c>
      <c r="J1479" s="2">
        <v>0.17708333333333334</v>
      </c>
      <c r="K1479" s="12">
        <f>Combined[[#This Row],[Time Spent]]*24</f>
        <v>4.25</v>
      </c>
      <c r="L1479" s="12">
        <f>MROUND(Combined[[#This Row],[Time Spent 2]],0.25)</f>
        <v>4.25</v>
      </c>
      <c r="M1479" s="2" t="s">
        <v>91</v>
      </c>
      <c r="N1479" t="s">
        <v>80</v>
      </c>
      <c r="O1479">
        <f>MATCH(Combined[[#This Row],[Primary Area]],KPIs!$C$4:$C$7,0)</f>
        <v>2</v>
      </c>
      <c r="R1479" s="40"/>
      <c r="V1479" s="4"/>
      <c r="X1479"/>
    </row>
    <row r="1480" spans="2:24" x14ac:dyDescent="0.35">
      <c r="B1480">
        <f t="shared" si="342"/>
        <v>1478</v>
      </c>
      <c r="C1480" t="s">
        <v>86</v>
      </c>
      <c r="D1480" t="s">
        <v>176</v>
      </c>
      <c r="E1480">
        <f>IF(WEEKNUM(Combined[[#This Row],[Date]], 1) = 53, 1, WEEKNUM(Combined[[#This Row],[Date]], 2))</f>
        <v>41</v>
      </c>
      <c r="F1480" t="str">
        <f t="shared" si="345"/>
        <v>Monday</v>
      </c>
      <c r="G1480" s="41">
        <v>45572</v>
      </c>
      <c r="H1480">
        <v>2</v>
      </c>
      <c r="I1480" s="1">
        <f>8.25+6.37</f>
        <v>14.620000000000001</v>
      </c>
      <c r="J1480" s="2">
        <v>4.2361111111111113E-2</v>
      </c>
      <c r="K1480" s="12">
        <f>Combined[[#This Row],[Time Spent]]*24</f>
        <v>1.0166666666666666</v>
      </c>
      <c r="L1480" s="12">
        <f>MROUND(Combined[[#This Row],[Time Spent 2]],0.25)</f>
        <v>1</v>
      </c>
      <c r="M1480" s="2" t="s">
        <v>92</v>
      </c>
      <c r="N1480" t="s">
        <v>80</v>
      </c>
      <c r="O1480">
        <f>MATCH(Combined[[#This Row],[Primary Area]],KPIs!$C$4:$C$7,0)</f>
        <v>2</v>
      </c>
      <c r="R1480" s="40"/>
      <c r="V1480" s="4"/>
      <c r="X1480"/>
    </row>
    <row r="1481" spans="2:24" x14ac:dyDescent="0.35">
      <c r="B1481">
        <f t="shared" si="342"/>
        <v>1479</v>
      </c>
      <c r="C1481" t="s">
        <v>83</v>
      </c>
      <c r="D1481" t="s">
        <v>176</v>
      </c>
      <c r="E1481">
        <f>IF(WEEKNUM(Combined[[#This Row],[Date]], 1) = 53, 1, WEEKNUM(Combined[[#This Row],[Date]], 2))</f>
        <v>41</v>
      </c>
      <c r="F1481" t="str">
        <f t="shared" si="345"/>
        <v>Saturday</v>
      </c>
      <c r="G1481" s="41">
        <v>45577</v>
      </c>
      <c r="H1481">
        <v>2</v>
      </c>
      <c r="I1481" s="1">
        <v>22.61</v>
      </c>
      <c r="J1481" s="2">
        <v>6.805555555555555E-2</v>
      </c>
      <c r="K1481" s="12">
        <f>Combined[[#This Row],[Time Spent]]*24</f>
        <v>1.6333333333333333</v>
      </c>
      <c r="L1481" s="12">
        <f>MROUND(Combined[[#This Row],[Time Spent 2]],0.25)</f>
        <v>1.75</v>
      </c>
      <c r="M1481" s="2" t="s">
        <v>90</v>
      </c>
      <c r="N1481" t="s">
        <v>85</v>
      </c>
      <c r="O1481">
        <f>MATCH(Combined[[#This Row],[Primary Area]],KPIs!$C$4:$C$7,0)</f>
        <v>4</v>
      </c>
      <c r="R1481" s="40"/>
      <c r="V1481" s="4"/>
      <c r="X1481"/>
    </row>
    <row r="1482" spans="2:24" x14ac:dyDescent="0.35">
      <c r="B1482">
        <f t="shared" si="342"/>
        <v>1480</v>
      </c>
      <c r="C1482" t="s">
        <v>86</v>
      </c>
      <c r="D1482" t="s">
        <v>176</v>
      </c>
      <c r="E1482">
        <f>IF(WEEKNUM(Combined[[#This Row],[Date]], 1) = 53, 1, WEEKNUM(Combined[[#This Row],[Date]], 2))</f>
        <v>41</v>
      </c>
      <c r="F1482" t="str">
        <f t="shared" si="345"/>
        <v>Saturday</v>
      </c>
      <c r="G1482" s="41">
        <v>45577</v>
      </c>
      <c r="H1482">
        <v>4</v>
      </c>
      <c r="I1482" s="1">
        <v>93.59</v>
      </c>
      <c r="J1482" s="2">
        <v>0.10972222222222222</v>
      </c>
      <c r="K1482" s="12">
        <f>Combined[[#This Row],[Time Spent]]*24</f>
        <v>2.6333333333333333</v>
      </c>
      <c r="L1482" s="12">
        <f>MROUND(Combined[[#This Row],[Time Spent 2]],0.25)</f>
        <v>2.75</v>
      </c>
      <c r="M1482" s="2" t="s">
        <v>90</v>
      </c>
      <c r="N1482" t="s">
        <v>85</v>
      </c>
      <c r="O1482">
        <f>MATCH(Combined[[#This Row],[Primary Area]],KPIs!$C$4:$C$7,0)</f>
        <v>4</v>
      </c>
      <c r="R1482" s="40"/>
      <c r="V1482" s="4"/>
      <c r="X1482"/>
    </row>
    <row r="1483" spans="2:24" x14ac:dyDescent="0.35">
      <c r="B1483">
        <f t="shared" si="342"/>
        <v>1481</v>
      </c>
      <c r="C1483" t="s">
        <v>83</v>
      </c>
      <c r="D1483" t="s">
        <v>176</v>
      </c>
      <c r="E1483">
        <f>IF(WEEKNUM(Combined[[#This Row],[Date]], 1) = 53, 1, WEEKNUM(Combined[[#This Row],[Date]], 2))</f>
        <v>42</v>
      </c>
      <c r="F1483" t="str">
        <f t="shared" si="345"/>
        <v>Monday</v>
      </c>
      <c r="G1483" s="41">
        <v>45579</v>
      </c>
      <c r="H1483">
        <v>1</v>
      </c>
      <c r="I1483" s="1">
        <v>43.05</v>
      </c>
      <c r="J1483" s="2">
        <v>5.9027777777777776E-2</v>
      </c>
      <c r="K1483" s="12">
        <f>Combined[[#This Row],[Time Spent]]*24</f>
        <v>1.4166666666666665</v>
      </c>
      <c r="L1483" s="12">
        <f>MROUND(Combined[[#This Row],[Time Spent 2]],0.25)</f>
        <v>1.5</v>
      </c>
      <c r="M1483" s="2" t="s">
        <v>91</v>
      </c>
      <c r="N1483" t="s">
        <v>80</v>
      </c>
      <c r="O1483">
        <f>MATCH(Combined[[#This Row],[Primary Area]],KPIs!$C$4:$C$7,0)</f>
        <v>2</v>
      </c>
      <c r="R1483" s="40"/>
      <c r="V1483" s="4"/>
      <c r="X1483"/>
    </row>
    <row r="1484" spans="2:24" x14ac:dyDescent="0.35">
      <c r="B1484">
        <f t="shared" si="342"/>
        <v>1482</v>
      </c>
      <c r="C1484" t="s">
        <v>86</v>
      </c>
      <c r="D1484" t="s">
        <v>176</v>
      </c>
      <c r="E1484">
        <f>IF(WEEKNUM(Combined[[#This Row],[Date]], 1) = 53, 1, WEEKNUM(Combined[[#This Row],[Date]], 2))</f>
        <v>42</v>
      </c>
      <c r="F1484" t="str">
        <f t="shared" si="345"/>
        <v>Monday</v>
      </c>
      <c r="G1484" s="41">
        <v>45579</v>
      </c>
      <c r="H1484">
        <v>8</v>
      </c>
      <c r="I1484" s="1">
        <v>67.650000000000006</v>
      </c>
      <c r="J1484" s="2">
        <v>0.13402777777777777</v>
      </c>
      <c r="K1484" s="12">
        <f>Combined[[#This Row],[Time Spent]]*24</f>
        <v>3.2166666666666668</v>
      </c>
      <c r="L1484" s="12">
        <f>MROUND(Combined[[#This Row],[Time Spent 2]],0.25)</f>
        <v>3.25</v>
      </c>
      <c r="M1484" s="2" t="s">
        <v>91</v>
      </c>
      <c r="N1484" t="s">
        <v>80</v>
      </c>
      <c r="O1484">
        <f>MATCH(Combined[[#This Row],[Primary Area]],KPIs!$C$4:$C$7,0)</f>
        <v>2</v>
      </c>
      <c r="R1484" s="40"/>
      <c r="V1484" s="4"/>
      <c r="X1484"/>
    </row>
    <row r="1485" spans="2:24" x14ac:dyDescent="0.35">
      <c r="B1485">
        <f t="shared" si="342"/>
        <v>1483</v>
      </c>
      <c r="C1485" t="s">
        <v>86</v>
      </c>
      <c r="D1485" t="s">
        <v>176</v>
      </c>
      <c r="E1485">
        <f>IF(WEEKNUM(Combined[[#This Row],[Date]], 1) = 53, 1, WEEKNUM(Combined[[#This Row],[Date]], 2))</f>
        <v>42</v>
      </c>
      <c r="F1485" t="str">
        <f t="shared" si="345"/>
        <v>Monday</v>
      </c>
      <c r="G1485" s="41">
        <v>45579</v>
      </c>
      <c r="H1485">
        <v>1</v>
      </c>
      <c r="I1485" s="1">
        <v>6</v>
      </c>
      <c r="J1485" s="2">
        <v>2.361111111111111E-2</v>
      </c>
      <c r="K1485" s="12">
        <f>Combined[[#This Row],[Time Spent]]*24</f>
        <v>0.56666666666666665</v>
      </c>
      <c r="L1485" s="12">
        <f>MROUND(Combined[[#This Row],[Time Spent 2]],0.25)</f>
        <v>0.5</v>
      </c>
      <c r="M1485" s="2" t="s">
        <v>92</v>
      </c>
      <c r="N1485" t="s">
        <v>80</v>
      </c>
      <c r="O1485">
        <f>MATCH(Combined[[#This Row],[Primary Area]],KPIs!$C$4:$C$7,0)</f>
        <v>2</v>
      </c>
      <c r="R1485" s="40"/>
      <c r="V1485" s="4"/>
      <c r="X1485"/>
    </row>
    <row r="1486" spans="2:24" x14ac:dyDescent="0.35">
      <c r="B1486">
        <f t="shared" si="342"/>
        <v>1484</v>
      </c>
      <c r="C1486" t="s">
        <v>83</v>
      </c>
      <c r="D1486" t="s">
        <v>176</v>
      </c>
      <c r="E1486">
        <f>IF(WEEKNUM(Combined[[#This Row],[Date]], 1) = 53, 1, WEEKNUM(Combined[[#This Row],[Date]], 2))</f>
        <v>42</v>
      </c>
      <c r="F1486" t="str">
        <f t="shared" ref="F1486:F1490" si="346">TEXT(WEEKDAY(G1486,1),"DDDD")</f>
        <v>Wednesday</v>
      </c>
      <c r="G1486" s="41">
        <v>45581</v>
      </c>
      <c r="H1486">
        <v>5</v>
      </c>
      <c r="I1486" s="1">
        <v>35.46</v>
      </c>
      <c r="J1486" s="2">
        <v>0.10277777777777777</v>
      </c>
      <c r="K1486" s="12">
        <f>Combined[[#This Row],[Time Spent]]*24</f>
        <v>2.4666666666666668</v>
      </c>
      <c r="L1486" s="12">
        <f>MROUND(Combined[[#This Row],[Time Spent 2]],0.25)</f>
        <v>2.5</v>
      </c>
      <c r="M1486" s="2" t="s">
        <v>91</v>
      </c>
      <c r="N1486" t="s">
        <v>82</v>
      </c>
      <c r="O1486">
        <f>MATCH(Combined[[#This Row],[Primary Area]],KPIs!$C$4:$C$7,0)</f>
        <v>3</v>
      </c>
      <c r="R1486" s="40"/>
      <c r="V1486" s="4"/>
      <c r="X1486"/>
    </row>
    <row r="1487" spans="2:24" x14ac:dyDescent="0.35">
      <c r="B1487">
        <f t="shared" si="342"/>
        <v>1485</v>
      </c>
      <c r="C1487" t="s">
        <v>86</v>
      </c>
      <c r="D1487" t="s">
        <v>175</v>
      </c>
      <c r="E1487">
        <f>IF(WEEKNUM(Combined[[#This Row],[Date]], 1) = 53, 1, WEEKNUM(Combined[[#This Row],[Date]], 2))</f>
        <v>42</v>
      </c>
      <c r="F1487" t="str">
        <f t="shared" si="346"/>
        <v>Wednesday</v>
      </c>
      <c r="G1487" s="41">
        <v>45581</v>
      </c>
      <c r="H1487">
        <v>2</v>
      </c>
      <c r="I1487" s="1">
        <v>23.73</v>
      </c>
      <c r="J1487" s="2">
        <v>4.3055555555555555E-2</v>
      </c>
      <c r="K1487" s="12">
        <f>Combined[[#This Row],[Time Spent]]*24</f>
        <v>1.0333333333333332</v>
      </c>
      <c r="L1487" s="12">
        <f>MROUND(Combined[[#This Row],[Time Spent 2]],0.25)</f>
        <v>1</v>
      </c>
      <c r="M1487" s="2" t="s">
        <v>91</v>
      </c>
      <c r="N1487" t="s">
        <v>82</v>
      </c>
      <c r="O1487">
        <f>MATCH(Combined[[#This Row],[Primary Area]],KPIs!$C$4:$C$7,0)</f>
        <v>3</v>
      </c>
      <c r="R1487" s="40"/>
      <c r="V1487" s="4"/>
      <c r="X1487"/>
    </row>
    <row r="1488" spans="2:24" x14ac:dyDescent="0.35">
      <c r="B1488">
        <f t="shared" si="342"/>
        <v>1486</v>
      </c>
      <c r="C1488" t="s">
        <v>83</v>
      </c>
      <c r="D1488" t="s">
        <v>176</v>
      </c>
      <c r="E1488">
        <f>IF(WEEKNUM(Combined[[#This Row],[Date]], 1) = 53, 1, WEEKNUM(Combined[[#This Row],[Date]], 2))</f>
        <v>42</v>
      </c>
      <c r="F1488" t="str">
        <f t="shared" si="346"/>
        <v>Thursday</v>
      </c>
      <c r="G1488" s="41">
        <v>45582</v>
      </c>
      <c r="H1488">
        <v>1</v>
      </c>
      <c r="I1488" s="1">
        <v>13.05</v>
      </c>
      <c r="J1488" s="2">
        <v>7.9166666666666663E-2</v>
      </c>
      <c r="K1488" s="12">
        <f>Combined[[#This Row],[Time Spent]]*24</f>
        <v>1.9</v>
      </c>
      <c r="L1488" s="12">
        <f>MROUND(Combined[[#This Row],[Time Spent 2]],0.25)</f>
        <v>2</v>
      </c>
      <c r="M1488" s="2" t="s">
        <v>91</v>
      </c>
      <c r="N1488" t="s">
        <v>82</v>
      </c>
      <c r="O1488">
        <f>MATCH(Combined[[#This Row],[Primary Area]],KPIs!$C$4:$C$7,0)</f>
        <v>3</v>
      </c>
      <c r="R1488" s="40"/>
      <c r="V1488" s="4"/>
      <c r="X1488"/>
    </row>
    <row r="1489" spans="2:24" x14ac:dyDescent="0.35">
      <c r="B1489">
        <f t="shared" si="342"/>
        <v>1487</v>
      </c>
      <c r="C1489" t="s">
        <v>86</v>
      </c>
      <c r="D1489" t="s">
        <v>175</v>
      </c>
      <c r="E1489">
        <f>IF(WEEKNUM(Combined[[#This Row],[Date]], 1) = 53, 1, WEEKNUM(Combined[[#This Row],[Date]], 2))</f>
        <v>42</v>
      </c>
      <c r="F1489" t="str">
        <f t="shared" si="346"/>
        <v>Thursday</v>
      </c>
      <c r="G1489" s="41">
        <v>45582</v>
      </c>
      <c r="H1489">
        <v>2</v>
      </c>
      <c r="I1489" s="1">
        <v>13.27</v>
      </c>
      <c r="J1489" s="2">
        <v>4.791666666666667E-2</v>
      </c>
      <c r="K1489" s="12">
        <f>Combined[[#This Row],[Time Spent]]*24</f>
        <v>1.1500000000000001</v>
      </c>
      <c r="L1489" s="12">
        <f>MROUND(Combined[[#This Row],[Time Spent 2]],0.25)</f>
        <v>1.25</v>
      </c>
      <c r="M1489" s="2" t="s">
        <v>91</v>
      </c>
      <c r="N1489" t="s">
        <v>82</v>
      </c>
      <c r="O1489">
        <f>MATCH(Combined[[#This Row],[Primary Area]],KPIs!$C$4:$C$7,0)</f>
        <v>3</v>
      </c>
      <c r="R1489" s="40"/>
      <c r="V1489" s="4"/>
      <c r="X1489"/>
    </row>
    <row r="1490" spans="2:24" x14ac:dyDescent="0.35">
      <c r="B1490">
        <f t="shared" si="342"/>
        <v>1488</v>
      </c>
      <c r="C1490" t="s">
        <v>86</v>
      </c>
      <c r="D1490" t="s">
        <v>176</v>
      </c>
      <c r="E1490">
        <f>IF(WEEKNUM(Combined[[#This Row],[Date]], 1) = 53, 1, WEEKNUM(Combined[[#This Row],[Date]], 2))</f>
        <v>42</v>
      </c>
      <c r="F1490" t="str">
        <f t="shared" si="346"/>
        <v>Thursday</v>
      </c>
      <c r="G1490" s="41">
        <v>45582</v>
      </c>
      <c r="H1490">
        <v>5</v>
      </c>
      <c r="I1490" s="1">
        <v>27.5</v>
      </c>
      <c r="J1490" s="2">
        <v>6.0416666666666667E-2</v>
      </c>
      <c r="K1490" s="12">
        <f>Combined[[#This Row],[Time Spent]]*24</f>
        <v>1.45</v>
      </c>
      <c r="L1490" s="12">
        <f>MROUND(Combined[[#This Row],[Time Spent 2]],0.25)</f>
        <v>1.5</v>
      </c>
      <c r="M1490" s="2" t="s">
        <v>91</v>
      </c>
      <c r="N1490" t="s">
        <v>82</v>
      </c>
      <c r="O1490">
        <f>MATCH(Combined[[#This Row],[Primary Area]],KPIs!$C$4:$C$7,0)</f>
        <v>3</v>
      </c>
      <c r="R1490" s="40"/>
      <c r="V1490" s="4"/>
      <c r="X1490"/>
    </row>
    <row r="1491" spans="2:24" x14ac:dyDescent="0.35">
      <c r="B1491">
        <f t="shared" si="342"/>
        <v>1489</v>
      </c>
      <c r="C1491" t="s">
        <v>86</v>
      </c>
      <c r="D1491" t="s">
        <v>175</v>
      </c>
      <c r="E1491">
        <f>IF(WEEKNUM(Combined[[#This Row],[Date]], 1) = 53, 1, WEEKNUM(Combined[[#This Row],[Date]], 2))</f>
        <v>42</v>
      </c>
      <c r="F1491" t="str">
        <f t="shared" ref="F1491:F1496" si="347">TEXT(WEEKDAY(G1491,1),"DDDD")</f>
        <v>Friday</v>
      </c>
      <c r="G1491" s="41">
        <v>45583</v>
      </c>
      <c r="H1491">
        <v>8</v>
      </c>
      <c r="I1491" s="1">
        <v>70.88</v>
      </c>
      <c r="J1491" s="2">
        <v>0.10902777777777778</v>
      </c>
      <c r="K1491" s="12">
        <f>Combined[[#This Row],[Time Spent]]*24</f>
        <v>2.6166666666666667</v>
      </c>
      <c r="L1491" s="12">
        <f>MROUND(Combined[[#This Row],[Time Spent 2]],0.25)</f>
        <v>2.5</v>
      </c>
      <c r="M1491" s="2" t="s">
        <v>91</v>
      </c>
      <c r="N1491" t="s">
        <v>80</v>
      </c>
      <c r="O1491">
        <f>MATCH(Combined[[#This Row],[Primary Area]],KPIs!$C$4:$C$7,0)</f>
        <v>2</v>
      </c>
      <c r="R1491" s="40"/>
      <c r="V1491" s="4"/>
      <c r="X1491"/>
    </row>
    <row r="1492" spans="2:24" x14ac:dyDescent="0.35">
      <c r="B1492">
        <f t="shared" si="342"/>
        <v>1490</v>
      </c>
      <c r="C1492" t="s">
        <v>86</v>
      </c>
      <c r="D1492" t="s">
        <v>175</v>
      </c>
      <c r="E1492">
        <f>IF(WEEKNUM(Combined[[#This Row],[Date]], 1) = 53, 1, WEEKNUM(Combined[[#This Row],[Date]], 2))</f>
        <v>42</v>
      </c>
      <c r="F1492" t="str">
        <f t="shared" si="347"/>
        <v>Friday</v>
      </c>
      <c r="G1492" s="41">
        <v>45583</v>
      </c>
      <c r="H1492">
        <v>4</v>
      </c>
      <c r="I1492" s="1">
        <v>37.65</v>
      </c>
      <c r="J1492" s="2">
        <v>7.4305555555555555E-2</v>
      </c>
      <c r="K1492" s="12">
        <f>Combined[[#This Row],[Time Spent]]*24</f>
        <v>1.7833333333333332</v>
      </c>
      <c r="L1492" s="12">
        <f>MROUND(Combined[[#This Row],[Time Spent 2]],0.25)</f>
        <v>1.75</v>
      </c>
      <c r="M1492" s="2" t="s">
        <v>92</v>
      </c>
      <c r="N1492" t="s">
        <v>80</v>
      </c>
      <c r="O1492">
        <f>MATCH(Combined[[#This Row],[Primary Area]],KPIs!$C$4:$C$7,0)</f>
        <v>2</v>
      </c>
      <c r="R1492" s="40"/>
      <c r="V1492" s="4"/>
      <c r="X1492"/>
    </row>
    <row r="1493" spans="2:24" x14ac:dyDescent="0.35">
      <c r="B1493">
        <f t="shared" si="342"/>
        <v>1491</v>
      </c>
      <c r="C1493" t="s">
        <v>86</v>
      </c>
      <c r="D1493" t="s">
        <v>175</v>
      </c>
      <c r="E1493">
        <f>IF(WEEKNUM(Combined[[#This Row],[Date]], 1) = 53, 1, WEEKNUM(Combined[[#This Row],[Date]], 2))</f>
        <v>42</v>
      </c>
      <c r="F1493" t="str">
        <f t="shared" si="347"/>
        <v>Friday</v>
      </c>
      <c r="G1493" s="41">
        <v>45583</v>
      </c>
      <c r="H1493">
        <v>1</v>
      </c>
      <c r="I1493" s="1">
        <v>9.3800000000000008</v>
      </c>
      <c r="J1493" s="2">
        <v>2.8472222222222222E-2</v>
      </c>
      <c r="K1493" s="12">
        <f>Combined[[#This Row],[Time Spent]]*24</f>
        <v>0.68333333333333335</v>
      </c>
      <c r="L1493" s="12">
        <f>MROUND(Combined[[#This Row],[Time Spent 2]],0.25)</f>
        <v>0.75</v>
      </c>
      <c r="M1493" s="2" t="s">
        <v>92</v>
      </c>
      <c r="N1493" t="s">
        <v>80</v>
      </c>
      <c r="O1493">
        <f>MATCH(Combined[[#This Row],[Primary Area]],KPIs!$C$4:$C$7,0)</f>
        <v>2</v>
      </c>
      <c r="R1493" s="40"/>
      <c r="V1493" s="4"/>
      <c r="X1493"/>
    </row>
    <row r="1494" spans="2:24" x14ac:dyDescent="0.35">
      <c r="B1494">
        <f t="shared" si="342"/>
        <v>1492</v>
      </c>
      <c r="C1494" t="s">
        <v>86</v>
      </c>
      <c r="D1494" t="s">
        <v>175</v>
      </c>
      <c r="E1494">
        <f>IF(WEEKNUM(Combined[[#This Row],[Date]], 1) = 53, 1, WEEKNUM(Combined[[#This Row],[Date]], 2))</f>
        <v>42</v>
      </c>
      <c r="F1494" t="str">
        <f t="shared" si="347"/>
        <v>Friday</v>
      </c>
      <c r="G1494" s="41">
        <v>45583</v>
      </c>
      <c r="H1494">
        <v>3</v>
      </c>
      <c r="I1494" s="1">
        <v>32.61</v>
      </c>
      <c r="J1494" s="2">
        <v>5.486111111111111E-2</v>
      </c>
      <c r="K1494" s="12">
        <f>Combined[[#This Row],[Time Spent]]*24</f>
        <v>1.3166666666666667</v>
      </c>
      <c r="L1494" s="12">
        <f>MROUND(Combined[[#This Row],[Time Spent 2]],0.25)</f>
        <v>1.25</v>
      </c>
      <c r="M1494" s="2" t="s">
        <v>92</v>
      </c>
      <c r="N1494" t="s">
        <v>80</v>
      </c>
      <c r="O1494">
        <f>MATCH(Combined[[#This Row],[Primary Area]],KPIs!$C$4:$C$7,0)</f>
        <v>2</v>
      </c>
      <c r="R1494" s="40"/>
      <c r="V1494" s="4"/>
      <c r="X1494"/>
    </row>
    <row r="1495" spans="2:24" x14ac:dyDescent="0.35">
      <c r="B1495">
        <f t="shared" si="342"/>
        <v>1493</v>
      </c>
      <c r="C1495" t="s">
        <v>86</v>
      </c>
      <c r="D1495" t="s">
        <v>175</v>
      </c>
      <c r="E1495">
        <f>IF(WEEKNUM(Combined[[#This Row],[Date]], 1) = 53, 1, WEEKNUM(Combined[[#This Row],[Date]], 2))</f>
        <v>42</v>
      </c>
      <c r="F1495" t="str">
        <f t="shared" si="347"/>
        <v>Saturday</v>
      </c>
      <c r="G1495" s="41">
        <v>45584</v>
      </c>
      <c r="H1495">
        <v>4</v>
      </c>
      <c r="I1495" s="1">
        <v>38.71</v>
      </c>
      <c r="J1495" s="2">
        <v>5.7638888888888892E-2</v>
      </c>
      <c r="K1495" s="12">
        <f>Combined[[#This Row],[Time Spent]]*24</f>
        <v>1.3833333333333333</v>
      </c>
      <c r="L1495" s="12">
        <f>MROUND(Combined[[#This Row],[Time Spent 2]],0.25)</f>
        <v>1.5</v>
      </c>
      <c r="M1495" s="2" t="s">
        <v>91</v>
      </c>
      <c r="N1495" t="s">
        <v>80</v>
      </c>
      <c r="O1495">
        <f>MATCH(Combined[[#This Row],[Primary Area]],KPIs!$C$4:$C$7,0)</f>
        <v>2</v>
      </c>
      <c r="R1495" s="40"/>
      <c r="V1495" s="4"/>
      <c r="X1495"/>
    </row>
    <row r="1496" spans="2:24" x14ac:dyDescent="0.35">
      <c r="B1496">
        <f t="shared" si="342"/>
        <v>1494</v>
      </c>
      <c r="C1496" t="s">
        <v>86</v>
      </c>
      <c r="D1496" t="s">
        <v>175</v>
      </c>
      <c r="E1496">
        <f>IF(WEEKNUM(Combined[[#This Row],[Date]], 1) = 53, 1, WEEKNUM(Combined[[#This Row],[Date]], 2))</f>
        <v>42</v>
      </c>
      <c r="F1496" t="str">
        <f t="shared" si="347"/>
        <v>Sunday</v>
      </c>
      <c r="G1496" s="41">
        <v>45585</v>
      </c>
      <c r="H1496">
        <v>11</v>
      </c>
      <c r="I1496" s="1">
        <f>84.03+2.48</f>
        <v>86.51</v>
      </c>
      <c r="J1496" s="2">
        <v>0.17083333333333334</v>
      </c>
      <c r="K1496" s="12">
        <f>Combined[[#This Row],[Time Spent]]*24</f>
        <v>4.0999999999999996</v>
      </c>
      <c r="L1496" s="12">
        <f>MROUND(Combined[[#This Row],[Time Spent 2]],0.25)</f>
        <v>4</v>
      </c>
      <c r="M1496" s="2" t="s">
        <v>91</v>
      </c>
      <c r="N1496" t="s">
        <v>82</v>
      </c>
      <c r="O1496">
        <f>MATCH(Combined[[#This Row],[Primary Area]],KPIs!$C$4:$C$7,0)</f>
        <v>3</v>
      </c>
      <c r="R1496" s="40"/>
      <c r="V1496" s="4"/>
      <c r="X1496"/>
    </row>
    <row r="1497" spans="2:24" x14ac:dyDescent="0.35">
      <c r="B1497">
        <f t="shared" si="342"/>
        <v>1495</v>
      </c>
      <c r="C1497" t="s">
        <v>83</v>
      </c>
      <c r="D1497" t="s">
        <v>176</v>
      </c>
      <c r="E1497">
        <f>IF(WEEKNUM(Combined[[#This Row],[Date]], 1) = 53, 1, WEEKNUM(Combined[[#This Row],[Date]], 2))</f>
        <v>43</v>
      </c>
      <c r="F1497" t="str">
        <f t="shared" ref="F1497:F1500" si="348">TEXT(WEEKDAY(G1497,1),"DDDD")</f>
        <v>Monday</v>
      </c>
      <c r="G1497" s="41">
        <v>45586</v>
      </c>
      <c r="H1497">
        <v>3</v>
      </c>
      <c r="I1497" s="1">
        <v>47.43</v>
      </c>
      <c r="J1497" s="2">
        <v>0.22777777777777777</v>
      </c>
      <c r="K1497" s="12">
        <f>Combined[[#This Row],[Time Spent]]*24</f>
        <v>5.4666666666666668</v>
      </c>
      <c r="L1497" s="12">
        <f>MROUND(Combined[[#This Row],[Time Spent 2]],0.25)</f>
        <v>5.5</v>
      </c>
      <c r="M1497" s="2" t="s">
        <v>91</v>
      </c>
      <c r="N1497" t="s">
        <v>174</v>
      </c>
      <c r="O1497">
        <f>MATCH(Combined[[#This Row],[Primary Area]],KPIs!$C$4:$C$7,0)</f>
        <v>1</v>
      </c>
      <c r="R1497" s="40"/>
      <c r="V1497" s="4"/>
      <c r="X1497"/>
    </row>
    <row r="1498" spans="2:24" x14ac:dyDescent="0.35">
      <c r="B1498">
        <f t="shared" si="342"/>
        <v>1496</v>
      </c>
      <c r="C1498" t="s">
        <v>86</v>
      </c>
      <c r="D1498" t="s">
        <v>176</v>
      </c>
      <c r="E1498">
        <f>IF(WEEKNUM(Combined[[#This Row],[Date]], 1) = 53, 1, WEEKNUM(Combined[[#This Row],[Date]], 2))</f>
        <v>43</v>
      </c>
      <c r="F1498" t="str">
        <f t="shared" si="348"/>
        <v>Monday</v>
      </c>
      <c r="G1498" s="41">
        <v>45586</v>
      </c>
      <c r="H1498">
        <v>4</v>
      </c>
      <c r="I1498" s="1">
        <v>40</v>
      </c>
      <c r="J1498" s="2">
        <v>0.15277777777777779</v>
      </c>
      <c r="K1498" s="12">
        <f>Combined[[#This Row],[Time Spent]]*24</f>
        <v>3.666666666666667</v>
      </c>
      <c r="L1498" s="12">
        <f>MROUND(Combined[[#This Row],[Time Spent 2]],0.25)</f>
        <v>3.75</v>
      </c>
      <c r="M1498" s="2" t="s">
        <v>91</v>
      </c>
      <c r="N1498" t="s">
        <v>174</v>
      </c>
      <c r="O1498">
        <f>MATCH(Combined[[#This Row],[Primary Area]],KPIs!$C$4:$C$7,0)</f>
        <v>1</v>
      </c>
      <c r="R1498" s="40"/>
      <c r="V1498" s="4"/>
      <c r="X1498"/>
    </row>
    <row r="1499" spans="2:24" x14ac:dyDescent="0.35">
      <c r="B1499">
        <f t="shared" si="342"/>
        <v>1497</v>
      </c>
      <c r="C1499" t="s">
        <v>86</v>
      </c>
      <c r="D1499" t="s">
        <v>176</v>
      </c>
      <c r="E1499">
        <f>IF(WEEKNUM(Combined[[#This Row],[Date]], 1) = 53, 1, WEEKNUM(Combined[[#This Row],[Date]], 2))</f>
        <v>43</v>
      </c>
      <c r="F1499" t="str">
        <f t="shared" si="348"/>
        <v>Tuesday</v>
      </c>
      <c r="G1499" s="41">
        <v>45587</v>
      </c>
      <c r="H1499">
        <v>11</v>
      </c>
      <c r="I1499" s="1">
        <f>94.18+3.62+3</f>
        <v>100.80000000000001</v>
      </c>
      <c r="J1499" s="2">
        <v>0.19513888888888889</v>
      </c>
      <c r="K1499" s="12">
        <f>Combined[[#This Row],[Time Spent]]*24</f>
        <v>4.6833333333333336</v>
      </c>
      <c r="L1499" s="12">
        <f>MROUND(Combined[[#This Row],[Time Spent 2]],0.25)</f>
        <v>4.75</v>
      </c>
      <c r="M1499" s="2" t="s">
        <v>91</v>
      </c>
      <c r="N1499" t="s">
        <v>80</v>
      </c>
      <c r="O1499">
        <f>MATCH(Combined[[#This Row],[Primary Area]],KPIs!$C$4:$C$7,0)</f>
        <v>2</v>
      </c>
      <c r="R1499" s="40"/>
      <c r="V1499" s="4"/>
      <c r="X1499"/>
    </row>
    <row r="1500" spans="2:24" x14ac:dyDescent="0.35">
      <c r="B1500">
        <f t="shared" si="342"/>
        <v>1498</v>
      </c>
      <c r="C1500" t="s">
        <v>86</v>
      </c>
      <c r="D1500" t="s">
        <v>175</v>
      </c>
      <c r="E1500">
        <f>IF(WEEKNUM(Combined[[#This Row],[Date]], 1) = 53, 1, WEEKNUM(Combined[[#This Row],[Date]], 2))</f>
        <v>43</v>
      </c>
      <c r="F1500" t="str">
        <f t="shared" si="348"/>
        <v>Friday</v>
      </c>
      <c r="G1500" s="41">
        <v>45590</v>
      </c>
      <c r="H1500">
        <v>11</v>
      </c>
      <c r="I1500" s="1">
        <v>105.94</v>
      </c>
      <c r="J1500" s="2">
        <v>0.21180555555555555</v>
      </c>
      <c r="K1500" s="12">
        <f>Combined[[#This Row],[Time Spent]]*24</f>
        <v>5.083333333333333</v>
      </c>
      <c r="L1500" s="12">
        <f>MROUND(Combined[[#This Row],[Time Spent 2]],0.25)</f>
        <v>5</v>
      </c>
      <c r="M1500" s="2" t="s">
        <v>91</v>
      </c>
      <c r="N1500" t="s">
        <v>80</v>
      </c>
      <c r="O1500">
        <f>MATCH(Combined[[#This Row],[Primary Area]],KPIs!$C$4:$C$7,0)</f>
        <v>2</v>
      </c>
      <c r="R1500" s="40"/>
      <c r="V1500" s="4"/>
      <c r="X1500"/>
    </row>
    <row r="1501" spans="2:24" x14ac:dyDescent="0.35">
      <c r="B1501">
        <f t="shared" si="342"/>
        <v>1499</v>
      </c>
      <c r="C1501" t="s">
        <v>83</v>
      </c>
      <c r="D1501" t="s">
        <v>176</v>
      </c>
      <c r="E1501">
        <f>IF(WEEKNUM(Combined[[#This Row],[Date]], 1) = 53, 1, WEEKNUM(Combined[[#This Row],[Date]], 2))</f>
        <v>43</v>
      </c>
      <c r="F1501" t="str">
        <f t="shared" ref="F1501:F1502" si="349">TEXT(WEEKDAY(G1501,1),"DDDD")</f>
        <v>Sunday</v>
      </c>
      <c r="G1501" s="41">
        <v>45592</v>
      </c>
      <c r="H1501">
        <v>2</v>
      </c>
      <c r="I1501" s="1">
        <f>71.52-47.43</f>
        <v>24.089999999999996</v>
      </c>
      <c r="J1501" s="2">
        <f>TIME(7,21,)-TIME(5,28,)</f>
        <v>7.8472222222222249E-2</v>
      </c>
      <c r="K1501" s="12">
        <f>Combined[[#This Row],[Time Spent]]*24</f>
        <v>1.883333333333334</v>
      </c>
      <c r="L1501" s="12">
        <f>MROUND(Combined[[#This Row],[Time Spent 2]],0.25)</f>
        <v>2</v>
      </c>
      <c r="M1501" s="2" t="s">
        <v>91</v>
      </c>
      <c r="N1501" t="s">
        <v>80</v>
      </c>
      <c r="O1501">
        <f>MATCH(Combined[[#This Row],[Primary Area]],KPIs!$C$4:$C$7,0)</f>
        <v>2</v>
      </c>
      <c r="V1501" s="4"/>
      <c r="X1501"/>
    </row>
    <row r="1502" spans="2:24" x14ac:dyDescent="0.35">
      <c r="B1502">
        <f t="shared" si="342"/>
        <v>1500</v>
      </c>
      <c r="C1502" t="s">
        <v>86</v>
      </c>
      <c r="D1502" t="s">
        <v>176</v>
      </c>
      <c r="E1502">
        <f>IF(WEEKNUM(Combined[[#This Row],[Date]], 1) = 53, 1, WEEKNUM(Combined[[#This Row],[Date]], 2))</f>
        <v>43</v>
      </c>
      <c r="F1502" t="str">
        <f t="shared" si="349"/>
        <v>Sunday</v>
      </c>
      <c r="G1502" s="41">
        <v>45592</v>
      </c>
      <c r="H1502">
        <v>12</v>
      </c>
      <c r="I1502" s="1">
        <v>86.25</v>
      </c>
      <c r="J1502" s="2">
        <v>0.17430555555555555</v>
      </c>
      <c r="K1502" s="12">
        <f>Combined[[#This Row],[Time Spent]]*24</f>
        <v>4.1833333333333336</v>
      </c>
      <c r="L1502" s="12">
        <f>MROUND(Combined[[#This Row],[Time Spent 2]],0.25)</f>
        <v>4.25</v>
      </c>
      <c r="M1502" s="2" t="s">
        <v>91</v>
      </c>
      <c r="N1502" t="s">
        <v>80</v>
      </c>
      <c r="O1502">
        <f>MATCH(Combined[[#This Row],[Primary Area]],KPIs!$C$4:$C$7,0)</f>
        <v>2</v>
      </c>
      <c r="V1502" s="4"/>
      <c r="X1502"/>
    </row>
    <row r="1503" spans="2:24" x14ac:dyDescent="0.35">
      <c r="B1503">
        <f t="shared" si="342"/>
        <v>1501</v>
      </c>
      <c r="C1503" t="s">
        <v>83</v>
      </c>
      <c r="D1503" t="s">
        <v>176</v>
      </c>
      <c r="E1503">
        <f>IF(WEEKNUM(Combined[[#This Row],[Date]], 1) = 53, 1, WEEKNUM(Combined[[#This Row],[Date]], 2))</f>
        <v>44</v>
      </c>
      <c r="F1503" t="str">
        <f t="shared" ref="F1503:F1512" si="350">TEXT(WEEKDAY(G1503,1),"DDDD")</f>
        <v>Monday</v>
      </c>
      <c r="G1503" s="41">
        <v>45593</v>
      </c>
      <c r="H1503">
        <v>1</v>
      </c>
      <c r="I1503" s="1">
        <v>14.07</v>
      </c>
      <c r="J1503" s="2">
        <v>4.2361111111111113E-2</v>
      </c>
      <c r="K1503" s="12">
        <f>Combined[[#This Row],[Time Spent]]*24</f>
        <v>1.0166666666666666</v>
      </c>
      <c r="L1503" s="12">
        <f>MROUND(Combined[[#This Row],[Time Spent 2]],0.25)</f>
        <v>1</v>
      </c>
      <c r="M1503" s="2" t="s">
        <v>91</v>
      </c>
      <c r="N1503" t="s">
        <v>80</v>
      </c>
      <c r="O1503">
        <f>MATCH(Combined[[#This Row],[Primary Area]],KPIs!$C$4:$C$7,0)</f>
        <v>2</v>
      </c>
      <c r="V1503" s="4"/>
      <c r="X1503"/>
    </row>
    <row r="1504" spans="2:24" x14ac:dyDescent="0.35">
      <c r="B1504">
        <f t="shared" si="342"/>
        <v>1502</v>
      </c>
      <c r="C1504" t="s">
        <v>86</v>
      </c>
      <c r="D1504" t="s">
        <v>176</v>
      </c>
      <c r="E1504">
        <f>IF(WEEKNUM(Combined[[#This Row],[Date]], 1) = 53, 1, WEEKNUM(Combined[[#This Row],[Date]], 2))</f>
        <v>44</v>
      </c>
      <c r="F1504" t="str">
        <f t="shared" si="350"/>
        <v>Monday</v>
      </c>
      <c r="G1504" s="41">
        <v>45593</v>
      </c>
      <c r="H1504">
        <v>1</v>
      </c>
      <c r="I1504" s="1">
        <v>16.190000000000001</v>
      </c>
      <c r="J1504" s="2">
        <v>7.013888888888889E-2</v>
      </c>
      <c r="K1504" s="12">
        <f>Combined[[#This Row],[Time Spent]]*24</f>
        <v>1.6833333333333333</v>
      </c>
      <c r="L1504" s="12">
        <f>MROUND(Combined[[#This Row],[Time Spent 2]],0.25)</f>
        <v>1.75</v>
      </c>
      <c r="M1504" s="2" t="s">
        <v>91</v>
      </c>
      <c r="N1504" t="s">
        <v>80</v>
      </c>
      <c r="O1504">
        <f>MATCH(Combined[[#This Row],[Primary Area]],KPIs!$C$4:$C$7,0)</f>
        <v>2</v>
      </c>
      <c r="V1504" s="4"/>
      <c r="X1504"/>
    </row>
    <row r="1505" spans="2:24" x14ac:dyDescent="0.35">
      <c r="B1505">
        <f t="shared" si="342"/>
        <v>1503</v>
      </c>
      <c r="C1505" t="s">
        <v>83</v>
      </c>
      <c r="D1505" t="s">
        <v>176</v>
      </c>
      <c r="E1505">
        <f>IF(WEEKNUM(Combined[[#This Row],[Date]], 1) = 53, 1, WEEKNUM(Combined[[#This Row],[Date]], 2))</f>
        <v>44</v>
      </c>
      <c r="F1505" t="str">
        <f t="shared" si="350"/>
        <v>Tuesday</v>
      </c>
      <c r="G1505" s="41">
        <v>45594</v>
      </c>
      <c r="H1505">
        <v>8</v>
      </c>
      <c r="I1505" s="1">
        <v>61.53</v>
      </c>
      <c r="J1505" s="2">
        <v>0.21597222222222223</v>
      </c>
      <c r="K1505" s="12">
        <f>Combined[[#This Row],[Time Spent]]*24</f>
        <v>5.1833333333333336</v>
      </c>
      <c r="L1505" s="12">
        <f>MROUND(Combined[[#This Row],[Time Spent 2]],0.25)</f>
        <v>5.25</v>
      </c>
      <c r="M1505" s="2" t="s">
        <v>91</v>
      </c>
      <c r="N1505" t="s">
        <v>85</v>
      </c>
      <c r="O1505">
        <f>MATCH(Combined[[#This Row],[Primary Area]],KPIs!$C$4:$C$7,0)</f>
        <v>4</v>
      </c>
      <c r="V1505" s="4"/>
      <c r="X1505"/>
    </row>
    <row r="1506" spans="2:24" x14ac:dyDescent="0.35">
      <c r="B1506">
        <f t="shared" si="342"/>
        <v>1504</v>
      </c>
      <c r="C1506" t="s">
        <v>86</v>
      </c>
      <c r="D1506" t="s">
        <v>175</v>
      </c>
      <c r="E1506">
        <f>IF(WEEKNUM(Combined[[#This Row],[Date]], 1) = 53, 1, WEEKNUM(Combined[[#This Row],[Date]], 2))</f>
        <v>44</v>
      </c>
      <c r="F1506" t="str">
        <f t="shared" si="350"/>
        <v>Wednesday</v>
      </c>
      <c r="G1506" s="41">
        <v>45595</v>
      </c>
      <c r="H1506">
        <v>10</v>
      </c>
      <c r="I1506" s="1">
        <f>113.6+3.9</f>
        <v>117.5</v>
      </c>
      <c r="J1506" s="2">
        <v>0.17499999999999999</v>
      </c>
      <c r="K1506" s="12">
        <f>Combined[[#This Row],[Time Spent]]*24</f>
        <v>4.1999999999999993</v>
      </c>
      <c r="L1506" s="12">
        <f>MROUND(Combined[[#This Row],[Time Spent 2]],0.25)</f>
        <v>4.25</v>
      </c>
      <c r="M1506" s="2" t="s">
        <v>91</v>
      </c>
      <c r="N1506" t="s">
        <v>80</v>
      </c>
      <c r="O1506">
        <f>MATCH(Combined[[#This Row],[Primary Area]],KPIs!$C$4:$C$7,0)</f>
        <v>2</v>
      </c>
      <c r="V1506" s="4"/>
      <c r="X1506"/>
    </row>
    <row r="1507" spans="2:24" x14ac:dyDescent="0.35">
      <c r="B1507">
        <f t="shared" si="342"/>
        <v>1505</v>
      </c>
      <c r="C1507" t="s">
        <v>83</v>
      </c>
      <c r="D1507" t="s">
        <v>176</v>
      </c>
      <c r="E1507">
        <f>IF(WEEKNUM(Combined[[#This Row],[Date]], 1) = 53, 1, WEEKNUM(Combined[[#This Row],[Date]], 2))</f>
        <v>44</v>
      </c>
      <c r="F1507" t="str">
        <f t="shared" si="350"/>
        <v>Friday</v>
      </c>
      <c r="G1507" s="41">
        <v>45597</v>
      </c>
      <c r="H1507">
        <v>4</v>
      </c>
      <c r="I1507" s="1">
        <v>127.87</v>
      </c>
      <c r="J1507" s="2">
        <v>0.16597222222222222</v>
      </c>
      <c r="K1507" s="12">
        <f>Combined[[#This Row],[Time Spent]]*24</f>
        <v>3.9833333333333334</v>
      </c>
      <c r="L1507" s="12">
        <f>MROUND(Combined[[#This Row],[Time Spent 2]],0.25)</f>
        <v>4</v>
      </c>
      <c r="M1507" s="2" t="s">
        <v>91</v>
      </c>
      <c r="N1507" t="s">
        <v>80</v>
      </c>
      <c r="O1507">
        <f>MATCH(Combined[[#This Row],[Primary Area]],KPIs!$C$4:$C$7,0)</f>
        <v>2</v>
      </c>
      <c r="V1507" s="4"/>
      <c r="X1507"/>
    </row>
    <row r="1508" spans="2:24" x14ac:dyDescent="0.35">
      <c r="B1508">
        <f t="shared" si="342"/>
        <v>1506</v>
      </c>
      <c r="C1508" t="s">
        <v>86</v>
      </c>
      <c r="D1508" t="s">
        <v>175</v>
      </c>
      <c r="E1508">
        <f>IF(WEEKNUM(Combined[[#This Row],[Date]], 1) = 53, 1, WEEKNUM(Combined[[#This Row],[Date]], 2))</f>
        <v>44</v>
      </c>
      <c r="F1508" t="str">
        <f t="shared" si="350"/>
        <v>Friday</v>
      </c>
      <c r="G1508" s="41">
        <v>45597</v>
      </c>
      <c r="H1508">
        <v>13</v>
      </c>
      <c r="I1508" s="1">
        <f>81.21+7.11+2.47+3.05+2.03</f>
        <v>95.86999999999999</v>
      </c>
      <c r="J1508" s="2">
        <v>0.21875</v>
      </c>
      <c r="K1508" s="12">
        <f>Combined[[#This Row],[Time Spent]]*24</f>
        <v>5.25</v>
      </c>
      <c r="L1508" s="12">
        <f>MROUND(Combined[[#This Row],[Time Spent 2]],0.25)</f>
        <v>5.25</v>
      </c>
      <c r="M1508" s="2" t="s">
        <v>91</v>
      </c>
      <c r="N1508" t="s">
        <v>80</v>
      </c>
      <c r="O1508">
        <f>MATCH(Combined[[#This Row],[Primary Area]],KPIs!$C$4:$C$7,0)</f>
        <v>2</v>
      </c>
      <c r="V1508" s="4"/>
      <c r="X1508"/>
    </row>
    <row r="1509" spans="2:24" x14ac:dyDescent="0.35">
      <c r="B1509">
        <f t="shared" si="342"/>
        <v>1507</v>
      </c>
      <c r="C1509" t="s">
        <v>83</v>
      </c>
      <c r="D1509" t="s">
        <v>176</v>
      </c>
      <c r="E1509">
        <f>IF(WEEKNUM(Combined[[#This Row],[Date]], 1) = 53, 1, WEEKNUM(Combined[[#This Row],[Date]], 2))</f>
        <v>44</v>
      </c>
      <c r="F1509" t="str">
        <f t="shared" si="350"/>
        <v>Saturday</v>
      </c>
      <c r="G1509" s="41">
        <v>45598</v>
      </c>
      <c r="H1509">
        <v>12</v>
      </c>
      <c r="I1509" s="1">
        <v>94.36</v>
      </c>
      <c r="J1509" s="2">
        <v>0.25624999999999998</v>
      </c>
      <c r="K1509" s="12">
        <f>Combined[[#This Row],[Time Spent]]*24</f>
        <v>6.1499999999999995</v>
      </c>
      <c r="L1509" s="12">
        <f>MROUND(Combined[[#This Row],[Time Spent 2]],0.25)</f>
        <v>6.25</v>
      </c>
      <c r="M1509" s="2" t="s">
        <v>91</v>
      </c>
      <c r="N1509" t="s">
        <v>85</v>
      </c>
      <c r="O1509">
        <f>MATCH(Combined[[#This Row],[Primary Area]],KPIs!$C$4:$C$7,0)</f>
        <v>4</v>
      </c>
      <c r="V1509" s="4"/>
      <c r="X1509"/>
    </row>
    <row r="1510" spans="2:24" x14ac:dyDescent="0.35">
      <c r="B1510">
        <f t="shared" si="342"/>
        <v>1508</v>
      </c>
      <c r="C1510" t="s">
        <v>86</v>
      </c>
      <c r="D1510" t="s">
        <v>176</v>
      </c>
      <c r="E1510">
        <f>IF(WEEKNUM(Combined[[#This Row],[Date]], 1) = 53, 1, WEEKNUM(Combined[[#This Row],[Date]], 2))</f>
        <v>44</v>
      </c>
      <c r="F1510" t="str">
        <f t="shared" si="350"/>
        <v>Saturday</v>
      </c>
      <c r="G1510" s="41">
        <v>45598</v>
      </c>
      <c r="H1510">
        <v>1</v>
      </c>
      <c r="I1510" s="1">
        <v>6</v>
      </c>
      <c r="J1510" s="2">
        <v>3.7499999999999999E-2</v>
      </c>
      <c r="K1510" s="12">
        <f>Combined[[#This Row],[Time Spent]]*24</f>
        <v>0.89999999999999991</v>
      </c>
      <c r="L1510" s="12">
        <f>MROUND(Combined[[#This Row],[Time Spent 2]],0.25)</f>
        <v>1</v>
      </c>
      <c r="M1510" s="2" t="s">
        <v>91</v>
      </c>
      <c r="N1510" t="s">
        <v>85</v>
      </c>
      <c r="O1510">
        <f>MATCH(Combined[[#This Row],[Primary Area]],KPIs!$C$4:$C$7,0)</f>
        <v>4</v>
      </c>
      <c r="V1510" s="4"/>
      <c r="X1510"/>
    </row>
    <row r="1511" spans="2:24" x14ac:dyDescent="0.35">
      <c r="B1511">
        <f t="shared" si="342"/>
        <v>1509</v>
      </c>
      <c r="C1511" t="s">
        <v>83</v>
      </c>
      <c r="D1511" t="s">
        <v>176</v>
      </c>
      <c r="E1511">
        <f>IF(WEEKNUM(Combined[[#This Row],[Date]], 1) = 53, 1, WEEKNUM(Combined[[#This Row],[Date]], 2))</f>
        <v>44</v>
      </c>
      <c r="F1511" t="str">
        <f t="shared" si="350"/>
        <v>Sunday</v>
      </c>
      <c r="G1511" s="41">
        <v>45599</v>
      </c>
      <c r="H1511">
        <v>1</v>
      </c>
      <c r="I1511" s="1">
        <v>12.09</v>
      </c>
      <c r="J1511" s="2">
        <v>5.8333333333333334E-2</v>
      </c>
      <c r="K1511" s="12">
        <f>Combined[[#This Row],[Time Spent]]*24</f>
        <v>1.4</v>
      </c>
      <c r="L1511" s="12">
        <f>MROUND(Combined[[#This Row],[Time Spent 2]],0.25)</f>
        <v>1.5</v>
      </c>
      <c r="M1511" s="2" t="s">
        <v>91</v>
      </c>
      <c r="N1511" t="s">
        <v>80</v>
      </c>
      <c r="O1511">
        <f>MATCH(Combined[[#This Row],[Primary Area]],KPIs!$C$4:$C$7,0)</f>
        <v>2</v>
      </c>
      <c r="V1511" s="4"/>
      <c r="X1511"/>
    </row>
    <row r="1512" spans="2:24" x14ac:dyDescent="0.35">
      <c r="B1512">
        <f t="shared" si="342"/>
        <v>1510</v>
      </c>
      <c r="C1512" t="s">
        <v>86</v>
      </c>
      <c r="D1512" t="s">
        <v>175</v>
      </c>
      <c r="E1512">
        <f>IF(WEEKNUM(Combined[[#This Row],[Date]], 1) = 53, 1, WEEKNUM(Combined[[#This Row],[Date]], 2))</f>
        <v>44</v>
      </c>
      <c r="F1512" t="str">
        <f t="shared" si="350"/>
        <v>Sunday</v>
      </c>
      <c r="G1512" s="41">
        <v>45599</v>
      </c>
      <c r="H1512">
        <v>15</v>
      </c>
      <c r="I1512" s="1">
        <v>163.41</v>
      </c>
      <c r="J1512" s="2">
        <v>0.25486111111111109</v>
      </c>
      <c r="K1512" s="12">
        <f>Combined[[#This Row],[Time Spent]]*24</f>
        <v>6.1166666666666663</v>
      </c>
      <c r="L1512" s="12">
        <f>MROUND(Combined[[#This Row],[Time Spent 2]],0.25)</f>
        <v>6</v>
      </c>
      <c r="M1512" s="2" t="s">
        <v>91</v>
      </c>
      <c r="N1512" t="s">
        <v>80</v>
      </c>
      <c r="O1512">
        <f>MATCH(Combined[[#This Row],[Primary Area]],KPIs!$C$4:$C$7,0)</f>
        <v>2</v>
      </c>
      <c r="V1512" s="4"/>
      <c r="X1512"/>
    </row>
    <row r="1513" spans="2:24" x14ac:dyDescent="0.35">
      <c r="B1513">
        <f t="shared" si="342"/>
        <v>1511</v>
      </c>
      <c r="C1513" t="s">
        <v>83</v>
      </c>
      <c r="D1513" t="s">
        <v>176</v>
      </c>
      <c r="E1513">
        <f>IF(WEEKNUM(Combined[[#This Row],[Date]], 1) = 53, 1, WEEKNUM(Combined[[#This Row],[Date]], 2))</f>
        <v>45</v>
      </c>
      <c r="F1513" t="str">
        <f t="shared" ref="F1513:F1521" si="351">TEXT(WEEKDAY(G1513,1),"DDDD")</f>
        <v>Monday</v>
      </c>
      <c r="G1513" s="41">
        <v>45600</v>
      </c>
      <c r="H1513">
        <v>3</v>
      </c>
      <c r="I1513" s="1">
        <v>61.07</v>
      </c>
      <c r="J1513" s="2">
        <v>8.9583333333333334E-2</v>
      </c>
      <c r="K1513" s="12">
        <f>Combined[[#This Row],[Time Spent]]*24</f>
        <v>2.15</v>
      </c>
      <c r="L1513" s="12">
        <f>MROUND(Combined[[#This Row],[Time Spent 2]],0.25)</f>
        <v>2.25</v>
      </c>
      <c r="M1513" s="2" t="s">
        <v>91</v>
      </c>
      <c r="N1513" t="s">
        <v>80</v>
      </c>
      <c r="O1513">
        <f>MATCH(Combined[[#This Row],[Primary Area]],KPIs!$C$4:$C$7,0)</f>
        <v>2</v>
      </c>
      <c r="V1513" s="4"/>
      <c r="X1513"/>
    </row>
    <row r="1514" spans="2:24" x14ac:dyDescent="0.35">
      <c r="B1514">
        <f t="shared" si="342"/>
        <v>1512</v>
      </c>
      <c r="C1514" t="s">
        <v>86</v>
      </c>
      <c r="D1514" t="s">
        <v>176</v>
      </c>
      <c r="E1514">
        <f>IF(WEEKNUM(Combined[[#This Row],[Date]], 1) = 53, 1, WEEKNUM(Combined[[#This Row],[Date]], 2))</f>
        <v>45</v>
      </c>
      <c r="F1514" t="str">
        <f t="shared" si="351"/>
        <v>Monday</v>
      </c>
      <c r="G1514" s="41">
        <v>45600</v>
      </c>
      <c r="H1514">
        <v>4</v>
      </c>
      <c r="I1514" s="1">
        <v>21.25</v>
      </c>
      <c r="J1514" s="2">
        <v>6.8750000000000006E-2</v>
      </c>
      <c r="K1514" s="12">
        <f>Combined[[#This Row],[Time Spent]]*24</f>
        <v>1.6500000000000001</v>
      </c>
      <c r="L1514" s="12">
        <f>MROUND(Combined[[#This Row],[Time Spent 2]],0.25)</f>
        <v>1.75</v>
      </c>
      <c r="M1514" s="2" t="s">
        <v>91</v>
      </c>
      <c r="N1514" t="s">
        <v>80</v>
      </c>
      <c r="O1514">
        <f>MATCH(Combined[[#This Row],[Primary Area]],KPIs!$C$4:$C$7,0)</f>
        <v>2</v>
      </c>
      <c r="V1514" s="4"/>
      <c r="X1514"/>
    </row>
    <row r="1515" spans="2:24" x14ac:dyDescent="0.35">
      <c r="B1515">
        <f t="shared" si="342"/>
        <v>1513</v>
      </c>
      <c r="C1515" t="s">
        <v>86</v>
      </c>
      <c r="D1515" t="s">
        <v>176</v>
      </c>
      <c r="E1515">
        <f>IF(WEEKNUM(Combined[[#This Row],[Date]], 1) = 53, 1, WEEKNUM(Combined[[#This Row],[Date]], 2))</f>
        <v>45</v>
      </c>
      <c r="F1515" t="str">
        <f t="shared" si="351"/>
        <v>Monday</v>
      </c>
      <c r="G1515" s="41">
        <v>45600</v>
      </c>
      <c r="H1515">
        <v>4</v>
      </c>
      <c r="I1515" s="1">
        <v>44.99</v>
      </c>
      <c r="J1515" s="2">
        <v>0.13194444444444445</v>
      </c>
      <c r="K1515" s="12">
        <f>Combined[[#This Row],[Time Spent]]*24</f>
        <v>3.166666666666667</v>
      </c>
      <c r="L1515" s="12">
        <f>MROUND(Combined[[#This Row],[Time Spent 2]],0.25)</f>
        <v>3.25</v>
      </c>
      <c r="M1515" s="2" t="s">
        <v>91</v>
      </c>
      <c r="N1515" t="s">
        <v>80</v>
      </c>
      <c r="O1515">
        <f>MATCH(Combined[[#This Row],[Primary Area]],KPIs!$C$4:$C$7,0)</f>
        <v>2</v>
      </c>
      <c r="V1515" s="4"/>
      <c r="X1515"/>
    </row>
    <row r="1516" spans="2:24" x14ac:dyDescent="0.35">
      <c r="B1516">
        <f t="shared" si="342"/>
        <v>1514</v>
      </c>
      <c r="C1516" t="s">
        <v>83</v>
      </c>
      <c r="D1516" t="s">
        <v>176</v>
      </c>
      <c r="E1516">
        <f>IF(WEEKNUM(Combined[[#This Row],[Date]], 1) = 53, 1, WEEKNUM(Combined[[#This Row],[Date]], 2))</f>
        <v>45</v>
      </c>
      <c r="F1516" t="str">
        <f t="shared" si="351"/>
        <v>Tuesday</v>
      </c>
      <c r="G1516" s="41">
        <v>45601</v>
      </c>
      <c r="H1516">
        <v>4</v>
      </c>
      <c r="I1516" s="1">
        <v>80.22</v>
      </c>
      <c r="J1516" s="2">
        <v>0.10208333333333333</v>
      </c>
      <c r="K1516" s="12">
        <f>Combined[[#This Row],[Time Spent]]*24</f>
        <v>2.4500000000000002</v>
      </c>
      <c r="L1516" s="12">
        <f>MROUND(Combined[[#This Row],[Time Spent 2]],0.25)</f>
        <v>2.5</v>
      </c>
      <c r="M1516" s="2" t="s">
        <v>91</v>
      </c>
      <c r="N1516" t="s">
        <v>80</v>
      </c>
      <c r="O1516">
        <f>MATCH(Combined[[#This Row],[Primary Area]],KPIs!$C$4:$C$7,0)</f>
        <v>2</v>
      </c>
      <c r="V1516" s="4"/>
      <c r="X1516"/>
    </row>
    <row r="1517" spans="2:24" x14ac:dyDescent="0.35">
      <c r="B1517">
        <f t="shared" si="342"/>
        <v>1515</v>
      </c>
      <c r="C1517" t="s">
        <v>86</v>
      </c>
      <c r="D1517" t="s">
        <v>176</v>
      </c>
      <c r="E1517">
        <f>IF(WEEKNUM(Combined[[#This Row],[Date]], 1) = 53, 1, WEEKNUM(Combined[[#This Row],[Date]], 2))</f>
        <v>45</v>
      </c>
      <c r="F1517" t="str">
        <f t="shared" si="351"/>
        <v>Tuesday</v>
      </c>
      <c r="G1517" s="41">
        <v>45601</v>
      </c>
      <c r="H1517">
        <v>3</v>
      </c>
      <c r="I1517" s="1">
        <v>16</v>
      </c>
      <c r="J1517" s="2">
        <v>5.6944444444444443E-2</v>
      </c>
      <c r="K1517" s="12">
        <f>Combined[[#This Row],[Time Spent]]*24</f>
        <v>1.3666666666666667</v>
      </c>
      <c r="L1517" s="12">
        <f>MROUND(Combined[[#This Row],[Time Spent 2]],0.25)</f>
        <v>1.25</v>
      </c>
      <c r="M1517" s="2" t="s">
        <v>91</v>
      </c>
      <c r="N1517" t="s">
        <v>80</v>
      </c>
      <c r="O1517">
        <f>MATCH(Combined[[#This Row],[Primary Area]],KPIs!$C$4:$C$7,0)</f>
        <v>2</v>
      </c>
      <c r="V1517" s="4"/>
      <c r="X1517"/>
    </row>
    <row r="1518" spans="2:24" x14ac:dyDescent="0.35">
      <c r="B1518">
        <f t="shared" si="342"/>
        <v>1516</v>
      </c>
      <c r="C1518" t="s">
        <v>86</v>
      </c>
      <c r="D1518" t="s">
        <v>176</v>
      </c>
      <c r="E1518">
        <f>IF(WEEKNUM(Combined[[#This Row],[Date]], 1) = 53, 1, WEEKNUM(Combined[[#This Row],[Date]], 2))</f>
        <v>45</v>
      </c>
      <c r="F1518" t="str">
        <f t="shared" si="351"/>
        <v>Tuesday</v>
      </c>
      <c r="G1518" s="41">
        <v>45601</v>
      </c>
      <c r="H1518">
        <v>4</v>
      </c>
      <c r="I1518" s="1">
        <v>64.42</v>
      </c>
      <c r="J1518" s="2">
        <v>0.11319444444444444</v>
      </c>
      <c r="K1518" s="12">
        <f>Combined[[#This Row],[Time Spent]]*24</f>
        <v>2.7166666666666668</v>
      </c>
      <c r="L1518" s="12">
        <f>MROUND(Combined[[#This Row],[Time Spent 2]],0.25)</f>
        <v>2.75</v>
      </c>
      <c r="M1518" s="2" t="s">
        <v>91</v>
      </c>
      <c r="N1518" t="s">
        <v>80</v>
      </c>
      <c r="O1518">
        <f>MATCH(Combined[[#This Row],[Primary Area]],KPIs!$C$4:$C$7,0)</f>
        <v>2</v>
      </c>
      <c r="V1518" s="4"/>
      <c r="X1518"/>
    </row>
    <row r="1519" spans="2:24" x14ac:dyDescent="0.35">
      <c r="B1519">
        <f t="shared" si="342"/>
        <v>1517</v>
      </c>
      <c r="C1519" t="s">
        <v>83</v>
      </c>
      <c r="D1519" t="s">
        <v>176</v>
      </c>
      <c r="E1519">
        <f>IF(WEEKNUM(Combined[[#This Row],[Date]], 1) = 53, 1, WEEKNUM(Combined[[#This Row],[Date]], 2))</f>
        <v>45</v>
      </c>
      <c r="F1519" t="str">
        <f t="shared" si="351"/>
        <v>Thursday</v>
      </c>
      <c r="G1519" s="41">
        <v>45603</v>
      </c>
      <c r="H1519">
        <v>3</v>
      </c>
      <c r="I1519" s="1">
        <v>77.56</v>
      </c>
      <c r="J1519" s="2">
        <v>0.10694444444444444</v>
      </c>
      <c r="K1519" s="12">
        <f>Combined[[#This Row],[Time Spent]]*24</f>
        <v>2.5666666666666664</v>
      </c>
      <c r="L1519" s="12">
        <f>MROUND(Combined[[#This Row],[Time Spent 2]],0.25)</f>
        <v>2.5</v>
      </c>
      <c r="M1519" s="2" t="s">
        <v>91</v>
      </c>
      <c r="N1519" t="s">
        <v>80</v>
      </c>
      <c r="O1519">
        <f>MATCH(Combined[[#This Row],[Primary Area]],KPIs!$C$4:$C$7,0)</f>
        <v>2</v>
      </c>
    </row>
    <row r="1520" spans="2:24" x14ac:dyDescent="0.35">
      <c r="B1520">
        <f t="shared" si="342"/>
        <v>1518</v>
      </c>
      <c r="C1520" t="s">
        <v>83</v>
      </c>
      <c r="D1520" t="s">
        <v>176</v>
      </c>
      <c r="E1520">
        <f>IF(WEEKNUM(Combined[[#This Row],[Date]], 1) = 53, 1, WEEKNUM(Combined[[#This Row],[Date]], 2))</f>
        <v>46</v>
      </c>
      <c r="F1520" t="str">
        <f t="shared" si="351"/>
        <v>Monday</v>
      </c>
      <c r="G1520" s="41">
        <v>45607</v>
      </c>
      <c r="H1520">
        <v>2</v>
      </c>
      <c r="I1520" s="1">
        <v>40.11</v>
      </c>
      <c r="J1520" s="2">
        <v>5.486111111111111E-2</v>
      </c>
      <c r="K1520" s="12">
        <f>Combined[[#This Row],[Time Spent]]*24</f>
        <v>1.3166666666666667</v>
      </c>
      <c r="L1520" s="12">
        <f>MROUND(Combined[[#This Row],[Time Spent 2]],0.25)</f>
        <v>1.25</v>
      </c>
      <c r="M1520" s="2" t="s">
        <v>91</v>
      </c>
      <c r="N1520" t="s">
        <v>80</v>
      </c>
      <c r="O1520">
        <f>MATCH(Combined[[#This Row],[Primary Area]],KPIs!$C$4:$C$7,0)</f>
        <v>2</v>
      </c>
    </row>
    <row r="1521" spans="2:15" x14ac:dyDescent="0.35">
      <c r="B1521">
        <f t="shared" si="342"/>
        <v>1519</v>
      </c>
      <c r="C1521" t="s">
        <v>86</v>
      </c>
      <c r="D1521" t="s">
        <v>176</v>
      </c>
      <c r="E1521">
        <f>IF(WEEKNUM(Combined[[#This Row],[Date]], 1) = 53, 1, WEEKNUM(Combined[[#This Row],[Date]], 2))</f>
        <v>46</v>
      </c>
      <c r="F1521" t="str">
        <f t="shared" si="351"/>
        <v>Monday</v>
      </c>
      <c r="G1521" s="41">
        <v>45607</v>
      </c>
      <c r="H1521">
        <v>13</v>
      </c>
      <c r="I1521" s="1">
        <f>100.73+2.75</f>
        <v>103.48</v>
      </c>
      <c r="J1521" s="2">
        <v>0.21111111111111111</v>
      </c>
      <c r="K1521" s="12">
        <f>Combined[[#This Row],[Time Spent]]*24</f>
        <v>5.0666666666666664</v>
      </c>
      <c r="L1521" s="12">
        <f>MROUND(Combined[[#This Row],[Time Spent 2]],0.25)</f>
        <v>5</v>
      </c>
      <c r="M1521" s="2" t="s">
        <v>91</v>
      </c>
      <c r="N1521" t="s">
        <v>80</v>
      </c>
      <c r="O1521">
        <f>MATCH(Combined[[#This Row],[Primary Area]],KPIs!$C$4:$C$7,0)</f>
        <v>2</v>
      </c>
    </row>
    <row r="1522" spans="2:15" x14ac:dyDescent="0.35">
      <c r="B1522">
        <f t="shared" si="342"/>
        <v>1520</v>
      </c>
      <c r="C1522" t="s">
        <v>83</v>
      </c>
      <c r="D1522" t="s">
        <v>176</v>
      </c>
      <c r="E1522">
        <f>IF(WEEKNUM(Combined[[#This Row],[Date]], 1) = 53, 1, WEEKNUM(Combined[[#This Row],[Date]], 2))</f>
        <v>46</v>
      </c>
      <c r="F1522" t="str">
        <f t="shared" ref="F1522:F1540" si="352">TEXT(WEEKDAY(G1522,1),"DDDD")</f>
        <v>Tuesday</v>
      </c>
      <c r="G1522" s="41">
        <v>45608</v>
      </c>
      <c r="H1522">
        <v>3</v>
      </c>
      <c r="I1522" s="1">
        <v>30.3</v>
      </c>
      <c r="J1522" s="2">
        <v>0.10833333333333334</v>
      </c>
      <c r="K1522" s="12">
        <f>Combined[[#This Row],[Time Spent]]*24</f>
        <v>2.6</v>
      </c>
      <c r="L1522" s="12">
        <f>MROUND(Combined[[#This Row],[Time Spent 2]],0.25)</f>
        <v>2.5</v>
      </c>
      <c r="M1522" s="2" t="s">
        <v>91</v>
      </c>
      <c r="N1522" t="s">
        <v>80</v>
      </c>
      <c r="O1522">
        <f>MATCH(Combined[[#This Row],[Primary Area]],KPIs!$C$4:$C$7,0)</f>
        <v>2</v>
      </c>
    </row>
    <row r="1523" spans="2:15" x14ac:dyDescent="0.35">
      <c r="B1523">
        <f t="shared" si="342"/>
        <v>1521</v>
      </c>
      <c r="C1523" t="s">
        <v>86</v>
      </c>
      <c r="D1523" t="s">
        <v>176</v>
      </c>
      <c r="E1523">
        <f>IF(WEEKNUM(Combined[[#This Row],[Date]], 1) = 53, 1, WEEKNUM(Combined[[#This Row],[Date]], 2))</f>
        <v>46</v>
      </c>
      <c r="F1523" t="str">
        <f t="shared" si="352"/>
        <v>Tuesday</v>
      </c>
      <c r="G1523" s="41">
        <v>45608</v>
      </c>
      <c r="H1523">
        <v>9</v>
      </c>
      <c r="I1523" s="1">
        <v>59.11</v>
      </c>
      <c r="J1523" s="2">
        <v>0.20902777777777778</v>
      </c>
      <c r="K1523" s="12">
        <f>Combined[[#This Row],[Time Spent]]*24</f>
        <v>5.0166666666666666</v>
      </c>
      <c r="L1523" s="12">
        <f>MROUND(Combined[[#This Row],[Time Spent 2]],0.25)</f>
        <v>5</v>
      </c>
      <c r="M1523" s="2" t="s">
        <v>91</v>
      </c>
      <c r="N1523" t="s">
        <v>80</v>
      </c>
      <c r="O1523">
        <f>MATCH(Combined[[#This Row],[Primary Area]],KPIs!$C$4:$C$7,0)</f>
        <v>2</v>
      </c>
    </row>
    <row r="1524" spans="2:15" x14ac:dyDescent="0.35">
      <c r="B1524">
        <f t="shared" si="342"/>
        <v>1522</v>
      </c>
      <c r="C1524" t="s">
        <v>83</v>
      </c>
      <c r="D1524" t="s">
        <v>176</v>
      </c>
      <c r="E1524">
        <f>IF(WEEKNUM(Combined[[#This Row],[Date]], 1) = 53, 1, WEEKNUM(Combined[[#This Row],[Date]], 2))</f>
        <v>46</v>
      </c>
      <c r="F1524" t="str">
        <f t="shared" si="352"/>
        <v>Friday</v>
      </c>
      <c r="G1524" s="41">
        <v>45611</v>
      </c>
      <c r="H1524">
        <v>3</v>
      </c>
      <c r="I1524" s="1">
        <v>38.51</v>
      </c>
      <c r="J1524" s="2">
        <v>0.10625</v>
      </c>
      <c r="K1524" s="12">
        <f>Combined[[#This Row],[Time Spent]]*24</f>
        <v>2.5499999999999998</v>
      </c>
      <c r="L1524" s="12">
        <f>MROUND(Combined[[#This Row],[Time Spent 2]],0.25)</f>
        <v>2.5</v>
      </c>
      <c r="M1524" s="2" t="s">
        <v>91</v>
      </c>
      <c r="N1524" t="s">
        <v>80</v>
      </c>
      <c r="O1524">
        <f>MATCH(Combined[[#This Row],[Primary Area]],KPIs!$C$4:$C$7,0)</f>
        <v>2</v>
      </c>
    </row>
    <row r="1525" spans="2:15" x14ac:dyDescent="0.35">
      <c r="B1525">
        <f t="shared" si="342"/>
        <v>1523</v>
      </c>
      <c r="C1525" t="s">
        <v>86</v>
      </c>
      <c r="D1525" t="s">
        <v>176</v>
      </c>
      <c r="E1525">
        <f>IF(WEEKNUM(Combined[[#This Row],[Date]], 1) = 53, 1, WEEKNUM(Combined[[#This Row],[Date]], 2))</f>
        <v>46</v>
      </c>
      <c r="F1525" t="str">
        <f t="shared" si="352"/>
        <v>Friday</v>
      </c>
      <c r="G1525" s="41">
        <v>45611</v>
      </c>
      <c r="H1525">
        <v>2</v>
      </c>
      <c r="I1525" s="1">
        <v>19.5</v>
      </c>
      <c r="J1525" s="2">
        <v>5.9722222222222225E-2</v>
      </c>
      <c r="K1525" s="12">
        <f>Combined[[#This Row],[Time Spent]]*24</f>
        <v>1.4333333333333333</v>
      </c>
      <c r="L1525" s="12">
        <f>MROUND(Combined[[#This Row],[Time Spent 2]],0.25)</f>
        <v>1.5</v>
      </c>
      <c r="M1525" s="2" t="s">
        <v>91</v>
      </c>
      <c r="N1525" t="s">
        <v>80</v>
      </c>
      <c r="O1525">
        <f>MATCH(Combined[[#This Row],[Primary Area]],KPIs!$C$4:$C$7,0)</f>
        <v>2</v>
      </c>
    </row>
    <row r="1526" spans="2:15" x14ac:dyDescent="0.35">
      <c r="B1526">
        <f t="shared" si="342"/>
        <v>1524</v>
      </c>
      <c r="C1526" t="s">
        <v>86</v>
      </c>
      <c r="D1526" t="s">
        <v>176</v>
      </c>
      <c r="E1526">
        <f>IF(WEEKNUM(Combined[[#This Row],[Date]], 1) = 53, 1, WEEKNUM(Combined[[#This Row],[Date]], 2))</f>
        <v>46</v>
      </c>
      <c r="F1526" t="str">
        <f t="shared" si="352"/>
        <v>Friday</v>
      </c>
      <c r="G1526" s="41">
        <v>45611</v>
      </c>
      <c r="H1526">
        <v>12</v>
      </c>
      <c r="I1526" s="1">
        <v>92.25</v>
      </c>
      <c r="J1526" s="2">
        <v>0.18472222222222223</v>
      </c>
      <c r="K1526" s="12">
        <f>Combined[[#This Row],[Time Spent]]*24</f>
        <v>4.4333333333333336</v>
      </c>
      <c r="L1526" s="12">
        <f>MROUND(Combined[[#This Row],[Time Spent 2]],0.25)</f>
        <v>4.5</v>
      </c>
      <c r="M1526" s="2" t="s">
        <v>91</v>
      </c>
      <c r="N1526" t="s">
        <v>80</v>
      </c>
      <c r="O1526">
        <f>MATCH(Combined[[#This Row],[Primary Area]],KPIs!$C$4:$C$7,0)</f>
        <v>2</v>
      </c>
    </row>
    <row r="1527" spans="2:15" x14ac:dyDescent="0.35">
      <c r="B1527">
        <f t="shared" ref="B1527:B1591" si="353">ROW()-2</f>
        <v>1525</v>
      </c>
      <c r="C1527" t="s">
        <v>83</v>
      </c>
      <c r="D1527" t="s">
        <v>176</v>
      </c>
      <c r="E1527">
        <f>IF(WEEKNUM(Combined[[#This Row],[Date]], 1) = 53, 1, WEEKNUM(Combined[[#This Row],[Date]], 2))</f>
        <v>46</v>
      </c>
      <c r="F1527" t="str">
        <f t="shared" si="352"/>
        <v>Saturday</v>
      </c>
      <c r="G1527" s="41">
        <v>45612</v>
      </c>
      <c r="H1527">
        <v>4</v>
      </c>
      <c r="I1527" s="1">
        <v>52.19</v>
      </c>
      <c r="J1527" s="2">
        <v>0.14166666666666666</v>
      </c>
      <c r="K1527" s="12">
        <f>Combined[[#This Row],[Time Spent]]*24</f>
        <v>3.4</v>
      </c>
      <c r="L1527" s="12">
        <f>MROUND(Combined[[#This Row],[Time Spent 2]],0.25)</f>
        <v>3.5</v>
      </c>
      <c r="M1527" s="2" t="s">
        <v>91</v>
      </c>
      <c r="N1527" t="s">
        <v>82</v>
      </c>
      <c r="O1527">
        <f>MATCH(Combined[[#This Row],[Primary Area]],KPIs!$C$4:$C$7,0)</f>
        <v>3</v>
      </c>
    </row>
    <row r="1528" spans="2:15" x14ac:dyDescent="0.35">
      <c r="B1528">
        <f t="shared" si="353"/>
        <v>1526</v>
      </c>
      <c r="C1528" t="s">
        <v>86</v>
      </c>
      <c r="D1528" t="s">
        <v>176</v>
      </c>
      <c r="E1528">
        <f>IF(WEEKNUM(Combined[[#This Row],[Date]], 1) = 53, 1, WEEKNUM(Combined[[#This Row],[Date]], 2))</f>
        <v>46</v>
      </c>
      <c r="F1528" t="str">
        <f t="shared" si="352"/>
        <v>Saturday</v>
      </c>
      <c r="G1528" s="41">
        <v>45612</v>
      </c>
      <c r="H1528">
        <v>1</v>
      </c>
      <c r="I1528" s="1">
        <v>7</v>
      </c>
      <c r="J1528" s="2">
        <v>4.6527777777777779E-2</v>
      </c>
      <c r="K1528" s="12">
        <f>Combined[[#This Row],[Time Spent]]*24</f>
        <v>1.1166666666666667</v>
      </c>
      <c r="L1528" s="12">
        <f>MROUND(Combined[[#This Row],[Time Spent 2]],0.25)</f>
        <v>1</v>
      </c>
      <c r="M1528" s="2" t="s">
        <v>91</v>
      </c>
      <c r="N1528" t="s">
        <v>82</v>
      </c>
      <c r="O1528">
        <f>MATCH(Combined[[#This Row],[Primary Area]],KPIs!$C$4:$C$7,0)</f>
        <v>3</v>
      </c>
    </row>
    <row r="1529" spans="2:15" x14ac:dyDescent="0.35">
      <c r="B1529">
        <f t="shared" si="353"/>
        <v>1527</v>
      </c>
      <c r="C1529" t="s">
        <v>86</v>
      </c>
      <c r="D1529" t="s">
        <v>176</v>
      </c>
      <c r="E1529">
        <f>IF(WEEKNUM(Combined[[#This Row],[Date]], 1) = 53, 1, WEEKNUM(Combined[[#This Row],[Date]], 2))</f>
        <v>46</v>
      </c>
      <c r="F1529" t="str">
        <f t="shared" si="352"/>
        <v>Saturday</v>
      </c>
      <c r="G1529" s="41">
        <v>45612</v>
      </c>
      <c r="H1529">
        <v>12</v>
      </c>
      <c r="I1529" s="1">
        <v>79.5</v>
      </c>
      <c r="J1529" s="2">
        <v>0.17083333333333334</v>
      </c>
      <c r="K1529" s="12">
        <f>Combined[[#This Row],[Time Spent]]*24</f>
        <v>4.0999999999999996</v>
      </c>
      <c r="L1529" s="12">
        <f>MROUND(Combined[[#This Row],[Time Spent 2]],0.25)</f>
        <v>4</v>
      </c>
      <c r="M1529" s="2" t="s">
        <v>91</v>
      </c>
      <c r="N1529" t="s">
        <v>82</v>
      </c>
      <c r="O1529">
        <f>MATCH(Combined[[#This Row],[Primary Area]],KPIs!$C$4:$C$7,0)</f>
        <v>3</v>
      </c>
    </row>
    <row r="1530" spans="2:15" x14ac:dyDescent="0.35">
      <c r="B1530">
        <f t="shared" si="353"/>
        <v>1528</v>
      </c>
      <c r="C1530" t="s">
        <v>86</v>
      </c>
      <c r="D1530" t="s">
        <v>175</v>
      </c>
      <c r="E1530">
        <f>IF(WEEKNUM(Combined[[#This Row],[Date]], 1) = 53, 1, WEEKNUM(Combined[[#This Row],[Date]], 2))</f>
        <v>46</v>
      </c>
      <c r="F1530" t="str">
        <f t="shared" si="352"/>
        <v>Saturday</v>
      </c>
      <c r="G1530" s="41">
        <v>45612</v>
      </c>
      <c r="H1530">
        <v>1</v>
      </c>
      <c r="I1530" s="1">
        <v>6.09</v>
      </c>
      <c r="J1530" s="2">
        <v>1.4583333333333334E-2</v>
      </c>
      <c r="K1530" s="12">
        <f>Combined[[#This Row],[Time Spent]]*24</f>
        <v>0.35</v>
      </c>
      <c r="L1530" s="12">
        <f>MROUND(Combined[[#This Row],[Time Spent 2]],0.25)</f>
        <v>0.25</v>
      </c>
      <c r="M1530" s="2" t="s">
        <v>92</v>
      </c>
      <c r="N1530" t="s">
        <v>82</v>
      </c>
      <c r="O1530">
        <f>MATCH(Combined[[#This Row],[Primary Area]],KPIs!$C$4:$C$7,0)</f>
        <v>3</v>
      </c>
    </row>
    <row r="1531" spans="2:15" x14ac:dyDescent="0.35">
      <c r="B1531">
        <f t="shared" si="353"/>
        <v>1529</v>
      </c>
      <c r="C1531" t="s">
        <v>86</v>
      </c>
      <c r="D1531" t="s">
        <v>176</v>
      </c>
      <c r="E1531">
        <f>IF(WEEKNUM(Combined[[#This Row],[Date]], 1) = 53, 1, WEEKNUM(Combined[[#This Row],[Date]], 2))</f>
        <v>46</v>
      </c>
      <c r="F1531" t="str">
        <f t="shared" si="352"/>
        <v>Saturday</v>
      </c>
      <c r="G1531" s="41">
        <v>45612</v>
      </c>
      <c r="H1531">
        <v>2</v>
      </c>
      <c r="I1531" s="1">
        <v>29.5</v>
      </c>
      <c r="J1531" s="2">
        <v>4.8611111111111112E-2</v>
      </c>
      <c r="K1531" s="12">
        <f>Combined[[#This Row],[Time Spent]]*24</f>
        <v>1.1666666666666667</v>
      </c>
      <c r="L1531" s="12">
        <f>MROUND(Combined[[#This Row],[Time Spent 2]],0.25)</f>
        <v>1.25</v>
      </c>
      <c r="M1531" s="2" t="s">
        <v>92</v>
      </c>
      <c r="N1531" t="s">
        <v>82</v>
      </c>
      <c r="O1531">
        <f>MATCH(Combined[[#This Row],[Primary Area]],KPIs!$C$4:$C$7,0)</f>
        <v>3</v>
      </c>
    </row>
    <row r="1532" spans="2:15" x14ac:dyDescent="0.35">
      <c r="B1532">
        <f t="shared" si="353"/>
        <v>1530</v>
      </c>
      <c r="C1532" t="s">
        <v>83</v>
      </c>
      <c r="D1532" t="s">
        <v>176</v>
      </c>
      <c r="E1532">
        <f>IF(WEEKNUM(Combined[[#This Row],[Date]], 1) = 53, 1, WEEKNUM(Combined[[#This Row],[Date]], 2))</f>
        <v>47</v>
      </c>
      <c r="F1532" t="str">
        <f t="shared" si="352"/>
        <v>Monday</v>
      </c>
      <c r="G1532" s="41">
        <v>45614</v>
      </c>
      <c r="H1532">
        <v>4</v>
      </c>
      <c r="I1532" s="1">
        <v>54.75</v>
      </c>
      <c r="J1532" s="2">
        <v>0.10069444444444445</v>
      </c>
      <c r="K1532" s="12">
        <f>Combined[[#This Row],[Time Spent]]*24</f>
        <v>2.416666666666667</v>
      </c>
      <c r="L1532" s="12">
        <f>MROUND(Combined[[#This Row],[Time Spent 2]],0.25)</f>
        <v>2.5</v>
      </c>
      <c r="M1532" s="2" t="s">
        <v>91</v>
      </c>
      <c r="N1532" t="s">
        <v>80</v>
      </c>
      <c r="O1532">
        <f>MATCH(Combined[[#This Row],[Primary Area]],KPIs!$C$4:$C$7,0)</f>
        <v>2</v>
      </c>
    </row>
    <row r="1533" spans="2:15" x14ac:dyDescent="0.35">
      <c r="B1533">
        <f t="shared" si="353"/>
        <v>1531</v>
      </c>
      <c r="C1533" t="s">
        <v>86</v>
      </c>
      <c r="D1533" t="s">
        <v>176</v>
      </c>
      <c r="E1533">
        <f>IF(WEEKNUM(Combined[[#This Row],[Date]], 1) = 53, 1, WEEKNUM(Combined[[#This Row],[Date]], 2))</f>
        <v>47</v>
      </c>
      <c r="F1533" t="str">
        <f t="shared" si="352"/>
        <v>Monday</v>
      </c>
      <c r="G1533" s="41">
        <v>45614</v>
      </c>
      <c r="H1533">
        <v>1</v>
      </c>
      <c r="I1533" s="1">
        <v>14</v>
      </c>
      <c r="J1533" s="2">
        <v>5.4166666666666669E-2</v>
      </c>
      <c r="K1533" s="12">
        <f>Combined[[#This Row],[Time Spent]]*24</f>
        <v>1.3</v>
      </c>
      <c r="L1533" s="12">
        <f>MROUND(Combined[[#This Row],[Time Spent 2]],0.25)</f>
        <v>1.25</v>
      </c>
      <c r="M1533" s="2" t="s">
        <v>91</v>
      </c>
      <c r="N1533" t="s">
        <v>80</v>
      </c>
      <c r="O1533">
        <f>MATCH(Combined[[#This Row],[Primary Area]],KPIs!$C$4:$C$7,0)</f>
        <v>2</v>
      </c>
    </row>
    <row r="1534" spans="2:15" x14ac:dyDescent="0.35">
      <c r="B1534">
        <f t="shared" si="353"/>
        <v>1532</v>
      </c>
      <c r="C1534" t="s">
        <v>83</v>
      </c>
      <c r="D1534" t="s">
        <v>176</v>
      </c>
      <c r="E1534">
        <f>IF(WEEKNUM(Combined[[#This Row],[Date]], 1) = 53, 1, WEEKNUM(Combined[[#This Row],[Date]], 2))</f>
        <v>47</v>
      </c>
      <c r="F1534" t="str">
        <f t="shared" si="352"/>
        <v>Thursday</v>
      </c>
      <c r="G1534" s="41">
        <v>45617</v>
      </c>
      <c r="H1534">
        <v>1</v>
      </c>
      <c r="I1534" s="1">
        <v>8.07</v>
      </c>
      <c r="J1534" s="2">
        <v>2.4305555555555556E-2</v>
      </c>
      <c r="K1534" s="12">
        <f>Combined[[#This Row],[Time Spent]]*24</f>
        <v>0.58333333333333337</v>
      </c>
      <c r="L1534" s="12">
        <f>MROUND(Combined[[#This Row],[Time Spent 2]],0.25)</f>
        <v>0.5</v>
      </c>
      <c r="M1534" s="2" t="s">
        <v>91</v>
      </c>
      <c r="N1534" t="s">
        <v>80</v>
      </c>
      <c r="O1534">
        <f>MATCH(Combined[[#This Row],[Primary Area]],KPIs!$C$4:$C$7,0)</f>
        <v>2</v>
      </c>
    </row>
    <row r="1535" spans="2:15" x14ac:dyDescent="0.35">
      <c r="B1535">
        <f t="shared" si="353"/>
        <v>1533</v>
      </c>
      <c r="C1535" t="s">
        <v>83</v>
      </c>
      <c r="D1535" t="s">
        <v>176</v>
      </c>
      <c r="E1535">
        <f>IF(WEEKNUM(Combined[[#This Row],[Date]], 1) = 53, 1, WEEKNUM(Combined[[#This Row],[Date]], 2))</f>
        <v>47</v>
      </c>
      <c r="F1535" t="str">
        <f t="shared" si="352"/>
        <v>Friday</v>
      </c>
      <c r="G1535" s="41">
        <v>45618</v>
      </c>
      <c r="H1535">
        <v>1</v>
      </c>
      <c r="I1535" s="1">
        <v>32.049999999999997</v>
      </c>
      <c r="J1535" s="2">
        <v>9.4444444444444442E-2</v>
      </c>
      <c r="K1535" s="12">
        <f>Combined[[#This Row],[Time Spent]]*24</f>
        <v>2.2666666666666666</v>
      </c>
      <c r="L1535" s="12">
        <f>MROUND(Combined[[#This Row],[Time Spent 2]],0.25)</f>
        <v>2.25</v>
      </c>
      <c r="M1535" s="2" t="s">
        <v>91</v>
      </c>
      <c r="N1535" t="s">
        <v>80</v>
      </c>
      <c r="O1535">
        <f>MATCH(Combined[[#This Row],[Primary Area]],KPIs!$C$4:$C$7,0)</f>
        <v>2</v>
      </c>
    </row>
    <row r="1536" spans="2:15" x14ac:dyDescent="0.35">
      <c r="B1536">
        <f t="shared" si="353"/>
        <v>1534</v>
      </c>
      <c r="C1536" t="s">
        <v>86</v>
      </c>
      <c r="D1536" t="s">
        <v>176</v>
      </c>
      <c r="E1536">
        <f>IF(WEEKNUM(Combined[[#This Row],[Date]], 1) = 53, 1, WEEKNUM(Combined[[#This Row],[Date]], 2))</f>
        <v>47</v>
      </c>
      <c r="F1536" t="str">
        <f t="shared" si="352"/>
        <v>Friday</v>
      </c>
      <c r="G1536" s="41">
        <v>45618</v>
      </c>
      <c r="H1536">
        <v>5</v>
      </c>
      <c r="I1536" s="1">
        <v>61.15</v>
      </c>
      <c r="J1536" s="2">
        <v>0.12708333333333333</v>
      </c>
      <c r="K1536" s="12">
        <f>Combined[[#This Row],[Time Spent]]*24</f>
        <v>3.05</v>
      </c>
      <c r="L1536" s="12">
        <f>MROUND(Combined[[#This Row],[Time Spent 2]],0.25)</f>
        <v>3</v>
      </c>
      <c r="M1536" s="2" t="s">
        <v>91</v>
      </c>
      <c r="N1536" t="s">
        <v>80</v>
      </c>
      <c r="O1536">
        <f>MATCH(Combined[[#This Row],[Primary Area]],KPIs!$C$4:$C$7,0)</f>
        <v>2</v>
      </c>
    </row>
    <row r="1537" spans="2:15" x14ac:dyDescent="0.35">
      <c r="B1537">
        <f t="shared" si="353"/>
        <v>1535</v>
      </c>
      <c r="C1537" t="s">
        <v>86</v>
      </c>
      <c r="D1537" t="s">
        <v>176</v>
      </c>
      <c r="E1537">
        <f>IF(WEEKNUM(Combined[[#This Row],[Date]], 1) = 53, 1, WEEKNUM(Combined[[#This Row],[Date]], 2))</f>
        <v>47</v>
      </c>
      <c r="F1537" t="str">
        <f t="shared" si="352"/>
        <v>Friday</v>
      </c>
      <c r="G1537" s="41">
        <v>45618</v>
      </c>
      <c r="H1537">
        <v>2</v>
      </c>
      <c r="I1537" s="1">
        <v>12.5</v>
      </c>
      <c r="J1537" s="2">
        <v>4.5138888888888888E-2</v>
      </c>
      <c r="K1537" s="12">
        <f>Combined[[#This Row],[Time Spent]]*24</f>
        <v>1.0833333333333333</v>
      </c>
      <c r="L1537" s="12">
        <f>MROUND(Combined[[#This Row],[Time Spent 2]],0.25)</f>
        <v>1</v>
      </c>
      <c r="M1537" s="2" t="s">
        <v>92</v>
      </c>
      <c r="N1537" t="s">
        <v>80</v>
      </c>
      <c r="O1537">
        <f>MATCH(Combined[[#This Row],[Primary Area]],KPIs!$C$4:$C$7,0)</f>
        <v>2</v>
      </c>
    </row>
    <row r="1538" spans="2:15" x14ac:dyDescent="0.35">
      <c r="B1538">
        <f t="shared" si="353"/>
        <v>1536</v>
      </c>
      <c r="C1538" t="s">
        <v>83</v>
      </c>
      <c r="D1538" t="s">
        <v>176</v>
      </c>
      <c r="E1538">
        <f>IF(WEEKNUM(Combined[[#This Row],[Date]], 1) = 53, 1, WEEKNUM(Combined[[#This Row],[Date]], 2))</f>
        <v>48</v>
      </c>
      <c r="F1538" t="str">
        <f t="shared" si="352"/>
        <v>Monday</v>
      </c>
      <c r="G1538" s="41">
        <v>45621</v>
      </c>
      <c r="H1538">
        <v>2</v>
      </c>
      <c r="I1538" s="1">
        <v>22.53</v>
      </c>
      <c r="J1538" s="2">
        <v>5.9722222222222225E-2</v>
      </c>
      <c r="K1538" s="12">
        <f>Combined[[#This Row],[Time Spent]]*24</f>
        <v>1.4333333333333333</v>
      </c>
      <c r="L1538" s="12">
        <f>MROUND(Combined[[#This Row],[Time Spent 2]],0.25)</f>
        <v>1.5</v>
      </c>
      <c r="M1538" s="2" t="s">
        <v>91</v>
      </c>
      <c r="N1538" t="s">
        <v>80</v>
      </c>
      <c r="O1538">
        <f>MATCH(Combined[[#This Row],[Primary Area]],KPIs!$C$4:$C$7,0)</f>
        <v>2</v>
      </c>
    </row>
    <row r="1539" spans="2:15" x14ac:dyDescent="0.35">
      <c r="B1539">
        <f t="shared" si="353"/>
        <v>1537</v>
      </c>
      <c r="C1539" t="s">
        <v>86</v>
      </c>
      <c r="D1539" t="s">
        <v>176</v>
      </c>
      <c r="E1539">
        <f>IF(WEEKNUM(Combined[[#This Row],[Date]], 1) = 53, 1, WEEKNUM(Combined[[#This Row],[Date]], 2))</f>
        <v>48</v>
      </c>
      <c r="F1539" t="str">
        <f t="shared" si="352"/>
        <v>Monday</v>
      </c>
      <c r="G1539" s="41">
        <v>45621</v>
      </c>
      <c r="H1539">
        <v>1</v>
      </c>
      <c r="I1539" s="1">
        <v>11.09</v>
      </c>
      <c r="J1539" s="2">
        <v>3.4027777777777775E-2</v>
      </c>
      <c r="K1539" s="12">
        <f>Combined[[#This Row],[Time Spent]]*24</f>
        <v>0.81666666666666665</v>
      </c>
      <c r="L1539" s="12">
        <f>MROUND(Combined[[#This Row],[Time Spent 2]],0.25)</f>
        <v>0.75</v>
      </c>
      <c r="M1539" s="2" t="s">
        <v>91</v>
      </c>
      <c r="N1539" t="s">
        <v>80</v>
      </c>
      <c r="O1539">
        <f>MATCH(Combined[[#This Row],[Primary Area]],KPIs!$C$4:$C$7,0)</f>
        <v>2</v>
      </c>
    </row>
    <row r="1540" spans="2:15" x14ac:dyDescent="0.35">
      <c r="B1540">
        <f t="shared" si="353"/>
        <v>1538</v>
      </c>
      <c r="C1540" t="s">
        <v>86</v>
      </c>
      <c r="D1540" t="s">
        <v>176</v>
      </c>
      <c r="E1540">
        <f>IF(WEEKNUM(Combined[[#This Row],[Date]], 1) = 53, 1, WEEKNUM(Combined[[#This Row],[Date]], 2))</f>
        <v>48</v>
      </c>
      <c r="F1540" t="str">
        <f t="shared" si="352"/>
        <v>Monday</v>
      </c>
      <c r="G1540" s="41">
        <v>45621</v>
      </c>
      <c r="H1540">
        <v>3</v>
      </c>
      <c r="I1540" s="1">
        <v>30.77</v>
      </c>
      <c r="J1540" s="2">
        <v>5.2777777777777778E-2</v>
      </c>
      <c r="K1540" s="12">
        <f>Combined[[#This Row],[Time Spent]]*24</f>
        <v>1.2666666666666666</v>
      </c>
      <c r="L1540" s="12">
        <f>MROUND(Combined[[#This Row],[Time Spent 2]],0.25)</f>
        <v>1.25</v>
      </c>
      <c r="M1540" s="2" t="s">
        <v>91</v>
      </c>
      <c r="N1540" t="s">
        <v>80</v>
      </c>
      <c r="O1540">
        <f>MATCH(Combined[[#This Row],[Primary Area]],KPIs!$C$4:$C$7,0)</f>
        <v>2</v>
      </c>
    </row>
    <row r="1541" spans="2:15" x14ac:dyDescent="0.35">
      <c r="B1541">
        <f t="shared" si="353"/>
        <v>1539</v>
      </c>
      <c r="C1541" t="s">
        <v>83</v>
      </c>
      <c r="D1541" t="s">
        <v>176</v>
      </c>
      <c r="E1541">
        <f>IF(WEEKNUM(Combined[[#This Row],[Date]], 1) = 53, 1, WEEKNUM(Combined[[#This Row],[Date]], 2))</f>
        <v>48</v>
      </c>
      <c r="F1541" t="str">
        <f t="shared" ref="F1541:F1545" si="354">TEXT(WEEKDAY(G1541,1),"DDDD")</f>
        <v>Wednesday</v>
      </c>
      <c r="G1541" s="41">
        <v>45623</v>
      </c>
      <c r="H1541">
        <v>2</v>
      </c>
      <c r="I1541" s="1">
        <v>26.35</v>
      </c>
      <c r="J1541" s="2">
        <v>6.0416666666666667E-2</v>
      </c>
      <c r="K1541" s="12">
        <f>Combined[[#This Row],[Time Spent]]*24</f>
        <v>1.45</v>
      </c>
      <c r="L1541" s="12">
        <f>MROUND(Combined[[#This Row],[Time Spent 2]],0.25)</f>
        <v>1.5</v>
      </c>
      <c r="M1541" s="2" t="s">
        <v>91</v>
      </c>
      <c r="N1541" t="s">
        <v>80</v>
      </c>
      <c r="O1541">
        <f>MATCH(Combined[[#This Row],[Primary Area]],KPIs!$C$4:$C$7,0)</f>
        <v>2</v>
      </c>
    </row>
    <row r="1542" spans="2:15" x14ac:dyDescent="0.35">
      <c r="B1542">
        <f t="shared" si="353"/>
        <v>1540</v>
      </c>
      <c r="C1542" t="s">
        <v>86</v>
      </c>
      <c r="D1542" t="s">
        <v>175</v>
      </c>
      <c r="E1542">
        <f>IF(WEEKNUM(Combined[[#This Row],[Date]], 1) = 53, 1, WEEKNUM(Combined[[#This Row],[Date]], 2))</f>
        <v>48</v>
      </c>
      <c r="F1542" t="str">
        <f t="shared" si="354"/>
        <v>Wednesday</v>
      </c>
      <c r="G1542" s="41">
        <v>45623</v>
      </c>
      <c r="H1542">
        <v>4</v>
      </c>
      <c r="I1542" s="1">
        <v>40.520000000000003</v>
      </c>
      <c r="J1542" s="2">
        <v>8.3333333333333329E-2</v>
      </c>
      <c r="K1542" s="12">
        <f>Combined[[#This Row],[Time Spent]]*24</f>
        <v>2</v>
      </c>
      <c r="L1542" s="12">
        <f>MROUND(Combined[[#This Row],[Time Spent 2]],0.25)</f>
        <v>2</v>
      </c>
      <c r="M1542" s="2" t="s">
        <v>91</v>
      </c>
      <c r="N1542" t="s">
        <v>80</v>
      </c>
      <c r="O1542">
        <f>MATCH(Combined[[#This Row],[Primary Area]],KPIs!$C$4:$C$7,0)</f>
        <v>2</v>
      </c>
    </row>
    <row r="1543" spans="2:15" x14ac:dyDescent="0.35">
      <c r="B1543">
        <f t="shared" si="353"/>
        <v>1541</v>
      </c>
      <c r="C1543" t="s">
        <v>83</v>
      </c>
      <c r="D1543" t="s">
        <v>176</v>
      </c>
      <c r="E1543">
        <f>IF(WEEKNUM(Combined[[#This Row],[Date]], 1) = 53, 1, WEEKNUM(Combined[[#This Row],[Date]], 2))</f>
        <v>48</v>
      </c>
      <c r="F1543" t="str">
        <f t="shared" si="354"/>
        <v>Friday</v>
      </c>
      <c r="G1543" s="41">
        <v>45625</v>
      </c>
      <c r="H1543">
        <v>2</v>
      </c>
      <c r="I1543" s="1">
        <v>33.53</v>
      </c>
      <c r="J1543" s="2">
        <v>9.2361111111111116E-2</v>
      </c>
      <c r="K1543" s="12">
        <f>Combined[[#This Row],[Time Spent]]*24</f>
        <v>2.2166666666666668</v>
      </c>
      <c r="L1543" s="12">
        <f>MROUND(Combined[[#This Row],[Time Spent 2]],0.25)</f>
        <v>2.25</v>
      </c>
      <c r="M1543" s="2" t="s">
        <v>91</v>
      </c>
      <c r="N1543" t="s">
        <v>174</v>
      </c>
      <c r="O1543">
        <f>MATCH(Combined[[#This Row],[Primary Area]],KPIs!$C$4:$C$7,0)</f>
        <v>1</v>
      </c>
    </row>
    <row r="1544" spans="2:15" x14ac:dyDescent="0.35">
      <c r="B1544">
        <f t="shared" si="353"/>
        <v>1542</v>
      </c>
      <c r="C1544" t="s">
        <v>86</v>
      </c>
      <c r="D1544" t="s">
        <v>176</v>
      </c>
      <c r="E1544">
        <f>IF(WEEKNUM(Combined[[#This Row],[Date]], 1) = 53, 1, WEEKNUM(Combined[[#This Row],[Date]], 2))</f>
        <v>48</v>
      </c>
      <c r="F1544" t="str">
        <f t="shared" si="354"/>
        <v>Friday</v>
      </c>
      <c r="G1544" s="41">
        <v>45625</v>
      </c>
      <c r="H1544">
        <v>1</v>
      </c>
      <c r="I1544" s="1">
        <v>30.5</v>
      </c>
      <c r="J1544" s="2">
        <v>6.5277777777777782E-2</v>
      </c>
      <c r="K1544" s="12">
        <f>Combined[[#This Row],[Time Spent]]*24</f>
        <v>1.5666666666666669</v>
      </c>
      <c r="L1544" s="12">
        <f>MROUND(Combined[[#This Row],[Time Spent 2]],0.25)</f>
        <v>1.5</v>
      </c>
      <c r="M1544" s="2" t="s">
        <v>91</v>
      </c>
      <c r="N1544" t="s">
        <v>174</v>
      </c>
      <c r="O1544">
        <f>MATCH(Combined[[#This Row],[Primary Area]],KPIs!$C$4:$C$7,0)</f>
        <v>1</v>
      </c>
    </row>
    <row r="1545" spans="2:15" x14ac:dyDescent="0.35">
      <c r="B1545">
        <f t="shared" si="353"/>
        <v>1543</v>
      </c>
      <c r="C1545" t="s">
        <v>86</v>
      </c>
      <c r="D1545" t="s">
        <v>175</v>
      </c>
      <c r="E1545">
        <f>IF(WEEKNUM(Combined[[#This Row],[Date]], 1) = 53, 1, WEEKNUM(Combined[[#This Row],[Date]], 2))</f>
        <v>48</v>
      </c>
      <c r="F1545" t="str">
        <f t="shared" si="354"/>
        <v>Friday</v>
      </c>
      <c r="G1545" s="41">
        <v>45625</v>
      </c>
      <c r="H1545">
        <v>8</v>
      </c>
      <c r="I1545" s="1">
        <v>86.26</v>
      </c>
      <c r="J1545" s="2">
        <v>0.16527777777777777</v>
      </c>
      <c r="K1545" s="12">
        <f>Combined[[#This Row],[Time Spent]]*24</f>
        <v>3.9666666666666668</v>
      </c>
      <c r="L1545" s="12">
        <f>MROUND(Combined[[#This Row],[Time Spent 2]],0.25)</f>
        <v>4</v>
      </c>
      <c r="M1545" s="2" t="s">
        <v>91</v>
      </c>
      <c r="N1545" t="s">
        <v>174</v>
      </c>
      <c r="O1545">
        <f>MATCH(Combined[[#This Row],[Primary Area]],KPIs!$C$4:$C$7,0)</f>
        <v>1</v>
      </c>
    </row>
    <row r="1546" spans="2:15" x14ac:dyDescent="0.35">
      <c r="B1546">
        <f t="shared" si="353"/>
        <v>1544</v>
      </c>
      <c r="C1546" t="s">
        <v>83</v>
      </c>
      <c r="D1546" t="s">
        <v>176</v>
      </c>
      <c r="E1546">
        <f>IF(WEEKNUM(Combined[[#This Row],[Date]], 1) = 53, 1, WEEKNUM(Combined[[#This Row],[Date]], 2))</f>
        <v>49</v>
      </c>
      <c r="F1546" t="str">
        <f t="shared" ref="F1546:F1556" si="355">TEXT(WEEKDAY(G1546,1),"DDDD")</f>
        <v>Monday</v>
      </c>
      <c r="G1546" s="41">
        <v>45628</v>
      </c>
      <c r="H1546">
        <v>6</v>
      </c>
      <c r="I1546" s="1">
        <v>35.08</v>
      </c>
      <c r="J1546" s="2">
        <v>4.583333333333333E-2</v>
      </c>
      <c r="K1546" s="12">
        <f>Combined[[#This Row],[Time Spent]]*24</f>
        <v>1.0999999999999999</v>
      </c>
      <c r="L1546" s="12">
        <f>MROUND(Combined[[#This Row],[Time Spent 2]],0.25)</f>
        <v>1</v>
      </c>
      <c r="M1546" s="2" t="s">
        <v>91</v>
      </c>
      <c r="N1546" t="s">
        <v>80</v>
      </c>
      <c r="O1546">
        <f>MATCH(Combined[[#This Row],[Primary Area]],KPIs!$C$4:$C$7,0)</f>
        <v>2</v>
      </c>
    </row>
    <row r="1547" spans="2:15" x14ac:dyDescent="0.35">
      <c r="B1547">
        <f t="shared" si="353"/>
        <v>1545</v>
      </c>
      <c r="C1547" t="s">
        <v>86</v>
      </c>
      <c r="D1547" t="s">
        <v>176</v>
      </c>
      <c r="E1547">
        <f>IF(WEEKNUM(Combined[[#This Row],[Date]], 1) = 53, 1, WEEKNUM(Combined[[#This Row],[Date]], 2))</f>
        <v>49</v>
      </c>
      <c r="F1547" t="str">
        <f t="shared" si="355"/>
        <v>Monday</v>
      </c>
      <c r="G1547" s="41">
        <v>45628</v>
      </c>
      <c r="H1547">
        <v>4</v>
      </c>
      <c r="I1547" s="1">
        <v>31.5</v>
      </c>
      <c r="J1547" s="2">
        <v>8.9583333333333334E-2</v>
      </c>
      <c r="K1547" s="12">
        <f>Combined[[#This Row],[Time Spent]]*24</f>
        <v>2.15</v>
      </c>
      <c r="L1547" s="12">
        <f>MROUND(Combined[[#This Row],[Time Spent 2]],0.25)</f>
        <v>2.25</v>
      </c>
      <c r="M1547" s="2" t="s">
        <v>91</v>
      </c>
      <c r="N1547" t="s">
        <v>80</v>
      </c>
      <c r="O1547">
        <f>MATCH(Combined[[#This Row],[Primary Area]],KPIs!$C$4:$C$7,0)</f>
        <v>2</v>
      </c>
    </row>
    <row r="1548" spans="2:15" x14ac:dyDescent="0.35">
      <c r="B1548">
        <f t="shared" si="353"/>
        <v>1546</v>
      </c>
      <c r="C1548" t="s">
        <v>86</v>
      </c>
      <c r="D1548" t="s">
        <v>176</v>
      </c>
      <c r="E1548">
        <f>IF(WEEKNUM(Combined[[#This Row],[Date]], 1) = 53, 1, WEEKNUM(Combined[[#This Row],[Date]], 2))</f>
        <v>49</v>
      </c>
      <c r="F1548" t="str">
        <f t="shared" si="355"/>
        <v>Tuesday</v>
      </c>
      <c r="G1548" s="41">
        <v>45629</v>
      </c>
      <c r="H1548">
        <v>3</v>
      </c>
      <c r="I1548" s="1">
        <v>26</v>
      </c>
      <c r="J1548" s="2">
        <v>4.8611111111111112E-2</v>
      </c>
      <c r="K1548" s="12">
        <f>Combined[[#This Row],[Time Spent]]*24</f>
        <v>1.1666666666666667</v>
      </c>
      <c r="L1548" s="12">
        <f>MROUND(Combined[[#This Row],[Time Spent 2]],0.25)</f>
        <v>1.25</v>
      </c>
      <c r="M1548" s="2" t="s">
        <v>91</v>
      </c>
      <c r="N1548" t="s">
        <v>80</v>
      </c>
      <c r="O1548">
        <f>MATCH(Combined[[#This Row],[Primary Area]],KPIs!$C$4:$C$7,0)</f>
        <v>2</v>
      </c>
    </row>
    <row r="1549" spans="2:15" x14ac:dyDescent="0.35">
      <c r="B1549">
        <f t="shared" si="353"/>
        <v>1547</v>
      </c>
      <c r="C1549" t="s">
        <v>83</v>
      </c>
      <c r="D1549" t="s">
        <v>176</v>
      </c>
      <c r="E1549">
        <f>IF(WEEKNUM(Combined[[#This Row],[Date]], 1) = 53, 1, WEEKNUM(Combined[[#This Row],[Date]], 2))</f>
        <v>49</v>
      </c>
      <c r="F1549" t="str">
        <f t="shared" si="355"/>
        <v>Wednesday</v>
      </c>
      <c r="G1549" s="41">
        <v>45630</v>
      </c>
      <c r="H1549">
        <v>5</v>
      </c>
      <c r="I1549" s="1">
        <v>40.99</v>
      </c>
      <c r="J1549" s="2">
        <v>7.1527777777777773E-2</v>
      </c>
      <c r="K1549" s="12">
        <f>Combined[[#This Row],[Time Spent]]*24</f>
        <v>1.7166666666666666</v>
      </c>
      <c r="L1549" s="12">
        <f>MROUND(Combined[[#This Row],[Time Spent 2]],0.25)</f>
        <v>1.75</v>
      </c>
      <c r="M1549" s="2" t="s">
        <v>91</v>
      </c>
      <c r="N1549" t="s">
        <v>80</v>
      </c>
      <c r="O1549">
        <f>MATCH(Combined[[#This Row],[Primary Area]],KPIs!$C$4:$C$7,0)</f>
        <v>2</v>
      </c>
    </row>
    <row r="1550" spans="2:15" x14ac:dyDescent="0.35">
      <c r="B1550">
        <f t="shared" si="353"/>
        <v>1548</v>
      </c>
      <c r="C1550" t="s">
        <v>86</v>
      </c>
      <c r="D1550" t="s">
        <v>176</v>
      </c>
      <c r="E1550">
        <f>IF(WEEKNUM(Combined[[#This Row],[Date]], 1) = 53, 1, WEEKNUM(Combined[[#This Row],[Date]], 2))</f>
        <v>49</v>
      </c>
      <c r="F1550" t="str">
        <f t="shared" si="355"/>
        <v>Wednesday</v>
      </c>
      <c r="G1550" s="41">
        <v>45630</v>
      </c>
      <c r="H1550">
        <v>3</v>
      </c>
      <c r="I1550" s="1">
        <v>21.25</v>
      </c>
      <c r="J1550" s="2">
        <v>2.9861111111111113E-2</v>
      </c>
      <c r="K1550" s="12">
        <f>Combined[[#This Row],[Time Spent]]*24</f>
        <v>0.71666666666666667</v>
      </c>
      <c r="L1550" s="12">
        <f>MROUND(Combined[[#This Row],[Time Spent 2]],0.25)</f>
        <v>0.75</v>
      </c>
      <c r="M1550" s="2" t="s">
        <v>91</v>
      </c>
      <c r="N1550" t="s">
        <v>80</v>
      </c>
      <c r="O1550">
        <f>MATCH(Combined[[#This Row],[Primary Area]],KPIs!$C$4:$C$7,0)</f>
        <v>2</v>
      </c>
    </row>
    <row r="1551" spans="2:15" x14ac:dyDescent="0.35">
      <c r="B1551">
        <f t="shared" si="353"/>
        <v>1549</v>
      </c>
      <c r="C1551" t="s">
        <v>86</v>
      </c>
      <c r="D1551" t="s">
        <v>175</v>
      </c>
      <c r="E1551">
        <f>IF(WEEKNUM(Combined[[#This Row],[Date]], 1) = 53, 1, WEEKNUM(Combined[[#This Row],[Date]], 2))</f>
        <v>49</v>
      </c>
      <c r="F1551" t="str">
        <f t="shared" si="355"/>
        <v>Wednesday</v>
      </c>
      <c r="G1551" s="41">
        <v>45630</v>
      </c>
      <c r="H1551">
        <v>4</v>
      </c>
      <c r="I1551" s="1">
        <f>27.95+2.57</f>
        <v>30.52</v>
      </c>
      <c r="J1551" s="2">
        <v>4.583333333333333E-2</v>
      </c>
      <c r="K1551" s="12">
        <f>Combined[[#This Row],[Time Spent]]*24</f>
        <v>1.0999999999999999</v>
      </c>
      <c r="L1551" s="12">
        <f>MROUND(Combined[[#This Row],[Time Spent 2]],0.25)</f>
        <v>1</v>
      </c>
      <c r="M1551" s="2" t="s">
        <v>92</v>
      </c>
      <c r="N1551" t="s">
        <v>80</v>
      </c>
      <c r="O1551">
        <f>MATCH(Combined[[#This Row],[Primary Area]],KPIs!$C$4:$C$7,0)</f>
        <v>2</v>
      </c>
    </row>
    <row r="1552" spans="2:15" x14ac:dyDescent="0.35">
      <c r="B1552">
        <f t="shared" si="353"/>
        <v>1550</v>
      </c>
      <c r="C1552" t="s">
        <v>86</v>
      </c>
      <c r="D1552" t="s">
        <v>176</v>
      </c>
      <c r="E1552">
        <f>IF(WEEKNUM(Combined[[#This Row],[Date]], 1) = 53, 1, WEEKNUM(Combined[[#This Row],[Date]], 2))</f>
        <v>49</v>
      </c>
      <c r="F1552" t="str">
        <f t="shared" si="355"/>
        <v>Friday</v>
      </c>
      <c r="G1552" s="41">
        <v>45632</v>
      </c>
      <c r="H1552">
        <v>4</v>
      </c>
      <c r="I1552" s="1">
        <v>44.5</v>
      </c>
      <c r="J1552" s="2">
        <v>9.166666666666666E-2</v>
      </c>
      <c r="K1552" s="12">
        <f>Combined[[#This Row],[Time Spent]]*24</f>
        <v>2.1999999999999997</v>
      </c>
      <c r="L1552" s="12">
        <f>MROUND(Combined[[#This Row],[Time Spent 2]],0.25)</f>
        <v>2.25</v>
      </c>
      <c r="M1552" s="2" t="s">
        <v>91</v>
      </c>
      <c r="N1552" t="s">
        <v>80</v>
      </c>
      <c r="O1552">
        <f>MATCH(Combined[[#This Row],[Primary Area]],KPIs!$C$4:$C$7,0)</f>
        <v>2</v>
      </c>
    </row>
    <row r="1553" spans="2:15" x14ac:dyDescent="0.35">
      <c r="B1553">
        <f t="shared" si="353"/>
        <v>1551</v>
      </c>
      <c r="C1553" t="s">
        <v>83</v>
      </c>
      <c r="D1553" t="s">
        <v>176</v>
      </c>
      <c r="E1553">
        <f>IF(WEEKNUM(Combined[[#This Row],[Date]], 1) = 53, 1, WEEKNUM(Combined[[#This Row],[Date]], 2))</f>
        <v>50</v>
      </c>
      <c r="F1553" t="str">
        <f t="shared" si="355"/>
        <v>Monday</v>
      </c>
      <c r="G1553" s="41">
        <v>45635</v>
      </c>
      <c r="H1553">
        <v>2</v>
      </c>
      <c r="I1553" s="1">
        <v>16.93</v>
      </c>
      <c r="J1553" s="2">
        <v>2.2222222222222223E-2</v>
      </c>
      <c r="K1553" s="12">
        <f>Combined[[#This Row],[Time Spent]]*24</f>
        <v>0.53333333333333333</v>
      </c>
      <c r="L1553" s="12">
        <f>MROUND(Combined[[#This Row],[Time Spent 2]],0.25)</f>
        <v>0.5</v>
      </c>
      <c r="M1553" s="2" t="s">
        <v>91</v>
      </c>
      <c r="N1553" t="s">
        <v>80</v>
      </c>
      <c r="O1553">
        <f>MATCH(Combined[[#This Row],[Primary Area]],KPIs!$C$4:$C$7,0)</f>
        <v>2</v>
      </c>
    </row>
    <row r="1554" spans="2:15" x14ac:dyDescent="0.35">
      <c r="B1554">
        <f t="shared" si="353"/>
        <v>1552</v>
      </c>
      <c r="C1554" t="s">
        <v>86</v>
      </c>
      <c r="D1554" t="s">
        <v>175</v>
      </c>
      <c r="E1554">
        <f>IF(WEEKNUM(Combined[[#This Row],[Date]], 1) = 53, 1, WEEKNUM(Combined[[#This Row],[Date]], 2))</f>
        <v>50</v>
      </c>
      <c r="F1554" t="str">
        <f t="shared" si="355"/>
        <v>Monday</v>
      </c>
      <c r="G1554" s="41">
        <v>45635</v>
      </c>
      <c r="H1554">
        <v>4</v>
      </c>
      <c r="I1554" s="1">
        <f>33.52+8.43</f>
        <v>41.95</v>
      </c>
      <c r="J1554" s="2">
        <v>6.25E-2</v>
      </c>
      <c r="K1554" s="12">
        <f>Combined[[#This Row],[Time Spent]]*24</f>
        <v>1.5</v>
      </c>
      <c r="L1554" s="12">
        <f>MROUND(Combined[[#This Row],[Time Spent 2]],0.25)</f>
        <v>1.5</v>
      </c>
      <c r="M1554" s="2" t="s">
        <v>91</v>
      </c>
      <c r="N1554" t="s">
        <v>80</v>
      </c>
      <c r="O1554">
        <f>MATCH(Combined[[#This Row],[Primary Area]],KPIs!$C$4:$C$7,0)</f>
        <v>2</v>
      </c>
    </row>
    <row r="1555" spans="2:15" x14ac:dyDescent="0.35">
      <c r="B1555">
        <f t="shared" si="353"/>
        <v>1553</v>
      </c>
      <c r="C1555" t="s">
        <v>83</v>
      </c>
      <c r="D1555" t="s">
        <v>176</v>
      </c>
      <c r="E1555">
        <f>IF(WEEKNUM(Combined[[#This Row],[Date]], 1) = 53, 1, WEEKNUM(Combined[[#This Row],[Date]], 2))</f>
        <v>50</v>
      </c>
      <c r="F1555" t="str">
        <f t="shared" si="355"/>
        <v>Thursday</v>
      </c>
      <c r="G1555" s="41">
        <v>45638</v>
      </c>
      <c r="H1555">
        <v>1</v>
      </c>
      <c r="I1555" s="1">
        <v>3.58</v>
      </c>
      <c r="J1555" s="2">
        <v>3.6805555555555557E-2</v>
      </c>
      <c r="K1555" s="12">
        <f>Combined[[#This Row],[Time Spent]]*24</f>
        <v>0.8833333333333333</v>
      </c>
      <c r="L1555" s="12">
        <f>MROUND(Combined[[#This Row],[Time Spent 2]],0.25)</f>
        <v>1</v>
      </c>
      <c r="M1555" s="2" t="s">
        <v>91</v>
      </c>
      <c r="N1555" t="s">
        <v>80</v>
      </c>
      <c r="O1555">
        <f>MATCH(Combined[[#This Row],[Primary Area]],KPIs!$C$4:$C$7,0)</f>
        <v>2</v>
      </c>
    </row>
    <row r="1556" spans="2:15" x14ac:dyDescent="0.35">
      <c r="B1556">
        <f t="shared" si="353"/>
        <v>1554</v>
      </c>
      <c r="C1556" t="s">
        <v>86</v>
      </c>
      <c r="D1556" t="s">
        <v>176</v>
      </c>
      <c r="E1556">
        <f>IF(WEEKNUM(Combined[[#This Row],[Date]], 1) = 53, 1, WEEKNUM(Combined[[#This Row],[Date]], 2))</f>
        <v>50</v>
      </c>
      <c r="F1556" t="str">
        <f t="shared" si="355"/>
        <v>Thursday</v>
      </c>
      <c r="G1556" s="41">
        <v>45638</v>
      </c>
      <c r="H1556">
        <v>2</v>
      </c>
      <c r="I1556" s="1">
        <v>32.61</v>
      </c>
      <c r="J1556" s="2">
        <v>6.5277777777777782E-2</v>
      </c>
      <c r="K1556" s="12">
        <f>Combined[[#This Row],[Time Spent]]*24</f>
        <v>1.5666666666666669</v>
      </c>
      <c r="L1556" s="12">
        <f>MROUND(Combined[[#This Row],[Time Spent 2]],0.25)</f>
        <v>1.5</v>
      </c>
      <c r="M1556" s="2" t="s">
        <v>91</v>
      </c>
      <c r="N1556" t="s">
        <v>80</v>
      </c>
      <c r="O1556">
        <f>MATCH(Combined[[#This Row],[Primary Area]],KPIs!$C$4:$C$7,0)</f>
        <v>2</v>
      </c>
    </row>
    <row r="1557" spans="2:15" x14ac:dyDescent="0.35">
      <c r="B1557">
        <f t="shared" si="353"/>
        <v>1555</v>
      </c>
      <c r="C1557" t="s">
        <v>83</v>
      </c>
      <c r="D1557" t="s">
        <v>176</v>
      </c>
      <c r="E1557">
        <f>IF(WEEKNUM(Combined[[#This Row],[Date]], 1) = 53, 1, WEEKNUM(Combined[[#This Row],[Date]], 2))</f>
        <v>1</v>
      </c>
      <c r="F1557" t="str">
        <f t="shared" ref="F1557:F1565" si="356">TEXT(WEEKDAY(G1557,1),"DDDD")</f>
        <v>Thursday</v>
      </c>
      <c r="G1557" s="41">
        <v>45659</v>
      </c>
      <c r="H1557">
        <v>1</v>
      </c>
      <c r="I1557" s="1">
        <v>12.02</v>
      </c>
      <c r="J1557" s="2">
        <v>4.1666666666666664E-2</v>
      </c>
      <c r="K1557" s="12">
        <f>Combined[[#This Row],[Time Spent]]*24</f>
        <v>1</v>
      </c>
      <c r="L1557" s="12">
        <f>MROUND(Combined[[#This Row],[Time Spent 2]],0.25)</f>
        <v>1</v>
      </c>
      <c r="M1557" s="2" t="s">
        <v>91</v>
      </c>
      <c r="N1557" t="s">
        <v>82</v>
      </c>
      <c r="O1557">
        <f>MATCH(Combined[[#This Row],[Primary Area]],KPIs!$C$4:$C$7,0)</f>
        <v>3</v>
      </c>
    </row>
    <row r="1558" spans="2:15" x14ac:dyDescent="0.35">
      <c r="B1558">
        <f t="shared" si="353"/>
        <v>1556</v>
      </c>
      <c r="C1558" t="s">
        <v>86</v>
      </c>
      <c r="D1558" t="s">
        <v>176</v>
      </c>
      <c r="E1558">
        <f>IF(WEEKNUM(Combined[[#This Row],[Date]], 1) = 53, 1, WEEKNUM(Combined[[#This Row],[Date]], 2))</f>
        <v>1</v>
      </c>
      <c r="F1558" t="str">
        <f t="shared" si="356"/>
        <v>Thursday</v>
      </c>
      <c r="G1558" s="41">
        <v>45659</v>
      </c>
      <c r="H1558">
        <v>2</v>
      </c>
      <c r="I1558" s="1">
        <v>23.5</v>
      </c>
      <c r="J1558" s="2">
        <v>6.8750000000000006E-2</v>
      </c>
      <c r="K1558" s="12">
        <f>Combined[[#This Row],[Time Spent]]*24</f>
        <v>1.6500000000000001</v>
      </c>
      <c r="L1558" s="12">
        <f>MROUND(Combined[[#This Row],[Time Spent 2]],0.25)</f>
        <v>1.75</v>
      </c>
      <c r="M1558" s="2" t="s">
        <v>91</v>
      </c>
      <c r="N1558" t="s">
        <v>82</v>
      </c>
      <c r="O1558">
        <f>MATCH(Combined[[#This Row],[Primary Area]],KPIs!$C$4:$C$7,0)</f>
        <v>3</v>
      </c>
    </row>
    <row r="1559" spans="2:15" x14ac:dyDescent="0.35">
      <c r="B1559">
        <f t="shared" si="353"/>
        <v>1557</v>
      </c>
      <c r="C1559" t="s">
        <v>86</v>
      </c>
      <c r="D1559" t="s">
        <v>176</v>
      </c>
      <c r="E1559">
        <f>IF(WEEKNUM(Combined[[#This Row],[Date]], 1) = 53, 1, WEEKNUM(Combined[[#This Row],[Date]], 2))</f>
        <v>1</v>
      </c>
      <c r="F1559" t="str">
        <f t="shared" si="356"/>
        <v>Thursday</v>
      </c>
      <c r="G1559" s="41">
        <v>45659</v>
      </c>
      <c r="H1559">
        <v>2</v>
      </c>
      <c r="I1559" s="1">
        <v>25.95</v>
      </c>
      <c r="J1559" s="2">
        <v>4.0972222222222222E-2</v>
      </c>
      <c r="K1559" s="12">
        <f>Combined[[#This Row],[Time Spent]]*24</f>
        <v>0.98333333333333339</v>
      </c>
      <c r="L1559" s="12">
        <f>MROUND(Combined[[#This Row],[Time Spent 2]],0.25)</f>
        <v>1</v>
      </c>
      <c r="M1559" s="2" t="s">
        <v>91</v>
      </c>
      <c r="N1559" t="s">
        <v>82</v>
      </c>
      <c r="O1559">
        <f>MATCH(Combined[[#This Row],[Primary Area]],KPIs!$C$4:$C$7,0)</f>
        <v>3</v>
      </c>
    </row>
    <row r="1560" spans="2:15" x14ac:dyDescent="0.35">
      <c r="B1560">
        <f t="shared" si="353"/>
        <v>1558</v>
      </c>
      <c r="C1560" t="s">
        <v>83</v>
      </c>
      <c r="D1560" t="s">
        <v>176</v>
      </c>
      <c r="E1560">
        <f>IF(WEEKNUM(Combined[[#This Row],[Date]], 1) = 53, 1, WEEKNUM(Combined[[#This Row],[Date]], 2))</f>
        <v>1</v>
      </c>
      <c r="F1560" t="str">
        <f t="shared" si="356"/>
        <v>Friday</v>
      </c>
      <c r="G1560" s="41">
        <v>45660</v>
      </c>
      <c r="H1560">
        <v>3</v>
      </c>
      <c r="I1560" s="1">
        <v>23.02</v>
      </c>
      <c r="J1560" s="2">
        <v>6.0416666666666667E-2</v>
      </c>
      <c r="K1560" s="12">
        <f>Combined[[#This Row],[Time Spent]]*24</f>
        <v>1.45</v>
      </c>
      <c r="L1560" s="12">
        <f>MROUND(Combined[[#This Row],[Time Spent 2]],0.25)</f>
        <v>1.5</v>
      </c>
      <c r="M1560" s="2" t="s">
        <v>91</v>
      </c>
      <c r="N1560" t="s">
        <v>82</v>
      </c>
      <c r="O1560">
        <f>MATCH(Combined[[#This Row],[Primary Area]],KPIs!$C$4:$C$7,0)</f>
        <v>3</v>
      </c>
    </row>
    <row r="1561" spans="2:15" x14ac:dyDescent="0.35">
      <c r="B1561">
        <f t="shared" si="353"/>
        <v>1559</v>
      </c>
      <c r="C1561" t="s">
        <v>86</v>
      </c>
      <c r="D1561" t="s">
        <v>176</v>
      </c>
      <c r="E1561">
        <f>IF(WEEKNUM(Combined[[#This Row],[Date]], 1) = 53, 1, WEEKNUM(Combined[[#This Row],[Date]], 2))</f>
        <v>1</v>
      </c>
      <c r="F1561" t="str">
        <f t="shared" si="356"/>
        <v>Friday</v>
      </c>
      <c r="G1561" s="41">
        <v>45660</v>
      </c>
      <c r="H1561">
        <v>1</v>
      </c>
      <c r="I1561" s="1">
        <v>7.5</v>
      </c>
      <c r="J1561" s="2">
        <v>6.6666666666666666E-2</v>
      </c>
      <c r="K1561" s="12">
        <f>Combined[[#This Row],[Time Spent]]*24</f>
        <v>1.6</v>
      </c>
      <c r="L1561" s="12">
        <f>MROUND(Combined[[#This Row],[Time Spent 2]],0.25)</f>
        <v>1.5</v>
      </c>
      <c r="M1561" s="2" t="s">
        <v>91</v>
      </c>
      <c r="N1561" t="s">
        <v>82</v>
      </c>
      <c r="O1561">
        <f>MATCH(Combined[[#This Row],[Primary Area]],KPIs!$C$4:$C$7,0)</f>
        <v>3</v>
      </c>
    </row>
    <row r="1562" spans="2:15" x14ac:dyDescent="0.35">
      <c r="B1562">
        <f t="shared" si="353"/>
        <v>1560</v>
      </c>
      <c r="C1562" t="s">
        <v>86</v>
      </c>
      <c r="D1562" t="s">
        <v>176</v>
      </c>
      <c r="E1562">
        <f>IF(WEEKNUM(Combined[[#This Row],[Date]], 1) = 53, 1, WEEKNUM(Combined[[#This Row],[Date]], 2))</f>
        <v>1</v>
      </c>
      <c r="F1562" t="str">
        <f t="shared" si="356"/>
        <v>Sunday</v>
      </c>
      <c r="G1562" s="41">
        <v>45662</v>
      </c>
      <c r="H1562">
        <v>4</v>
      </c>
      <c r="I1562" s="1">
        <v>74.41</v>
      </c>
      <c r="J1562" s="2">
        <v>0.11805555555555555</v>
      </c>
      <c r="K1562" s="12">
        <f>Combined[[#This Row],[Time Spent]]*24</f>
        <v>2.833333333333333</v>
      </c>
      <c r="L1562" s="12">
        <f>MROUND(Combined[[#This Row],[Time Spent 2]],0.25)</f>
        <v>2.75</v>
      </c>
      <c r="M1562" s="2" t="s">
        <v>91</v>
      </c>
      <c r="N1562" t="s">
        <v>80</v>
      </c>
      <c r="O1562">
        <f>MATCH(Combined[[#This Row],[Primary Area]],KPIs!$C$4:$C$7,0)</f>
        <v>2</v>
      </c>
    </row>
    <row r="1563" spans="2:15" x14ac:dyDescent="0.35">
      <c r="B1563">
        <f t="shared" si="353"/>
        <v>1561</v>
      </c>
      <c r="C1563" t="s">
        <v>83</v>
      </c>
      <c r="D1563" t="s">
        <v>176</v>
      </c>
      <c r="E1563">
        <f>IF(WEEKNUM(Combined[[#This Row],[Date]], 1) = 53, 1, WEEKNUM(Combined[[#This Row],[Date]], 2))</f>
        <v>2</v>
      </c>
      <c r="F1563" t="str">
        <f t="shared" si="356"/>
        <v>Wednesday</v>
      </c>
      <c r="G1563" s="41">
        <v>45665</v>
      </c>
      <c r="H1563">
        <v>1</v>
      </c>
      <c r="I1563" s="1">
        <v>22.01</v>
      </c>
      <c r="J1563" s="2">
        <v>6.25E-2</v>
      </c>
      <c r="K1563" s="12">
        <f>Combined[[#This Row],[Time Spent]]*24</f>
        <v>1.5</v>
      </c>
      <c r="L1563" s="12">
        <f>MROUND(Combined[[#This Row],[Time Spent 2]],0.25)</f>
        <v>1.5</v>
      </c>
      <c r="M1563" s="2" t="s">
        <v>91</v>
      </c>
      <c r="N1563" t="s">
        <v>80</v>
      </c>
      <c r="O1563">
        <f>MATCH(Combined[[#This Row],[Primary Area]],KPIs!$C$4:$C$7,0)</f>
        <v>2</v>
      </c>
    </row>
    <row r="1564" spans="2:15" x14ac:dyDescent="0.35">
      <c r="B1564">
        <f t="shared" si="353"/>
        <v>1562</v>
      </c>
      <c r="C1564" t="s">
        <v>83</v>
      </c>
      <c r="D1564" t="s">
        <v>176</v>
      </c>
      <c r="E1564">
        <f>IF(WEEKNUM(Combined[[#This Row],[Date]], 1) = 53, 1, WEEKNUM(Combined[[#This Row],[Date]], 2))</f>
        <v>2</v>
      </c>
      <c r="F1564" t="str">
        <f t="shared" si="356"/>
        <v>Thursday</v>
      </c>
      <c r="G1564" s="41">
        <v>45666</v>
      </c>
      <c r="H1564">
        <v>1</v>
      </c>
      <c r="I1564" s="1">
        <v>7.02</v>
      </c>
      <c r="J1564" s="2">
        <v>4.3749999999999997E-2</v>
      </c>
      <c r="K1564" s="12">
        <f>Combined[[#This Row],[Time Spent]]*24</f>
        <v>1.0499999999999998</v>
      </c>
      <c r="L1564" s="12">
        <f>MROUND(Combined[[#This Row],[Time Spent 2]],0.25)</f>
        <v>1</v>
      </c>
      <c r="M1564" s="2" t="s">
        <v>91</v>
      </c>
      <c r="N1564" t="s">
        <v>82</v>
      </c>
      <c r="O1564">
        <f>MATCH(Combined[[#This Row],[Primary Area]],KPIs!$C$4:$C$7,0)</f>
        <v>3</v>
      </c>
    </row>
    <row r="1565" spans="2:15" x14ac:dyDescent="0.35">
      <c r="B1565">
        <f t="shared" si="353"/>
        <v>1563</v>
      </c>
      <c r="C1565" t="s">
        <v>86</v>
      </c>
      <c r="D1565" t="s">
        <v>176</v>
      </c>
      <c r="E1565">
        <f>IF(WEEKNUM(Combined[[#This Row],[Date]], 1) = 53, 1, WEEKNUM(Combined[[#This Row],[Date]], 2))</f>
        <v>2</v>
      </c>
      <c r="F1565" t="str">
        <f t="shared" si="356"/>
        <v>Thursday</v>
      </c>
      <c r="G1565" s="41">
        <v>45666</v>
      </c>
      <c r="H1565">
        <v>1</v>
      </c>
      <c r="I1565" s="1">
        <v>6.5</v>
      </c>
      <c r="J1565" s="2">
        <v>8.4722222222222227E-2</v>
      </c>
      <c r="K1565" s="12">
        <f>Combined[[#This Row],[Time Spent]]*24</f>
        <v>2.0333333333333332</v>
      </c>
      <c r="L1565" s="12">
        <f>MROUND(Combined[[#This Row],[Time Spent 2]],0.25)</f>
        <v>2</v>
      </c>
      <c r="M1565" s="2" t="s">
        <v>91</v>
      </c>
      <c r="N1565" t="s">
        <v>82</v>
      </c>
      <c r="O1565">
        <f>MATCH(Combined[[#This Row],[Primary Area]],KPIs!$C$4:$C$7,0)</f>
        <v>3</v>
      </c>
    </row>
    <row r="1566" spans="2:15" x14ac:dyDescent="0.35">
      <c r="B1566">
        <f t="shared" si="353"/>
        <v>1564</v>
      </c>
      <c r="C1566" t="s">
        <v>83</v>
      </c>
      <c r="D1566" t="s">
        <v>176</v>
      </c>
      <c r="E1566">
        <f>IF(WEEKNUM(Combined[[#This Row],[Date]], 1) = 53, 1, WEEKNUM(Combined[[#This Row],[Date]], 2))</f>
        <v>2</v>
      </c>
      <c r="F1566" t="str">
        <f t="shared" ref="F1566:F1567" si="357">TEXT(WEEKDAY(G1566,1),"DDDD")</f>
        <v>Saturday</v>
      </c>
      <c r="G1566" s="41">
        <v>45668</v>
      </c>
      <c r="H1566">
        <v>12</v>
      </c>
      <c r="I1566" s="1">
        <v>121.28</v>
      </c>
      <c r="J1566" s="2">
        <v>0.23749999999999999</v>
      </c>
      <c r="K1566" s="12">
        <f>Combined[[#This Row],[Time Spent]]*24</f>
        <v>5.6999999999999993</v>
      </c>
      <c r="L1566" s="12">
        <f>MROUND(Combined[[#This Row],[Time Spent 2]],0.25)</f>
        <v>5.75</v>
      </c>
      <c r="M1566" s="2" t="s">
        <v>91</v>
      </c>
      <c r="N1566" t="s">
        <v>85</v>
      </c>
      <c r="O1566">
        <f>MATCH(Combined[[#This Row],[Primary Area]],KPIs!$C$4:$C$7,0)</f>
        <v>4</v>
      </c>
    </row>
    <row r="1567" spans="2:15" x14ac:dyDescent="0.35">
      <c r="B1567">
        <f t="shared" si="353"/>
        <v>1565</v>
      </c>
      <c r="C1567" t="s">
        <v>86</v>
      </c>
      <c r="D1567" t="s">
        <v>175</v>
      </c>
      <c r="E1567">
        <f>IF(WEEKNUM(Combined[[#This Row],[Date]], 1) = 53, 1, WEEKNUM(Combined[[#This Row],[Date]], 2))</f>
        <v>2</v>
      </c>
      <c r="F1567" t="str">
        <f t="shared" si="357"/>
        <v>Saturday</v>
      </c>
      <c r="G1567" s="41">
        <v>45668</v>
      </c>
      <c r="H1567">
        <v>4</v>
      </c>
      <c r="I1567" s="1">
        <v>27.68</v>
      </c>
      <c r="J1567" s="2">
        <v>5.486111111111111E-2</v>
      </c>
      <c r="K1567" s="12">
        <f>Combined[[#This Row],[Time Spent]]*24</f>
        <v>1.3166666666666667</v>
      </c>
      <c r="L1567" s="12">
        <f>MROUND(Combined[[#This Row],[Time Spent 2]],0.25)</f>
        <v>1.25</v>
      </c>
      <c r="M1567" s="2" t="s">
        <v>92</v>
      </c>
      <c r="N1567" t="s">
        <v>85</v>
      </c>
      <c r="O1567">
        <f>MATCH(Combined[[#This Row],[Primary Area]],KPIs!$C$4:$C$7,0)</f>
        <v>4</v>
      </c>
    </row>
    <row r="1568" spans="2:15" x14ac:dyDescent="0.35">
      <c r="B1568">
        <f t="shared" si="353"/>
        <v>1566</v>
      </c>
      <c r="C1568" t="s">
        <v>86</v>
      </c>
      <c r="D1568" t="s">
        <v>176</v>
      </c>
      <c r="E1568">
        <f>IF(WEEKNUM(Combined[[#This Row],[Date]], 1) = 53, 1, WEEKNUM(Combined[[#This Row],[Date]], 2))</f>
        <v>3</v>
      </c>
      <c r="F1568" t="str">
        <f t="shared" ref="F1568:F1569" si="358">TEXT(WEEKDAY(G1568,1),"DDDD")</f>
        <v>Monday</v>
      </c>
      <c r="G1568" s="41">
        <v>45670</v>
      </c>
      <c r="H1568">
        <v>6</v>
      </c>
      <c r="I1568" s="1">
        <v>81.05</v>
      </c>
      <c r="J1568" s="2">
        <v>0.15763888888888888</v>
      </c>
      <c r="K1568" s="12">
        <f>Combined[[#This Row],[Time Spent]]*24</f>
        <v>3.7833333333333332</v>
      </c>
      <c r="L1568" s="12">
        <f>MROUND(Combined[[#This Row],[Time Spent 2]],0.25)</f>
        <v>3.75</v>
      </c>
      <c r="M1568" s="2" t="s">
        <v>91</v>
      </c>
      <c r="N1568" t="s">
        <v>85</v>
      </c>
      <c r="O1568">
        <f>MATCH(Combined[[#This Row],[Primary Area]],KPIs!$C$4:$C$7,0)</f>
        <v>4</v>
      </c>
    </row>
    <row r="1569" spans="2:15" x14ac:dyDescent="0.35">
      <c r="B1569">
        <f t="shared" si="353"/>
        <v>1567</v>
      </c>
      <c r="C1569" t="s">
        <v>86</v>
      </c>
      <c r="D1569" t="s">
        <v>176</v>
      </c>
      <c r="E1569">
        <f>IF(WEEKNUM(Combined[[#This Row],[Date]], 1) = 53, 1, WEEKNUM(Combined[[#This Row],[Date]], 2))</f>
        <v>3</v>
      </c>
      <c r="F1569" t="str">
        <f t="shared" si="358"/>
        <v>Monday</v>
      </c>
      <c r="G1569" s="41">
        <v>45670</v>
      </c>
      <c r="H1569">
        <v>1</v>
      </c>
      <c r="I1569" s="1">
        <v>2</v>
      </c>
      <c r="J1569" s="2">
        <v>9.7222222222222224E-3</v>
      </c>
      <c r="K1569" s="12">
        <f>Combined[[#This Row],[Time Spent]]*24</f>
        <v>0.23333333333333334</v>
      </c>
      <c r="L1569" s="12">
        <f>MROUND(Combined[[#This Row],[Time Spent 2]],0.25)</f>
        <v>0.25</v>
      </c>
      <c r="M1569" s="2" t="s">
        <v>92</v>
      </c>
      <c r="N1569" t="s">
        <v>85</v>
      </c>
      <c r="O1569">
        <f>MATCH(Combined[[#This Row],[Primary Area]],KPIs!$C$4:$C$7,0)</f>
        <v>4</v>
      </c>
    </row>
    <row r="1570" spans="2:15" x14ac:dyDescent="0.35">
      <c r="B1570">
        <f t="shared" si="353"/>
        <v>1568</v>
      </c>
      <c r="C1570" t="s">
        <v>83</v>
      </c>
      <c r="D1570" t="s">
        <v>176</v>
      </c>
      <c r="E1570">
        <f>IF(WEEKNUM(Combined[[#This Row],[Date]], 1) = 53, 1, WEEKNUM(Combined[[#This Row],[Date]], 2))</f>
        <v>3</v>
      </c>
      <c r="F1570" t="str">
        <f t="shared" ref="F1570:F1575" si="359">TEXT(WEEKDAY(G1570,1),"DDDD")</f>
        <v>Thursday</v>
      </c>
      <c r="G1570" s="41">
        <v>45673</v>
      </c>
      <c r="H1570">
        <v>2</v>
      </c>
      <c r="I1570" s="1">
        <v>41.42</v>
      </c>
      <c r="J1570" s="2">
        <v>8.7499999999999994E-2</v>
      </c>
      <c r="K1570" s="12">
        <f>Combined[[#This Row],[Time Spent]]*24</f>
        <v>2.0999999999999996</v>
      </c>
      <c r="L1570" s="12">
        <f>MROUND(Combined[[#This Row],[Time Spent 2]],0.25)</f>
        <v>2</v>
      </c>
      <c r="M1570" s="2" t="s">
        <v>91</v>
      </c>
      <c r="N1570" t="s">
        <v>82</v>
      </c>
      <c r="O1570">
        <f>MATCH(Combined[[#This Row],[Primary Area]],KPIs!$C$4:$C$7,0)</f>
        <v>3</v>
      </c>
    </row>
    <row r="1571" spans="2:15" x14ac:dyDescent="0.35">
      <c r="B1571">
        <f t="shared" si="353"/>
        <v>1569</v>
      </c>
      <c r="C1571" t="s">
        <v>86</v>
      </c>
      <c r="D1571" t="s">
        <v>176</v>
      </c>
      <c r="E1571">
        <f>IF(WEEKNUM(Combined[[#This Row],[Date]], 1) = 53, 1, WEEKNUM(Combined[[#This Row],[Date]], 2))</f>
        <v>3</v>
      </c>
      <c r="F1571" t="str">
        <f t="shared" si="359"/>
        <v>Thursday</v>
      </c>
      <c r="G1571" s="41">
        <v>45673</v>
      </c>
      <c r="H1571">
        <v>5</v>
      </c>
      <c r="I1571" s="1">
        <v>32.5</v>
      </c>
      <c r="J1571" s="2">
        <v>9.8611111111111108E-2</v>
      </c>
      <c r="K1571" s="12">
        <f>Combined[[#This Row],[Time Spent]]*24</f>
        <v>2.3666666666666667</v>
      </c>
      <c r="L1571" s="12">
        <f>MROUND(Combined[[#This Row],[Time Spent 2]],0.25)</f>
        <v>2.25</v>
      </c>
      <c r="M1571" s="2" t="s">
        <v>91</v>
      </c>
      <c r="N1571" t="s">
        <v>82</v>
      </c>
      <c r="O1571">
        <f>MATCH(Combined[[#This Row],[Primary Area]],KPIs!$C$4:$C$7,0)</f>
        <v>3</v>
      </c>
    </row>
    <row r="1572" spans="2:15" x14ac:dyDescent="0.35">
      <c r="B1572">
        <f t="shared" si="353"/>
        <v>1570</v>
      </c>
      <c r="C1572" t="s">
        <v>86</v>
      </c>
      <c r="D1572" t="s">
        <v>176</v>
      </c>
      <c r="E1572">
        <f>IF(WEEKNUM(Combined[[#This Row],[Date]], 1) = 53, 1, WEEKNUM(Combined[[#This Row],[Date]], 2))</f>
        <v>3</v>
      </c>
      <c r="F1572" t="str">
        <f t="shared" si="359"/>
        <v>Thursday</v>
      </c>
      <c r="G1572" s="41">
        <v>45673</v>
      </c>
      <c r="H1572">
        <v>1</v>
      </c>
      <c r="I1572" s="1">
        <v>14</v>
      </c>
      <c r="J1572" s="2">
        <v>2.6388888888888889E-2</v>
      </c>
      <c r="K1572" s="12">
        <f>Combined[[#This Row],[Time Spent]]*24</f>
        <v>0.6333333333333333</v>
      </c>
      <c r="L1572" s="12">
        <f>MROUND(Combined[[#This Row],[Time Spent 2]],0.25)</f>
        <v>0.75</v>
      </c>
      <c r="M1572" s="2" t="s">
        <v>91</v>
      </c>
      <c r="N1572" t="s">
        <v>82</v>
      </c>
      <c r="O1572">
        <f>MATCH(Combined[[#This Row],[Primary Area]],KPIs!$C$4:$C$7,0)</f>
        <v>3</v>
      </c>
    </row>
    <row r="1573" spans="2:15" x14ac:dyDescent="0.35">
      <c r="B1573">
        <f t="shared" si="353"/>
        <v>1571</v>
      </c>
      <c r="C1573" t="s">
        <v>83</v>
      </c>
      <c r="D1573" t="s">
        <v>176</v>
      </c>
      <c r="E1573">
        <f>IF(WEEKNUM(Combined[[#This Row],[Date]], 1) = 53, 1, WEEKNUM(Combined[[#This Row],[Date]], 2))</f>
        <v>3</v>
      </c>
      <c r="F1573" t="str">
        <f t="shared" si="359"/>
        <v>Friday</v>
      </c>
      <c r="G1573" s="41">
        <v>45674</v>
      </c>
      <c r="H1573">
        <v>3</v>
      </c>
      <c r="I1573" s="1">
        <v>39.1</v>
      </c>
      <c r="J1573" s="2">
        <v>0.11597222222222223</v>
      </c>
      <c r="K1573" s="12">
        <f>Combined[[#This Row],[Time Spent]]*24</f>
        <v>2.7833333333333332</v>
      </c>
      <c r="L1573" s="12">
        <f>MROUND(Combined[[#This Row],[Time Spent 2]],0.25)</f>
        <v>2.75</v>
      </c>
      <c r="M1573" s="2" t="s">
        <v>91</v>
      </c>
      <c r="N1573" t="s">
        <v>82</v>
      </c>
      <c r="O1573">
        <f>MATCH(Combined[[#This Row],[Primary Area]],KPIs!$C$4:$C$7,0)</f>
        <v>3</v>
      </c>
    </row>
    <row r="1574" spans="2:15" x14ac:dyDescent="0.35">
      <c r="B1574">
        <f t="shared" si="353"/>
        <v>1572</v>
      </c>
      <c r="C1574" t="s">
        <v>86</v>
      </c>
      <c r="D1574" t="s">
        <v>176</v>
      </c>
      <c r="E1574">
        <f>IF(WEEKNUM(Combined[[#This Row],[Date]], 1) = 53, 1, WEEKNUM(Combined[[#This Row],[Date]], 2))</f>
        <v>3</v>
      </c>
      <c r="F1574" t="str">
        <f t="shared" si="359"/>
        <v>Friday</v>
      </c>
      <c r="G1574" s="41">
        <v>45674</v>
      </c>
      <c r="H1574">
        <v>3</v>
      </c>
      <c r="I1574" s="1">
        <v>37.75</v>
      </c>
      <c r="J1574" s="2">
        <v>9.166666666666666E-2</v>
      </c>
      <c r="K1574" s="12">
        <f>Combined[[#This Row],[Time Spent]]*24</f>
        <v>2.1999999999999997</v>
      </c>
      <c r="L1574" s="12">
        <f>MROUND(Combined[[#This Row],[Time Spent 2]],0.25)</f>
        <v>2.25</v>
      </c>
      <c r="M1574" s="2" t="s">
        <v>91</v>
      </c>
      <c r="N1574" t="s">
        <v>82</v>
      </c>
      <c r="O1574">
        <f>MATCH(Combined[[#This Row],[Primary Area]],KPIs!$C$4:$C$7,0)</f>
        <v>3</v>
      </c>
    </row>
    <row r="1575" spans="2:15" x14ac:dyDescent="0.35">
      <c r="B1575">
        <f t="shared" si="353"/>
        <v>1573</v>
      </c>
      <c r="C1575" t="s">
        <v>86</v>
      </c>
      <c r="D1575" t="s">
        <v>176</v>
      </c>
      <c r="E1575">
        <f>IF(WEEKNUM(Combined[[#This Row],[Date]], 1) = 53, 1, WEEKNUM(Combined[[#This Row],[Date]], 2))</f>
        <v>3</v>
      </c>
      <c r="F1575" t="str">
        <f t="shared" si="359"/>
        <v>Friday</v>
      </c>
      <c r="G1575" s="41">
        <v>45674</v>
      </c>
      <c r="H1575">
        <v>3</v>
      </c>
      <c r="I1575" s="1">
        <v>23</v>
      </c>
      <c r="J1575" s="2">
        <v>6.458333333333334E-2</v>
      </c>
      <c r="K1575" s="12">
        <f>Combined[[#This Row],[Time Spent]]*24</f>
        <v>1.5500000000000003</v>
      </c>
      <c r="L1575" s="12">
        <f>MROUND(Combined[[#This Row],[Time Spent 2]],0.25)</f>
        <v>1.5</v>
      </c>
      <c r="M1575" s="2" t="s">
        <v>91</v>
      </c>
      <c r="N1575" t="s">
        <v>82</v>
      </c>
      <c r="O1575">
        <f>MATCH(Combined[[#This Row],[Primary Area]],KPIs!$C$4:$C$7,0)</f>
        <v>3</v>
      </c>
    </row>
    <row r="1576" spans="2:15" x14ac:dyDescent="0.35">
      <c r="B1576">
        <f t="shared" si="353"/>
        <v>1574</v>
      </c>
      <c r="C1576" t="s">
        <v>83</v>
      </c>
      <c r="D1576" t="s">
        <v>176</v>
      </c>
      <c r="E1576">
        <f>IF(WEEKNUM(Combined[[#This Row],[Date]], 1) = 53, 1, WEEKNUM(Combined[[#This Row],[Date]], 2))</f>
        <v>3</v>
      </c>
      <c r="F1576" t="str">
        <f t="shared" ref="F1576:F1578" si="360">TEXT(WEEKDAY(G1576,1),"DDDD")</f>
        <v>Saturday</v>
      </c>
      <c r="G1576" s="41">
        <v>45675</v>
      </c>
      <c r="H1576">
        <v>4</v>
      </c>
      <c r="I1576" s="1">
        <v>63.74</v>
      </c>
      <c r="J1576" s="2">
        <v>0.13750000000000001</v>
      </c>
      <c r="K1576" s="12">
        <f>Combined[[#This Row],[Time Spent]]*24</f>
        <v>3.3000000000000003</v>
      </c>
      <c r="L1576" s="12">
        <f>MROUND(Combined[[#This Row],[Time Spent 2]],0.25)</f>
        <v>3.25</v>
      </c>
      <c r="M1576" s="2" t="s">
        <v>91</v>
      </c>
      <c r="N1576" t="s">
        <v>80</v>
      </c>
      <c r="O1576">
        <f>MATCH(Combined[[#This Row],[Primary Area]],KPIs!$C$4:$C$7,0)</f>
        <v>2</v>
      </c>
    </row>
    <row r="1577" spans="2:15" x14ac:dyDescent="0.35">
      <c r="B1577">
        <f t="shared" si="353"/>
        <v>1575</v>
      </c>
      <c r="C1577" t="s">
        <v>86</v>
      </c>
      <c r="D1577" t="s">
        <v>176</v>
      </c>
      <c r="E1577">
        <f>IF(WEEKNUM(Combined[[#This Row],[Date]], 1) = 53, 1, WEEKNUM(Combined[[#This Row],[Date]], 2))</f>
        <v>3</v>
      </c>
      <c r="F1577" t="str">
        <f t="shared" si="360"/>
        <v>Saturday</v>
      </c>
      <c r="G1577" s="41">
        <v>45675</v>
      </c>
      <c r="H1577">
        <v>1</v>
      </c>
      <c r="I1577" s="1">
        <v>9.75</v>
      </c>
      <c r="J1577" s="2">
        <v>4.027777777777778E-2</v>
      </c>
      <c r="K1577" s="12">
        <f>Combined[[#This Row],[Time Spent]]*24</f>
        <v>0.96666666666666679</v>
      </c>
      <c r="L1577" s="12">
        <f>MROUND(Combined[[#This Row],[Time Spent 2]],0.25)</f>
        <v>1</v>
      </c>
      <c r="M1577" s="2" t="s">
        <v>91</v>
      </c>
      <c r="N1577" t="s">
        <v>80</v>
      </c>
      <c r="O1577">
        <f>MATCH(Combined[[#This Row],[Primary Area]],KPIs!$C$4:$C$7,0)</f>
        <v>2</v>
      </c>
    </row>
    <row r="1578" spans="2:15" x14ac:dyDescent="0.35">
      <c r="B1578">
        <f t="shared" si="353"/>
        <v>1576</v>
      </c>
      <c r="C1578" t="s">
        <v>86</v>
      </c>
      <c r="D1578" t="s">
        <v>176</v>
      </c>
      <c r="E1578">
        <f>IF(WEEKNUM(Combined[[#This Row],[Date]], 1) = 53, 1, WEEKNUM(Combined[[#This Row],[Date]], 2))</f>
        <v>3</v>
      </c>
      <c r="F1578" t="str">
        <f t="shared" si="360"/>
        <v>Saturday</v>
      </c>
      <c r="G1578" s="41">
        <v>45675</v>
      </c>
      <c r="H1578">
        <v>2</v>
      </c>
      <c r="I1578" s="1">
        <v>10.17</v>
      </c>
      <c r="J1578" s="2">
        <v>0.10208333333333333</v>
      </c>
      <c r="K1578" s="12">
        <f>Combined[[#This Row],[Time Spent]]*24</f>
        <v>2.4500000000000002</v>
      </c>
      <c r="L1578" s="12">
        <f>MROUND(Combined[[#This Row],[Time Spent 2]],0.25)</f>
        <v>2.5</v>
      </c>
      <c r="M1578" s="2" t="s">
        <v>91</v>
      </c>
      <c r="N1578" t="s">
        <v>80</v>
      </c>
      <c r="O1578">
        <f>MATCH(Combined[[#This Row],[Primary Area]],KPIs!$C$4:$C$7,0)</f>
        <v>2</v>
      </c>
    </row>
    <row r="1579" spans="2:15" x14ac:dyDescent="0.35">
      <c r="B1579">
        <f t="shared" si="353"/>
        <v>1577</v>
      </c>
      <c r="C1579" t="s">
        <v>86</v>
      </c>
      <c r="D1579" t="s">
        <v>176</v>
      </c>
      <c r="E1579">
        <f>IF(WEEKNUM(Combined[[#This Row],[Date]], 1) = 53, 1, WEEKNUM(Combined[[#This Row],[Date]], 2))</f>
        <v>3</v>
      </c>
      <c r="F1579" t="str">
        <f>TEXT(WEEKDAY(G1579,1),"DDDD")</f>
        <v>Saturday</v>
      </c>
      <c r="G1579" s="41">
        <v>45675</v>
      </c>
      <c r="H1579">
        <v>1</v>
      </c>
      <c r="I1579" s="1">
        <v>7.5</v>
      </c>
      <c r="J1579" s="2">
        <v>1.5277777777777777E-2</v>
      </c>
      <c r="K1579" s="12">
        <f>Combined[[#This Row],[Time Spent]]*24</f>
        <v>0.36666666666666664</v>
      </c>
      <c r="L1579" s="12">
        <f>MROUND(Combined[[#This Row],[Time Spent 2]],0.25)</f>
        <v>0.25</v>
      </c>
      <c r="M1579" s="2" t="s">
        <v>92</v>
      </c>
      <c r="N1579" t="s">
        <v>80</v>
      </c>
      <c r="O1579">
        <f>MATCH(Combined[[#This Row],[Primary Area]],KPIs!$C$4:$C$7,0)</f>
        <v>2</v>
      </c>
    </row>
    <row r="1580" spans="2:15" x14ac:dyDescent="0.35">
      <c r="B1580">
        <f t="shared" si="353"/>
        <v>1578</v>
      </c>
      <c r="C1580" t="s">
        <v>83</v>
      </c>
      <c r="D1580" t="s">
        <v>176</v>
      </c>
      <c r="E1580">
        <f>IF(WEEKNUM(Combined[[#This Row],[Date]], 1) = 53, 1, WEEKNUM(Combined[[#This Row],[Date]], 2))</f>
        <v>3</v>
      </c>
      <c r="F1580" t="str">
        <f t="shared" ref="F1580:F1581" si="361">TEXT(WEEKDAY(G1580,1),"DDDD")</f>
        <v>Sunday</v>
      </c>
      <c r="G1580" s="41">
        <v>45676</v>
      </c>
      <c r="H1580">
        <v>6</v>
      </c>
      <c r="I1580" s="1">
        <v>77.959999999999994</v>
      </c>
      <c r="J1580" s="2">
        <v>0.11736111111111111</v>
      </c>
      <c r="K1580" s="12">
        <f>Combined[[#This Row],[Time Spent]]*24</f>
        <v>2.8166666666666664</v>
      </c>
      <c r="L1580" s="12">
        <f>MROUND(Combined[[#This Row],[Time Spent 2]],0.25)</f>
        <v>2.75</v>
      </c>
      <c r="M1580" s="2" t="s">
        <v>91</v>
      </c>
      <c r="N1580" t="s">
        <v>85</v>
      </c>
      <c r="O1580">
        <f>MATCH(Combined[[#This Row],[Primary Area]],KPIs!$C$4:$C$7,0)</f>
        <v>4</v>
      </c>
    </row>
    <row r="1581" spans="2:15" x14ac:dyDescent="0.35">
      <c r="B1581">
        <f t="shared" si="353"/>
        <v>1579</v>
      </c>
      <c r="C1581" t="s">
        <v>86</v>
      </c>
      <c r="D1581" t="s">
        <v>175</v>
      </c>
      <c r="E1581">
        <f>IF(WEEKNUM(Combined[[#This Row],[Date]], 1) = 53, 1, WEEKNUM(Combined[[#This Row],[Date]], 2))</f>
        <v>3</v>
      </c>
      <c r="F1581" t="str">
        <f t="shared" si="361"/>
        <v>Sunday</v>
      </c>
      <c r="G1581" s="41">
        <v>45676</v>
      </c>
      <c r="H1581">
        <v>1</v>
      </c>
      <c r="I1581" s="1">
        <v>12.94</v>
      </c>
      <c r="J1581" s="2">
        <v>3.6111111111111108E-2</v>
      </c>
      <c r="K1581" s="12">
        <f>Combined[[#This Row],[Time Spent]]*24</f>
        <v>0.86666666666666659</v>
      </c>
      <c r="L1581" s="12">
        <f>MROUND(Combined[[#This Row],[Time Spent 2]],0.25)</f>
        <v>0.75</v>
      </c>
      <c r="M1581" s="2" t="s">
        <v>92</v>
      </c>
      <c r="N1581" t="s">
        <v>85</v>
      </c>
      <c r="O1581">
        <f>MATCH(Combined[[#This Row],[Primary Area]],KPIs!$C$4:$C$7,0)</f>
        <v>4</v>
      </c>
    </row>
    <row r="1582" spans="2:15" x14ac:dyDescent="0.35">
      <c r="B1582">
        <f t="shared" si="353"/>
        <v>1580</v>
      </c>
      <c r="C1582" t="s">
        <v>83</v>
      </c>
      <c r="D1582" t="s">
        <v>176</v>
      </c>
      <c r="E1582">
        <f>IF(WEEKNUM(Combined[[#This Row],[Date]], 1) = 53, 1, WEEKNUM(Combined[[#This Row],[Date]], 2))</f>
        <v>4</v>
      </c>
      <c r="F1582" t="str">
        <f t="shared" ref="F1582:F1584" si="362">TEXT(WEEKDAY(G1582,1),"DDDD")</f>
        <v>Tuesday</v>
      </c>
      <c r="G1582" s="41">
        <v>45678</v>
      </c>
      <c r="H1582">
        <v>2</v>
      </c>
      <c r="I1582" s="1">
        <v>26.9</v>
      </c>
      <c r="J1582" s="2">
        <v>9.7916666666666666E-2</v>
      </c>
      <c r="K1582" s="12">
        <f>Combined[[#This Row],[Time Spent]]*24</f>
        <v>2.35</v>
      </c>
      <c r="L1582" s="12">
        <f>MROUND(Combined[[#This Row],[Time Spent 2]],0.25)</f>
        <v>2.25</v>
      </c>
      <c r="M1582" s="2" t="s">
        <v>91</v>
      </c>
      <c r="N1582" t="s">
        <v>85</v>
      </c>
      <c r="O1582">
        <f>MATCH(Combined[[#This Row],[Primary Area]],KPIs!$C$4:$C$7,0)</f>
        <v>4</v>
      </c>
    </row>
    <row r="1583" spans="2:15" x14ac:dyDescent="0.35">
      <c r="B1583">
        <f t="shared" si="353"/>
        <v>1581</v>
      </c>
      <c r="C1583" t="s">
        <v>83</v>
      </c>
      <c r="D1583" t="s">
        <v>176</v>
      </c>
      <c r="E1583">
        <f>IF(WEEKNUM(Combined[[#This Row],[Date]], 1) = 53, 1, WEEKNUM(Combined[[#This Row],[Date]], 2))</f>
        <v>4</v>
      </c>
      <c r="F1583" t="str">
        <f t="shared" si="362"/>
        <v>Wednesday</v>
      </c>
      <c r="G1583" s="41">
        <v>45679</v>
      </c>
      <c r="H1583">
        <v>1</v>
      </c>
      <c r="I1583" s="1">
        <v>12.31</v>
      </c>
      <c r="J1583" s="2">
        <v>3.6111111111111108E-2</v>
      </c>
      <c r="K1583" s="12">
        <f>Combined[[#This Row],[Time Spent]]*24</f>
        <v>0.86666666666666659</v>
      </c>
      <c r="L1583" s="12">
        <f>MROUND(Combined[[#This Row],[Time Spent 2]],0.25)</f>
        <v>0.75</v>
      </c>
      <c r="M1583" s="2" t="s">
        <v>91</v>
      </c>
      <c r="N1583" t="s">
        <v>80</v>
      </c>
      <c r="O1583">
        <f>MATCH(Combined[[#This Row],[Primary Area]],KPIs!$C$4:$C$7,0)</f>
        <v>2</v>
      </c>
    </row>
    <row r="1584" spans="2:15" x14ac:dyDescent="0.35">
      <c r="B1584">
        <f t="shared" si="353"/>
        <v>1582</v>
      </c>
      <c r="C1584" t="s">
        <v>86</v>
      </c>
      <c r="D1584" t="s">
        <v>176</v>
      </c>
      <c r="E1584">
        <f>IF(WEEKNUM(Combined[[#This Row],[Date]], 1) = 53, 1, WEEKNUM(Combined[[#This Row],[Date]], 2))</f>
        <v>4</v>
      </c>
      <c r="F1584" t="str">
        <f t="shared" si="362"/>
        <v>Wednesday</v>
      </c>
      <c r="G1584" s="41">
        <v>45679</v>
      </c>
      <c r="H1584">
        <v>4</v>
      </c>
      <c r="I1584" s="1">
        <v>34</v>
      </c>
      <c r="J1584" s="2">
        <v>6.5972222222222224E-2</v>
      </c>
      <c r="K1584" s="12">
        <f>Combined[[#This Row],[Time Spent]]*24</f>
        <v>1.5833333333333335</v>
      </c>
      <c r="L1584" s="12">
        <f>MROUND(Combined[[#This Row],[Time Spent 2]],0.25)</f>
        <v>1.5</v>
      </c>
      <c r="M1584" s="2" t="s">
        <v>91</v>
      </c>
      <c r="N1584" t="s">
        <v>80</v>
      </c>
      <c r="O1584">
        <f>MATCH(Combined[[#This Row],[Primary Area]],KPIs!$C$4:$C$7,0)</f>
        <v>2</v>
      </c>
    </row>
    <row r="1585" spans="2:15" x14ac:dyDescent="0.35">
      <c r="B1585">
        <f t="shared" si="353"/>
        <v>1583</v>
      </c>
      <c r="C1585" t="s">
        <v>83</v>
      </c>
      <c r="D1585" t="s">
        <v>176</v>
      </c>
      <c r="E1585">
        <f>IF(WEEKNUM(Combined[[#This Row],[Date]], 1) = 53, 1, WEEKNUM(Combined[[#This Row],[Date]], 2))</f>
        <v>4</v>
      </c>
      <c r="F1585" t="str">
        <f t="shared" ref="F1585:F1587" si="363">TEXT(WEEKDAY(G1585,1),"DDDD")</f>
        <v>Friday</v>
      </c>
      <c r="G1585" s="41">
        <v>45681</v>
      </c>
      <c r="H1585">
        <v>3</v>
      </c>
      <c r="I1585" s="1">
        <v>24.59</v>
      </c>
      <c r="J1585" s="2">
        <v>0.1125</v>
      </c>
      <c r="K1585" s="12">
        <f>Combined[[#This Row],[Time Spent]]*24</f>
        <v>2.7</v>
      </c>
      <c r="L1585" s="12">
        <f>MROUND(Combined[[#This Row],[Time Spent 2]],0.25)</f>
        <v>2.75</v>
      </c>
      <c r="M1585" s="2" t="s">
        <v>91</v>
      </c>
      <c r="N1585" t="s">
        <v>82</v>
      </c>
      <c r="O1585">
        <f>MATCH(Combined[[#This Row],[Primary Area]],KPIs!$C$4:$C$7,0)</f>
        <v>3</v>
      </c>
    </row>
    <row r="1586" spans="2:15" x14ac:dyDescent="0.35">
      <c r="B1586">
        <f t="shared" si="353"/>
        <v>1584</v>
      </c>
      <c r="C1586" t="s">
        <v>86</v>
      </c>
      <c r="D1586" t="s">
        <v>176</v>
      </c>
      <c r="E1586">
        <f>IF(WEEKNUM(Combined[[#This Row],[Date]], 1) = 53, 1, WEEKNUM(Combined[[#This Row],[Date]], 2))</f>
        <v>4</v>
      </c>
      <c r="F1586" t="str">
        <f t="shared" si="363"/>
        <v>Friday</v>
      </c>
      <c r="G1586" s="41">
        <v>45681</v>
      </c>
      <c r="H1586">
        <v>4</v>
      </c>
      <c r="I1586" s="1">
        <v>39.92</v>
      </c>
      <c r="J1586" s="2">
        <v>7.6388888888888895E-2</v>
      </c>
      <c r="K1586" s="12">
        <f>Combined[[#This Row],[Time Spent]]*24</f>
        <v>1.8333333333333335</v>
      </c>
      <c r="L1586" s="12">
        <f>MROUND(Combined[[#This Row],[Time Spent 2]],0.25)</f>
        <v>1.75</v>
      </c>
      <c r="M1586" s="2" t="s">
        <v>91</v>
      </c>
      <c r="N1586" t="s">
        <v>82</v>
      </c>
      <c r="O1586">
        <f>MATCH(Combined[[#This Row],[Primary Area]],KPIs!$C$4:$C$7,0)</f>
        <v>3</v>
      </c>
    </row>
    <row r="1587" spans="2:15" x14ac:dyDescent="0.35">
      <c r="B1587">
        <f t="shared" si="353"/>
        <v>1585</v>
      </c>
      <c r="C1587" t="s">
        <v>86</v>
      </c>
      <c r="D1587" t="s">
        <v>176</v>
      </c>
      <c r="E1587">
        <f>IF(WEEKNUM(Combined[[#This Row],[Date]], 1) = 53, 1, WEEKNUM(Combined[[#This Row],[Date]], 2))</f>
        <v>4</v>
      </c>
      <c r="F1587" t="str">
        <f t="shared" si="363"/>
        <v>Friday</v>
      </c>
      <c r="G1587" s="41">
        <v>45681</v>
      </c>
      <c r="H1587">
        <v>2</v>
      </c>
      <c r="I1587" s="1">
        <v>14.5</v>
      </c>
      <c r="J1587" s="2">
        <v>2.8472222222222222E-2</v>
      </c>
      <c r="K1587" s="12">
        <f>Combined[[#This Row],[Time Spent]]*24</f>
        <v>0.68333333333333335</v>
      </c>
      <c r="L1587" s="12">
        <f>MROUND(Combined[[#This Row],[Time Spent 2]],0.25)</f>
        <v>0.75</v>
      </c>
      <c r="M1587" s="2" t="s">
        <v>92</v>
      </c>
      <c r="N1587" t="s">
        <v>82</v>
      </c>
      <c r="O1587">
        <f>MATCH(Combined[[#This Row],[Primary Area]],KPIs!$C$4:$C$7,0)</f>
        <v>3</v>
      </c>
    </row>
    <row r="1588" spans="2:15" x14ac:dyDescent="0.35">
      <c r="B1588">
        <f t="shared" si="353"/>
        <v>1586</v>
      </c>
      <c r="C1588" t="s">
        <v>83</v>
      </c>
      <c r="D1588" t="s">
        <v>176</v>
      </c>
      <c r="E1588">
        <f>IF(WEEKNUM(Combined[[#This Row],[Date]], 1) = 53, 1, WEEKNUM(Combined[[#This Row],[Date]], 2))</f>
        <v>4</v>
      </c>
      <c r="F1588" t="str">
        <f t="shared" ref="F1588:F1593" si="364">TEXT(WEEKDAY(G1588,1),"DDDD")</f>
        <v>Sunday</v>
      </c>
      <c r="G1588" s="41">
        <v>45683</v>
      </c>
      <c r="H1588">
        <v>1</v>
      </c>
      <c r="I1588" s="1">
        <v>12.21</v>
      </c>
      <c r="J1588" s="2">
        <v>4.027777777777778E-2</v>
      </c>
      <c r="K1588" s="12">
        <f>Combined[[#This Row],[Time Spent]]*24</f>
        <v>0.96666666666666679</v>
      </c>
      <c r="L1588" s="12">
        <f>MROUND(Combined[[#This Row],[Time Spent 2]],0.25)</f>
        <v>1</v>
      </c>
      <c r="M1588" s="2" t="s">
        <v>91</v>
      </c>
      <c r="N1588" t="s">
        <v>80</v>
      </c>
      <c r="O1588">
        <f>MATCH(Combined[[#This Row],[Primary Area]],KPIs!$C$4:$C$7,0)</f>
        <v>2</v>
      </c>
    </row>
    <row r="1589" spans="2:15" x14ac:dyDescent="0.35">
      <c r="B1589">
        <f t="shared" si="353"/>
        <v>1587</v>
      </c>
      <c r="C1589" t="s">
        <v>86</v>
      </c>
      <c r="D1589" t="s">
        <v>176</v>
      </c>
      <c r="E1589">
        <f>IF(WEEKNUM(Combined[[#This Row],[Date]], 1) = 53, 1, WEEKNUM(Combined[[#This Row],[Date]], 2))</f>
        <v>4</v>
      </c>
      <c r="F1589" t="str">
        <f t="shared" si="364"/>
        <v>Sunday</v>
      </c>
      <c r="G1589" s="41">
        <v>45683</v>
      </c>
      <c r="H1589">
        <v>4</v>
      </c>
      <c r="I1589" s="1">
        <v>33.25</v>
      </c>
      <c r="J1589" s="2">
        <v>0.10208333333333333</v>
      </c>
      <c r="K1589" s="12">
        <f>Combined[[#This Row],[Time Spent]]*24</f>
        <v>2.4500000000000002</v>
      </c>
      <c r="L1589" s="12">
        <f>MROUND(Combined[[#This Row],[Time Spent 2]],0.25)</f>
        <v>2.5</v>
      </c>
      <c r="M1589" s="2" t="s">
        <v>91</v>
      </c>
      <c r="N1589" t="s">
        <v>80</v>
      </c>
      <c r="O1589">
        <f>MATCH(Combined[[#This Row],[Primary Area]],KPIs!$C$4:$C$7,0)</f>
        <v>2</v>
      </c>
    </row>
    <row r="1590" spans="2:15" x14ac:dyDescent="0.35">
      <c r="B1590">
        <f t="shared" si="353"/>
        <v>1588</v>
      </c>
      <c r="C1590" t="s">
        <v>83</v>
      </c>
      <c r="D1590" t="s">
        <v>176</v>
      </c>
      <c r="E1590">
        <f>IF(WEEKNUM(Combined[[#This Row],[Date]], 1) = 53, 1, WEEKNUM(Combined[[#This Row],[Date]], 2))</f>
        <v>5</v>
      </c>
      <c r="F1590" t="str">
        <f t="shared" si="364"/>
        <v>Tuesday</v>
      </c>
      <c r="G1590" s="41">
        <v>45685</v>
      </c>
      <c r="H1590">
        <v>2</v>
      </c>
      <c r="I1590" s="1">
        <v>40.18</v>
      </c>
      <c r="J1590" s="2">
        <v>0.11944444444444445</v>
      </c>
      <c r="K1590" s="12">
        <f>Combined[[#This Row],[Time Spent]]*24</f>
        <v>2.8666666666666667</v>
      </c>
      <c r="L1590" s="12">
        <f>MROUND(Combined[[#This Row],[Time Spent 2]],0.25)</f>
        <v>2.75</v>
      </c>
      <c r="M1590" s="2" t="s">
        <v>91</v>
      </c>
      <c r="N1590" t="s">
        <v>174</v>
      </c>
      <c r="O1590">
        <f>MATCH(Combined[[#This Row],[Primary Area]],KPIs!$C$4:$C$7,0)</f>
        <v>1</v>
      </c>
    </row>
    <row r="1591" spans="2:15" x14ac:dyDescent="0.35">
      <c r="B1591">
        <f t="shared" si="353"/>
        <v>1589</v>
      </c>
      <c r="C1591" t="s">
        <v>86</v>
      </c>
      <c r="D1591" t="s">
        <v>175</v>
      </c>
      <c r="E1591">
        <f>IF(WEEKNUM(Combined[[#This Row],[Date]], 1) = 53, 1, WEEKNUM(Combined[[#This Row],[Date]], 2))</f>
        <v>5</v>
      </c>
      <c r="F1591" t="str">
        <f t="shared" si="364"/>
        <v>Tuesday</v>
      </c>
      <c r="G1591" s="41">
        <v>45685</v>
      </c>
      <c r="H1591">
        <v>1</v>
      </c>
      <c r="I1591" s="1">
        <v>10.3</v>
      </c>
      <c r="J1591" s="2">
        <v>3.7499999999999999E-2</v>
      </c>
      <c r="K1591" s="12">
        <f>Combined[[#This Row],[Time Spent]]*24</f>
        <v>0.89999999999999991</v>
      </c>
      <c r="L1591" s="12">
        <f>MROUND(Combined[[#This Row],[Time Spent 2]],0.25)</f>
        <v>1</v>
      </c>
      <c r="M1591" s="2" t="s">
        <v>91</v>
      </c>
      <c r="N1591" t="s">
        <v>174</v>
      </c>
      <c r="O1591">
        <f>MATCH(Combined[[#This Row],[Primary Area]],KPIs!$C$4:$C$7,0)</f>
        <v>1</v>
      </c>
    </row>
    <row r="1592" spans="2:15" x14ac:dyDescent="0.35">
      <c r="B1592">
        <f t="shared" ref="B1592:B1656" si="365">ROW()-2</f>
        <v>1590</v>
      </c>
      <c r="C1592" t="s">
        <v>86</v>
      </c>
      <c r="D1592" t="s">
        <v>176</v>
      </c>
      <c r="E1592">
        <f>IF(WEEKNUM(Combined[[#This Row],[Date]], 1) = 53, 1, WEEKNUM(Combined[[#This Row],[Date]], 2))</f>
        <v>5</v>
      </c>
      <c r="F1592" t="str">
        <f t="shared" si="364"/>
        <v>Tuesday</v>
      </c>
      <c r="G1592" s="41">
        <v>45685</v>
      </c>
      <c r="H1592">
        <v>1</v>
      </c>
      <c r="I1592" s="1">
        <v>8.75</v>
      </c>
      <c r="J1592" s="2">
        <v>3.5416666666666666E-2</v>
      </c>
      <c r="K1592" s="12">
        <f>Combined[[#This Row],[Time Spent]]*24</f>
        <v>0.85</v>
      </c>
      <c r="L1592" s="12">
        <f>MROUND(Combined[[#This Row],[Time Spent 2]],0.25)</f>
        <v>0.75</v>
      </c>
      <c r="M1592" s="2" t="s">
        <v>91</v>
      </c>
      <c r="N1592" t="s">
        <v>174</v>
      </c>
      <c r="O1592">
        <f>MATCH(Combined[[#This Row],[Primary Area]],KPIs!$C$4:$C$7,0)</f>
        <v>1</v>
      </c>
    </row>
    <row r="1593" spans="2:15" x14ac:dyDescent="0.35">
      <c r="B1593">
        <f t="shared" si="365"/>
        <v>1591</v>
      </c>
      <c r="C1593" t="s">
        <v>86</v>
      </c>
      <c r="D1593" t="s">
        <v>175</v>
      </c>
      <c r="E1593">
        <f>IF(WEEKNUM(Combined[[#This Row],[Date]], 1) = 53, 1, WEEKNUM(Combined[[#This Row],[Date]], 2))</f>
        <v>5</v>
      </c>
      <c r="F1593" t="str">
        <f t="shared" si="364"/>
        <v>Tuesday</v>
      </c>
      <c r="G1593" s="41">
        <v>45685</v>
      </c>
      <c r="H1593">
        <v>2</v>
      </c>
      <c r="I1593" s="1">
        <v>15.88</v>
      </c>
      <c r="J1593" s="2">
        <v>7.2222222222222215E-2</v>
      </c>
      <c r="K1593" s="12">
        <f>Combined[[#This Row],[Time Spent]]*24</f>
        <v>1.7333333333333332</v>
      </c>
      <c r="L1593" s="12">
        <f>MROUND(Combined[[#This Row],[Time Spent 2]],0.25)</f>
        <v>1.75</v>
      </c>
      <c r="M1593" s="2" t="s">
        <v>91</v>
      </c>
      <c r="N1593" t="s">
        <v>174</v>
      </c>
      <c r="O1593">
        <f>MATCH(Combined[[#This Row],[Primary Area]],KPIs!$C$4:$C$7,0)</f>
        <v>1</v>
      </c>
    </row>
    <row r="1594" spans="2:15" x14ac:dyDescent="0.35">
      <c r="B1594">
        <f t="shared" si="365"/>
        <v>1592</v>
      </c>
      <c r="C1594" t="s">
        <v>86</v>
      </c>
      <c r="D1594" t="s">
        <v>176</v>
      </c>
      <c r="E1594">
        <f>IF(WEEKNUM(Combined[[#This Row],[Date]], 1) = 53, 1, WEEKNUM(Combined[[#This Row],[Date]], 2))</f>
        <v>5</v>
      </c>
      <c r="F1594" t="str">
        <f t="shared" ref="F1594:F1595" si="366">TEXT(WEEKDAY(G1594,1),"DDDD")</f>
        <v>Saturday</v>
      </c>
      <c r="G1594" s="41">
        <v>45689</v>
      </c>
      <c r="H1594">
        <v>3</v>
      </c>
      <c r="I1594" s="1">
        <v>49.75</v>
      </c>
      <c r="J1594" s="2">
        <v>8.2638888888888887E-2</v>
      </c>
      <c r="K1594" s="12">
        <f>Combined[[#This Row],[Time Spent]]*24</f>
        <v>1.9833333333333334</v>
      </c>
      <c r="L1594" s="12">
        <f>MROUND(Combined[[#This Row],[Time Spent 2]],0.25)</f>
        <v>2</v>
      </c>
      <c r="M1594" s="2" t="s">
        <v>91</v>
      </c>
      <c r="N1594" t="s">
        <v>80</v>
      </c>
      <c r="O1594">
        <f>MATCH(Combined[[#This Row],[Primary Area]],KPIs!$C$4:$C$7,0)</f>
        <v>2</v>
      </c>
    </row>
    <row r="1595" spans="2:15" x14ac:dyDescent="0.35">
      <c r="B1595">
        <f t="shared" si="365"/>
        <v>1593</v>
      </c>
      <c r="C1595" t="s">
        <v>86</v>
      </c>
      <c r="D1595" t="s">
        <v>176</v>
      </c>
      <c r="E1595">
        <f>IF(WEEKNUM(Combined[[#This Row],[Date]], 1) = 53, 1, WEEKNUM(Combined[[#This Row],[Date]], 2))</f>
        <v>6</v>
      </c>
      <c r="F1595" t="str">
        <f t="shared" si="366"/>
        <v>Monday</v>
      </c>
      <c r="G1595" s="41">
        <v>45691</v>
      </c>
      <c r="H1595">
        <v>5</v>
      </c>
      <c r="I1595" s="1">
        <v>57.5</v>
      </c>
      <c r="J1595" s="2">
        <v>0.10138888888888889</v>
      </c>
      <c r="K1595" s="12">
        <f>Combined[[#This Row],[Time Spent]]*24</f>
        <v>2.4333333333333336</v>
      </c>
      <c r="L1595" s="12">
        <f>MROUND(Combined[[#This Row],[Time Spent 2]],0.25)</f>
        <v>2.5</v>
      </c>
      <c r="M1595" s="2" t="s">
        <v>91</v>
      </c>
      <c r="N1595" t="s">
        <v>174</v>
      </c>
      <c r="O1595">
        <f>MATCH(Combined[[#This Row],[Primary Area]],KPIs!$C$4:$C$7,0)</f>
        <v>1</v>
      </c>
    </row>
    <row r="1596" spans="2:15" x14ac:dyDescent="0.35">
      <c r="B1596">
        <f t="shared" si="365"/>
        <v>1594</v>
      </c>
      <c r="C1596" t="s">
        <v>83</v>
      </c>
      <c r="D1596" t="s">
        <v>176</v>
      </c>
      <c r="E1596">
        <f>IF(WEEKNUM(Combined[[#This Row],[Date]], 1) = 53, 1, WEEKNUM(Combined[[#This Row],[Date]], 2))</f>
        <v>6</v>
      </c>
      <c r="F1596" t="str">
        <f t="shared" ref="F1596:F1599" si="367">TEXT(WEEKDAY(G1596,1),"DDDD")</f>
        <v>Wednesday</v>
      </c>
      <c r="G1596" s="41">
        <v>45693</v>
      </c>
      <c r="H1596">
        <v>4</v>
      </c>
      <c r="I1596" s="1">
        <v>38.96</v>
      </c>
      <c r="J1596" s="2">
        <v>8.7499999999999994E-2</v>
      </c>
      <c r="K1596" s="12">
        <f>Combined[[#This Row],[Time Spent]]*24</f>
        <v>2.0999999999999996</v>
      </c>
      <c r="L1596" s="12">
        <f>MROUND(Combined[[#This Row],[Time Spent 2]],0.25)</f>
        <v>2</v>
      </c>
      <c r="M1596" s="2" t="s">
        <v>91</v>
      </c>
      <c r="N1596" t="s">
        <v>85</v>
      </c>
      <c r="O1596">
        <f>MATCH(Combined[[#This Row],[Primary Area]],KPIs!$C$4:$C$7,0)</f>
        <v>4</v>
      </c>
    </row>
    <row r="1597" spans="2:15" x14ac:dyDescent="0.35">
      <c r="B1597">
        <f t="shared" si="365"/>
        <v>1595</v>
      </c>
      <c r="C1597" t="s">
        <v>86</v>
      </c>
      <c r="D1597" t="s">
        <v>175</v>
      </c>
      <c r="E1597">
        <f>IF(WEEKNUM(Combined[[#This Row],[Date]], 1) = 53, 1, WEEKNUM(Combined[[#This Row],[Date]], 2))</f>
        <v>6</v>
      </c>
      <c r="F1597" t="str">
        <f t="shared" si="367"/>
        <v>Wednesday</v>
      </c>
      <c r="G1597" s="41">
        <v>45693</v>
      </c>
      <c r="H1597">
        <v>1</v>
      </c>
      <c r="I1597" s="1">
        <v>12.34</v>
      </c>
      <c r="J1597" s="2">
        <v>3.5416666666666666E-2</v>
      </c>
      <c r="K1597" s="12">
        <f>Combined[[#This Row],[Time Spent]]*24</f>
        <v>0.85</v>
      </c>
      <c r="L1597" s="12">
        <f>MROUND(Combined[[#This Row],[Time Spent 2]],0.25)</f>
        <v>0.75</v>
      </c>
      <c r="M1597" s="2" t="s">
        <v>91</v>
      </c>
      <c r="N1597" t="s">
        <v>85</v>
      </c>
      <c r="O1597">
        <f>MATCH(Combined[[#This Row],[Primary Area]],KPIs!$C$4:$C$7,0)</f>
        <v>4</v>
      </c>
    </row>
    <row r="1598" spans="2:15" x14ac:dyDescent="0.35">
      <c r="B1598">
        <f t="shared" si="365"/>
        <v>1596</v>
      </c>
      <c r="C1598" t="s">
        <v>83</v>
      </c>
      <c r="D1598" t="s">
        <v>176</v>
      </c>
      <c r="E1598">
        <f>IF(WEEKNUM(Combined[[#This Row],[Date]], 1) = 53, 1, WEEKNUM(Combined[[#This Row],[Date]], 2))</f>
        <v>6</v>
      </c>
      <c r="F1598" t="str">
        <f t="shared" si="367"/>
        <v>Thursday</v>
      </c>
      <c r="G1598" s="41">
        <v>45694</v>
      </c>
      <c r="H1598">
        <v>2</v>
      </c>
      <c r="I1598" s="1">
        <v>11.04</v>
      </c>
      <c r="J1598" s="2">
        <v>2.9861111111111113E-2</v>
      </c>
      <c r="K1598" s="12">
        <f>Combined[[#This Row],[Time Spent]]*24</f>
        <v>0.71666666666666667</v>
      </c>
      <c r="L1598" s="12">
        <f>MROUND(Combined[[#This Row],[Time Spent 2]],0.25)</f>
        <v>0.75</v>
      </c>
      <c r="M1598" s="2" t="s">
        <v>91</v>
      </c>
      <c r="N1598" t="s">
        <v>82</v>
      </c>
      <c r="O1598">
        <f>MATCH(Combined[[#This Row],[Primary Area]],KPIs!$C$4:$C$7,0)</f>
        <v>3</v>
      </c>
    </row>
    <row r="1599" spans="2:15" x14ac:dyDescent="0.35">
      <c r="B1599">
        <f t="shared" si="365"/>
        <v>1597</v>
      </c>
      <c r="C1599" t="s">
        <v>86</v>
      </c>
      <c r="D1599" t="s">
        <v>176</v>
      </c>
      <c r="E1599">
        <f>IF(WEEKNUM(Combined[[#This Row],[Date]], 1) = 53, 1, WEEKNUM(Combined[[#This Row],[Date]], 2))</f>
        <v>6</v>
      </c>
      <c r="F1599" t="str">
        <f t="shared" si="367"/>
        <v>Thursday</v>
      </c>
      <c r="G1599" s="41">
        <v>45694</v>
      </c>
      <c r="H1599">
        <v>2</v>
      </c>
      <c r="I1599" s="1">
        <v>8</v>
      </c>
      <c r="J1599" s="2">
        <v>2.7083333333333334E-2</v>
      </c>
      <c r="K1599" s="12">
        <f>Combined[[#This Row],[Time Spent]]*24</f>
        <v>0.65</v>
      </c>
      <c r="L1599" s="12">
        <f>MROUND(Combined[[#This Row],[Time Spent 2]],0.25)</f>
        <v>0.75</v>
      </c>
      <c r="M1599" s="2" t="s">
        <v>91</v>
      </c>
      <c r="N1599" t="s">
        <v>82</v>
      </c>
      <c r="O1599">
        <f>MATCH(Combined[[#This Row],[Primary Area]],KPIs!$C$4:$C$7,0)</f>
        <v>3</v>
      </c>
    </row>
    <row r="1600" spans="2:15" x14ac:dyDescent="0.35">
      <c r="B1600">
        <f t="shared" si="365"/>
        <v>1598</v>
      </c>
      <c r="C1600" t="s">
        <v>83</v>
      </c>
      <c r="D1600" t="s">
        <v>176</v>
      </c>
      <c r="E1600">
        <f>IF(WEEKNUM(Combined[[#This Row],[Date]], 1) = 53, 1, WEEKNUM(Combined[[#This Row],[Date]], 2))</f>
        <v>6</v>
      </c>
      <c r="F1600" t="str">
        <f t="shared" ref="F1600:F1601" si="368">TEXT(WEEKDAY(G1600,1),"DDDD")</f>
        <v>Friday</v>
      </c>
      <c r="G1600" s="41">
        <v>45695</v>
      </c>
      <c r="H1600">
        <v>5</v>
      </c>
      <c r="I1600" s="1">
        <v>35.549999999999997</v>
      </c>
      <c r="J1600" s="2">
        <v>0.13958333333333334</v>
      </c>
      <c r="K1600" s="12">
        <f>Combined[[#This Row],[Time Spent]]*24</f>
        <v>3.35</v>
      </c>
      <c r="L1600" s="12">
        <f>MROUND(Combined[[#This Row],[Time Spent 2]],0.25)</f>
        <v>3.25</v>
      </c>
      <c r="M1600" s="2" t="s">
        <v>91</v>
      </c>
      <c r="N1600" t="s">
        <v>82</v>
      </c>
      <c r="O1600">
        <f>MATCH(Combined[[#This Row],[Primary Area]],KPIs!$C$4:$C$7,0)</f>
        <v>3</v>
      </c>
    </row>
    <row r="1601" spans="2:15" x14ac:dyDescent="0.35">
      <c r="B1601">
        <f t="shared" si="365"/>
        <v>1599</v>
      </c>
      <c r="C1601" t="s">
        <v>86</v>
      </c>
      <c r="D1601" t="s">
        <v>176</v>
      </c>
      <c r="E1601">
        <f>IF(WEEKNUM(Combined[[#This Row],[Date]], 1) = 53, 1, WEEKNUM(Combined[[#This Row],[Date]], 2))</f>
        <v>6</v>
      </c>
      <c r="F1601" t="str">
        <f t="shared" si="368"/>
        <v>Friday</v>
      </c>
      <c r="G1601" s="41">
        <v>45695</v>
      </c>
      <c r="H1601">
        <v>1</v>
      </c>
      <c r="I1601" s="1">
        <v>5.75</v>
      </c>
      <c r="J1601" s="2">
        <v>1.3194444444444444E-2</v>
      </c>
      <c r="K1601" s="12">
        <f>Combined[[#This Row],[Time Spent]]*24</f>
        <v>0.31666666666666665</v>
      </c>
      <c r="L1601" s="12">
        <f>MROUND(Combined[[#This Row],[Time Spent 2]],0.25)</f>
        <v>0.25</v>
      </c>
      <c r="M1601" s="2" t="s">
        <v>91</v>
      </c>
      <c r="N1601" t="s">
        <v>82</v>
      </c>
      <c r="O1601">
        <f>MATCH(Combined[[#This Row],[Primary Area]],KPIs!$C$4:$C$7,0)</f>
        <v>3</v>
      </c>
    </row>
    <row r="1602" spans="2:15" x14ac:dyDescent="0.35">
      <c r="B1602">
        <f t="shared" si="365"/>
        <v>1600</v>
      </c>
      <c r="C1602" t="s">
        <v>83</v>
      </c>
      <c r="D1602" t="s">
        <v>176</v>
      </c>
      <c r="E1602">
        <f>IF(WEEKNUM(Combined[[#This Row],[Date]], 1) = 53, 1, WEEKNUM(Combined[[#This Row],[Date]], 2))</f>
        <v>6</v>
      </c>
      <c r="F1602" t="str">
        <f t="shared" ref="F1602:F1603" si="369">TEXT(WEEKDAY(G1602,1),"DDDD")</f>
        <v>Sunday</v>
      </c>
      <c r="G1602" s="41">
        <v>45697</v>
      </c>
      <c r="H1602">
        <v>3</v>
      </c>
      <c r="I1602" s="1">
        <v>62.12</v>
      </c>
      <c r="J1602" s="2">
        <v>9.375E-2</v>
      </c>
      <c r="K1602" s="12">
        <f>Combined[[#This Row],[Time Spent]]*24</f>
        <v>2.25</v>
      </c>
      <c r="L1602" s="12">
        <f>MROUND(Combined[[#This Row],[Time Spent 2]],0.25)</f>
        <v>2.25</v>
      </c>
      <c r="M1602" s="2" t="s">
        <v>91</v>
      </c>
      <c r="N1602" t="s">
        <v>80</v>
      </c>
      <c r="O1602">
        <f>MATCH(Combined[[#This Row],[Primary Area]],KPIs!$C$4:$C$7,0)</f>
        <v>2</v>
      </c>
    </row>
    <row r="1603" spans="2:15" x14ac:dyDescent="0.35">
      <c r="B1603">
        <f t="shared" si="365"/>
        <v>1601</v>
      </c>
      <c r="C1603" t="s">
        <v>86</v>
      </c>
      <c r="D1603" t="s">
        <v>176</v>
      </c>
      <c r="E1603">
        <f>IF(WEEKNUM(Combined[[#This Row],[Date]], 1) = 53, 1, WEEKNUM(Combined[[#This Row],[Date]], 2))</f>
        <v>6</v>
      </c>
      <c r="F1603" t="str">
        <f t="shared" si="369"/>
        <v>Sunday</v>
      </c>
      <c r="G1603" s="41">
        <v>45697</v>
      </c>
      <c r="H1603">
        <v>3</v>
      </c>
      <c r="I1603" s="1">
        <v>33</v>
      </c>
      <c r="J1603" s="2">
        <v>8.3333333333333329E-2</v>
      </c>
      <c r="K1603" s="12">
        <f>Combined[[#This Row],[Time Spent]]*24</f>
        <v>2</v>
      </c>
      <c r="L1603" s="12">
        <f>MROUND(Combined[[#This Row],[Time Spent 2]],0.25)</f>
        <v>2</v>
      </c>
      <c r="M1603" s="2" t="s">
        <v>91</v>
      </c>
      <c r="N1603" t="s">
        <v>80</v>
      </c>
      <c r="O1603">
        <f>MATCH(Combined[[#This Row],[Primary Area]],KPIs!$C$4:$C$7,0)</f>
        <v>2</v>
      </c>
    </row>
    <row r="1604" spans="2:15" x14ac:dyDescent="0.35">
      <c r="B1604">
        <f t="shared" si="365"/>
        <v>1602</v>
      </c>
      <c r="C1604" t="s">
        <v>83</v>
      </c>
      <c r="D1604" t="s">
        <v>176</v>
      </c>
      <c r="E1604">
        <f>IF(WEEKNUM(Combined[[#This Row],[Date]], 1) = 53, 1, WEEKNUM(Combined[[#This Row],[Date]], 2))</f>
        <v>7</v>
      </c>
      <c r="F1604" t="str">
        <f t="shared" ref="F1604:F1607" si="370">TEXT(WEEKDAY(G1604,1),"DDDD")</f>
        <v>Monday</v>
      </c>
      <c r="G1604" s="41">
        <v>45698</v>
      </c>
      <c r="H1604">
        <v>3</v>
      </c>
      <c r="I1604" s="1">
        <v>55.68</v>
      </c>
      <c r="J1604" s="2">
        <v>0.10694444444444444</v>
      </c>
      <c r="K1604" s="12">
        <f>Combined[[#This Row],[Time Spent]]*24</f>
        <v>2.5666666666666664</v>
      </c>
      <c r="L1604" s="12">
        <f>MROUND(Combined[[#This Row],[Time Spent 2]],0.25)</f>
        <v>2.5</v>
      </c>
      <c r="M1604" s="2" t="s">
        <v>91</v>
      </c>
      <c r="N1604" t="s">
        <v>80</v>
      </c>
      <c r="O1604">
        <f>MATCH(Combined[[#This Row],[Primary Area]],KPIs!$C$4:$C$7,0)</f>
        <v>2</v>
      </c>
    </row>
    <row r="1605" spans="2:15" x14ac:dyDescent="0.35">
      <c r="B1605">
        <f t="shared" si="365"/>
        <v>1603</v>
      </c>
      <c r="C1605" t="s">
        <v>86</v>
      </c>
      <c r="D1605" t="s">
        <v>176</v>
      </c>
      <c r="E1605">
        <f>IF(WEEKNUM(Combined[[#This Row],[Date]], 1) = 53, 1, WEEKNUM(Combined[[#This Row],[Date]], 2))</f>
        <v>7</v>
      </c>
      <c r="F1605" t="str">
        <f t="shared" si="370"/>
        <v>Monday</v>
      </c>
      <c r="G1605" s="41">
        <v>45698</v>
      </c>
      <c r="H1605">
        <v>1</v>
      </c>
      <c r="I1605" s="1">
        <v>9</v>
      </c>
      <c r="J1605" s="2">
        <v>4.027777777777778E-2</v>
      </c>
      <c r="K1605" s="12">
        <f>Combined[[#This Row],[Time Spent]]*24</f>
        <v>0.96666666666666679</v>
      </c>
      <c r="L1605" s="12">
        <f>MROUND(Combined[[#This Row],[Time Spent 2]],0.25)</f>
        <v>1</v>
      </c>
      <c r="M1605" s="2" t="s">
        <v>91</v>
      </c>
      <c r="N1605" t="s">
        <v>80</v>
      </c>
      <c r="O1605">
        <f>MATCH(Combined[[#This Row],[Primary Area]],KPIs!$C$4:$C$7,0)</f>
        <v>2</v>
      </c>
    </row>
    <row r="1606" spans="2:15" x14ac:dyDescent="0.35">
      <c r="B1606">
        <f t="shared" si="365"/>
        <v>1604</v>
      </c>
      <c r="C1606" t="s">
        <v>86</v>
      </c>
      <c r="D1606" t="s">
        <v>176</v>
      </c>
      <c r="E1606">
        <f>IF(WEEKNUM(Combined[[#This Row],[Date]], 1) = 53, 1, WEEKNUM(Combined[[#This Row],[Date]], 2))</f>
        <v>7</v>
      </c>
      <c r="F1606" t="str">
        <f t="shared" si="370"/>
        <v>Monday</v>
      </c>
      <c r="G1606" s="41">
        <v>45698</v>
      </c>
      <c r="H1606">
        <v>3</v>
      </c>
      <c r="I1606" s="1">
        <v>21.75</v>
      </c>
      <c r="J1606" s="2">
        <v>3.125E-2</v>
      </c>
      <c r="K1606" s="12">
        <f>Combined[[#This Row],[Time Spent]]*24</f>
        <v>0.75</v>
      </c>
      <c r="L1606" s="12">
        <f>MROUND(Combined[[#This Row],[Time Spent 2]],0.25)</f>
        <v>0.75</v>
      </c>
      <c r="M1606" s="2" t="s">
        <v>91</v>
      </c>
      <c r="N1606" t="s">
        <v>80</v>
      </c>
      <c r="O1606">
        <f>MATCH(Combined[[#This Row],[Primary Area]],KPIs!$C$4:$C$7,0)</f>
        <v>2</v>
      </c>
    </row>
    <row r="1607" spans="2:15" x14ac:dyDescent="0.35">
      <c r="B1607">
        <f t="shared" si="365"/>
        <v>1605</v>
      </c>
      <c r="C1607" t="s">
        <v>86</v>
      </c>
      <c r="D1607" t="s">
        <v>176</v>
      </c>
      <c r="E1607">
        <f>IF(WEEKNUM(Combined[[#This Row],[Date]], 1) = 53, 1, WEEKNUM(Combined[[#This Row],[Date]], 2))</f>
        <v>7</v>
      </c>
      <c r="F1607" t="str">
        <f t="shared" si="370"/>
        <v>Monday</v>
      </c>
      <c r="G1607" s="41">
        <v>45698</v>
      </c>
      <c r="H1607">
        <v>1</v>
      </c>
      <c r="I1607" s="1">
        <v>20</v>
      </c>
      <c r="J1607" s="2">
        <v>1.7361111111111112E-2</v>
      </c>
      <c r="K1607" s="12">
        <f>Combined[[#This Row],[Time Spent]]*24</f>
        <v>0.41666666666666669</v>
      </c>
      <c r="L1607" s="12">
        <f>MROUND(Combined[[#This Row],[Time Spent 2]],0.25)</f>
        <v>0.5</v>
      </c>
      <c r="M1607" s="2" t="s">
        <v>91</v>
      </c>
      <c r="N1607" t="s">
        <v>80</v>
      </c>
      <c r="O1607">
        <f>MATCH(Combined[[#This Row],[Primary Area]],KPIs!$C$4:$C$7,0)</f>
        <v>2</v>
      </c>
    </row>
    <row r="1608" spans="2:15" x14ac:dyDescent="0.35">
      <c r="B1608">
        <f t="shared" si="365"/>
        <v>1606</v>
      </c>
      <c r="C1608" t="s">
        <v>86</v>
      </c>
      <c r="D1608" t="s">
        <v>176</v>
      </c>
      <c r="E1608">
        <f>IF(WEEKNUM(Combined[[#This Row],[Date]], 1) = 53, 1, WEEKNUM(Combined[[#This Row],[Date]], 2))</f>
        <v>7</v>
      </c>
      <c r="F1608" t="str">
        <f t="shared" ref="F1608" si="371">TEXT(WEEKDAY(G1608,1),"DDDD")</f>
        <v>Thursday</v>
      </c>
      <c r="G1608" s="41">
        <v>45701</v>
      </c>
      <c r="H1608">
        <v>5</v>
      </c>
      <c r="I1608" s="1">
        <v>91.15</v>
      </c>
      <c r="J1608" s="2">
        <v>0.1701388888888889</v>
      </c>
      <c r="K1608" s="12">
        <f>Combined[[#This Row],[Time Spent]]*24</f>
        <v>4.0833333333333339</v>
      </c>
      <c r="L1608" s="12">
        <f>MROUND(Combined[[#This Row],[Time Spent 2]],0.25)</f>
        <v>4</v>
      </c>
      <c r="M1608" s="2" t="s">
        <v>91</v>
      </c>
      <c r="N1608" t="s">
        <v>82</v>
      </c>
      <c r="O1608">
        <f>MATCH(Combined[[#This Row],[Primary Area]],KPIs!$C$4:$C$7,0)</f>
        <v>3</v>
      </c>
    </row>
    <row r="1609" spans="2:15" x14ac:dyDescent="0.35">
      <c r="B1609">
        <f t="shared" si="365"/>
        <v>1607</v>
      </c>
      <c r="C1609" t="s">
        <v>86</v>
      </c>
      <c r="D1609" t="s">
        <v>175</v>
      </c>
      <c r="E1609">
        <f>IF(WEEKNUM(Combined[[#This Row],[Date]], 1) = 53, 1, WEEKNUM(Combined[[#This Row],[Date]], 2))</f>
        <v>7</v>
      </c>
      <c r="F1609" t="str">
        <f t="shared" ref="F1609" si="372">TEXT(WEEKDAY(G1609,1),"DDDD")</f>
        <v>Saturday</v>
      </c>
      <c r="G1609" s="41">
        <v>45703</v>
      </c>
      <c r="H1609">
        <v>6</v>
      </c>
      <c r="I1609" s="1">
        <v>64.260000000000005</v>
      </c>
      <c r="J1609" s="2">
        <v>0.12013888888888889</v>
      </c>
      <c r="K1609" s="12">
        <f>Combined[[#This Row],[Time Spent]]*24</f>
        <v>2.8833333333333333</v>
      </c>
      <c r="L1609" s="12">
        <f>MROUND(Combined[[#This Row],[Time Spent 2]],0.25)</f>
        <v>3</v>
      </c>
      <c r="M1609" s="2" t="s">
        <v>91</v>
      </c>
      <c r="N1609" t="s">
        <v>174</v>
      </c>
      <c r="O1609">
        <f>MATCH(Combined[[#This Row],[Primary Area]],KPIs!$C$4:$C$7,0)</f>
        <v>1</v>
      </c>
    </row>
    <row r="1610" spans="2:15" x14ac:dyDescent="0.35">
      <c r="B1610">
        <f t="shared" si="365"/>
        <v>1608</v>
      </c>
      <c r="C1610" t="s">
        <v>83</v>
      </c>
      <c r="D1610" t="s">
        <v>176</v>
      </c>
      <c r="E1610">
        <f>IF(WEEKNUM(Combined[[#This Row],[Date]], 1) = 53, 1, WEEKNUM(Combined[[#This Row],[Date]], 2))</f>
        <v>8</v>
      </c>
      <c r="F1610" t="str">
        <f t="shared" ref="F1610:F1612" si="373">TEXT(WEEKDAY(G1610,1),"DDDD")</f>
        <v>Tuesday</v>
      </c>
      <c r="G1610" s="41">
        <v>45706</v>
      </c>
      <c r="H1610">
        <v>1</v>
      </c>
      <c r="I1610" s="1">
        <v>24.02</v>
      </c>
      <c r="J1610" s="2">
        <v>5.486111111111111E-2</v>
      </c>
      <c r="K1610" s="12">
        <f>Combined[[#This Row],[Time Spent]]*24</f>
        <v>1.3166666666666667</v>
      </c>
      <c r="L1610" s="12">
        <f>MROUND(Combined[[#This Row],[Time Spent 2]],0.25)</f>
        <v>1.25</v>
      </c>
      <c r="M1610" s="2" t="s">
        <v>91</v>
      </c>
      <c r="N1610" t="s">
        <v>80</v>
      </c>
      <c r="O1610">
        <f>MATCH(Combined[[#This Row],[Primary Area]],KPIs!$C$4:$C$7,0)</f>
        <v>2</v>
      </c>
    </row>
    <row r="1611" spans="2:15" x14ac:dyDescent="0.35">
      <c r="B1611">
        <f t="shared" si="365"/>
        <v>1609</v>
      </c>
      <c r="C1611" t="s">
        <v>86</v>
      </c>
      <c r="D1611" t="s">
        <v>176</v>
      </c>
      <c r="E1611">
        <f>IF(WEEKNUM(Combined[[#This Row],[Date]], 1) = 53, 1, WEEKNUM(Combined[[#This Row],[Date]], 2))</f>
        <v>8</v>
      </c>
      <c r="F1611" t="str">
        <f t="shared" si="373"/>
        <v>Tuesday</v>
      </c>
      <c r="G1611" s="41">
        <v>45706</v>
      </c>
      <c r="H1611">
        <v>6</v>
      </c>
      <c r="I1611" s="1">
        <v>60.25</v>
      </c>
      <c r="J1611" s="2">
        <v>0.14583333333333334</v>
      </c>
      <c r="K1611" s="12">
        <f>Combined[[#This Row],[Time Spent]]*24</f>
        <v>3.5</v>
      </c>
      <c r="L1611" s="12">
        <f>MROUND(Combined[[#This Row],[Time Spent 2]],0.25)</f>
        <v>3.5</v>
      </c>
      <c r="M1611" s="2" t="s">
        <v>91</v>
      </c>
      <c r="N1611" t="s">
        <v>80</v>
      </c>
      <c r="O1611">
        <f>MATCH(Combined[[#This Row],[Primary Area]],KPIs!$C$4:$C$7,0)</f>
        <v>2</v>
      </c>
    </row>
    <row r="1612" spans="2:15" x14ac:dyDescent="0.35">
      <c r="B1612">
        <f t="shared" si="365"/>
        <v>1610</v>
      </c>
      <c r="C1612" t="s">
        <v>86</v>
      </c>
      <c r="D1612" t="s">
        <v>176</v>
      </c>
      <c r="E1612">
        <f>IF(WEEKNUM(Combined[[#This Row],[Date]], 1) = 53, 1, WEEKNUM(Combined[[#This Row],[Date]], 2))</f>
        <v>8</v>
      </c>
      <c r="F1612" t="str">
        <f t="shared" si="373"/>
        <v>Tuesday</v>
      </c>
      <c r="G1612" s="41">
        <v>45706</v>
      </c>
      <c r="H1612">
        <v>3</v>
      </c>
      <c r="I1612" s="1">
        <v>22.75</v>
      </c>
      <c r="J1612" s="2">
        <v>6.5972222222222224E-2</v>
      </c>
      <c r="K1612" s="12">
        <f>Combined[[#This Row],[Time Spent]]*24</f>
        <v>1.5833333333333335</v>
      </c>
      <c r="L1612" s="12">
        <f>MROUND(Combined[[#This Row],[Time Spent 2]],0.25)</f>
        <v>1.5</v>
      </c>
      <c r="M1612" s="2" t="s">
        <v>92</v>
      </c>
      <c r="N1612" t="s">
        <v>80</v>
      </c>
      <c r="O1612">
        <f>MATCH(Combined[[#This Row],[Primary Area]],KPIs!$C$4:$C$7,0)</f>
        <v>2</v>
      </c>
    </row>
    <row r="1613" spans="2:15" x14ac:dyDescent="0.35">
      <c r="B1613">
        <f t="shared" si="365"/>
        <v>1611</v>
      </c>
      <c r="C1613" t="s">
        <v>83</v>
      </c>
      <c r="D1613" t="s">
        <v>176</v>
      </c>
      <c r="E1613">
        <f>IF(WEEKNUM(Combined[[#This Row],[Date]], 1) = 53, 1, WEEKNUM(Combined[[#This Row],[Date]], 2))</f>
        <v>8</v>
      </c>
      <c r="F1613" t="str">
        <f t="shared" ref="F1613:F1615" si="374">TEXT(WEEKDAY(G1613,1),"DDDD")</f>
        <v>Thursday</v>
      </c>
      <c r="G1613" s="41">
        <v>45708</v>
      </c>
      <c r="H1613">
        <v>2</v>
      </c>
      <c r="I1613" s="1">
        <v>16.579999999999998</v>
      </c>
      <c r="J1613" s="2">
        <v>6.458333333333334E-2</v>
      </c>
      <c r="K1613" s="12">
        <f>Combined[[#This Row],[Time Spent]]*24</f>
        <v>1.5500000000000003</v>
      </c>
      <c r="L1613" s="12">
        <f>MROUND(Combined[[#This Row],[Time Spent 2]],0.25)</f>
        <v>1.5</v>
      </c>
      <c r="M1613" s="2" t="s">
        <v>91</v>
      </c>
      <c r="N1613" t="s">
        <v>174</v>
      </c>
      <c r="O1613">
        <f>MATCH(Combined[[#This Row],[Primary Area]],KPIs!$C$4:$C$7,0)</f>
        <v>1</v>
      </c>
    </row>
    <row r="1614" spans="2:15" x14ac:dyDescent="0.35">
      <c r="B1614">
        <f t="shared" si="365"/>
        <v>1612</v>
      </c>
      <c r="C1614" t="s">
        <v>86</v>
      </c>
      <c r="D1614" t="s">
        <v>176</v>
      </c>
      <c r="E1614">
        <f>IF(WEEKNUM(Combined[[#This Row],[Date]], 1) = 53, 1, WEEKNUM(Combined[[#This Row],[Date]], 2))</f>
        <v>8</v>
      </c>
      <c r="F1614" t="str">
        <f t="shared" si="374"/>
        <v>Thursday</v>
      </c>
      <c r="G1614" s="41">
        <v>45708</v>
      </c>
      <c r="H1614">
        <v>6</v>
      </c>
      <c r="I1614" s="1">
        <v>62.5</v>
      </c>
      <c r="J1614" s="2">
        <v>0.15277777777777779</v>
      </c>
      <c r="K1614" s="12">
        <f>Combined[[#This Row],[Time Spent]]*24</f>
        <v>3.666666666666667</v>
      </c>
      <c r="L1614" s="12">
        <f>MROUND(Combined[[#This Row],[Time Spent 2]],0.25)</f>
        <v>3.75</v>
      </c>
      <c r="M1614" s="2" t="s">
        <v>91</v>
      </c>
      <c r="N1614" t="s">
        <v>174</v>
      </c>
      <c r="O1614">
        <f>MATCH(Combined[[#This Row],[Primary Area]],KPIs!$C$4:$C$7,0)</f>
        <v>1</v>
      </c>
    </row>
    <row r="1615" spans="2:15" x14ac:dyDescent="0.35">
      <c r="B1615">
        <f t="shared" si="365"/>
        <v>1613</v>
      </c>
      <c r="C1615" t="s">
        <v>86</v>
      </c>
      <c r="D1615" t="s">
        <v>175</v>
      </c>
      <c r="E1615">
        <f>IF(WEEKNUM(Combined[[#This Row],[Date]], 1) = 53, 1, WEEKNUM(Combined[[#This Row],[Date]], 2))</f>
        <v>8</v>
      </c>
      <c r="F1615" t="str">
        <f t="shared" si="374"/>
        <v>Thursday</v>
      </c>
      <c r="G1615" s="41">
        <v>45708</v>
      </c>
      <c r="H1615">
        <v>1</v>
      </c>
      <c r="I1615" s="1">
        <v>20.059999999999999</v>
      </c>
      <c r="J1615" s="2">
        <v>3.125E-2</v>
      </c>
      <c r="K1615" s="12">
        <f>Combined[[#This Row],[Time Spent]]*24</f>
        <v>0.75</v>
      </c>
      <c r="L1615" s="12">
        <f>MROUND(Combined[[#This Row],[Time Spent 2]],0.25)</f>
        <v>0.75</v>
      </c>
      <c r="M1615" s="2" t="s">
        <v>92</v>
      </c>
      <c r="N1615" t="s">
        <v>174</v>
      </c>
      <c r="O1615">
        <f>MATCH(Combined[[#This Row],[Primary Area]],KPIs!$C$4:$C$7,0)</f>
        <v>1</v>
      </c>
    </row>
    <row r="1616" spans="2:15" x14ac:dyDescent="0.35">
      <c r="B1616">
        <f t="shared" si="365"/>
        <v>1614</v>
      </c>
      <c r="C1616" t="s">
        <v>83</v>
      </c>
      <c r="D1616" t="s">
        <v>176</v>
      </c>
      <c r="E1616">
        <f>IF(WEEKNUM(Combined[[#This Row],[Date]], 1) = 53, 1, WEEKNUM(Combined[[#This Row],[Date]], 2))</f>
        <v>8</v>
      </c>
      <c r="F1616" t="str">
        <f t="shared" ref="F1616:F1618" si="375">TEXT(WEEKDAY(G1616,1),"DDDD")</f>
        <v>Friday</v>
      </c>
      <c r="G1616" s="41">
        <v>45709</v>
      </c>
      <c r="H1616">
        <v>10</v>
      </c>
      <c r="I1616" s="1">
        <v>115.11</v>
      </c>
      <c r="J1616" s="2">
        <v>0.21944444444444444</v>
      </c>
      <c r="K1616" s="12">
        <f>Combined[[#This Row],[Time Spent]]*24</f>
        <v>5.2666666666666666</v>
      </c>
      <c r="L1616" s="12">
        <f>MROUND(Combined[[#This Row],[Time Spent 2]],0.25)</f>
        <v>5.25</v>
      </c>
      <c r="M1616" s="2" t="s">
        <v>91</v>
      </c>
      <c r="N1616" t="s">
        <v>85</v>
      </c>
      <c r="O1616">
        <f>MATCH(Combined[[#This Row],[Primary Area]],KPIs!$C$4:$C$7,0)</f>
        <v>4</v>
      </c>
    </row>
    <row r="1617" spans="2:15" x14ac:dyDescent="0.35">
      <c r="B1617">
        <f t="shared" si="365"/>
        <v>1615</v>
      </c>
      <c r="C1617" t="s">
        <v>86</v>
      </c>
      <c r="D1617" t="s">
        <v>176</v>
      </c>
      <c r="E1617">
        <f>IF(WEEKNUM(Combined[[#This Row],[Date]], 1) = 53, 1, WEEKNUM(Combined[[#This Row],[Date]], 2))</f>
        <v>8</v>
      </c>
      <c r="F1617" t="str">
        <f t="shared" si="375"/>
        <v>Friday</v>
      </c>
      <c r="G1617" s="41">
        <v>45709</v>
      </c>
      <c r="H1617">
        <v>9</v>
      </c>
      <c r="I1617" s="1">
        <v>81</v>
      </c>
      <c r="J1617" s="2">
        <v>0.15</v>
      </c>
      <c r="K1617" s="12">
        <f>Combined[[#This Row],[Time Spent]]*24</f>
        <v>3.5999999999999996</v>
      </c>
      <c r="L1617" s="12">
        <f>MROUND(Combined[[#This Row],[Time Spent 2]],0.25)</f>
        <v>3.5</v>
      </c>
      <c r="M1617" s="2" t="s">
        <v>91</v>
      </c>
      <c r="N1617" t="s">
        <v>85</v>
      </c>
      <c r="O1617">
        <f>MATCH(Combined[[#This Row],[Primary Area]],KPIs!$C$4:$C$7,0)</f>
        <v>4</v>
      </c>
    </row>
    <row r="1618" spans="2:15" x14ac:dyDescent="0.35">
      <c r="B1618">
        <f t="shared" si="365"/>
        <v>1616</v>
      </c>
      <c r="C1618" t="s">
        <v>86</v>
      </c>
      <c r="D1618" t="s">
        <v>175</v>
      </c>
      <c r="E1618">
        <f>IF(WEEKNUM(Combined[[#This Row],[Date]], 1) = 53, 1, WEEKNUM(Combined[[#This Row],[Date]], 2))</f>
        <v>8</v>
      </c>
      <c r="F1618" t="str">
        <f t="shared" si="375"/>
        <v>Friday</v>
      </c>
      <c r="G1618" s="41">
        <v>45709</v>
      </c>
      <c r="H1618">
        <v>1</v>
      </c>
      <c r="I1618" s="1">
        <v>12.75</v>
      </c>
      <c r="J1618" s="2">
        <v>2.8472222222222222E-2</v>
      </c>
      <c r="K1618" s="12">
        <f>Combined[[#This Row],[Time Spent]]*24</f>
        <v>0.68333333333333335</v>
      </c>
      <c r="L1618" s="12">
        <f>MROUND(Combined[[#This Row],[Time Spent 2]],0.25)</f>
        <v>0.75</v>
      </c>
      <c r="M1618" s="2" t="s">
        <v>92</v>
      </c>
      <c r="N1618" t="s">
        <v>85</v>
      </c>
      <c r="O1618">
        <f>MATCH(Combined[[#This Row],[Primary Area]],KPIs!$C$4:$C$7,0)</f>
        <v>4</v>
      </c>
    </row>
    <row r="1619" spans="2:15" x14ac:dyDescent="0.35">
      <c r="B1619">
        <f t="shared" si="365"/>
        <v>1617</v>
      </c>
      <c r="C1619" t="s">
        <v>83</v>
      </c>
      <c r="D1619" t="s">
        <v>176</v>
      </c>
      <c r="E1619">
        <f>IF(WEEKNUM(Combined[[#This Row],[Date]], 1) = 53, 1, WEEKNUM(Combined[[#This Row],[Date]], 2))</f>
        <v>8</v>
      </c>
      <c r="F1619" t="str">
        <f t="shared" ref="F1619:F1621" si="376">TEXT(WEEKDAY(G1619,1),"DDDD")</f>
        <v>Saturday</v>
      </c>
      <c r="G1619" s="41">
        <v>45710</v>
      </c>
      <c r="H1619">
        <v>2</v>
      </c>
      <c r="I1619" s="1">
        <v>28.59</v>
      </c>
      <c r="J1619" s="2">
        <v>5.486111111111111E-2</v>
      </c>
      <c r="K1619" s="12">
        <f>Combined[[#This Row],[Time Spent]]*24</f>
        <v>1.3166666666666667</v>
      </c>
      <c r="L1619" s="12">
        <f>MROUND(Combined[[#This Row],[Time Spent 2]],0.25)</f>
        <v>1.25</v>
      </c>
      <c r="M1619" s="2" t="s">
        <v>90</v>
      </c>
      <c r="N1619" t="s">
        <v>80</v>
      </c>
      <c r="O1619">
        <f>MATCH(Combined[[#This Row],[Primary Area]],KPIs!$C$4:$C$7,0)</f>
        <v>2</v>
      </c>
    </row>
    <row r="1620" spans="2:15" x14ac:dyDescent="0.35">
      <c r="B1620">
        <f t="shared" si="365"/>
        <v>1618</v>
      </c>
      <c r="C1620" t="s">
        <v>86</v>
      </c>
      <c r="D1620" t="s">
        <v>176</v>
      </c>
      <c r="E1620">
        <f>IF(WEEKNUM(Combined[[#This Row],[Date]], 1) = 53, 1, WEEKNUM(Combined[[#This Row],[Date]], 2))</f>
        <v>8</v>
      </c>
      <c r="F1620" t="str">
        <f t="shared" si="376"/>
        <v>Saturday</v>
      </c>
      <c r="G1620" s="41">
        <v>45710</v>
      </c>
      <c r="H1620">
        <v>6</v>
      </c>
      <c r="I1620" s="1">
        <v>95.75</v>
      </c>
      <c r="J1620" s="2">
        <v>0.2326388888888889</v>
      </c>
      <c r="K1620" s="12">
        <f>Combined[[#This Row],[Time Spent]]*24</f>
        <v>5.5833333333333339</v>
      </c>
      <c r="L1620" s="12">
        <f>MROUND(Combined[[#This Row],[Time Spent 2]],0.25)</f>
        <v>5.5</v>
      </c>
      <c r="M1620" s="2" t="s">
        <v>90</v>
      </c>
      <c r="N1620" t="s">
        <v>80</v>
      </c>
      <c r="O1620">
        <f>MATCH(Combined[[#This Row],[Primary Area]],KPIs!$C$4:$C$7,0)</f>
        <v>2</v>
      </c>
    </row>
    <row r="1621" spans="2:15" x14ac:dyDescent="0.35">
      <c r="B1621">
        <f t="shared" si="365"/>
        <v>1619</v>
      </c>
      <c r="C1621" t="s">
        <v>86</v>
      </c>
      <c r="D1621" t="s">
        <v>176</v>
      </c>
      <c r="E1621">
        <f>IF(WEEKNUM(Combined[[#This Row],[Date]], 1) = 53, 1, WEEKNUM(Combined[[#This Row],[Date]], 2))</f>
        <v>8</v>
      </c>
      <c r="F1621" t="str">
        <f t="shared" si="376"/>
        <v>Saturday</v>
      </c>
      <c r="G1621" s="41">
        <v>45710</v>
      </c>
      <c r="H1621">
        <v>3</v>
      </c>
      <c r="I1621" s="1">
        <v>32.25</v>
      </c>
      <c r="J1621" s="2">
        <v>3.6805555555555557E-2</v>
      </c>
      <c r="K1621" s="12">
        <f>Combined[[#This Row],[Time Spent]]*24</f>
        <v>0.8833333333333333</v>
      </c>
      <c r="L1621" s="12">
        <f>MROUND(Combined[[#This Row],[Time Spent 2]],0.25)</f>
        <v>1</v>
      </c>
      <c r="M1621" s="2" t="s">
        <v>91</v>
      </c>
      <c r="N1621" t="s">
        <v>80</v>
      </c>
      <c r="O1621">
        <f>MATCH(Combined[[#This Row],[Primary Area]],KPIs!$C$4:$C$7,0)</f>
        <v>2</v>
      </c>
    </row>
    <row r="1622" spans="2:15" x14ac:dyDescent="0.35">
      <c r="B1622">
        <f t="shared" si="365"/>
        <v>1620</v>
      </c>
      <c r="C1622" t="s">
        <v>83</v>
      </c>
      <c r="D1622" t="s">
        <v>176</v>
      </c>
      <c r="E1622">
        <f>IF(WEEKNUM(Combined[[#This Row],[Date]], 1) = 53, 1, WEEKNUM(Combined[[#This Row],[Date]], 2))</f>
        <v>9</v>
      </c>
      <c r="F1622" t="str">
        <f t="shared" ref="F1622:F1624" si="377">TEXT(WEEKDAY(G1622,1),"DDDD")</f>
        <v>Monday</v>
      </c>
      <c r="G1622" s="41">
        <v>45712</v>
      </c>
      <c r="H1622">
        <v>5</v>
      </c>
      <c r="I1622" s="1">
        <v>55.3</v>
      </c>
      <c r="J1622" s="2">
        <v>0.11458333333333333</v>
      </c>
      <c r="K1622" s="12">
        <f>Combined[[#This Row],[Time Spent]]*24</f>
        <v>2.75</v>
      </c>
      <c r="L1622" s="12">
        <f>MROUND(Combined[[#This Row],[Time Spent 2]],0.25)</f>
        <v>2.75</v>
      </c>
      <c r="M1622" s="2" t="s">
        <v>91</v>
      </c>
      <c r="N1622" t="s">
        <v>80</v>
      </c>
      <c r="O1622">
        <f>MATCH(Combined[[#This Row],[Primary Area]],KPIs!$C$4:$C$7,0)</f>
        <v>2</v>
      </c>
    </row>
    <row r="1623" spans="2:15" x14ac:dyDescent="0.35">
      <c r="B1623">
        <f t="shared" si="365"/>
        <v>1621</v>
      </c>
      <c r="C1623" t="s">
        <v>86</v>
      </c>
      <c r="D1623" t="s">
        <v>176</v>
      </c>
      <c r="E1623">
        <f>IF(WEEKNUM(Combined[[#This Row],[Date]], 1) = 53, 1, WEEKNUM(Combined[[#This Row],[Date]], 2))</f>
        <v>9</v>
      </c>
      <c r="F1623" t="str">
        <f t="shared" si="377"/>
        <v>Monday</v>
      </c>
      <c r="G1623" s="41">
        <v>45712</v>
      </c>
      <c r="H1623">
        <v>1</v>
      </c>
      <c r="I1623" s="1">
        <v>10.75</v>
      </c>
      <c r="J1623" s="2">
        <v>1.2500000000000001E-2</v>
      </c>
      <c r="K1623" s="12">
        <f>Combined[[#This Row],[Time Spent]]*24</f>
        <v>0.30000000000000004</v>
      </c>
      <c r="L1623" s="12">
        <f>MROUND(Combined[[#This Row],[Time Spent 2]],0.25)</f>
        <v>0.25</v>
      </c>
      <c r="M1623" s="2" t="s">
        <v>91</v>
      </c>
      <c r="N1623" t="s">
        <v>80</v>
      </c>
      <c r="O1623">
        <f>MATCH(Combined[[#This Row],[Primary Area]],KPIs!$C$4:$C$7,0)</f>
        <v>2</v>
      </c>
    </row>
    <row r="1624" spans="2:15" x14ac:dyDescent="0.35">
      <c r="B1624">
        <f t="shared" si="365"/>
        <v>1622</v>
      </c>
      <c r="C1624" t="s">
        <v>86</v>
      </c>
      <c r="D1624" t="s">
        <v>176</v>
      </c>
      <c r="E1624">
        <f>IF(WEEKNUM(Combined[[#This Row],[Date]], 1) = 53, 1, WEEKNUM(Combined[[#This Row],[Date]], 2))</f>
        <v>9</v>
      </c>
      <c r="F1624" t="str">
        <f t="shared" si="377"/>
        <v>Monday</v>
      </c>
      <c r="G1624" s="41">
        <v>45712</v>
      </c>
      <c r="H1624">
        <v>2</v>
      </c>
      <c r="I1624" s="1">
        <v>19.25</v>
      </c>
      <c r="J1624" s="2">
        <v>3.5416666666666666E-2</v>
      </c>
      <c r="K1624" s="12">
        <f>Combined[[#This Row],[Time Spent]]*24</f>
        <v>0.85</v>
      </c>
      <c r="L1624" s="12">
        <f>MROUND(Combined[[#This Row],[Time Spent 2]],0.25)</f>
        <v>0.75</v>
      </c>
      <c r="M1624" s="2" t="s">
        <v>91</v>
      </c>
      <c r="N1624" t="s">
        <v>80</v>
      </c>
      <c r="O1624">
        <f>MATCH(Combined[[#This Row],[Primary Area]],KPIs!$C$4:$C$7,0)</f>
        <v>2</v>
      </c>
    </row>
    <row r="1625" spans="2:15" x14ac:dyDescent="0.35">
      <c r="B1625">
        <f t="shared" si="365"/>
        <v>1623</v>
      </c>
      <c r="C1625" t="s">
        <v>83</v>
      </c>
      <c r="D1625" t="s">
        <v>176</v>
      </c>
      <c r="E1625">
        <f>IF(WEEKNUM(Combined[[#This Row],[Date]], 1) = 53, 1, WEEKNUM(Combined[[#This Row],[Date]], 2))</f>
        <v>9</v>
      </c>
      <c r="F1625" t="str">
        <f t="shared" ref="F1625:F1627" si="378">TEXT(WEEKDAY(G1625,1),"DDDD")</f>
        <v>Wednesday</v>
      </c>
      <c r="G1625" s="41">
        <v>45714</v>
      </c>
      <c r="H1625">
        <v>1</v>
      </c>
      <c r="I1625" s="1">
        <v>26.57</v>
      </c>
      <c r="J1625" s="2">
        <v>6.5972222222222224E-2</v>
      </c>
      <c r="K1625" s="12">
        <f>Combined[[#This Row],[Time Spent]]*24</f>
        <v>1.5833333333333335</v>
      </c>
      <c r="L1625" s="12">
        <f>MROUND(Combined[[#This Row],[Time Spent 2]],0.25)</f>
        <v>1.5</v>
      </c>
      <c r="M1625" s="2" t="s">
        <v>91</v>
      </c>
      <c r="N1625" t="s">
        <v>174</v>
      </c>
      <c r="O1625">
        <f>MATCH(Combined[[#This Row],[Primary Area]],KPIs!$C$4:$C$7,0)</f>
        <v>1</v>
      </c>
    </row>
    <row r="1626" spans="2:15" x14ac:dyDescent="0.35">
      <c r="B1626">
        <f t="shared" si="365"/>
        <v>1624</v>
      </c>
      <c r="C1626" t="s">
        <v>86</v>
      </c>
      <c r="D1626" t="s">
        <v>176</v>
      </c>
      <c r="E1626">
        <f>IF(WEEKNUM(Combined[[#This Row],[Date]], 1) = 53, 1, WEEKNUM(Combined[[#This Row],[Date]], 2))</f>
        <v>9</v>
      </c>
      <c r="F1626" t="str">
        <f t="shared" si="378"/>
        <v>Wednesday</v>
      </c>
      <c r="G1626" s="41">
        <v>45714</v>
      </c>
      <c r="H1626">
        <v>6</v>
      </c>
      <c r="I1626" s="1">
        <v>91.5</v>
      </c>
      <c r="J1626" s="2">
        <v>0.16180555555555556</v>
      </c>
      <c r="K1626" s="12">
        <f>Combined[[#This Row],[Time Spent]]*24</f>
        <v>3.8833333333333337</v>
      </c>
      <c r="L1626" s="12">
        <f>MROUND(Combined[[#This Row],[Time Spent 2]],0.25)</f>
        <v>4</v>
      </c>
      <c r="M1626" s="2" t="s">
        <v>91</v>
      </c>
      <c r="N1626" t="s">
        <v>174</v>
      </c>
      <c r="O1626">
        <f>MATCH(Combined[[#This Row],[Primary Area]],KPIs!$C$4:$C$7,0)</f>
        <v>1</v>
      </c>
    </row>
    <row r="1627" spans="2:15" x14ac:dyDescent="0.35">
      <c r="B1627">
        <f t="shared" si="365"/>
        <v>1625</v>
      </c>
      <c r="C1627" t="s">
        <v>86</v>
      </c>
      <c r="D1627" t="s">
        <v>176</v>
      </c>
      <c r="E1627">
        <f>IF(WEEKNUM(Combined[[#This Row],[Date]], 1) = 53, 1, WEEKNUM(Combined[[#This Row],[Date]], 2))</f>
        <v>9</v>
      </c>
      <c r="F1627" t="str">
        <f t="shared" si="378"/>
        <v>Wednesday</v>
      </c>
      <c r="G1627" s="41">
        <v>45714</v>
      </c>
      <c r="H1627">
        <v>1</v>
      </c>
      <c r="I1627" s="1">
        <v>11.25</v>
      </c>
      <c r="J1627" s="2">
        <v>3.8194444444444448E-2</v>
      </c>
      <c r="K1627" s="12">
        <f>Combined[[#This Row],[Time Spent]]*24</f>
        <v>0.91666666666666674</v>
      </c>
      <c r="L1627" s="12">
        <f>MROUND(Combined[[#This Row],[Time Spent 2]],0.25)</f>
        <v>1</v>
      </c>
      <c r="M1627" s="2" t="s">
        <v>92</v>
      </c>
      <c r="N1627" t="s">
        <v>174</v>
      </c>
      <c r="O1627">
        <f>MATCH(Combined[[#This Row],[Primary Area]],KPIs!$C$4:$C$7,0)</f>
        <v>1</v>
      </c>
    </row>
    <row r="1628" spans="2:15" x14ac:dyDescent="0.35">
      <c r="B1628">
        <f t="shared" si="365"/>
        <v>1626</v>
      </c>
      <c r="C1628" t="s">
        <v>83</v>
      </c>
      <c r="D1628" t="s">
        <v>176</v>
      </c>
      <c r="E1628">
        <f>IF(WEEKNUM(Combined[[#This Row],[Date]], 1) = 53, 1, WEEKNUM(Combined[[#This Row],[Date]], 2))</f>
        <v>9</v>
      </c>
      <c r="F1628" t="str">
        <f t="shared" ref="F1628:F1630" si="379">TEXT(WEEKDAY(G1628,1),"DDDD")</f>
        <v>Saturday</v>
      </c>
      <c r="G1628" s="41">
        <v>45717</v>
      </c>
      <c r="H1628">
        <v>3</v>
      </c>
      <c r="I1628" s="1">
        <v>48.25</v>
      </c>
      <c r="J1628" s="2">
        <v>6.8750000000000006E-2</v>
      </c>
      <c r="K1628" s="12">
        <f>Combined[[#This Row],[Time Spent]]*24</f>
        <v>1.6500000000000001</v>
      </c>
      <c r="L1628" s="12">
        <f>MROUND(Combined[[#This Row],[Time Spent 2]],0.25)</f>
        <v>1.75</v>
      </c>
      <c r="M1628" s="2" t="s">
        <v>91</v>
      </c>
      <c r="N1628" t="s">
        <v>80</v>
      </c>
      <c r="O1628">
        <f>MATCH(Combined[[#This Row],[Primary Area]],KPIs!$C$4:$C$7,0)</f>
        <v>2</v>
      </c>
    </row>
    <row r="1629" spans="2:15" x14ac:dyDescent="0.35">
      <c r="B1629">
        <f t="shared" si="365"/>
        <v>1627</v>
      </c>
      <c r="C1629" t="s">
        <v>86</v>
      </c>
      <c r="D1629" t="s">
        <v>176</v>
      </c>
      <c r="E1629">
        <f>IF(WEEKNUM(Combined[[#This Row],[Date]], 1) = 53, 1, WEEKNUM(Combined[[#This Row],[Date]], 2))</f>
        <v>9</v>
      </c>
      <c r="F1629" t="str">
        <f t="shared" si="379"/>
        <v>Saturday</v>
      </c>
      <c r="G1629" s="41">
        <v>45717</v>
      </c>
      <c r="H1629">
        <v>1</v>
      </c>
      <c r="I1629" s="1">
        <v>12</v>
      </c>
      <c r="J1629" s="2">
        <v>7.2222222222222215E-2</v>
      </c>
      <c r="K1629" s="12">
        <f>Combined[[#This Row],[Time Spent]]*24</f>
        <v>1.7333333333333332</v>
      </c>
      <c r="L1629" s="12">
        <f>MROUND(Combined[[#This Row],[Time Spent 2]],0.25)</f>
        <v>1.75</v>
      </c>
      <c r="M1629" s="2" t="s">
        <v>91</v>
      </c>
      <c r="N1629" t="s">
        <v>80</v>
      </c>
      <c r="O1629">
        <f>MATCH(Combined[[#This Row],[Primary Area]],KPIs!$C$4:$C$7,0)</f>
        <v>2</v>
      </c>
    </row>
    <row r="1630" spans="2:15" x14ac:dyDescent="0.35">
      <c r="B1630">
        <f t="shared" si="365"/>
        <v>1628</v>
      </c>
      <c r="C1630" t="s">
        <v>86</v>
      </c>
      <c r="D1630" t="s">
        <v>176</v>
      </c>
      <c r="E1630">
        <f>IF(WEEKNUM(Combined[[#This Row],[Date]], 1) = 53, 1, WEEKNUM(Combined[[#This Row],[Date]], 2))</f>
        <v>9</v>
      </c>
      <c r="F1630" t="str">
        <f t="shared" si="379"/>
        <v>Saturday</v>
      </c>
      <c r="G1630" s="41">
        <v>45717</v>
      </c>
      <c r="H1630">
        <v>8</v>
      </c>
      <c r="I1630" s="1">
        <v>83.25</v>
      </c>
      <c r="J1630" s="2">
        <v>0.15069444444444444</v>
      </c>
      <c r="K1630" s="12">
        <f>Combined[[#This Row],[Time Spent]]*24</f>
        <v>3.6166666666666663</v>
      </c>
      <c r="L1630" s="12">
        <f>MROUND(Combined[[#This Row],[Time Spent 2]],0.25)</f>
        <v>3.5</v>
      </c>
      <c r="M1630" s="2" t="s">
        <v>91</v>
      </c>
      <c r="N1630" t="s">
        <v>80</v>
      </c>
      <c r="O1630">
        <f>MATCH(Combined[[#This Row],[Primary Area]],KPIs!$C$4:$C$7,0)</f>
        <v>2</v>
      </c>
    </row>
    <row r="1631" spans="2:15" x14ac:dyDescent="0.35">
      <c r="B1631">
        <f t="shared" si="365"/>
        <v>1629</v>
      </c>
      <c r="C1631" t="s">
        <v>83</v>
      </c>
      <c r="D1631" t="s">
        <v>176</v>
      </c>
      <c r="E1631">
        <f>IF(WEEKNUM(Combined[[#This Row],[Date]], 1) = 53, 1, WEEKNUM(Combined[[#This Row],[Date]], 2))</f>
        <v>10</v>
      </c>
      <c r="F1631" t="str">
        <f t="shared" ref="F1631:F1634" si="380">TEXT(WEEKDAY(G1631,1),"DDDD")</f>
        <v>Monday</v>
      </c>
      <c r="G1631" s="41">
        <v>45719</v>
      </c>
      <c r="H1631">
        <v>3</v>
      </c>
      <c r="I1631" s="1">
        <v>62.62</v>
      </c>
      <c r="J1631" s="2">
        <v>7.4305555555555555E-2</v>
      </c>
      <c r="K1631" s="12">
        <f>Combined[[#This Row],[Time Spent]]*24</f>
        <v>1.7833333333333332</v>
      </c>
      <c r="L1631" s="12">
        <f>MROUND(Combined[[#This Row],[Time Spent 2]],0.25)</f>
        <v>1.75</v>
      </c>
      <c r="M1631" s="2" t="s">
        <v>91</v>
      </c>
      <c r="N1631" t="s">
        <v>80</v>
      </c>
      <c r="O1631">
        <f>MATCH(Combined[[#This Row],[Primary Area]],KPIs!$C$4:$C$7,0)</f>
        <v>2</v>
      </c>
    </row>
    <row r="1632" spans="2:15" x14ac:dyDescent="0.35">
      <c r="B1632">
        <f t="shared" si="365"/>
        <v>1630</v>
      </c>
      <c r="C1632" t="s">
        <v>86</v>
      </c>
      <c r="D1632" t="s">
        <v>176</v>
      </c>
      <c r="E1632">
        <f>IF(WEEKNUM(Combined[[#This Row],[Date]], 1) = 53, 1, WEEKNUM(Combined[[#This Row],[Date]], 2))</f>
        <v>10</v>
      </c>
      <c r="F1632" t="str">
        <f t="shared" si="380"/>
        <v>Monday</v>
      </c>
      <c r="G1632" s="41">
        <v>45719</v>
      </c>
      <c r="H1632">
        <v>2</v>
      </c>
      <c r="I1632" s="1">
        <v>18.25</v>
      </c>
      <c r="J1632" s="2">
        <v>7.6388888888888895E-2</v>
      </c>
      <c r="K1632" s="12">
        <f>Combined[[#This Row],[Time Spent]]*24</f>
        <v>1.8333333333333335</v>
      </c>
      <c r="L1632" s="12">
        <f>MROUND(Combined[[#This Row],[Time Spent 2]],0.25)</f>
        <v>1.75</v>
      </c>
      <c r="M1632" s="2" t="s">
        <v>91</v>
      </c>
      <c r="N1632" t="s">
        <v>80</v>
      </c>
      <c r="O1632">
        <f>MATCH(Combined[[#This Row],[Primary Area]],KPIs!$C$4:$C$7,0)</f>
        <v>2</v>
      </c>
    </row>
    <row r="1633" spans="2:15" x14ac:dyDescent="0.35">
      <c r="B1633">
        <f t="shared" si="365"/>
        <v>1631</v>
      </c>
      <c r="C1633" t="s">
        <v>86</v>
      </c>
      <c r="D1633" t="s">
        <v>176</v>
      </c>
      <c r="E1633">
        <f>IF(WEEKNUM(Combined[[#This Row],[Date]], 1) = 53, 1, WEEKNUM(Combined[[#This Row],[Date]], 2))</f>
        <v>10</v>
      </c>
      <c r="F1633" t="str">
        <f t="shared" si="380"/>
        <v>Monday</v>
      </c>
      <c r="G1633" s="41">
        <v>45719</v>
      </c>
      <c r="H1633">
        <v>3</v>
      </c>
      <c r="I1633" s="1">
        <f>14+5.5</f>
        <v>19.5</v>
      </c>
      <c r="J1633" s="2">
        <v>3.7499999999999999E-2</v>
      </c>
      <c r="K1633" s="12">
        <f>Combined[[#This Row],[Time Spent]]*24</f>
        <v>0.89999999999999991</v>
      </c>
      <c r="L1633" s="12">
        <f>MROUND(Combined[[#This Row],[Time Spent 2]],0.25)</f>
        <v>1</v>
      </c>
      <c r="M1633" s="2" t="s">
        <v>91</v>
      </c>
      <c r="N1633" t="s">
        <v>80</v>
      </c>
      <c r="O1633">
        <f>MATCH(Combined[[#This Row],[Primary Area]],KPIs!$C$4:$C$7,0)</f>
        <v>2</v>
      </c>
    </row>
    <row r="1634" spans="2:15" x14ac:dyDescent="0.35">
      <c r="B1634">
        <f t="shared" si="365"/>
        <v>1632</v>
      </c>
      <c r="C1634" t="s">
        <v>86</v>
      </c>
      <c r="D1634" t="s">
        <v>176</v>
      </c>
      <c r="E1634">
        <f>IF(WEEKNUM(Combined[[#This Row],[Date]], 1) = 53, 1, WEEKNUM(Combined[[#This Row],[Date]], 2))</f>
        <v>10</v>
      </c>
      <c r="F1634" t="str">
        <f t="shared" si="380"/>
        <v>Monday</v>
      </c>
      <c r="G1634" s="41">
        <v>45719</v>
      </c>
      <c r="H1634">
        <v>5</v>
      </c>
      <c r="I1634" s="1">
        <v>43.5</v>
      </c>
      <c r="J1634" s="2">
        <v>9.2361111111111116E-2</v>
      </c>
      <c r="K1634" s="12">
        <f>Combined[[#This Row],[Time Spent]]*24</f>
        <v>2.2166666666666668</v>
      </c>
      <c r="L1634" s="12">
        <f>MROUND(Combined[[#This Row],[Time Spent 2]],0.25)</f>
        <v>2.25</v>
      </c>
      <c r="M1634" s="2" t="s">
        <v>92</v>
      </c>
      <c r="N1634" t="s">
        <v>80</v>
      </c>
      <c r="O1634">
        <f>MATCH(Combined[[#This Row],[Primary Area]],KPIs!$C$4:$C$7,0)</f>
        <v>2</v>
      </c>
    </row>
    <row r="1635" spans="2:15" x14ac:dyDescent="0.35">
      <c r="B1635">
        <f t="shared" si="365"/>
        <v>1633</v>
      </c>
      <c r="C1635" t="s">
        <v>86</v>
      </c>
      <c r="D1635" t="s">
        <v>176</v>
      </c>
      <c r="E1635">
        <f>IF(WEEKNUM(Combined[[#This Row],[Date]], 1) = 53, 1, WEEKNUM(Combined[[#This Row],[Date]], 2))</f>
        <v>10</v>
      </c>
      <c r="F1635" t="str">
        <f t="shared" ref="F1635" si="381">TEXT(WEEKDAY(G1635,1),"DDDD")</f>
        <v>Tuesday</v>
      </c>
      <c r="G1635" s="41">
        <v>45720</v>
      </c>
      <c r="H1635">
        <v>8</v>
      </c>
      <c r="I1635" s="1">
        <v>89.25</v>
      </c>
      <c r="J1635" s="2">
        <v>0.19375000000000001</v>
      </c>
      <c r="K1635" s="12">
        <f>Combined[[#This Row],[Time Spent]]*24</f>
        <v>4.6500000000000004</v>
      </c>
      <c r="L1635" s="12">
        <f>MROUND(Combined[[#This Row],[Time Spent 2]],0.25)</f>
        <v>4.75</v>
      </c>
      <c r="M1635" s="2" t="s">
        <v>91</v>
      </c>
      <c r="N1635" t="s">
        <v>80</v>
      </c>
      <c r="O1635">
        <f>MATCH(Combined[[#This Row],[Primary Area]],KPIs!$C$4:$C$7,0)</f>
        <v>2</v>
      </c>
    </row>
    <row r="1636" spans="2:15" x14ac:dyDescent="0.35">
      <c r="B1636">
        <f t="shared" si="365"/>
        <v>1634</v>
      </c>
      <c r="C1636" t="s">
        <v>83</v>
      </c>
      <c r="D1636" t="s">
        <v>176</v>
      </c>
      <c r="E1636">
        <f>IF(WEEKNUM(Combined[[#This Row],[Date]], 1) = 53, 1, WEEKNUM(Combined[[#This Row],[Date]], 2))</f>
        <v>10</v>
      </c>
      <c r="F1636" t="str">
        <f t="shared" ref="F1636:F1637" si="382">TEXT(WEEKDAY(G1636,1),"DDDD")</f>
        <v>Saturday</v>
      </c>
      <c r="G1636" s="41">
        <v>45724</v>
      </c>
      <c r="H1636">
        <v>8</v>
      </c>
      <c r="I1636" s="1">
        <v>85.53</v>
      </c>
      <c r="J1636" s="2">
        <v>0.17499999999999999</v>
      </c>
      <c r="K1636" s="12">
        <f>Combined[[#This Row],[Time Spent]]*24</f>
        <v>4.1999999999999993</v>
      </c>
      <c r="L1636" s="12">
        <f>MROUND(Combined[[#This Row],[Time Spent 2]],0.25)</f>
        <v>4.25</v>
      </c>
      <c r="M1636" s="2" t="s">
        <v>91</v>
      </c>
      <c r="N1636" t="s">
        <v>80</v>
      </c>
      <c r="O1636">
        <f>MATCH(Combined[[#This Row],[Primary Area]],KPIs!$C$4:$C$7,0)</f>
        <v>2</v>
      </c>
    </row>
    <row r="1637" spans="2:15" x14ac:dyDescent="0.35">
      <c r="B1637">
        <f t="shared" si="365"/>
        <v>1635</v>
      </c>
      <c r="C1637" t="s">
        <v>86</v>
      </c>
      <c r="D1637" t="s">
        <v>176</v>
      </c>
      <c r="E1637">
        <f>IF(WEEKNUM(Combined[[#This Row],[Date]], 1) = 53, 1, WEEKNUM(Combined[[#This Row],[Date]], 2))</f>
        <v>10</v>
      </c>
      <c r="F1637" t="str">
        <f t="shared" si="382"/>
        <v>Saturday</v>
      </c>
      <c r="G1637" s="41">
        <v>45724</v>
      </c>
      <c r="H1637">
        <v>5</v>
      </c>
      <c r="I1637" s="1">
        <v>62.25</v>
      </c>
      <c r="J1637" s="2">
        <v>0.14444444444444443</v>
      </c>
      <c r="K1637" s="12">
        <f>Combined[[#This Row],[Time Spent]]*24</f>
        <v>3.4666666666666663</v>
      </c>
      <c r="L1637" s="12">
        <f>MROUND(Combined[[#This Row],[Time Spent 2]],0.25)</f>
        <v>3.5</v>
      </c>
      <c r="M1637" s="2" t="s">
        <v>91</v>
      </c>
      <c r="N1637" t="s">
        <v>80</v>
      </c>
      <c r="O1637">
        <f>MATCH(Combined[[#This Row],[Primary Area]],KPIs!$C$4:$C$7,0)</f>
        <v>2</v>
      </c>
    </row>
    <row r="1638" spans="2:15" x14ac:dyDescent="0.35">
      <c r="B1638">
        <f t="shared" si="365"/>
        <v>1636</v>
      </c>
      <c r="C1638" t="s">
        <v>83</v>
      </c>
      <c r="D1638" t="s">
        <v>176</v>
      </c>
      <c r="E1638">
        <f>IF(WEEKNUM(Combined[[#This Row],[Date]], 1) = 53, 1, WEEKNUM(Combined[[#This Row],[Date]], 2))</f>
        <v>10</v>
      </c>
      <c r="F1638" t="str">
        <f t="shared" ref="F1638:F1641" si="383">TEXT(WEEKDAY(G1638,1),"DDDD")</f>
        <v>Sunday</v>
      </c>
      <c r="G1638" s="41">
        <v>45725</v>
      </c>
      <c r="H1638">
        <v>1</v>
      </c>
      <c r="I1638" s="1">
        <v>4.41</v>
      </c>
      <c r="J1638" s="2">
        <v>2.8472222222222222E-2</v>
      </c>
      <c r="K1638" s="12">
        <f>Combined[[#This Row],[Time Spent]]*24</f>
        <v>0.68333333333333335</v>
      </c>
      <c r="L1638" s="12">
        <f>MROUND(Combined[[#This Row],[Time Spent 2]],0.25)</f>
        <v>0.75</v>
      </c>
      <c r="M1638" s="2" t="s">
        <v>90</v>
      </c>
      <c r="N1638" t="s">
        <v>80</v>
      </c>
      <c r="O1638">
        <f>MATCH(Combined[[#This Row],[Primary Area]],KPIs!$C$4:$C$7,0)</f>
        <v>2</v>
      </c>
    </row>
    <row r="1639" spans="2:15" x14ac:dyDescent="0.35">
      <c r="B1639">
        <f t="shared" si="365"/>
        <v>1637</v>
      </c>
      <c r="C1639" t="s">
        <v>86</v>
      </c>
      <c r="D1639" t="s">
        <v>176</v>
      </c>
      <c r="E1639">
        <f>IF(WEEKNUM(Combined[[#This Row],[Date]], 1) = 53, 1, WEEKNUM(Combined[[#This Row],[Date]], 2))</f>
        <v>10</v>
      </c>
      <c r="F1639" t="str">
        <f t="shared" si="383"/>
        <v>Sunday</v>
      </c>
      <c r="G1639" s="41">
        <v>45725</v>
      </c>
      <c r="H1639">
        <v>1</v>
      </c>
      <c r="I1639" s="1">
        <v>9.25</v>
      </c>
      <c r="J1639" s="2">
        <v>1.9444444444444445E-2</v>
      </c>
      <c r="K1639" s="12">
        <f>Combined[[#This Row],[Time Spent]]*24</f>
        <v>0.46666666666666667</v>
      </c>
      <c r="L1639" s="12">
        <f>MROUND(Combined[[#This Row],[Time Spent 2]],0.25)</f>
        <v>0.5</v>
      </c>
      <c r="M1639" s="2" t="s">
        <v>90</v>
      </c>
      <c r="N1639" t="s">
        <v>80</v>
      </c>
      <c r="O1639">
        <f>MATCH(Combined[[#This Row],[Primary Area]],KPIs!$C$4:$C$7,0)</f>
        <v>2</v>
      </c>
    </row>
    <row r="1640" spans="2:15" x14ac:dyDescent="0.35">
      <c r="B1640">
        <f t="shared" si="365"/>
        <v>1638</v>
      </c>
      <c r="C1640" t="s">
        <v>83</v>
      </c>
      <c r="D1640" t="s">
        <v>176</v>
      </c>
      <c r="E1640">
        <f>IF(WEEKNUM(Combined[[#This Row],[Date]], 1) = 53, 1, WEEKNUM(Combined[[#This Row],[Date]], 2))</f>
        <v>11</v>
      </c>
      <c r="F1640" t="str">
        <f t="shared" si="383"/>
        <v>Monday</v>
      </c>
      <c r="G1640" s="41">
        <v>45726</v>
      </c>
      <c r="H1640">
        <v>2</v>
      </c>
      <c r="I1640" s="1">
        <v>28.76</v>
      </c>
      <c r="J1640" s="2">
        <v>5.2083333333333336E-2</v>
      </c>
      <c r="K1640" s="12">
        <f>Combined[[#This Row],[Time Spent]]*24</f>
        <v>1.25</v>
      </c>
      <c r="L1640" s="12">
        <f>MROUND(Combined[[#This Row],[Time Spent 2]],0.25)</f>
        <v>1.25</v>
      </c>
      <c r="M1640" s="2" t="s">
        <v>91</v>
      </c>
      <c r="N1640" t="s">
        <v>80</v>
      </c>
      <c r="O1640">
        <f>MATCH(Combined[[#This Row],[Primary Area]],KPIs!$C$4:$C$7,0)</f>
        <v>2</v>
      </c>
    </row>
    <row r="1641" spans="2:15" x14ac:dyDescent="0.35">
      <c r="B1641">
        <f t="shared" si="365"/>
        <v>1639</v>
      </c>
      <c r="C1641" t="s">
        <v>86</v>
      </c>
      <c r="D1641" t="s">
        <v>176</v>
      </c>
      <c r="E1641">
        <f>IF(WEEKNUM(Combined[[#This Row],[Date]], 1) = 53, 1, WEEKNUM(Combined[[#This Row],[Date]], 2))</f>
        <v>11</v>
      </c>
      <c r="F1641" t="str">
        <f t="shared" si="383"/>
        <v>Monday</v>
      </c>
      <c r="G1641" s="41">
        <v>45726</v>
      </c>
      <c r="H1641">
        <v>6</v>
      </c>
      <c r="I1641" s="1">
        <v>76.75</v>
      </c>
      <c r="J1641" s="2">
        <v>0.18055555555555555</v>
      </c>
      <c r="K1641" s="12">
        <f>Combined[[#This Row],[Time Spent]]*24</f>
        <v>4.333333333333333</v>
      </c>
      <c r="L1641" s="12">
        <f>MROUND(Combined[[#This Row],[Time Spent 2]],0.25)</f>
        <v>4.25</v>
      </c>
      <c r="M1641" s="2" t="s">
        <v>91</v>
      </c>
      <c r="N1641" t="s">
        <v>80</v>
      </c>
      <c r="O1641">
        <f>MATCH(Combined[[#This Row],[Primary Area]],KPIs!$C$4:$C$7,0)</f>
        <v>2</v>
      </c>
    </row>
    <row r="1642" spans="2:15" x14ac:dyDescent="0.35">
      <c r="B1642">
        <f t="shared" si="365"/>
        <v>1640</v>
      </c>
      <c r="C1642" t="s">
        <v>83</v>
      </c>
      <c r="D1642" t="s">
        <v>176</v>
      </c>
      <c r="E1642">
        <f>IF(WEEKNUM(Combined[[#This Row],[Date]], 1) = 53, 1, WEEKNUM(Combined[[#This Row],[Date]], 2))</f>
        <v>11</v>
      </c>
      <c r="F1642" t="str">
        <f t="shared" ref="F1642:F1643" si="384">TEXT(WEEKDAY(G1642,1),"DDDD")</f>
        <v>Wednesday</v>
      </c>
      <c r="G1642" s="41">
        <v>45728</v>
      </c>
      <c r="H1642">
        <v>2</v>
      </c>
      <c r="I1642" s="1">
        <v>17.72</v>
      </c>
      <c r="J1642" s="2">
        <v>3.3333333333333333E-2</v>
      </c>
      <c r="K1642" s="12">
        <f>Combined[[#This Row],[Time Spent]]*24</f>
        <v>0.8</v>
      </c>
      <c r="L1642" s="12">
        <f>MROUND(Combined[[#This Row],[Time Spent 2]],0.25)</f>
        <v>0.75</v>
      </c>
      <c r="M1642" s="2" t="s">
        <v>91</v>
      </c>
      <c r="N1642" t="s">
        <v>80</v>
      </c>
      <c r="O1642">
        <f>MATCH(Combined[[#This Row],[Primary Area]],KPIs!$C$4:$C$7,0)</f>
        <v>2</v>
      </c>
    </row>
    <row r="1643" spans="2:15" x14ac:dyDescent="0.35">
      <c r="B1643">
        <f t="shared" si="365"/>
        <v>1641</v>
      </c>
      <c r="C1643" t="s">
        <v>86</v>
      </c>
      <c r="D1643" t="s">
        <v>176</v>
      </c>
      <c r="E1643">
        <f>IF(WEEKNUM(Combined[[#This Row],[Date]], 1) = 53, 1, WEEKNUM(Combined[[#This Row],[Date]], 2))</f>
        <v>11</v>
      </c>
      <c r="F1643" t="str">
        <f t="shared" si="384"/>
        <v>Wednesday</v>
      </c>
      <c r="G1643" s="41">
        <v>45728</v>
      </c>
      <c r="H1643">
        <v>4</v>
      </c>
      <c r="I1643" s="1">
        <v>37</v>
      </c>
      <c r="J1643" s="2">
        <v>8.3333333333333329E-2</v>
      </c>
      <c r="K1643" s="12">
        <f>Combined[[#This Row],[Time Spent]]*24</f>
        <v>2</v>
      </c>
      <c r="L1643" s="12">
        <f>MROUND(Combined[[#This Row],[Time Spent 2]],0.25)</f>
        <v>2</v>
      </c>
      <c r="M1643" s="2" t="s">
        <v>91</v>
      </c>
      <c r="N1643" t="s">
        <v>80</v>
      </c>
      <c r="O1643">
        <f>MATCH(Combined[[#This Row],[Primary Area]],KPIs!$C$4:$C$7,0)</f>
        <v>2</v>
      </c>
    </row>
    <row r="1644" spans="2:15" x14ac:dyDescent="0.35">
      <c r="B1644">
        <f t="shared" si="365"/>
        <v>1642</v>
      </c>
      <c r="C1644" t="s">
        <v>83</v>
      </c>
      <c r="D1644" t="s">
        <v>176</v>
      </c>
      <c r="E1644">
        <f>IF(WEEKNUM(Combined[[#This Row],[Date]], 1) = 53, 1, WEEKNUM(Combined[[#This Row],[Date]], 2))</f>
        <v>11</v>
      </c>
      <c r="F1644" t="str">
        <f t="shared" ref="F1644:F1646" si="385">TEXT(WEEKDAY(G1644,1),"DDDD")</f>
        <v>Thursday</v>
      </c>
      <c r="G1644" s="41">
        <v>45729</v>
      </c>
      <c r="H1644">
        <v>4</v>
      </c>
      <c r="I1644" s="1">
        <v>58.12</v>
      </c>
      <c r="J1644" s="2">
        <v>0.12152777777777778</v>
      </c>
      <c r="K1644" s="12">
        <f>Combined[[#This Row],[Time Spent]]*24</f>
        <v>2.9166666666666665</v>
      </c>
      <c r="L1644" s="12">
        <f>MROUND(Combined[[#This Row],[Time Spent 2]],0.25)</f>
        <v>3</v>
      </c>
      <c r="M1644" s="2" t="s">
        <v>91</v>
      </c>
      <c r="N1644" t="s">
        <v>80</v>
      </c>
      <c r="O1644">
        <f>MATCH(Combined[[#This Row],[Primary Area]],KPIs!$C$4:$C$7,0)</f>
        <v>2</v>
      </c>
    </row>
    <row r="1645" spans="2:15" x14ac:dyDescent="0.35">
      <c r="B1645">
        <f t="shared" si="365"/>
        <v>1643</v>
      </c>
      <c r="C1645" t="s">
        <v>86</v>
      </c>
      <c r="D1645" t="s">
        <v>176</v>
      </c>
      <c r="E1645">
        <f>IF(WEEKNUM(Combined[[#This Row],[Date]], 1) = 53, 1, WEEKNUM(Combined[[#This Row],[Date]], 2))</f>
        <v>11</v>
      </c>
      <c r="F1645" t="str">
        <f t="shared" si="385"/>
        <v>Thursday</v>
      </c>
      <c r="G1645" s="41">
        <v>45729</v>
      </c>
      <c r="H1645">
        <v>1</v>
      </c>
      <c r="I1645" s="1">
        <v>9.25</v>
      </c>
      <c r="J1645" s="2">
        <v>5.8333333333333334E-2</v>
      </c>
      <c r="K1645" s="12">
        <f>Combined[[#This Row],[Time Spent]]*24</f>
        <v>1.4</v>
      </c>
      <c r="L1645" s="12">
        <f>MROUND(Combined[[#This Row],[Time Spent 2]],0.25)</f>
        <v>1.5</v>
      </c>
      <c r="M1645" s="2" t="s">
        <v>91</v>
      </c>
      <c r="N1645" t="s">
        <v>80</v>
      </c>
      <c r="O1645">
        <f>MATCH(Combined[[#This Row],[Primary Area]],KPIs!$C$4:$C$7,0)</f>
        <v>2</v>
      </c>
    </row>
    <row r="1646" spans="2:15" x14ac:dyDescent="0.35">
      <c r="B1646">
        <f t="shared" si="365"/>
        <v>1644</v>
      </c>
      <c r="C1646" t="s">
        <v>86</v>
      </c>
      <c r="D1646" t="s">
        <v>176</v>
      </c>
      <c r="E1646">
        <f>IF(WEEKNUM(Combined[[#This Row],[Date]], 1) = 53, 1, WEEKNUM(Combined[[#This Row],[Date]], 2))</f>
        <v>11</v>
      </c>
      <c r="F1646" t="str">
        <f t="shared" si="385"/>
        <v>Thursday</v>
      </c>
      <c r="G1646" s="41">
        <v>45729</v>
      </c>
      <c r="H1646">
        <v>4</v>
      </c>
      <c r="I1646" s="1">
        <v>40.75</v>
      </c>
      <c r="J1646" s="2">
        <v>0.10555555555555556</v>
      </c>
      <c r="K1646" s="12">
        <f>Combined[[#This Row],[Time Spent]]*24</f>
        <v>2.5333333333333332</v>
      </c>
      <c r="L1646" s="12">
        <f>MROUND(Combined[[#This Row],[Time Spent 2]],0.25)</f>
        <v>2.5</v>
      </c>
      <c r="M1646" s="2" t="s">
        <v>91</v>
      </c>
      <c r="N1646" t="s">
        <v>80</v>
      </c>
      <c r="O1646">
        <f>MATCH(Combined[[#This Row],[Primary Area]],KPIs!$C$4:$C$7,0)</f>
        <v>2</v>
      </c>
    </row>
    <row r="1647" spans="2:15" x14ac:dyDescent="0.35">
      <c r="B1647">
        <f t="shared" si="365"/>
        <v>1645</v>
      </c>
      <c r="C1647" t="s">
        <v>83</v>
      </c>
      <c r="D1647" t="s">
        <v>176</v>
      </c>
      <c r="E1647">
        <f>IF(WEEKNUM(Combined[[#This Row],[Date]], 1) = 53, 1, WEEKNUM(Combined[[#This Row],[Date]], 2))</f>
        <v>11</v>
      </c>
      <c r="F1647" t="str">
        <f t="shared" ref="F1647:F1650" si="386">TEXT(WEEKDAY(G1647,1),"DDDD")</f>
        <v>Sunday</v>
      </c>
      <c r="G1647" s="41">
        <v>45732</v>
      </c>
      <c r="H1647">
        <v>12</v>
      </c>
      <c r="I1647" s="1">
        <v>248.66</v>
      </c>
      <c r="J1647" s="2">
        <v>0.27777777777777779</v>
      </c>
      <c r="K1647" s="12">
        <f>Combined[[#This Row],[Time Spent]]*24</f>
        <v>6.666666666666667</v>
      </c>
      <c r="L1647" s="12">
        <f>MROUND(Combined[[#This Row],[Time Spent 2]],0.25)</f>
        <v>6.75</v>
      </c>
      <c r="M1647" s="2" t="s">
        <v>91</v>
      </c>
      <c r="N1647" t="s">
        <v>174</v>
      </c>
      <c r="O1647">
        <f>MATCH(Combined[[#This Row],[Primary Area]],KPIs!$C$4:$C$7,0)</f>
        <v>1</v>
      </c>
    </row>
    <row r="1648" spans="2:15" x14ac:dyDescent="0.35">
      <c r="B1648">
        <f t="shared" si="365"/>
        <v>1646</v>
      </c>
      <c r="C1648" t="s">
        <v>86</v>
      </c>
      <c r="D1648" t="s">
        <v>176</v>
      </c>
      <c r="E1648">
        <f>IF(WEEKNUM(Combined[[#This Row],[Date]], 1) = 53, 1, WEEKNUM(Combined[[#This Row],[Date]], 2))</f>
        <v>11</v>
      </c>
      <c r="F1648" t="str">
        <f t="shared" si="386"/>
        <v>Sunday</v>
      </c>
      <c r="G1648" s="41">
        <v>45732</v>
      </c>
      <c r="H1648">
        <v>3</v>
      </c>
      <c r="I1648" s="1">
        <v>23.75</v>
      </c>
      <c r="J1648" s="2">
        <v>6.805555555555555E-2</v>
      </c>
      <c r="K1648" s="12">
        <f>Combined[[#This Row],[Time Spent]]*24</f>
        <v>1.6333333333333333</v>
      </c>
      <c r="L1648" s="12">
        <f>MROUND(Combined[[#This Row],[Time Spent 2]],0.25)</f>
        <v>1.75</v>
      </c>
      <c r="M1648" s="2" t="s">
        <v>91</v>
      </c>
      <c r="N1648" t="s">
        <v>174</v>
      </c>
      <c r="O1648">
        <f>MATCH(Combined[[#This Row],[Primary Area]],KPIs!$C$4:$C$7,0)</f>
        <v>1</v>
      </c>
    </row>
    <row r="1649" spans="2:15" x14ac:dyDescent="0.35">
      <c r="B1649">
        <f t="shared" si="365"/>
        <v>1647</v>
      </c>
      <c r="C1649" t="s">
        <v>86</v>
      </c>
      <c r="D1649" t="s">
        <v>175</v>
      </c>
      <c r="E1649">
        <f>IF(WEEKNUM(Combined[[#This Row],[Date]], 1) = 53, 1, WEEKNUM(Combined[[#This Row],[Date]], 2))</f>
        <v>11</v>
      </c>
      <c r="F1649" t="str">
        <f t="shared" si="386"/>
        <v>Sunday</v>
      </c>
      <c r="G1649" s="41">
        <v>45732</v>
      </c>
      <c r="H1649">
        <v>1</v>
      </c>
      <c r="I1649" s="1">
        <v>12.08</v>
      </c>
      <c r="J1649" s="2">
        <v>2.361111111111111E-2</v>
      </c>
      <c r="K1649" s="12">
        <f>Combined[[#This Row],[Time Spent]]*24</f>
        <v>0.56666666666666665</v>
      </c>
      <c r="L1649" s="12">
        <f>MROUND(Combined[[#This Row],[Time Spent 2]],0.25)</f>
        <v>0.5</v>
      </c>
      <c r="M1649" s="2" t="s">
        <v>91</v>
      </c>
      <c r="N1649" t="s">
        <v>174</v>
      </c>
      <c r="O1649">
        <f>MATCH(Combined[[#This Row],[Primary Area]],KPIs!$C$4:$C$7,0)</f>
        <v>1</v>
      </c>
    </row>
    <row r="1650" spans="2:15" x14ac:dyDescent="0.35">
      <c r="B1650">
        <f t="shared" si="365"/>
        <v>1648</v>
      </c>
      <c r="C1650" t="s">
        <v>86</v>
      </c>
      <c r="D1650" t="s">
        <v>176</v>
      </c>
      <c r="E1650">
        <f>IF(WEEKNUM(Combined[[#This Row],[Date]], 1) = 53, 1, WEEKNUM(Combined[[#This Row],[Date]], 2))</f>
        <v>11</v>
      </c>
      <c r="F1650" t="str">
        <f t="shared" si="386"/>
        <v>Sunday</v>
      </c>
      <c r="G1650" s="41">
        <v>45732</v>
      </c>
      <c r="H1650">
        <v>1</v>
      </c>
      <c r="I1650" s="1">
        <v>5</v>
      </c>
      <c r="J1650" s="2">
        <v>2.9166666666666667E-2</v>
      </c>
      <c r="K1650" s="12">
        <f>Combined[[#This Row],[Time Spent]]*24</f>
        <v>0.7</v>
      </c>
      <c r="L1650" s="12">
        <f>MROUND(Combined[[#This Row],[Time Spent 2]],0.25)</f>
        <v>0.75</v>
      </c>
      <c r="M1650" s="2" t="s">
        <v>92</v>
      </c>
      <c r="N1650" t="s">
        <v>174</v>
      </c>
      <c r="O1650">
        <f>MATCH(Combined[[#This Row],[Primary Area]],KPIs!$C$4:$C$7,0)</f>
        <v>1</v>
      </c>
    </row>
    <row r="1651" spans="2:15" x14ac:dyDescent="0.35">
      <c r="B1651">
        <f t="shared" si="365"/>
        <v>1649</v>
      </c>
      <c r="C1651" t="s">
        <v>86</v>
      </c>
      <c r="D1651" t="s">
        <v>176</v>
      </c>
      <c r="E1651">
        <f>IF(WEEKNUM(Combined[[#This Row],[Date]], 1) = 53, 1, WEEKNUM(Combined[[#This Row],[Date]], 2))</f>
        <v>12</v>
      </c>
      <c r="F1651" t="str">
        <f t="shared" ref="F1651" si="387">TEXT(WEEKDAY(G1651,1),"DDDD")</f>
        <v>Monday</v>
      </c>
      <c r="G1651" s="41">
        <v>45733</v>
      </c>
      <c r="H1651">
        <v>7</v>
      </c>
      <c r="I1651" s="1">
        <v>43.5</v>
      </c>
      <c r="J1651" s="2">
        <v>0.11458333333333333</v>
      </c>
      <c r="K1651" s="12">
        <f>Combined[[#This Row],[Time Spent]]*24</f>
        <v>2.75</v>
      </c>
      <c r="L1651" s="12">
        <f>MROUND(Combined[[#This Row],[Time Spent 2]],0.25)</f>
        <v>2.75</v>
      </c>
      <c r="M1651" s="2" t="s">
        <v>91</v>
      </c>
      <c r="N1651" t="s">
        <v>80</v>
      </c>
      <c r="O1651">
        <f>MATCH(Combined[[#This Row],[Primary Area]],KPIs!$C$4:$C$7,0)</f>
        <v>2</v>
      </c>
    </row>
    <row r="1652" spans="2:15" x14ac:dyDescent="0.35">
      <c r="B1652">
        <f t="shared" si="365"/>
        <v>1650</v>
      </c>
      <c r="C1652" t="s">
        <v>83</v>
      </c>
      <c r="D1652" t="s">
        <v>176</v>
      </c>
      <c r="E1652">
        <f>IF(WEEKNUM(Combined[[#This Row],[Date]], 1) = 53, 1, WEEKNUM(Combined[[#This Row],[Date]], 2))</f>
        <v>12</v>
      </c>
      <c r="F1652" t="str">
        <f t="shared" ref="F1652:F1654" si="388">TEXT(WEEKDAY(G1652,1),"DDDD")</f>
        <v>Tuesday</v>
      </c>
      <c r="G1652" s="41">
        <v>45734</v>
      </c>
      <c r="H1652">
        <v>4</v>
      </c>
      <c r="I1652" s="1">
        <v>52.47</v>
      </c>
      <c r="J1652" s="2">
        <v>0.12569444444444444</v>
      </c>
      <c r="K1652" s="12">
        <f>Combined[[#This Row],[Time Spent]]*24</f>
        <v>3.0166666666666666</v>
      </c>
      <c r="L1652" s="12">
        <f>MROUND(Combined[[#This Row],[Time Spent 2]],0.25)</f>
        <v>3</v>
      </c>
      <c r="M1652" s="2" t="s">
        <v>91</v>
      </c>
      <c r="N1652" t="s">
        <v>80</v>
      </c>
      <c r="O1652">
        <f>MATCH(Combined[[#This Row],[Primary Area]],KPIs!$C$4:$C$7,0)</f>
        <v>2</v>
      </c>
    </row>
    <row r="1653" spans="2:15" x14ac:dyDescent="0.35">
      <c r="B1653">
        <f t="shared" si="365"/>
        <v>1651</v>
      </c>
      <c r="C1653" t="s">
        <v>86</v>
      </c>
      <c r="D1653" t="s">
        <v>176</v>
      </c>
      <c r="E1653">
        <f>IF(WEEKNUM(Combined[[#This Row],[Date]], 1) = 53, 1, WEEKNUM(Combined[[#This Row],[Date]], 2))</f>
        <v>12</v>
      </c>
      <c r="F1653" t="str">
        <f t="shared" si="388"/>
        <v>Tuesday</v>
      </c>
      <c r="G1653" s="41">
        <v>45734</v>
      </c>
      <c r="H1653">
        <v>2</v>
      </c>
      <c r="I1653" s="1">
        <v>18.2</v>
      </c>
      <c r="J1653" s="2">
        <v>6.805555555555555E-2</v>
      </c>
      <c r="K1653" s="12">
        <f>Combined[[#This Row],[Time Spent]]*24</f>
        <v>1.6333333333333333</v>
      </c>
      <c r="L1653" s="12">
        <f>MROUND(Combined[[#This Row],[Time Spent 2]],0.25)</f>
        <v>1.75</v>
      </c>
      <c r="M1653" s="2" t="s">
        <v>91</v>
      </c>
      <c r="N1653" t="s">
        <v>80</v>
      </c>
      <c r="O1653">
        <f>MATCH(Combined[[#This Row],[Primary Area]],KPIs!$C$4:$C$7,0)</f>
        <v>2</v>
      </c>
    </row>
    <row r="1654" spans="2:15" x14ac:dyDescent="0.35">
      <c r="B1654">
        <f t="shared" si="365"/>
        <v>1652</v>
      </c>
      <c r="C1654" t="s">
        <v>86</v>
      </c>
      <c r="D1654" t="s">
        <v>176</v>
      </c>
      <c r="E1654">
        <f>IF(WEEKNUM(Combined[[#This Row],[Date]], 1) = 53, 1, WEEKNUM(Combined[[#This Row],[Date]], 2))</f>
        <v>12</v>
      </c>
      <c r="F1654" t="str">
        <f t="shared" si="388"/>
        <v>Tuesday</v>
      </c>
      <c r="G1654" s="41">
        <v>45734</v>
      </c>
      <c r="H1654">
        <v>5</v>
      </c>
      <c r="I1654" s="1">
        <v>35.25</v>
      </c>
      <c r="J1654" s="2">
        <v>8.8888888888888892E-2</v>
      </c>
      <c r="K1654" s="12">
        <f>Combined[[#This Row],[Time Spent]]*24</f>
        <v>2.1333333333333333</v>
      </c>
      <c r="L1654" s="12">
        <f>MROUND(Combined[[#This Row],[Time Spent 2]],0.25)</f>
        <v>2.25</v>
      </c>
      <c r="M1654" s="2" t="s">
        <v>91</v>
      </c>
      <c r="N1654" t="s">
        <v>80</v>
      </c>
      <c r="O1654">
        <f>MATCH(Combined[[#This Row],[Primary Area]],KPIs!$C$4:$C$7,0)</f>
        <v>2</v>
      </c>
    </row>
    <row r="1655" spans="2:15" x14ac:dyDescent="0.35">
      <c r="B1655">
        <f t="shared" si="365"/>
        <v>1653</v>
      </c>
      <c r="C1655" t="s">
        <v>86</v>
      </c>
      <c r="D1655" t="s">
        <v>176</v>
      </c>
      <c r="E1655">
        <f>IF(WEEKNUM(Combined[[#This Row],[Date]], 1) = 53, 1, WEEKNUM(Combined[[#This Row],[Date]], 2))</f>
        <v>12</v>
      </c>
      <c r="F1655" t="str">
        <f t="shared" ref="F1655" si="389">TEXT(WEEKDAY(G1655,1),"DDDD")</f>
        <v>Wednesday</v>
      </c>
      <c r="G1655" s="41">
        <v>45735</v>
      </c>
      <c r="H1655">
        <v>6</v>
      </c>
      <c r="I1655" s="1">
        <v>60.75</v>
      </c>
      <c r="J1655" s="2">
        <v>0.14374999999999999</v>
      </c>
      <c r="K1655" s="12">
        <f>Combined[[#This Row],[Time Spent]]*24</f>
        <v>3.4499999999999997</v>
      </c>
      <c r="L1655" s="12">
        <f>MROUND(Combined[[#This Row],[Time Spent 2]],0.25)</f>
        <v>3.5</v>
      </c>
      <c r="M1655" s="2" t="s">
        <v>91</v>
      </c>
      <c r="N1655" t="s">
        <v>80</v>
      </c>
      <c r="O1655">
        <f>MATCH(Combined[[#This Row],[Primary Area]],KPIs!$C$4:$C$7,0)</f>
        <v>2</v>
      </c>
    </row>
    <row r="1656" spans="2:15" x14ac:dyDescent="0.35">
      <c r="B1656">
        <f t="shared" si="365"/>
        <v>1654</v>
      </c>
      <c r="C1656" t="s">
        <v>83</v>
      </c>
      <c r="D1656" t="s">
        <v>176</v>
      </c>
      <c r="E1656">
        <f>IF(WEEKNUM(Combined[[#This Row],[Date]], 1) = 53, 1, WEEKNUM(Combined[[#This Row],[Date]], 2))</f>
        <v>12</v>
      </c>
      <c r="F1656" t="str">
        <f t="shared" ref="F1656:F1657" si="390">TEXT(WEEKDAY(G1656,1),"DDDD")</f>
        <v>Friday</v>
      </c>
      <c r="G1656" s="41">
        <v>45737</v>
      </c>
      <c r="H1656">
        <v>3</v>
      </c>
      <c r="I1656" s="1">
        <v>74.239999999999995</v>
      </c>
      <c r="J1656" s="2">
        <v>0.1451388888888889</v>
      </c>
      <c r="K1656" s="12">
        <f>Combined[[#This Row],[Time Spent]]*24</f>
        <v>3.4833333333333334</v>
      </c>
      <c r="L1656" s="12">
        <f>MROUND(Combined[[#This Row],[Time Spent 2]],0.25)</f>
        <v>3.5</v>
      </c>
      <c r="M1656" s="2" t="s">
        <v>91</v>
      </c>
      <c r="N1656" t="s">
        <v>174</v>
      </c>
      <c r="O1656">
        <f>MATCH(Combined[[#This Row],[Primary Area]],KPIs!$C$4:$C$7,0)</f>
        <v>1</v>
      </c>
    </row>
    <row r="1657" spans="2:15" x14ac:dyDescent="0.35">
      <c r="B1657">
        <f t="shared" ref="B1657:B1721" si="391">ROW()-2</f>
        <v>1655</v>
      </c>
      <c r="C1657" t="s">
        <v>86</v>
      </c>
      <c r="D1657" t="s">
        <v>175</v>
      </c>
      <c r="E1657">
        <f>IF(WEEKNUM(Combined[[#This Row],[Date]], 1) = 53, 1, WEEKNUM(Combined[[#This Row],[Date]], 2))</f>
        <v>12</v>
      </c>
      <c r="F1657" t="str">
        <f t="shared" si="390"/>
        <v>Friday</v>
      </c>
      <c r="G1657" s="41">
        <v>45737</v>
      </c>
      <c r="H1657">
        <v>10</v>
      </c>
      <c r="I1657" s="1">
        <v>110.27</v>
      </c>
      <c r="J1657" s="2">
        <v>0.23333333333333334</v>
      </c>
      <c r="K1657" s="12">
        <f>Combined[[#This Row],[Time Spent]]*24</f>
        <v>5.6</v>
      </c>
      <c r="L1657" s="12">
        <f>MROUND(Combined[[#This Row],[Time Spent 2]],0.25)</f>
        <v>5.5</v>
      </c>
      <c r="M1657" s="2" t="s">
        <v>91</v>
      </c>
      <c r="N1657" t="s">
        <v>174</v>
      </c>
      <c r="O1657">
        <f>MATCH(Combined[[#This Row],[Primary Area]],KPIs!$C$4:$C$7,0)</f>
        <v>1</v>
      </c>
    </row>
    <row r="1658" spans="2:15" x14ac:dyDescent="0.35">
      <c r="B1658">
        <f t="shared" si="391"/>
        <v>1656</v>
      </c>
      <c r="C1658" t="s">
        <v>83</v>
      </c>
      <c r="D1658" t="s">
        <v>176</v>
      </c>
      <c r="E1658">
        <f>IF(WEEKNUM(Combined[[#This Row],[Date]], 1) = 53, 1, WEEKNUM(Combined[[#This Row],[Date]], 2))</f>
        <v>12</v>
      </c>
      <c r="F1658" t="str">
        <f t="shared" ref="F1658:F1659" si="392">TEXT(WEEKDAY(G1658,1),"DDDD")</f>
        <v>Saturday</v>
      </c>
      <c r="G1658" s="41">
        <v>45738</v>
      </c>
      <c r="H1658">
        <v>1</v>
      </c>
      <c r="I1658" s="1">
        <v>16.05</v>
      </c>
      <c r="J1658" s="2">
        <v>3.6805555555555557E-2</v>
      </c>
      <c r="K1658" s="12">
        <f>Combined[[#This Row],[Time Spent]]*24</f>
        <v>0.8833333333333333</v>
      </c>
      <c r="L1658" s="12">
        <f>MROUND(Combined[[#This Row],[Time Spent 2]],0.25)</f>
        <v>1</v>
      </c>
      <c r="M1658" s="2" t="s">
        <v>90</v>
      </c>
      <c r="N1658" t="s">
        <v>82</v>
      </c>
      <c r="O1658">
        <f>MATCH(Combined[[#This Row],[Primary Area]],KPIs!$C$4:$C$7,0)</f>
        <v>3</v>
      </c>
    </row>
    <row r="1659" spans="2:15" x14ac:dyDescent="0.35">
      <c r="B1659">
        <f t="shared" si="391"/>
        <v>1657</v>
      </c>
      <c r="C1659" t="s">
        <v>86</v>
      </c>
      <c r="D1659" t="s">
        <v>176</v>
      </c>
      <c r="E1659">
        <f>IF(WEEKNUM(Combined[[#This Row],[Date]], 1) = 53, 1, WEEKNUM(Combined[[#This Row],[Date]], 2))</f>
        <v>12</v>
      </c>
      <c r="F1659" t="str">
        <f t="shared" si="392"/>
        <v>Saturday</v>
      </c>
      <c r="G1659" s="41">
        <v>45738</v>
      </c>
      <c r="H1659">
        <v>9</v>
      </c>
      <c r="I1659" s="1">
        <v>49.5</v>
      </c>
      <c r="J1659" s="2">
        <v>0.12083333333333333</v>
      </c>
      <c r="K1659" s="12">
        <f>Combined[[#This Row],[Time Spent]]*24</f>
        <v>2.9</v>
      </c>
      <c r="L1659" s="12">
        <f>MROUND(Combined[[#This Row],[Time Spent 2]],0.25)</f>
        <v>3</v>
      </c>
      <c r="M1659" s="2" t="s">
        <v>90</v>
      </c>
      <c r="N1659" t="s">
        <v>82</v>
      </c>
      <c r="O1659">
        <f>MATCH(Combined[[#This Row],[Primary Area]],KPIs!$C$4:$C$7,0)</f>
        <v>3</v>
      </c>
    </row>
    <row r="1660" spans="2:15" x14ac:dyDescent="0.35">
      <c r="B1660">
        <f t="shared" si="391"/>
        <v>1658</v>
      </c>
      <c r="C1660" t="s">
        <v>83</v>
      </c>
      <c r="D1660" t="s">
        <v>176</v>
      </c>
      <c r="E1660">
        <f>IF(WEEKNUM(Combined[[#This Row],[Date]], 1) = 53, 1, WEEKNUM(Combined[[#This Row],[Date]], 2))</f>
        <v>12</v>
      </c>
      <c r="F1660" t="str">
        <f t="shared" ref="F1660:F1661" si="393">TEXT(WEEKDAY(G1660,1),"DDDD")</f>
        <v>Sunday</v>
      </c>
      <c r="G1660" s="41">
        <v>45739</v>
      </c>
      <c r="H1660">
        <v>3</v>
      </c>
      <c r="I1660" s="1">
        <v>38.04</v>
      </c>
      <c r="J1660" s="2">
        <v>0.12013888888888889</v>
      </c>
      <c r="K1660" s="12">
        <f>Combined[[#This Row],[Time Spent]]*24</f>
        <v>2.8833333333333333</v>
      </c>
      <c r="L1660" s="12">
        <f>MROUND(Combined[[#This Row],[Time Spent 2]],0.25)</f>
        <v>3</v>
      </c>
      <c r="M1660" s="2" t="s">
        <v>91</v>
      </c>
      <c r="N1660" t="s">
        <v>80</v>
      </c>
      <c r="O1660">
        <f>MATCH(Combined[[#This Row],[Primary Area]],KPIs!$C$4:$C$7,0)</f>
        <v>2</v>
      </c>
    </row>
    <row r="1661" spans="2:15" x14ac:dyDescent="0.35">
      <c r="B1661">
        <f t="shared" si="391"/>
        <v>1659</v>
      </c>
      <c r="C1661" t="s">
        <v>86</v>
      </c>
      <c r="D1661" t="s">
        <v>176</v>
      </c>
      <c r="E1661">
        <f>IF(WEEKNUM(Combined[[#This Row],[Date]], 1) = 53, 1, WEEKNUM(Combined[[#This Row],[Date]], 2))</f>
        <v>12</v>
      </c>
      <c r="F1661" t="str">
        <f t="shared" si="393"/>
        <v>Sunday</v>
      </c>
      <c r="G1661" s="41">
        <v>45739</v>
      </c>
      <c r="H1661">
        <v>5</v>
      </c>
      <c r="I1661" s="1">
        <v>43.5</v>
      </c>
      <c r="J1661" s="2">
        <v>0.12083333333333333</v>
      </c>
      <c r="K1661" s="12">
        <f>Combined[[#This Row],[Time Spent]]*24</f>
        <v>2.9</v>
      </c>
      <c r="L1661" s="12">
        <f>MROUND(Combined[[#This Row],[Time Spent 2]],0.25)</f>
        <v>3</v>
      </c>
      <c r="M1661" s="2" t="s">
        <v>91</v>
      </c>
      <c r="N1661" t="s">
        <v>80</v>
      </c>
      <c r="O1661">
        <f>MATCH(Combined[[#This Row],[Primary Area]],KPIs!$C$4:$C$7,0)</f>
        <v>2</v>
      </c>
    </row>
    <row r="1662" spans="2:15" x14ac:dyDescent="0.35">
      <c r="B1662">
        <f t="shared" si="391"/>
        <v>1660</v>
      </c>
      <c r="C1662" t="s">
        <v>83</v>
      </c>
      <c r="D1662" t="s">
        <v>176</v>
      </c>
      <c r="E1662">
        <f>IF(WEEKNUM(Combined[[#This Row],[Date]], 1) = 53, 1, WEEKNUM(Combined[[#This Row],[Date]], 2))</f>
        <v>13</v>
      </c>
      <c r="F1662" t="str">
        <f t="shared" ref="F1662:F1664" si="394">TEXT(WEEKDAY(G1662,1),"DDDD")</f>
        <v>Monday</v>
      </c>
      <c r="G1662" s="41">
        <v>45740</v>
      </c>
      <c r="H1662">
        <v>1</v>
      </c>
      <c r="I1662" s="1">
        <v>19.5</v>
      </c>
      <c r="J1662" s="2">
        <v>3.7499999999999999E-2</v>
      </c>
      <c r="K1662" s="12">
        <f>Combined[[#This Row],[Time Spent]]*24</f>
        <v>0.89999999999999991</v>
      </c>
      <c r="L1662" s="12">
        <f>MROUND(Combined[[#This Row],[Time Spent 2]],0.25)</f>
        <v>1</v>
      </c>
      <c r="M1662" s="2" t="s">
        <v>91</v>
      </c>
      <c r="N1662" t="s">
        <v>82</v>
      </c>
      <c r="O1662">
        <f>MATCH(Combined[[#This Row],[Primary Area]],KPIs!$C$4:$C$7,0)</f>
        <v>3</v>
      </c>
    </row>
    <row r="1663" spans="2:15" x14ac:dyDescent="0.35">
      <c r="B1663">
        <f t="shared" si="391"/>
        <v>1661</v>
      </c>
      <c r="C1663" t="s">
        <v>86</v>
      </c>
      <c r="D1663" t="s">
        <v>175</v>
      </c>
      <c r="E1663">
        <f>IF(WEEKNUM(Combined[[#This Row],[Date]], 1) = 53, 1, WEEKNUM(Combined[[#This Row],[Date]], 2))</f>
        <v>13</v>
      </c>
      <c r="F1663" t="str">
        <f t="shared" si="394"/>
        <v>Monday</v>
      </c>
      <c r="G1663" s="41">
        <v>45740</v>
      </c>
      <c r="H1663">
        <v>7</v>
      </c>
      <c r="I1663" s="1">
        <v>64.790000000000006</v>
      </c>
      <c r="J1663" s="2">
        <v>0.1361111111111111</v>
      </c>
      <c r="K1663" s="12">
        <f>Combined[[#This Row],[Time Spent]]*24</f>
        <v>3.2666666666666666</v>
      </c>
      <c r="L1663" s="12">
        <f>MROUND(Combined[[#This Row],[Time Spent 2]],0.25)</f>
        <v>3.25</v>
      </c>
      <c r="M1663" s="2" t="s">
        <v>91</v>
      </c>
      <c r="N1663" t="s">
        <v>82</v>
      </c>
      <c r="O1663">
        <f>MATCH(Combined[[#This Row],[Primary Area]],KPIs!$C$4:$C$7,0)</f>
        <v>3</v>
      </c>
    </row>
    <row r="1664" spans="2:15" x14ac:dyDescent="0.35">
      <c r="B1664">
        <f t="shared" si="391"/>
        <v>1662</v>
      </c>
      <c r="C1664" t="s">
        <v>86</v>
      </c>
      <c r="D1664" t="s">
        <v>176</v>
      </c>
      <c r="E1664">
        <f>IF(WEEKNUM(Combined[[#This Row],[Date]], 1) = 53, 1, WEEKNUM(Combined[[#This Row],[Date]], 2))</f>
        <v>13</v>
      </c>
      <c r="F1664" t="str">
        <f t="shared" si="394"/>
        <v>Monday</v>
      </c>
      <c r="G1664" s="41">
        <v>45740</v>
      </c>
      <c r="H1664">
        <v>3</v>
      </c>
      <c r="I1664" s="1">
        <v>24.25</v>
      </c>
      <c r="J1664" s="2">
        <v>6.0416666666666667E-2</v>
      </c>
      <c r="K1664" s="12">
        <f>Combined[[#This Row],[Time Spent]]*24</f>
        <v>1.45</v>
      </c>
      <c r="L1664" s="12">
        <f>MROUND(Combined[[#This Row],[Time Spent 2]],0.25)</f>
        <v>1.5</v>
      </c>
      <c r="M1664" s="2" t="s">
        <v>92</v>
      </c>
      <c r="N1664" t="s">
        <v>82</v>
      </c>
      <c r="O1664">
        <f>MATCH(Combined[[#This Row],[Primary Area]],KPIs!$C$4:$C$7,0)</f>
        <v>3</v>
      </c>
    </row>
    <row r="1665" spans="2:15" x14ac:dyDescent="0.35">
      <c r="B1665">
        <f t="shared" si="391"/>
        <v>1663</v>
      </c>
      <c r="C1665" t="s">
        <v>83</v>
      </c>
      <c r="D1665" t="s">
        <v>176</v>
      </c>
      <c r="E1665">
        <f>IF(WEEKNUM(Combined[[#This Row],[Date]], 1) = 53, 1, WEEKNUM(Combined[[#This Row],[Date]], 2))</f>
        <v>13</v>
      </c>
      <c r="F1665" t="str">
        <f t="shared" ref="F1665:F1667" si="395">TEXT(WEEKDAY(G1665,1),"DDDD")</f>
        <v>Tuesday</v>
      </c>
      <c r="G1665" s="41">
        <v>45741</v>
      </c>
      <c r="H1665">
        <v>2</v>
      </c>
      <c r="I1665" s="1">
        <v>25.72</v>
      </c>
      <c r="J1665" s="2">
        <v>6.8750000000000006E-2</v>
      </c>
      <c r="K1665" s="12">
        <f>Combined[[#This Row],[Time Spent]]*24</f>
        <v>1.6500000000000001</v>
      </c>
      <c r="L1665" s="12">
        <f>MROUND(Combined[[#This Row],[Time Spent 2]],0.25)</f>
        <v>1.75</v>
      </c>
      <c r="M1665" s="2" t="s">
        <v>91</v>
      </c>
      <c r="N1665" t="s">
        <v>82</v>
      </c>
      <c r="O1665">
        <f>MATCH(Combined[[#This Row],[Primary Area]],KPIs!$C$4:$C$7,0)</f>
        <v>3</v>
      </c>
    </row>
    <row r="1666" spans="2:15" x14ac:dyDescent="0.35">
      <c r="B1666">
        <f t="shared" si="391"/>
        <v>1664</v>
      </c>
      <c r="C1666" t="s">
        <v>86</v>
      </c>
      <c r="D1666" t="s">
        <v>176</v>
      </c>
      <c r="E1666">
        <f>IF(WEEKNUM(Combined[[#This Row],[Date]], 1) = 53, 1, WEEKNUM(Combined[[#This Row],[Date]], 2))</f>
        <v>13</v>
      </c>
      <c r="F1666" t="str">
        <f t="shared" si="395"/>
        <v>Tuesday</v>
      </c>
      <c r="G1666" s="41">
        <v>45741</v>
      </c>
      <c r="H1666">
        <v>1</v>
      </c>
      <c r="I1666" s="1">
        <v>3.1</v>
      </c>
      <c r="J1666" s="2">
        <v>3.125E-2</v>
      </c>
      <c r="K1666" s="12">
        <f>Combined[[#This Row],[Time Spent]]*24</f>
        <v>0.75</v>
      </c>
      <c r="L1666" s="12">
        <f>MROUND(Combined[[#This Row],[Time Spent 2]],0.25)</f>
        <v>0.75</v>
      </c>
      <c r="M1666" s="2" t="s">
        <v>91</v>
      </c>
      <c r="N1666" t="s">
        <v>82</v>
      </c>
      <c r="O1666">
        <f>MATCH(Combined[[#This Row],[Primary Area]],KPIs!$C$4:$C$7,0)</f>
        <v>3</v>
      </c>
    </row>
    <row r="1667" spans="2:15" x14ac:dyDescent="0.35">
      <c r="B1667">
        <f t="shared" si="391"/>
        <v>1665</v>
      </c>
      <c r="C1667" t="s">
        <v>86</v>
      </c>
      <c r="D1667" t="s">
        <v>176</v>
      </c>
      <c r="E1667">
        <f>IF(WEEKNUM(Combined[[#This Row],[Date]], 1) = 53, 1, WEEKNUM(Combined[[#This Row],[Date]], 2))</f>
        <v>13</v>
      </c>
      <c r="F1667" t="str">
        <f t="shared" si="395"/>
        <v>Tuesday</v>
      </c>
      <c r="G1667" s="41">
        <v>45741</v>
      </c>
      <c r="H1667">
        <v>1</v>
      </c>
      <c r="I1667" s="1">
        <v>22.5</v>
      </c>
      <c r="J1667" s="2">
        <v>4.3749999999999997E-2</v>
      </c>
      <c r="K1667" s="12">
        <f>Combined[[#This Row],[Time Spent]]*24</f>
        <v>1.0499999999999998</v>
      </c>
      <c r="L1667" s="12">
        <f>MROUND(Combined[[#This Row],[Time Spent 2]],0.25)</f>
        <v>1</v>
      </c>
      <c r="M1667" s="2" t="s">
        <v>91</v>
      </c>
      <c r="N1667" t="s">
        <v>82</v>
      </c>
      <c r="O1667">
        <f>MATCH(Combined[[#This Row],[Primary Area]],KPIs!$C$4:$C$7,0)</f>
        <v>3</v>
      </c>
    </row>
    <row r="1668" spans="2:15" x14ac:dyDescent="0.35">
      <c r="B1668">
        <f t="shared" si="391"/>
        <v>1666</v>
      </c>
      <c r="C1668" t="s">
        <v>83</v>
      </c>
      <c r="D1668" t="s">
        <v>176</v>
      </c>
      <c r="E1668">
        <f>IF(WEEKNUM(Combined[[#This Row],[Date]], 1) = 53, 1, WEEKNUM(Combined[[#This Row],[Date]], 2))</f>
        <v>13</v>
      </c>
      <c r="F1668" t="str">
        <f t="shared" ref="F1668:F1669" si="396">TEXT(WEEKDAY(G1668,1),"DDDD")</f>
        <v>Friday</v>
      </c>
      <c r="G1668" s="41">
        <v>45744</v>
      </c>
      <c r="H1668">
        <v>3</v>
      </c>
      <c r="I1668" s="1">
        <v>22.8</v>
      </c>
      <c r="J1668" s="2">
        <v>7.9166666666666663E-2</v>
      </c>
      <c r="K1668" s="12">
        <f>Combined[[#This Row],[Time Spent]]*24</f>
        <v>1.9</v>
      </c>
      <c r="L1668" s="12">
        <f>MROUND(Combined[[#This Row],[Time Spent 2]],0.25)</f>
        <v>2</v>
      </c>
      <c r="M1668" s="2" t="s">
        <v>91</v>
      </c>
      <c r="N1668" t="s">
        <v>82</v>
      </c>
      <c r="O1668">
        <f>MATCH(Combined[[#This Row],[Primary Area]],KPIs!$C$4:$C$7,0)</f>
        <v>3</v>
      </c>
    </row>
    <row r="1669" spans="2:15" x14ac:dyDescent="0.35">
      <c r="B1669">
        <f t="shared" si="391"/>
        <v>1667</v>
      </c>
      <c r="C1669" t="s">
        <v>86</v>
      </c>
      <c r="D1669" t="s">
        <v>176</v>
      </c>
      <c r="E1669">
        <f>IF(WEEKNUM(Combined[[#This Row],[Date]], 1) = 53, 1, WEEKNUM(Combined[[#This Row],[Date]], 2))</f>
        <v>13</v>
      </c>
      <c r="F1669" t="str">
        <f t="shared" si="396"/>
        <v>Friday</v>
      </c>
      <c r="G1669" s="41">
        <v>45744</v>
      </c>
      <c r="H1669">
        <v>6</v>
      </c>
      <c r="I1669" s="1">
        <v>45.69</v>
      </c>
      <c r="J1669" s="2">
        <v>0.12291666666666666</v>
      </c>
      <c r="K1669" s="12">
        <f>Combined[[#This Row],[Time Spent]]*24</f>
        <v>2.9499999999999997</v>
      </c>
      <c r="L1669" s="12">
        <f>MROUND(Combined[[#This Row],[Time Spent 2]],0.25)</f>
        <v>3</v>
      </c>
      <c r="M1669" s="2" t="s">
        <v>91</v>
      </c>
      <c r="N1669" t="s">
        <v>82</v>
      </c>
      <c r="O1669">
        <f>MATCH(Combined[[#This Row],[Primary Area]],KPIs!$C$4:$C$7,0)</f>
        <v>3</v>
      </c>
    </row>
    <row r="1670" spans="2:15" x14ac:dyDescent="0.35">
      <c r="B1670">
        <f t="shared" si="391"/>
        <v>1668</v>
      </c>
      <c r="C1670" t="s">
        <v>83</v>
      </c>
      <c r="D1670" t="s">
        <v>176</v>
      </c>
      <c r="E1670">
        <f>IF(WEEKNUM(Combined[[#This Row],[Date]], 1) = 53, 1, WEEKNUM(Combined[[#This Row],[Date]], 2))</f>
        <v>13</v>
      </c>
      <c r="F1670" t="str">
        <f t="shared" ref="F1670:F1672" si="397">TEXT(WEEKDAY(G1670,1),"DDDD")</f>
        <v>Sunday</v>
      </c>
      <c r="G1670" s="41">
        <v>45746</v>
      </c>
      <c r="H1670">
        <v>2</v>
      </c>
      <c r="I1670" s="1">
        <v>41.56</v>
      </c>
      <c r="J1670" s="2">
        <v>8.4722222222222227E-2</v>
      </c>
      <c r="K1670" s="12">
        <f>Combined[[#This Row],[Time Spent]]*24</f>
        <v>2.0333333333333332</v>
      </c>
      <c r="L1670" s="12">
        <f>MROUND(Combined[[#This Row],[Time Spent 2]],0.25)</f>
        <v>2</v>
      </c>
      <c r="M1670" s="2" t="s">
        <v>91</v>
      </c>
      <c r="N1670" t="s">
        <v>80</v>
      </c>
      <c r="O1670">
        <f>MATCH(Combined[[#This Row],[Primary Area]],KPIs!$C$4:$C$7,0)</f>
        <v>2</v>
      </c>
    </row>
    <row r="1671" spans="2:15" x14ac:dyDescent="0.35">
      <c r="B1671">
        <f t="shared" si="391"/>
        <v>1669</v>
      </c>
      <c r="C1671" t="s">
        <v>86</v>
      </c>
      <c r="D1671" t="s">
        <v>176</v>
      </c>
      <c r="E1671">
        <f>IF(WEEKNUM(Combined[[#This Row],[Date]], 1) = 53, 1, WEEKNUM(Combined[[#This Row],[Date]], 2))</f>
        <v>13</v>
      </c>
      <c r="F1671" t="str">
        <f t="shared" si="397"/>
        <v>Sunday</v>
      </c>
      <c r="G1671" s="41">
        <v>45746</v>
      </c>
      <c r="H1671">
        <v>3</v>
      </c>
      <c r="I1671" s="1">
        <f>15.75+5.37</f>
        <v>21.12</v>
      </c>
      <c r="J1671" s="2">
        <v>3.3333333333333333E-2</v>
      </c>
      <c r="K1671" s="12">
        <f>Combined[[#This Row],[Time Spent]]*24</f>
        <v>0.8</v>
      </c>
      <c r="L1671" s="12">
        <f>MROUND(Combined[[#This Row],[Time Spent 2]],0.25)</f>
        <v>0.75</v>
      </c>
      <c r="M1671" s="2" t="s">
        <v>91</v>
      </c>
      <c r="N1671" t="s">
        <v>80</v>
      </c>
      <c r="O1671">
        <f>MATCH(Combined[[#This Row],[Primary Area]],KPIs!$C$4:$C$7,0)</f>
        <v>2</v>
      </c>
    </row>
    <row r="1672" spans="2:15" x14ac:dyDescent="0.35">
      <c r="B1672">
        <f t="shared" si="391"/>
        <v>1670</v>
      </c>
      <c r="C1672" t="s">
        <v>86</v>
      </c>
      <c r="D1672" t="s">
        <v>176</v>
      </c>
      <c r="E1672">
        <f>IF(WEEKNUM(Combined[[#This Row],[Date]], 1) = 53, 1, WEEKNUM(Combined[[#This Row],[Date]], 2))</f>
        <v>13</v>
      </c>
      <c r="F1672" t="str">
        <f t="shared" si="397"/>
        <v>Sunday</v>
      </c>
      <c r="G1672" s="41">
        <v>45746</v>
      </c>
      <c r="H1672">
        <v>6</v>
      </c>
      <c r="I1672" s="1">
        <v>91</v>
      </c>
      <c r="J1672" s="2">
        <v>0.19444444444444445</v>
      </c>
      <c r="K1672" s="12">
        <f>Combined[[#This Row],[Time Spent]]*24</f>
        <v>4.666666666666667</v>
      </c>
      <c r="L1672" s="12">
        <f>MROUND(Combined[[#This Row],[Time Spent 2]],0.25)</f>
        <v>4.75</v>
      </c>
      <c r="M1672" s="2" t="s">
        <v>91</v>
      </c>
      <c r="N1672" t="s">
        <v>80</v>
      </c>
      <c r="O1672">
        <f>MATCH(Combined[[#This Row],[Primary Area]],KPIs!$C$4:$C$7,0)</f>
        <v>2</v>
      </c>
    </row>
    <row r="1673" spans="2:15" x14ac:dyDescent="0.35">
      <c r="B1673">
        <f t="shared" si="391"/>
        <v>1671</v>
      </c>
      <c r="C1673" t="s">
        <v>83</v>
      </c>
      <c r="D1673" t="s">
        <v>176</v>
      </c>
      <c r="E1673">
        <f>IF(WEEKNUM(Combined[[#This Row],[Date]], 1) = 53, 1, WEEKNUM(Combined[[#This Row],[Date]], 2))</f>
        <v>15</v>
      </c>
      <c r="F1673" t="str">
        <f t="shared" ref="F1673:F1674" si="398">TEXT(WEEKDAY(G1673,1),"DDDD")</f>
        <v>Monday</v>
      </c>
      <c r="G1673" s="41">
        <v>45754</v>
      </c>
      <c r="H1673">
        <v>1</v>
      </c>
      <c r="I1673" s="1">
        <v>39</v>
      </c>
      <c r="J1673" s="2">
        <v>6.8750000000000006E-2</v>
      </c>
      <c r="K1673" s="12">
        <f>Combined[[#This Row],[Time Spent]]*24</f>
        <v>1.6500000000000001</v>
      </c>
      <c r="L1673" s="12">
        <f>MROUND(Combined[[#This Row],[Time Spent 2]],0.25)</f>
        <v>1.75</v>
      </c>
      <c r="M1673" s="2" t="s">
        <v>91</v>
      </c>
      <c r="N1673" t="s">
        <v>80</v>
      </c>
      <c r="O1673">
        <f>MATCH(Combined[[#This Row],[Primary Area]],KPIs!$C$4:$C$7,0)</f>
        <v>2</v>
      </c>
    </row>
    <row r="1674" spans="2:15" x14ac:dyDescent="0.35">
      <c r="B1674">
        <f t="shared" si="391"/>
        <v>1672</v>
      </c>
      <c r="C1674" t="s">
        <v>86</v>
      </c>
      <c r="D1674" t="s">
        <v>176</v>
      </c>
      <c r="E1674">
        <f>IF(WEEKNUM(Combined[[#This Row],[Date]], 1) = 53, 1, WEEKNUM(Combined[[#This Row],[Date]], 2))</f>
        <v>15</v>
      </c>
      <c r="F1674" t="str">
        <f t="shared" si="398"/>
        <v>Monday</v>
      </c>
      <c r="G1674" s="41">
        <v>45754</v>
      </c>
      <c r="H1674">
        <v>8</v>
      </c>
      <c r="I1674" s="1">
        <v>77.989999999999995</v>
      </c>
      <c r="J1674" s="2">
        <v>0.2</v>
      </c>
      <c r="K1674" s="12">
        <f>Combined[[#This Row],[Time Spent]]*24</f>
        <v>4.8000000000000007</v>
      </c>
      <c r="L1674" s="12">
        <f>MROUND(Combined[[#This Row],[Time Spent 2]],0.25)</f>
        <v>4.75</v>
      </c>
      <c r="M1674" s="2" t="s">
        <v>91</v>
      </c>
      <c r="N1674" t="s">
        <v>80</v>
      </c>
      <c r="O1674">
        <f>MATCH(Combined[[#This Row],[Primary Area]],KPIs!$C$4:$C$7,0)</f>
        <v>2</v>
      </c>
    </row>
    <row r="1675" spans="2:15" x14ac:dyDescent="0.35">
      <c r="B1675">
        <f t="shared" si="391"/>
        <v>1673</v>
      </c>
      <c r="C1675" t="s">
        <v>83</v>
      </c>
      <c r="D1675" t="s">
        <v>176</v>
      </c>
      <c r="E1675">
        <f>IF(WEEKNUM(Combined[[#This Row],[Date]], 1) = 53, 1, WEEKNUM(Combined[[#This Row],[Date]], 2))</f>
        <v>15</v>
      </c>
      <c r="F1675" t="str">
        <f t="shared" ref="F1675" si="399">TEXT(WEEKDAY(G1675,1),"DDDD")</f>
        <v>Tuesday</v>
      </c>
      <c r="G1675" s="41">
        <v>45755</v>
      </c>
      <c r="H1675">
        <v>11</v>
      </c>
      <c r="I1675" s="1">
        <v>130.44</v>
      </c>
      <c r="J1675" s="2">
        <v>0.23194444444444445</v>
      </c>
      <c r="K1675" s="12">
        <f>Combined[[#This Row],[Time Spent]]*24</f>
        <v>5.5666666666666664</v>
      </c>
      <c r="L1675" s="12">
        <f>MROUND(Combined[[#This Row],[Time Spent 2]],0.25)</f>
        <v>5.5</v>
      </c>
      <c r="M1675" s="2" t="s">
        <v>91</v>
      </c>
      <c r="N1675" t="s">
        <v>174</v>
      </c>
      <c r="O1675">
        <f>MATCH(Combined[[#This Row],[Primary Area]],KPIs!$C$4:$C$7,0)</f>
        <v>1</v>
      </c>
    </row>
    <row r="1676" spans="2:15" x14ac:dyDescent="0.35">
      <c r="B1676">
        <f t="shared" si="391"/>
        <v>1674</v>
      </c>
      <c r="C1676" t="s">
        <v>86</v>
      </c>
      <c r="D1676" t="s">
        <v>175</v>
      </c>
      <c r="E1676">
        <f>IF(WEEKNUM(Combined[[#This Row],[Date]], 1) = 53, 1, WEEKNUM(Combined[[#This Row],[Date]], 2))</f>
        <v>15</v>
      </c>
      <c r="F1676" t="str">
        <f t="shared" ref="F1676" si="400">TEXT(WEEKDAY(G1676,1),"DDDD")</f>
        <v>Friday</v>
      </c>
      <c r="G1676" s="41">
        <v>45758</v>
      </c>
      <c r="H1676">
        <v>6</v>
      </c>
      <c r="I1676" s="1">
        <v>57.27</v>
      </c>
      <c r="J1676" s="2">
        <v>0.16250000000000001</v>
      </c>
      <c r="K1676" s="12">
        <f>Combined[[#This Row],[Time Spent]]*24</f>
        <v>3.9000000000000004</v>
      </c>
      <c r="L1676" s="12">
        <f>MROUND(Combined[[#This Row],[Time Spent 2]],0.25)</f>
        <v>4</v>
      </c>
      <c r="M1676" s="2" t="s">
        <v>91</v>
      </c>
      <c r="N1676" t="s">
        <v>174</v>
      </c>
      <c r="O1676">
        <f>MATCH(Combined[[#This Row],[Primary Area]],KPIs!$C$4:$C$7,0)</f>
        <v>1</v>
      </c>
    </row>
    <row r="1677" spans="2:15" x14ac:dyDescent="0.35">
      <c r="B1677">
        <f t="shared" si="391"/>
        <v>1675</v>
      </c>
      <c r="C1677" t="s">
        <v>83</v>
      </c>
      <c r="D1677" t="s">
        <v>176</v>
      </c>
      <c r="E1677">
        <f>IF(WEEKNUM(Combined[[#This Row],[Date]], 1) = 53, 1, WEEKNUM(Combined[[#This Row],[Date]], 2))</f>
        <v>15</v>
      </c>
      <c r="F1677" t="str">
        <f t="shared" ref="F1677:F1678" si="401">TEXT(WEEKDAY(G1677,1),"DDDD")</f>
        <v>Saturday</v>
      </c>
      <c r="G1677" s="41">
        <v>45759</v>
      </c>
      <c r="H1677">
        <v>2</v>
      </c>
      <c r="I1677" s="1">
        <v>23.74</v>
      </c>
      <c r="J1677" s="2">
        <v>8.6805555555555552E-2</v>
      </c>
      <c r="K1677" s="12">
        <f>Combined[[#This Row],[Time Spent]]*24</f>
        <v>2.083333333333333</v>
      </c>
      <c r="L1677" s="12">
        <f>MROUND(Combined[[#This Row],[Time Spent 2]],0.25)</f>
        <v>2</v>
      </c>
      <c r="M1677" s="2" t="s">
        <v>91</v>
      </c>
      <c r="N1677" t="s">
        <v>174</v>
      </c>
      <c r="O1677">
        <f>MATCH(Combined[[#This Row],[Primary Area]],KPIs!$C$4:$C$7,0)</f>
        <v>1</v>
      </c>
    </row>
    <row r="1678" spans="2:15" x14ac:dyDescent="0.35">
      <c r="B1678">
        <f t="shared" si="391"/>
        <v>1676</v>
      </c>
      <c r="C1678" t="s">
        <v>86</v>
      </c>
      <c r="D1678" t="s">
        <v>175</v>
      </c>
      <c r="E1678">
        <f>IF(WEEKNUM(Combined[[#This Row],[Date]], 1) = 53, 1, WEEKNUM(Combined[[#This Row],[Date]], 2))</f>
        <v>15</v>
      </c>
      <c r="F1678" t="str">
        <f t="shared" si="401"/>
        <v>Saturday</v>
      </c>
      <c r="G1678" s="41">
        <v>45759</v>
      </c>
      <c r="H1678">
        <v>9</v>
      </c>
      <c r="I1678" s="1">
        <v>89.67</v>
      </c>
      <c r="J1678" s="2">
        <v>0.14652777777777778</v>
      </c>
      <c r="K1678" s="12">
        <f>Combined[[#This Row],[Time Spent]]*24</f>
        <v>3.5166666666666666</v>
      </c>
      <c r="L1678" s="12">
        <f>MROUND(Combined[[#This Row],[Time Spent 2]],0.25)</f>
        <v>3.5</v>
      </c>
      <c r="M1678" s="2" t="s">
        <v>91</v>
      </c>
      <c r="N1678" t="s">
        <v>174</v>
      </c>
      <c r="O1678">
        <f>MATCH(Combined[[#This Row],[Primary Area]],KPIs!$C$4:$C$7,0)</f>
        <v>1</v>
      </c>
    </row>
    <row r="1679" spans="2:15" x14ac:dyDescent="0.35">
      <c r="B1679">
        <f t="shared" si="391"/>
        <v>1677</v>
      </c>
      <c r="C1679" t="s">
        <v>83</v>
      </c>
      <c r="D1679" t="s">
        <v>176</v>
      </c>
      <c r="E1679">
        <f>IF(WEEKNUM(Combined[[#This Row],[Date]], 1) = 53, 1, WEEKNUM(Combined[[#This Row],[Date]], 2))</f>
        <v>16</v>
      </c>
      <c r="F1679" t="str">
        <f t="shared" ref="F1679:F1681" si="402">TEXT(WEEKDAY(G1679,1),"DDDD")</f>
        <v>Monday</v>
      </c>
      <c r="G1679" s="41">
        <v>45761</v>
      </c>
      <c r="H1679">
        <v>5</v>
      </c>
      <c r="I1679" s="1">
        <v>103.2</v>
      </c>
      <c r="J1679" s="2">
        <v>0.1388888888888889</v>
      </c>
      <c r="K1679" s="12">
        <f>Combined[[#This Row],[Time Spent]]*24</f>
        <v>3.3333333333333335</v>
      </c>
      <c r="L1679" s="12">
        <f>MROUND(Combined[[#This Row],[Time Spent 2]],0.25)</f>
        <v>3.25</v>
      </c>
      <c r="M1679" s="2" t="s">
        <v>91</v>
      </c>
      <c r="N1679" t="s">
        <v>80</v>
      </c>
      <c r="O1679">
        <f>MATCH(Combined[[#This Row],[Primary Area]],KPIs!$C$4:$C$7,0)</f>
        <v>2</v>
      </c>
    </row>
    <row r="1680" spans="2:15" x14ac:dyDescent="0.35">
      <c r="B1680">
        <f t="shared" si="391"/>
        <v>1678</v>
      </c>
      <c r="C1680" t="s">
        <v>86</v>
      </c>
      <c r="D1680" t="s">
        <v>176</v>
      </c>
      <c r="E1680">
        <f>IF(WEEKNUM(Combined[[#This Row],[Date]], 1) = 53, 1, WEEKNUM(Combined[[#This Row],[Date]], 2))</f>
        <v>16</v>
      </c>
      <c r="F1680" t="str">
        <f t="shared" si="402"/>
        <v>Monday</v>
      </c>
      <c r="G1680" s="41">
        <v>45761</v>
      </c>
      <c r="H1680">
        <v>1</v>
      </c>
      <c r="I1680" s="1">
        <v>6.75</v>
      </c>
      <c r="J1680" s="2">
        <v>1.8055555555555554E-2</v>
      </c>
      <c r="K1680" s="12">
        <f>Combined[[#This Row],[Time Spent]]*24</f>
        <v>0.43333333333333329</v>
      </c>
      <c r="L1680" s="12">
        <f>MROUND(Combined[[#This Row],[Time Spent 2]],0.25)</f>
        <v>0.5</v>
      </c>
      <c r="M1680" s="2" t="s">
        <v>91</v>
      </c>
      <c r="N1680" t="s">
        <v>80</v>
      </c>
      <c r="O1680">
        <f>MATCH(Combined[[#This Row],[Primary Area]],KPIs!$C$4:$C$7,0)</f>
        <v>2</v>
      </c>
    </row>
    <row r="1681" spans="2:15" x14ac:dyDescent="0.35">
      <c r="B1681">
        <f t="shared" si="391"/>
        <v>1679</v>
      </c>
      <c r="C1681" t="s">
        <v>86</v>
      </c>
      <c r="D1681" t="s">
        <v>175</v>
      </c>
      <c r="E1681">
        <f>IF(WEEKNUM(Combined[[#This Row],[Date]], 1) = 53, 1, WEEKNUM(Combined[[#This Row],[Date]], 2))</f>
        <v>16</v>
      </c>
      <c r="F1681" t="str">
        <f t="shared" si="402"/>
        <v>Monday</v>
      </c>
      <c r="G1681" s="41">
        <v>45761</v>
      </c>
      <c r="H1681">
        <v>4</v>
      </c>
      <c r="I1681" s="1">
        <v>38.78</v>
      </c>
      <c r="J1681" s="2">
        <v>0.14583333333333334</v>
      </c>
      <c r="K1681" s="12">
        <f>Combined[[#This Row],[Time Spent]]*24</f>
        <v>3.5</v>
      </c>
      <c r="L1681" s="12">
        <f>MROUND(Combined[[#This Row],[Time Spent 2]],0.25)</f>
        <v>3.5</v>
      </c>
      <c r="M1681" s="2" t="s">
        <v>91</v>
      </c>
      <c r="N1681" t="s">
        <v>80</v>
      </c>
      <c r="O1681">
        <f>MATCH(Combined[[#This Row],[Primary Area]],KPIs!$C$4:$C$7,0)</f>
        <v>2</v>
      </c>
    </row>
    <row r="1682" spans="2:15" x14ac:dyDescent="0.35">
      <c r="B1682">
        <f t="shared" si="391"/>
        <v>1680</v>
      </c>
      <c r="C1682" t="s">
        <v>83</v>
      </c>
      <c r="D1682" t="s">
        <v>176</v>
      </c>
      <c r="E1682">
        <f>IF(WEEKNUM(Combined[[#This Row],[Date]], 1) = 53, 1, WEEKNUM(Combined[[#This Row],[Date]], 2))</f>
        <v>16</v>
      </c>
      <c r="F1682" t="str">
        <f t="shared" ref="F1682:F1684" si="403">TEXT(WEEKDAY(G1682,1),"DDDD")</f>
        <v>Wednesday</v>
      </c>
      <c r="G1682" s="41">
        <v>45763</v>
      </c>
      <c r="H1682">
        <v>3</v>
      </c>
      <c r="I1682" s="1">
        <v>27.33</v>
      </c>
      <c r="J1682" s="2">
        <v>0.10486111111111111</v>
      </c>
      <c r="K1682" s="12">
        <f>Combined[[#This Row],[Time Spent]]*24</f>
        <v>2.5166666666666666</v>
      </c>
      <c r="L1682" s="12">
        <f>MROUND(Combined[[#This Row],[Time Spent 2]],0.25)</f>
        <v>2.5</v>
      </c>
      <c r="M1682" s="2" t="s">
        <v>91</v>
      </c>
      <c r="N1682" t="s">
        <v>82</v>
      </c>
      <c r="O1682">
        <f>MATCH(Combined[[#This Row],[Primary Area]],KPIs!$C$4:$C$7,0)</f>
        <v>3</v>
      </c>
    </row>
    <row r="1683" spans="2:15" x14ac:dyDescent="0.35">
      <c r="B1683">
        <f t="shared" si="391"/>
        <v>1681</v>
      </c>
      <c r="C1683" t="s">
        <v>86</v>
      </c>
      <c r="D1683" t="s">
        <v>175</v>
      </c>
      <c r="E1683">
        <f>IF(WEEKNUM(Combined[[#This Row],[Date]], 1) = 53, 1, WEEKNUM(Combined[[#This Row],[Date]], 2))</f>
        <v>16</v>
      </c>
      <c r="F1683" t="str">
        <f t="shared" si="403"/>
        <v>Wednesday</v>
      </c>
      <c r="G1683" s="41">
        <v>45763</v>
      </c>
      <c r="H1683">
        <v>7</v>
      </c>
      <c r="I1683" s="1">
        <v>84</v>
      </c>
      <c r="J1683" s="2">
        <v>0.18611111111111112</v>
      </c>
      <c r="K1683" s="12">
        <f>Combined[[#This Row],[Time Spent]]*24</f>
        <v>4.4666666666666668</v>
      </c>
      <c r="L1683" s="12">
        <f>MROUND(Combined[[#This Row],[Time Spent 2]],0.25)</f>
        <v>4.5</v>
      </c>
      <c r="M1683" s="2" t="s">
        <v>91</v>
      </c>
      <c r="N1683" t="s">
        <v>82</v>
      </c>
      <c r="O1683">
        <f>MATCH(Combined[[#This Row],[Primary Area]],KPIs!$C$4:$C$7,0)</f>
        <v>3</v>
      </c>
    </row>
    <row r="1684" spans="2:15" x14ac:dyDescent="0.35">
      <c r="B1684">
        <f t="shared" si="391"/>
        <v>1682</v>
      </c>
      <c r="C1684" t="s">
        <v>86</v>
      </c>
      <c r="D1684" t="s">
        <v>175</v>
      </c>
      <c r="E1684">
        <f>IF(WEEKNUM(Combined[[#This Row],[Date]], 1) = 53, 1, WEEKNUM(Combined[[#This Row],[Date]], 2))</f>
        <v>16</v>
      </c>
      <c r="F1684" t="str">
        <f t="shared" si="403"/>
        <v>Wednesday</v>
      </c>
      <c r="G1684" s="41">
        <v>45763</v>
      </c>
      <c r="H1684">
        <v>2</v>
      </c>
      <c r="I1684" s="1">
        <v>7.88</v>
      </c>
      <c r="J1684" s="2">
        <v>2.2222222222222223E-2</v>
      </c>
      <c r="K1684" s="12">
        <f>Combined[[#This Row],[Time Spent]]*24</f>
        <v>0.53333333333333333</v>
      </c>
      <c r="L1684" s="12">
        <f>MROUND(Combined[[#This Row],[Time Spent 2]],0.25)</f>
        <v>0.5</v>
      </c>
      <c r="M1684" s="2" t="s">
        <v>92</v>
      </c>
      <c r="N1684" t="s">
        <v>82</v>
      </c>
      <c r="O1684">
        <f>MATCH(Combined[[#This Row],[Primary Area]],KPIs!$C$4:$C$7,0)</f>
        <v>3</v>
      </c>
    </row>
    <row r="1685" spans="2:15" x14ac:dyDescent="0.35">
      <c r="B1685">
        <f t="shared" si="391"/>
        <v>1683</v>
      </c>
      <c r="C1685" t="s">
        <v>83</v>
      </c>
      <c r="D1685" t="s">
        <v>176</v>
      </c>
      <c r="E1685">
        <f>IF(WEEKNUM(Combined[[#This Row],[Date]], 1) = 53, 1, WEEKNUM(Combined[[#This Row],[Date]], 2))</f>
        <v>16</v>
      </c>
      <c r="F1685" t="str">
        <f t="shared" ref="F1685:F1686" si="404">TEXT(WEEKDAY(G1685,1),"DDDD")</f>
        <v>Thursday</v>
      </c>
      <c r="G1685" s="41">
        <v>45764</v>
      </c>
      <c r="H1685">
        <v>1</v>
      </c>
      <c r="I1685" s="1">
        <v>11.69</v>
      </c>
      <c r="J1685" s="2">
        <v>5.486111111111111E-2</v>
      </c>
      <c r="K1685" s="12">
        <f>Combined[[#This Row],[Time Spent]]*24</f>
        <v>1.3166666666666667</v>
      </c>
      <c r="L1685" s="12">
        <f>MROUND(Combined[[#This Row],[Time Spent 2]],0.25)</f>
        <v>1.25</v>
      </c>
      <c r="M1685" s="2" t="s">
        <v>91</v>
      </c>
      <c r="N1685" t="s">
        <v>82</v>
      </c>
      <c r="O1685">
        <f>MATCH(Combined[[#This Row],[Primary Area]],KPIs!$C$4:$C$7,0)</f>
        <v>3</v>
      </c>
    </row>
    <row r="1686" spans="2:15" x14ac:dyDescent="0.35">
      <c r="B1686">
        <f t="shared" si="391"/>
        <v>1684</v>
      </c>
      <c r="C1686" t="s">
        <v>86</v>
      </c>
      <c r="D1686" t="s">
        <v>176</v>
      </c>
      <c r="E1686">
        <f>IF(WEEKNUM(Combined[[#This Row],[Date]], 1) = 53, 1, WEEKNUM(Combined[[#This Row],[Date]], 2))</f>
        <v>16</v>
      </c>
      <c r="F1686" t="str">
        <f t="shared" si="404"/>
        <v>Thursday</v>
      </c>
      <c r="G1686" s="41">
        <v>45764</v>
      </c>
      <c r="H1686">
        <v>9</v>
      </c>
      <c r="I1686" s="1">
        <v>56.69</v>
      </c>
      <c r="J1686" s="2">
        <v>0.16319444444444445</v>
      </c>
      <c r="K1686" s="12">
        <f>Combined[[#This Row],[Time Spent]]*24</f>
        <v>3.916666666666667</v>
      </c>
      <c r="L1686" s="12">
        <f>MROUND(Combined[[#This Row],[Time Spent 2]],0.25)</f>
        <v>4</v>
      </c>
      <c r="M1686" s="2" t="s">
        <v>91</v>
      </c>
      <c r="N1686" t="s">
        <v>82</v>
      </c>
      <c r="O1686">
        <f>MATCH(Combined[[#This Row],[Primary Area]],KPIs!$C$4:$C$7,0)</f>
        <v>3</v>
      </c>
    </row>
    <row r="1687" spans="2:15" x14ac:dyDescent="0.35">
      <c r="B1687">
        <f t="shared" si="391"/>
        <v>1685</v>
      </c>
      <c r="C1687" t="s">
        <v>83</v>
      </c>
      <c r="D1687" t="s">
        <v>176</v>
      </c>
      <c r="E1687">
        <f>IF(WEEKNUM(Combined[[#This Row],[Date]], 1) = 53, 1, WEEKNUM(Combined[[#This Row],[Date]], 2))</f>
        <v>17</v>
      </c>
      <c r="F1687" t="str">
        <f t="shared" ref="F1687:F1689" si="405">TEXT(WEEKDAY(G1687,1),"DDDD")</f>
        <v>Monday</v>
      </c>
      <c r="G1687" s="41">
        <v>45768</v>
      </c>
      <c r="H1687">
        <v>3</v>
      </c>
      <c r="I1687" s="1">
        <v>29.25</v>
      </c>
      <c r="J1687" s="2">
        <v>0.10902777777777778</v>
      </c>
      <c r="K1687" s="12">
        <f>Combined[[#This Row],[Time Spent]]*24</f>
        <v>2.6166666666666667</v>
      </c>
      <c r="L1687" s="12">
        <f>MROUND(Combined[[#This Row],[Time Spent 2]],0.25)</f>
        <v>2.5</v>
      </c>
      <c r="M1687" s="2" t="s">
        <v>91</v>
      </c>
      <c r="N1687" t="s">
        <v>80</v>
      </c>
      <c r="O1687">
        <f>MATCH(Combined[[#This Row],[Primary Area]],KPIs!$C$4:$C$7,0)</f>
        <v>2</v>
      </c>
    </row>
    <row r="1688" spans="2:15" x14ac:dyDescent="0.35">
      <c r="B1688">
        <f t="shared" si="391"/>
        <v>1686</v>
      </c>
      <c r="C1688" t="s">
        <v>86</v>
      </c>
      <c r="D1688" t="s">
        <v>175</v>
      </c>
      <c r="E1688">
        <f>IF(WEEKNUM(Combined[[#This Row],[Date]], 1) = 53, 1, WEEKNUM(Combined[[#This Row],[Date]], 2))</f>
        <v>17</v>
      </c>
      <c r="F1688" t="str">
        <f t="shared" si="405"/>
        <v>Monday</v>
      </c>
      <c r="G1688" s="41">
        <v>45768</v>
      </c>
      <c r="H1688">
        <v>7</v>
      </c>
      <c r="I1688" s="1">
        <v>67.81</v>
      </c>
      <c r="J1688" s="2">
        <v>0.16111111111111112</v>
      </c>
      <c r="K1688" s="12">
        <f>Combined[[#This Row],[Time Spent]]*24</f>
        <v>3.8666666666666671</v>
      </c>
      <c r="L1688" s="12">
        <f>MROUND(Combined[[#This Row],[Time Spent 2]],0.25)</f>
        <v>3.75</v>
      </c>
      <c r="M1688" s="2" t="s">
        <v>91</v>
      </c>
      <c r="N1688" t="s">
        <v>80</v>
      </c>
      <c r="O1688">
        <f>MATCH(Combined[[#This Row],[Primary Area]],KPIs!$C$4:$C$7,0)</f>
        <v>2</v>
      </c>
    </row>
    <row r="1689" spans="2:15" x14ac:dyDescent="0.35">
      <c r="B1689">
        <f t="shared" si="391"/>
        <v>1687</v>
      </c>
      <c r="C1689" t="s">
        <v>86</v>
      </c>
      <c r="D1689" t="s">
        <v>175</v>
      </c>
      <c r="E1689">
        <f>IF(WEEKNUM(Combined[[#This Row],[Date]], 1) = 53, 1, WEEKNUM(Combined[[#This Row],[Date]], 2))</f>
        <v>17</v>
      </c>
      <c r="F1689" t="str">
        <f t="shared" si="405"/>
        <v>Monday</v>
      </c>
      <c r="G1689" s="41">
        <v>45768</v>
      </c>
      <c r="H1689">
        <v>1</v>
      </c>
      <c r="I1689" s="1">
        <v>5.97</v>
      </c>
      <c r="J1689" s="2">
        <v>1.7361111111111112E-2</v>
      </c>
      <c r="K1689" s="12">
        <f>Combined[[#This Row],[Time Spent]]*24</f>
        <v>0.41666666666666669</v>
      </c>
      <c r="L1689" s="12">
        <f>MROUND(Combined[[#This Row],[Time Spent 2]],0.25)</f>
        <v>0.5</v>
      </c>
      <c r="M1689" s="2" t="s">
        <v>92</v>
      </c>
      <c r="N1689" t="s">
        <v>80</v>
      </c>
      <c r="O1689">
        <f>MATCH(Combined[[#This Row],[Primary Area]],KPIs!$C$4:$C$7,0)</f>
        <v>2</v>
      </c>
    </row>
    <row r="1690" spans="2:15" x14ac:dyDescent="0.35">
      <c r="B1690">
        <f t="shared" si="391"/>
        <v>1688</v>
      </c>
      <c r="C1690" t="s">
        <v>86</v>
      </c>
      <c r="D1690" t="s">
        <v>176</v>
      </c>
      <c r="E1690">
        <f>IF(WEEKNUM(Combined[[#This Row],[Date]], 1) = 53, 1, WEEKNUM(Combined[[#This Row],[Date]], 2))</f>
        <v>17</v>
      </c>
      <c r="F1690" t="str">
        <f t="shared" ref="F1690" si="406">TEXT(WEEKDAY(G1690,1),"DDDD")</f>
        <v>Tuesday</v>
      </c>
      <c r="G1690" s="41">
        <v>45769</v>
      </c>
      <c r="H1690">
        <v>7</v>
      </c>
      <c r="I1690" s="1">
        <v>62.21</v>
      </c>
      <c r="J1690" s="2">
        <v>0.1701388888888889</v>
      </c>
      <c r="K1690" s="12">
        <f>Combined[[#This Row],[Time Spent]]*24</f>
        <v>4.0833333333333339</v>
      </c>
      <c r="L1690" s="12">
        <f>MROUND(Combined[[#This Row],[Time Spent 2]],0.25)</f>
        <v>4</v>
      </c>
      <c r="M1690" s="2" t="s">
        <v>91</v>
      </c>
      <c r="N1690" t="s">
        <v>82</v>
      </c>
      <c r="O1690">
        <f>MATCH(Combined[[#This Row],[Primary Area]],KPIs!$C$4:$C$7,0)</f>
        <v>3</v>
      </c>
    </row>
    <row r="1691" spans="2:15" x14ac:dyDescent="0.35">
      <c r="B1691">
        <f t="shared" si="391"/>
        <v>1689</v>
      </c>
      <c r="C1691" t="s">
        <v>83</v>
      </c>
      <c r="D1691" t="s">
        <v>176</v>
      </c>
      <c r="E1691">
        <f>IF(WEEKNUM(Combined[[#This Row],[Date]], 1) = 53, 1, WEEKNUM(Combined[[#This Row],[Date]], 2))</f>
        <v>17</v>
      </c>
      <c r="F1691" t="str">
        <f t="shared" ref="F1691:F1692" si="407">TEXT(WEEKDAY(G1691,1),"DDDD")</f>
        <v>Wednesday</v>
      </c>
      <c r="G1691" s="41">
        <v>45770</v>
      </c>
      <c r="H1691">
        <v>4</v>
      </c>
      <c r="I1691" s="1">
        <f>12.71+35+10.06+16.06</f>
        <v>73.83</v>
      </c>
      <c r="J1691" s="2">
        <v>6.25E-2</v>
      </c>
      <c r="K1691" s="12">
        <f>Combined[[#This Row],[Time Spent]]*24</f>
        <v>1.5</v>
      </c>
      <c r="L1691" s="12">
        <f>MROUND(Combined[[#This Row],[Time Spent 2]],0.25)</f>
        <v>1.5</v>
      </c>
      <c r="M1691" s="2" t="s">
        <v>91</v>
      </c>
      <c r="N1691" t="s">
        <v>80</v>
      </c>
      <c r="O1691">
        <f>MATCH(Combined[[#This Row],[Primary Area]],KPIs!$C$4:$C$7,0)</f>
        <v>2</v>
      </c>
    </row>
    <row r="1692" spans="2:15" x14ac:dyDescent="0.35">
      <c r="B1692">
        <f t="shared" si="391"/>
        <v>1690</v>
      </c>
      <c r="C1692" t="s">
        <v>86</v>
      </c>
      <c r="D1692" t="s">
        <v>176</v>
      </c>
      <c r="E1692">
        <f>IF(WEEKNUM(Combined[[#This Row],[Date]], 1) = 53, 1, WEEKNUM(Combined[[#This Row],[Date]], 2))</f>
        <v>17</v>
      </c>
      <c r="F1692" t="str">
        <f t="shared" si="407"/>
        <v>Wednesday</v>
      </c>
      <c r="G1692" s="41">
        <v>45770</v>
      </c>
      <c r="H1692">
        <v>6</v>
      </c>
      <c r="I1692" s="1">
        <v>66.75</v>
      </c>
      <c r="J1692" s="2">
        <v>0.18472222222222223</v>
      </c>
      <c r="K1692" s="12">
        <f>Combined[[#This Row],[Time Spent]]*24</f>
        <v>4.4333333333333336</v>
      </c>
      <c r="L1692" s="12">
        <f>MROUND(Combined[[#This Row],[Time Spent 2]],0.25)</f>
        <v>4.5</v>
      </c>
      <c r="M1692" s="2" t="s">
        <v>91</v>
      </c>
      <c r="N1692" t="s">
        <v>80</v>
      </c>
      <c r="O1692">
        <f>MATCH(Combined[[#This Row],[Primary Area]],KPIs!$C$4:$C$7,0)</f>
        <v>2</v>
      </c>
    </row>
    <row r="1693" spans="2:15" x14ac:dyDescent="0.35">
      <c r="B1693">
        <f t="shared" si="391"/>
        <v>1691</v>
      </c>
      <c r="C1693" t="s">
        <v>86</v>
      </c>
      <c r="D1693" t="s">
        <v>176</v>
      </c>
      <c r="E1693">
        <f>IF(WEEKNUM(Combined[[#This Row],[Date]], 1) = 53, 1, WEEKNUM(Combined[[#This Row],[Date]], 2))</f>
        <v>17</v>
      </c>
      <c r="F1693" t="str">
        <f>TEXT(WEEKDAY(G1693,1),"DDDD")</f>
        <v>Wednesday</v>
      </c>
      <c r="G1693" s="41">
        <v>45770</v>
      </c>
      <c r="H1693">
        <v>1</v>
      </c>
      <c r="I1693" s="1">
        <v>6.75</v>
      </c>
      <c r="J1693" s="2">
        <v>2.9166666666666667E-2</v>
      </c>
      <c r="K1693" s="12">
        <f>Combined[[#This Row],[Time Spent]]*24</f>
        <v>0.7</v>
      </c>
      <c r="L1693" s="12">
        <f>MROUND(Combined[[#This Row],[Time Spent 2]],0.25)</f>
        <v>0.75</v>
      </c>
      <c r="M1693" s="2" t="s">
        <v>92</v>
      </c>
      <c r="N1693" t="s">
        <v>80</v>
      </c>
      <c r="O1693">
        <f>MATCH(Combined[[#This Row],[Primary Area]],KPIs!$C$4:$C$7,0)</f>
        <v>2</v>
      </c>
    </row>
    <row r="1694" spans="2:15" x14ac:dyDescent="0.35">
      <c r="B1694">
        <f t="shared" si="391"/>
        <v>1692</v>
      </c>
      <c r="C1694" t="s">
        <v>83</v>
      </c>
      <c r="D1694" t="s">
        <v>176</v>
      </c>
      <c r="E1694">
        <f>IF(WEEKNUM(Combined[[#This Row],[Date]], 1) = 53, 1, WEEKNUM(Combined[[#This Row],[Date]], 2))</f>
        <v>17</v>
      </c>
      <c r="F1694" t="str">
        <f t="shared" ref="F1694:F1695" si="408">TEXT(WEEKDAY(G1694,1),"DDDD")</f>
        <v>Friday</v>
      </c>
      <c r="G1694" s="41">
        <v>45772</v>
      </c>
      <c r="H1694">
        <v>1</v>
      </c>
      <c r="I1694" s="1">
        <v>9.1300000000000008</v>
      </c>
      <c r="J1694" s="2">
        <v>5.0694444444444445E-2</v>
      </c>
      <c r="K1694" s="12">
        <f>Combined[[#This Row],[Time Spent]]*24</f>
        <v>1.2166666666666668</v>
      </c>
      <c r="L1694" s="12">
        <f>MROUND(Combined[[#This Row],[Time Spent 2]],0.25)</f>
        <v>1.25</v>
      </c>
      <c r="M1694" s="2" t="s">
        <v>91</v>
      </c>
      <c r="N1694" t="s">
        <v>82</v>
      </c>
      <c r="O1694">
        <f>MATCH(Combined[[#This Row],[Primary Area]],KPIs!$C$4:$C$7,0)</f>
        <v>3</v>
      </c>
    </row>
    <row r="1695" spans="2:15" x14ac:dyDescent="0.35">
      <c r="B1695">
        <f t="shared" si="391"/>
        <v>1693</v>
      </c>
      <c r="C1695" t="s">
        <v>86</v>
      </c>
      <c r="D1695" t="s">
        <v>176</v>
      </c>
      <c r="E1695">
        <f>IF(WEEKNUM(Combined[[#This Row],[Date]], 1) = 53, 1, WEEKNUM(Combined[[#This Row],[Date]], 2))</f>
        <v>17</v>
      </c>
      <c r="F1695" t="str">
        <f t="shared" si="408"/>
        <v>Friday</v>
      </c>
      <c r="G1695" s="41">
        <v>45772</v>
      </c>
      <c r="H1695">
        <v>8</v>
      </c>
      <c r="I1695" s="1">
        <v>61</v>
      </c>
      <c r="J1695" s="2">
        <v>0.18819444444444444</v>
      </c>
      <c r="K1695" s="12">
        <f>Combined[[#This Row],[Time Spent]]*24</f>
        <v>4.5166666666666666</v>
      </c>
      <c r="L1695" s="12">
        <f>MROUND(Combined[[#This Row],[Time Spent 2]],0.25)</f>
        <v>4.5</v>
      </c>
      <c r="M1695" s="2" t="s">
        <v>91</v>
      </c>
      <c r="N1695" t="s">
        <v>82</v>
      </c>
      <c r="O1695">
        <f>MATCH(Combined[[#This Row],[Primary Area]],KPIs!$C$4:$C$7,0)</f>
        <v>3</v>
      </c>
    </row>
    <row r="1696" spans="2:15" x14ac:dyDescent="0.35">
      <c r="B1696">
        <f t="shared" si="391"/>
        <v>1694</v>
      </c>
      <c r="C1696" t="s">
        <v>83</v>
      </c>
      <c r="D1696" t="s">
        <v>176</v>
      </c>
      <c r="E1696">
        <f>IF(WEEKNUM(Combined[[#This Row],[Date]], 1) = 53, 1, WEEKNUM(Combined[[#This Row],[Date]], 2))</f>
        <v>17</v>
      </c>
      <c r="F1696" t="str">
        <f t="shared" ref="F1696:F1698" si="409">TEXT(WEEKDAY(G1696,1),"DDDD")</f>
        <v>Saturday</v>
      </c>
      <c r="G1696" s="41">
        <v>45773</v>
      </c>
      <c r="H1696">
        <v>1</v>
      </c>
      <c r="I1696" s="1">
        <v>10.07</v>
      </c>
      <c r="J1696" s="2">
        <v>5.6944444444444443E-2</v>
      </c>
      <c r="K1696" s="12">
        <f>Combined[[#This Row],[Time Spent]]*24</f>
        <v>1.3666666666666667</v>
      </c>
      <c r="L1696" s="12">
        <f>MROUND(Combined[[#This Row],[Time Spent 2]],0.25)</f>
        <v>1.25</v>
      </c>
      <c r="M1696" s="2" t="s">
        <v>91</v>
      </c>
      <c r="N1696" t="s">
        <v>174</v>
      </c>
      <c r="O1696">
        <f>MATCH(Combined[[#This Row],[Primary Area]],KPIs!$C$4:$C$7,0)</f>
        <v>1</v>
      </c>
    </row>
    <row r="1697" spans="2:15" x14ac:dyDescent="0.35">
      <c r="B1697">
        <f t="shared" si="391"/>
        <v>1695</v>
      </c>
      <c r="C1697" t="s">
        <v>86</v>
      </c>
      <c r="D1697" t="s">
        <v>175</v>
      </c>
      <c r="E1697">
        <f>IF(WEEKNUM(Combined[[#This Row],[Date]], 1) = 53, 1, WEEKNUM(Combined[[#This Row],[Date]], 2))</f>
        <v>17</v>
      </c>
      <c r="F1697" t="str">
        <f t="shared" si="409"/>
        <v>Saturday</v>
      </c>
      <c r="G1697" s="41">
        <v>45773</v>
      </c>
      <c r="H1697">
        <v>1</v>
      </c>
      <c r="I1697" s="1">
        <v>15.08</v>
      </c>
      <c r="J1697" s="2">
        <v>2.8472222222222222E-2</v>
      </c>
      <c r="K1697" s="12">
        <f>Combined[[#This Row],[Time Spent]]*24</f>
        <v>0.68333333333333335</v>
      </c>
      <c r="L1697" s="12">
        <f>MROUND(Combined[[#This Row],[Time Spent 2]],0.25)</f>
        <v>0.75</v>
      </c>
      <c r="M1697" s="2" t="s">
        <v>91</v>
      </c>
      <c r="N1697" t="s">
        <v>174</v>
      </c>
      <c r="O1697">
        <f>MATCH(Combined[[#This Row],[Primary Area]],KPIs!$C$4:$C$7,0)</f>
        <v>1</v>
      </c>
    </row>
    <row r="1698" spans="2:15" x14ac:dyDescent="0.35">
      <c r="B1698">
        <f t="shared" si="391"/>
        <v>1696</v>
      </c>
      <c r="C1698" t="s">
        <v>86</v>
      </c>
      <c r="D1698" t="s">
        <v>175</v>
      </c>
      <c r="E1698">
        <f>IF(WEEKNUM(Combined[[#This Row],[Date]], 1) = 53, 1, WEEKNUM(Combined[[#This Row],[Date]], 2))</f>
        <v>17</v>
      </c>
      <c r="F1698" t="str">
        <f t="shared" si="409"/>
        <v>Saturday</v>
      </c>
      <c r="G1698" s="41">
        <v>45773</v>
      </c>
      <c r="H1698">
        <v>5</v>
      </c>
      <c r="I1698" s="1">
        <v>66.14</v>
      </c>
      <c r="J1698" s="2">
        <v>0.14722222222222223</v>
      </c>
      <c r="K1698" s="12">
        <f>Combined[[#This Row],[Time Spent]]*24</f>
        <v>3.5333333333333332</v>
      </c>
      <c r="L1698" s="12">
        <f>MROUND(Combined[[#This Row],[Time Spent 2]],0.25)</f>
        <v>3.5</v>
      </c>
      <c r="M1698" s="2" t="s">
        <v>91</v>
      </c>
      <c r="N1698" t="s">
        <v>174</v>
      </c>
      <c r="O1698">
        <f>MATCH(Combined[[#This Row],[Primary Area]],KPIs!$C$4:$C$7,0)</f>
        <v>1</v>
      </c>
    </row>
    <row r="1699" spans="2:15" x14ac:dyDescent="0.35">
      <c r="B1699">
        <f t="shared" si="391"/>
        <v>1697</v>
      </c>
      <c r="C1699" t="s">
        <v>83</v>
      </c>
      <c r="D1699" t="s">
        <v>176</v>
      </c>
      <c r="E1699">
        <f>IF(WEEKNUM(Combined[[#This Row],[Date]], 1) = 53, 1, WEEKNUM(Combined[[#This Row],[Date]], 2))</f>
        <v>17</v>
      </c>
      <c r="F1699" t="str">
        <f t="shared" ref="F1699:F1700" si="410">TEXT(WEEKDAY(G1699,1),"DDDD")</f>
        <v>Sunday</v>
      </c>
      <c r="G1699" s="41">
        <v>45774</v>
      </c>
      <c r="H1699">
        <v>3</v>
      </c>
      <c r="I1699" s="1">
        <v>32.44</v>
      </c>
      <c r="J1699" s="2">
        <v>9.583333333333334E-2</v>
      </c>
      <c r="K1699" s="12">
        <f>Combined[[#This Row],[Time Spent]]*24</f>
        <v>2.3000000000000003</v>
      </c>
      <c r="L1699" s="12">
        <f>MROUND(Combined[[#This Row],[Time Spent 2]],0.25)</f>
        <v>2.25</v>
      </c>
      <c r="M1699" s="2" t="s">
        <v>91</v>
      </c>
      <c r="N1699" t="s">
        <v>174</v>
      </c>
      <c r="O1699">
        <f>MATCH(Combined[[#This Row],[Primary Area]],KPIs!$C$4:$C$7,0)</f>
        <v>1</v>
      </c>
    </row>
    <row r="1700" spans="2:15" x14ac:dyDescent="0.35">
      <c r="B1700">
        <f t="shared" si="391"/>
        <v>1698</v>
      </c>
      <c r="C1700" t="s">
        <v>86</v>
      </c>
      <c r="D1700" t="s">
        <v>176</v>
      </c>
      <c r="E1700">
        <f>IF(WEEKNUM(Combined[[#This Row],[Date]], 1) = 53, 1, WEEKNUM(Combined[[#This Row],[Date]], 2))</f>
        <v>17</v>
      </c>
      <c r="F1700" t="str">
        <f t="shared" si="410"/>
        <v>Sunday</v>
      </c>
      <c r="G1700" s="41">
        <v>45774</v>
      </c>
      <c r="H1700">
        <v>6</v>
      </c>
      <c r="I1700" s="1">
        <v>48.25</v>
      </c>
      <c r="J1700" s="2">
        <v>0.17777777777777778</v>
      </c>
      <c r="K1700" s="12">
        <f>Combined[[#This Row],[Time Spent]]*24</f>
        <v>4.2666666666666666</v>
      </c>
      <c r="L1700" s="12">
        <f>MROUND(Combined[[#This Row],[Time Spent 2]],0.25)</f>
        <v>4.25</v>
      </c>
      <c r="M1700" s="2" t="s">
        <v>91</v>
      </c>
      <c r="N1700" t="s">
        <v>174</v>
      </c>
      <c r="O1700">
        <f>MATCH(Combined[[#This Row],[Primary Area]],KPIs!$C$4:$C$7,0)</f>
        <v>1</v>
      </c>
    </row>
    <row r="1701" spans="2:15" x14ac:dyDescent="0.35">
      <c r="B1701">
        <f t="shared" si="391"/>
        <v>1699</v>
      </c>
      <c r="C1701" t="s">
        <v>83</v>
      </c>
      <c r="D1701" t="s">
        <v>176</v>
      </c>
      <c r="E1701">
        <f>IF(WEEKNUM(Combined[[#This Row],[Date]], 1) = 53, 1, WEEKNUM(Combined[[#This Row],[Date]], 2))</f>
        <v>18</v>
      </c>
      <c r="F1701" t="str">
        <f t="shared" ref="F1701:F1704" si="411">TEXT(WEEKDAY(G1701,1),"DDDD")</f>
        <v>Monday</v>
      </c>
      <c r="G1701" s="41">
        <v>45775</v>
      </c>
      <c r="H1701">
        <v>6</v>
      </c>
      <c r="I1701" s="1">
        <v>41.01</v>
      </c>
      <c r="J1701" s="2">
        <v>0.15069444444444444</v>
      </c>
      <c r="K1701" s="12">
        <f>Combined[[#This Row],[Time Spent]]*24</f>
        <v>3.6166666666666663</v>
      </c>
      <c r="L1701" s="12">
        <f>MROUND(Combined[[#This Row],[Time Spent 2]],0.25)</f>
        <v>3.5</v>
      </c>
      <c r="M1701" s="2" t="s">
        <v>91</v>
      </c>
      <c r="N1701" t="s">
        <v>85</v>
      </c>
      <c r="O1701">
        <f>MATCH(Combined[[#This Row],[Primary Area]],KPIs!$C$4:$C$7,0)</f>
        <v>4</v>
      </c>
    </row>
    <row r="1702" spans="2:15" x14ac:dyDescent="0.35">
      <c r="B1702">
        <f t="shared" si="391"/>
        <v>1700</v>
      </c>
      <c r="C1702" t="s">
        <v>86</v>
      </c>
      <c r="D1702" t="s">
        <v>176</v>
      </c>
      <c r="E1702">
        <f>IF(WEEKNUM(Combined[[#This Row],[Date]], 1) = 53, 1, WEEKNUM(Combined[[#This Row],[Date]], 2))</f>
        <v>18</v>
      </c>
      <c r="F1702" t="str">
        <f t="shared" si="411"/>
        <v>Monday</v>
      </c>
      <c r="G1702" s="41">
        <v>45775</v>
      </c>
      <c r="H1702">
        <v>1</v>
      </c>
      <c r="I1702" s="1">
        <v>7.25</v>
      </c>
      <c r="J1702" s="2">
        <v>0.10069444444444445</v>
      </c>
      <c r="K1702" s="12">
        <f>Combined[[#This Row],[Time Spent]]*24</f>
        <v>2.416666666666667</v>
      </c>
      <c r="L1702" s="12">
        <f>MROUND(Combined[[#This Row],[Time Spent 2]],0.25)</f>
        <v>2.5</v>
      </c>
      <c r="M1702" s="2" t="s">
        <v>91</v>
      </c>
      <c r="N1702" t="s">
        <v>85</v>
      </c>
      <c r="O1702">
        <f>MATCH(Combined[[#This Row],[Primary Area]],KPIs!$C$4:$C$7,0)</f>
        <v>4</v>
      </c>
    </row>
    <row r="1703" spans="2:15" x14ac:dyDescent="0.35">
      <c r="B1703">
        <f t="shared" si="391"/>
        <v>1701</v>
      </c>
      <c r="C1703" t="s">
        <v>86</v>
      </c>
      <c r="D1703" t="s">
        <v>175</v>
      </c>
      <c r="E1703">
        <f>IF(WEEKNUM(Combined[[#This Row],[Date]], 1) = 53, 1, WEEKNUM(Combined[[#This Row],[Date]], 2))</f>
        <v>18</v>
      </c>
      <c r="F1703" t="str">
        <f t="shared" si="411"/>
        <v>Monday</v>
      </c>
      <c r="G1703" s="41">
        <v>45775</v>
      </c>
      <c r="H1703">
        <v>3</v>
      </c>
      <c r="I1703" s="1">
        <v>38.479999999999997</v>
      </c>
      <c r="J1703" s="2">
        <v>5.6250000000000001E-2</v>
      </c>
      <c r="K1703" s="12">
        <f>Combined[[#This Row],[Time Spent]]*24</f>
        <v>1.35</v>
      </c>
      <c r="L1703" s="12">
        <f>MROUND(Combined[[#This Row],[Time Spent 2]],0.25)</f>
        <v>1.25</v>
      </c>
      <c r="M1703" s="2" t="s">
        <v>92</v>
      </c>
      <c r="N1703" t="s">
        <v>85</v>
      </c>
      <c r="O1703">
        <f>MATCH(Combined[[#This Row],[Primary Area]],KPIs!$C$4:$C$7,0)</f>
        <v>4</v>
      </c>
    </row>
    <row r="1704" spans="2:15" x14ac:dyDescent="0.35">
      <c r="B1704">
        <f t="shared" si="391"/>
        <v>1702</v>
      </c>
      <c r="C1704" t="s">
        <v>86</v>
      </c>
      <c r="D1704" t="s">
        <v>176</v>
      </c>
      <c r="E1704">
        <f>IF(WEEKNUM(Combined[[#This Row],[Date]], 1) = 53, 1, WEEKNUM(Combined[[#This Row],[Date]], 2))</f>
        <v>18</v>
      </c>
      <c r="F1704" t="str">
        <f t="shared" si="411"/>
        <v>Monday</v>
      </c>
      <c r="G1704" s="41">
        <v>45775</v>
      </c>
      <c r="H1704">
        <v>3</v>
      </c>
      <c r="I1704" s="1">
        <v>61.92</v>
      </c>
      <c r="J1704" s="2">
        <v>8.4027777777777785E-2</v>
      </c>
      <c r="K1704" s="12">
        <f>Combined[[#This Row],[Time Spent]]*24</f>
        <v>2.0166666666666666</v>
      </c>
      <c r="L1704" s="12">
        <f>MROUND(Combined[[#This Row],[Time Spent 2]],0.25)</f>
        <v>2</v>
      </c>
      <c r="M1704" s="2" t="s">
        <v>92</v>
      </c>
      <c r="N1704" t="s">
        <v>85</v>
      </c>
      <c r="O1704">
        <f>MATCH(Combined[[#This Row],[Primary Area]],KPIs!$C$4:$C$7,0)</f>
        <v>4</v>
      </c>
    </row>
    <row r="1705" spans="2:15" x14ac:dyDescent="0.35">
      <c r="B1705">
        <f t="shared" si="391"/>
        <v>1703</v>
      </c>
      <c r="C1705" t="s">
        <v>83</v>
      </c>
      <c r="D1705" t="s">
        <v>176</v>
      </c>
      <c r="E1705">
        <f>IF(WEEKNUM(Combined[[#This Row],[Date]], 1) = 53, 1, WEEKNUM(Combined[[#This Row],[Date]], 2))</f>
        <v>18</v>
      </c>
      <c r="F1705" t="str">
        <f t="shared" ref="F1705:F1706" si="412">TEXT(WEEKDAY(G1705,1),"DDDD")</f>
        <v>Tuesday</v>
      </c>
      <c r="G1705" s="41">
        <v>45776</v>
      </c>
      <c r="H1705">
        <v>1</v>
      </c>
      <c r="I1705" s="1">
        <v>12.68</v>
      </c>
      <c r="J1705" s="2">
        <v>6.0416666666666667E-2</v>
      </c>
      <c r="K1705" s="12">
        <f>Combined[[#This Row],[Time Spent]]*24</f>
        <v>1.45</v>
      </c>
      <c r="L1705" s="12">
        <f>MROUND(Combined[[#This Row],[Time Spent 2]],0.25)</f>
        <v>1.5</v>
      </c>
      <c r="M1705" s="2" t="s">
        <v>91</v>
      </c>
      <c r="N1705" t="s">
        <v>80</v>
      </c>
      <c r="O1705">
        <f>MATCH(Combined[[#This Row],[Primary Area]],KPIs!$C$4:$C$7,0)</f>
        <v>2</v>
      </c>
    </row>
    <row r="1706" spans="2:15" x14ac:dyDescent="0.35">
      <c r="B1706">
        <f t="shared" si="391"/>
        <v>1704</v>
      </c>
      <c r="C1706" t="s">
        <v>86</v>
      </c>
      <c r="D1706" t="s">
        <v>176</v>
      </c>
      <c r="E1706">
        <f>IF(WEEKNUM(Combined[[#This Row],[Date]], 1) = 53, 1, WEEKNUM(Combined[[#This Row],[Date]], 2))</f>
        <v>18</v>
      </c>
      <c r="F1706" t="str">
        <f t="shared" si="412"/>
        <v>Tuesday</v>
      </c>
      <c r="G1706" s="41">
        <v>45776</v>
      </c>
      <c r="H1706">
        <v>10</v>
      </c>
      <c r="I1706" s="1">
        <v>104.29</v>
      </c>
      <c r="J1706" s="2">
        <v>0.22777777777777777</v>
      </c>
      <c r="K1706" s="12">
        <f>Combined[[#This Row],[Time Spent]]*24</f>
        <v>5.4666666666666668</v>
      </c>
      <c r="L1706" s="12">
        <f>MROUND(Combined[[#This Row],[Time Spent 2]],0.25)</f>
        <v>5.5</v>
      </c>
      <c r="M1706" s="2" t="s">
        <v>91</v>
      </c>
      <c r="N1706" t="s">
        <v>80</v>
      </c>
      <c r="O1706">
        <f>MATCH(Combined[[#This Row],[Primary Area]],KPIs!$C$4:$C$7,0)</f>
        <v>2</v>
      </c>
    </row>
    <row r="1707" spans="2:15" x14ac:dyDescent="0.35">
      <c r="B1707">
        <f t="shared" si="391"/>
        <v>1705</v>
      </c>
      <c r="C1707" t="s">
        <v>83</v>
      </c>
      <c r="D1707" t="s">
        <v>176</v>
      </c>
      <c r="E1707">
        <f>IF(WEEKNUM(Combined[[#This Row],[Date]], 1) = 53, 1, WEEKNUM(Combined[[#This Row],[Date]], 2))</f>
        <v>18</v>
      </c>
      <c r="F1707" t="str">
        <f t="shared" ref="F1707:F1708" si="413">TEXT(WEEKDAY(G1707,1),"DDDD")</f>
        <v>Wednesday</v>
      </c>
      <c r="G1707" s="41">
        <v>45777</v>
      </c>
      <c r="H1707">
        <v>1</v>
      </c>
      <c r="I1707" s="1">
        <v>22.97</v>
      </c>
      <c r="J1707" s="2">
        <v>6.0416666666666667E-2</v>
      </c>
      <c r="K1707" s="12">
        <f>Combined[[#This Row],[Time Spent]]*24</f>
        <v>1.45</v>
      </c>
      <c r="L1707" s="12">
        <f>MROUND(Combined[[#This Row],[Time Spent 2]],0.25)</f>
        <v>1.5</v>
      </c>
      <c r="M1707" s="2" t="s">
        <v>91</v>
      </c>
      <c r="N1707" t="s">
        <v>80</v>
      </c>
      <c r="O1707">
        <f>MATCH(Combined[[#This Row],[Primary Area]],KPIs!$C$4:$C$7,0)</f>
        <v>2</v>
      </c>
    </row>
    <row r="1708" spans="2:15" x14ac:dyDescent="0.35">
      <c r="B1708">
        <f t="shared" si="391"/>
        <v>1706</v>
      </c>
      <c r="C1708" t="s">
        <v>86</v>
      </c>
      <c r="D1708" t="s">
        <v>175</v>
      </c>
      <c r="E1708">
        <f>IF(WEEKNUM(Combined[[#This Row],[Date]], 1) = 53, 1, WEEKNUM(Combined[[#This Row],[Date]], 2))</f>
        <v>18</v>
      </c>
      <c r="F1708" t="str">
        <f t="shared" si="413"/>
        <v>Wednesday</v>
      </c>
      <c r="G1708" s="41">
        <v>45777</v>
      </c>
      <c r="H1708">
        <v>7</v>
      </c>
      <c r="I1708" s="1">
        <v>62.19</v>
      </c>
      <c r="J1708" s="2">
        <v>0.19166666666666668</v>
      </c>
      <c r="K1708" s="12">
        <f>Combined[[#This Row],[Time Spent]]*24</f>
        <v>4.6000000000000005</v>
      </c>
      <c r="L1708" s="12">
        <f>MROUND(Combined[[#This Row],[Time Spent 2]],0.25)</f>
        <v>4.5</v>
      </c>
      <c r="M1708" s="2" t="s">
        <v>91</v>
      </c>
      <c r="N1708" t="s">
        <v>80</v>
      </c>
      <c r="O1708">
        <f>MATCH(Combined[[#This Row],[Primary Area]],KPIs!$C$4:$C$7,0)</f>
        <v>2</v>
      </c>
    </row>
    <row r="1709" spans="2:15" x14ac:dyDescent="0.35">
      <c r="B1709">
        <f t="shared" si="391"/>
        <v>1707</v>
      </c>
      <c r="C1709" t="s">
        <v>83</v>
      </c>
      <c r="D1709" t="s">
        <v>176</v>
      </c>
      <c r="E1709">
        <f>IF(WEEKNUM(Combined[[#This Row],[Date]], 1) = 53, 1, WEEKNUM(Combined[[#This Row],[Date]], 2))</f>
        <v>18</v>
      </c>
      <c r="F1709" t="str">
        <f t="shared" ref="F1709:F1711" si="414">TEXT(WEEKDAY(G1709,1),"DDDD")</f>
        <v>Thursday</v>
      </c>
      <c r="G1709" s="41">
        <v>45778</v>
      </c>
      <c r="H1709">
        <v>2</v>
      </c>
      <c r="I1709" s="1">
        <v>43.14</v>
      </c>
      <c r="J1709" s="2">
        <v>8.0555555555555561E-2</v>
      </c>
      <c r="K1709" s="12">
        <f>Combined[[#This Row],[Time Spent]]*24</f>
        <v>1.9333333333333336</v>
      </c>
      <c r="L1709" s="12">
        <f>MROUND(Combined[[#This Row],[Time Spent 2]],0.25)</f>
        <v>2</v>
      </c>
      <c r="M1709" s="2" t="s">
        <v>91</v>
      </c>
      <c r="N1709" t="s">
        <v>80</v>
      </c>
      <c r="O1709">
        <f>MATCH(Combined[[#This Row],[Primary Area]],KPIs!$C$4:$C$7,0)</f>
        <v>2</v>
      </c>
    </row>
    <row r="1710" spans="2:15" x14ac:dyDescent="0.35">
      <c r="B1710">
        <f t="shared" si="391"/>
        <v>1708</v>
      </c>
      <c r="C1710" t="s">
        <v>86</v>
      </c>
      <c r="D1710" t="s">
        <v>176</v>
      </c>
      <c r="E1710">
        <f>IF(WEEKNUM(Combined[[#This Row],[Date]], 1) = 53, 1, WEEKNUM(Combined[[#This Row],[Date]], 2))</f>
        <v>18</v>
      </c>
      <c r="F1710" t="str">
        <f t="shared" si="414"/>
        <v>Thursday</v>
      </c>
      <c r="G1710" s="41">
        <v>45778</v>
      </c>
      <c r="H1710">
        <v>2</v>
      </c>
      <c r="I1710" s="1">
        <v>26.65</v>
      </c>
      <c r="J1710" s="2">
        <v>6.25E-2</v>
      </c>
      <c r="K1710" s="12">
        <f>Combined[[#This Row],[Time Spent]]*24</f>
        <v>1.5</v>
      </c>
      <c r="L1710" s="12">
        <f>MROUND(Combined[[#This Row],[Time Spent 2]],0.25)</f>
        <v>1.5</v>
      </c>
      <c r="M1710" s="2" t="s">
        <v>91</v>
      </c>
      <c r="N1710" t="s">
        <v>80</v>
      </c>
      <c r="O1710">
        <f>MATCH(Combined[[#This Row],[Primary Area]],KPIs!$C$4:$C$7,0)</f>
        <v>2</v>
      </c>
    </row>
    <row r="1711" spans="2:15" x14ac:dyDescent="0.35">
      <c r="B1711">
        <f t="shared" si="391"/>
        <v>1709</v>
      </c>
      <c r="C1711" t="s">
        <v>86</v>
      </c>
      <c r="D1711" t="s">
        <v>175</v>
      </c>
      <c r="E1711">
        <f>IF(WEEKNUM(Combined[[#This Row],[Date]], 1) = 53, 1, WEEKNUM(Combined[[#This Row],[Date]], 2))</f>
        <v>18</v>
      </c>
      <c r="F1711" t="str">
        <f t="shared" si="414"/>
        <v>Thursday</v>
      </c>
      <c r="G1711" s="41">
        <v>45778</v>
      </c>
      <c r="H1711">
        <v>5</v>
      </c>
      <c r="I1711" s="1">
        <v>38.68</v>
      </c>
      <c r="J1711" s="2">
        <v>8.1944444444444445E-2</v>
      </c>
      <c r="K1711" s="12">
        <f>Combined[[#This Row],[Time Spent]]*24</f>
        <v>1.9666666666666668</v>
      </c>
      <c r="L1711" s="12">
        <f>MROUND(Combined[[#This Row],[Time Spent 2]],0.25)</f>
        <v>2</v>
      </c>
      <c r="M1711" s="2" t="s">
        <v>92</v>
      </c>
      <c r="N1711" t="s">
        <v>80</v>
      </c>
      <c r="O1711">
        <f>MATCH(Combined[[#This Row],[Primary Area]],KPIs!$C$4:$C$7,0)</f>
        <v>2</v>
      </c>
    </row>
    <row r="1712" spans="2:15" x14ac:dyDescent="0.35">
      <c r="B1712">
        <f t="shared" si="391"/>
        <v>1710</v>
      </c>
      <c r="C1712" t="s">
        <v>83</v>
      </c>
      <c r="D1712" t="s">
        <v>176</v>
      </c>
      <c r="E1712">
        <f>IF(WEEKNUM(Combined[[#This Row],[Date]], 1) = 53, 1, WEEKNUM(Combined[[#This Row],[Date]], 2))</f>
        <v>18</v>
      </c>
      <c r="F1712" t="str">
        <f t="shared" ref="F1712:F1715" si="415">TEXT(WEEKDAY(G1712,1),"DDDD")</f>
        <v>Saturday</v>
      </c>
      <c r="G1712" s="41">
        <v>45780</v>
      </c>
      <c r="H1712">
        <v>1</v>
      </c>
      <c r="I1712" s="1">
        <v>13.08</v>
      </c>
      <c r="J1712" s="2">
        <v>4.027777777777778E-2</v>
      </c>
      <c r="K1712" s="12">
        <f>Combined[[#This Row],[Time Spent]]*24</f>
        <v>0.96666666666666679</v>
      </c>
      <c r="L1712" s="12">
        <f>MROUND(Combined[[#This Row],[Time Spent 2]],0.25)</f>
        <v>1</v>
      </c>
      <c r="M1712" s="2" t="s">
        <v>90</v>
      </c>
      <c r="N1712" t="s">
        <v>80</v>
      </c>
      <c r="O1712">
        <f>MATCH(Combined[[#This Row],[Primary Area]],KPIs!$C$4:$C$7,0)</f>
        <v>2</v>
      </c>
    </row>
    <row r="1713" spans="2:15" x14ac:dyDescent="0.35">
      <c r="B1713">
        <f t="shared" si="391"/>
        <v>1711</v>
      </c>
      <c r="C1713" t="s">
        <v>86</v>
      </c>
      <c r="D1713" t="s">
        <v>176</v>
      </c>
      <c r="E1713">
        <f>IF(WEEKNUM(Combined[[#This Row],[Date]], 1) = 53, 1, WEEKNUM(Combined[[#This Row],[Date]], 2))</f>
        <v>18</v>
      </c>
      <c r="F1713" t="str">
        <f t="shared" si="415"/>
        <v>Saturday</v>
      </c>
      <c r="G1713" s="41">
        <v>45780</v>
      </c>
      <c r="H1713">
        <v>4</v>
      </c>
      <c r="I1713" s="1">
        <v>62.28</v>
      </c>
      <c r="J1713" s="2">
        <v>0.13402777777777777</v>
      </c>
      <c r="K1713" s="12">
        <f>Combined[[#This Row],[Time Spent]]*24</f>
        <v>3.2166666666666668</v>
      </c>
      <c r="L1713" s="12">
        <f>MROUND(Combined[[#This Row],[Time Spent 2]],0.25)</f>
        <v>3.25</v>
      </c>
      <c r="M1713" s="2" t="s">
        <v>90</v>
      </c>
      <c r="N1713" t="s">
        <v>80</v>
      </c>
      <c r="O1713">
        <f>MATCH(Combined[[#This Row],[Primary Area]],KPIs!$C$4:$C$7,0)</f>
        <v>2</v>
      </c>
    </row>
    <row r="1714" spans="2:15" x14ac:dyDescent="0.35">
      <c r="B1714">
        <f t="shared" si="391"/>
        <v>1712</v>
      </c>
      <c r="C1714" t="s">
        <v>83</v>
      </c>
      <c r="D1714" t="s">
        <v>176</v>
      </c>
      <c r="E1714">
        <f>IF(WEEKNUM(Combined[[#This Row],[Date]], 1) = 53, 1, WEEKNUM(Combined[[#This Row],[Date]], 2))</f>
        <v>18</v>
      </c>
      <c r="F1714" t="str">
        <f t="shared" si="415"/>
        <v>Sunday</v>
      </c>
      <c r="G1714" s="41">
        <v>45781</v>
      </c>
      <c r="H1714">
        <v>1</v>
      </c>
      <c r="I1714" s="1">
        <v>17.73</v>
      </c>
      <c r="J1714" s="2">
        <v>5.8333333333333334E-2</v>
      </c>
      <c r="K1714" s="12">
        <f>Combined[[#This Row],[Time Spent]]*24</f>
        <v>1.4</v>
      </c>
      <c r="L1714" s="12">
        <f>MROUND(Combined[[#This Row],[Time Spent 2]],0.25)</f>
        <v>1.5</v>
      </c>
      <c r="M1714" s="2" t="s">
        <v>90</v>
      </c>
      <c r="N1714" t="s">
        <v>80</v>
      </c>
      <c r="O1714">
        <f>MATCH(Combined[[#This Row],[Primary Area]],KPIs!$C$4:$C$7,0)</f>
        <v>2</v>
      </c>
    </row>
    <row r="1715" spans="2:15" x14ac:dyDescent="0.35">
      <c r="B1715">
        <f t="shared" si="391"/>
        <v>1713</v>
      </c>
      <c r="C1715" t="s">
        <v>86</v>
      </c>
      <c r="D1715" t="s">
        <v>176</v>
      </c>
      <c r="E1715">
        <f>IF(WEEKNUM(Combined[[#This Row],[Date]], 1) = 53, 1, WEEKNUM(Combined[[#This Row],[Date]], 2))</f>
        <v>18</v>
      </c>
      <c r="F1715" t="str">
        <f t="shared" si="415"/>
        <v>Sunday</v>
      </c>
      <c r="G1715" s="41">
        <v>45781</v>
      </c>
      <c r="H1715">
        <v>8</v>
      </c>
      <c r="I1715" s="1">
        <v>71.25</v>
      </c>
      <c r="J1715" s="2">
        <v>0.17499999999999999</v>
      </c>
      <c r="K1715" s="12">
        <f>Combined[[#This Row],[Time Spent]]*24</f>
        <v>4.1999999999999993</v>
      </c>
      <c r="L1715" s="12">
        <f>MROUND(Combined[[#This Row],[Time Spent 2]],0.25)</f>
        <v>4.25</v>
      </c>
      <c r="M1715" s="2" t="s">
        <v>90</v>
      </c>
      <c r="N1715" t="s">
        <v>80</v>
      </c>
      <c r="O1715">
        <f>MATCH(Combined[[#This Row],[Primary Area]],KPIs!$C$4:$C$7,0)</f>
        <v>2</v>
      </c>
    </row>
    <row r="1716" spans="2:15" x14ac:dyDescent="0.35">
      <c r="B1716">
        <f t="shared" si="391"/>
        <v>1714</v>
      </c>
      <c r="C1716" t="s">
        <v>83</v>
      </c>
      <c r="D1716" t="s">
        <v>176</v>
      </c>
      <c r="E1716">
        <f>IF(WEEKNUM(Combined[[#This Row],[Date]], 1) = 53, 1, WEEKNUM(Combined[[#This Row],[Date]], 2))</f>
        <v>19</v>
      </c>
      <c r="F1716" t="str">
        <f t="shared" ref="F1716" si="416">TEXT(WEEKDAY(G1716,1),"DDDD")</f>
        <v>Monday</v>
      </c>
      <c r="G1716" s="41">
        <v>45782</v>
      </c>
      <c r="H1716">
        <v>12</v>
      </c>
      <c r="I1716" s="1">
        <v>119.77</v>
      </c>
      <c r="J1716" s="2">
        <v>0.31666666666666665</v>
      </c>
      <c r="K1716" s="12">
        <f>Combined[[#This Row],[Time Spent]]*24</f>
        <v>7.6</v>
      </c>
      <c r="L1716" s="12">
        <f>MROUND(Combined[[#This Row],[Time Spent 2]],0.25)</f>
        <v>7.5</v>
      </c>
      <c r="M1716" s="2" t="s">
        <v>91</v>
      </c>
      <c r="N1716" t="s">
        <v>85</v>
      </c>
      <c r="O1716">
        <f>MATCH(Combined[[#This Row],[Primary Area]],KPIs!$C$4:$C$7,0)</f>
        <v>4</v>
      </c>
    </row>
    <row r="1717" spans="2:15" x14ac:dyDescent="0.35">
      <c r="B1717">
        <f t="shared" si="391"/>
        <v>1715</v>
      </c>
      <c r="C1717" t="s">
        <v>83</v>
      </c>
      <c r="D1717" t="s">
        <v>176</v>
      </c>
      <c r="E1717">
        <f>IF(WEEKNUM(Combined[[#This Row],[Date]], 1) = 53, 1, WEEKNUM(Combined[[#This Row],[Date]], 2))</f>
        <v>19</v>
      </c>
      <c r="F1717" t="str">
        <f t="shared" ref="F1717:F1718" si="417">TEXT(WEEKDAY(G1717,1),"DDDD")</f>
        <v>Tuesday</v>
      </c>
      <c r="G1717" s="41">
        <v>45783</v>
      </c>
      <c r="H1717">
        <v>3</v>
      </c>
      <c r="I1717" s="1">
        <v>35.56</v>
      </c>
      <c r="J1717" s="2">
        <v>9.8611111111111108E-2</v>
      </c>
      <c r="K1717" s="12">
        <f>Combined[[#This Row],[Time Spent]]*24</f>
        <v>2.3666666666666667</v>
      </c>
      <c r="L1717" s="12">
        <f>MROUND(Combined[[#This Row],[Time Spent 2]],0.25)</f>
        <v>2.25</v>
      </c>
      <c r="M1717" s="2" t="s">
        <v>91</v>
      </c>
      <c r="N1717" t="s">
        <v>80</v>
      </c>
      <c r="O1717">
        <f>MATCH(Combined[[#This Row],[Primary Area]],KPIs!$C$4:$C$7,0)</f>
        <v>2</v>
      </c>
    </row>
    <row r="1718" spans="2:15" x14ac:dyDescent="0.35">
      <c r="B1718">
        <f t="shared" si="391"/>
        <v>1716</v>
      </c>
      <c r="C1718" t="s">
        <v>86</v>
      </c>
      <c r="D1718" t="s">
        <v>175</v>
      </c>
      <c r="E1718">
        <f>IF(WEEKNUM(Combined[[#This Row],[Date]], 1) = 53, 1, WEEKNUM(Combined[[#This Row],[Date]], 2))</f>
        <v>19</v>
      </c>
      <c r="F1718" t="str">
        <f t="shared" si="417"/>
        <v>Tuesday</v>
      </c>
      <c r="G1718" s="41">
        <v>45783</v>
      </c>
      <c r="H1718">
        <v>7</v>
      </c>
      <c r="I1718" s="1">
        <v>64.56</v>
      </c>
      <c r="J1718" s="2">
        <v>0.17430555555555555</v>
      </c>
      <c r="K1718" s="12">
        <f>Combined[[#This Row],[Time Spent]]*24</f>
        <v>4.1833333333333336</v>
      </c>
      <c r="L1718" s="12">
        <f>MROUND(Combined[[#This Row],[Time Spent 2]],0.25)</f>
        <v>4.25</v>
      </c>
      <c r="M1718" s="2" t="s">
        <v>91</v>
      </c>
      <c r="N1718" t="s">
        <v>80</v>
      </c>
      <c r="O1718">
        <f>MATCH(Combined[[#This Row],[Primary Area]],KPIs!$C$4:$C$7,0)</f>
        <v>2</v>
      </c>
    </row>
    <row r="1719" spans="2:15" x14ac:dyDescent="0.35">
      <c r="B1719">
        <f t="shared" si="391"/>
        <v>1717</v>
      </c>
      <c r="C1719" t="s">
        <v>83</v>
      </c>
      <c r="D1719" t="s">
        <v>176</v>
      </c>
      <c r="E1719">
        <f>IF(WEEKNUM(Combined[[#This Row],[Date]], 1) = 53, 1, WEEKNUM(Combined[[#This Row],[Date]], 2))</f>
        <v>19</v>
      </c>
      <c r="F1719" t="str">
        <f t="shared" ref="F1719:F1721" si="418">TEXT(WEEKDAY(G1719,1),"DDDD")</f>
        <v>Wednesday</v>
      </c>
      <c r="G1719" s="41">
        <v>45784</v>
      </c>
      <c r="H1719">
        <v>5</v>
      </c>
      <c r="I1719" s="1">
        <v>35.270000000000003</v>
      </c>
      <c r="J1719" s="2">
        <v>0.13125000000000001</v>
      </c>
      <c r="K1719" s="12">
        <f>Combined[[#This Row],[Time Spent]]*24</f>
        <v>3.1500000000000004</v>
      </c>
      <c r="L1719" s="12">
        <f>MROUND(Combined[[#This Row],[Time Spent 2]],0.25)</f>
        <v>3.25</v>
      </c>
      <c r="M1719" s="2" t="s">
        <v>91</v>
      </c>
      <c r="N1719" t="s">
        <v>80</v>
      </c>
      <c r="O1719">
        <f>MATCH(Combined[[#This Row],[Primary Area]],KPIs!$C$4:$C$7,0)</f>
        <v>2</v>
      </c>
    </row>
    <row r="1720" spans="2:15" x14ac:dyDescent="0.35">
      <c r="B1720">
        <f t="shared" si="391"/>
        <v>1718</v>
      </c>
      <c r="C1720" t="s">
        <v>86</v>
      </c>
      <c r="D1720" t="s">
        <v>176</v>
      </c>
      <c r="E1720">
        <f>IF(WEEKNUM(Combined[[#This Row],[Date]], 1) = 53, 1, WEEKNUM(Combined[[#This Row],[Date]], 2))</f>
        <v>19</v>
      </c>
      <c r="F1720" t="str">
        <f t="shared" si="418"/>
        <v>Wednesday</v>
      </c>
      <c r="G1720" s="41">
        <v>45784</v>
      </c>
      <c r="H1720">
        <v>2</v>
      </c>
      <c r="I1720" s="1">
        <v>29</v>
      </c>
      <c r="J1720" s="2">
        <v>0.10416666666666667</v>
      </c>
      <c r="K1720" s="12">
        <f>Combined[[#This Row],[Time Spent]]*24</f>
        <v>2.5</v>
      </c>
      <c r="L1720" s="12">
        <f>MROUND(Combined[[#This Row],[Time Spent 2]],0.25)</f>
        <v>2.5</v>
      </c>
      <c r="M1720" s="2" t="s">
        <v>91</v>
      </c>
      <c r="N1720" t="s">
        <v>80</v>
      </c>
      <c r="O1720">
        <f>MATCH(Combined[[#This Row],[Primary Area]],KPIs!$C$4:$C$7,0)</f>
        <v>2</v>
      </c>
    </row>
    <row r="1721" spans="2:15" x14ac:dyDescent="0.35">
      <c r="B1721">
        <f t="shared" si="391"/>
        <v>1719</v>
      </c>
      <c r="C1721" t="s">
        <v>86</v>
      </c>
      <c r="D1721" t="s">
        <v>176</v>
      </c>
      <c r="E1721">
        <f>IF(WEEKNUM(Combined[[#This Row],[Date]], 1) = 53, 1, WEEKNUM(Combined[[#This Row],[Date]], 2))</f>
        <v>19</v>
      </c>
      <c r="F1721" t="str">
        <f t="shared" si="418"/>
        <v>Wednesday</v>
      </c>
      <c r="G1721" s="41">
        <v>45784</v>
      </c>
      <c r="H1721">
        <v>2</v>
      </c>
      <c r="I1721" s="1">
        <v>15</v>
      </c>
      <c r="J1721" s="2">
        <v>4.7222222222222221E-2</v>
      </c>
      <c r="K1721" s="12">
        <f>Combined[[#This Row],[Time Spent]]*24</f>
        <v>1.1333333333333333</v>
      </c>
      <c r="L1721" s="12">
        <f>MROUND(Combined[[#This Row],[Time Spent 2]],0.25)</f>
        <v>1.25</v>
      </c>
      <c r="M1721" s="2" t="s">
        <v>92</v>
      </c>
      <c r="N1721" t="s">
        <v>80</v>
      </c>
      <c r="O1721">
        <f>MATCH(Combined[[#This Row],[Primary Area]],KPIs!$C$4:$C$7,0)</f>
        <v>2</v>
      </c>
    </row>
    <row r="1722" spans="2:15" x14ac:dyDescent="0.35">
      <c r="B1722">
        <f t="shared" ref="B1722:B1785" si="419">ROW()-2</f>
        <v>1720</v>
      </c>
      <c r="C1722" t="s">
        <v>86</v>
      </c>
      <c r="D1722" t="s">
        <v>176</v>
      </c>
      <c r="E1722">
        <f>IF(WEEKNUM(Combined[[#This Row],[Date]], 1) = 53, 1, WEEKNUM(Combined[[#This Row],[Date]], 2))</f>
        <v>19</v>
      </c>
      <c r="F1722" t="str">
        <f>TEXT(WEEKDAY(G1722,1),"DDDD")</f>
        <v>Wednesday</v>
      </c>
      <c r="G1722" s="41">
        <v>45784</v>
      </c>
      <c r="H1722">
        <v>2</v>
      </c>
      <c r="I1722" s="1">
        <v>26.75</v>
      </c>
      <c r="J1722" s="2">
        <v>7.5694444444444439E-2</v>
      </c>
      <c r="K1722" s="12">
        <f>Combined[[#This Row],[Time Spent]]*24</f>
        <v>1.8166666666666664</v>
      </c>
      <c r="L1722" s="12">
        <f>MROUND(Combined[[#This Row],[Time Spent 2]],0.25)</f>
        <v>1.75</v>
      </c>
      <c r="M1722" s="2" t="s">
        <v>92</v>
      </c>
      <c r="N1722" t="s">
        <v>80</v>
      </c>
      <c r="O1722">
        <f>MATCH(Combined[[#This Row],[Primary Area]],KPIs!$C$4:$C$7,0)</f>
        <v>2</v>
      </c>
    </row>
    <row r="1723" spans="2:15" x14ac:dyDescent="0.35">
      <c r="B1723">
        <f t="shared" si="419"/>
        <v>1721</v>
      </c>
      <c r="C1723" t="s">
        <v>83</v>
      </c>
      <c r="D1723" t="s">
        <v>176</v>
      </c>
      <c r="E1723">
        <f>IF(WEEKNUM(Combined[[#This Row],[Date]], 1) = 53, 1, WEEKNUM(Combined[[#This Row],[Date]], 2))</f>
        <v>19</v>
      </c>
      <c r="F1723" t="str">
        <f t="shared" ref="F1723:F1724" si="420">TEXT(WEEKDAY(G1723,1),"DDDD")</f>
        <v>Thursday</v>
      </c>
      <c r="G1723" s="41">
        <v>45785</v>
      </c>
      <c r="H1723">
        <v>5</v>
      </c>
      <c r="I1723" s="1">
        <v>50.45</v>
      </c>
      <c r="J1723" s="2">
        <v>0.13125000000000001</v>
      </c>
      <c r="K1723" s="12">
        <f>Combined[[#This Row],[Time Spent]]*24</f>
        <v>3.1500000000000004</v>
      </c>
      <c r="L1723" s="12">
        <f>MROUND(Combined[[#This Row],[Time Spent 2]],0.25)</f>
        <v>3.25</v>
      </c>
      <c r="M1723" s="2" t="s">
        <v>91</v>
      </c>
      <c r="N1723" t="s">
        <v>80</v>
      </c>
      <c r="O1723">
        <f>MATCH(Combined[[#This Row],[Primary Area]],KPIs!$C$4:$C$7,0)</f>
        <v>2</v>
      </c>
    </row>
    <row r="1724" spans="2:15" x14ac:dyDescent="0.35">
      <c r="B1724">
        <f t="shared" si="419"/>
        <v>1722</v>
      </c>
      <c r="C1724" t="s">
        <v>86</v>
      </c>
      <c r="D1724" t="s">
        <v>176</v>
      </c>
      <c r="E1724">
        <f>IF(WEEKNUM(Combined[[#This Row],[Date]], 1) = 53, 1, WEEKNUM(Combined[[#This Row],[Date]], 2))</f>
        <v>19</v>
      </c>
      <c r="F1724" t="str">
        <f t="shared" si="420"/>
        <v>Thursday</v>
      </c>
      <c r="G1724" s="41">
        <v>45785</v>
      </c>
      <c r="H1724">
        <v>8</v>
      </c>
      <c r="I1724" s="1">
        <v>98.62</v>
      </c>
      <c r="J1724" s="2">
        <v>0.23958333333333334</v>
      </c>
      <c r="K1724" s="12">
        <f>Combined[[#This Row],[Time Spent]]*24</f>
        <v>5.75</v>
      </c>
      <c r="L1724" s="12">
        <f>MROUND(Combined[[#This Row],[Time Spent 2]],0.25)</f>
        <v>5.75</v>
      </c>
      <c r="M1724" s="2" t="s">
        <v>91</v>
      </c>
      <c r="N1724" t="s">
        <v>80</v>
      </c>
      <c r="O1724">
        <f>MATCH(Combined[[#This Row],[Primary Area]],KPIs!$C$4:$C$7,0)</f>
        <v>2</v>
      </c>
    </row>
    <row r="1725" spans="2:15" x14ac:dyDescent="0.35">
      <c r="B1725">
        <f t="shared" si="419"/>
        <v>1723</v>
      </c>
      <c r="C1725" t="s">
        <v>83</v>
      </c>
      <c r="D1725" t="s">
        <v>176</v>
      </c>
      <c r="E1725">
        <f>IF(WEEKNUM(Combined[[#This Row],[Date]], 1) = 53, 1, WEEKNUM(Combined[[#This Row],[Date]], 2))</f>
        <v>19</v>
      </c>
      <c r="F1725" t="str">
        <f t="shared" ref="F1725:F1726" si="421">TEXT(WEEKDAY(G1725,1),"DDDD")</f>
        <v>Saturday</v>
      </c>
      <c r="G1725" s="41">
        <v>45787</v>
      </c>
      <c r="H1725">
        <v>5</v>
      </c>
      <c r="I1725" s="1">
        <v>83.42</v>
      </c>
      <c r="J1725" s="2">
        <v>0.17916666666666667</v>
      </c>
      <c r="K1725" s="12">
        <f>Combined[[#This Row],[Time Spent]]*24</f>
        <v>4.3</v>
      </c>
      <c r="L1725" s="12">
        <f>MROUND(Combined[[#This Row],[Time Spent 2]],0.25)</f>
        <v>4.25</v>
      </c>
      <c r="M1725" s="2" t="s">
        <v>91</v>
      </c>
      <c r="N1725" t="s">
        <v>82</v>
      </c>
      <c r="O1725">
        <f>MATCH(Combined[[#This Row],[Primary Area]],KPIs!$C$4:$C$7,0)</f>
        <v>3</v>
      </c>
    </row>
    <row r="1726" spans="2:15" x14ac:dyDescent="0.35">
      <c r="B1726">
        <f t="shared" si="419"/>
        <v>1724</v>
      </c>
      <c r="C1726" t="s">
        <v>86</v>
      </c>
      <c r="D1726" t="s">
        <v>175</v>
      </c>
      <c r="E1726">
        <f>IF(WEEKNUM(Combined[[#This Row],[Date]], 1) = 53, 1, WEEKNUM(Combined[[#This Row],[Date]], 2))</f>
        <v>19</v>
      </c>
      <c r="F1726" t="str">
        <f t="shared" si="421"/>
        <v>Saturday</v>
      </c>
      <c r="G1726" s="41">
        <v>45787</v>
      </c>
      <c r="H1726">
        <v>1</v>
      </c>
      <c r="I1726" s="1">
        <v>12.66</v>
      </c>
      <c r="J1726" s="2">
        <v>5.2777777777777778E-2</v>
      </c>
      <c r="K1726" s="12">
        <f>Combined[[#This Row],[Time Spent]]*24</f>
        <v>1.2666666666666666</v>
      </c>
      <c r="L1726" s="12">
        <f>MROUND(Combined[[#This Row],[Time Spent 2]],0.25)</f>
        <v>1.25</v>
      </c>
      <c r="M1726" s="2" t="s">
        <v>91</v>
      </c>
      <c r="N1726" t="s">
        <v>82</v>
      </c>
      <c r="O1726">
        <f>MATCH(Combined[[#This Row],[Primary Area]],KPIs!$C$4:$C$7,0)</f>
        <v>3</v>
      </c>
    </row>
    <row r="1727" spans="2:15" x14ac:dyDescent="0.35">
      <c r="B1727">
        <f t="shared" si="419"/>
        <v>1725</v>
      </c>
      <c r="C1727" t="s">
        <v>83</v>
      </c>
      <c r="D1727" t="s">
        <v>176</v>
      </c>
      <c r="E1727">
        <f>IF(WEEKNUM(Combined[[#This Row],[Date]], 1) = 53, 1, WEEKNUM(Combined[[#This Row],[Date]], 2))</f>
        <v>19</v>
      </c>
      <c r="F1727" t="str">
        <f t="shared" ref="F1727:F1728" si="422">TEXT(WEEKDAY(G1727,1),"DDDD")</f>
        <v>Sunday</v>
      </c>
      <c r="G1727" s="41">
        <v>45788</v>
      </c>
      <c r="H1727">
        <v>2</v>
      </c>
      <c r="I1727" s="1">
        <v>9.69</v>
      </c>
      <c r="J1727" s="2">
        <v>4.583333333333333E-2</v>
      </c>
      <c r="K1727" s="12">
        <f>Combined[[#This Row],[Time Spent]]*24</f>
        <v>1.0999999999999999</v>
      </c>
      <c r="L1727" s="12">
        <f>MROUND(Combined[[#This Row],[Time Spent 2]],0.25)</f>
        <v>1</v>
      </c>
      <c r="M1727" s="2" t="s">
        <v>90</v>
      </c>
      <c r="N1727" t="s">
        <v>80</v>
      </c>
      <c r="O1727">
        <f>MATCH(Combined[[#This Row],[Primary Area]],KPIs!$C$4:$C$7,0)</f>
        <v>2</v>
      </c>
    </row>
    <row r="1728" spans="2:15" x14ac:dyDescent="0.35">
      <c r="B1728">
        <f t="shared" si="419"/>
        <v>1726</v>
      </c>
      <c r="C1728" t="s">
        <v>86</v>
      </c>
      <c r="D1728" t="s">
        <v>176</v>
      </c>
      <c r="E1728">
        <f>IF(WEEKNUM(Combined[[#This Row],[Date]], 1) = 53, 1, WEEKNUM(Combined[[#This Row],[Date]], 2))</f>
        <v>19</v>
      </c>
      <c r="F1728" t="str">
        <f t="shared" si="422"/>
        <v>Sunday</v>
      </c>
      <c r="G1728" s="41">
        <v>45788</v>
      </c>
      <c r="H1728">
        <v>8</v>
      </c>
      <c r="I1728" s="1">
        <v>116.86</v>
      </c>
      <c r="J1728" s="2">
        <v>0.1763888888888889</v>
      </c>
      <c r="K1728" s="12">
        <f>Combined[[#This Row],[Time Spent]]*24</f>
        <v>4.2333333333333334</v>
      </c>
      <c r="L1728" s="12">
        <f>MROUND(Combined[[#This Row],[Time Spent 2]],0.25)</f>
        <v>4.25</v>
      </c>
      <c r="M1728" s="2" t="s">
        <v>91</v>
      </c>
      <c r="N1728" t="s">
        <v>80</v>
      </c>
      <c r="O1728">
        <f>MATCH(Combined[[#This Row],[Primary Area]],KPIs!$C$4:$C$7,0)</f>
        <v>2</v>
      </c>
    </row>
    <row r="1729" spans="2:15" x14ac:dyDescent="0.35">
      <c r="B1729">
        <f t="shared" si="419"/>
        <v>1727</v>
      </c>
      <c r="C1729" t="s">
        <v>86</v>
      </c>
      <c r="D1729" t="s">
        <v>176</v>
      </c>
      <c r="E1729">
        <f>IF(WEEKNUM(Combined[[#This Row],[Date]], 1) = 53, 1, WEEKNUM(Combined[[#This Row],[Date]], 2))</f>
        <v>20</v>
      </c>
      <c r="F1729" t="str">
        <f>TEXT(WEEKDAY(G1729,1),"DDDD")</f>
        <v>Monday</v>
      </c>
      <c r="G1729" s="41">
        <v>45789</v>
      </c>
      <c r="H1729">
        <v>6</v>
      </c>
      <c r="I1729" s="1">
        <v>71.73</v>
      </c>
      <c r="J1729" s="2">
        <v>0.15</v>
      </c>
      <c r="K1729" s="12">
        <f>Combined[[#This Row],[Time Spent]]*24</f>
        <v>3.5999999999999996</v>
      </c>
      <c r="L1729" s="12">
        <f>MROUND(Combined[[#This Row],[Time Spent 2]],0.25)</f>
        <v>3.5</v>
      </c>
      <c r="M1729" s="2" t="s">
        <v>91</v>
      </c>
      <c r="N1729" t="s">
        <v>80</v>
      </c>
      <c r="O1729">
        <f>MATCH(Combined[[#This Row],[Primary Area]],KPIs!$C$4:$C$7,0)</f>
        <v>2</v>
      </c>
    </row>
    <row r="1730" spans="2:15" x14ac:dyDescent="0.35">
      <c r="B1730">
        <f t="shared" si="419"/>
        <v>1728</v>
      </c>
      <c r="C1730" t="s">
        <v>83</v>
      </c>
      <c r="D1730" t="s">
        <v>176</v>
      </c>
      <c r="E1730">
        <f>IF(WEEKNUM(Combined[[#This Row],[Date]], 1) = 53, 1, WEEKNUM(Combined[[#This Row],[Date]], 2))</f>
        <v>20</v>
      </c>
      <c r="F1730" t="str">
        <f t="shared" ref="F1730:F1732" si="423">TEXT(WEEKDAY(G1730,1),"DDDD")</f>
        <v>Tuesday</v>
      </c>
      <c r="G1730" s="41">
        <v>45790</v>
      </c>
      <c r="H1730">
        <v>6</v>
      </c>
      <c r="I1730" s="1">
        <v>73.34</v>
      </c>
      <c r="J1730" s="2">
        <v>0.12430555555555556</v>
      </c>
      <c r="K1730" s="12">
        <f>Combined[[#This Row],[Time Spent]]*24</f>
        <v>2.9833333333333334</v>
      </c>
      <c r="L1730" s="12">
        <f>MROUND(Combined[[#This Row],[Time Spent 2]],0.25)</f>
        <v>3</v>
      </c>
      <c r="M1730" s="2" t="s">
        <v>91</v>
      </c>
      <c r="N1730" t="s">
        <v>80</v>
      </c>
      <c r="O1730">
        <f>MATCH(Combined[[#This Row],[Primary Area]],KPIs!$C$4:$C$7,0)</f>
        <v>2</v>
      </c>
    </row>
    <row r="1731" spans="2:15" x14ac:dyDescent="0.35">
      <c r="B1731">
        <f t="shared" si="419"/>
        <v>1729</v>
      </c>
      <c r="C1731" t="s">
        <v>86</v>
      </c>
      <c r="D1731" t="s">
        <v>176</v>
      </c>
      <c r="E1731">
        <f>IF(WEEKNUM(Combined[[#This Row],[Date]], 1) = 53, 1, WEEKNUM(Combined[[#This Row],[Date]], 2))</f>
        <v>20</v>
      </c>
      <c r="F1731" t="str">
        <f t="shared" si="423"/>
        <v>Tuesday</v>
      </c>
      <c r="G1731" s="41">
        <v>45790</v>
      </c>
      <c r="H1731">
        <v>4</v>
      </c>
      <c r="I1731" s="1">
        <v>32.25</v>
      </c>
      <c r="J1731" s="2">
        <v>8.7499999999999994E-2</v>
      </c>
      <c r="K1731" s="12">
        <f>Combined[[#This Row],[Time Spent]]*24</f>
        <v>2.0999999999999996</v>
      </c>
      <c r="L1731" s="12">
        <f>MROUND(Combined[[#This Row],[Time Spent 2]],0.25)</f>
        <v>2</v>
      </c>
      <c r="M1731" s="2" t="s">
        <v>91</v>
      </c>
      <c r="N1731" t="s">
        <v>80</v>
      </c>
      <c r="O1731">
        <f>MATCH(Combined[[#This Row],[Primary Area]],KPIs!$C$4:$C$7,0)</f>
        <v>2</v>
      </c>
    </row>
    <row r="1732" spans="2:15" x14ac:dyDescent="0.35">
      <c r="B1732">
        <f t="shared" si="419"/>
        <v>1730</v>
      </c>
      <c r="C1732" t="s">
        <v>86</v>
      </c>
      <c r="D1732" t="s">
        <v>176</v>
      </c>
      <c r="E1732">
        <f>IF(WEEKNUM(Combined[[#This Row],[Date]], 1) = 53, 1, WEEKNUM(Combined[[#This Row],[Date]], 2))</f>
        <v>20</v>
      </c>
      <c r="F1732" t="str">
        <f t="shared" si="423"/>
        <v>Tuesday</v>
      </c>
      <c r="G1732" s="41">
        <v>45790</v>
      </c>
      <c r="H1732">
        <v>2</v>
      </c>
      <c r="I1732" s="1">
        <v>14.75</v>
      </c>
      <c r="J1732" s="2">
        <v>6.805555555555555E-2</v>
      </c>
      <c r="K1732" s="12">
        <f>Combined[[#This Row],[Time Spent]]*24</f>
        <v>1.6333333333333333</v>
      </c>
      <c r="L1732" s="12">
        <f>MROUND(Combined[[#This Row],[Time Spent 2]],0.25)</f>
        <v>1.75</v>
      </c>
      <c r="M1732" s="2" t="s">
        <v>92</v>
      </c>
      <c r="N1732" t="s">
        <v>80</v>
      </c>
      <c r="O1732">
        <f>MATCH(Combined[[#This Row],[Primary Area]],KPIs!$C$4:$C$7,0)</f>
        <v>2</v>
      </c>
    </row>
    <row r="1733" spans="2:15" x14ac:dyDescent="0.35">
      <c r="B1733">
        <f t="shared" si="419"/>
        <v>1731</v>
      </c>
      <c r="C1733" t="s">
        <v>83</v>
      </c>
      <c r="D1733" t="s">
        <v>176</v>
      </c>
      <c r="E1733">
        <f>IF(WEEKNUM(Combined[[#This Row],[Date]], 1) = 53, 1, WEEKNUM(Combined[[#This Row],[Date]], 2))</f>
        <v>20</v>
      </c>
      <c r="F1733" t="str">
        <f t="shared" ref="F1733:F1734" si="424">TEXT(WEEKDAY(G1733,1),"DDDD")</f>
        <v>Wednesday</v>
      </c>
      <c r="G1733" s="41">
        <v>45791</v>
      </c>
      <c r="H1733">
        <v>1</v>
      </c>
      <c r="I1733" s="1">
        <v>11.02</v>
      </c>
      <c r="J1733" s="2">
        <v>0.12430555555555556</v>
      </c>
      <c r="K1733" s="12">
        <f>Combined[[#This Row],[Time Spent]]*24</f>
        <v>2.9833333333333334</v>
      </c>
      <c r="L1733" s="12">
        <f>MROUND(Combined[[#This Row],[Time Spent 2]],0.25)</f>
        <v>3</v>
      </c>
      <c r="M1733" s="2" t="s">
        <v>91</v>
      </c>
      <c r="N1733" t="s">
        <v>80</v>
      </c>
      <c r="O1733">
        <f>MATCH(Combined[[#This Row],[Primary Area]],KPIs!$C$4:$C$7,0)</f>
        <v>2</v>
      </c>
    </row>
    <row r="1734" spans="2:15" x14ac:dyDescent="0.35">
      <c r="B1734">
        <f t="shared" si="419"/>
        <v>1732</v>
      </c>
      <c r="C1734" t="s">
        <v>86</v>
      </c>
      <c r="D1734" t="s">
        <v>176</v>
      </c>
      <c r="E1734">
        <f>IF(WEEKNUM(Combined[[#This Row],[Date]], 1) = 53, 1, WEEKNUM(Combined[[#This Row],[Date]], 2))</f>
        <v>20</v>
      </c>
      <c r="F1734" t="str">
        <f t="shared" si="424"/>
        <v>Wednesday</v>
      </c>
      <c r="G1734" s="41">
        <v>45791</v>
      </c>
      <c r="H1734">
        <v>11</v>
      </c>
      <c r="I1734" s="1">
        <v>106</v>
      </c>
      <c r="J1734" s="2">
        <v>0.19930555555555557</v>
      </c>
      <c r="K1734" s="12">
        <f>Combined[[#This Row],[Time Spent]]*24</f>
        <v>4.7833333333333332</v>
      </c>
      <c r="L1734" s="12">
        <f>MROUND(Combined[[#This Row],[Time Spent 2]],0.25)</f>
        <v>4.75</v>
      </c>
      <c r="M1734" s="2" t="s">
        <v>91</v>
      </c>
      <c r="N1734" t="s">
        <v>80</v>
      </c>
      <c r="O1734">
        <f>MATCH(Combined[[#This Row],[Primary Area]],KPIs!$C$4:$C$7,0)</f>
        <v>2</v>
      </c>
    </row>
    <row r="1735" spans="2:15" x14ac:dyDescent="0.35">
      <c r="B1735">
        <f t="shared" si="419"/>
        <v>1733</v>
      </c>
      <c r="C1735" t="s">
        <v>86</v>
      </c>
      <c r="D1735" t="s">
        <v>176</v>
      </c>
      <c r="E1735">
        <f>IF(WEEKNUM(Combined[[#This Row],[Date]], 1) = 53, 1, WEEKNUM(Combined[[#This Row],[Date]], 2))</f>
        <v>20</v>
      </c>
      <c r="F1735" t="str">
        <f>TEXT(WEEKDAY(G1735,1),"DDDD")</f>
        <v>Friday</v>
      </c>
      <c r="G1735" s="41">
        <v>45793</v>
      </c>
      <c r="H1735">
        <v>17</v>
      </c>
      <c r="I1735" s="1">
        <v>151.47</v>
      </c>
      <c r="J1735" s="2">
        <v>0.30763888888888891</v>
      </c>
      <c r="K1735" s="12">
        <f>Combined[[#This Row],[Time Spent]]*24</f>
        <v>7.3833333333333337</v>
      </c>
      <c r="L1735" s="12">
        <f>MROUND(Combined[[#This Row],[Time Spent 2]],0.25)</f>
        <v>7.5</v>
      </c>
      <c r="M1735" s="2" t="s">
        <v>91</v>
      </c>
      <c r="N1735" t="s">
        <v>80</v>
      </c>
      <c r="O1735">
        <f>MATCH(Combined[[#This Row],[Primary Area]],KPIs!$C$4:$C$7,0)</f>
        <v>2</v>
      </c>
    </row>
    <row r="1736" spans="2:15" x14ac:dyDescent="0.35">
      <c r="B1736">
        <f t="shared" si="419"/>
        <v>1734</v>
      </c>
      <c r="C1736" t="s">
        <v>83</v>
      </c>
      <c r="D1736" t="s">
        <v>176</v>
      </c>
      <c r="E1736">
        <f>IF(WEEKNUM(Combined[[#This Row],[Date]], 1) = 53, 1, WEEKNUM(Combined[[#This Row],[Date]], 2))</f>
        <v>20</v>
      </c>
      <c r="F1736" t="str">
        <f t="shared" ref="F1736:F1737" si="425">TEXT(WEEKDAY(G1736,1),"DDDD")</f>
        <v>Saturday</v>
      </c>
      <c r="G1736" s="41">
        <v>45794</v>
      </c>
      <c r="H1736">
        <v>1</v>
      </c>
      <c r="I1736" s="1">
        <v>10.69</v>
      </c>
      <c r="J1736" s="2">
        <v>7.7777777777777779E-2</v>
      </c>
      <c r="K1736" s="12">
        <f>Combined[[#This Row],[Time Spent]]*24</f>
        <v>1.8666666666666667</v>
      </c>
      <c r="L1736" s="12">
        <f>MROUND(Combined[[#This Row],[Time Spent 2]],0.25)</f>
        <v>1.75</v>
      </c>
      <c r="M1736" s="2" t="s">
        <v>91</v>
      </c>
      <c r="N1736" t="s">
        <v>82</v>
      </c>
      <c r="O1736">
        <f>MATCH(Combined[[#This Row],[Primary Area]],KPIs!$C$4:$C$7,0)</f>
        <v>3</v>
      </c>
    </row>
    <row r="1737" spans="2:15" x14ac:dyDescent="0.35">
      <c r="B1737">
        <f t="shared" si="419"/>
        <v>1735</v>
      </c>
      <c r="C1737" t="s">
        <v>86</v>
      </c>
      <c r="D1737" t="s">
        <v>176</v>
      </c>
      <c r="E1737">
        <f>IF(WEEKNUM(Combined[[#This Row],[Date]], 1) = 53, 1, WEEKNUM(Combined[[#This Row],[Date]], 2))</f>
        <v>20</v>
      </c>
      <c r="F1737" t="str">
        <f t="shared" si="425"/>
        <v>Saturday</v>
      </c>
      <c r="G1737" s="41">
        <v>45794</v>
      </c>
      <c r="H1737">
        <v>14</v>
      </c>
      <c r="I1737" s="1">
        <v>124.12</v>
      </c>
      <c r="J1737" s="2">
        <v>0.23055555555555557</v>
      </c>
      <c r="K1737" s="12">
        <f>Combined[[#This Row],[Time Spent]]*24</f>
        <v>5.5333333333333332</v>
      </c>
      <c r="L1737" s="12">
        <f>MROUND(Combined[[#This Row],[Time Spent 2]],0.25)</f>
        <v>5.5</v>
      </c>
      <c r="M1737" s="2" t="s">
        <v>91</v>
      </c>
      <c r="N1737" t="s">
        <v>82</v>
      </c>
      <c r="O1737">
        <f>MATCH(Combined[[#This Row],[Primary Area]],KPIs!$C$4:$C$7,0)</f>
        <v>3</v>
      </c>
    </row>
    <row r="1738" spans="2:15" x14ac:dyDescent="0.35">
      <c r="B1738">
        <f t="shared" si="419"/>
        <v>1736</v>
      </c>
      <c r="C1738" t="s">
        <v>83</v>
      </c>
      <c r="D1738" t="s">
        <v>176</v>
      </c>
      <c r="E1738">
        <f>IF(WEEKNUM(Combined[[#This Row],[Date]], 1) = 53, 1, WEEKNUM(Combined[[#This Row],[Date]], 2))</f>
        <v>21</v>
      </c>
      <c r="F1738" t="str">
        <f t="shared" ref="F1738:F1739" si="426">TEXT(WEEKDAY(G1738,1),"DDDD")</f>
        <v>Tuesday</v>
      </c>
      <c r="G1738" s="41">
        <v>45797</v>
      </c>
      <c r="H1738">
        <v>3</v>
      </c>
      <c r="I1738" s="1">
        <v>53.04</v>
      </c>
      <c r="J1738" s="2">
        <v>0.10208333333333333</v>
      </c>
      <c r="K1738" s="12">
        <f>Combined[[#This Row],[Time Spent]]*24</f>
        <v>2.4500000000000002</v>
      </c>
      <c r="L1738" s="12">
        <f>MROUND(Combined[[#This Row],[Time Spent 2]],0.25)</f>
        <v>2.5</v>
      </c>
      <c r="M1738" s="2" t="s">
        <v>91</v>
      </c>
      <c r="N1738" t="s">
        <v>80</v>
      </c>
      <c r="O1738">
        <f>MATCH(Combined[[#This Row],[Primary Area]],KPIs!$C$4:$C$7,0)</f>
        <v>2</v>
      </c>
    </row>
    <row r="1739" spans="2:15" x14ac:dyDescent="0.35">
      <c r="B1739">
        <f t="shared" si="419"/>
        <v>1737</v>
      </c>
      <c r="C1739" t="s">
        <v>86</v>
      </c>
      <c r="D1739" t="s">
        <v>176</v>
      </c>
      <c r="E1739">
        <f>IF(WEEKNUM(Combined[[#This Row],[Date]], 1) = 53, 1, WEEKNUM(Combined[[#This Row],[Date]], 2))</f>
        <v>21</v>
      </c>
      <c r="F1739" t="str">
        <f t="shared" si="426"/>
        <v>Tuesday</v>
      </c>
      <c r="G1739" s="41">
        <v>45797</v>
      </c>
      <c r="H1739">
        <v>6</v>
      </c>
      <c r="I1739" s="1">
        <f>50+6.12</f>
        <v>56.12</v>
      </c>
      <c r="J1739" s="2">
        <v>0.17986111111111111</v>
      </c>
      <c r="K1739" s="12">
        <f>Combined[[#This Row],[Time Spent]]*24</f>
        <v>4.3166666666666664</v>
      </c>
      <c r="L1739" s="12">
        <f>MROUND(Combined[[#This Row],[Time Spent 2]],0.25)</f>
        <v>4.25</v>
      </c>
      <c r="M1739" s="2" t="s">
        <v>91</v>
      </c>
      <c r="N1739" t="s">
        <v>80</v>
      </c>
      <c r="O1739">
        <f>MATCH(Combined[[#This Row],[Primary Area]],KPIs!$C$4:$C$7,0)</f>
        <v>2</v>
      </c>
    </row>
    <row r="1740" spans="2:15" x14ac:dyDescent="0.35">
      <c r="B1740">
        <f t="shared" si="419"/>
        <v>1738</v>
      </c>
      <c r="C1740" t="s">
        <v>83</v>
      </c>
      <c r="D1740" t="s">
        <v>176</v>
      </c>
      <c r="E1740">
        <f>IF(WEEKNUM(Combined[[#This Row],[Date]], 1) = 53, 1, WEEKNUM(Combined[[#This Row],[Date]], 2))</f>
        <v>21</v>
      </c>
      <c r="F1740" t="str">
        <f t="shared" ref="F1740:F1741" si="427">TEXT(WEEKDAY(G1740,1),"DDDD")</f>
        <v>Wednesday</v>
      </c>
      <c r="G1740" s="41">
        <v>45798</v>
      </c>
      <c r="H1740">
        <v>1</v>
      </c>
      <c r="I1740" s="1">
        <v>16.09</v>
      </c>
      <c r="J1740" s="2">
        <v>0.11527777777777778</v>
      </c>
      <c r="K1740" s="12">
        <f>Combined[[#This Row],[Time Spent]]*24</f>
        <v>2.7666666666666666</v>
      </c>
      <c r="L1740" s="12">
        <f>MROUND(Combined[[#This Row],[Time Spent 2]],0.25)</f>
        <v>2.75</v>
      </c>
      <c r="M1740" s="2" t="s">
        <v>91</v>
      </c>
      <c r="N1740" t="s">
        <v>174</v>
      </c>
      <c r="O1740">
        <f>MATCH(Combined[[#This Row],[Primary Area]],KPIs!$C$4:$C$7,0)</f>
        <v>1</v>
      </c>
    </row>
    <row r="1741" spans="2:15" x14ac:dyDescent="0.35">
      <c r="B1741">
        <f t="shared" si="419"/>
        <v>1739</v>
      </c>
      <c r="C1741" t="s">
        <v>86</v>
      </c>
      <c r="D1741" t="s">
        <v>175</v>
      </c>
      <c r="E1741">
        <f>IF(WEEKNUM(Combined[[#This Row],[Date]], 1) = 53, 1, WEEKNUM(Combined[[#This Row],[Date]], 2))</f>
        <v>21</v>
      </c>
      <c r="F1741" t="str">
        <f t="shared" si="427"/>
        <v>Wednesday</v>
      </c>
      <c r="G1741" s="41">
        <v>45798</v>
      </c>
      <c r="H1741">
        <v>7</v>
      </c>
      <c r="I1741" s="1">
        <v>69.69</v>
      </c>
      <c r="J1741" s="2">
        <v>0.20902777777777778</v>
      </c>
      <c r="K1741" s="12">
        <f>Combined[[#This Row],[Time Spent]]*24</f>
        <v>5.0166666666666666</v>
      </c>
      <c r="L1741" s="12">
        <f>MROUND(Combined[[#This Row],[Time Spent 2]],0.25)</f>
        <v>5</v>
      </c>
      <c r="M1741" s="2" t="s">
        <v>91</v>
      </c>
      <c r="N1741" t="s">
        <v>174</v>
      </c>
      <c r="O1741">
        <f>MATCH(Combined[[#This Row],[Primary Area]],KPIs!$C$4:$C$7,0)</f>
        <v>1</v>
      </c>
    </row>
    <row r="1742" spans="2:15" x14ac:dyDescent="0.35">
      <c r="B1742">
        <f t="shared" si="419"/>
        <v>1740</v>
      </c>
      <c r="C1742" t="s">
        <v>387</v>
      </c>
      <c r="D1742" t="s">
        <v>176</v>
      </c>
      <c r="E1742">
        <f>IF(WEEKNUM(Combined[[#This Row],[Date]], 1) = 53, 1, WEEKNUM(Combined[[#This Row],[Date]], 2))</f>
        <v>21</v>
      </c>
      <c r="F1742" t="str">
        <f t="shared" ref="F1742:F1743" si="428">TEXT(WEEKDAY(G1742,1),"DDDD")</f>
        <v>Thursday</v>
      </c>
      <c r="G1742" s="41">
        <v>45799</v>
      </c>
      <c r="H1742">
        <v>5</v>
      </c>
      <c r="I1742" s="1">
        <v>87.62</v>
      </c>
      <c r="J1742" s="2">
        <v>0.19375000000000001</v>
      </c>
      <c r="K1742" s="12">
        <f>Combined[[#This Row],[Time Spent]]*24</f>
        <v>4.6500000000000004</v>
      </c>
      <c r="L1742" s="12">
        <f>MROUND(Combined[[#This Row],[Time Spent 2]],0.25)</f>
        <v>4.75</v>
      </c>
      <c r="M1742" s="2" t="s">
        <v>91</v>
      </c>
      <c r="N1742" t="s">
        <v>80</v>
      </c>
      <c r="O1742">
        <f>MATCH(Combined[[#This Row],[Primary Area]],KPIs!$C$4:$C$7,0)</f>
        <v>2</v>
      </c>
    </row>
    <row r="1743" spans="2:15" x14ac:dyDescent="0.35">
      <c r="B1743">
        <f t="shared" si="419"/>
        <v>1741</v>
      </c>
      <c r="C1743" t="s">
        <v>86</v>
      </c>
      <c r="D1743" t="s">
        <v>176</v>
      </c>
      <c r="E1743">
        <f>IF(WEEKNUM(Combined[[#This Row],[Date]], 1) = 53, 1, WEEKNUM(Combined[[#This Row],[Date]], 2))</f>
        <v>21</v>
      </c>
      <c r="F1743" t="str">
        <f t="shared" si="428"/>
        <v>Thursday</v>
      </c>
      <c r="G1743" s="41">
        <v>45799</v>
      </c>
      <c r="H1743">
        <v>2</v>
      </c>
      <c r="I1743" s="1">
        <v>32.25</v>
      </c>
      <c r="J1743" s="2">
        <v>7.7777777777777779E-2</v>
      </c>
      <c r="K1743" s="12">
        <f>Combined[[#This Row],[Time Spent]]*24</f>
        <v>1.8666666666666667</v>
      </c>
      <c r="L1743" s="12">
        <f>MROUND(Combined[[#This Row],[Time Spent 2]],0.25)</f>
        <v>1.75</v>
      </c>
      <c r="M1743" s="2" t="s">
        <v>92</v>
      </c>
      <c r="N1743" t="s">
        <v>80</v>
      </c>
      <c r="O1743">
        <f>MATCH(Combined[[#This Row],[Primary Area]],KPIs!$C$4:$C$7,0)</f>
        <v>2</v>
      </c>
    </row>
    <row r="1744" spans="2:15" x14ac:dyDescent="0.35">
      <c r="B1744">
        <f t="shared" si="419"/>
        <v>1742</v>
      </c>
      <c r="C1744" t="s">
        <v>83</v>
      </c>
      <c r="D1744" t="s">
        <v>176</v>
      </c>
      <c r="E1744">
        <f>IF(WEEKNUM(Combined[[#This Row],[Date]], 1) = 53, 1, WEEKNUM(Combined[[#This Row],[Date]], 2))</f>
        <v>22</v>
      </c>
      <c r="F1744" t="str">
        <f t="shared" ref="F1744:F1746" si="429">TEXT(WEEKDAY(G1744,1),"DDDD")</f>
        <v>Monday</v>
      </c>
      <c r="G1744" s="41">
        <v>45803</v>
      </c>
      <c r="H1744">
        <v>4</v>
      </c>
      <c r="I1744" s="1">
        <v>50.05</v>
      </c>
      <c r="J1744" s="2">
        <v>0.13333333333333333</v>
      </c>
      <c r="K1744" s="12">
        <f>Combined[[#This Row],[Time Spent]]*24</f>
        <v>3.2</v>
      </c>
      <c r="L1744" s="12">
        <f>MROUND(Combined[[#This Row],[Time Spent 2]],0.25)</f>
        <v>3.25</v>
      </c>
      <c r="M1744" s="2" t="s">
        <v>91</v>
      </c>
      <c r="N1744" t="s">
        <v>80</v>
      </c>
      <c r="O1744">
        <f>MATCH(Combined[[#This Row],[Primary Area]],KPIs!$C$4:$C$7,0)</f>
        <v>2</v>
      </c>
    </row>
    <row r="1745" spans="2:15" x14ac:dyDescent="0.35">
      <c r="B1745">
        <f t="shared" si="419"/>
        <v>1743</v>
      </c>
      <c r="C1745" t="s">
        <v>86</v>
      </c>
      <c r="D1745" t="s">
        <v>176</v>
      </c>
      <c r="E1745">
        <f>IF(WEEKNUM(Combined[[#This Row],[Date]], 1) = 53, 1, WEEKNUM(Combined[[#This Row],[Date]], 2))</f>
        <v>22</v>
      </c>
      <c r="F1745" t="str">
        <f t="shared" si="429"/>
        <v>Monday</v>
      </c>
      <c r="G1745" s="41">
        <v>45803</v>
      </c>
      <c r="H1745">
        <v>3</v>
      </c>
      <c r="I1745" s="1">
        <v>33.75</v>
      </c>
      <c r="J1745" s="2">
        <v>0.1111111111111111</v>
      </c>
      <c r="K1745" s="12">
        <f>Combined[[#This Row],[Time Spent]]*24</f>
        <v>2.6666666666666665</v>
      </c>
      <c r="L1745" s="12">
        <f>MROUND(Combined[[#This Row],[Time Spent 2]],0.25)</f>
        <v>2.75</v>
      </c>
      <c r="M1745" s="2" t="s">
        <v>90</v>
      </c>
      <c r="N1745" t="s">
        <v>80</v>
      </c>
      <c r="O1745">
        <f>MATCH(Combined[[#This Row],[Primary Area]],KPIs!$C$4:$C$7,0)</f>
        <v>2</v>
      </c>
    </row>
    <row r="1746" spans="2:15" x14ac:dyDescent="0.35">
      <c r="B1746">
        <f t="shared" si="419"/>
        <v>1744</v>
      </c>
      <c r="C1746" t="s">
        <v>86</v>
      </c>
      <c r="D1746" t="s">
        <v>176</v>
      </c>
      <c r="E1746">
        <f>IF(WEEKNUM(Combined[[#This Row],[Date]], 1) = 53, 1, WEEKNUM(Combined[[#This Row],[Date]], 2))</f>
        <v>22</v>
      </c>
      <c r="F1746" t="str">
        <f t="shared" si="429"/>
        <v>Monday</v>
      </c>
      <c r="G1746" s="41">
        <v>45803</v>
      </c>
      <c r="H1746">
        <v>3</v>
      </c>
      <c r="I1746" s="1">
        <v>34.25</v>
      </c>
      <c r="J1746" s="2">
        <v>0.14791666666666667</v>
      </c>
      <c r="K1746" s="12">
        <f>Combined[[#This Row],[Time Spent]]*24</f>
        <v>3.55</v>
      </c>
      <c r="L1746" s="12">
        <f>MROUND(Combined[[#This Row],[Time Spent 2]],0.25)</f>
        <v>3.5</v>
      </c>
      <c r="M1746" s="2" t="s">
        <v>92</v>
      </c>
      <c r="N1746" t="s">
        <v>80</v>
      </c>
      <c r="O1746">
        <f>MATCH(Combined[[#This Row],[Primary Area]],KPIs!$C$4:$C$7,0)</f>
        <v>2</v>
      </c>
    </row>
    <row r="1747" spans="2:15" x14ac:dyDescent="0.35">
      <c r="B1747">
        <f t="shared" si="419"/>
        <v>1745</v>
      </c>
      <c r="C1747" t="s">
        <v>83</v>
      </c>
      <c r="D1747" t="s">
        <v>176</v>
      </c>
      <c r="E1747">
        <f>IF(WEEKNUM(Combined[[#This Row],[Date]], 1) = 53, 1, WEEKNUM(Combined[[#This Row],[Date]], 2))</f>
        <v>22</v>
      </c>
      <c r="F1747" t="str">
        <f t="shared" ref="F1747:F1748" si="430">TEXT(WEEKDAY(G1747,1),"DDDD")</f>
        <v>Tuesday</v>
      </c>
      <c r="G1747" s="41">
        <v>45804</v>
      </c>
      <c r="H1747">
        <v>5</v>
      </c>
      <c r="I1747" s="1">
        <v>91.43</v>
      </c>
      <c r="J1747" s="2">
        <v>0.18958333333333333</v>
      </c>
      <c r="K1747" s="12">
        <f>Combined[[#This Row],[Time Spent]]*24</f>
        <v>4.55</v>
      </c>
      <c r="L1747" s="12">
        <f>MROUND(Combined[[#This Row],[Time Spent 2]],0.25)</f>
        <v>4.5</v>
      </c>
      <c r="M1747" s="2" t="s">
        <v>91</v>
      </c>
      <c r="N1747" t="s">
        <v>80</v>
      </c>
      <c r="O1747">
        <f>MATCH(Combined[[#This Row],[Primary Area]],KPIs!$C$4:$C$7,0)</f>
        <v>2</v>
      </c>
    </row>
    <row r="1748" spans="2:15" x14ac:dyDescent="0.35">
      <c r="B1748">
        <f t="shared" si="419"/>
        <v>1746</v>
      </c>
      <c r="C1748" t="s">
        <v>86</v>
      </c>
      <c r="D1748" t="s">
        <v>176</v>
      </c>
      <c r="E1748">
        <f>IF(WEEKNUM(Combined[[#This Row],[Date]], 1) = 53, 1, WEEKNUM(Combined[[#This Row],[Date]], 2))</f>
        <v>22</v>
      </c>
      <c r="F1748" t="str">
        <f t="shared" si="430"/>
        <v>Tuesday</v>
      </c>
      <c r="G1748" s="41">
        <v>45804</v>
      </c>
      <c r="H1748">
        <v>2</v>
      </c>
      <c r="I1748" s="1">
        <v>11.5</v>
      </c>
      <c r="J1748" s="2">
        <v>0.1</v>
      </c>
      <c r="K1748" s="12">
        <f>Combined[[#This Row],[Time Spent]]*24</f>
        <v>2.4000000000000004</v>
      </c>
      <c r="L1748" s="12">
        <f>MROUND(Combined[[#This Row],[Time Spent 2]],0.25)</f>
        <v>2.5</v>
      </c>
      <c r="M1748" s="2" t="s">
        <v>92</v>
      </c>
      <c r="N1748" t="s">
        <v>80</v>
      </c>
      <c r="O1748">
        <f>MATCH(Combined[[#This Row],[Primary Area]],KPIs!$C$4:$C$7,0)</f>
        <v>2</v>
      </c>
    </row>
    <row r="1749" spans="2:15" x14ac:dyDescent="0.35">
      <c r="B1749">
        <f t="shared" si="419"/>
        <v>1747</v>
      </c>
      <c r="C1749" t="s">
        <v>83</v>
      </c>
      <c r="D1749" t="s">
        <v>176</v>
      </c>
      <c r="E1749">
        <f>IF(WEEKNUM(Combined[[#This Row],[Date]], 1) = 53, 1, WEEKNUM(Combined[[#This Row],[Date]], 2))</f>
        <v>22</v>
      </c>
      <c r="F1749" t="str">
        <f t="shared" ref="F1749:F1750" si="431">TEXT(WEEKDAY(G1749,1),"DDDD")</f>
        <v>Wednesday</v>
      </c>
      <c r="G1749" s="41">
        <v>45805</v>
      </c>
      <c r="H1749">
        <v>3</v>
      </c>
      <c r="I1749" s="1">
        <v>67.23</v>
      </c>
      <c r="J1749" s="2">
        <v>0.13541666666666666</v>
      </c>
      <c r="K1749" s="12">
        <f>Combined[[#This Row],[Time Spent]]*24</f>
        <v>3.25</v>
      </c>
      <c r="L1749" s="12">
        <f>MROUND(Combined[[#This Row],[Time Spent 2]],0.25)</f>
        <v>3.25</v>
      </c>
      <c r="M1749" s="2" t="s">
        <v>91</v>
      </c>
      <c r="N1749" t="s">
        <v>85</v>
      </c>
      <c r="O1749">
        <f>MATCH(Combined[[#This Row],[Primary Area]],KPIs!$C$4:$C$7,0)</f>
        <v>4</v>
      </c>
    </row>
    <row r="1750" spans="2:15" x14ac:dyDescent="0.35">
      <c r="B1750">
        <f t="shared" si="419"/>
        <v>1748</v>
      </c>
      <c r="C1750" t="s">
        <v>86</v>
      </c>
      <c r="D1750" t="s">
        <v>176</v>
      </c>
      <c r="E1750">
        <f>IF(WEEKNUM(Combined[[#This Row],[Date]], 1) = 53, 1, WEEKNUM(Combined[[#This Row],[Date]], 2))</f>
        <v>22</v>
      </c>
      <c r="F1750" t="str">
        <f t="shared" si="431"/>
        <v>Wednesday</v>
      </c>
      <c r="G1750" s="41">
        <v>45805</v>
      </c>
      <c r="H1750">
        <v>8</v>
      </c>
      <c r="I1750" s="1">
        <v>67</v>
      </c>
      <c r="J1750" s="2">
        <v>0.11944444444444445</v>
      </c>
      <c r="K1750" s="12">
        <f>Combined[[#This Row],[Time Spent]]*24</f>
        <v>2.8666666666666667</v>
      </c>
      <c r="L1750" s="12">
        <f>MROUND(Combined[[#This Row],[Time Spent 2]],0.25)</f>
        <v>2.75</v>
      </c>
      <c r="M1750" s="2" t="s">
        <v>91</v>
      </c>
      <c r="N1750" t="s">
        <v>85</v>
      </c>
      <c r="O1750">
        <f>MATCH(Combined[[#This Row],[Primary Area]],KPIs!$C$4:$C$7,0)</f>
        <v>4</v>
      </c>
    </row>
    <row r="1751" spans="2:15" x14ac:dyDescent="0.35">
      <c r="B1751">
        <f t="shared" si="419"/>
        <v>1749</v>
      </c>
      <c r="C1751" t="s">
        <v>86</v>
      </c>
      <c r="D1751" t="s">
        <v>176</v>
      </c>
      <c r="E1751">
        <f>IF(WEEKNUM(Combined[[#This Row],[Date]], 1) = 53, 1, WEEKNUM(Combined[[#This Row],[Date]], 2))</f>
        <v>22</v>
      </c>
      <c r="F1751" t="str">
        <f t="shared" ref="F1751" si="432">TEXT(WEEKDAY(G1751,1),"DDDD")</f>
        <v>Thursday</v>
      </c>
      <c r="G1751" s="41">
        <v>45806</v>
      </c>
      <c r="H1751">
        <v>7</v>
      </c>
      <c r="I1751" s="1">
        <v>94.79</v>
      </c>
      <c r="J1751" s="2">
        <v>0.20833333333333334</v>
      </c>
      <c r="K1751" s="12">
        <f>Combined[[#This Row],[Time Spent]]*24</f>
        <v>5</v>
      </c>
      <c r="L1751" s="12">
        <f>MROUND(Combined[[#This Row],[Time Spent 2]],0.25)</f>
        <v>5</v>
      </c>
      <c r="M1751" s="2" t="s">
        <v>91</v>
      </c>
      <c r="N1751" t="s">
        <v>80</v>
      </c>
      <c r="O1751">
        <f>MATCH(Combined[[#This Row],[Primary Area]],KPIs!$C$4:$C$7,0)</f>
        <v>2</v>
      </c>
    </row>
    <row r="1752" spans="2:15" x14ac:dyDescent="0.35">
      <c r="B1752">
        <f t="shared" si="419"/>
        <v>1750</v>
      </c>
      <c r="C1752" t="s">
        <v>83</v>
      </c>
      <c r="D1752" t="s">
        <v>176</v>
      </c>
      <c r="E1752">
        <f>IF(WEEKNUM(Combined[[#This Row],[Date]], 1) = 53, 1, WEEKNUM(Combined[[#This Row],[Date]], 2))</f>
        <v>22</v>
      </c>
      <c r="F1752" t="str">
        <f t="shared" ref="F1752:F1753" si="433">TEXT(WEEKDAY(G1752,1),"DDDD")</f>
        <v>Friday</v>
      </c>
      <c r="G1752" s="41">
        <v>45807</v>
      </c>
      <c r="H1752">
        <v>4</v>
      </c>
      <c r="I1752" s="1">
        <v>57.58</v>
      </c>
      <c r="J1752" s="2">
        <v>7.3611111111111113E-2</v>
      </c>
      <c r="K1752" s="12">
        <f>Combined[[#This Row],[Time Spent]]*24</f>
        <v>1.7666666666666666</v>
      </c>
      <c r="L1752" s="12">
        <f>MROUND(Combined[[#This Row],[Time Spent 2]],0.25)</f>
        <v>1.75</v>
      </c>
      <c r="M1752" s="2" t="s">
        <v>91</v>
      </c>
      <c r="N1752" t="s">
        <v>80</v>
      </c>
      <c r="O1752">
        <f>MATCH(Combined[[#This Row],[Primary Area]],KPIs!$C$4:$C$7,0)</f>
        <v>2</v>
      </c>
    </row>
    <row r="1753" spans="2:15" x14ac:dyDescent="0.35">
      <c r="B1753">
        <f t="shared" si="419"/>
        <v>1751</v>
      </c>
      <c r="C1753" t="s">
        <v>86</v>
      </c>
      <c r="D1753" t="s">
        <v>176</v>
      </c>
      <c r="E1753">
        <f>IF(WEEKNUM(Combined[[#This Row],[Date]], 1) = 53, 1, WEEKNUM(Combined[[#This Row],[Date]], 2))</f>
        <v>22</v>
      </c>
      <c r="F1753" t="str">
        <f t="shared" si="433"/>
        <v>Friday</v>
      </c>
      <c r="G1753" s="41">
        <v>45807</v>
      </c>
      <c r="H1753">
        <v>10</v>
      </c>
      <c r="I1753" s="1">
        <v>86.76</v>
      </c>
      <c r="J1753" s="2">
        <v>0.2902777777777778</v>
      </c>
      <c r="K1753" s="12">
        <f>Combined[[#This Row],[Time Spent]]*24</f>
        <v>6.9666666666666668</v>
      </c>
      <c r="L1753" s="12">
        <f>MROUND(Combined[[#This Row],[Time Spent 2]],0.25)</f>
        <v>7</v>
      </c>
      <c r="M1753" s="2" t="s">
        <v>91</v>
      </c>
      <c r="N1753" t="s">
        <v>80</v>
      </c>
      <c r="O1753">
        <f>MATCH(Combined[[#This Row],[Primary Area]],KPIs!$C$4:$C$7,0)</f>
        <v>2</v>
      </c>
    </row>
    <row r="1754" spans="2:15" x14ac:dyDescent="0.35">
      <c r="B1754">
        <f t="shared" si="419"/>
        <v>1752</v>
      </c>
      <c r="C1754" t="s">
        <v>83</v>
      </c>
      <c r="D1754" t="s">
        <v>176</v>
      </c>
      <c r="E1754">
        <f>IF(WEEKNUM(Combined[[#This Row],[Date]], 1) = 53, 1, WEEKNUM(Combined[[#This Row],[Date]], 2))</f>
        <v>22</v>
      </c>
      <c r="F1754" t="str">
        <f t="shared" ref="F1754:F1756" si="434">TEXT(WEEKDAY(G1754,1),"DDDD")</f>
        <v>Sunday</v>
      </c>
      <c r="G1754" s="41">
        <v>45809</v>
      </c>
      <c r="H1754">
        <v>1</v>
      </c>
      <c r="I1754" s="1">
        <v>12.01</v>
      </c>
      <c r="J1754" s="2">
        <v>5.9722222222222225E-2</v>
      </c>
      <c r="K1754" s="12">
        <f>Combined[[#This Row],[Time Spent]]*24</f>
        <v>1.4333333333333333</v>
      </c>
      <c r="L1754" s="12">
        <f>MROUND(Combined[[#This Row],[Time Spent 2]],0.25)</f>
        <v>1.5</v>
      </c>
      <c r="M1754" s="2" t="s">
        <v>91</v>
      </c>
      <c r="N1754" t="s">
        <v>80</v>
      </c>
      <c r="O1754">
        <f>MATCH(Combined[[#This Row],[Primary Area]],KPIs!$C$4:$C$7,0)</f>
        <v>2</v>
      </c>
    </row>
    <row r="1755" spans="2:15" x14ac:dyDescent="0.35">
      <c r="B1755">
        <f t="shared" si="419"/>
        <v>1753</v>
      </c>
      <c r="C1755" t="s">
        <v>86</v>
      </c>
      <c r="D1755" t="s">
        <v>176</v>
      </c>
      <c r="E1755">
        <f>IF(WEEKNUM(Combined[[#This Row],[Date]], 1) = 53, 1, WEEKNUM(Combined[[#This Row],[Date]], 2))</f>
        <v>22</v>
      </c>
      <c r="F1755" t="str">
        <f t="shared" si="434"/>
        <v>Sunday</v>
      </c>
      <c r="G1755" s="41">
        <v>45809</v>
      </c>
      <c r="H1755">
        <v>2</v>
      </c>
      <c r="I1755" s="1">
        <v>20.75</v>
      </c>
      <c r="J1755" s="2">
        <v>6.9444444444444448E-2</v>
      </c>
      <c r="K1755" s="12">
        <f>Combined[[#This Row],[Time Spent]]*24</f>
        <v>1.6666666666666667</v>
      </c>
      <c r="L1755" s="12">
        <f>MROUND(Combined[[#This Row],[Time Spent 2]],0.25)</f>
        <v>1.75</v>
      </c>
      <c r="M1755" s="2" t="s">
        <v>91</v>
      </c>
      <c r="N1755" t="s">
        <v>80</v>
      </c>
      <c r="O1755">
        <f>MATCH(Combined[[#This Row],[Primary Area]],KPIs!$C$4:$C$7,0)</f>
        <v>2</v>
      </c>
    </row>
    <row r="1756" spans="2:15" x14ac:dyDescent="0.35">
      <c r="B1756">
        <f t="shared" si="419"/>
        <v>1754</v>
      </c>
      <c r="C1756" t="s">
        <v>86</v>
      </c>
      <c r="D1756" t="s">
        <v>175</v>
      </c>
      <c r="E1756">
        <f>IF(WEEKNUM(Combined[[#This Row],[Date]], 1) = 53, 1, WEEKNUM(Combined[[#This Row],[Date]], 2))</f>
        <v>22</v>
      </c>
      <c r="F1756" t="str">
        <f t="shared" si="434"/>
        <v>Sunday</v>
      </c>
      <c r="G1756" s="41">
        <v>45809</v>
      </c>
      <c r="H1756">
        <v>6</v>
      </c>
      <c r="I1756" s="1">
        <v>34.409999999999997</v>
      </c>
      <c r="J1756" s="2">
        <v>7.3611111111111113E-2</v>
      </c>
      <c r="K1756" s="12">
        <f>Combined[[#This Row],[Time Spent]]*24</f>
        <v>1.7666666666666666</v>
      </c>
      <c r="L1756" s="12">
        <f>MROUND(Combined[[#This Row],[Time Spent 2]],0.25)</f>
        <v>1.75</v>
      </c>
      <c r="M1756" s="2" t="s">
        <v>91</v>
      </c>
      <c r="N1756" t="s">
        <v>80</v>
      </c>
      <c r="O1756">
        <f>MATCH(Combined[[#This Row],[Primary Area]],KPIs!$C$4:$C$7,0)</f>
        <v>2</v>
      </c>
    </row>
    <row r="1757" spans="2:15" x14ac:dyDescent="0.35">
      <c r="B1757">
        <f t="shared" si="419"/>
        <v>1755</v>
      </c>
      <c r="C1757" t="s">
        <v>86</v>
      </c>
      <c r="D1757" t="s">
        <v>175</v>
      </c>
      <c r="E1757">
        <f>IF(WEEKNUM(Combined[[#This Row],[Date]], 1) = 53, 1, WEEKNUM(Combined[[#This Row],[Date]], 2))</f>
        <v>23</v>
      </c>
      <c r="F1757" t="str">
        <f>TEXT(WEEKDAY(G1757,1),"DDDD")</f>
        <v>Monday</v>
      </c>
      <c r="G1757" s="41">
        <v>45810</v>
      </c>
      <c r="H1757">
        <v>7</v>
      </c>
      <c r="I1757" s="1">
        <v>101.22</v>
      </c>
      <c r="J1757" s="2">
        <v>0.1736111111111111</v>
      </c>
      <c r="K1757" s="12">
        <f>Combined[[#This Row],[Time Spent]]*24</f>
        <v>4.1666666666666661</v>
      </c>
      <c r="L1757" s="12">
        <f>MROUND(Combined[[#This Row],[Time Spent 2]],0.25)</f>
        <v>4.25</v>
      </c>
      <c r="M1757" s="2" t="s">
        <v>91</v>
      </c>
      <c r="N1757" t="s">
        <v>80</v>
      </c>
      <c r="O1757">
        <f>MATCH(Combined[[#This Row],[Primary Area]],KPIs!$C$4:$C$7,0)</f>
        <v>2</v>
      </c>
    </row>
    <row r="1758" spans="2:15" x14ac:dyDescent="0.35">
      <c r="B1758">
        <f t="shared" si="419"/>
        <v>1756</v>
      </c>
      <c r="C1758" t="s">
        <v>83</v>
      </c>
      <c r="D1758" t="s">
        <v>176</v>
      </c>
      <c r="E1758">
        <f>IF(WEEKNUM(Combined[[#This Row],[Date]], 1) = 53, 1, WEEKNUM(Combined[[#This Row],[Date]], 2))</f>
        <v>23</v>
      </c>
      <c r="F1758" t="str">
        <f t="shared" ref="F1758:F1759" si="435">TEXT(WEEKDAY(G1758,1),"DDDD")</f>
        <v>Tuesday</v>
      </c>
      <c r="G1758" s="41">
        <v>45811</v>
      </c>
      <c r="H1758">
        <v>2</v>
      </c>
      <c r="I1758" s="1">
        <v>35.04</v>
      </c>
      <c r="J1758" s="2">
        <v>0.1076388888888889</v>
      </c>
      <c r="K1758" s="12">
        <f>Combined[[#This Row],[Time Spent]]*24</f>
        <v>2.5833333333333335</v>
      </c>
      <c r="L1758" s="12">
        <f>MROUND(Combined[[#This Row],[Time Spent 2]],0.25)</f>
        <v>2.5</v>
      </c>
      <c r="M1758" s="2" t="s">
        <v>91</v>
      </c>
      <c r="N1758" t="s">
        <v>80</v>
      </c>
      <c r="O1758">
        <f>MATCH(Combined[[#This Row],[Primary Area]],KPIs!$C$4:$C$7,0)</f>
        <v>2</v>
      </c>
    </row>
    <row r="1759" spans="2:15" x14ac:dyDescent="0.35">
      <c r="B1759">
        <f t="shared" si="419"/>
        <v>1757</v>
      </c>
      <c r="C1759" t="s">
        <v>86</v>
      </c>
      <c r="D1759" t="s">
        <v>175</v>
      </c>
      <c r="E1759">
        <f>IF(WEEKNUM(Combined[[#This Row],[Date]], 1) = 53, 1, WEEKNUM(Combined[[#This Row],[Date]], 2))</f>
        <v>23</v>
      </c>
      <c r="F1759" t="str">
        <f t="shared" si="435"/>
        <v>Tuesday</v>
      </c>
      <c r="G1759" s="41">
        <v>45811</v>
      </c>
      <c r="H1759">
        <v>5</v>
      </c>
      <c r="I1759" s="1">
        <v>79.17</v>
      </c>
      <c r="J1759" s="2">
        <v>0.19791666666666666</v>
      </c>
      <c r="K1759" s="12">
        <f>Combined[[#This Row],[Time Spent]]*24</f>
        <v>4.75</v>
      </c>
      <c r="L1759" s="12">
        <f>MROUND(Combined[[#This Row],[Time Spent 2]],0.25)</f>
        <v>4.75</v>
      </c>
      <c r="M1759" s="2" t="s">
        <v>91</v>
      </c>
      <c r="N1759" t="s">
        <v>80</v>
      </c>
      <c r="O1759">
        <f>MATCH(Combined[[#This Row],[Primary Area]],KPIs!$C$4:$C$7,0)</f>
        <v>2</v>
      </c>
    </row>
    <row r="1760" spans="2:15" x14ac:dyDescent="0.35">
      <c r="B1760">
        <f t="shared" si="419"/>
        <v>1758</v>
      </c>
      <c r="C1760" t="s">
        <v>83</v>
      </c>
      <c r="D1760" t="s">
        <v>176</v>
      </c>
      <c r="E1760">
        <f>IF(WEEKNUM(Combined[[#This Row],[Date]], 1) = 53, 1, WEEKNUM(Combined[[#This Row],[Date]], 2))</f>
        <v>23</v>
      </c>
      <c r="F1760" t="str">
        <f t="shared" ref="F1760:F1761" si="436">TEXT(WEEKDAY(G1760,1),"DDDD")</f>
        <v>Wednesday</v>
      </c>
      <c r="G1760" s="41">
        <v>45812</v>
      </c>
      <c r="H1760">
        <v>1</v>
      </c>
      <c r="I1760" s="1">
        <v>18.59</v>
      </c>
      <c r="J1760" s="2">
        <v>5.6944444444444443E-2</v>
      </c>
      <c r="K1760" s="12">
        <f>Combined[[#This Row],[Time Spent]]*24</f>
        <v>1.3666666666666667</v>
      </c>
      <c r="L1760" s="12">
        <f>MROUND(Combined[[#This Row],[Time Spent 2]],0.25)</f>
        <v>1.25</v>
      </c>
      <c r="M1760" s="2" t="s">
        <v>92</v>
      </c>
      <c r="N1760" t="s">
        <v>82</v>
      </c>
      <c r="O1760">
        <f>MATCH(Combined[[#This Row],[Primary Area]],KPIs!$C$4:$C$7,0)</f>
        <v>3</v>
      </c>
    </row>
    <row r="1761" spans="2:15" x14ac:dyDescent="0.35">
      <c r="B1761">
        <f t="shared" si="419"/>
        <v>1759</v>
      </c>
      <c r="C1761" t="s">
        <v>86</v>
      </c>
      <c r="D1761" t="s">
        <v>176</v>
      </c>
      <c r="E1761">
        <f>IF(WEEKNUM(Combined[[#This Row],[Date]], 1) = 53, 1, WEEKNUM(Combined[[#This Row],[Date]], 2))</f>
        <v>23</v>
      </c>
      <c r="F1761" t="str">
        <f t="shared" si="436"/>
        <v>Wednesday</v>
      </c>
      <c r="G1761" s="41">
        <v>45812</v>
      </c>
      <c r="H1761">
        <v>11</v>
      </c>
      <c r="I1761" s="1">
        <v>91</v>
      </c>
      <c r="J1761" s="2">
        <v>0.2013888888888889</v>
      </c>
      <c r="K1761" s="12">
        <f>Combined[[#This Row],[Time Spent]]*24</f>
        <v>4.8333333333333339</v>
      </c>
      <c r="L1761" s="12">
        <f>MROUND(Combined[[#This Row],[Time Spent 2]],0.25)</f>
        <v>4.75</v>
      </c>
      <c r="M1761" s="2" t="s">
        <v>91</v>
      </c>
      <c r="N1761" t="s">
        <v>82</v>
      </c>
      <c r="O1761">
        <f>MATCH(Combined[[#This Row],[Primary Area]],KPIs!$C$4:$C$7,0)</f>
        <v>3</v>
      </c>
    </row>
    <row r="1762" spans="2:15" x14ac:dyDescent="0.35">
      <c r="B1762">
        <f t="shared" si="419"/>
        <v>1760</v>
      </c>
      <c r="C1762" t="s">
        <v>83</v>
      </c>
      <c r="D1762" t="s">
        <v>176</v>
      </c>
      <c r="E1762">
        <f>IF(WEEKNUM(Combined[[#This Row],[Date]], 1) = 53, 1, WEEKNUM(Combined[[#This Row],[Date]], 2))</f>
        <v>23</v>
      </c>
      <c r="F1762" t="str">
        <f t="shared" ref="F1762:F1763" si="437">TEXT(WEEKDAY(G1762,1),"DDDD")</f>
        <v>Friday</v>
      </c>
      <c r="G1762" s="41">
        <v>45814</v>
      </c>
      <c r="H1762">
        <v>2</v>
      </c>
      <c r="I1762" s="1">
        <v>23.07</v>
      </c>
      <c r="J1762" s="2">
        <v>4.6527777777777779E-2</v>
      </c>
      <c r="K1762" s="12">
        <f>Combined[[#This Row],[Time Spent]]*24</f>
        <v>1.1166666666666667</v>
      </c>
      <c r="L1762" s="12">
        <f>MROUND(Combined[[#This Row],[Time Spent 2]],0.25)</f>
        <v>1</v>
      </c>
      <c r="M1762" s="2" t="s">
        <v>91</v>
      </c>
      <c r="N1762" t="s">
        <v>82</v>
      </c>
      <c r="O1762">
        <f>MATCH(Combined[[#This Row],[Primary Area]],KPIs!$C$4:$C$7,0)</f>
        <v>3</v>
      </c>
    </row>
    <row r="1763" spans="2:15" x14ac:dyDescent="0.35">
      <c r="B1763">
        <f t="shared" si="419"/>
        <v>1761</v>
      </c>
      <c r="C1763" t="s">
        <v>86</v>
      </c>
      <c r="D1763" t="s">
        <v>176</v>
      </c>
      <c r="E1763">
        <f>IF(WEEKNUM(Combined[[#This Row],[Date]], 1) = 53, 1, WEEKNUM(Combined[[#This Row],[Date]], 2))</f>
        <v>23</v>
      </c>
      <c r="F1763" t="str">
        <f t="shared" si="437"/>
        <v>Friday</v>
      </c>
      <c r="G1763" s="41">
        <v>45814</v>
      </c>
      <c r="H1763">
        <v>12</v>
      </c>
      <c r="I1763" s="1">
        <v>67.25</v>
      </c>
      <c r="J1763" s="2">
        <v>0.20624999999999999</v>
      </c>
      <c r="K1763" s="12">
        <f>Combined[[#This Row],[Time Spent]]*24</f>
        <v>4.9499999999999993</v>
      </c>
      <c r="L1763" s="12">
        <f>MROUND(Combined[[#This Row],[Time Spent 2]],0.25)</f>
        <v>5</v>
      </c>
      <c r="M1763" s="2" t="s">
        <v>91</v>
      </c>
      <c r="N1763" t="s">
        <v>82</v>
      </c>
      <c r="O1763">
        <f>MATCH(Combined[[#This Row],[Primary Area]],KPIs!$C$4:$C$7,0)</f>
        <v>3</v>
      </c>
    </row>
    <row r="1764" spans="2:15" x14ac:dyDescent="0.35">
      <c r="B1764">
        <f t="shared" si="419"/>
        <v>1762</v>
      </c>
      <c r="C1764" t="s">
        <v>83</v>
      </c>
      <c r="D1764" t="s">
        <v>176</v>
      </c>
      <c r="E1764">
        <f>IF(WEEKNUM(Combined[[#This Row],[Date]], 1) = 53, 1, WEEKNUM(Combined[[#This Row],[Date]], 2))</f>
        <v>23</v>
      </c>
      <c r="F1764" t="str">
        <f t="shared" ref="F1764:F1765" si="438">TEXT(WEEKDAY(G1764,1),"DDDD")</f>
        <v>Saturday</v>
      </c>
      <c r="G1764" s="41">
        <v>45815</v>
      </c>
      <c r="H1764">
        <v>5</v>
      </c>
      <c r="I1764" s="1">
        <v>59.29</v>
      </c>
      <c r="J1764" s="2">
        <v>0.14652777777777778</v>
      </c>
      <c r="K1764" s="12">
        <f>Combined[[#This Row],[Time Spent]]*24</f>
        <v>3.5166666666666666</v>
      </c>
      <c r="L1764" s="12">
        <f>MROUND(Combined[[#This Row],[Time Spent 2]],0.25)</f>
        <v>3.5</v>
      </c>
      <c r="M1764" s="2" t="s">
        <v>90</v>
      </c>
      <c r="N1764" t="s">
        <v>80</v>
      </c>
      <c r="O1764">
        <f>MATCH(Combined[[#This Row],[Primary Area]],KPIs!$C$4:$C$7,0)</f>
        <v>2</v>
      </c>
    </row>
    <row r="1765" spans="2:15" x14ac:dyDescent="0.35">
      <c r="B1765">
        <f t="shared" si="419"/>
        <v>1763</v>
      </c>
      <c r="C1765" t="s">
        <v>86</v>
      </c>
      <c r="D1765" t="s">
        <v>176</v>
      </c>
      <c r="E1765">
        <f>IF(WEEKNUM(Combined[[#This Row],[Date]], 1) = 53, 1, WEEKNUM(Combined[[#This Row],[Date]], 2))</f>
        <v>23</v>
      </c>
      <c r="F1765" t="str">
        <f t="shared" si="438"/>
        <v>Saturday</v>
      </c>
      <c r="G1765" s="41">
        <v>45815</v>
      </c>
      <c r="H1765">
        <v>8</v>
      </c>
      <c r="I1765" s="1">
        <v>78.64</v>
      </c>
      <c r="J1765" s="2">
        <v>0.24722222222222223</v>
      </c>
      <c r="K1765" s="12">
        <f>Combined[[#This Row],[Time Spent]]*24</f>
        <v>5.9333333333333336</v>
      </c>
      <c r="L1765" s="12">
        <f>MROUND(Combined[[#This Row],[Time Spent 2]],0.25)</f>
        <v>6</v>
      </c>
      <c r="M1765" s="2" t="s">
        <v>90</v>
      </c>
      <c r="N1765" t="s">
        <v>80</v>
      </c>
      <c r="O1765">
        <f>MATCH(Combined[[#This Row],[Primary Area]],KPIs!$C$4:$C$7,0)</f>
        <v>2</v>
      </c>
    </row>
    <row r="1766" spans="2:15" x14ac:dyDescent="0.35">
      <c r="B1766">
        <f>ROW()-2</f>
        <v>1764</v>
      </c>
      <c r="C1766" t="s">
        <v>86</v>
      </c>
      <c r="D1766" t="s">
        <v>176</v>
      </c>
      <c r="E1766">
        <f>IF(WEEKNUM(Combined[[#This Row],[Date]], 1) = 53, 1, WEEKNUM(Combined[[#This Row],[Date]], 2))</f>
        <v>24</v>
      </c>
      <c r="F1766" t="str">
        <f t="shared" ref="F1766" si="439">TEXT(WEEKDAY(G1766,1),"DDDD")</f>
        <v>Monday</v>
      </c>
      <c r="G1766" s="41">
        <v>45817</v>
      </c>
      <c r="H1766">
        <v>15</v>
      </c>
      <c r="I1766" s="1">
        <f>117.51+5</f>
        <v>122.51</v>
      </c>
      <c r="J1766" s="2">
        <v>0.25208333333333333</v>
      </c>
      <c r="K1766" s="12">
        <f>Combined[[#This Row],[Time Spent]]*24</f>
        <v>6.05</v>
      </c>
      <c r="L1766" s="12">
        <f>MROUND(Combined[[#This Row],[Time Spent 2]],0.25)</f>
        <v>6</v>
      </c>
      <c r="M1766" s="2" t="s">
        <v>91</v>
      </c>
      <c r="N1766" t="s">
        <v>82</v>
      </c>
      <c r="O1766">
        <f>MATCH(Combined[[#This Row],[Primary Area]],KPIs!$C$4:$C$7,0)</f>
        <v>3</v>
      </c>
    </row>
    <row r="1767" spans="2:15" x14ac:dyDescent="0.35">
      <c r="B1767">
        <f t="shared" si="419"/>
        <v>1765</v>
      </c>
      <c r="C1767" t="s">
        <v>83</v>
      </c>
      <c r="D1767" t="s">
        <v>176</v>
      </c>
      <c r="E1767">
        <f>IF(WEEKNUM(Combined[[#This Row],[Date]], 1) = 53, 1, WEEKNUM(Combined[[#This Row],[Date]], 2))</f>
        <v>24</v>
      </c>
      <c r="F1767" t="str">
        <f t="shared" ref="F1767:F1768" si="440">TEXT(WEEKDAY(G1767,1),"DDDD")</f>
        <v>Tuesday</v>
      </c>
      <c r="G1767" s="41">
        <v>45818</v>
      </c>
      <c r="H1767">
        <v>6</v>
      </c>
      <c r="I1767" s="1">
        <v>76.64</v>
      </c>
      <c r="J1767" s="2">
        <v>0.13819444444444445</v>
      </c>
      <c r="K1767" s="12">
        <f>Combined[[#This Row],[Time Spent]]*24</f>
        <v>3.3166666666666669</v>
      </c>
      <c r="L1767" s="12">
        <f>MROUND(Combined[[#This Row],[Time Spent 2]],0.25)</f>
        <v>3.25</v>
      </c>
      <c r="M1767" s="2" t="s">
        <v>91</v>
      </c>
      <c r="N1767" t="s">
        <v>80</v>
      </c>
      <c r="O1767">
        <f>MATCH(Combined[[#This Row],[Primary Area]],KPIs!$C$4:$C$7,0)</f>
        <v>2</v>
      </c>
    </row>
    <row r="1768" spans="2:15" x14ac:dyDescent="0.35">
      <c r="B1768">
        <f t="shared" si="419"/>
        <v>1766</v>
      </c>
      <c r="C1768" t="s">
        <v>86</v>
      </c>
      <c r="D1768" t="s">
        <v>176</v>
      </c>
      <c r="E1768">
        <f>IF(WEEKNUM(Combined[[#This Row],[Date]], 1) = 53, 1, WEEKNUM(Combined[[#This Row],[Date]], 2))</f>
        <v>24</v>
      </c>
      <c r="F1768" t="str">
        <f t="shared" si="440"/>
        <v>Tuesday</v>
      </c>
      <c r="G1768" s="41">
        <v>45818</v>
      </c>
      <c r="H1768">
        <v>2</v>
      </c>
      <c r="I1768" s="1">
        <v>16.420000000000002</v>
      </c>
      <c r="J1768" s="2">
        <v>6.9444444444444448E-2</v>
      </c>
      <c r="K1768" s="12">
        <f>Combined[[#This Row],[Time Spent]]*24</f>
        <v>1.6666666666666667</v>
      </c>
      <c r="L1768" s="12">
        <f>MROUND(Combined[[#This Row],[Time Spent 2]],0.25)</f>
        <v>1.75</v>
      </c>
      <c r="M1768" s="2" t="s">
        <v>91</v>
      </c>
      <c r="N1768" t="s">
        <v>80</v>
      </c>
      <c r="O1768">
        <f>MATCH(Combined[[#This Row],[Primary Area]],KPIs!$C$4:$C$7,0)</f>
        <v>2</v>
      </c>
    </row>
    <row r="1769" spans="2:15" x14ac:dyDescent="0.35">
      <c r="B1769">
        <f t="shared" si="419"/>
        <v>1767</v>
      </c>
      <c r="C1769" t="s">
        <v>83</v>
      </c>
      <c r="D1769" t="s">
        <v>176</v>
      </c>
      <c r="E1769">
        <f>IF(WEEKNUM(Combined[[#This Row],[Date]], 1) = 53, 1, WEEKNUM(Combined[[#This Row],[Date]], 2))</f>
        <v>24</v>
      </c>
      <c r="F1769" t="str">
        <f t="shared" ref="F1769:F1770" si="441">TEXT(WEEKDAY(G1769,1),"DDDD")</f>
        <v>Thursday</v>
      </c>
      <c r="G1769" s="41">
        <v>45820</v>
      </c>
      <c r="H1769">
        <v>2</v>
      </c>
      <c r="I1769" s="1">
        <v>59.55</v>
      </c>
      <c r="J1769" s="2">
        <v>0.12847222222222221</v>
      </c>
      <c r="K1769" s="12">
        <f>Combined[[#This Row],[Time Spent]]*24</f>
        <v>3.083333333333333</v>
      </c>
      <c r="L1769" s="12">
        <f>MROUND(Combined[[#This Row],[Time Spent 2]],0.25)</f>
        <v>3</v>
      </c>
      <c r="M1769" s="2" t="s">
        <v>91</v>
      </c>
      <c r="N1769" t="s">
        <v>80</v>
      </c>
      <c r="O1769">
        <f>MATCH(Combined[[#This Row],[Primary Area]],KPIs!$C$4:$C$7,0)</f>
        <v>2</v>
      </c>
    </row>
    <row r="1770" spans="2:15" x14ac:dyDescent="0.35">
      <c r="B1770">
        <f t="shared" si="419"/>
        <v>1768</v>
      </c>
      <c r="C1770" t="s">
        <v>86</v>
      </c>
      <c r="D1770" t="s">
        <v>175</v>
      </c>
      <c r="E1770">
        <f>IF(WEEKNUM(Combined[[#This Row],[Date]], 1) = 53, 1, WEEKNUM(Combined[[#This Row],[Date]], 2))</f>
        <v>24</v>
      </c>
      <c r="F1770" t="str">
        <f t="shared" si="441"/>
        <v>Thursday</v>
      </c>
      <c r="G1770" s="41">
        <v>45820</v>
      </c>
      <c r="H1770">
        <v>10</v>
      </c>
      <c r="I1770" s="1">
        <f>98.93+2</f>
        <v>100.93</v>
      </c>
      <c r="J1770" s="2">
        <v>0.20069444444444445</v>
      </c>
      <c r="K1770" s="12">
        <f>Combined[[#This Row],[Time Spent]]*24</f>
        <v>4.8166666666666664</v>
      </c>
      <c r="L1770" s="12">
        <f>MROUND(Combined[[#This Row],[Time Spent 2]],0.25)</f>
        <v>4.75</v>
      </c>
      <c r="M1770" s="2" t="s">
        <v>91</v>
      </c>
      <c r="N1770" t="s">
        <v>80</v>
      </c>
      <c r="O1770">
        <f>MATCH(Combined[[#This Row],[Primary Area]],KPIs!$C$4:$C$7,0)</f>
        <v>2</v>
      </c>
    </row>
    <row r="1771" spans="2:15" x14ac:dyDescent="0.35">
      <c r="B1771">
        <f t="shared" si="419"/>
        <v>1769</v>
      </c>
      <c r="C1771" t="s">
        <v>83</v>
      </c>
      <c r="D1771" t="s">
        <v>176</v>
      </c>
      <c r="E1771">
        <f>IF(WEEKNUM(Combined[[#This Row],[Date]], 1) = 53, 1, WEEKNUM(Combined[[#This Row],[Date]], 2))</f>
        <v>24</v>
      </c>
      <c r="F1771" t="str">
        <f t="shared" ref="F1771:F1772" si="442">TEXT(WEEKDAY(G1771,1),"DDDD")</f>
        <v>Friday</v>
      </c>
      <c r="G1771" s="41">
        <v>45821</v>
      </c>
      <c r="H1771">
        <v>1</v>
      </c>
      <c r="I1771" s="1">
        <v>13.26</v>
      </c>
      <c r="J1771" s="2">
        <v>8.0555555555555561E-2</v>
      </c>
      <c r="K1771" s="12">
        <f>Combined[[#This Row],[Time Spent]]*24</f>
        <v>1.9333333333333336</v>
      </c>
      <c r="L1771" s="12">
        <f>MROUND(Combined[[#This Row],[Time Spent 2]],0.25)</f>
        <v>2</v>
      </c>
      <c r="M1771" s="2" t="s">
        <v>91</v>
      </c>
      <c r="N1771" t="s">
        <v>82</v>
      </c>
      <c r="O1771">
        <f>MATCH(Combined[[#This Row],[Primary Area]],KPIs!$C$4:$C$7,0)</f>
        <v>3</v>
      </c>
    </row>
    <row r="1772" spans="2:15" x14ac:dyDescent="0.35">
      <c r="B1772">
        <f t="shared" si="419"/>
        <v>1770</v>
      </c>
      <c r="C1772" t="s">
        <v>86</v>
      </c>
      <c r="D1772" t="s">
        <v>175</v>
      </c>
      <c r="E1772">
        <f>IF(WEEKNUM(Combined[[#This Row],[Date]], 1) = 53, 1, WEEKNUM(Combined[[#This Row],[Date]], 2))</f>
        <v>24</v>
      </c>
      <c r="F1772" t="str">
        <f t="shared" si="442"/>
        <v>Friday</v>
      </c>
      <c r="G1772" s="41">
        <v>45821</v>
      </c>
      <c r="H1772">
        <v>5</v>
      </c>
      <c r="I1772" s="1">
        <v>94.87</v>
      </c>
      <c r="J1772" s="2">
        <v>0.19097222222222221</v>
      </c>
      <c r="K1772" s="12">
        <f>Combined[[#This Row],[Time Spent]]*24</f>
        <v>4.583333333333333</v>
      </c>
      <c r="L1772" s="12">
        <f>MROUND(Combined[[#This Row],[Time Spent 2]],0.25)</f>
        <v>4.5</v>
      </c>
      <c r="M1772" s="2" t="s">
        <v>91</v>
      </c>
      <c r="N1772" t="s">
        <v>82</v>
      </c>
      <c r="O1772">
        <f>MATCH(Combined[[#This Row],[Primary Area]],KPIs!$C$4:$C$7,0)</f>
        <v>3</v>
      </c>
    </row>
    <row r="1773" spans="2:15" x14ac:dyDescent="0.35">
      <c r="B1773">
        <f t="shared" si="419"/>
        <v>1771</v>
      </c>
      <c r="C1773" t="s">
        <v>83</v>
      </c>
      <c r="D1773" t="s">
        <v>176</v>
      </c>
      <c r="E1773">
        <f>IF(WEEKNUM(Combined[[#This Row],[Date]], 1) = 53, 1, WEEKNUM(Combined[[#This Row],[Date]], 2))</f>
        <v>25</v>
      </c>
      <c r="F1773" t="str">
        <f t="shared" ref="F1773:F1775" si="443">TEXT(WEEKDAY(G1773,1),"DDDD")</f>
        <v>Monday</v>
      </c>
      <c r="G1773" s="41">
        <v>45824</v>
      </c>
      <c r="H1773">
        <v>3</v>
      </c>
      <c r="I1773" s="1">
        <v>55.1</v>
      </c>
      <c r="J1773" s="2">
        <v>0.10277777777777777</v>
      </c>
      <c r="K1773" s="12">
        <f>Combined[[#This Row],[Time Spent]]*24</f>
        <v>2.4666666666666668</v>
      </c>
      <c r="L1773" s="12">
        <f>MROUND(Combined[[#This Row],[Time Spent 2]],0.25)</f>
        <v>2.5</v>
      </c>
      <c r="M1773" s="2" t="s">
        <v>91</v>
      </c>
      <c r="N1773" t="s">
        <v>80</v>
      </c>
      <c r="O1773">
        <f>MATCH(Combined[[#This Row],[Primary Area]],KPIs!$C$4:$C$7,0)</f>
        <v>2</v>
      </c>
    </row>
    <row r="1774" spans="2:15" x14ac:dyDescent="0.35">
      <c r="B1774">
        <f t="shared" si="419"/>
        <v>1772</v>
      </c>
      <c r="C1774" t="s">
        <v>86</v>
      </c>
      <c r="D1774" t="s">
        <v>176</v>
      </c>
      <c r="E1774">
        <f>IF(WEEKNUM(Combined[[#This Row],[Date]], 1) = 53, 1, WEEKNUM(Combined[[#This Row],[Date]], 2))</f>
        <v>25</v>
      </c>
      <c r="F1774" t="str">
        <f t="shared" si="443"/>
        <v>Monday</v>
      </c>
      <c r="G1774" s="41">
        <v>45824</v>
      </c>
      <c r="H1774">
        <v>5</v>
      </c>
      <c r="I1774" s="1">
        <v>56.5</v>
      </c>
      <c r="J1774" s="2">
        <v>0.19652777777777777</v>
      </c>
      <c r="K1774" s="12">
        <f>Combined[[#This Row],[Time Spent]]*24</f>
        <v>4.7166666666666668</v>
      </c>
      <c r="L1774" s="12">
        <f>MROUND(Combined[[#This Row],[Time Spent 2]],0.25)</f>
        <v>4.75</v>
      </c>
      <c r="M1774" s="2" t="s">
        <v>91</v>
      </c>
      <c r="N1774" t="s">
        <v>80</v>
      </c>
      <c r="O1774">
        <f>MATCH(Combined[[#This Row],[Primary Area]],KPIs!$C$4:$C$7,0)</f>
        <v>2</v>
      </c>
    </row>
    <row r="1775" spans="2:15" x14ac:dyDescent="0.35">
      <c r="B1775">
        <f t="shared" si="419"/>
        <v>1773</v>
      </c>
      <c r="C1775" t="s">
        <v>86</v>
      </c>
      <c r="D1775" t="s">
        <v>176</v>
      </c>
      <c r="E1775">
        <f>IF(WEEKNUM(Combined[[#This Row],[Date]], 1) = 53, 1, WEEKNUM(Combined[[#This Row],[Date]], 2))</f>
        <v>25</v>
      </c>
      <c r="F1775" t="str">
        <f t="shared" si="443"/>
        <v>Monday</v>
      </c>
      <c r="G1775" s="41">
        <v>45824</v>
      </c>
      <c r="H1775">
        <v>1</v>
      </c>
      <c r="I1775" s="1">
        <v>7</v>
      </c>
      <c r="J1775" s="2">
        <v>9.7222222222222224E-3</v>
      </c>
      <c r="K1775" s="12">
        <f>Combined[[#This Row],[Time Spent]]*24</f>
        <v>0.23333333333333334</v>
      </c>
      <c r="L1775" s="12">
        <f>MROUND(Combined[[#This Row],[Time Spent 2]],0.25)</f>
        <v>0.25</v>
      </c>
      <c r="M1775" s="2" t="s">
        <v>92</v>
      </c>
      <c r="N1775" t="s">
        <v>80</v>
      </c>
      <c r="O1775">
        <f>MATCH(Combined[[#This Row],[Primary Area]],KPIs!$C$4:$C$7,0)</f>
        <v>2</v>
      </c>
    </row>
    <row r="1776" spans="2:15" x14ac:dyDescent="0.35">
      <c r="B1776">
        <f t="shared" si="419"/>
        <v>1774</v>
      </c>
      <c r="C1776" t="s">
        <v>83</v>
      </c>
      <c r="D1776" t="s">
        <v>176</v>
      </c>
      <c r="E1776">
        <f>IF(WEEKNUM(Combined[[#This Row],[Date]], 1) = 53, 1, WEEKNUM(Combined[[#This Row],[Date]], 2))</f>
        <v>25</v>
      </c>
      <c r="F1776" t="str">
        <f t="shared" ref="F1776:F1777" si="444">TEXT(WEEKDAY(G1776,1),"DDDD")</f>
        <v>Thursday</v>
      </c>
      <c r="G1776" s="41">
        <v>45827</v>
      </c>
      <c r="H1776">
        <v>2</v>
      </c>
      <c r="I1776" s="1">
        <v>18.89</v>
      </c>
      <c r="J1776" s="2">
        <v>8.611111111111111E-2</v>
      </c>
      <c r="K1776" s="12">
        <f>Combined[[#This Row],[Time Spent]]*24</f>
        <v>2.0666666666666664</v>
      </c>
      <c r="L1776" s="12">
        <f>MROUND(Combined[[#This Row],[Time Spent 2]],0.25)</f>
        <v>2</v>
      </c>
      <c r="M1776" s="2" t="s">
        <v>91</v>
      </c>
      <c r="N1776" t="s">
        <v>174</v>
      </c>
      <c r="O1776">
        <f>MATCH(Combined[[#This Row],[Primary Area]],KPIs!$C$4:$C$7,0)</f>
        <v>1</v>
      </c>
    </row>
    <row r="1777" spans="2:15" x14ac:dyDescent="0.35">
      <c r="B1777">
        <f t="shared" si="419"/>
        <v>1775</v>
      </c>
      <c r="C1777" t="s">
        <v>86</v>
      </c>
      <c r="D1777" t="s">
        <v>176</v>
      </c>
      <c r="E1777">
        <f>IF(WEEKNUM(Combined[[#This Row],[Date]], 1) = 53, 1, WEEKNUM(Combined[[#This Row],[Date]], 2))</f>
        <v>25</v>
      </c>
      <c r="F1777" t="str">
        <f t="shared" si="444"/>
        <v>Thursday</v>
      </c>
      <c r="G1777" s="41">
        <v>45827</v>
      </c>
      <c r="H1777">
        <v>3</v>
      </c>
      <c r="I1777" s="1">
        <v>23.45</v>
      </c>
      <c r="J1777" s="2">
        <v>6.25E-2</v>
      </c>
      <c r="K1777" s="12">
        <f>Combined[[#This Row],[Time Spent]]*24</f>
        <v>1.5</v>
      </c>
      <c r="L1777" s="12">
        <f>MROUND(Combined[[#This Row],[Time Spent 2]],0.25)</f>
        <v>1.5</v>
      </c>
      <c r="M1777" s="2" t="s">
        <v>91</v>
      </c>
      <c r="N1777" t="s">
        <v>174</v>
      </c>
      <c r="O1777">
        <f>MATCH(Combined[[#This Row],[Primary Area]],KPIs!$C$4:$C$7,0)</f>
        <v>1</v>
      </c>
    </row>
    <row r="1778" spans="2:15" x14ac:dyDescent="0.35">
      <c r="B1778">
        <f t="shared" si="419"/>
        <v>1776</v>
      </c>
      <c r="C1778" t="s">
        <v>83</v>
      </c>
      <c r="D1778" t="s">
        <v>176</v>
      </c>
      <c r="E1778">
        <f>IF(WEEKNUM(Combined[[#This Row],[Date]], 1) = 53, 1, WEEKNUM(Combined[[#This Row],[Date]], 2))</f>
        <v>25</v>
      </c>
      <c r="F1778" t="str">
        <f t="shared" ref="F1778:F1779" si="445">TEXT(WEEKDAY(G1778,1),"DDDD")</f>
        <v>Saturday</v>
      </c>
      <c r="G1778" s="41">
        <v>45829</v>
      </c>
      <c r="H1778">
        <v>5</v>
      </c>
      <c r="I1778" s="1">
        <v>89.59</v>
      </c>
      <c r="J1778" s="2">
        <v>0.1451388888888889</v>
      </c>
      <c r="K1778" s="12">
        <f>Combined[[#This Row],[Time Spent]]*24</f>
        <v>3.4833333333333334</v>
      </c>
      <c r="L1778" s="12">
        <f>MROUND(Combined[[#This Row],[Time Spent 2]],0.25)</f>
        <v>3.5</v>
      </c>
      <c r="M1778" s="2" t="s">
        <v>91</v>
      </c>
      <c r="N1778" t="s">
        <v>80</v>
      </c>
      <c r="O1778">
        <f>MATCH(Combined[[#This Row],[Primary Area]],KPIs!$C$4:$C$7,0)</f>
        <v>2</v>
      </c>
    </row>
    <row r="1779" spans="2:15" x14ac:dyDescent="0.35">
      <c r="B1779">
        <f t="shared" si="419"/>
        <v>1777</v>
      </c>
      <c r="C1779" t="s">
        <v>86</v>
      </c>
      <c r="D1779" t="s">
        <v>176</v>
      </c>
      <c r="E1779">
        <f>IF(WEEKNUM(Combined[[#This Row],[Date]], 1) = 53, 1, WEEKNUM(Combined[[#This Row],[Date]], 2))</f>
        <v>25</v>
      </c>
      <c r="F1779" t="str">
        <f t="shared" si="445"/>
        <v>Saturday</v>
      </c>
      <c r="G1779" s="41">
        <v>45829</v>
      </c>
      <c r="H1779">
        <v>8</v>
      </c>
      <c r="I1779" s="1">
        <v>96.03</v>
      </c>
      <c r="J1779" s="2">
        <v>0.31666666666666665</v>
      </c>
      <c r="K1779" s="12">
        <f>Combined[[#This Row],[Time Spent]]*24</f>
        <v>7.6</v>
      </c>
      <c r="L1779" s="12">
        <f>MROUND(Combined[[#This Row],[Time Spent 2]],0.25)</f>
        <v>7.5</v>
      </c>
      <c r="M1779" s="2" t="s">
        <v>91</v>
      </c>
      <c r="N1779" t="s">
        <v>80</v>
      </c>
      <c r="O1779">
        <f>MATCH(Combined[[#This Row],[Primary Area]],KPIs!$C$4:$C$7,0)</f>
        <v>2</v>
      </c>
    </row>
    <row r="1780" spans="2:15" x14ac:dyDescent="0.35">
      <c r="B1780">
        <f t="shared" si="419"/>
        <v>1778</v>
      </c>
      <c r="C1780" t="s">
        <v>83</v>
      </c>
      <c r="D1780" t="s">
        <v>176</v>
      </c>
      <c r="E1780">
        <f>IF(WEEKNUM(Combined[[#This Row],[Date]], 1) = 53, 1, WEEKNUM(Combined[[#This Row],[Date]], 2))</f>
        <v>25</v>
      </c>
      <c r="F1780" t="str">
        <f t="shared" ref="F1780:F1781" si="446">TEXT(WEEKDAY(G1780,1),"DDDD")</f>
        <v>Sunday</v>
      </c>
      <c r="G1780" s="41">
        <v>45830</v>
      </c>
      <c r="H1780">
        <v>7</v>
      </c>
      <c r="I1780" s="1">
        <v>67.63</v>
      </c>
      <c r="J1780" s="2">
        <v>0.16180555555555556</v>
      </c>
      <c r="K1780" s="12">
        <f>Combined[[#This Row],[Time Spent]]*24</f>
        <v>3.8833333333333337</v>
      </c>
      <c r="L1780" s="12">
        <f>MROUND(Combined[[#This Row],[Time Spent 2]],0.25)</f>
        <v>4</v>
      </c>
      <c r="M1780" s="2" t="s">
        <v>90</v>
      </c>
      <c r="N1780" t="s">
        <v>80</v>
      </c>
      <c r="O1780">
        <f>MATCH(Combined[[#This Row],[Primary Area]],KPIs!$C$4:$C$7,0)</f>
        <v>2</v>
      </c>
    </row>
    <row r="1781" spans="2:15" x14ac:dyDescent="0.35">
      <c r="B1781">
        <f t="shared" si="419"/>
        <v>1779</v>
      </c>
      <c r="C1781" t="s">
        <v>86</v>
      </c>
      <c r="D1781" t="s">
        <v>176</v>
      </c>
      <c r="E1781">
        <f>IF(WEEKNUM(Combined[[#This Row],[Date]], 1) = 53, 1, WEEKNUM(Combined[[#This Row],[Date]], 2))</f>
        <v>25</v>
      </c>
      <c r="F1781" t="str">
        <f t="shared" si="446"/>
        <v>Sunday</v>
      </c>
      <c r="G1781" s="41">
        <v>45830</v>
      </c>
      <c r="H1781">
        <v>2</v>
      </c>
      <c r="I1781" s="1">
        <v>18.25</v>
      </c>
      <c r="J1781" s="2">
        <v>0.13750000000000001</v>
      </c>
      <c r="K1781" s="12">
        <f>Combined[[#This Row],[Time Spent]]*24</f>
        <v>3.3000000000000003</v>
      </c>
      <c r="L1781" s="12">
        <f>MROUND(Combined[[#This Row],[Time Spent 2]],0.25)</f>
        <v>3.25</v>
      </c>
      <c r="M1781" s="2" t="s">
        <v>90</v>
      </c>
      <c r="N1781" t="s">
        <v>80</v>
      </c>
      <c r="O1781">
        <f>MATCH(Combined[[#This Row],[Primary Area]],KPIs!$C$4:$C$7,0)</f>
        <v>2</v>
      </c>
    </row>
    <row r="1782" spans="2:15" x14ac:dyDescent="0.35">
      <c r="B1782">
        <f t="shared" si="419"/>
        <v>1780</v>
      </c>
      <c r="C1782" t="s">
        <v>83</v>
      </c>
      <c r="D1782" t="s">
        <v>175</v>
      </c>
      <c r="E1782">
        <f>IF(WEEKNUM(Combined[[#This Row],[Date]], 1) = 53, 1, WEEKNUM(Combined[[#This Row],[Date]], 2))</f>
        <v>26</v>
      </c>
      <c r="F1782" t="str">
        <f t="shared" ref="F1782:F1783" si="447">TEXT(WEEKDAY(G1782,1),"DDDD")</f>
        <v>Monday</v>
      </c>
      <c r="G1782" s="41">
        <v>45831</v>
      </c>
      <c r="H1782">
        <v>1</v>
      </c>
      <c r="I1782" s="1">
        <v>21.79</v>
      </c>
      <c r="J1782" s="2">
        <v>0.10277777777777777</v>
      </c>
      <c r="K1782" s="12">
        <f>Combined[[#This Row],[Time Spent]]*24</f>
        <v>2.4666666666666668</v>
      </c>
      <c r="L1782" s="12">
        <f>MROUND(Combined[[#This Row],[Time Spent 2]],0.25)</f>
        <v>2.5</v>
      </c>
      <c r="M1782" s="2" t="s">
        <v>91</v>
      </c>
      <c r="N1782" t="s">
        <v>80</v>
      </c>
      <c r="O1782">
        <f>MATCH(Combined[[#This Row],[Primary Area]],KPIs!$C$4:$C$7,0)</f>
        <v>2</v>
      </c>
    </row>
    <row r="1783" spans="2:15" x14ac:dyDescent="0.35">
      <c r="B1783">
        <f t="shared" si="419"/>
        <v>1781</v>
      </c>
      <c r="C1783" t="s">
        <v>86</v>
      </c>
      <c r="D1783" t="s">
        <v>176</v>
      </c>
      <c r="E1783">
        <f>IF(WEEKNUM(Combined[[#This Row],[Date]], 1) = 53, 1, WEEKNUM(Combined[[#This Row],[Date]], 2))</f>
        <v>26</v>
      </c>
      <c r="F1783" t="str">
        <f t="shared" si="447"/>
        <v>Monday</v>
      </c>
      <c r="G1783" s="41">
        <v>45831</v>
      </c>
      <c r="H1783">
        <v>6</v>
      </c>
      <c r="I1783" s="1">
        <v>55.75</v>
      </c>
      <c r="J1783" s="2">
        <v>0.1673611111111111</v>
      </c>
      <c r="K1783" s="12">
        <f>Combined[[#This Row],[Time Spent]]*24</f>
        <v>4.0166666666666666</v>
      </c>
      <c r="L1783" s="12">
        <f>MROUND(Combined[[#This Row],[Time Spent 2]],0.25)</f>
        <v>4</v>
      </c>
      <c r="M1783" s="2" t="s">
        <v>91</v>
      </c>
      <c r="N1783" t="s">
        <v>80</v>
      </c>
      <c r="O1783">
        <f>MATCH(Combined[[#This Row],[Primary Area]],KPIs!$C$4:$C$7,0)</f>
        <v>2</v>
      </c>
    </row>
    <row r="1784" spans="2:15" x14ac:dyDescent="0.35">
      <c r="B1784">
        <f t="shared" si="419"/>
        <v>1782</v>
      </c>
      <c r="C1784" t="s">
        <v>83</v>
      </c>
      <c r="D1784" t="s">
        <v>175</v>
      </c>
      <c r="E1784">
        <f>IF(WEEKNUM(Combined[[#This Row],[Date]], 1) = 53, 1, WEEKNUM(Combined[[#This Row],[Date]], 2))</f>
        <v>26</v>
      </c>
      <c r="F1784" t="str">
        <f t="shared" ref="F1784" si="448">TEXT(WEEKDAY(G1784,1),"DDDD")</f>
        <v>Tuesday</v>
      </c>
      <c r="G1784" s="41">
        <v>45832</v>
      </c>
      <c r="H1784">
        <v>9</v>
      </c>
      <c r="I1784" s="1">
        <v>132</v>
      </c>
      <c r="J1784" s="2">
        <v>0.2361111111111111</v>
      </c>
      <c r="K1784" s="12">
        <f>Combined[[#This Row],[Time Spent]]*24</f>
        <v>5.6666666666666661</v>
      </c>
      <c r="L1784" s="12">
        <f>MROUND(Combined[[#This Row],[Time Spent 2]],0.25)</f>
        <v>5.75</v>
      </c>
      <c r="M1784" s="2" t="s">
        <v>91</v>
      </c>
      <c r="N1784" t="s">
        <v>85</v>
      </c>
      <c r="O1784">
        <f>MATCH(Combined[[#This Row],[Primary Area]],KPIs!$C$4:$C$7,0)</f>
        <v>4</v>
      </c>
    </row>
    <row r="1785" spans="2:15" x14ac:dyDescent="0.35">
      <c r="B1785">
        <f t="shared" si="419"/>
        <v>1783</v>
      </c>
      <c r="C1785" t="s">
        <v>83</v>
      </c>
      <c r="D1785" t="s">
        <v>175</v>
      </c>
      <c r="E1785">
        <f>IF(WEEKNUM(Combined[[#This Row],[Date]], 1) = 53, 1, WEEKNUM(Combined[[#This Row],[Date]], 2))</f>
        <v>26</v>
      </c>
      <c r="F1785" t="str">
        <f t="shared" ref="F1785:F1786" si="449">TEXT(WEEKDAY(G1785,1),"DDDD")</f>
        <v>Wednesday</v>
      </c>
      <c r="G1785" s="41">
        <v>45833</v>
      </c>
      <c r="H1785">
        <v>4</v>
      </c>
      <c r="I1785" s="1">
        <v>37.770000000000003</v>
      </c>
      <c r="J1785" s="2">
        <v>9.166666666666666E-2</v>
      </c>
      <c r="K1785" s="12">
        <f>Combined[[#This Row],[Time Spent]]*24</f>
        <v>2.1999999999999997</v>
      </c>
      <c r="L1785" s="12">
        <f>MROUND(Combined[[#This Row],[Time Spent 2]],0.25)</f>
        <v>2.25</v>
      </c>
      <c r="M1785" s="2" t="s">
        <v>91</v>
      </c>
      <c r="N1785" t="s">
        <v>82</v>
      </c>
      <c r="O1785">
        <f>MATCH(Combined[[#This Row],[Primary Area]],KPIs!$C$4:$C$7,0)</f>
        <v>3</v>
      </c>
    </row>
    <row r="1786" spans="2:15" x14ac:dyDescent="0.35">
      <c r="B1786">
        <f t="shared" ref="B1786:B1851" si="450">ROW()-2</f>
        <v>1784</v>
      </c>
      <c r="C1786" t="s">
        <v>86</v>
      </c>
      <c r="D1786" t="s">
        <v>175</v>
      </c>
      <c r="E1786">
        <f>IF(WEEKNUM(Combined[[#This Row],[Date]], 1) = 53, 1, WEEKNUM(Combined[[#This Row],[Date]], 2))</f>
        <v>26</v>
      </c>
      <c r="F1786" t="str">
        <f t="shared" si="449"/>
        <v>Wednesday</v>
      </c>
      <c r="G1786" s="41">
        <v>45833</v>
      </c>
      <c r="H1786">
        <v>5</v>
      </c>
      <c r="I1786" s="1">
        <v>38.729999999999997</v>
      </c>
      <c r="J1786" s="2">
        <v>0.12222222222222222</v>
      </c>
      <c r="K1786" s="12">
        <f>Combined[[#This Row],[Time Spent]]*24</f>
        <v>2.9333333333333331</v>
      </c>
      <c r="L1786" s="12">
        <f>MROUND(Combined[[#This Row],[Time Spent 2]],0.25)</f>
        <v>3</v>
      </c>
      <c r="M1786" s="2" t="s">
        <v>91</v>
      </c>
      <c r="N1786" t="s">
        <v>82</v>
      </c>
      <c r="O1786">
        <f>MATCH(Combined[[#This Row],[Primary Area]],KPIs!$C$4:$C$7,0)</f>
        <v>3</v>
      </c>
    </row>
    <row r="1787" spans="2:15" x14ac:dyDescent="0.35">
      <c r="B1787">
        <f t="shared" si="450"/>
        <v>1785</v>
      </c>
      <c r="C1787" t="s">
        <v>83</v>
      </c>
      <c r="D1787" t="s">
        <v>176</v>
      </c>
      <c r="E1787">
        <f>IF(WEEKNUM(Combined[[#This Row],[Date]], 1) = 53, 1, WEEKNUM(Combined[[#This Row],[Date]], 2))</f>
        <v>26</v>
      </c>
      <c r="F1787" t="str">
        <f t="shared" ref="F1787:F1788" si="451">TEXT(WEEKDAY(G1787,1),"DDDD")</f>
        <v>Friday</v>
      </c>
      <c r="G1787" s="41">
        <v>45835</v>
      </c>
      <c r="H1787">
        <v>1</v>
      </c>
      <c r="I1787" s="1">
        <v>32.86</v>
      </c>
      <c r="J1787" s="2">
        <v>0.10486111111111111</v>
      </c>
      <c r="K1787" s="12">
        <f>Combined[[#This Row],[Time Spent]]*24</f>
        <v>2.5166666666666666</v>
      </c>
      <c r="L1787" s="12">
        <f>MROUND(Combined[[#This Row],[Time Spent 2]],0.25)</f>
        <v>2.5</v>
      </c>
      <c r="M1787" s="2" t="s">
        <v>91</v>
      </c>
      <c r="N1787" t="s">
        <v>85</v>
      </c>
      <c r="O1787">
        <f>MATCH(Combined[[#This Row],[Primary Area]],KPIs!$C$4:$C$7,0)</f>
        <v>4</v>
      </c>
    </row>
    <row r="1788" spans="2:15" x14ac:dyDescent="0.35">
      <c r="B1788">
        <f t="shared" si="450"/>
        <v>1786</v>
      </c>
      <c r="C1788" t="s">
        <v>86</v>
      </c>
      <c r="D1788" t="s">
        <v>175</v>
      </c>
      <c r="E1788">
        <f>IF(WEEKNUM(Combined[[#This Row],[Date]], 1) = 53, 1, WEEKNUM(Combined[[#This Row],[Date]], 2))</f>
        <v>26</v>
      </c>
      <c r="F1788" t="str">
        <f t="shared" si="451"/>
        <v>Friday</v>
      </c>
      <c r="G1788" s="41">
        <v>45835</v>
      </c>
      <c r="H1788">
        <v>16</v>
      </c>
      <c r="I1788" s="1">
        <v>183.95</v>
      </c>
      <c r="J1788" s="2">
        <v>0.37847222222222221</v>
      </c>
      <c r="K1788" s="12">
        <f>Combined[[#This Row],[Time Spent]]*24</f>
        <v>9.0833333333333321</v>
      </c>
      <c r="L1788" s="12">
        <f>MROUND(Combined[[#This Row],[Time Spent 2]],0.25)</f>
        <v>9</v>
      </c>
      <c r="M1788" s="2" t="s">
        <v>91</v>
      </c>
      <c r="N1788" t="s">
        <v>85</v>
      </c>
      <c r="O1788">
        <f>MATCH(Combined[[#This Row],[Primary Area]],KPIs!$C$4:$C$7,0)</f>
        <v>4</v>
      </c>
    </row>
    <row r="1789" spans="2:15" x14ac:dyDescent="0.35">
      <c r="B1789">
        <f t="shared" si="450"/>
        <v>1787</v>
      </c>
      <c r="C1789" t="s">
        <v>86</v>
      </c>
      <c r="D1789" t="s">
        <v>175</v>
      </c>
      <c r="E1789">
        <f>IF(WEEKNUM(Combined[[#This Row],[Date]], 1) = 53, 1, WEEKNUM(Combined[[#This Row],[Date]], 2))</f>
        <v>26</v>
      </c>
      <c r="F1789" t="str">
        <f t="shared" ref="F1789:F1791" si="452">TEXT(WEEKDAY(G1789,1),"DDDD")</f>
        <v>Saturday</v>
      </c>
      <c r="G1789" s="41">
        <v>45836</v>
      </c>
      <c r="H1789">
        <v>2</v>
      </c>
      <c r="I1789" s="1">
        <v>25.87</v>
      </c>
      <c r="J1789" s="2">
        <v>5.8333333333333334E-2</v>
      </c>
      <c r="K1789" s="12">
        <f>Combined[[#This Row],[Time Spent]]*24</f>
        <v>1.4</v>
      </c>
      <c r="L1789" s="12">
        <f>MROUND(Combined[[#This Row],[Time Spent 2]],0.25)</f>
        <v>1.5</v>
      </c>
      <c r="M1789" s="2" t="s">
        <v>91</v>
      </c>
      <c r="N1789" t="s">
        <v>85</v>
      </c>
      <c r="O1789">
        <f>MATCH(Combined[[#This Row],[Primary Area]],KPIs!$C$4:$C$7,0)</f>
        <v>4</v>
      </c>
    </row>
    <row r="1790" spans="2:15" x14ac:dyDescent="0.35">
      <c r="B1790">
        <f t="shared" si="450"/>
        <v>1788</v>
      </c>
      <c r="C1790" t="s">
        <v>83</v>
      </c>
      <c r="D1790" t="s">
        <v>175</v>
      </c>
      <c r="E1790">
        <f>IF(WEEKNUM(Combined[[#This Row],[Date]], 1) = 53, 1, WEEKNUM(Combined[[#This Row],[Date]], 2))</f>
        <v>26</v>
      </c>
      <c r="F1790" t="str">
        <f t="shared" si="452"/>
        <v>Sunday</v>
      </c>
      <c r="G1790" s="41">
        <v>45837</v>
      </c>
      <c r="H1790">
        <v>1</v>
      </c>
      <c r="I1790" s="1">
        <v>8.81</v>
      </c>
      <c r="J1790" s="2">
        <v>1.6666666666666666E-2</v>
      </c>
      <c r="K1790" s="12">
        <f>Combined[[#This Row],[Time Spent]]*24</f>
        <v>0.4</v>
      </c>
      <c r="L1790" s="12">
        <f>MROUND(Combined[[#This Row],[Time Spent 2]],0.25)</f>
        <v>0.5</v>
      </c>
      <c r="M1790" s="2" t="s">
        <v>90</v>
      </c>
      <c r="N1790" t="s">
        <v>80</v>
      </c>
      <c r="O1790">
        <f>MATCH(Combined[[#This Row],[Primary Area]],KPIs!$C$4:$C$7,0)</f>
        <v>2</v>
      </c>
    </row>
    <row r="1791" spans="2:15" x14ac:dyDescent="0.35">
      <c r="B1791">
        <f t="shared" si="450"/>
        <v>1789</v>
      </c>
      <c r="C1791" t="s">
        <v>83</v>
      </c>
      <c r="D1791" t="s">
        <v>176</v>
      </c>
      <c r="E1791">
        <f>IF(WEEKNUM(Combined[[#This Row],[Date]], 1) = 53, 1, WEEKNUM(Combined[[#This Row],[Date]], 2))</f>
        <v>26</v>
      </c>
      <c r="F1791" t="str">
        <f t="shared" si="452"/>
        <v>Sunday</v>
      </c>
      <c r="G1791" s="41">
        <v>45837</v>
      </c>
      <c r="H1791">
        <v>1</v>
      </c>
      <c r="I1791" s="1">
        <v>15.36</v>
      </c>
      <c r="J1791" s="2">
        <v>2.5000000000000001E-2</v>
      </c>
      <c r="K1791" s="12">
        <f>Combined[[#This Row],[Time Spent]]*24</f>
        <v>0.60000000000000009</v>
      </c>
      <c r="L1791" s="12">
        <f>MROUND(Combined[[#This Row],[Time Spent 2]],0.25)</f>
        <v>0.5</v>
      </c>
      <c r="M1791" s="2" t="s">
        <v>90</v>
      </c>
      <c r="N1791" t="s">
        <v>80</v>
      </c>
      <c r="O1791">
        <f>MATCH(Combined[[#This Row],[Primary Area]],KPIs!$C$4:$C$7,0)</f>
        <v>2</v>
      </c>
    </row>
    <row r="1792" spans="2:15" x14ac:dyDescent="0.35">
      <c r="B1792">
        <f t="shared" si="450"/>
        <v>1790</v>
      </c>
      <c r="C1792" t="s">
        <v>86</v>
      </c>
      <c r="D1792" t="s">
        <v>176</v>
      </c>
      <c r="E1792">
        <f>IF(WEEKNUM(Combined[[#This Row],[Date]], 1) = 53, 1, WEEKNUM(Combined[[#This Row],[Date]], 2))</f>
        <v>26</v>
      </c>
      <c r="F1792" t="str">
        <f t="shared" ref="F1792" si="453">TEXT(WEEKDAY(G1792,1),"DDDD")</f>
        <v>Sunday</v>
      </c>
      <c r="G1792" s="41">
        <v>45837</v>
      </c>
      <c r="H1792">
        <v>5</v>
      </c>
      <c r="I1792" s="1">
        <v>55</v>
      </c>
      <c r="J1792" s="2">
        <v>0.19166666666666668</v>
      </c>
      <c r="K1792" s="12">
        <f>Combined[[#This Row],[Time Spent]]*24</f>
        <v>4.6000000000000005</v>
      </c>
      <c r="L1792" s="12">
        <f>MROUND(Combined[[#This Row],[Time Spent 2]],0.25)</f>
        <v>4.5</v>
      </c>
      <c r="M1792" s="2" t="s">
        <v>90</v>
      </c>
      <c r="N1792" t="s">
        <v>80</v>
      </c>
      <c r="O1792">
        <f>MATCH(Combined[[#This Row],[Primary Area]],KPIs!$C$4:$C$7,0)</f>
        <v>2</v>
      </c>
    </row>
    <row r="1793" spans="2:15" x14ac:dyDescent="0.35">
      <c r="B1793">
        <f t="shared" si="450"/>
        <v>1791</v>
      </c>
      <c r="C1793" t="s">
        <v>83</v>
      </c>
      <c r="D1793" t="s">
        <v>175</v>
      </c>
      <c r="E1793">
        <f>IF(WEEKNUM(Combined[[#This Row],[Date]], 1) = 53, 1, WEEKNUM(Combined[[#This Row],[Date]], 2))</f>
        <v>27</v>
      </c>
      <c r="F1793" t="str">
        <f t="shared" ref="F1793:F1795" si="454">TEXT(WEEKDAY(G1793,1),"DDDD")</f>
        <v>Monday</v>
      </c>
      <c r="G1793" s="41">
        <v>45838</v>
      </c>
      <c r="H1793">
        <v>6</v>
      </c>
      <c r="I1793" s="1">
        <f>123.63-58.92</f>
        <v>64.709999999999994</v>
      </c>
      <c r="J1793" s="2">
        <f>TIME(3,,)-TIME(0,42,)</f>
        <v>9.5833333333333326E-2</v>
      </c>
      <c r="K1793" s="12">
        <f>Combined[[#This Row],[Time Spent]]*24</f>
        <v>2.2999999999999998</v>
      </c>
      <c r="L1793" s="12">
        <f>MROUND(Combined[[#This Row],[Time Spent 2]],0.25)</f>
        <v>2.25</v>
      </c>
      <c r="M1793" s="2" t="s">
        <v>91</v>
      </c>
      <c r="N1793" t="s">
        <v>85</v>
      </c>
      <c r="O1793">
        <f>MATCH(Combined[[#This Row],[Primary Area]],KPIs!$C$4:$C$7,0)</f>
        <v>4</v>
      </c>
    </row>
    <row r="1794" spans="2:15" x14ac:dyDescent="0.35">
      <c r="B1794">
        <f t="shared" si="450"/>
        <v>1792</v>
      </c>
      <c r="C1794" t="s">
        <v>83</v>
      </c>
      <c r="D1794" t="s">
        <v>176</v>
      </c>
      <c r="E1794">
        <f>IF(WEEKNUM(Combined[[#This Row],[Date]], 1) = 53, 1, WEEKNUM(Combined[[#This Row],[Date]], 2))</f>
        <v>27</v>
      </c>
      <c r="F1794" t="str">
        <f t="shared" si="454"/>
        <v>Monday</v>
      </c>
      <c r="G1794" s="41">
        <v>45838</v>
      </c>
      <c r="H1794">
        <v>1</v>
      </c>
      <c r="I1794" s="1">
        <v>58.92</v>
      </c>
      <c r="J1794" s="2">
        <v>2.9166666666666667E-2</v>
      </c>
      <c r="K1794" s="12">
        <f>Combined[[#This Row],[Time Spent]]*24</f>
        <v>0.7</v>
      </c>
      <c r="L1794" s="12">
        <f>MROUND(Combined[[#This Row],[Time Spent 2]],0.25)</f>
        <v>0.75</v>
      </c>
      <c r="M1794" s="2" t="s">
        <v>92</v>
      </c>
      <c r="N1794" t="s">
        <v>85</v>
      </c>
      <c r="O1794">
        <f>MATCH(Combined[[#This Row],[Primary Area]],KPIs!$C$4:$C$7,0)</f>
        <v>4</v>
      </c>
    </row>
    <row r="1795" spans="2:15" x14ac:dyDescent="0.35">
      <c r="B1795">
        <f t="shared" si="450"/>
        <v>1793</v>
      </c>
      <c r="C1795" t="s">
        <v>86</v>
      </c>
      <c r="D1795" t="s">
        <v>175</v>
      </c>
      <c r="E1795">
        <f>IF(WEEKNUM(Combined[[#This Row],[Date]], 1) = 53, 1, WEEKNUM(Combined[[#This Row],[Date]], 2))</f>
        <v>27</v>
      </c>
      <c r="F1795" t="str">
        <f t="shared" si="454"/>
        <v>Monday</v>
      </c>
      <c r="G1795" s="41">
        <v>45838</v>
      </c>
      <c r="H1795">
        <v>4</v>
      </c>
      <c r="I1795" s="1">
        <v>48.84</v>
      </c>
      <c r="J1795" s="2">
        <v>0.12083333333333333</v>
      </c>
      <c r="K1795" s="12">
        <f>Combined[[#This Row],[Time Spent]]*24</f>
        <v>2.9</v>
      </c>
      <c r="L1795" s="12">
        <f>MROUND(Combined[[#This Row],[Time Spent 2]],0.25)</f>
        <v>3</v>
      </c>
      <c r="M1795" s="2" t="s">
        <v>91</v>
      </c>
      <c r="N1795" t="s">
        <v>85</v>
      </c>
      <c r="O1795">
        <f>MATCH(Combined[[#This Row],[Primary Area]],KPIs!$C$4:$C$7,0)</f>
        <v>4</v>
      </c>
    </row>
    <row r="1796" spans="2:15" x14ac:dyDescent="0.35">
      <c r="B1796">
        <f t="shared" si="450"/>
        <v>1794</v>
      </c>
      <c r="C1796" t="s">
        <v>83</v>
      </c>
      <c r="D1796" t="s">
        <v>175</v>
      </c>
      <c r="E1796">
        <f>IF(WEEKNUM(Combined[[#This Row],[Date]], 1) = 53, 1, WEEKNUM(Combined[[#This Row],[Date]], 2))</f>
        <v>27</v>
      </c>
      <c r="F1796" t="str">
        <f t="shared" ref="F1796:F1798" si="455">TEXT(WEEKDAY(G1796,1),"DDDD")</f>
        <v>Tuesday</v>
      </c>
      <c r="G1796" s="41">
        <v>45839</v>
      </c>
      <c r="H1796">
        <v>6</v>
      </c>
      <c r="I1796" s="1">
        <f>92.08-20.63</f>
        <v>71.45</v>
      </c>
      <c r="J1796" s="2">
        <f>TIME(4,55,)-TIME(0,37,)</f>
        <v>0.17916666666666667</v>
      </c>
      <c r="K1796" s="12">
        <f>Combined[[#This Row],[Time Spent]]*24</f>
        <v>4.3</v>
      </c>
      <c r="L1796" s="12">
        <f>MROUND(Combined[[#This Row],[Time Spent 2]],0.25)</f>
        <v>4.25</v>
      </c>
      <c r="M1796" s="2" t="s">
        <v>91</v>
      </c>
      <c r="N1796" t="s">
        <v>80</v>
      </c>
      <c r="O1796">
        <f>MATCH(Combined[[#This Row],[Primary Area]],KPIs!$C$4:$C$7,0)</f>
        <v>2</v>
      </c>
    </row>
    <row r="1797" spans="2:15" x14ac:dyDescent="0.35">
      <c r="B1797">
        <f t="shared" si="450"/>
        <v>1795</v>
      </c>
      <c r="C1797" t="s">
        <v>83</v>
      </c>
      <c r="D1797" t="s">
        <v>176</v>
      </c>
      <c r="E1797">
        <f>IF(WEEKNUM(Combined[[#This Row],[Date]], 1) = 53, 1, WEEKNUM(Combined[[#This Row],[Date]], 2))</f>
        <v>27</v>
      </c>
      <c r="F1797" t="str">
        <f t="shared" si="455"/>
        <v>Tuesday</v>
      </c>
      <c r="G1797" s="41">
        <v>45839</v>
      </c>
      <c r="H1797">
        <v>1</v>
      </c>
      <c r="I1797" s="1">
        <v>20.63</v>
      </c>
      <c r="J1797" s="2">
        <v>2.5694444444444443E-2</v>
      </c>
      <c r="K1797" s="12">
        <f>Combined[[#This Row],[Time Spent]]*24</f>
        <v>0.6166666666666667</v>
      </c>
      <c r="L1797" s="12">
        <f>MROUND(Combined[[#This Row],[Time Spent 2]],0.25)</f>
        <v>0.5</v>
      </c>
      <c r="M1797" s="2" t="s">
        <v>92</v>
      </c>
      <c r="N1797" t="s">
        <v>80</v>
      </c>
      <c r="O1797">
        <f>MATCH(Combined[[#This Row],[Primary Area]],KPIs!$C$4:$C$7,0)</f>
        <v>2</v>
      </c>
    </row>
    <row r="1798" spans="2:15" x14ac:dyDescent="0.35">
      <c r="B1798">
        <f t="shared" si="450"/>
        <v>1796</v>
      </c>
      <c r="C1798" t="s">
        <v>86</v>
      </c>
      <c r="D1798" t="s">
        <v>176</v>
      </c>
      <c r="E1798">
        <f>IF(WEEKNUM(Combined[[#This Row],[Date]], 1) = 53, 1, WEEKNUM(Combined[[#This Row],[Date]], 2))</f>
        <v>27</v>
      </c>
      <c r="F1798" t="str">
        <f t="shared" si="455"/>
        <v>Tuesday</v>
      </c>
      <c r="G1798" s="41">
        <v>45839</v>
      </c>
      <c r="H1798">
        <v>1</v>
      </c>
      <c r="I1798" s="1">
        <v>6.25</v>
      </c>
      <c r="J1798" s="2">
        <v>0.12361111111111112</v>
      </c>
      <c r="K1798" s="12">
        <f>Combined[[#This Row],[Time Spent]]*24</f>
        <v>2.9666666666666668</v>
      </c>
      <c r="L1798" s="12">
        <f>MROUND(Combined[[#This Row],[Time Spent 2]],0.25)</f>
        <v>3</v>
      </c>
      <c r="M1798" s="2" t="s">
        <v>92</v>
      </c>
      <c r="N1798" t="s">
        <v>80</v>
      </c>
      <c r="O1798">
        <f>MATCH(Combined[[#This Row],[Primary Area]],KPIs!$C$4:$C$7,0)</f>
        <v>2</v>
      </c>
    </row>
    <row r="1799" spans="2:15" x14ac:dyDescent="0.35">
      <c r="B1799">
        <f t="shared" si="450"/>
        <v>1797</v>
      </c>
      <c r="C1799" t="s">
        <v>83</v>
      </c>
      <c r="D1799" t="s">
        <v>175</v>
      </c>
      <c r="E1799">
        <f>IF(WEEKNUM(Combined[[#This Row],[Date]], 1) = 53, 1, WEEKNUM(Combined[[#This Row],[Date]], 2))</f>
        <v>27</v>
      </c>
      <c r="F1799" t="str">
        <f t="shared" ref="F1799:F1801" si="456">TEXT(WEEKDAY(G1799,1),"DDDD")</f>
        <v>Wednesday</v>
      </c>
      <c r="G1799" s="41">
        <v>45840</v>
      </c>
      <c r="H1799">
        <v>2</v>
      </c>
      <c r="I1799" s="1">
        <v>36.36</v>
      </c>
      <c r="J1799" s="2">
        <v>5.347222222222222E-2</v>
      </c>
      <c r="K1799" s="12">
        <f>Combined[[#This Row],[Time Spent]]*24</f>
        <v>1.2833333333333332</v>
      </c>
      <c r="L1799" s="12">
        <f>MROUND(Combined[[#This Row],[Time Spent 2]],0.25)</f>
        <v>1.25</v>
      </c>
      <c r="M1799" s="2" t="s">
        <v>91</v>
      </c>
      <c r="N1799" t="s">
        <v>80</v>
      </c>
      <c r="O1799">
        <f>MATCH(Combined[[#This Row],[Primary Area]],KPIs!$C$4:$C$7,0)</f>
        <v>2</v>
      </c>
    </row>
    <row r="1800" spans="2:15" x14ac:dyDescent="0.35">
      <c r="B1800">
        <f t="shared" si="450"/>
        <v>1798</v>
      </c>
      <c r="C1800" t="s">
        <v>86</v>
      </c>
      <c r="D1800" t="s">
        <v>176</v>
      </c>
      <c r="E1800">
        <f>IF(WEEKNUM(Combined[[#This Row],[Date]], 1) = 53, 1, WEEKNUM(Combined[[#This Row],[Date]], 2))</f>
        <v>27</v>
      </c>
      <c r="F1800" t="str">
        <f t="shared" si="456"/>
        <v>Wednesday</v>
      </c>
      <c r="G1800" s="41">
        <v>45840</v>
      </c>
      <c r="H1800">
        <v>1</v>
      </c>
      <c r="I1800" s="1">
        <v>6.25</v>
      </c>
      <c r="J1800" s="2">
        <v>0.12361111111111112</v>
      </c>
      <c r="K1800" s="12">
        <f>Combined[[#This Row],[Time Spent]]*24</f>
        <v>2.9666666666666668</v>
      </c>
      <c r="L1800" s="12">
        <f>MROUND(Combined[[#This Row],[Time Spent 2]],0.25)</f>
        <v>3</v>
      </c>
      <c r="M1800" s="2" t="s">
        <v>91</v>
      </c>
      <c r="N1800" t="s">
        <v>80</v>
      </c>
      <c r="O1800">
        <f>MATCH(Combined[[#This Row],[Primary Area]],KPIs!$C$4:$C$7,0)</f>
        <v>2</v>
      </c>
    </row>
    <row r="1801" spans="2:15" x14ac:dyDescent="0.35">
      <c r="B1801">
        <f t="shared" si="450"/>
        <v>1799</v>
      </c>
      <c r="C1801" t="s">
        <v>86</v>
      </c>
      <c r="D1801" t="s">
        <v>176</v>
      </c>
      <c r="E1801">
        <f>IF(WEEKNUM(Combined[[#This Row],[Date]], 1) = 53, 1, WEEKNUM(Combined[[#This Row],[Date]], 2))</f>
        <v>27</v>
      </c>
      <c r="F1801" t="str">
        <f t="shared" si="456"/>
        <v>Wednesday</v>
      </c>
      <c r="G1801" s="41">
        <v>45840</v>
      </c>
      <c r="H1801">
        <v>6</v>
      </c>
      <c r="I1801" s="1">
        <v>56.5</v>
      </c>
      <c r="J1801" s="2">
        <v>0.10555555555555556</v>
      </c>
      <c r="K1801" s="12">
        <f>Combined[[#This Row],[Time Spent]]*24</f>
        <v>2.5333333333333332</v>
      </c>
      <c r="L1801" s="12">
        <f>MROUND(Combined[[#This Row],[Time Spent 2]],0.25)</f>
        <v>2.5</v>
      </c>
      <c r="M1801" s="2" t="s">
        <v>91</v>
      </c>
      <c r="N1801" t="s">
        <v>80</v>
      </c>
      <c r="O1801">
        <f>MATCH(Combined[[#This Row],[Primary Area]],KPIs!$C$4:$C$7,0)</f>
        <v>2</v>
      </c>
    </row>
    <row r="1802" spans="2:15" x14ac:dyDescent="0.35">
      <c r="B1802">
        <f t="shared" si="450"/>
        <v>1800</v>
      </c>
      <c r="C1802" t="s">
        <v>83</v>
      </c>
      <c r="D1802" t="s">
        <v>176</v>
      </c>
      <c r="E1802">
        <f>IF(WEEKNUM(Combined[[#This Row],[Date]], 1) = 53, 1, WEEKNUM(Combined[[#This Row],[Date]], 2))</f>
        <v>27</v>
      </c>
      <c r="F1802" t="str">
        <f t="shared" ref="F1802:F1805" si="457">TEXT(WEEKDAY(G1802,1),"DDDD")</f>
        <v>Thursday</v>
      </c>
      <c r="G1802" s="41">
        <v>45841</v>
      </c>
      <c r="H1802">
        <v>1</v>
      </c>
      <c r="I1802" s="1">
        <v>23.01</v>
      </c>
      <c r="J1802" s="2">
        <v>5.8333333333333334E-2</v>
      </c>
      <c r="K1802" s="12">
        <f>Combined[[#This Row],[Time Spent]]*24</f>
        <v>1.4</v>
      </c>
      <c r="L1802" s="12">
        <f>MROUND(Combined[[#This Row],[Time Spent 2]],0.25)</f>
        <v>1.5</v>
      </c>
      <c r="M1802" s="2" t="s">
        <v>91</v>
      </c>
      <c r="N1802" t="s">
        <v>82</v>
      </c>
      <c r="O1802">
        <f>MATCH(Combined[[#This Row],[Primary Area]],KPIs!$C$4:$C$7,0)</f>
        <v>3</v>
      </c>
    </row>
    <row r="1803" spans="2:15" x14ac:dyDescent="0.35">
      <c r="B1803">
        <f t="shared" si="450"/>
        <v>1801</v>
      </c>
      <c r="C1803" t="s">
        <v>86</v>
      </c>
      <c r="D1803" t="s">
        <v>175</v>
      </c>
      <c r="E1803">
        <f>IF(WEEKNUM(Combined[[#This Row],[Date]], 1) = 53, 1, WEEKNUM(Combined[[#This Row],[Date]], 2))</f>
        <v>27</v>
      </c>
      <c r="F1803" t="str">
        <f t="shared" si="457"/>
        <v>Thursday</v>
      </c>
      <c r="G1803" s="41">
        <v>45841</v>
      </c>
      <c r="H1803">
        <v>2</v>
      </c>
      <c r="I1803" s="1">
        <v>27.32</v>
      </c>
      <c r="J1803" s="2">
        <v>0.11388888888888889</v>
      </c>
      <c r="K1803" s="12">
        <f>Combined[[#This Row],[Time Spent]]*24</f>
        <v>2.7333333333333334</v>
      </c>
      <c r="L1803" s="12">
        <f>MROUND(Combined[[#This Row],[Time Spent 2]],0.25)</f>
        <v>2.75</v>
      </c>
      <c r="M1803" s="2" t="s">
        <v>91</v>
      </c>
      <c r="N1803" t="s">
        <v>82</v>
      </c>
      <c r="O1803">
        <f>MATCH(Combined[[#This Row],[Primary Area]],KPIs!$C$4:$C$7,0)</f>
        <v>3</v>
      </c>
    </row>
    <row r="1804" spans="2:15" x14ac:dyDescent="0.35">
      <c r="B1804">
        <f t="shared" si="450"/>
        <v>1802</v>
      </c>
      <c r="C1804" t="s">
        <v>83</v>
      </c>
      <c r="D1804" t="s">
        <v>175</v>
      </c>
      <c r="E1804">
        <f>IF(WEEKNUM(Combined[[#This Row],[Date]], 1) = 53, 1, WEEKNUM(Combined[[#This Row],[Date]], 2))</f>
        <v>28</v>
      </c>
      <c r="F1804" t="str">
        <f t="shared" si="457"/>
        <v>Monday</v>
      </c>
      <c r="G1804" s="41">
        <v>45845</v>
      </c>
      <c r="H1804">
        <v>4</v>
      </c>
      <c r="I1804" s="1">
        <v>51.47</v>
      </c>
      <c r="J1804" s="2">
        <v>0.10833333333333334</v>
      </c>
      <c r="K1804" s="12">
        <f>Combined[[#This Row],[Time Spent]]*24</f>
        <v>2.6</v>
      </c>
      <c r="L1804" s="12">
        <f>MROUND(Combined[[#This Row],[Time Spent 2]],0.25)</f>
        <v>2.5</v>
      </c>
      <c r="M1804" s="2" t="s">
        <v>90</v>
      </c>
      <c r="N1804" t="s">
        <v>85</v>
      </c>
      <c r="O1804">
        <f>MATCH(Combined[[#This Row],[Primary Area]],KPIs!$C$4:$C$7,0)</f>
        <v>4</v>
      </c>
    </row>
    <row r="1805" spans="2:15" x14ac:dyDescent="0.35">
      <c r="B1805">
        <f t="shared" si="450"/>
        <v>1803</v>
      </c>
      <c r="C1805" t="s">
        <v>86</v>
      </c>
      <c r="D1805" t="s">
        <v>176</v>
      </c>
      <c r="E1805">
        <f>IF(WEEKNUM(Combined[[#This Row],[Date]], 1) = 53, 1, WEEKNUM(Combined[[#This Row],[Date]], 2))</f>
        <v>28</v>
      </c>
      <c r="F1805" t="str">
        <f t="shared" si="457"/>
        <v>Monday</v>
      </c>
      <c r="G1805" s="41">
        <v>45845</v>
      </c>
      <c r="H1805">
        <v>6</v>
      </c>
      <c r="I1805" s="1">
        <v>74.75</v>
      </c>
      <c r="J1805" s="2">
        <v>0.13055555555555556</v>
      </c>
      <c r="K1805" s="12">
        <f>Combined[[#This Row],[Time Spent]]*24</f>
        <v>3.1333333333333337</v>
      </c>
      <c r="L1805" s="12">
        <f>MROUND(Combined[[#This Row],[Time Spent 2]],0.25)</f>
        <v>3.25</v>
      </c>
      <c r="M1805" s="2" t="s">
        <v>90</v>
      </c>
      <c r="N1805" t="s">
        <v>85</v>
      </c>
      <c r="O1805">
        <f>MATCH(Combined[[#This Row],[Primary Area]],KPIs!$C$4:$C$7,0)</f>
        <v>4</v>
      </c>
    </row>
    <row r="1806" spans="2:15" x14ac:dyDescent="0.35">
      <c r="B1806">
        <f t="shared" si="450"/>
        <v>1804</v>
      </c>
      <c r="C1806" t="s">
        <v>83</v>
      </c>
      <c r="D1806" t="s">
        <v>176</v>
      </c>
      <c r="E1806">
        <f>IF(WEEKNUM(Combined[[#This Row],[Date]], 1) = 53, 1, WEEKNUM(Combined[[#This Row],[Date]], 2))</f>
        <v>29</v>
      </c>
      <c r="F1806" t="str">
        <f t="shared" ref="F1806:F1807" si="458">TEXT(WEEKDAY(G1806,1),"DDDD")</f>
        <v>Friday</v>
      </c>
      <c r="G1806" s="41">
        <v>45856</v>
      </c>
      <c r="H1806">
        <v>1</v>
      </c>
      <c r="I1806" s="1">
        <v>15.03</v>
      </c>
      <c r="J1806" s="2">
        <v>7.3611111111111113E-2</v>
      </c>
      <c r="K1806" s="12">
        <f>Combined[[#This Row],[Time Spent]]*24</f>
        <v>1.7666666666666666</v>
      </c>
      <c r="L1806" s="12">
        <f>MROUND(Combined[[#This Row],[Time Spent 2]],0.25)</f>
        <v>1.75</v>
      </c>
      <c r="M1806" s="2" t="s">
        <v>91</v>
      </c>
      <c r="N1806" t="s">
        <v>85</v>
      </c>
      <c r="O1806">
        <f>MATCH(Combined[[#This Row],[Primary Area]],KPIs!$C$4:$C$7,0)</f>
        <v>4</v>
      </c>
    </row>
    <row r="1807" spans="2:15" x14ac:dyDescent="0.35">
      <c r="B1807">
        <f t="shared" si="450"/>
        <v>1805</v>
      </c>
      <c r="C1807" t="s">
        <v>86</v>
      </c>
      <c r="D1807" t="s">
        <v>176</v>
      </c>
      <c r="E1807">
        <f>IF(WEEKNUM(Combined[[#This Row],[Date]], 1) = 53, 1, WEEKNUM(Combined[[#This Row],[Date]], 2))</f>
        <v>29</v>
      </c>
      <c r="F1807" t="str">
        <f t="shared" si="458"/>
        <v>Friday</v>
      </c>
      <c r="G1807" s="41">
        <v>45856</v>
      </c>
      <c r="H1807">
        <v>9</v>
      </c>
      <c r="I1807" s="1">
        <v>99.05</v>
      </c>
      <c r="J1807" s="2">
        <v>0.23333333333333334</v>
      </c>
      <c r="K1807" s="12">
        <f>Combined[[#This Row],[Time Spent]]*24</f>
        <v>5.6</v>
      </c>
      <c r="L1807" s="12">
        <f>MROUND(Combined[[#This Row],[Time Spent 2]],0.25)</f>
        <v>5.5</v>
      </c>
      <c r="M1807" s="2" t="s">
        <v>91</v>
      </c>
      <c r="N1807" t="s">
        <v>85</v>
      </c>
      <c r="O1807">
        <f>MATCH(Combined[[#This Row],[Primary Area]],KPIs!$C$4:$C$7,0)</f>
        <v>4</v>
      </c>
    </row>
    <row r="1808" spans="2:15" x14ac:dyDescent="0.35">
      <c r="B1808">
        <f t="shared" si="450"/>
        <v>1806</v>
      </c>
      <c r="C1808" t="s">
        <v>83</v>
      </c>
      <c r="D1808" t="s">
        <v>176</v>
      </c>
      <c r="E1808">
        <f>IF(WEEKNUM(Combined[[#This Row],[Date]], 1) = 53, 1, WEEKNUM(Combined[[#This Row],[Date]], 2))</f>
        <v>29</v>
      </c>
      <c r="F1808" t="str">
        <f t="shared" ref="F1808:F1810" si="459">TEXT(WEEKDAY(G1808,1),"DDDD")</f>
        <v>Saturday</v>
      </c>
      <c r="G1808" s="41">
        <v>45857</v>
      </c>
      <c r="H1808">
        <v>6</v>
      </c>
      <c r="I1808" s="1">
        <v>116.21</v>
      </c>
      <c r="J1808" s="2">
        <v>0.25138888888888888</v>
      </c>
      <c r="K1808" s="12">
        <f>Combined[[#This Row],[Time Spent]]*24</f>
        <v>6.0333333333333332</v>
      </c>
      <c r="L1808" s="12">
        <f>MROUND(Combined[[#This Row],[Time Spent 2]],0.25)</f>
        <v>6</v>
      </c>
      <c r="M1808" s="2" t="s">
        <v>91</v>
      </c>
      <c r="N1808" t="s">
        <v>82</v>
      </c>
      <c r="O1808">
        <f>MATCH(Combined[[#This Row],[Primary Area]],KPIs!$C$4:$C$7,0)</f>
        <v>3</v>
      </c>
    </row>
    <row r="1809" spans="2:15" x14ac:dyDescent="0.35">
      <c r="B1809">
        <f t="shared" si="450"/>
        <v>1807</v>
      </c>
      <c r="C1809" t="s">
        <v>86</v>
      </c>
      <c r="D1809" t="s">
        <v>176</v>
      </c>
      <c r="E1809">
        <f>IF(WEEKNUM(Combined[[#This Row],[Date]], 1) = 53, 1, WEEKNUM(Combined[[#This Row],[Date]], 2))</f>
        <v>29</v>
      </c>
      <c r="F1809" t="str">
        <f t="shared" si="459"/>
        <v>Saturday</v>
      </c>
      <c r="G1809" s="41">
        <v>45857</v>
      </c>
      <c r="H1809">
        <v>2</v>
      </c>
      <c r="I1809" s="1">
        <v>29.83</v>
      </c>
      <c r="J1809" s="2">
        <v>8.7499999999999994E-2</v>
      </c>
      <c r="K1809" s="12">
        <f>Combined[[#This Row],[Time Spent]]*24</f>
        <v>2.0999999999999996</v>
      </c>
      <c r="L1809" s="12">
        <f>MROUND(Combined[[#This Row],[Time Spent 2]],0.25)</f>
        <v>2</v>
      </c>
      <c r="M1809" s="2" t="s">
        <v>91</v>
      </c>
      <c r="N1809" t="s">
        <v>82</v>
      </c>
      <c r="O1809">
        <f>MATCH(Combined[[#This Row],[Primary Area]],KPIs!$C$4:$C$7,0)</f>
        <v>3</v>
      </c>
    </row>
    <row r="1810" spans="2:15" x14ac:dyDescent="0.35">
      <c r="B1810">
        <f t="shared" si="450"/>
        <v>1808</v>
      </c>
      <c r="C1810" t="s">
        <v>86</v>
      </c>
      <c r="D1810" t="s">
        <v>176</v>
      </c>
      <c r="E1810">
        <f>IF(WEEKNUM(Combined[[#This Row],[Date]], 1) = 53, 1, WEEKNUM(Combined[[#This Row],[Date]], 2))</f>
        <v>29</v>
      </c>
      <c r="F1810" t="str">
        <f t="shared" si="459"/>
        <v>Saturday</v>
      </c>
      <c r="G1810" s="41">
        <v>45857</v>
      </c>
      <c r="H1810">
        <v>1</v>
      </c>
      <c r="I1810" s="1">
        <v>8</v>
      </c>
      <c r="J1810" s="2">
        <v>6.3194444444444442E-2</v>
      </c>
      <c r="K1810" s="12">
        <f>Combined[[#This Row],[Time Spent]]*24</f>
        <v>1.5166666666666666</v>
      </c>
      <c r="L1810" s="12">
        <f>MROUND(Combined[[#This Row],[Time Spent 2]],0.25)</f>
        <v>1.5</v>
      </c>
      <c r="M1810" s="2" t="s">
        <v>92</v>
      </c>
      <c r="N1810" t="s">
        <v>82</v>
      </c>
      <c r="O1810">
        <f>MATCH(Combined[[#This Row],[Primary Area]],KPIs!$C$4:$C$7,0)</f>
        <v>3</v>
      </c>
    </row>
    <row r="1811" spans="2:15" x14ac:dyDescent="0.35">
      <c r="B1811">
        <f t="shared" si="450"/>
        <v>1809</v>
      </c>
      <c r="C1811" t="s">
        <v>83</v>
      </c>
      <c r="D1811" t="s">
        <v>176</v>
      </c>
      <c r="E1811">
        <f>IF(WEEKNUM(Combined[[#This Row],[Date]], 1) = 53, 1, WEEKNUM(Combined[[#This Row],[Date]], 2))</f>
        <v>30</v>
      </c>
      <c r="F1811" t="str">
        <f t="shared" ref="F1811:F1812" si="460">TEXT(WEEKDAY(G1811,1),"DDDD")</f>
        <v>Tuesday</v>
      </c>
      <c r="G1811" s="41">
        <v>45860</v>
      </c>
      <c r="H1811">
        <v>1</v>
      </c>
      <c r="I1811" s="1">
        <v>15.64</v>
      </c>
      <c r="J1811" s="2">
        <v>6.7361111111111108E-2</v>
      </c>
      <c r="K1811" s="12">
        <f>Combined[[#This Row],[Time Spent]]*24</f>
        <v>1.6166666666666667</v>
      </c>
      <c r="L1811" s="12">
        <f>MROUND(Combined[[#This Row],[Time Spent 2]],0.25)</f>
        <v>1.5</v>
      </c>
      <c r="M1811" s="2" t="s">
        <v>91</v>
      </c>
      <c r="N1811" t="s">
        <v>80</v>
      </c>
      <c r="O1811">
        <f>MATCH(Combined[[#This Row],[Primary Area]],KPIs!$C$4:$C$7,0)</f>
        <v>2</v>
      </c>
    </row>
    <row r="1812" spans="2:15" x14ac:dyDescent="0.35">
      <c r="B1812">
        <f t="shared" si="450"/>
        <v>1810</v>
      </c>
      <c r="C1812" t="s">
        <v>86</v>
      </c>
      <c r="D1812" t="s">
        <v>176</v>
      </c>
      <c r="E1812">
        <f>IF(WEEKNUM(Combined[[#This Row],[Date]], 1) = 53, 1, WEEKNUM(Combined[[#This Row],[Date]], 2))</f>
        <v>30</v>
      </c>
      <c r="F1812" t="str">
        <f t="shared" si="460"/>
        <v>Tuesday</v>
      </c>
      <c r="G1812" s="41">
        <v>45860</v>
      </c>
      <c r="H1812">
        <v>8</v>
      </c>
      <c r="I1812" s="1">
        <v>80</v>
      </c>
      <c r="J1812" s="2">
        <v>0.20277777777777778</v>
      </c>
      <c r="K1812" s="12">
        <f>Combined[[#This Row],[Time Spent]]*24</f>
        <v>4.8666666666666671</v>
      </c>
      <c r="L1812" s="12">
        <f>MROUND(Combined[[#This Row],[Time Spent 2]],0.25)</f>
        <v>4.75</v>
      </c>
      <c r="M1812" s="2" t="s">
        <v>91</v>
      </c>
      <c r="N1812" t="s">
        <v>80</v>
      </c>
      <c r="O1812">
        <f>MATCH(Combined[[#This Row],[Primary Area]],KPIs!$C$4:$C$7,0)</f>
        <v>2</v>
      </c>
    </row>
    <row r="1813" spans="2:15" x14ac:dyDescent="0.35">
      <c r="B1813">
        <f t="shared" si="450"/>
        <v>1811</v>
      </c>
      <c r="C1813" t="s">
        <v>83</v>
      </c>
      <c r="D1813" t="s">
        <v>176</v>
      </c>
      <c r="E1813">
        <f>IF(WEEKNUM(Combined[[#This Row],[Date]], 1) = 53, 1, WEEKNUM(Combined[[#This Row],[Date]], 2))</f>
        <v>30</v>
      </c>
      <c r="F1813" t="str">
        <f t="shared" ref="F1813:F1814" si="461">TEXT(WEEKDAY(G1813,1),"DDDD")</f>
        <v>Thursday</v>
      </c>
      <c r="G1813" s="41">
        <v>45862</v>
      </c>
      <c r="H1813">
        <v>10</v>
      </c>
      <c r="I1813" s="1">
        <v>105.79</v>
      </c>
      <c r="J1813" s="2">
        <v>0.27777777777777779</v>
      </c>
      <c r="K1813" s="12">
        <f>Combined[[#This Row],[Time Spent]]*24</f>
        <v>6.666666666666667</v>
      </c>
      <c r="L1813" s="12">
        <f>MROUND(Combined[[#This Row],[Time Spent 2]],0.25)</f>
        <v>6.75</v>
      </c>
      <c r="M1813" s="2" t="s">
        <v>91</v>
      </c>
      <c r="N1813" t="s">
        <v>85</v>
      </c>
      <c r="O1813">
        <f>MATCH(Combined[[#This Row],[Primary Area]],KPIs!$C$4:$C$7,0)</f>
        <v>4</v>
      </c>
    </row>
    <row r="1814" spans="2:15" x14ac:dyDescent="0.35">
      <c r="B1814">
        <f t="shared" si="450"/>
        <v>1812</v>
      </c>
      <c r="C1814" t="s">
        <v>86</v>
      </c>
      <c r="D1814" t="s">
        <v>175</v>
      </c>
      <c r="E1814">
        <f>IF(WEEKNUM(Combined[[#This Row],[Date]], 1) = 53, 1, WEEKNUM(Combined[[#This Row],[Date]], 2))</f>
        <v>30</v>
      </c>
      <c r="F1814" t="str">
        <f t="shared" si="461"/>
        <v>Thursday</v>
      </c>
      <c r="G1814" s="41">
        <v>45862</v>
      </c>
      <c r="H1814">
        <v>11</v>
      </c>
      <c r="I1814" s="1">
        <v>109.89</v>
      </c>
      <c r="J1814" s="2">
        <v>0.19652777777777777</v>
      </c>
      <c r="K1814" s="12">
        <f>Combined[[#This Row],[Time Spent]]*24</f>
        <v>4.7166666666666668</v>
      </c>
      <c r="L1814" s="12">
        <f>MROUND(Combined[[#This Row],[Time Spent 2]],0.25)</f>
        <v>4.75</v>
      </c>
      <c r="M1814" s="2" t="s">
        <v>92</v>
      </c>
      <c r="N1814" t="s">
        <v>85</v>
      </c>
      <c r="O1814">
        <f>MATCH(Combined[[#This Row],[Primary Area]],KPIs!$C$4:$C$7,0)</f>
        <v>4</v>
      </c>
    </row>
    <row r="1815" spans="2:15" x14ac:dyDescent="0.35">
      <c r="B1815">
        <f t="shared" si="450"/>
        <v>1813</v>
      </c>
      <c r="C1815" t="s">
        <v>83</v>
      </c>
      <c r="D1815" t="s">
        <v>176</v>
      </c>
      <c r="E1815">
        <f>IF(WEEKNUM(Combined[[#This Row],[Date]], 1) = 53, 1, WEEKNUM(Combined[[#This Row],[Date]], 2))</f>
        <v>31</v>
      </c>
      <c r="F1815" t="str">
        <f t="shared" ref="F1815:F1816" si="462">TEXT(WEEKDAY(G1815,1),"DDDD")</f>
        <v>Monday</v>
      </c>
      <c r="G1815" s="41">
        <v>45866</v>
      </c>
      <c r="H1815">
        <v>12</v>
      </c>
      <c r="I1815" s="1">
        <v>108.22</v>
      </c>
      <c r="J1815" s="2">
        <v>0.25972222222222224</v>
      </c>
      <c r="K1815" s="12">
        <f>Combined[[#This Row],[Time Spent]]*24</f>
        <v>6.2333333333333343</v>
      </c>
      <c r="L1815" s="12">
        <f>MROUND(Combined[[#This Row],[Time Spent 2]],0.25)</f>
        <v>6.25</v>
      </c>
      <c r="M1815" s="2" t="s">
        <v>90</v>
      </c>
      <c r="N1815" t="s">
        <v>85</v>
      </c>
      <c r="O1815">
        <f>MATCH(Combined[[#This Row],[Primary Area]],KPIs!$C$4:$C$7,0)</f>
        <v>4</v>
      </c>
    </row>
    <row r="1816" spans="2:15" x14ac:dyDescent="0.35">
      <c r="B1816">
        <f t="shared" si="450"/>
        <v>1814</v>
      </c>
      <c r="C1816" t="s">
        <v>86</v>
      </c>
      <c r="D1816" t="s">
        <v>175</v>
      </c>
      <c r="E1816">
        <f>IF(WEEKNUM(Combined[[#This Row],[Date]], 1) = 53, 1, WEEKNUM(Combined[[#This Row],[Date]], 2))</f>
        <v>31</v>
      </c>
      <c r="F1816" t="str">
        <f t="shared" si="462"/>
        <v>Monday</v>
      </c>
      <c r="G1816" s="41">
        <v>45866</v>
      </c>
      <c r="H1816">
        <v>1</v>
      </c>
      <c r="I1816" s="1">
        <v>7.22</v>
      </c>
      <c r="J1816" s="2">
        <v>3.5416666666666666E-2</v>
      </c>
      <c r="K1816" s="12">
        <f>Combined[[#This Row],[Time Spent]]*24</f>
        <v>0.85</v>
      </c>
      <c r="L1816" s="12">
        <f>MROUND(Combined[[#This Row],[Time Spent 2]],0.25)</f>
        <v>0.75</v>
      </c>
      <c r="M1816" s="2" t="s">
        <v>91</v>
      </c>
      <c r="N1816" t="s">
        <v>85</v>
      </c>
      <c r="O1816">
        <f>MATCH(Combined[[#This Row],[Primary Area]],KPIs!$C$4:$C$7,0)</f>
        <v>4</v>
      </c>
    </row>
    <row r="1817" spans="2:15" x14ac:dyDescent="0.35">
      <c r="B1817">
        <f t="shared" si="450"/>
        <v>1815</v>
      </c>
      <c r="C1817" t="s">
        <v>83</v>
      </c>
      <c r="D1817" t="s">
        <v>176</v>
      </c>
      <c r="E1817">
        <f>IF(WEEKNUM(Combined[[#This Row],[Date]], 1) = 53, 1, WEEKNUM(Combined[[#This Row],[Date]], 2))</f>
        <v>31</v>
      </c>
      <c r="F1817" t="str">
        <f t="shared" ref="F1817:F1819" si="463">TEXT(WEEKDAY(G1817,1),"DDDD")</f>
        <v>Wednesday</v>
      </c>
      <c r="G1817" s="41">
        <v>45868</v>
      </c>
      <c r="H1817">
        <v>2</v>
      </c>
      <c r="I1817" s="1">
        <v>27.4</v>
      </c>
      <c r="J1817" s="2">
        <v>7.9166666666666663E-2</v>
      </c>
      <c r="K1817" s="12">
        <f>Combined[[#This Row],[Time Spent]]*24</f>
        <v>1.9</v>
      </c>
      <c r="L1817" s="12">
        <f>MROUND(Combined[[#This Row],[Time Spent 2]],0.25)</f>
        <v>2</v>
      </c>
      <c r="M1817" s="2" t="s">
        <v>91</v>
      </c>
      <c r="N1817" t="s">
        <v>80</v>
      </c>
      <c r="O1817">
        <f>MATCH(Combined[[#This Row],[Primary Area]],KPIs!$C$4:$C$7,0)</f>
        <v>2</v>
      </c>
    </row>
    <row r="1818" spans="2:15" x14ac:dyDescent="0.35">
      <c r="B1818">
        <f t="shared" si="450"/>
        <v>1816</v>
      </c>
      <c r="C1818" t="s">
        <v>86</v>
      </c>
      <c r="D1818" t="s">
        <v>176</v>
      </c>
      <c r="E1818">
        <f>IF(WEEKNUM(Combined[[#This Row],[Date]], 1) = 53, 1, WEEKNUM(Combined[[#This Row],[Date]], 2))</f>
        <v>31</v>
      </c>
      <c r="F1818" t="str">
        <f t="shared" si="463"/>
        <v>Wednesday</v>
      </c>
      <c r="G1818" s="41">
        <v>45868</v>
      </c>
      <c r="H1818">
        <v>6</v>
      </c>
      <c r="I1818" s="1">
        <v>64.97</v>
      </c>
      <c r="J1818" s="2">
        <v>0.15555555555555556</v>
      </c>
      <c r="K1818" s="12">
        <f>Combined[[#This Row],[Time Spent]]*24</f>
        <v>3.7333333333333334</v>
      </c>
      <c r="L1818" s="12">
        <f>MROUND(Combined[[#This Row],[Time Spent 2]],0.25)</f>
        <v>3.75</v>
      </c>
      <c r="M1818" s="2" t="s">
        <v>91</v>
      </c>
      <c r="N1818" t="s">
        <v>80</v>
      </c>
      <c r="O1818">
        <f>MATCH(Combined[[#This Row],[Primary Area]],KPIs!$C$4:$C$7,0)</f>
        <v>2</v>
      </c>
    </row>
    <row r="1819" spans="2:15" x14ac:dyDescent="0.35">
      <c r="B1819">
        <f t="shared" si="450"/>
        <v>1817</v>
      </c>
      <c r="C1819" t="s">
        <v>86</v>
      </c>
      <c r="D1819" t="s">
        <v>176</v>
      </c>
      <c r="E1819">
        <f>IF(WEEKNUM(Combined[[#This Row],[Date]], 1) = 53, 1, WEEKNUM(Combined[[#This Row],[Date]], 2))</f>
        <v>31</v>
      </c>
      <c r="F1819" t="str">
        <f t="shared" si="463"/>
        <v>Wednesday</v>
      </c>
      <c r="G1819" s="41">
        <v>45868</v>
      </c>
      <c r="H1819">
        <v>2</v>
      </c>
      <c r="I1819" s="1">
        <v>19</v>
      </c>
      <c r="J1819" s="2">
        <v>5.347222222222222E-2</v>
      </c>
      <c r="K1819" s="12">
        <f>Combined[[#This Row],[Time Spent]]*24</f>
        <v>1.2833333333333332</v>
      </c>
      <c r="L1819" s="12">
        <f>MROUND(Combined[[#This Row],[Time Spent 2]],0.25)</f>
        <v>1.25</v>
      </c>
      <c r="M1819" s="2" t="s">
        <v>92</v>
      </c>
      <c r="N1819" t="s">
        <v>80</v>
      </c>
      <c r="O1819">
        <f>MATCH(Combined[[#This Row],[Primary Area]],KPIs!$C$4:$C$7,0)</f>
        <v>2</v>
      </c>
    </row>
    <row r="1820" spans="2:15" x14ac:dyDescent="0.35">
      <c r="B1820">
        <f t="shared" si="450"/>
        <v>1818</v>
      </c>
      <c r="C1820" t="s">
        <v>83</v>
      </c>
      <c r="D1820" t="s">
        <v>176</v>
      </c>
      <c r="E1820">
        <f>IF(WEEKNUM(Combined[[#This Row],[Date]], 1) = 53, 1, WEEKNUM(Combined[[#This Row],[Date]], 2))</f>
        <v>31</v>
      </c>
      <c r="F1820" t="str">
        <f t="shared" ref="F1820:F1822" si="464">TEXT(WEEKDAY(G1820,1),"DDDD")</f>
        <v>Thursday</v>
      </c>
      <c r="G1820" s="41">
        <v>45869</v>
      </c>
      <c r="H1820">
        <v>4</v>
      </c>
      <c r="I1820" s="1">
        <v>63.26</v>
      </c>
      <c r="J1820" s="2">
        <v>0.12361111111111112</v>
      </c>
      <c r="K1820" s="12">
        <f>Combined[[#This Row],[Time Spent]]*24</f>
        <v>2.9666666666666668</v>
      </c>
      <c r="L1820" s="12">
        <f>MROUND(Combined[[#This Row],[Time Spent 2]],0.25)</f>
        <v>3</v>
      </c>
      <c r="M1820" s="2" t="s">
        <v>91</v>
      </c>
      <c r="N1820" t="s">
        <v>82</v>
      </c>
      <c r="O1820">
        <f>MATCH(Combined[[#This Row],[Primary Area]],KPIs!$C$4:$C$7,0)</f>
        <v>3</v>
      </c>
    </row>
    <row r="1821" spans="2:15" x14ac:dyDescent="0.35">
      <c r="B1821">
        <f t="shared" si="450"/>
        <v>1819</v>
      </c>
      <c r="C1821" t="s">
        <v>86</v>
      </c>
      <c r="D1821" t="s">
        <v>176</v>
      </c>
      <c r="E1821">
        <f>IF(WEEKNUM(Combined[[#This Row],[Date]], 1) = 53, 1, WEEKNUM(Combined[[#This Row],[Date]], 2))</f>
        <v>31</v>
      </c>
      <c r="F1821" t="str">
        <f t="shared" si="464"/>
        <v>Thursday</v>
      </c>
      <c r="G1821" s="41">
        <v>45869</v>
      </c>
      <c r="H1821">
        <v>3</v>
      </c>
      <c r="I1821" s="1">
        <v>22.75</v>
      </c>
      <c r="J1821" s="2">
        <v>9.583333333333334E-2</v>
      </c>
      <c r="K1821" s="12">
        <f>Combined[[#This Row],[Time Spent]]*24</f>
        <v>2.3000000000000003</v>
      </c>
      <c r="L1821" s="12">
        <f>MROUND(Combined[[#This Row],[Time Spent 2]],0.25)</f>
        <v>2.25</v>
      </c>
      <c r="M1821" s="2" t="s">
        <v>91</v>
      </c>
      <c r="N1821" t="s">
        <v>82</v>
      </c>
      <c r="O1821">
        <f>MATCH(Combined[[#This Row],[Primary Area]],KPIs!$C$4:$C$7,0)</f>
        <v>3</v>
      </c>
    </row>
    <row r="1822" spans="2:15" x14ac:dyDescent="0.35">
      <c r="B1822">
        <f t="shared" si="450"/>
        <v>1820</v>
      </c>
      <c r="C1822" t="s">
        <v>86</v>
      </c>
      <c r="D1822" t="s">
        <v>176</v>
      </c>
      <c r="E1822">
        <f>IF(WEEKNUM(Combined[[#This Row],[Date]], 1) = 53, 1, WEEKNUM(Combined[[#This Row],[Date]], 2))</f>
        <v>31</v>
      </c>
      <c r="F1822" t="str">
        <f t="shared" si="464"/>
        <v>Thursday</v>
      </c>
      <c r="G1822" s="41">
        <v>45869</v>
      </c>
      <c r="H1822">
        <v>5</v>
      </c>
      <c r="I1822" s="1">
        <v>28.43</v>
      </c>
      <c r="J1822" s="2">
        <v>0.1423611111111111</v>
      </c>
      <c r="K1822" s="12">
        <f>Combined[[#This Row],[Time Spent]]*24</f>
        <v>3.4166666666666665</v>
      </c>
      <c r="L1822" s="12">
        <f>MROUND(Combined[[#This Row],[Time Spent 2]],0.25)</f>
        <v>3.5</v>
      </c>
      <c r="M1822" s="2" t="s">
        <v>91</v>
      </c>
      <c r="N1822" t="s">
        <v>82</v>
      </c>
      <c r="O1822">
        <f>MATCH(Combined[[#This Row],[Primary Area]],KPIs!$C$4:$C$7,0)</f>
        <v>3</v>
      </c>
    </row>
    <row r="1823" spans="2:15" x14ac:dyDescent="0.35">
      <c r="B1823">
        <f t="shared" si="450"/>
        <v>1821</v>
      </c>
      <c r="C1823" t="s">
        <v>83</v>
      </c>
      <c r="D1823" t="s">
        <v>176</v>
      </c>
      <c r="E1823">
        <f>IF(WEEKNUM(Combined[[#This Row],[Date]], 1) = 53, 1, WEEKNUM(Combined[[#This Row],[Date]], 2))</f>
        <v>31</v>
      </c>
      <c r="F1823" t="str">
        <f t="shared" ref="F1823:F1826" si="465">TEXT(WEEKDAY(G1823,1),"DDDD")</f>
        <v>Friday</v>
      </c>
      <c r="G1823" s="41">
        <v>45870</v>
      </c>
      <c r="H1823">
        <v>1</v>
      </c>
      <c r="I1823" s="1">
        <v>17.04</v>
      </c>
      <c r="J1823" s="2">
        <v>6.1111111111111109E-2</v>
      </c>
      <c r="K1823" s="12">
        <f>Combined[[#This Row],[Time Spent]]*24</f>
        <v>1.4666666666666666</v>
      </c>
      <c r="L1823" s="12">
        <f>MROUND(Combined[[#This Row],[Time Spent 2]],0.25)</f>
        <v>1.5</v>
      </c>
      <c r="M1823" s="2" t="s">
        <v>91</v>
      </c>
      <c r="N1823" t="s">
        <v>80</v>
      </c>
      <c r="O1823">
        <f>MATCH(Combined[[#This Row],[Primary Area]],KPIs!$C$4:$C$7,0)</f>
        <v>2</v>
      </c>
    </row>
    <row r="1824" spans="2:15" x14ac:dyDescent="0.35">
      <c r="B1824">
        <f t="shared" si="450"/>
        <v>1822</v>
      </c>
      <c r="C1824" t="s">
        <v>86</v>
      </c>
      <c r="D1824" t="s">
        <v>176</v>
      </c>
      <c r="E1824">
        <f>IF(WEEKNUM(Combined[[#This Row],[Date]], 1) = 53, 1, WEEKNUM(Combined[[#This Row],[Date]], 2))</f>
        <v>31</v>
      </c>
      <c r="F1824" t="str">
        <f t="shared" si="465"/>
        <v>Friday</v>
      </c>
      <c r="G1824" s="41">
        <v>45870</v>
      </c>
      <c r="H1824">
        <v>3</v>
      </c>
      <c r="I1824" s="1">
        <v>21.67</v>
      </c>
      <c r="J1824" s="2">
        <v>5.1388888888888887E-2</v>
      </c>
      <c r="K1824" s="12">
        <f>Combined[[#This Row],[Time Spent]]*24</f>
        <v>1.2333333333333334</v>
      </c>
      <c r="L1824" s="12">
        <f>MROUND(Combined[[#This Row],[Time Spent 2]],0.25)</f>
        <v>1.25</v>
      </c>
      <c r="M1824" s="2" t="s">
        <v>91</v>
      </c>
      <c r="N1824" t="s">
        <v>80</v>
      </c>
      <c r="O1824">
        <f>MATCH(Combined[[#This Row],[Primary Area]],KPIs!$C$4:$C$7,0)</f>
        <v>2</v>
      </c>
    </row>
    <row r="1825" spans="2:15" x14ac:dyDescent="0.35">
      <c r="B1825">
        <f t="shared" si="450"/>
        <v>1823</v>
      </c>
      <c r="C1825" t="s">
        <v>86</v>
      </c>
      <c r="D1825" t="s">
        <v>176</v>
      </c>
      <c r="E1825">
        <f>IF(WEEKNUM(Combined[[#This Row],[Date]], 1) = 53, 1, WEEKNUM(Combined[[#This Row],[Date]], 2))</f>
        <v>31</v>
      </c>
      <c r="F1825" t="str">
        <f t="shared" si="465"/>
        <v>Friday</v>
      </c>
      <c r="G1825" s="41">
        <v>45870</v>
      </c>
      <c r="H1825">
        <v>4</v>
      </c>
      <c r="I1825" s="1">
        <v>71.95</v>
      </c>
      <c r="J1825" s="2">
        <v>0.10972222222222222</v>
      </c>
      <c r="K1825" s="12">
        <f>Combined[[#This Row],[Time Spent]]*24</f>
        <v>2.6333333333333333</v>
      </c>
      <c r="L1825" s="12">
        <f>MROUND(Combined[[#This Row],[Time Spent 2]],0.25)</f>
        <v>2.75</v>
      </c>
      <c r="M1825" s="2" t="s">
        <v>91</v>
      </c>
      <c r="N1825" t="s">
        <v>80</v>
      </c>
      <c r="O1825">
        <f>MATCH(Combined[[#This Row],[Primary Area]],KPIs!$C$4:$C$7,0)</f>
        <v>2</v>
      </c>
    </row>
    <row r="1826" spans="2:15" x14ac:dyDescent="0.35">
      <c r="B1826">
        <f t="shared" si="450"/>
        <v>1824</v>
      </c>
      <c r="C1826" t="s">
        <v>86</v>
      </c>
      <c r="D1826" t="s">
        <v>176</v>
      </c>
      <c r="E1826">
        <f>IF(WEEKNUM(Combined[[#This Row],[Date]], 1) = 53, 1, WEEKNUM(Combined[[#This Row],[Date]], 2))</f>
        <v>31</v>
      </c>
      <c r="F1826" t="str">
        <f t="shared" si="465"/>
        <v>Friday</v>
      </c>
      <c r="G1826" s="41">
        <v>45870</v>
      </c>
      <c r="H1826">
        <v>5</v>
      </c>
      <c r="I1826" s="1">
        <v>42</v>
      </c>
      <c r="J1826" s="2">
        <v>0.13125000000000001</v>
      </c>
      <c r="K1826" s="12">
        <f>Combined[[#This Row],[Time Spent]]*24</f>
        <v>3.1500000000000004</v>
      </c>
      <c r="L1826" s="12">
        <f>MROUND(Combined[[#This Row],[Time Spent 2]],0.25)</f>
        <v>3.25</v>
      </c>
      <c r="M1826" s="2" t="s">
        <v>92</v>
      </c>
      <c r="N1826" t="s">
        <v>80</v>
      </c>
      <c r="O1826">
        <f>MATCH(Combined[[#This Row],[Primary Area]],KPIs!$C$4:$C$7,0)</f>
        <v>2</v>
      </c>
    </row>
    <row r="1827" spans="2:15" x14ac:dyDescent="0.35">
      <c r="B1827">
        <f t="shared" si="450"/>
        <v>1825</v>
      </c>
      <c r="C1827" t="s">
        <v>83</v>
      </c>
      <c r="D1827" t="s">
        <v>176</v>
      </c>
      <c r="E1827">
        <f>IF(WEEKNUM(Combined[[#This Row],[Date]], 1) = 53, 1, WEEKNUM(Combined[[#This Row],[Date]], 2))</f>
        <v>32</v>
      </c>
      <c r="F1827" t="str">
        <f t="shared" ref="F1827:F1828" si="466">TEXT(WEEKDAY(G1827,1),"DDDD")</f>
        <v>Monday</v>
      </c>
      <c r="G1827" s="41">
        <v>45873</v>
      </c>
      <c r="H1827">
        <v>10</v>
      </c>
      <c r="I1827" s="1">
        <v>131.81</v>
      </c>
      <c r="J1827" s="2">
        <v>0.23402777777777778</v>
      </c>
      <c r="K1827" s="12">
        <f>Combined[[#This Row],[Time Spent]]*24</f>
        <v>5.6166666666666671</v>
      </c>
      <c r="L1827" s="12">
        <f>MROUND(Combined[[#This Row],[Time Spent 2]],0.25)</f>
        <v>5.5</v>
      </c>
      <c r="M1827" s="2" t="s">
        <v>91</v>
      </c>
      <c r="N1827" t="s">
        <v>80</v>
      </c>
      <c r="O1827">
        <f>MATCH(Combined[[#This Row],[Primary Area]],KPIs!$C$4:$C$7,0)</f>
        <v>2</v>
      </c>
    </row>
    <row r="1828" spans="2:15" x14ac:dyDescent="0.35">
      <c r="B1828">
        <f t="shared" si="450"/>
        <v>1826</v>
      </c>
      <c r="C1828" t="s">
        <v>86</v>
      </c>
      <c r="D1828" t="s">
        <v>175</v>
      </c>
      <c r="E1828">
        <f>IF(WEEKNUM(Combined[[#This Row],[Date]], 1) = 53, 1, WEEKNUM(Combined[[#This Row],[Date]], 2))</f>
        <v>32</v>
      </c>
      <c r="F1828" t="str">
        <f t="shared" si="466"/>
        <v>Monday</v>
      </c>
      <c r="G1828" s="41">
        <v>45873</v>
      </c>
      <c r="H1828">
        <v>1</v>
      </c>
      <c r="I1828" s="1">
        <v>10.130000000000001</v>
      </c>
      <c r="J1828" s="2">
        <v>3.8194444444444448E-2</v>
      </c>
      <c r="K1828" s="12">
        <f>Combined[[#This Row],[Time Spent]]*24</f>
        <v>0.91666666666666674</v>
      </c>
      <c r="L1828" s="12">
        <f>MROUND(Combined[[#This Row],[Time Spent 2]],0.25)</f>
        <v>1</v>
      </c>
      <c r="M1828" s="2" t="s">
        <v>92</v>
      </c>
      <c r="N1828" t="s">
        <v>80</v>
      </c>
      <c r="O1828">
        <f>MATCH(Combined[[#This Row],[Primary Area]],KPIs!$C$4:$C$7,0)</f>
        <v>2</v>
      </c>
    </row>
    <row r="1829" spans="2:15" x14ac:dyDescent="0.35">
      <c r="B1829">
        <f t="shared" si="450"/>
        <v>1827</v>
      </c>
      <c r="C1829" t="s">
        <v>83</v>
      </c>
      <c r="D1829" t="s">
        <v>176</v>
      </c>
      <c r="E1829">
        <f>IF(WEEKNUM(Combined[[#This Row],[Date]], 1) = 53, 1, WEEKNUM(Combined[[#This Row],[Date]], 2))</f>
        <v>32</v>
      </c>
      <c r="F1829" t="str">
        <f t="shared" ref="F1829:F1830" si="467">TEXT(WEEKDAY(G1829,1),"DDDD")</f>
        <v>Wednesday</v>
      </c>
      <c r="G1829" s="41">
        <v>45875</v>
      </c>
      <c r="H1829">
        <v>2</v>
      </c>
      <c r="I1829" s="1">
        <v>26.62</v>
      </c>
      <c r="J1829" s="2">
        <v>8.819444444444445E-2</v>
      </c>
      <c r="K1829" s="12">
        <f>Combined[[#This Row],[Time Spent]]*24</f>
        <v>2.1166666666666667</v>
      </c>
      <c r="L1829" s="12">
        <f>MROUND(Combined[[#This Row],[Time Spent 2]],0.25)</f>
        <v>2</v>
      </c>
      <c r="M1829" s="2" t="s">
        <v>91</v>
      </c>
      <c r="N1829" t="s">
        <v>82</v>
      </c>
      <c r="O1829">
        <f>MATCH(Combined[[#This Row],[Primary Area]],KPIs!$C$4:$C$7,0)</f>
        <v>3</v>
      </c>
    </row>
    <row r="1830" spans="2:15" x14ac:dyDescent="0.35">
      <c r="B1830">
        <f t="shared" si="450"/>
        <v>1828</v>
      </c>
      <c r="C1830" t="s">
        <v>86</v>
      </c>
      <c r="D1830" t="s">
        <v>176</v>
      </c>
      <c r="E1830">
        <f>IF(WEEKNUM(Combined[[#This Row],[Date]], 1) = 53, 1, WEEKNUM(Combined[[#This Row],[Date]], 2))</f>
        <v>32</v>
      </c>
      <c r="F1830" t="str">
        <f t="shared" si="467"/>
        <v>Wednesday</v>
      </c>
      <c r="G1830" s="41">
        <v>45875</v>
      </c>
      <c r="H1830">
        <v>3</v>
      </c>
      <c r="I1830" s="1">
        <v>29</v>
      </c>
      <c r="J1830" s="2">
        <v>9.7916666666666666E-2</v>
      </c>
      <c r="K1830" s="12">
        <f>Combined[[#This Row],[Time Spent]]*24</f>
        <v>2.35</v>
      </c>
      <c r="L1830" s="12">
        <f>MROUND(Combined[[#This Row],[Time Spent 2]],0.25)</f>
        <v>2.25</v>
      </c>
      <c r="M1830" s="2" t="s">
        <v>91</v>
      </c>
      <c r="N1830" t="s">
        <v>82</v>
      </c>
      <c r="O1830">
        <f>MATCH(Combined[[#This Row],[Primary Area]],KPIs!$C$4:$C$7,0)</f>
        <v>3</v>
      </c>
    </row>
    <row r="1831" spans="2:15" x14ac:dyDescent="0.35">
      <c r="B1831">
        <f t="shared" si="450"/>
        <v>1829</v>
      </c>
      <c r="C1831" t="s">
        <v>86</v>
      </c>
      <c r="D1831" t="s">
        <v>176</v>
      </c>
      <c r="E1831">
        <f>IF(WEEKNUM(Combined[[#This Row],[Date]], 1) = 53, 1, WEEKNUM(Combined[[#This Row],[Date]], 2))</f>
        <v>32</v>
      </c>
      <c r="F1831" t="str">
        <f>TEXT(WEEKDAY(G1831,1),"DDDD")</f>
        <v>Wednesday</v>
      </c>
      <c r="G1831" s="41">
        <v>45875</v>
      </c>
      <c r="H1831">
        <v>1</v>
      </c>
      <c r="I1831" s="1">
        <v>15.5</v>
      </c>
      <c r="J1831" s="2">
        <v>4.3749999999999997E-2</v>
      </c>
      <c r="K1831" s="12">
        <f>Combined[[#This Row],[Time Spent]]*24</f>
        <v>1.0499999999999998</v>
      </c>
      <c r="L1831" s="12">
        <f>MROUND(Combined[[#This Row],[Time Spent 2]],0.25)</f>
        <v>1</v>
      </c>
      <c r="M1831" s="2" t="s">
        <v>92</v>
      </c>
      <c r="N1831" t="s">
        <v>82</v>
      </c>
      <c r="O1831">
        <f>MATCH(Combined[[#This Row],[Primary Area]],KPIs!$C$4:$C$7,0)</f>
        <v>3</v>
      </c>
    </row>
    <row r="1832" spans="2:15" x14ac:dyDescent="0.35">
      <c r="B1832">
        <f t="shared" si="450"/>
        <v>1830</v>
      </c>
      <c r="C1832" t="s">
        <v>83</v>
      </c>
      <c r="D1832" t="s">
        <v>176</v>
      </c>
      <c r="E1832">
        <f>IF(WEEKNUM(Combined[[#This Row],[Date]], 1) = 53, 1, WEEKNUM(Combined[[#This Row],[Date]], 2))</f>
        <v>32</v>
      </c>
      <c r="F1832" t="str">
        <f t="shared" ref="F1832:F1833" si="468">TEXT(WEEKDAY(G1832,1),"DDDD")</f>
        <v>Friday</v>
      </c>
      <c r="G1832" s="41">
        <v>45877</v>
      </c>
      <c r="H1832">
        <v>1</v>
      </c>
      <c r="I1832" s="1">
        <v>4</v>
      </c>
      <c r="J1832" s="2">
        <v>4.027777777777778E-2</v>
      </c>
      <c r="K1832" s="12">
        <f>Combined[[#This Row],[Time Spent]]*24</f>
        <v>0.96666666666666679</v>
      </c>
      <c r="L1832" s="12">
        <f>MROUND(Combined[[#This Row],[Time Spent 2]],0.25)</f>
        <v>1</v>
      </c>
      <c r="M1832" s="2" t="s">
        <v>91</v>
      </c>
      <c r="N1832" t="s">
        <v>80</v>
      </c>
      <c r="O1832">
        <f>MATCH(Combined[[#This Row],[Primary Area]],KPIs!$C$4:$C$7,0)</f>
        <v>2</v>
      </c>
    </row>
    <row r="1833" spans="2:15" x14ac:dyDescent="0.35">
      <c r="B1833">
        <f t="shared" si="450"/>
        <v>1831</v>
      </c>
      <c r="C1833" t="s">
        <v>86</v>
      </c>
      <c r="D1833" t="s">
        <v>176</v>
      </c>
      <c r="E1833">
        <f>IF(WEEKNUM(Combined[[#This Row],[Date]], 1) = 53, 1, WEEKNUM(Combined[[#This Row],[Date]], 2))</f>
        <v>32</v>
      </c>
      <c r="F1833" t="str">
        <f t="shared" si="468"/>
        <v>Friday</v>
      </c>
      <c r="G1833" s="41">
        <v>45877</v>
      </c>
      <c r="H1833">
        <v>5</v>
      </c>
      <c r="I1833" s="1">
        <v>48.25</v>
      </c>
      <c r="J1833" s="2">
        <v>0.11597222222222223</v>
      </c>
      <c r="K1833" s="12">
        <f>Combined[[#This Row],[Time Spent]]*24</f>
        <v>2.7833333333333332</v>
      </c>
      <c r="L1833" s="12">
        <f>MROUND(Combined[[#This Row],[Time Spent 2]],0.25)</f>
        <v>2.75</v>
      </c>
      <c r="M1833" s="2" t="s">
        <v>91</v>
      </c>
      <c r="N1833" t="s">
        <v>80</v>
      </c>
      <c r="O1833">
        <f>MATCH(Combined[[#This Row],[Primary Area]],KPIs!$C$4:$C$7,0)</f>
        <v>2</v>
      </c>
    </row>
    <row r="1834" spans="2:15" x14ac:dyDescent="0.35">
      <c r="B1834">
        <f t="shared" si="450"/>
        <v>1832</v>
      </c>
      <c r="C1834" t="s">
        <v>83</v>
      </c>
      <c r="D1834" t="s">
        <v>176</v>
      </c>
      <c r="E1834">
        <f>IF(WEEKNUM(Combined[[#This Row],[Date]], 1) = 53, 1, WEEKNUM(Combined[[#This Row],[Date]], 2))</f>
        <v>32</v>
      </c>
      <c r="F1834" t="str">
        <f t="shared" ref="F1834:F1836" si="469">TEXT(WEEKDAY(G1834,1),"DDDD")</f>
        <v>Saturday</v>
      </c>
      <c r="G1834" s="41">
        <v>45878</v>
      </c>
      <c r="H1834">
        <v>3</v>
      </c>
      <c r="I1834" s="1">
        <v>35.840000000000003</v>
      </c>
      <c r="J1834" s="2">
        <v>0.10138888888888889</v>
      </c>
      <c r="K1834" s="12">
        <f>Combined[[#This Row],[Time Spent]]*24</f>
        <v>2.4333333333333336</v>
      </c>
      <c r="L1834" s="12">
        <f>MROUND(Combined[[#This Row],[Time Spent 2]],0.25)</f>
        <v>2.5</v>
      </c>
      <c r="M1834" s="2" t="s">
        <v>91</v>
      </c>
      <c r="N1834" t="s">
        <v>80</v>
      </c>
      <c r="O1834">
        <f>MATCH(Combined[[#This Row],[Primary Area]],KPIs!$C$4:$C$7,0)</f>
        <v>2</v>
      </c>
    </row>
    <row r="1835" spans="2:15" x14ac:dyDescent="0.35">
      <c r="B1835">
        <f t="shared" si="450"/>
        <v>1833</v>
      </c>
      <c r="C1835" t="s">
        <v>86</v>
      </c>
      <c r="D1835" t="s">
        <v>176</v>
      </c>
      <c r="E1835">
        <f>IF(WEEKNUM(Combined[[#This Row],[Date]], 1) = 53, 1, WEEKNUM(Combined[[#This Row],[Date]], 2))</f>
        <v>32</v>
      </c>
      <c r="F1835" t="str">
        <f t="shared" si="469"/>
        <v>Saturday</v>
      </c>
      <c r="G1835" s="41">
        <v>45878</v>
      </c>
      <c r="H1835">
        <v>3</v>
      </c>
      <c r="I1835" s="1">
        <v>30.05</v>
      </c>
      <c r="J1835" s="2">
        <v>6.0416666666666667E-2</v>
      </c>
      <c r="K1835" s="12">
        <f>Combined[[#This Row],[Time Spent]]*24</f>
        <v>1.45</v>
      </c>
      <c r="L1835" s="12">
        <f>MROUND(Combined[[#This Row],[Time Spent 2]],0.25)</f>
        <v>1.5</v>
      </c>
      <c r="M1835" s="2" t="s">
        <v>91</v>
      </c>
      <c r="N1835" t="s">
        <v>80</v>
      </c>
      <c r="O1835">
        <f>MATCH(Combined[[#This Row],[Primary Area]],KPIs!$C$4:$C$7,0)</f>
        <v>2</v>
      </c>
    </row>
    <row r="1836" spans="2:15" x14ac:dyDescent="0.35">
      <c r="B1836">
        <f t="shared" si="450"/>
        <v>1834</v>
      </c>
      <c r="C1836" t="s">
        <v>86</v>
      </c>
      <c r="D1836" t="s">
        <v>175</v>
      </c>
      <c r="E1836">
        <f>IF(WEEKNUM(Combined[[#This Row],[Date]], 1) = 53, 1, WEEKNUM(Combined[[#This Row],[Date]], 2))</f>
        <v>32</v>
      </c>
      <c r="F1836" t="str">
        <f t="shared" si="469"/>
        <v>Saturday</v>
      </c>
      <c r="G1836" s="41">
        <v>45878</v>
      </c>
      <c r="H1836">
        <v>7</v>
      </c>
      <c r="I1836" s="1">
        <v>70.09</v>
      </c>
      <c r="J1836" s="2">
        <v>0.15138888888888888</v>
      </c>
      <c r="K1836" s="12">
        <f>Combined[[#This Row],[Time Spent]]*24</f>
        <v>3.6333333333333329</v>
      </c>
      <c r="L1836" s="12">
        <f>MROUND(Combined[[#This Row],[Time Spent 2]],0.25)</f>
        <v>3.75</v>
      </c>
      <c r="M1836" s="2" t="s">
        <v>91</v>
      </c>
      <c r="N1836" t="s">
        <v>80</v>
      </c>
      <c r="O1836">
        <f>MATCH(Combined[[#This Row],[Primary Area]],KPIs!$C$4:$C$7,0)</f>
        <v>2</v>
      </c>
    </row>
    <row r="1837" spans="2:15" x14ac:dyDescent="0.35">
      <c r="B1837">
        <f t="shared" si="450"/>
        <v>1835</v>
      </c>
      <c r="C1837" t="s">
        <v>83</v>
      </c>
      <c r="D1837" t="s">
        <v>176</v>
      </c>
      <c r="E1837">
        <f>IF(WEEKNUM(Combined[[#This Row],[Date]], 1) = 53, 1, WEEKNUM(Combined[[#This Row],[Date]], 2))</f>
        <v>32</v>
      </c>
      <c r="F1837" t="str">
        <f t="shared" ref="F1837:F1839" si="470">TEXT(WEEKDAY(G1837,1),"DDDD")</f>
        <v>Sunday</v>
      </c>
      <c r="G1837" s="41">
        <v>45879</v>
      </c>
      <c r="H1837">
        <v>4</v>
      </c>
      <c r="I1837" s="1">
        <v>61.78</v>
      </c>
      <c r="J1837" s="2">
        <v>0.13750000000000001</v>
      </c>
      <c r="K1837" s="12">
        <f>Combined[[#This Row],[Time Spent]]*24</f>
        <v>3.3000000000000003</v>
      </c>
      <c r="L1837" s="12">
        <f>MROUND(Combined[[#This Row],[Time Spent 2]],0.25)</f>
        <v>3.25</v>
      </c>
      <c r="M1837" s="2" t="s">
        <v>91</v>
      </c>
      <c r="N1837" t="s">
        <v>82</v>
      </c>
      <c r="O1837">
        <f>MATCH(Combined[[#This Row],[Primary Area]],KPIs!$C$4:$C$7,0)</f>
        <v>3</v>
      </c>
    </row>
    <row r="1838" spans="2:15" x14ac:dyDescent="0.35">
      <c r="B1838">
        <f t="shared" si="450"/>
        <v>1836</v>
      </c>
      <c r="C1838" t="s">
        <v>86</v>
      </c>
      <c r="D1838" t="s">
        <v>175</v>
      </c>
      <c r="E1838">
        <f>IF(WEEKNUM(Combined[[#This Row],[Date]], 1) = 53, 1, WEEKNUM(Combined[[#This Row],[Date]], 2))</f>
        <v>32</v>
      </c>
      <c r="F1838" t="str">
        <f t="shared" si="470"/>
        <v>Sunday</v>
      </c>
      <c r="G1838" s="41">
        <v>45879</v>
      </c>
      <c r="H1838">
        <v>2</v>
      </c>
      <c r="I1838" s="1">
        <v>23.59</v>
      </c>
      <c r="J1838" s="2">
        <v>4.0972222222222222E-2</v>
      </c>
      <c r="K1838" s="12">
        <f>Combined[[#This Row],[Time Spent]]*24</f>
        <v>0.98333333333333339</v>
      </c>
      <c r="L1838" s="12">
        <f>MROUND(Combined[[#This Row],[Time Spent 2]],0.25)</f>
        <v>1</v>
      </c>
      <c r="M1838" s="2" t="s">
        <v>91</v>
      </c>
      <c r="N1838" t="s">
        <v>82</v>
      </c>
      <c r="O1838">
        <f>MATCH(Combined[[#This Row],[Primary Area]],KPIs!$C$4:$C$7,0)</f>
        <v>3</v>
      </c>
    </row>
    <row r="1839" spans="2:15" x14ac:dyDescent="0.35">
      <c r="B1839">
        <f t="shared" si="450"/>
        <v>1837</v>
      </c>
      <c r="C1839" t="s">
        <v>86</v>
      </c>
      <c r="D1839" t="s">
        <v>176</v>
      </c>
      <c r="E1839">
        <f>IF(WEEKNUM(Combined[[#This Row],[Date]], 1) = 53, 1, WEEKNUM(Combined[[#This Row],[Date]], 2))</f>
        <v>32</v>
      </c>
      <c r="F1839" t="str">
        <f t="shared" si="470"/>
        <v>Sunday</v>
      </c>
      <c r="G1839" s="41">
        <v>45879</v>
      </c>
      <c r="H1839">
        <v>5</v>
      </c>
      <c r="I1839" s="1">
        <v>56.03</v>
      </c>
      <c r="J1839" s="2">
        <v>0.1111111111111111</v>
      </c>
      <c r="K1839" s="12">
        <f>Combined[[#This Row],[Time Spent]]*24</f>
        <v>2.6666666666666665</v>
      </c>
      <c r="L1839" s="12">
        <f>MROUND(Combined[[#This Row],[Time Spent 2]],0.25)</f>
        <v>2.75</v>
      </c>
      <c r="M1839" s="2" t="s">
        <v>91</v>
      </c>
      <c r="N1839" t="s">
        <v>82</v>
      </c>
      <c r="O1839">
        <f>MATCH(Combined[[#This Row],[Primary Area]],KPIs!$C$4:$C$7,0)</f>
        <v>3</v>
      </c>
    </row>
    <row r="1840" spans="2:15" x14ac:dyDescent="0.35">
      <c r="B1840">
        <f t="shared" si="450"/>
        <v>1838</v>
      </c>
      <c r="C1840" t="s">
        <v>83</v>
      </c>
      <c r="D1840" t="s">
        <v>176</v>
      </c>
      <c r="E1840">
        <f>IF(WEEKNUM(Combined[[#This Row],[Date]], 1) = 53, 1, WEEKNUM(Combined[[#This Row],[Date]], 2))</f>
        <v>33</v>
      </c>
      <c r="F1840" t="str">
        <f t="shared" ref="F1840:F1842" si="471">TEXT(WEEKDAY(G1840,1),"DDDD")</f>
        <v>Monday</v>
      </c>
      <c r="G1840" s="41">
        <v>45880</v>
      </c>
      <c r="H1840">
        <v>5</v>
      </c>
      <c r="I1840" s="1">
        <v>40.61</v>
      </c>
      <c r="J1840" s="2">
        <v>0.11874999999999999</v>
      </c>
      <c r="K1840" s="12">
        <f>Combined[[#This Row],[Time Spent]]*24</f>
        <v>2.8499999999999996</v>
      </c>
      <c r="L1840" s="12">
        <f>MROUND(Combined[[#This Row],[Time Spent 2]],0.25)</f>
        <v>2.75</v>
      </c>
      <c r="M1840" s="2" t="s">
        <v>91</v>
      </c>
      <c r="N1840" t="s">
        <v>82</v>
      </c>
      <c r="O1840">
        <f>MATCH(Combined[[#This Row],[Primary Area]],KPIs!$C$4:$C$7,0)</f>
        <v>3</v>
      </c>
    </row>
    <row r="1841" spans="2:15" x14ac:dyDescent="0.35">
      <c r="B1841">
        <f t="shared" si="450"/>
        <v>1839</v>
      </c>
      <c r="C1841" t="s">
        <v>86</v>
      </c>
      <c r="D1841" t="s">
        <v>176</v>
      </c>
      <c r="E1841">
        <f>IF(WEEKNUM(Combined[[#This Row],[Date]], 1) = 53, 1, WEEKNUM(Combined[[#This Row],[Date]], 2))</f>
        <v>33</v>
      </c>
      <c r="F1841" t="str">
        <f t="shared" si="471"/>
        <v>Monday</v>
      </c>
      <c r="G1841" s="41">
        <v>45880</v>
      </c>
      <c r="H1841">
        <v>1</v>
      </c>
      <c r="I1841" s="1">
        <v>9</v>
      </c>
      <c r="J1841" s="2">
        <v>5.6250000000000001E-2</v>
      </c>
      <c r="K1841" s="12">
        <f>Combined[[#This Row],[Time Spent]]*24</f>
        <v>1.35</v>
      </c>
      <c r="L1841" s="12">
        <f>MROUND(Combined[[#This Row],[Time Spent 2]],0.25)</f>
        <v>1.25</v>
      </c>
      <c r="M1841" s="2" t="s">
        <v>91</v>
      </c>
      <c r="N1841" t="s">
        <v>82</v>
      </c>
      <c r="O1841">
        <f>MATCH(Combined[[#This Row],[Primary Area]],KPIs!$C$4:$C$7,0)</f>
        <v>3</v>
      </c>
    </row>
    <row r="1842" spans="2:15" x14ac:dyDescent="0.35">
      <c r="B1842">
        <f t="shared" si="450"/>
        <v>1840</v>
      </c>
      <c r="C1842" t="s">
        <v>86</v>
      </c>
      <c r="D1842" t="s">
        <v>176</v>
      </c>
      <c r="E1842">
        <f>IF(WEEKNUM(Combined[[#This Row],[Date]], 1) = 53, 1, WEEKNUM(Combined[[#This Row],[Date]], 2))</f>
        <v>33</v>
      </c>
      <c r="F1842" t="str">
        <f t="shared" si="471"/>
        <v>Monday</v>
      </c>
      <c r="G1842" s="41">
        <v>45880</v>
      </c>
      <c r="H1842">
        <v>4</v>
      </c>
      <c r="I1842" s="1">
        <v>34.14</v>
      </c>
      <c r="J1842" s="2">
        <v>0.15763888888888888</v>
      </c>
      <c r="K1842" s="12">
        <f>Combined[[#This Row],[Time Spent]]*24</f>
        <v>3.7833333333333332</v>
      </c>
      <c r="L1842" s="12">
        <f>MROUND(Combined[[#This Row],[Time Spent 2]],0.25)</f>
        <v>3.75</v>
      </c>
      <c r="M1842" s="2" t="s">
        <v>91</v>
      </c>
      <c r="N1842" t="s">
        <v>82</v>
      </c>
      <c r="O1842">
        <f>MATCH(Combined[[#This Row],[Primary Area]],KPIs!$C$4:$C$7,0)</f>
        <v>3</v>
      </c>
    </row>
    <row r="1843" spans="2:15" x14ac:dyDescent="0.35">
      <c r="B1843">
        <f t="shared" si="450"/>
        <v>1841</v>
      </c>
      <c r="C1843" t="s">
        <v>83</v>
      </c>
      <c r="D1843" t="s">
        <v>176</v>
      </c>
      <c r="E1843">
        <f>IF(WEEKNUM(Combined[[#This Row],[Date]], 1) = 53, 1, WEEKNUM(Combined[[#This Row],[Date]], 2))</f>
        <v>33</v>
      </c>
      <c r="F1843" t="str">
        <f t="shared" ref="F1843:F1844" si="472">TEXT(WEEKDAY(G1843,1),"DDDD")</f>
        <v>Tuesday</v>
      </c>
      <c r="G1843" s="41">
        <v>45881</v>
      </c>
      <c r="H1843">
        <v>7</v>
      </c>
      <c r="I1843" s="1">
        <v>79.510000000000005</v>
      </c>
      <c r="J1843" s="2">
        <v>0.23055555555555557</v>
      </c>
      <c r="K1843" s="12">
        <f>Combined[[#This Row],[Time Spent]]*24</f>
        <v>5.5333333333333332</v>
      </c>
      <c r="L1843" s="12">
        <f>MROUND(Combined[[#This Row],[Time Spent 2]],0.25)</f>
        <v>5.5</v>
      </c>
      <c r="M1843" s="2" t="s">
        <v>91</v>
      </c>
      <c r="N1843" t="s">
        <v>82</v>
      </c>
      <c r="O1843">
        <f>MATCH(Combined[[#This Row],[Primary Area]],KPIs!$C$4:$C$7,0)</f>
        <v>3</v>
      </c>
    </row>
    <row r="1844" spans="2:15" x14ac:dyDescent="0.35">
      <c r="B1844">
        <f t="shared" si="450"/>
        <v>1842</v>
      </c>
      <c r="C1844" t="s">
        <v>86</v>
      </c>
      <c r="D1844" t="s">
        <v>176</v>
      </c>
      <c r="E1844">
        <f>IF(WEEKNUM(Combined[[#This Row],[Date]], 1) = 53, 1, WEEKNUM(Combined[[#This Row],[Date]], 2))</f>
        <v>33</v>
      </c>
      <c r="F1844" t="str">
        <f t="shared" si="472"/>
        <v>Tuesday</v>
      </c>
      <c r="G1844" s="41">
        <v>45881</v>
      </c>
      <c r="H1844">
        <v>1</v>
      </c>
      <c r="I1844" s="1">
        <v>16.75</v>
      </c>
      <c r="J1844" s="2">
        <v>9.3055555555555558E-2</v>
      </c>
      <c r="K1844" s="12">
        <f>Combined[[#This Row],[Time Spent]]*24</f>
        <v>2.2333333333333334</v>
      </c>
      <c r="L1844" s="12">
        <f>MROUND(Combined[[#This Row],[Time Spent 2]],0.25)</f>
        <v>2.25</v>
      </c>
      <c r="M1844" s="2" t="s">
        <v>91</v>
      </c>
      <c r="N1844" t="s">
        <v>82</v>
      </c>
      <c r="O1844">
        <f>MATCH(Combined[[#This Row],[Primary Area]],KPIs!$C$4:$C$7,0)</f>
        <v>3</v>
      </c>
    </row>
    <row r="1845" spans="2:15" x14ac:dyDescent="0.35">
      <c r="B1845">
        <f t="shared" si="450"/>
        <v>1843</v>
      </c>
      <c r="C1845" t="s">
        <v>83</v>
      </c>
      <c r="D1845" t="s">
        <v>176</v>
      </c>
      <c r="E1845">
        <f>IF(WEEKNUM(Combined[[#This Row],[Date]], 1) = 53, 1, WEEKNUM(Combined[[#This Row],[Date]], 2))</f>
        <v>33</v>
      </c>
      <c r="F1845" t="str">
        <f t="shared" ref="F1845:F1846" si="473">TEXT(WEEKDAY(G1845,1),"DDDD")</f>
        <v>Wednesday</v>
      </c>
      <c r="G1845" s="41">
        <v>45882</v>
      </c>
      <c r="H1845">
        <v>1</v>
      </c>
      <c r="I1845" s="1">
        <v>5.42</v>
      </c>
      <c r="J1845" s="2">
        <v>1.1111111111111112E-2</v>
      </c>
      <c r="K1845" s="12">
        <f>Combined[[#This Row],[Time Spent]]*24</f>
        <v>0.26666666666666666</v>
      </c>
      <c r="L1845" s="12">
        <f>MROUND(Combined[[#This Row],[Time Spent 2]],0.25)</f>
        <v>0.25</v>
      </c>
      <c r="M1845" s="2" t="s">
        <v>91</v>
      </c>
      <c r="N1845" t="s">
        <v>80</v>
      </c>
      <c r="O1845">
        <f>MATCH(Combined[[#This Row],[Primary Area]],KPIs!$C$4:$C$7,0)</f>
        <v>2</v>
      </c>
    </row>
    <row r="1846" spans="2:15" x14ac:dyDescent="0.35">
      <c r="B1846">
        <f t="shared" si="450"/>
        <v>1844</v>
      </c>
      <c r="C1846" t="s">
        <v>86</v>
      </c>
      <c r="D1846" t="s">
        <v>176</v>
      </c>
      <c r="E1846">
        <f>IF(WEEKNUM(Combined[[#This Row],[Date]], 1) = 53, 1, WEEKNUM(Combined[[#This Row],[Date]], 2))</f>
        <v>33</v>
      </c>
      <c r="F1846" t="str">
        <f t="shared" si="473"/>
        <v>Wednesday</v>
      </c>
      <c r="G1846" s="41">
        <v>45882</v>
      </c>
      <c r="H1846">
        <v>5</v>
      </c>
      <c r="I1846" s="1">
        <f>52.2+8.37</f>
        <v>60.57</v>
      </c>
      <c r="J1846" s="2">
        <v>0.12430555555555556</v>
      </c>
      <c r="K1846" s="12">
        <f>Combined[[#This Row],[Time Spent]]*24</f>
        <v>2.9833333333333334</v>
      </c>
      <c r="L1846" s="12">
        <f>MROUND(Combined[[#This Row],[Time Spent 2]],0.25)</f>
        <v>3</v>
      </c>
      <c r="M1846" s="2" t="s">
        <v>91</v>
      </c>
      <c r="N1846" t="s">
        <v>80</v>
      </c>
      <c r="O1846">
        <f>MATCH(Combined[[#This Row],[Primary Area]],KPIs!$C$4:$C$7,0)</f>
        <v>2</v>
      </c>
    </row>
    <row r="1847" spans="2:15" x14ac:dyDescent="0.35">
      <c r="B1847">
        <f t="shared" si="450"/>
        <v>1845</v>
      </c>
      <c r="C1847" t="s">
        <v>83</v>
      </c>
      <c r="D1847" t="s">
        <v>176</v>
      </c>
      <c r="E1847">
        <f>IF(WEEKNUM(Combined[[#This Row],[Date]], 1) = 53, 1, WEEKNUM(Combined[[#This Row],[Date]], 2))</f>
        <v>33</v>
      </c>
      <c r="F1847" t="str">
        <f t="shared" ref="F1847:F1850" si="474">TEXT(WEEKDAY(G1847,1),"DDDD")</f>
        <v>Thursday</v>
      </c>
      <c r="G1847" s="41">
        <v>45883</v>
      </c>
      <c r="H1847">
        <v>5</v>
      </c>
      <c r="I1847" s="1">
        <v>40.22</v>
      </c>
      <c r="J1847" s="2">
        <v>0.12986111111111112</v>
      </c>
      <c r="K1847" s="12">
        <f>Combined[[#This Row],[Time Spent]]*24</f>
        <v>3.1166666666666671</v>
      </c>
      <c r="L1847" s="12">
        <f>MROUND(Combined[[#This Row],[Time Spent 2]],0.25)</f>
        <v>3</v>
      </c>
      <c r="M1847" s="2" t="s">
        <v>91</v>
      </c>
      <c r="N1847" t="s">
        <v>82</v>
      </c>
      <c r="O1847">
        <f>MATCH(Combined[[#This Row],[Primary Area]],KPIs!$C$4:$C$7,0)</f>
        <v>3</v>
      </c>
    </row>
    <row r="1848" spans="2:15" x14ac:dyDescent="0.35">
      <c r="B1848">
        <f t="shared" si="450"/>
        <v>1846</v>
      </c>
      <c r="C1848" t="s">
        <v>86</v>
      </c>
      <c r="D1848" t="s">
        <v>176</v>
      </c>
      <c r="E1848">
        <f>IF(WEEKNUM(Combined[[#This Row],[Date]], 1) = 53, 1, WEEKNUM(Combined[[#This Row],[Date]], 2))</f>
        <v>33</v>
      </c>
      <c r="F1848" t="str">
        <f t="shared" si="474"/>
        <v>Thursday</v>
      </c>
      <c r="G1848" s="41">
        <v>45883</v>
      </c>
      <c r="H1848">
        <v>1</v>
      </c>
      <c r="I1848" s="1">
        <v>6.25</v>
      </c>
      <c r="J1848" s="2">
        <v>3.4722222222222224E-2</v>
      </c>
      <c r="K1848" s="12">
        <f>Combined[[#This Row],[Time Spent]]*24</f>
        <v>0.83333333333333337</v>
      </c>
      <c r="L1848" s="12">
        <f>MROUND(Combined[[#This Row],[Time Spent 2]],0.25)</f>
        <v>0.75</v>
      </c>
      <c r="M1848" s="2" t="s">
        <v>91</v>
      </c>
      <c r="N1848" t="s">
        <v>82</v>
      </c>
      <c r="O1848">
        <f>MATCH(Combined[[#This Row],[Primary Area]],KPIs!$C$4:$C$7,0)</f>
        <v>3</v>
      </c>
    </row>
    <row r="1849" spans="2:15" x14ac:dyDescent="0.35">
      <c r="B1849">
        <f t="shared" si="450"/>
        <v>1847</v>
      </c>
      <c r="C1849" t="s">
        <v>86</v>
      </c>
      <c r="D1849" t="s">
        <v>176</v>
      </c>
      <c r="E1849">
        <f>IF(WEEKNUM(Combined[[#This Row],[Date]], 1) = 53, 1, WEEKNUM(Combined[[#This Row],[Date]], 2))</f>
        <v>33</v>
      </c>
      <c r="F1849" t="str">
        <f t="shared" si="474"/>
        <v>Thursday</v>
      </c>
      <c r="G1849" s="41">
        <v>45883</v>
      </c>
      <c r="H1849">
        <v>1</v>
      </c>
      <c r="I1849" s="1">
        <v>4.5</v>
      </c>
      <c r="J1849" s="2">
        <v>1.3194444444444444E-2</v>
      </c>
      <c r="K1849" s="12">
        <f>Combined[[#This Row],[Time Spent]]*24</f>
        <v>0.31666666666666665</v>
      </c>
      <c r="L1849" s="12">
        <f>MROUND(Combined[[#This Row],[Time Spent 2]],0.25)</f>
        <v>0.25</v>
      </c>
      <c r="M1849" s="2" t="s">
        <v>92</v>
      </c>
      <c r="N1849" t="s">
        <v>82</v>
      </c>
      <c r="O1849">
        <f>MATCH(Combined[[#This Row],[Primary Area]],KPIs!$C$4:$C$7,0)</f>
        <v>3</v>
      </c>
    </row>
    <row r="1850" spans="2:15" x14ac:dyDescent="0.35">
      <c r="B1850">
        <f t="shared" si="450"/>
        <v>1848</v>
      </c>
      <c r="C1850" t="s">
        <v>86</v>
      </c>
      <c r="D1850" t="s">
        <v>176</v>
      </c>
      <c r="E1850">
        <f>IF(WEEKNUM(Combined[[#This Row],[Date]], 1) = 53, 1, WEEKNUM(Combined[[#This Row],[Date]], 2))</f>
        <v>33</v>
      </c>
      <c r="F1850" t="str">
        <f t="shared" si="474"/>
        <v>Thursday</v>
      </c>
      <c r="G1850" s="41">
        <v>45883</v>
      </c>
      <c r="H1850">
        <v>2</v>
      </c>
      <c r="I1850" s="1">
        <v>11</v>
      </c>
      <c r="J1850" s="2">
        <v>5.2083333333333336E-2</v>
      </c>
      <c r="K1850" s="12">
        <f>Combined[[#This Row],[Time Spent]]*24</f>
        <v>1.25</v>
      </c>
      <c r="L1850" s="12">
        <f>MROUND(Combined[[#This Row],[Time Spent 2]],0.25)</f>
        <v>1.25</v>
      </c>
      <c r="M1850" s="2" t="s">
        <v>92</v>
      </c>
      <c r="N1850" t="s">
        <v>82</v>
      </c>
      <c r="O1850">
        <f>MATCH(Combined[[#This Row],[Primary Area]],KPIs!$C$4:$C$7,0)</f>
        <v>3</v>
      </c>
    </row>
    <row r="1851" spans="2:15" x14ac:dyDescent="0.35">
      <c r="B1851">
        <f t="shared" si="450"/>
        <v>1849</v>
      </c>
      <c r="C1851" t="s">
        <v>86</v>
      </c>
      <c r="D1851" t="s">
        <v>176</v>
      </c>
      <c r="E1851">
        <f>IF(WEEKNUM(Combined[[#This Row],[Date]], 1) = 53, 1, WEEKNUM(Combined[[#This Row],[Date]], 2))</f>
        <v>33</v>
      </c>
      <c r="F1851" t="str">
        <f t="shared" ref="F1851" si="475">TEXT(WEEKDAY(G1851,1),"DDDD")</f>
        <v>Friday</v>
      </c>
      <c r="G1851" s="41">
        <v>45884</v>
      </c>
      <c r="H1851">
        <v>13</v>
      </c>
      <c r="I1851" s="1">
        <f>118.75+4.5+7.87</f>
        <v>131.12</v>
      </c>
      <c r="J1851" s="2">
        <v>0.28194444444444444</v>
      </c>
      <c r="K1851" s="12">
        <f>Combined[[#This Row],[Time Spent]]*24</f>
        <v>6.7666666666666666</v>
      </c>
      <c r="L1851" s="12">
        <f>MROUND(Combined[[#This Row],[Time Spent 2]],0.25)</f>
        <v>6.75</v>
      </c>
      <c r="M1851" s="2" t="s">
        <v>91</v>
      </c>
      <c r="N1851" t="s">
        <v>80</v>
      </c>
      <c r="O1851">
        <f>MATCH(Combined[[#This Row],[Primary Area]],KPIs!$C$4:$C$7,0)</f>
        <v>2</v>
      </c>
    </row>
    <row r="1852" spans="2:15" x14ac:dyDescent="0.35">
      <c r="B1852">
        <f t="shared" ref="B1852:B1915" si="476">ROW()-2</f>
        <v>1850</v>
      </c>
      <c r="C1852" t="s">
        <v>83</v>
      </c>
      <c r="D1852" t="s">
        <v>176</v>
      </c>
      <c r="E1852">
        <f>IF(WEEKNUM(Combined[[#This Row],[Date]], 1) = 53, 1, WEEKNUM(Combined[[#This Row],[Date]], 2))</f>
        <v>33</v>
      </c>
      <c r="F1852" t="str">
        <f>TEXT(WEEKDAY(G1852,1),"DDDD")</f>
        <v>Saturday</v>
      </c>
      <c r="G1852" s="41">
        <v>45885</v>
      </c>
      <c r="H1852">
        <v>15</v>
      </c>
      <c r="I1852" s="1">
        <v>121.64</v>
      </c>
      <c r="J1852" s="2">
        <v>0.31041666666666667</v>
      </c>
      <c r="K1852" s="12">
        <f>Combined[[#This Row],[Time Spent]]*24</f>
        <v>7.45</v>
      </c>
      <c r="L1852" s="12">
        <f>MROUND(Combined[[#This Row],[Time Spent 2]],0.25)</f>
        <v>7.5</v>
      </c>
      <c r="M1852" s="2" t="s">
        <v>90</v>
      </c>
      <c r="N1852" t="s">
        <v>85</v>
      </c>
      <c r="O1852">
        <f>MATCH(Combined[[#This Row],[Primary Area]],KPIs!$C$4:$C$7,0)</f>
        <v>4</v>
      </c>
    </row>
    <row r="1853" spans="2:15" x14ac:dyDescent="0.35">
      <c r="B1853">
        <f t="shared" si="476"/>
        <v>1851</v>
      </c>
      <c r="C1853" t="s">
        <v>83</v>
      </c>
      <c r="D1853" t="s">
        <v>176</v>
      </c>
      <c r="E1853">
        <f>IF(WEEKNUM(Combined[[#This Row],[Date]], 1) = 53, 1, WEEKNUM(Combined[[#This Row],[Date]], 2))</f>
        <v>33</v>
      </c>
      <c r="F1853" t="str">
        <f t="shared" ref="F1853:F1855" si="477">TEXT(WEEKDAY(G1853,1),"DDDD")</f>
        <v>Sunday</v>
      </c>
      <c r="G1853" s="41">
        <v>45886</v>
      </c>
      <c r="H1853">
        <v>4</v>
      </c>
      <c r="I1853" s="1">
        <v>44.95</v>
      </c>
      <c r="J1853" s="2">
        <v>9.4444444444444442E-2</v>
      </c>
      <c r="K1853" s="12">
        <f>Combined[[#This Row],[Time Spent]]*24</f>
        <v>2.2666666666666666</v>
      </c>
      <c r="L1853" s="12">
        <f>MROUND(Combined[[#This Row],[Time Spent 2]],0.25)</f>
        <v>2.25</v>
      </c>
      <c r="M1853" s="2" t="s">
        <v>90</v>
      </c>
      <c r="N1853" t="s">
        <v>85</v>
      </c>
      <c r="O1853">
        <f>MATCH(Combined[[#This Row],[Primary Area]],KPIs!$C$4:$C$7,0)</f>
        <v>4</v>
      </c>
    </row>
    <row r="1854" spans="2:15" x14ac:dyDescent="0.35">
      <c r="B1854">
        <f t="shared" si="476"/>
        <v>1852</v>
      </c>
      <c r="C1854" t="s">
        <v>86</v>
      </c>
      <c r="D1854" t="s">
        <v>175</v>
      </c>
      <c r="E1854">
        <f>IF(WEEKNUM(Combined[[#This Row],[Date]], 1) = 53, 1, WEEKNUM(Combined[[#This Row],[Date]], 2))</f>
        <v>33</v>
      </c>
      <c r="F1854" t="str">
        <f t="shared" si="477"/>
        <v>Sunday</v>
      </c>
      <c r="G1854" s="41">
        <v>45886</v>
      </c>
      <c r="H1854">
        <v>1</v>
      </c>
      <c r="I1854" s="1">
        <v>10.07</v>
      </c>
      <c r="J1854" s="2">
        <v>4.2361111111111113E-2</v>
      </c>
      <c r="K1854" s="12">
        <f>Combined[[#This Row],[Time Spent]]*24</f>
        <v>1.0166666666666666</v>
      </c>
      <c r="L1854" s="12">
        <f>MROUND(Combined[[#This Row],[Time Spent 2]],0.25)</f>
        <v>1</v>
      </c>
      <c r="M1854" s="2" t="s">
        <v>90</v>
      </c>
      <c r="N1854" t="s">
        <v>85</v>
      </c>
      <c r="O1854">
        <f>MATCH(Combined[[#This Row],[Primary Area]],KPIs!$C$4:$C$7,0)</f>
        <v>4</v>
      </c>
    </row>
    <row r="1855" spans="2:15" x14ac:dyDescent="0.35">
      <c r="B1855">
        <f t="shared" si="476"/>
        <v>1853</v>
      </c>
      <c r="C1855" t="s">
        <v>86</v>
      </c>
      <c r="D1855" t="s">
        <v>176</v>
      </c>
      <c r="E1855">
        <f>IF(WEEKNUM(Combined[[#This Row],[Date]], 1) = 53, 1, WEEKNUM(Combined[[#This Row],[Date]], 2))</f>
        <v>33</v>
      </c>
      <c r="F1855" t="str">
        <f t="shared" si="477"/>
        <v>Sunday</v>
      </c>
      <c r="G1855" s="41">
        <v>45886</v>
      </c>
      <c r="H1855">
        <v>1</v>
      </c>
      <c r="I1855" s="1">
        <v>15.98</v>
      </c>
      <c r="J1855" s="2">
        <v>2.0833333333333332E-2</v>
      </c>
      <c r="K1855" s="12">
        <f>Combined[[#This Row],[Time Spent]]*24</f>
        <v>0.5</v>
      </c>
      <c r="L1855" s="12">
        <f>MROUND(Combined[[#This Row],[Time Spent 2]],0.25)</f>
        <v>0.5</v>
      </c>
      <c r="M1855" s="2" t="s">
        <v>90</v>
      </c>
      <c r="N1855" t="s">
        <v>85</v>
      </c>
      <c r="O1855">
        <f>MATCH(Combined[[#This Row],[Primary Area]],KPIs!$C$4:$C$7,0)</f>
        <v>4</v>
      </c>
    </row>
    <row r="1856" spans="2:15" x14ac:dyDescent="0.35">
      <c r="B1856">
        <f t="shared" si="476"/>
        <v>1854</v>
      </c>
      <c r="C1856" t="s">
        <v>83</v>
      </c>
      <c r="D1856" t="s">
        <v>176</v>
      </c>
      <c r="E1856">
        <f>IF(WEEKNUM(Combined[[#This Row],[Date]], 1) = 53, 1, WEEKNUM(Combined[[#This Row],[Date]], 2))</f>
        <v>34</v>
      </c>
      <c r="F1856" t="str">
        <f t="shared" ref="F1856:F1858" si="478">TEXT(WEEKDAY(G1856,1),"DDDD")</f>
        <v>Monday</v>
      </c>
      <c r="G1856" s="41">
        <v>45887</v>
      </c>
      <c r="H1856">
        <v>1</v>
      </c>
      <c r="I1856" s="1">
        <v>5.04</v>
      </c>
      <c r="J1856" s="2">
        <v>5.347222222222222E-2</v>
      </c>
      <c r="K1856" s="12">
        <f>Combined[[#This Row],[Time Spent]]*24</f>
        <v>1.2833333333333332</v>
      </c>
      <c r="L1856" s="12">
        <f>MROUND(Combined[[#This Row],[Time Spent 2]],0.25)</f>
        <v>1.25</v>
      </c>
      <c r="M1856" s="2" t="s">
        <v>91</v>
      </c>
      <c r="N1856" t="s">
        <v>85</v>
      </c>
      <c r="O1856">
        <f>MATCH(Combined[[#This Row],[Primary Area]],KPIs!$C$4:$C$7,0)</f>
        <v>4</v>
      </c>
    </row>
    <row r="1857" spans="2:15" x14ac:dyDescent="0.35">
      <c r="B1857">
        <f t="shared" si="476"/>
        <v>1855</v>
      </c>
      <c r="C1857" t="s">
        <v>86</v>
      </c>
      <c r="D1857" t="s">
        <v>175</v>
      </c>
      <c r="E1857">
        <f>IF(WEEKNUM(Combined[[#This Row],[Date]], 1) = 53, 1, WEEKNUM(Combined[[#This Row],[Date]], 2))</f>
        <v>34</v>
      </c>
      <c r="F1857" t="str">
        <f t="shared" si="478"/>
        <v>Monday</v>
      </c>
      <c r="G1857" s="41">
        <v>45887</v>
      </c>
      <c r="H1857">
        <v>5</v>
      </c>
      <c r="I1857" s="1">
        <v>62.57</v>
      </c>
      <c r="J1857" s="2">
        <v>8.3333333333333329E-2</v>
      </c>
      <c r="K1857" s="12">
        <f>Combined[[#This Row],[Time Spent]]*24</f>
        <v>2</v>
      </c>
      <c r="L1857" s="12">
        <f>MROUND(Combined[[#This Row],[Time Spent 2]],0.25)</f>
        <v>2</v>
      </c>
      <c r="M1857" s="2" t="s">
        <v>91</v>
      </c>
      <c r="N1857" t="s">
        <v>85</v>
      </c>
      <c r="O1857">
        <f>MATCH(Combined[[#This Row],[Primary Area]],KPIs!$C$4:$C$7,0)</f>
        <v>4</v>
      </c>
    </row>
    <row r="1858" spans="2:15" x14ac:dyDescent="0.35">
      <c r="B1858">
        <f t="shared" si="476"/>
        <v>1856</v>
      </c>
      <c r="C1858" t="s">
        <v>86</v>
      </c>
      <c r="D1858" t="s">
        <v>175</v>
      </c>
      <c r="E1858">
        <f>IF(WEEKNUM(Combined[[#This Row],[Date]], 1) = 53, 1, WEEKNUM(Combined[[#This Row],[Date]], 2))</f>
        <v>34</v>
      </c>
      <c r="F1858" t="str">
        <f t="shared" si="478"/>
        <v>Monday</v>
      </c>
      <c r="G1858" s="41">
        <v>45887</v>
      </c>
      <c r="H1858">
        <v>4</v>
      </c>
      <c r="I1858" s="1">
        <v>65.86</v>
      </c>
      <c r="J1858" s="2">
        <v>0.1125</v>
      </c>
      <c r="K1858" s="12">
        <f>Combined[[#This Row],[Time Spent]]*24</f>
        <v>2.7</v>
      </c>
      <c r="L1858" s="12">
        <f>MROUND(Combined[[#This Row],[Time Spent 2]],0.25)</f>
        <v>2.75</v>
      </c>
      <c r="M1858" s="2" t="s">
        <v>91</v>
      </c>
      <c r="N1858" t="s">
        <v>85</v>
      </c>
      <c r="O1858">
        <f>MATCH(Combined[[#This Row],[Primary Area]],KPIs!$C$4:$C$7,0)</f>
        <v>4</v>
      </c>
    </row>
    <row r="1859" spans="2:15" x14ac:dyDescent="0.35">
      <c r="B1859">
        <f t="shared" si="476"/>
        <v>1857</v>
      </c>
      <c r="C1859" t="s">
        <v>83</v>
      </c>
      <c r="D1859" t="s">
        <v>176</v>
      </c>
      <c r="E1859">
        <f>IF(WEEKNUM(Combined[[#This Row],[Date]], 1) = 53, 1, WEEKNUM(Combined[[#This Row],[Date]], 2))</f>
        <v>34</v>
      </c>
      <c r="F1859" t="str">
        <f t="shared" ref="F1859:F1860" si="479">TEXT(WEEKDAY(G1859,1),"DDDD")</f>
        <v>Wednesday</v>
      </c>
      <c r="G1859" s="41">
        <v>45889</v>
      </c>
      <c r="H1859">
        <v>14</v>
      </c>
      <c r="I1859" s="1">
        <v>116.37</v>
      </c>
      <c r="J1859" s="2">
        <v>0.27777777777777779</v>
      </c>
      <c r="K1859" s="12">
        <f>Combined[[#This Row],[Time Spent]]*24</f>
        <v>6.666666666666667</v>
      </c>
      <c r="L1859" s="12">
        <f>MROUND(Combined[[#This Row],[Time Spent 2]],0.25)</f>
        <v>6.75</v>
      </c>
      <c r="M1859" s="2" t="s">
        <v>91</v>
      </c>
      <c r="N1859" t="s">
        <v>85</v>
      </c>
      <c r="O1859">
        <f>MATCH(Combined[[#This Row],[Primary Area]],KPIs!$C$4:$C$7,0)</f>
        <v>4</v>
      </c>
    </row>
    <row r="1860" spans="2:15" x14ac:dyDescent="0.35">
      <c r="B1860">
        <f t="shared" si="476"/>
        <v>1858</v>
      </c>
      <c r="C1860" t="s">
        <v>86</v>
      </c>
      <c r="D1860" t="s">
        <v>175</v>
      </c>
      <c r="E1860">
        <f>IF(WEEKNUM(Combined[[#This Row],[Date]], 1) = 53, 1, WEEKNUM(Combined[[#This Row],[Date]], 2))</f>
        <v>34</v>
      </c>
      <c r="F1860" t="str">
        <f t="shared" si="479"/>
        <v>Wednesday</v>
      </c>
      <c r="G1860" s="41">
        <v>45889</v>
      </c>
      <c r="H1860">
        <v>1</v>
      </c>
      <c r="I1860" s="1">
        <v>6.61</v>
      </c>
      <c r="J1860" s="2">
        <v>5.4166666666666669E-2</v>
      </c>
      <c r="K1860" s="12">
        <f>Combined[[#This Row],[Time Spent]]*24</f>
        <v>1.3</v>
      </c>
      <c r="L1860" s="12">
        <f>MROUND(Combined[[#This Row],[Time Spent 2]],0.25)</f>
        <v>1.25</v>
      </c>
      <c r="M1860" s="2" t="s">
        <v>91</v>
      </c>
      <c r="N1860" t="s">
        <v>85</v>
      </c>
      <c r="O1860">
        <f>MATCH(Combined[[#This Row],[Primary Area]],KPIs!$C$4:$C$7,0)</f>
        <v>4</v>
      </c>
    </row>
    <row r="1861" spans="2:15" x14ac:dyDescent="0.35">
      <c r="B1861">
        <f t="shared" si="476"/>
        <v>1859</v>
      </c>
      <c r="C1861" t="s">
        <v>83</v>
      </c>
      <c r="D1861" t="s">
        <v>176</v>
      </c>
      <c r="E1861">
        <f>IF(WEEKNUM(Combined[[#This Row],[Date]], 1) = 53, 1, WEEKNUM(Combined[[#This Row],[Date]], 2))</f>
        <v>34</v>
      </c>
      <c r="F1861" t="str">
        <f t="shared" ref="F1861:F1862" si="480">TEXT(WEEKDAY(G1861,1),"DDDD")</f>
        <v>Thursday</v>
      </c>
      <c r="G1861" s="41">
        <v>45890</v>
      </c>
      <c r="H1861">
        <v>9</v>
      </c>
      <c r="I1861" s="1">
        <v>96.59</v>
      </c>
      <c r="J1861" s="2">
        <v>0.24930555555555556</v>
      </c>
      <c r="K1861" s="12">
        <f>Combined[[#This Row],[Time Spent]]*24</f>
        <v>5.9833333333333334</v>
      </c>
      <c r="L1861" s="12">
        <f>MROUND(Combined[[#This Row],[Time Spent 2]],0.25)</f>
        <v>6</v>
      </c>
      <c r="M1861" s="2" t="s">
        <v>91</v>
      </c>
      <c r="N1861" t="s">
        <v>82</v>
      </c>
      <c r="O1861">
        <f>MATCH(Combined[[#This Row],[Primary Area]],KPIs!$C$4:$C$7,0)</f>
        <v>3</v>
      </c>
    </row>
    <row r="1862" spans="2:15" x14ac:dyDescent="0.35">
      <c r="B1862">
        <f t="shared" si="476"/>
        <v>1860</v>
      </c>
      <c r="C1862" t="s">
        <v>86</v>
      </c>
      <c r="D1862" t="s">
        <v>176</v>
      </c>
      <c r="E1862">
        <f>IF(WEEKNUM(Combined[[#This Row],[Date]], 1) = 53, 1, WEEKNUM(Combined[[#This Row],[Date]], 2))</f>
        <v>34</v>
      </c>
      <c r="F1862" t="str">
        <f t="shared" si="480"/>
        <v>Thursday</v>
      </c>
      <c r="G1862" s="41">
        <v>45890</v>
      </c>
      <c r="H1862">
        <v>2</v>
      </c>
      <c r="I1862" s="1">
        <v>27.75</v>
      </c>
      <c r="J1862" s="2">
        <v>0.13958333333333334</v>
      </c>
      <c r="K1862" s="12">
        <f>Combined[[#This Row],[Time Spent]]*24</f>
        <v>3.35</v>
      </c>
      <c r="L1862" s="12">
        <f>MROUND(Combined[[#This Row],[Time Spent 2]],0.25)</f>
        <v>3.25</v>
      </c>
      <c r="M1862" s="2" t="s">
        <v>92</v>
      </c>
      <c r="N1862" t="s">
        <v>82</v>
      </c>
      <c r="O1862">
        <f>MATCH(Combined[[#This Row],[Primary Area]],KPIs!$C$4:$C$7,0)</f>
        <v>3</v>
      </c>
    </row>
    <row r="1863" spans="2:15" x14ac:dyDescent="0.35">
      <c r="B1863">
        <f t="shared" si="476"/>
        <v>1861</v>
      </c>
      <c r="C1863" t="s">
        <v>83</v>
      </c>
      <c r="D1863" t="s">
        <v>176</v>
      </c>
      <c r="E1863">
        <f>IF(WEEKNUM(Combined[[#This Row],[Date]], 1) = 53, 1, WEEKNUM(Combined[[#This Row],[Date]], 2))</f>
        <v>34</v>
      </c>
      <c r="F1863" t="str">
        <f t="shared" ref="F1863:F1865" si="481">TEXT(WEEKDAY(G1863,1),"DDDD")</f>
        <v>Friday</v>
      </c>
      <c r="G1863" s="41">
        <v>45891</v>
      </c>
      <c r="H1863">
        <v>4</v>
      </c>
      <c r="I1863" s="1">
        <v>99.23</v>
      </c>
      <c r="J1863" s="2">
        <v>0.13125000000000001</v>
      </c>
      <c r="K1863" s="12">
        <f>Combined[[#This Row],[Time Spent]]*24</f>
        <v>3.1500000000000004</v>
      </c>
      <c r="L1863" s="12">
        <f>MROUND(Combined[[#This Row],[Time Spent 2]],0.25)</f>
        <v>3.25</v>
      </c>
      <c r="M1863" s="2" t="s">
        <v>91</v>
      </c>
      <c r="N1863" t="s">
        <v>80</v>
      </c>
      <c r="O1863">
        <f>MATCH(Combined[[#This Row],[Primary Area]],KPIs!$C$4:$C$7,0)</f>
        <v>2</v>
      </c>
    </row>
    <row r="1864" spans="2:15" x14ac:dyDescent="0.35">
      <c r="B1864">
        <f t="shared" si="476"/>
        <v>1862</v>
      </c>
      <c r="C1864" t="s">
        <v>86</v>
      </c>
      <c r="D1864" t="s">
        <v>176</v>
      </c>
      <c r="E1864">
        <f>IF(WEEKNUM(Combined[[#This Row],[Date]], 1) = 53, 1, WEEKNUM(Combined[[#This Row],[Date]], 2))</f>
        <v>34</v>
      </c>
      <c r="F1864" t="str">
        <f t="shared" si="481"/>
        <v>Friday</v>
      </c>
      <c r="G1864" s="41">
        <v>45891</v>
      </c>
      <c r="H1864">
        <v>2</v>
      </c>
      <c r="I1864" s="1">
        <v>16.2</v>
      </c>
      <c r="J1864" s="2">
        <v>7.7777777777777779E-2</v>
      </c>
      <c r="K1864" s="12">
        <f>Combined[[#This Row],[Time Spent]]*24</f>
        <v>1.8666666666666667</v>
      </c>
      <c r="L1864" s="12">
        <f>MROUND(Combined[[#This Row],[Time Spent 2]],0.25)</f>
        <v>1.75</v>
      </c>
      <c r="M1864" s="2" t="s">
        <v>91</v>
      </c>
      <c r="N1864" t="s">
        <v>80</v>
      </c>
      <c r="O1864">
        <f>MATCH(Combined[[#This Row],[Primary Area]],KPIs!$C$4:$C$7,0)</f>
        <v>2</v>
      </c>
    </row>
    <row r="1865" spans="2:15" x14ac:dyDescent="0.35">
      <c r="B1865">
        <f t="shared" si="476"/>
        <v>1863</v>
      </c>
      <c r="C1865" t="s">
        <v>86</v>
      </c>
      <c r="D1865" t="s">
        <v>176</v>
      </c>
      <c r="E1865">
        <f>IF(WEEKNUM(Combined[[#This Row],[Date]], 1) = 53, 1, WEEKNUM(Combined[[#This Row],[Date]], 2))</f>
        <v>34</v>
      </c>
      <c r="F1865" t="str">
        <f t="shared" si="481"/>
        <v>Friday</v>
      </c>
      <c r="G1865" s="41">
        <v>45891</v>
      </c>
      <c r="H1865">
        <v>7</v>
      </c>
      <c r="I1865" s="1">
        <v>62.25</v>
      </c>
      <c r="J1865" s="2">
        <v>0.1361111111111111</v>
      </c>
      <c r="K1865" s="12">
        <f>Combined[[#This Row],[Time Spent]]*24</f>
        <v>3.2666666666666666</v>
      </c>
      <c r="L1865" s="12">
        <f>MROUND(Combined[[#This Row],[Time Spent 2]],0.25)</f>
        <v>3.25</v>
      </c>
      <c r="M1865" s="2" t="s">
        <v>92</v>
      </c>
      <c r="N1865" t="s">
        <v>80</v>
      </c>
      <c r="O1865">
        <f>MATCH(Combined[[#This Row],[Primary Area]],KPIs!$C$4:$C$7,0)</f>
        <v>2</v>
      </c>
    </row>
    <row r="1866" spans="2:15" x14ac:dyDescent="0.35">
      <c r="B1866">
        <f t="shared" si="476"/>
        <v>1864</v>
      </c>
      <c r="C1866" t="s">
        <v>83</v>
      </c>
      <c r="D1866" t="s">
        <v>176</v>
      </c>
      <c r="E1866">
        <f>IF(WEEKNUM(Combined[[#This Row],[Date]], 1) = 53, 1, WEEKNUM(Combined[[#This Row],[Date]], 2))</f>
        <v>35</v>
      </c>
      <c r="F1866" t="str">
        <f t="shared" ref="F1866:F1868" si="482">TEXT(WEEKDAY(G1866,1),"DDDD")</f>
        <v>Monday</v>
      </c>
      <c r="G1866" s="41">
        <v>45894</v>
      </c>
      <c r="H1866">
        <v>8</v>
      </c>
      <c r="I1866" s="1">
        <v>81.08</v>
      </c>
      <c r="J1866" s="2">
        <v>0.1763888888888889</v>
      </c>
      <c r="K1866" s="12">
        <f>Combined[[#This Row],[Time Spent]]*24</f>
        <v>4.2333333333333334</v>
      </c>
      <c r="L1866" s="12">
        <f>MROUND(Combined[[#This Row],[Time Spent 2]],0.25)</f>
        <v>4.25</v>
      </c>
      <c r="M1866" s="2" t="s">
        <v>91</v>
      </c>
      <c r="N1866" t="s">
        <v>85</v>
      </c>
      <c r="O1866">
        <f>MATCH(Combined[[#This Row],[Primary Area]],KPIs!$C$4:$C$7,0)</f>
        <v>4</v>
      </c>
    </row>
    <row r="1867" spans="2:15" x14ac:dyDescent="0.35">
      <c r="B1867">
        <f t="shared" si="476"/>
        <v>1865</v>
      </c>
      <c r="C1867" t="s">
        <v>86</v>
      </c>
      <c r="D1867" t="s">
        <v>175</v>
      </c>
      <c r="E1867">
        <f>IF(WEEKNUM(Combined[[#This Row],[Date]], 1) = 53, 1, WEEKNUM(Combined[[#This Row],[Date]], 2))</f>
        <v>35</v>
      </c>
      <c r="F1867" t="str">
        <f t="shared" si="482"/>
        <v>Monday</v>
      </c>
      <c r="G1867" s="41">
        <v>45894</v>
      </c>
      <c r="H1867">
        <v>2</v>
      </c>
      <c r="I1867" s="1">
        <v>24.4</v>
      </c>
      <c r="J1867" s="2">
        <v>6.458333333333334E-2</v>
      </c>
      <c r="K1867" s="12">
        <f>Combined[[#This Row],[Time Spent]]*24</f>
        <v>1.5500000000000003</v>
      </c>
      <c r="L1867" s="12">
        <f>MROUND(Combined[[#This Row],[Time Spent 2]],0.25)</f>
        <v>1.5</v>
      </c>
      <c r="M1867" s="2" t="s">
        <v>91</v>
      </c>
      <c r="N1867" t="s">
        <v>85</v>
      </c>
      <c r="O1867">
        <f>MATCH(Combined[[#This Row],[Primary Area]],KPIs!$C$4:$C$7,0)</f>
        <v>4</v>
      </c>
    </row>
    <row r="1868" spans="2:15" x14ac:dyDescent="0.35">
      <c r="B1868">
        <f t="shared" si="476"/>
        <v>1866</v>
      </c>
      <c r="C1868" t="s">
        <v>86</v>
      </c>
      <c r="D1868" t="s">
        <v>175</v>
      </c>
      <c r="E1868">
        <f>IF(WEEKNUM(Combined[[#This Row],[Date]], 1) = 53, 1, WEEKNUM(Combined[[#This Row],[Date]], 2))</f>
        <v>35</v>
      </c>
      <c r="F1868" t="str">
        <f t="shared" si="482"/>
        <v>Monday</v>
      </c>
      <c r="G1868" s="41">
        <v>45894</v>
      </c>
      <c r="H1868">
        <v>4</v>
      </c>
      <c r="I1868" s="1">
        <v>36.130000000000003</v>
      </c>
      <c r="J1868" s="2">
        <v>0.10555555555555556</v>
      </c>
      <c r="K1868" s="12">
        <f>Combined[[#This Row],[Time Spent]]*24</f>
        <v>2.5333333333333332</v>
      </c>
      <c r="L1868" s="12">
        <f>MROUND(Combined[[#This Row],[Time Spent 2]],0.25)</f>
        <v>2.5</v>
      </c>
      <c r="M1868" s="2" t="s">
        <v>92</v>
      </c>
      <c r="N1868" t="s">
        <v>85</v>
      </c>
      <c r="O1868">
        <f>MATCH(Combined[[#This Row],[Primary Area]],KPIs!$C$4:$C$7,0)</f>
        <v>4</v>
      </c>
    </row>
    <row r="1869" spans="2:15" x14ac:dyDescent="0.35">
      <c r="B1869">
        <f t="shared" si="476"/>
        <v>1867</v>
      </c>
      <c r="C1869" t="s">
        <v>83</v>
      </c>
      <c r="D1869" t="s">
        <v>176</v>
      </c>
      <c r="E1869">
        <f>IF(WEEKNUM(Combined[[#This Row],[Date]], 1) = 53, 1, WEEKNUM(Combined[[#This Row],[Date]], 2))</f>
        <v>35</v>
      </c>
      <c r="F1869" t="str">
        <f t="shared" ref="F1869:F1875" si="483">TEXT(WEEKDAY(G1869,1),"DDDD")</f>
        <v>Wednesday</v>
      </c>
      <c r="G1869" s="41">
        <v>45896</v>
      </c>
      <c r="H1869">
        <v>3</v>
      </c>
      <c r="I1869" s="1">
        <v>80.67</v>
      </c>
      <c r="J1869" s="2">
        <v>0.1</v>
      </c>
      <c r="K1869" s="12">
        <f>Combined[[#This Row],[Time Spent]]*24</f>
        <v>2.4000000000000004</v>
      </c>
      <c r="L1869" s="12">
        <f>MROUND(Combined[[#This Row],[Time Spent 2]],0.25)</f>
        <v>2.5</v>
      </c>
      <c r="M1869" s="2" t="s">
        <v>91</v>
      </c>
      <c r="N1869" t="s">
        <v>80</v>
      </c>
      <c r="O1869">
        <f>MATCH(Combined[[#This Row],[Primary Area]],KPIs!$C$4:$C$7,0)</f>
        <v>2</v>
      </c>
    </row>
    <row r="1870" spans="2:15" x14ac:dyDescent="0.35">
      <c r="B1870">
        <f t="shared" si="476"/>
        <v>1868</v>
      </c>
      <c r="C1870" t="s">
        <v>86</v>
      </c>
      <c r="D1870" t="s">
        <v>176</v>
      </c>
      <c r="E1870">
        <f>IF(WEEKNUM(Combined[[#This Row],[Date]], 1) = 53, 1, WEEKNUM(Combined[[#This Row],[Date]], 2))</f>
        <v>35</v>
      </c>
      <c r="F1870" t="str">
        <f t="shared" si="483"/>
        <v>Wednesday</v>
      </c>
      <c r="G1870" s="41">
        <v>45896</v>
      </c>
      <c r="H1870">
        <v>11</v>
      </c>
      <c r="I1870" s="1">
        <v>120.66</v>
      </c>
      <c r="J1870" s="2">
        <v>0.25069444444444444</v>
      </c>
      <c r="K1870" s="12">
        <f>Combined[[#This Row],[Time Spent]]*24</f>
        <v>6.0166666666666666</v>
      </c>
      <c r="L1870" s="12">
        <f>MROUND(Combined[[#This Row],[Time Spent 2]],0.25)</f>
        <v>6</v>
      </c>
      <c r="M1870" s="2" t="s">
        <v>91</v>
      </c>
      <c r="N1870" t="s">
        <v>80</v>
      </c>
      <c r="O1870">
        <f>MATCH(Combined[[#This Row],[Primary Area]],KPIs!$C$4:$C$7,0)</f>
        <v>2</v>
      </c>
    </row>
    <row r="1871" spans="2:15" x14ac:dyDescent="0.35">
      <c r="B1871">
        <f t="shared" si="476"/>
        <v>1869</v>
      </c>
      <c r="C1871" t="s">
        <v>83</v>
      </c>
      <c r="D1871" t="s">
        <v>176</v>
      </c>
      <c r="E1871">
        <f>IF(WEEKNUM(Combined[[#This Row],[Date]], 1) = 53, 1, WEEKNUM(Combined[[#This Row],[Date]], 2))</f>
        <v>35</v>
      </c>
      <c r="F1871" t="str">
        <f t="shared" si="483"/>
        <v>Thursday</v>
      </c>
      <c r="G1871" s="41">
        <v>45897</v>
      </c>
      <c r="H1871">
        <v>4</v>
      </c>
      <c r="I1871" s="1">
        <v>50.21</v>
      </c>
      <c r="J1871" s="2">
        <v>0.11041666666666666</v>
      </c>
      <c r="K1871" s="12">
        <f>Combined[[#This Row],[Time Spent]]*24</f>
        <v>2.65</v>
      </c>
      <c r="L1871" s="12">
        <f>MROUND(Combined[[#This Row],[Time Spent 2]],0.25)</f>
        <v>2.75</v>
      </c>
      <c r="M1871" s="2" t="s">
        <v>91</v>
      </c>
      <c r="N1871" t="s">
        <v>80</v>
      </c>
      <c r="O1871">
        <f>MATCH(Combined[[#This Row],[Primary Area]],KPIs!$C$4:$C$7,0)</f>
        <v>2</v>
      </c>
    </row>
    <row r="1872" spans="2:15" x14ac:dyDescent="0.35">
      <c r="B1872">
        <f t="shared" si="476"/>
        <v>1870</v>
      </c>
      <c r="C1872" t="s">
        <v>86</v>
      </c>
      <c r="D1872" t="s">
        <v>176</v>
      </c>
      <c r="E1872">
        <f>IF(WEEKNUM(Combined[[#This Row],[Date]], 1) = 53, 1, WEEKNUM(Combined[[#This Row],[Date]], 2))</f>
        <v>35</v>
      </c>
      <c r="F1872" t="str">
        <f t="shared" si="483"/>
        <v>Thursday</v>
      </c>
      <c r="G1872" s="41">
        <v>45897</v>
      </c>
      <c r="H1872">
        <v>8</v>
      </c>
      <c r="I1872" s="1">
        <v>74</v>
      </c>
      <c r="J1872" s="2">
        <v>0.17430555555555555</v>
      </c>
      <c r="K1872" s="12">
        <f>Combined[[#This Row],[Time Spent]]*24</f>
        <v>4.1833333333333336</v>
      </c>
      <c r="L1872" s="12">
        <f>MROUND(Combined[[#This Row],[Time Spent 2]],0.25)</f>
        <v>4.25</v>
      </c>
      <c r="M1872" s="2" t="s">
        <v>91</v>
      </c>
      <c r="N1872" t="s">
        <v>80</v>
      </c>
      <c r="O1872">
        <f>MATCH(Combined[[#This Row],[Primary Area]],KPIs!$C$4:$C$7,0)</f>
        <v>2</v>
      </c>
    </row>
    <row r="1873" spans="2:15" x14ac:dyDescent="0.35">
      <c r="B1873">
        <f t="shared" si="476"/>
        <v>1871</v>
      </c>
      <c r="C1873" t="s">
        <v>83</v>
      </c>
      <c r="D1873" t="s">
        <v>176</v>
      </c>
      <c r="E1873">
        <f>IF(WEEKNUM(Combined[[#This Row],[Date]], 1) = 53, 1, WEEKNUM(Combined[[#This Row],[Date]], 2))</f>
        <v>35</v>
      </c>
      <c r="F1873" t="str">
        <f t="shared" si="483"/>
        <v>Friday</v>
      </c>
      <c r="G1873" s="41">
        <v>45898</v>
      </c>
      <c r="H1873">
        <v>4</v>
      </c>
      <c r="I1873" s="1">
        <v>52.69</v>
      </c>
      <c r="J1873" s="2">
        <v>0.14097222222222222</v>
      </c>
      <c r="K1873" s="12">
        <f>Combined[[#This Row],[Time Spent]]*24</f>
        <v>3.3833333333333333</v>
      </c>
      <c r="L1873" s="12">
        <f>MROUND(Combined[[#This Row],[Time Spent 2]],0.25)</f>
        <v>3.5</v>
      </c>
      <c r="M1873" s="2" t="s">
        <v>91</v>
      </c>
      <c r="N1873" t="s">
        <v>80</v>
      </c>
      <c r="O1873">
        <f>MATCH(Combined[[#This Row],[Primary Area]],KPIs!$C$4:$C$7,0)</f>
        <v>2</v>
      </c>
    </row>
    <row r="1874" spans="2:15" x14ac:dyDescent="0.35">
      <c r="B1874">
        <f t="shared" si="476"/>
        <v>1872</v>
      </c>
      <c r="C1874" t="s">
        <v>86</v>
      </c>
      <c r="D1874" t="s">
        <v>176</v>
      </c>
      <c r="E1874">
        <f>IF(WEEKNUM(Combined[[#This Row],[Date]], 1) = 53, 1, WEEKNUM(Combined[[#This Row],[Date]], 2))</f>
        <v>35</v>
      </c>
      <c r="F1874" t="str">
        <f t="shared" si="483"/>
        <v>Friday</v>
      </c>
      <c r="G1874" s="41">
        <v>45898</v>
      </c>
      <c r="H1874">
        <v>8</v>
      </c>
      <c r="I1874" s="1">
        <f>77+7.25+13.75</f>
        <v>98</v>
      </c>
      <c r="J1874" s="2">
        <v>0.26458333333333334</v>
      </c>
      <c r="K1874" s="12">
        <f>Combined[[#This Row],[Time Spent]]*24</f>
        <v>6.35</v>
      </c>
      <c r="L1874" s="12">
        <f>MROUND(Combined[[#This Row],[Time Spent 2]],0.25)</f>
        <v>6.25</v>
      </c>
      <c r="M1874" s="2" t="s">
        <v>91</v>
      </c>
      <c r="N1874" t="s">
        <v>80</v>
      </c>
      <c r="O1874">
        <f>MATCH(Combined[[#This Row],[Primary Area]],KPIs!$C$4:$C$7,0)</f>
        <v>2</v>
      </c>
    </row>
    <row r="1875" spans="2:15" x14ac:dyDescent="0.35">
      <c r="B1875">
        <f t="shared" si="476"/>
        <v>1873</v>
      </c>
      <c r="C1875" t="s">
        <v>83</v>
      </c>
      <c r="D1875" t="s">
        <v>176</v>
      </c>
      <c r="E1875">
        <f>IF(WEEKNUM(Combined[[#This Row],[Date]], 1) = 53, 1, WEEKNUM(Combined[[#This Row],[Date]], 2))</f>
        <v>35</v>
      </c>
      <c r="F1875" t="str">
        <f t="shared" si="483"/>
        <v>Sunday</v>
      </c>
      <c r="G1875" s="41">
        <v>45900</v>
      </c>
      <c r="H1875">
        <v>1</v>
      </c>
      <c r="I1875" s="1">
        <v>21.04</v>
      </c>
      <c r="J1875" s="2">
        <v>4.027777777777778E-2</v>
      </c>
      <c r="K1875" s="12">
        <f>Combined[[#This Row],[Time Spent]]*24</f>
        <v>0.96666666666666679</v>
      </c>
      <c r="L1875" s="12">
        <f>MROUND(Combined[[#This Row],[Time Spent 2]],0.25)</f>
        <v>1</v>
      </c>
      <c r="M1875" s="2" t="s">
        <v>91</v>
      </c>
      <c r="N1875" t="s">
        <v>80</v>
      </c>
      <c r="O1875">
        <f>MATCH(Combined[[#This Row],[Primary Area]],KPIs!$C$4:$C$7,0)</f>
        <v>2</v>
      </c>
    </row>
    <row r="1876" spans="2:15" x14ac:dyDescent="0.35">
      <c r="B1876">
        <f t="shared" si="476"/>
        <v>1874</v>
      </c>
      <c r="C1876" t="s">
        <v>83</v>
      </c>
      <c r="D1876" t="s">
        <v>175</v>
      </c>
      <c r="E1876">
        <f>IF(WEEKNUM(Combined[[#This Row],[Date]], 1) = 53, 1, WEEKNUM(Combined[[#This Row],[Date]], 2))</f>
        <v>36</v>
      </c>
      <c r="F1876" t="str">
        <f t="shared" ref="F1876:F1877" si="484">TEXT(WEEKDAY(G1876,1),"DDDD")</f>
        <v>Monday</v>
      </c>
      <c r="G1876" s="41">
        <v>45901</v>
      </c>
      <c r="H1876">
        <v>7</v>
      </c>
      <c r="I1876" s="1">
        <v>166.97</v>
      </c>
      <c r="J1876" s="2">
        <v>0.22638888888888889</v>
      </c>
      <c r="K1876" s="12">
        <f>Combined[[#This Row],[Time Spent]]*24</f>
        <v>5.4333333333333336</v>
      </c>
      <c r="L1876" s="12">
        <f>MROUND(Combined[[#This Row],[Time Spent 2]],0.25)</f>
        <v>5.5</v>
      </c>
      <c r="M1876" s="2" t="s">
        <v>91</v>
      </c>
      <c r="N1876" t="s">
        <v>80</v>
      </c>
      <c r="O1876">
        <f>MATCH(Combined[[#This Row],[Primary Area]],KPIs!$C$4:$C$7,0)</f>
        <v>2</v>
      </c>
    </row>
    <row r="1877" spans="2:15" x14ac:dyDescent="0.35">
      <c r="B1877">
        <f t="shared" si="476"/>
        <v>1875</v>
      </c>
      <c r="C1877" t="s">
        <v>86</v>
      </c>
      <c r="D1877" t="s">
        <v>176</v>
      </c>
      <c r="E1877">
        <f>IF(WEEKNUM(Combined[[#This Row],[Date]], 1) = 53, 1, WEEKNUM(Combined[[#This Row],[Date]], 2))</f>
        <v>36</v>
      </c>
      <c r="F1877" t="str">
        <f t="shared" si="484"/>
        <v>Monday</v>
      </c>
      <c r="G1877" s="41">
        <v>45901</v>
      </c>
      <c r="H1877">
        <v>3</v>
      </c>
      <c r="I1877" s="1">
        <v>33.5</v>
      </c>
      <c r="J1877" s="2">
        <v>8.7499999999999994E-2</v>
      </c>
      <c r="K1877" s="12">
        <f>Combined[[#This Row],[Time Spent]]*24</f>
        <v>2.0999999999999996</v>
      </c>
      <c r="L1877" s="12">
        <f>MROUND(Combined[[#This Row],[Time Spent 2]],0.25)</f>
        <v>2</v>
      </c>
      <c r="M1877" s="2" t="s">
        <v>92</v>
      </c>
      <c r="N1877" t="s">
        <v>80</v>
      </c>
      <c r="O1877">
        <f>MATCH(Combined[[#This Row],[Primary Area]],KPIs!$C$4:$C$7,0)</f>
        <v>2</v>
      </c>
    </row>
    <row r="1878" spans="2:15" x14ac:dyDescent="0.35">
      <c r="B1878">
        <f t="shared" si="476"/>
        <v>1876</v>
      </c>
      <c r="C1878" t="s">
        <v>83</v>
      </c>
      <c r="D1878" t="s">
        <v>176</v>
      </c>
      <c r="E1878">
        <f>IF(WEEKNUM(Combined[[#This Row],[Date]], 1) = 53, 1, WEEKNUM(Combined[[#This Row],[Date]], 2))</f>
        <v>36</v>
      </c>
      <c r="F1878" t="str">
        <f t="shared" ref="F1878:F1879" si="485">TEXT(WEEKDAY(G1878,1),"DDDD")</f>
        <v>Tuesday</v>
      </c>
      <c r="G1878" s="41">
        <v>45902</v>
      </c>
      <c r="H1878">
        <v>6</v>
      </c>
      <c r="I1878" s="1">
        <v>60.42</v>
      </c>
      <c r="J1878" s="2">
        <v>0.12777777777777777</v>
      </c>
      <c r="K1878" s="12">
        <f>Combined[[#This Row],[Time Spent]]*24</f>
        <v>3.0666666666666664</v>
      </c>
      <c r="L1878" s="12">
        <f>MROUND(Combined[[#This Row],[Time Spent 2]],0.25)</f>
        <v>3</v>
      </c>
      <c r="M1878" s="2" t="s">
        <v>91</v>
      </c>
      <c r="N1878" t="s">
        <v>85</v>
      </c>
      <c r="O1878">
        <f>MATCH(Combined[[#This Row],[Primary Area]],KPIs!$C$4:$C$7,0)</f>
        <v>4</v>
      </c>
    </row>
    <row r="1879" spans="2:15" x14ac:dyDescent="0.35">
      <c r="B1879">
        <f t="shared" si="476"/>
        <v>1877</v>
      </c>
      <c r="C1879" t="s">
        <v>86</v>
      </c>
      <c r="D1879" t="s">
        <v>176</v>
      </c>
      <c r="E1879">
        <f>IF(WEEKNUM(Combined[[#This Row],[Date]], 1) = 53, 1, WEEKNUM(Combined[[#This Row],[Date]], 2))</f>
        <v>36</v>
      </c>
      <c r="F1879" t="str">
        <f t="shared" si="485"/>
        <v>Tuesday</v>
      </c>
      <c r="G1879" s="41">
        <v>45902</v>
      </c>
      <c r="H1879">
        <v>3</v>
      </c>
      <c r="I1879" s="1">
        <v>44.97</v>
      </c>
      <c r="J1879" s="2">
        <v>6.3888888888888884E-2</v>
      </c>
      <c r="K1879" s="12">
        <f>Combined[[#This Row],[Time Spent]]*24</f>
        <v>1.5333333333333332</v>
      </c>
      <c r="L1879" s="12">
        <f>MROUND(Combined[[#This Row],[Time Spent 2]],0.25)</f>
        <v>1.5</v>
      </c>
      <c r="M1879" s="2" t="s">
        <v>91</v>
      </c>
      <c r="N1879" t="s">
        <v>85</v>
      </c>
      <c r="O1879">
        <f>MATCH(Combined[[#This Row],[Primary Area]],KPIs!$C$4:$C$7,0)</f>
        <v>4</v>
      </c>
    </row>
    <row r="1880" spans="2:15" x14ac:dyDescent="0.35">
      <c r="B1880">
        <f t="shared" si="476"/>
        <v>1878</v>
      </c>
      <c r="C1880" t="s">
        <v>83</v>
      </c>
      <c r="D1880" t="s">
        <v>176</v>
      </c>
      <c r="E1880">
        <f>IF(WEEKNUM(Combined[[#This Row],[Date]], 1) = 53, 1, WEEKNUM(Combined[[#This Row],[Date]], 2))</f>
        <v>36</v>
      </c>
      <c r="F1880" t="str">
        <f t="shared" ref="F1880:F1882" si="486">TEXT(WEEKDAY(G1880,1),"DDDD")</f>
        <v>Thursday</v>
      </c>
      <c r="G1880" s="41">
        <v>45904</v>
      </c>
      <c r="H1880">
        <v>1</v>
      </c>
      <c r="I1880" s="1">
        <v>16.28</v>
      </c>
      <c r="J1880" s="2">
        <v>4.3055555555555555E-2</v>
      </c>
      <c r="K1880" s="12">
        <f>Combined[[#This Row],[Time Spent]]*24</f>
        <v>1.0333333333333332</v>
      </c>
      <c r="L1880" s="12">
        <f>MROUND(Combined[[#This Row],[Time Spent 2]],0.25)</f>
        <v>1</v>
      </c>
      <c r="M1880" s="2" t="s">
        <v>91</v>
      </c>
      <c r="N1880" t="s">
        <v>82</v>
      </c>
      <c r="O1880">
        <f>MATCH(Combined[[#This Row],[Primary Area]],KPIs!$C$4:$C$7,0)</f>
        <v>3</v>
      </c>
    </row>
    <row r="1881" spans="2:15" x14ac:dyDescent="0.35">
      <c r="B1881">
        <f t="shared" si="476"/>
        <v>1879</v>
      </c>
      <c r="C1881" t="s">
        <v>86</v>
      </c>
      <c r="D1881" t="s">
        <v>176</v>
      </c>
      <c r="E1881">
        <f>IF(WEEKNUM(Combined[[#This Row],[Date]], 1) = 53, 1, WEEKNUM(Combined[[#This Row],[Date]], 2))</f>
        <v>36</v>
      </c>
      <c r="F1881" t="str">
        <f t="shared" si="486"/>
        <v>Thursday</v>
      </c>
      <c r="G1881" s="41">
        <v>45904</v>
      </c>
      <c r="H1881">
        <v>1</v>
      </c>
      <c r="I1881" s="1">
        <v>9.5</v>
      </c>
      <c r="J1881" s="2">
        <v>7.9861111111111105E-2</v>
      </c>
      <c r="K1881" s="12">
        <f>Combined[[#This Row],[Time Spent]]*24</f>
        <v>1.9166666666666665</v>
      </c>
      <c r="L1881" s="12">
        <f>MROUND(Combined[[#This Row],[Time Spent 2]],0.25)</f>
        <v>2</v>
      </c>
      <c r="M1881" s="2" t="s">
        <v>91</v>
      </c>
      <c r="N1881" t="s">
        <v>82</v>
      </c>
      <c r="O1881">
        <f>MATCH(Combined[[#This Row],[Primary Area]],KPIs!$C$4:$C$7,0)</f>
        <v>3</v>
      </c>
    </row>
    <row r="1882" spans="2:15" x14ac:dyDescent="0.35">
      <c r="B1882">
        <f t="shared" si="476"/>
        <v>1880</v>
      </c>
      <c r="C1882" t="s">
        <v>83</v>
      </c>
      <c r="D1882" t="s">
        <v>176</v>
      </c>
      <c r="E1882">
        <f>IF(WEEKNUM(Combined[[#This Row],[Date]], 1) = 53, 1, WEEKNUM(Combined[[#This Row],[Date]], 2))</f>
        <v>36</v>
      </c>
      <c r="F1882" t="str">
        <f t="shared" si="486"/>
        <v>Saturday</v>
      </c>
      <c r="G1882" s="41">
        <v>45906</v>
      </c>
      <c r="H1882">
        <v>1</v>
      </c>
      <c r="I1882" s="1">
        <v>15.52</v>
      </c>
      <c r="J1882" s="2">
        <v>7.7083333333333337E-2</v>
      </c>
      <c r="K1882" s="12">
        <f>Combined[[#This Row],[Time Spent]]*24</f>
        <v>1.85</v>
      </c>
      <c r="L1882" s="12">
        <f>MROUND(Combined[[#This Row],[Time Spent 2]],0.25)</f>
        <v>1.75</v>
      </c>
      <c r="M1882" s="2" t="s">
        <v>91</v>
      </c>
      <c r="N1882" t="s">
        <v>82</v>
      </c>
      <c r="O1882">
        <f>MATCH(Combined[[#This Row],[Primary Area]],KPIs!$C$4:$C$7,0)</f>
        <v>3</v>
      </c>
    </row>
    <row r="1883" spans="2:15" x14ac:dyDescent="0.35">
      <c r="B1883">
        <f t="shared" si="476"/>
        <v>1881</v>
      </c>
      <c r="C1883" t="s">
        <v>86</v>
      </c>
      <c r="D1883" t="s">
        <v>175</v>
      </c>
      <c r="E1883">
        <f>IF(WEEKNUM(Combined[[#This Row],[Date]], 1) = 53, 1, WEEKNUM(Combined[[#This Row],[Date]], 2))</f>
        <v>36</v>
      </c>
      <c r="F1883" t="str">
        <f t="shared" ref="F1883" si="487">TEXT(WEEKDAY(G1883,1),"DDDD")</f>
        <v>Saturday</v>
      </c>
      <c r="G1883" s="41">
        <v>45906</v>
      </c>
      <c r="H1883">
        <f>15+2</f>
        <v>17</v>
      </c>
      <c r="I1883" s="1">
        <f>130.52+2+9.41</f>
        <v>141.93</v>
      </c>
      <c r="J1883" s="2">
        <v>0.29722222222222222</v>
      </c>
      <c r="K1883" s="12">
        <f>Combined[[#This Row],[Time Spent]]*24</f>
        <v>7.1333333333333329</v>
      </c>
      <c r="L1883" s="12">
        <f>MROUND(Combined[[#This Row],[Time Spent 2]],0.25)</f>
        <v>7.25</v>
      </c>
      <c r="M1883" s="2" t="s">
        <v>91</v>
      </c>
      <c r="N1883" t="s">
        <v>82</v>
      </c>
      <c r="O1883">
        <f>MATCH(Combined[[#This Row],[Primary Area]],KPIs!$C$4:$C$7,0)</f>
        <v>3</v>
      </c>
    </row>
    <row r="1884" spans="2:15" x14ac:dyDescent="0.35">
      <c r="B1884">
        <f t="shared" si="476"/>
        <v>1882</v>
      </c>
      <c r="C1884" t="s">
        <v>86</v>
      </c>
      <c r="D1884" t="s">
        <v>176</v>
      </c>
      <c r="E1884">
        <f>IF(WEEKNUM(Combined[[#This Row],[Date]], 1) = 53, 1, WEEKNUM(Combined[[#This Row],[Date]], 2))</f>
        <v>36</v>
      </c>
      <c r="F1884" t="str">
        <f>TEXT(WEEKDAY(G1884,1),"DDDD")</f>
        <v>Sunday</v>
      </c>
      <c r="G1884" s="41">
        <v>45907</v>
      </c>
      <c r="H1884">
        <v>7</v>
      </c>
      <c r="I1884" s="1">
        <v>48.61</v>
      </c>
      <c r="J1884" s="2">
        <v>9.375E-2</v>
      </c>
      <c r="K1884" s="12">
        <f>Combined[[#This Row],[Time Spent]]*24</f>
        <v>2.25</v>
      </c>
      <c r="L1884" s="12">
        <f>MROUND(Combined[[#This Row],[Time Spent 2]],0.25)</f>
        <v>2.25</v>
      </c>
      <c r="M1884" s="2" t="s">
        <v>90</v>
      </c>
      <c r="N1884" t="s">
        <v>80</v>
      </c>
      <c r="O1884">
        <f>MATCH(Combined[[#This Row],[Primary Area]],KPIs!$C$4:$C$7,0)</f>
        <v>2</v>
      </c>
    </row>
    <row r="1885" spans="2:15" x14ac:dyDescent="0.35">
      <c r="B1885">
        <f t="shared" si="476"/>
        <v>1883</v>
      </c>
      <c r="C1885" t="s">
        <v>83</v>
      </c>
      <c r="D1885" t="s">
        <v>176</v>
      </c>
      <c r="E1885">
        <f>IF(WEEKNUM(Combined[[#This Row],[Date]], 1) = 53, 1, WEEKNUM(Combined[[#This Row],[Date]], 2))</f>
        <v>37</v>
      </c>
      <c r="F1885" t="str">
        <f t="shared" ref="F1885:F1887" si="488">TEXT(WEEKDAY(G1885,1),"DDDD")</f>
        <v>Monday</v>
      </c>
      <c r="G1885" s="41">
        <v>45908</v>
      </c>
      <c r="H1885">
        <v>6</v>
      </c>
      <c r="I1885" s="1">
        <v>76.88</v>
      </c>
      <c r="J1885" s="2">
        <v>0.16527777777777777</v>
      </c>
      <c r="K1885" s="12">
        <f>Combined[[#This Row],[Time Spent]]*24</f>
        <v>3.9666666666666668</v>
      </c>
      <c r="L1885" s="12">
        <f>MROUND(Combined[[#This Row],[Time Spent 2]],0.25)</f>
        <v>4</v>
      </c>
      <c r="M1885" s="2" t="s">
        <v>91</v>
      </c>
      <c r="N1885" t="s">
        <v>85</v>
      </c>
      <c r="O1885">
        <f>MATCH(Combined[[#This Row],[Primary Area]],KPIs!$C$4:$C$7,0)</f>
        <v>4</v>
      </c>
    </row>
    <row r="1886" spans="2:15" x14ac:dyDescent="0.35">
      <c r="B1886">
        <f t="shared" si="476"/>
        <v>1884</v>
      </c>
      <c r="C1886" t="s">
        <v>86</v>
      </c>
      <c r="D1886" t="s">
        <v>175</v>
      </c>
      <c r="E1886">
        <f>IF(WEEKNUM(Combined[[#This Row],[Date]], 1) = 53, 1, WEEKNUM(Combined[[#This Row],[Date]], 2))</f>
        <v>37</v>
      </c>
      <c r="F1886" t="str">
        <f t="shared" si="488"/>
        <v>Monday</v>
      </c>
      <c r="G1886" s="41">
        <v>45908</v>
      </c>
      <c r="H1886">
        <v>1</v>
      </c>
      <c r="I1886" s="1">
        <v>13.35</v>
      </c>
      <c r="J1886" s="2">
        <v>9.3055555555555558E-2</v>
      </c>
      <c r="K1886" s="12">
        <f>Combined[[#This Row],[Time Spent]]*24</f>
        <v>2.2333333333333334</v>
      </c>
      <c r="L1886" s="12">
        <f>MROUND(Combined[[#This Row],[Time Spent 2]],0.25)</f>
        <v>2.25</v>
      </c>
      <c r="M1886" s="2" t="s">
        <v>91</v>
      </c>
      <c r="N1886" t="s">
        <v>85</v>
      </c>
      <c r="O1886">
        <f>MATCH(Combined[[#This Row],[Primary Area]],KPIs!$C$4:$C$7,0)</f>
        <v>4</v>
      </c>
    </row>
    <row r="1887" spans="2:15" x14ac:dyDescent="0.35">
      <c r="B1887">
        <f t="shared" si="476"/>
        <v>1885</v>
      </c>
      <c r="C1887" t="s">
        <v>86</v>
      </c>
      <c r="D1887" t="s">
        <v>176</v>
      </c>
      <c r="E1887">
        <f>IF(WEEKNUM(Combined[[#This Row],[Date]], 1) = 53, 1, WEEKNUM(Combined[[#This Row],[Date]], 2))</f>
        <v>37</v>
      </c>
      <c r="F1887" t="str">
        <f t="shared" si="488"/>
        <v>Monday</v>
      </c>
      <c r="G1887" s="41">
        <v>45908</v>
      </c>
      <c r="H1887">
        <v>2</v>
      </c>
      <c r="I1887" s="1">
        <v>19</v>
      </c>
      <c r="J1887" s="2">
        <v>5.7638888888888892E-2</v>
      </c>
      <c r="K1887" s="12">
        <f>Combined[[#This Row],[Time Spent]]*24</f>
        <v>1.3833333333333333</v>
      </c>
      <c r="L1887" s="12">
        <f>MROUND(Combined[[#This Row],[Time Spent 2]],0.25)</f>
        <v>1.5</v>
      </c>
      <c r="M1887" s="2" t="s">
        <v>92</v>
      </c>
      <c r="N1887" t="s">
        <v>85</v>
      </c>
      <c r="O1887">
        <f>MATCH(Combined[[#This Row],[Primary Area]],KPIs!$C$4:$C$7,0)</f>
        <v>4</v>
      </c>
    </row>
    <row r="1888" spans="2:15" x14ac:dyDescent="0.35">
      <c r="B1888">
        <f t="shared" si="476"/>
        <v>1886</v>
      </c>
      <c r="C1888" t="s">
        <v>86</v>
      </c>
      <c r="D1888" t="s">
        <v>176</v>
      </c>
      <c r="E1888">
        <f>IF(WEEKNUM(Combined[[#This Row],[Date]], 1) = 53, 1, WEEKNUM(Combined[[#This Row],[Date]], 2))</f>
        <v>37</v>
      </c>
      <c r="F1888" t="str">
        <f>TEXT(WEEKDAY(G1888,1),"DDDD")</f>
        <v>Monday</v>
      </c>
      <c r="G1888" s="41">
        <v>45908</v>
      </c>
      <c r="H1888">
        <v>1</v>
      </c>
      <c r="I1888" s="1">
        <v>6.5</v>
      </c>
      <c r="J1888" s="2">
        <v>2.013888888888889E-2</v>
      </c>
      <c r="K1888" s="12">
        <f>Combined[[#This Row],[Time Spent]]*24</f>
        <v>0.48333333333333339</v>
      </c>
      <c r="L1888" s="12">
        <f>MROUND(Combined[[#This Row],[Time Spent 2]],0.25)</f>
        <v>0.5</v>
      </c>
      <c r="M1888" s="2" t="s">
        <v>92</v>
      </c>
      <c r="N1888" t="s">
        <v>85</v>
      </c>
      <c r="O1888">
        <f>MATCH(Combined[[#This Row],[Primary Area]],KPIs!$C$4:$C$7,0)</f>
        <v>4</v>
      </c>
    </row>
    <row r="1889" spans="2:15" x14ac:dyDescent="0.35">
      <c r="B1889">
        <f t="shared" si="476"/>
        <v>1887</v>
      </c>
      <c r="C1889" t="s">
        <v>86</v>
      </c>
      <c r="D1889" t="s">
        <v>176</v>
      </c>
      <c r="E1889">
        <f>IF(WEEKNUM(Combined[[#This Row],[Date]], 1) = 53, 1, WEEKNUM(Combined[[#This Row],[Date]], 2))</f>
        <v>37</v>
      </c>
      <c r="F1889" t="str">
        <f t="shared" ref="F1889" si="489">TEXT(WEEKDAY(G1889,1),"DDDD")</f>
        <v>Tuesday</v>
      </c>
      <c r="G1889" s="41">
        <v>45909</v>
      </c>
      <c r="H1889">
        <v>7</v>
      </c>
      <c r="I1889" s="1">
        <f>91.07+6.37</f>
        <v>97.44</v>
      </c>
      <c r="J1889" s="2">
        <v>0.21736111111111112</v>
      </c>
      <c r="K1889" s="12">
        <f>Combined[[#This Row],[Time Spent]]*24</f>
        <v>5.2166666666666668</v>
      </c>
      <c r="L1889" s="12">
        <f>MROUND(Combined[[#This Row],[Time Spent 2]],0.25)</f>
        <v>5.25</v>
      </c>
      <c r="M1889" s="2" t="s">
        <v>91</v>
      </c>
      <c r="N1889" t="s">
        <v>80</v>
      </c>
      <c r="O1889">
        <f>MATCH(Combined[[#This Row],[Primary Area]],KPIs!$C$4:$C$7,0)</f>
        <v>2</v>
      </c>
    </row>
    <row r="1890" spans="2:15" x14ac:dyDescent="0.35">
      <c r="B1890">
        <f t="shared" si="476"/>
        <v>1888</v>
      </c>
      <c r="C1890" t="s">
        <v>83</v>
      </c>
      <c r="D1890" t="s">
        <v>176</v>
      </c>
      <c r="E1890">
        <f>IF(WEEKNUM(Combined[[#This Row],[Date]], 1) = 53, 1, WEEKNUM(Combined[[#This Row],[Date]], 2))</f>
        <v>37</v>
      </c>
      <c r="F1890" t="str">
        <f t="shared" ref="F1890:F1892" si="490">TEXT(WEEKDAY(G1890,1),"DDDD")</f>
        <v>Thursday</v>
      </c>
      <c r="G1890" s="41">
        <v>45911</v>
      </c>
      <c r="H1890">
        <v>5</v>
      </c>
      <c r="I1890" s="1">
        <v>98.64</v>
      </c>
      <c r="J1890" s="2">
        <v>0.14861111111111111</v>
      </c>
      <c r="K1890" s="12">
        <f>Combined[[#This Row],[Time Spent]]*24</f>
        <v>3.5666666666666664</v>
      </c>
      <c r="L1890" s="12">
        <f>MROUND(Combined[[#This Row],[Time Spent 2]],0.25)</f>
        <v>3.5</v>
      </c>
      <c r="M1890" s="2" t="s">
        <v>91</v>
      </c>
      <c r="N1890" t="s">
        <v>85</v>
      </c>
      <c r="O1890">
        <f>MATCH(Combined[[#This Row],[Primary Area]],KPIs!$C$4:$C$7,0)</f>
        <v>4</v>
      </c>
    </row>
    <row r="1891" spans="2:15" x14ac:dyDescent="0.35">
      <c r="B1891">
        <f t="shared" si="476"/>
        <v>1889</v>
      </c>
      <c r="C1891" t="s">
        <v>86</v>
      </c>
      <c r="D1891" t="s">
        <v>175</v>
      </c>
      <c r="E1891">
        <f>IF(WEEKNUM(Combined[[#This Row],[Date]], 1) = 53, 1, WEEKNUM(Combined[[#This Row],[Date]], 2))</f>
        <v>37</v>
      </c>
      <c r="F1891" t="str">
        <f t="shared" si="490"/>
        <v>Thursday</v>
      </c>
      <c r="G1891" s="41">
        <v>45911</v>
      </c>
      <c r="H1891">
        <v>4</v>
      </c>
      <c r="I1891" s="1">
        <v>34.03</v>
      </c>
      <c r="J1891" s="2">
        <v>0.11041666666666666</v>
      </c>
      <c r="K1891" s="12">
        <f>Combined[[#This Row],[Time Spent]]*24</f>
        <v>2.65</v>
      </c>
      <c r="L1891" s="12">
        <f>MROUND(Combined[[#This Row],[Time Spent 2]],0.25)</f>
        <v>2.75</v>
      </c>
      <c r="M1891" s="2" t="s">
        <v>91</v>
      </c>
      <c r="N1891" t="s">
        <v>85</v>
      </c>
      <c r="O1891">
        <f>MATCH(Combined[[#This Row],[Primary Area]],KPIs!$C$4:$C$7,0)</f>
        <v>4</v>
      </c>
    </row>
    <row r="1892" spans="2:15" x14ac:dyDescent="0.35">
      <c r="B1892">
        <f t="shared" si="476"/>
        <v>1890</v>
      </c>
      <c r="C1892" t="s">
        <v>86</v>
      </c>
      <c r="D1892" t="s">
        <v>175</v>
      </c>
      <c r="E1892">
        <f>IF(WEEKNUM(Combined[[#This Row],[Date]], 1) = 53, 1, WEEKNUM(Combined[[#This Row],[Date]], 2))</f>
        <v>37</v>
      </c>
      <c r="F1892" t="str">
        <f t="shared" si="490"/>
        <v>Thursday</v>
      </c>
      <c r="G1892" s="41">
        <v>45911</v>
      </c>
      <c r="H1892">
        <v>2</v>
      </c>
      <c r="I1892" s="1">
        <v>20.69</v>
      </c>
      <c r="J1892" s="2">
        <v>4.2361111111111113E-2</v>
      </c>
      <c r="K1892" s="12">
        <f>Combined[[#This Row],[Time Spent]]*24</f>
        <v>1.0166666666666666</v>
      </c>
      <c r="L1892" s="12">
        <f>MROUND(Combined[[#This Row],[Time Spent 2]],0.25)</f>
        <v>1</v>
      </c>
      <c r="M1892" s="2" t="s">
        <v>92</v>
      </c>
      <c r="N1892" t="s">
        <v>85</v>
      </c>
      <c r="O1892">
        <f>MATCH(Combined[[#This Row],[Primary Area]],KPIs!$C$4:$C$7,0)</f>
        <v>4</v>
      </c>
    </row>
    <row r="1893" spans="2:15" x14ac:dyDescent="0.35">
      <c r="B1893">
        <f t="shared" si="476"/>
        <v>1891</v>
      </c>
      <c r="C1893" t="s">
        <v>83</v>
      </c>
      <c r="D1893" t="s">
        <v>176</v>
      </c>
      <c r="E1893">
        <f>IF(WEEKNUM(Combined[[#This Row],[Date]], 1) = 53, 1, WEEKNUM(Combined[[#This Row],[Date]], 2))</f>
        <v>37</v>
      </c>
      <c r="F1893" t="str">
        <f t="shared" ref="F1893:F1895" si="491">TEXT(WEEKDAY(G1893,1),"DDDD")</f>
        <v>Friday</v>
      </c>
      <c r="G1893" s="41">
        <v>45912</v>
      </c>
      <c r="H1893">
        <v>3</v>
      </c>
      <c r="I1893" s="1">
        <v>72.66</v>
      </c>
      <c r="J1893" s="2">
        <v>0.15555555555555556</v>
      </c>
      <c r="K1893" s="12">
        <f>Combined[[#This Row],[Time Spent]]*24</f>
        <v>3.7333333333333334</v>
      </c>
      <c r="L1893" s="12">
        <f>MROUND(Combined[[#This Row],[Time Spent 2]],0.25)</f>
        <v>3.75</v>
      </c>
      <c r="M1893" s="2" t="s">
        <v>91</v>
      </c>
      <c r="N1893" t="s">
        <v>82</v>
      </c>
      <c r="O1893">
        <f>MATCH(Combined[[#This Row],[Primary Area]],KPIs!$C$4:$C$7,0)</f>
        <v>3</v>
      </c>
    </row>
    <row r="1894" spans="2:15" x14ac:dyDescent="0.35">
      <c r="B1894">
        <f t="shared" si="476"/>
        <v>1892</v>
      </c>
      <c r="C1894" t="s">
        <v>86</v>
      </c>
      <c r="D1894" t="s">
        <v>176</v>
      </c>
      <c r="E1894">
        <f>IF(WEEKNUM(Combined[[#This Row],[Date]], 1) = 53, 1, WEEKNUM(Combined[[#This Row],[Date]], 2))</f>
        <v>37</v>
      </c>
      <c r="F1894" t="str">
        <f t="shared" si="491"/>
        <v>Friday</v>
      </c>
      <c r="G1894" s="41">
        <v>45912</v>
      </c>
      <c r="H1894">
        <v>5</v>
      </c>
      <c r="I1894" s="1">
        <v>52.8</v>
      </c>
      <c r="J1894" s="2">
        <v>0.12638888888888888</v>
      </c>
      <c r="K1894" s="12">
        <f>Combined[[#This Row],[Time Spent]]*24</f>
        <v>3.0333333333333332</v>
      </c>
      <c r="L1894" s="12">
        <f>MROUND(Combined[[#This Row],[Time Spent 2]],0.25)</f>
        <v>3</v>
      </c>
      <c r="M1894" s="2" t="s">
        <v>91</v>
      </c>
      <c r="N1894" t="s">
        <v>82</v>
      </c>
      <c r="O1894">
        <f>MATCH(Combined[[#This Row],[Primary Area]],KPIs!$C$4:$C$7,0)</f>
        <v>3</v>
      </c>
    </row>
    <row r="1895" spans="2:15" x14ac:dyDescent="0.35">
      <c r="B1895">
        <f t="shared" si="476"/>
        <v>1893</v>
      </c>
      <c r="C1895" t="s">
        <v>86</v>
      </c>
      <c r="D1895" t="s">
        <v>175</v>
      </c>
      <c r="E1895">
        <f>IF(WEEKNUM(Combined[[#This Row],[Date]], 1) = 53, 1, WEEKNUM(Combined[[#This Row],[Date]], 2))</f>
        <v>37</v>
      </c>
      <c r="F1895" t="str">
        <f t="shared" si="491"/>
        <v>Friday</v>
      </c>
      <c r="G1895" s="41">
        <v>45912</v>
      </c>
      <c r="H1895">
        <v>8</v>
      </c>
      <c r="I1895" s="1">
        <v>58.97</v>
      </c>
      <c r="J1895" s="2">
        <v>0.20624999999999999</v>
      </c>
      <c r="K1895" s="12">
        <f>Combined[[#This Row],[Time Spent]]*24</f>
        <v>4.9499999999999993</v>
      </c>
      <c r="L1895" s="12">
        <f>MROUND(Combined[[#This Row],[Time Spent 2]],0.25)</f>
        <v>5</v>
      </c>
      <c r="M1895" s="2" t="s">
        <v>92</v>
      </c>
      <c r="N1895" t="s">
        <v>82</v>
      </c>
      <c r="O1895">
        <f>MATCH(Combined[[#This Row],[Primary Area]],KPIs!$C$4:$C$7,0)</f>
        <v>3</v>
      </c>
    </row>
    <row r="1896" spans="2:15" x14ac:dyDescent="0.35">
      <c r="B1896">
        <f t="shared" si="476"/>
        <v>1894</v>
      </c>
      <c r="C1896" t="s">
        <v>83</v>
      </c>
      <c r="D1896" t="s">
        <v>176</v>
      </c>
      <c r="E1896">
        <f>IF(WEEKNUM(Combined[[#This Row],[Date]], 1) = 53, 1, WEEKNUM(Combined[[#This Row],[Date]], 2))</f>
        <v>37</v>
      </c>
      <c r="F1896" t="str">
        <f t="shared" ref="F1896:F1898" si="492">TEXT(WEEKDAY(G1896,1),"DDDD")</f>
        <v>Sunday</v>
      </c>
      <c r="G1896" s="41">
        <v>45914</v>
      </c>
      <c r="H1896">
        <v>3</v>
      </c>
      <c r="I1896" s="1">
        <v>61.13</v>
      </c>
      <c r="J1896" s="2">
        <v>0.13750000000000001</v>
      </c>
      <c r="K1896" s="12">
        <f>Combined[[#This Row],[Time Spent]]*24</f>
        <v>3.3000000000000003</v>
      </c>
      <c r="L1896" s="12">
        <f>MROUND(Combined[[#This Row],[Time Spent 2]],0.25)</f>
        <v>3.25</v>
      </c>
      <c r="M1896" s="2" t="s">
        <v>91</v>
      </c>
      <c r="N1896" t="s">
        <v>85</v>
      </c>
      <c r="O1896">
        <f>MATCH(Combined[[#This Row],[Primary Area]],KPIs!$C$4:$C$7,0)</f>
        <v>4</v>
      </c>
    </row>
    <row r="1897" spans="2:15" x14ac:dyDescent="0.35">
      <c r="B1897">
        <f t="shared" si="476"/>
        <v>1895</v>
      </c>
      <c r="C1897" t="s">
        <v>86</v>
      </c>
      <c r="D1897" t="s">
        <v>176</v>
      </c>
      <c r="E1897">
        <f>IF(WEEKNUM(Combined[[#This Row],[Date]], 1) = 53, 1, WEEKNUM(Combined[[#This Row],[Date]], 2))</f>
        <v>37</v>
      </c>
      <c r="F1897" t="str">
        <f t="shared" si="492"/>
        <v>Sunday</v>
      </c>
      <c r="G1897" s="41">
        <v>45914</v>
      </c>
      <c r="H1897">
        <v>1</v>
      </c>
      <c r="I1897" s="1">
        <v>23.5</v>
      </c>
      <c r="J1897" s="2">
        <v>8.0555555555555561E-2</v>
      </c>
      <c r="K1897" s="12">
        <f>Combined[[#This Row],[Time Spent]]*24</f>
        <v>1.9333333333333336</v>
      </c>
      <c r="L1897" s="12">
        <f>MROUND(Combined[[#This Row],[Time Spent 2]],0.25)</f>
        <v>2</v>
      </c>
      <c r="M1897" s="2" t="s">
        <v>91</v>
      </c>
      <c r="N1897" t="s">
        <v>85</v>
      </c>
      <c r="O1897">
        <f>MATCH(Combined[[#This Row],[Primary Area]],KPIs!$C$4:$C$7,0)</f>
        <v>4</v>
      </c>
    </row>
    <row r="1898" spans="2:15" x14ac:dyDescent="0.35">
      <c r="B1898">
        <f t="shared" si="476"/>
        <v>1896</v>
      </c>
      <c r="C1898" t="s">
        <v>86</v>
      </c>
      <c r="D1898" t="s">
        <v>175</v>
      </c>
      <c r="E1898">
        <f>IF(WEEKNUM(Combined[[#This Row],[Date]], 1) = 53, 1, WEEKNUM(Combined[[#This Row],[Date]], 2))</f>
        <v>37</v>
      </c>
      <c r="F1898" t="str">
        <f t="shared" si="492"/>
        <v>Sunday</v>
      </c>
      <c r="G1898" s="41">
        <v>45914</v>
      </c>
      <c r="H1898">
        <v>2</v>
      </c>
      <c r="I1898" s="1">
        <v>10.85</v>
      </c>
      <c r="J1898" s="2">
        <v>3.0555555555555555E-2</v>
      </c>
      <c r="K1898" s="12">
        <f>Combined[[#This Row],[Time Spent]]*24</f>
        <v>0.73333333333333328</v>
      </c>
      <c r="L1898" s="12">
        <f>MROUND(Combined[[#This Row],[Time Spent 2]],0.25)</f>
        <v>0.75</v>
      </c>
      <c r="M1898" s="2" t="s">
        <v>92</v>
      </c>
      <c r="N1898" t="s">
        <v>85</v>
      </c>
      <c r="O1898">
        <f>MATCH(Combined[[#This Row],[Primary Area]],KPIs!$C$4:$C$7,0)</f>
        <v>4</v>
      </c>
    </row>
    <row r="1899" spans="2:15" x14ac:dyDescent="0.35">
      <c r="B1899">
        <f t="shared" si="476"/>
        <v>1897</v>
      </c>
      <c r="C1899" t="s">
        <v>83</v>
      </c>
      <c r="D1899" t="s">
        <v>176</v>
      </c>
      <c r="E1899">
        <f>IF(WEEKNUM(Combined[[#This Row],[Date]], 1) = 53, 1, WEEKNUM(Combined[[#This Row],[Date]], 2))</f>
        <v>38</v>
      </c>
      <c r="F1899" t="str">
        <f t="shared" ref="F1899:F1901" si="493">TEXT(WEEKDAY(G1899,1),"DDDD")</f>
        <v>Monday</v>
      </c>
      <c r="G1899" s="41">
        <v>45915</v>
      </c>
      <c r="H1899">
        <v>2</v>
      </c>
      <c r="I1899" s="1">
        <v>20.09</v>
      </c>
      <c r="J1899" s="2">
        <v>6.458333333333334E-2</v>
      </c>
      <c r="K1899" s="12">
        <f>Combined[[#This Row],[Time Spent]]*24</f>
        <v>1.5500000000000003</v>
      </c>
      <c r="L1899" s="12">
        <f>MROUND(Combined[[#This Row],[Time Spent 2]],0.25)</f>
        <v>1.5</v>
      </c>
      <c r="M1899" s="2" t="s">
        <v>91</v>
      </c>
      <c r="N1899" t="s">
        <v>85</v>
      </c>
      <c r="O1899">
        <f>MATCH(Combined[[#This Row],[Primary Area]],KPIs!$C$4:$C$7,0)</f>
        <v>4</v>
      </c>
    </row>
    <row r="1900" spans="2:15" x14ac:dyDescent="0.35">
      <c r="B1900">
        <f t="shared" si="476"/>
        <v>1898</v>
      </c>
      <c r="C1900" t="s">
        <v>86</v>
      </c>
      <c r="D1900" t="s">
        <v>175</v>
      </c>
      <c r="E1900">
        <f>IF(WEEKNUM(Combined[[#This Row],[Date]], 1) = 53, 1, WEEKNUM(Combined[[#This Row],[Date]], 2))</f>
        <v>38</v>
      </c>
      <c r="F1900" t="str">
        <f t="shared" si="493"/>
        <v>Monday</v>
      </c>
      <c r="G1900" s="41">
        <v>45915</v>
      </c>
      <c r="H1900">
        <v>5</v>
      </c>
      <c r="I1900" s="1">
        <v>60.12</v>
      </c>
      <c r="J1900" s="2">
        <v>0.11388888888888889</v>
      </c>
      <c r="K1900" s="12">
        <f>Combined[[#This Row],[Time Spent]]*24</f>
        <v>2.7333333333333334</v>
      </c>
      <c r="L1900" s="12">
        <f>MROUND(Combined[[#This Row],[Time Spent 2]],0.25)</f>
        <v>2.75</v>
      </c>
      <c r="M1900" s="2" t="s">
        <v>91</v>
      </c>
      <c r="N1900" t="s">
        <v>85</v>
      </c>
      <c r="O1900">
        <f>MATCH(Combined[[#This Row],[Primary Area]],KPIs!$C$4:$C$7,0)</f>
        <v>4</v>
      </c>
    </row>
    <row r="1901" spans="2:15" x14ac:dyDescent="0.35">
      <c r="B1901">
        <f t="shared" si="476"/>
        <v>1899</v>
      </c>
      <c r="C1901" t="s">
        <v>86</v>
      </c>
      <c r="D1901" t="s">
        <v>175</v>
      </c>
      <c r="E1901">
        <f>IF(WEEKNUM(Combined[[#This Row],[Date]], 1) = 53, 1, WEEKNUM(Combined[[#This Row],[Date]], 2))</f>
        <v>38</v>
      </c>
      <c r="F1901" t="str">
        <f t="shared" si="493"/>
        <v>Monday</v>
      </c>
      <c r="G1901" s="41">
        <v>45915</v>
      </c>
      <c r="H1901">
        <v>7</v>
      </c>
      <c r="I1901" s="1">
        <v>63.86</v>
      </c>
      <c r="J1901" s="2">
        <v>9.7222222222222224E-2</v>
      </c>
      <c r="K1901" s="12">
        <f>Combined[[#This Row],[Time Spent]]*24</f>
        <v>2.3333333333333335</v>
      </c>
      <c r="L1901" s="12">
        <f>MROUND(Combined[[#This Row],[Time Spent 2]],0.25)</f>
        <v>2.25</v>
      </c>
      <c r="M1901" s="2" t="s">
        <v>92</v>
      </c>
      <c r="N1901" t="s">
        <v>85</v>
      </c>
      <c r="O1901">
        <f>MATCH(Combined[[#This Row],[Primary Area]],KPIs!$C$4:$C$7,0)</f>
        <v>4</v>
      </c>
    </row>
    <row r="1902" spans="2:15" x14ac:dyDescent="0.35">
      <c r="B1902">
        <f t="shared" si="476"/>
        <v>1900</v>
      </c>
      <c r="C1902" t="s">
        <v>83</v>
      </c>
      <c r="D1902" t="s">
        <v>176</v>
      </c>
      <c r="E1902">
        <f>IF(WEEKNUM(Combined[[#This Row],[Date]], 1) = 53, 1, WEEKNUM(Combined[[#This Row],[Date]], 2))</f>
        <v>38</v>
      </c>
      <c r="F1902" t="str">
        <f t="shared" ref="F1902:F1904" si="494">TEXT(WEEKDAY(G1902,1),"DDDD")</f>
        <v>Wednesday</v>
      </c>
      <c r="G1902" s="41">
        <v>45917</v>
      </c>
      <c r="H1902">
        <v>9</v>
      </c>
      <c r="I1902" s="1">
        <v>111.57</v>
      </c>
      <c r="J1902" s="2">
        <v>0.21597222222222223</v>
      </c>
      <c r="K1902" s="12">
        <f>Combined[[#This Row],[Time Spent]]*24</f>
        <v>5.1833333333333336</v>
      </c>
      <c r="L1902" s="12">
        <f>MROUND(Combined[[#This Row],[Time Spent 2]],0.25)</f>
        <v>5.25</v>
      </c>
      <c r="M1902" s="2" t="s">
        <v>91</v>
      </c>
      <c r="N1902" t="s">
        <v>82</v>
      </c>
      <c r="O1902">
        <f>MATCH(Combined[[#This Row],[Primary Area]],KPIs!$C$4:$C$7,0)</f>
        <v>3</v>
      </c>
    </row>
    <row r="1903" spans="2:15" x14ac:dyDescent="0.35">
      <c r="B1903">
        <f t="shared" si="476"/>
        <v>1901</v>
      </c>
      <c r="C1903" t="s">
        <v>86</v>
      </c>
      <c r="D1903" t="s">
        <v>175</v>
      </c>
      <c r="E1903">
        <f>IF(WEEKNUM(Combined[[#This Row],[Date]], 1) = 53, 1, WEEKNUM(Combined[[#This Row],[Date]], 2))</f>
        <v>38</v>
      </c>
      <c r="F1903" t="str">
        <f t="shared" si="494"/>
        <v>Wednesday</v>
      </c>
      <c r="G1903" s="41">
        <v>45917</v>
      </c>
      <c r="H1903">
        <v>5</v>
      </c>
      <c r="I1903" s="1">
        <v>46.77</v>
      </c>
      <c r="J1903" s="2">
        <v>0.24722222222222223</v>
      </c>
      <c r="K1903" s="12">
        <f>Combined[[#This Row],[Time Spent]]*24</f>
        <v>5.9333333333333336</v>
      </c>
      <c r="L1903" s="12">
        <f>MROUND(Combined[[#This Row],[Time Spent 2]],0.25)</f>
        <v>6</v>
      </c>
      <c r="M1903" s="2" t="s">
        <v>91</v>
      </c>
      <c r="N1903" t="s">
        <v>82</v>
      </c>
      <c r="O1903">
        <f>MATCH(Combined[[#This Row],[Primary Area]],KPIs!$C$4:$C$7,0)</f>
        <v>3</v>
      </c>
    </row>
    <row r="1904" spans="2:15" x14ac:dyDescent="0.35">
      <c r="B1904">
        <f t="shared" si="476"/>
        <v>1902</v>
      </c>
      <c r="C1904" t="s">
        <v>83</v>
      </c>
      <c r="D1904" t="s">
        <v>176</v>
      </c>
      <c r="E1904">
        <f>IF(WEEKNUM(Combined[[#This Row],[Date]], 1) = 53, 1, WEEKNUM(Combined[[#This Row],[Date]], 2))</f>
        <v>38</v>
      </c>
      <c r="F1904" t="str">
        <f t="shared" si="494"/>
        <v>Thursday</v>
      </c>
      <c r="G1904" s="41">
        <v>45918</v>
      </c>
      <c r="H1904">
        <v>6</v>
      </c>
      <c r="I1904" s="1">
        <v>73.97</v>
      </c>
      <c r="J1904" s="2">
        <v>0.15416666666666667</v>
      </c>
      <c r="K1904" s="12">
        <f>Combined[[#This Row],[Time Spent]]*24</f>
        <v>3.7</v>
      </c>
      <c r="L1904" s="12">
        <f>MROUND(Combined[[#This Row],[Time Spent 2]],0.25)</f>
        <v>3.75</v>
      </c>
      <c r="M1904" s="2" t="s">
        <v>91</v>
      </c>
      <c r="N1904" t="s">
        <v>85</v>
      </c>
      <c r="O1904">
        <f>MATCH(Combined[[#This Row],[Primary Area]],KPIs!$C$4:$C$7,0)</f>
        <v>4</v>
      </c>
    </row>
    <row r="1905" spans="2:15" x14ac:dyDescent="0.35">
      <c r="B1905">
        <f t="shared" si="476"/>
        <v>1903</v>
      </c>
      <c r="C1905" t="s">
        <v>86</v>
      </c>
      <c r="D1905" t="s">
        <v>175</v>
      </c>
      <c r="E1905">
        <f>IF(WEEKNUM(Combined[[#This Row],[Date]], 1) = 53, 1, WEEKNUM(Combined[[#This Row],[Date]], 2))</f>
        <v>38</v>
      </c>
      <c r="F1905" t="str">
        <f t="shared" ref="F1905:F1906" si="495">TEXT(WEEKDAY(G1905,1),"DDDD")</f>
        <v>Thursday</v>
      </c>
      <c r="G1905" s="41">
        <v>45918</v>
      </c>
      <c r="H1905">
        <v>3</v>
      </c>
      <c r="I1905" s="1">
        <v>32.380000000000003</v>
      </c>
      <c r="J1905" s="2">
        <v>0.13541666666666666</v>
      </c>
      <c r="K1905" s="12">
        <f>Combined[[#This Row],[Time Spent]]*24</f>
        <v>3.25</v>
      </c>
      <c r="L1905" s="12">
        <f>MROUND(Combined[[#This Row],[Time Spent 2]],0.25)</f>
        <v>3.25</v>
      </c>
      <c r="M1905" s="2" t="s">
        <v>91</v>
      </c>
      <c r="N1905" t="s">
        <v>85</v>
      </c>
      <c r="O1905">
        <f>MATCH(Combined[[#This Row],[Primary Area]],KPIs!$C$4:$C$7,0)</f>
        <v>4</v>
      </c>
    </row>
    <row r="1906" spans="2:15" x14ac:dyDescent="0.35">
      <c r="B1906">
        <f t="shared" si="476"/>
        <v>1904</v>
      </c>
      <c r="C1906" t="s">
        <v>86</v>
      </c>
      <c r="D1906" t="s">
        <v>175</v>
      </c>
      <c r="E1906">
        <f>IF(WEEKNUM(Combined[[#This Row],[Date]], 1) = 53, 1, WEEKNUM(Combined[[#This Row],[Date]], 2))</f>
        <v>38</v>
      </c>
      <c r="F1906" t="str">
        <f t="shared" si="495"/>
        <v>Thursday</v>
      </c>
      <c r="G1906" s="41">
        <v>45918</v>
      </c>
      <c r="H1906">
        <v>3</v>
      </c>
      <c r="I1906" s="1">
        <v>20.94</v>
      </c>
      <c r="J1906" s="2">
        <v>7.4999999999999997E-2</v>
      </c>
      <c r="K1906" s="12">
        <f>Combined[[#This Row],[Time Spent]]*24</f>
        <v>1.7999999999999998</v>
      </c>
      <c r="L1906" s="12">
        <f>MROUND(Combined[[#This Row],[Time Spent 2]],0.25)</f>
        <v>1.75</v>
      </c>
      <c r="M1906" s="2" t="s">
        <v>92</v>
      </c>
      <c r="N1906" t="s">
        <v>85</v>
      </c>
      <c r="O1906">
        <f>MATCH(Combined[[#This Row],[Primary Area]],KPIs!$C$4:$C$7,0)</f>
        <v>4</v>
      </c>
    </row>
    <row r="1907" spans="2:15" x14ac:dyDescent="0.35">
      <c r="B1907">
        <f t="shared" si="476"/>
        <v>1905</v>
      </c>
      <c r="C1907" t="s">
        <v>83</v>
      </c>
      <c r="D1907" t="s">
        <v>176</v>
      </c>
      <c r="E1907">
        <f>IF(WEEKNUM(Combined[[#This Row],[Date]], 1) = 53, 1, WEEKNUM(Combined[[#This Row],[Date]], 2))</f>
        <v>38</v>
      </c>
      <c r="F1907" t="str">
        <f t="shared" ref="F1907" si="496">TEXT(WEEKDAY(G1907,1),"DDDD")</f>
        <v>Friday</v>
      </c>
      <c r="G1907" s="41">
        <v>45919</v>
      </c>
      <c r="H1907">
        <v>9</v>
      </c>
      <c r="I1907" s="1">
        <v>99.94</v>
      </c>
      <c r="J1907" s="2">
        <v>0.21458333333333332</v>
      </c>
      <c r="K1907" s="12">
        <f>Combined[[#This Row],[Time Spent]]*24</f>
        <v>5.1499999999999995</v>
      </c>
      <c r="L1907" s="12">
        <f>MROUND(Combined[[#This Row],[Time Spent 2]],0.25)</f>
        <v>5.25</v>
      </c>
      <c r="M1907" s="2" t="s">
        <v>91</v>
      </c>
      <c r="N1907" t="s">
        <v>85</v>
      </c>
      <c r="O1907">
        <f>MATCH(Combined[[#This Row],[Primary Area]],KPIs!$C$4:$C$7,0)</f>
        <v>4</v>
      </c>
    </row>
    <row r="1908" spans="2:15" x14ac:dyDescent="0.35">
      <c r="B1908">
        <f t="shared" si="476"/>
        <v>1906</v>
      </c>
      <c r="C1908" t="s">
        <v>83</v>
      </c>
      <c r="D1908" t="s">
        <v>176</v>
      </c>
      <c r="E1908">
        <f>IF(WEEKNUM(Combined[[#This Row],[Date]], 1) = 53, 1, WEEKNUM(Combined[[#This Row],[Date]], 2))</f>
        <v>38</v>
      </c>
      <c r="F1908" t="str">
        <f t="shared" ref="F1908:F1909" si="497">TEXT(WEEKDAY(G1908,1),"DDDD")</f>
        <v>Sunday</v>
      </c>
      <c r="G1908" s="41">
        <v>45921</v>
      </c>
      <c r="H1908">
        <v>2</v>
      </c>
      <c r="I1908" s="1">
        <v>31.85</v>
      </c>
      <c r="J1908" s="2">
        <v>9.0277777777777776E-2</v>
      </c>
      <c r="K1908" s="12">
        <f>Combined[[#This Row],[Time Spent]]*24</f>
        <v>2.1666666666666665</v>
      </c>
      <c r="L1908" s="12">
        <f>MROUND(Combined[[#This Row],[Time Spent 2]],0.25)</f>
        <v>2.25</v>
      </c>
      <c r="M1908" s="2" t="s">
        <v>91</v>
      </c>
      <c r="N1908" t="s">
        <v>80</v>
      </c>
      <c r="O1908">
        <f>MATCH(Combined[[#This Row],[Primary Area]],KPIs!$C$4:$C$7,0)</f>
        <v>2</v>
      </c>
    </row>
    <row r="1909" spans="2:15" x14ac:dyDescent="0.35">
      <c r="B1909">
        <f t="shared" si="476"/>
        <v>1907</v>
      </c>
      <c r="C1909" t="s">
        <v>86</v>
      </c>
      <c r="D1909" t="s">
        <v>176</v>
      </c>
      <c r="E1909">
        <f>IF(WEEKNUM(Combined[[#This Row],[Date]], 1) = 53, 1, WEEKNUM(Combined[[#This Row],[Date]], 2))</f>
        <v>38</v>
      </c>
      <c r="F1909" t="str">
        <f t="shared" si="497"/>
        <v>Sunday</v>
      </c>
      <c r="G1909" s="41">
        <v>45921</v>
      </c>
      <c r="H1909">
        <v>5</v>
      </c>
      <c r="I1909" s="1">
        <v>51.25</v>
      </c>
      <c r="J1909" s="2">
        <v>0.13680555555555557</v>
      </c>
      <c r="K1909" s="12">
        <f>Combined[[#This Row],[Time Spent]]*24</f>
        <v>3.2833333333333337</v>
      </c>
      <c r="L1909" s="12">
        <f>MROUND(Combined[[#This Row],[Time Spent 2]],0.25)</f>
        <v>3.25</v>
      </c>
      <c r="M1909" s="2" t="s">
        <v>91</v>
      </c>
      <c r="N1909" t="s">
        <v>80</v>
      </c>
      <c r="O1909">
        <f>MATCH(Combined[[#This Row],[Primary Area]],KPIs!$C$4:$C$7,0)</f>
        <v>2</v>
      </c>
    </row>
    <row r="1910" spans="2:15" x14ac:dyDescent="0.35">
      <c r="B1910">
        <f t="shared" si="476"/>
        <v>1908</v>
      </c>
      <c r="C1910" t="s">
        <v>83</v>
      </c>
      <c r="D1910" t="s">
        <v>175</v>
      </c>
      <c r="E1910">
        <f>IF(WEEKNUM(Combined[[#This Row],[Date]], 1) = 53, 1, WEEKNUM(Combined[[#This Row],[Date]], 2))</f>
        <v>39</v>
      </c>
      <c r="F1910" t="str">
        <f t="shared" ref="F1910:F1913" si="498">TEXT(WEEKDAY(G1910,1),"DDDD")</f>
        <v>Monday</v>
      </c>
      <c r="G1910" s="41">
        <v>45922</v>
      </c>
      <c r="H1910">
        <v>4</v>
      </c>
      <c r="I1910" s="1">
        <v>83.47</v>
      </c>
      <c r="J1910" s="2">
        <v>0.17916666666666667</v>
      </c>
      <c r="K1910" s="12">
        <f>Combined[[#This Row],[Time Spent]]*24</f>
        <v>4.3</v>
      </c>
      <c r="L1910" s="12">
        <f>MROUND(Combined[[#This Row],[Time Spent 2]],0.25)</f>
        <v>4.25</v>
      </c>
      <c r="M1910" s="2" t="s">
        <v>91</v>
      </c>
      <c r="N1910" t="s">
        <v>85</v>
      </c>
      <c r="O1910">
        <f>MATCH(Combined[[#This Row],[Primary Area]],KPIs!$C$4:$C$7,0)</f>
        <v>4</v>
      </c>
    </row>
    <row r="1911" spans="2:15" x14ac:dyDescent="0.35">
      <c r="B1911">
        <f t="shared" si="476"/>
        <v>1909</v>
      </c>
      <c r="C1911" t="s">
        <v>86</v>
      </c>
      <c r="D1911" t="s">
        <v>175</v>
      </c>
      <c r="E1911">
        <f>IF(WEEKNUM(Combined[[#This Row],[Date]], 1) = 53, 1, WEEKNUM(Combined[[#This Row],[Date]], 2))</f>
        <v>39</v>
      </c>
      <c r="F1911" t="str">
        <f t="shared" si="498"/>
        <v>Monday</v>
      </c>
      <c r="G1911" s="41">
        <v>45922</v>
      </c>
      <c r="H1911">
        <v>2</v>
      </c>
      <c r="I1911" s="1">
        <v>41.43</v>
      </c>
      <c r="J1911" s="2">
        <v>8.5416666666666669E-2</v>
      </c>
      <c r="K1911" s="12">
        <f>Combined[[#This Row],[Time Spent]]*24</f>
        <v>2.0499999999999998</v>
      </c>
      <c r="L1911" s="12">
        <f>MROUND(Combined[[#This Row],[Time Spent 2]],0.25)</f>
        <v>2</v>
      </c>
      <c r="M1911" s="2" t="s">
        <v>91</v>
      </c>
      <c r="N1911" t="s">
        <v>85</v>
      </c>
      <c r="O1911">
        <f>MATCH(Combined[[#This Row],[Primary Area]],KPIs!$C$4:$C$7,0)</f>
        <v>4</v>
      </c>
    </row>
    <row r="1912" spans="2:15" x14ac:dyDescent="0.35">
      <c r="B1912">
        <f t="shared" si="476"/>
        <v>1910</v>
      </c>
      <c r="C1912" t="s">
        <v>86</v>
      </c>
      <c r="D1912" t="s">
        <v>175</v>
      </c>
      <c r="E1912">
        <f>IF(WEEKNUM(Combined[[#This Row],[Date]], 1) = 53, 1, WEEKNUM(Combined[[#This Row],[Date]], 2))</f>
        <v>39</v>
      </c>
      <c r="F1912" t="str">
        <f t="shared" si="498"/>
        <v>Monday</v>
      </c>
      <c r="G1912" s="41">
        <v>45922</v>
      </c>
      <c r="H1912">
        <v>3</v>
      </c>
      <c r="I1912" s="1">
        <v>36.29</v>
      </c>
      <c r="J1912" s="2">
        <v>7.9861111111111105E-2</v>
      </c>
      <c r="K1912" s="12">
        <f>Combined[[#This Row],[Time Spent]]*24</f>
        <v>1.9166666666666665</v>
      </c>
      <c r="L1912" s="12">
        <f>MROUND(Combined[[#This Row],[Time Spent 2]],0.25)</f>
        <v>2</v>
      </c>
      <c r="M1912" s="2" t="s">
        <v>91</v>
      </c>
      <c r="N1912" t="s">
        <v>85</v>
      </c>
      <c r="O1912">
        <f>MATCH(Combined[[#This Row],[Primary Area]],KPIs!$C$4:$C$7,0)</f>
        <v>4</v>
      </c>
    </row>
    <row r="1913" spans="2:15" x14ac:dyDescent="0.35">
      <c r="B1913">
        <f t="shared" si="476"/>
        <v>1911</v>
      </c>
      <c r="C1913" t="s">
        <v>86</v>
      </c>
      <c r="D1913" t="s">
        <v>175</v>
      </c>
      <c r="E1913">
        <f>IF(WEEKNUM(Combined[[#This Row],[Date]], 1) = 53, 1, WEEKNUM(Combined[[#This Row],[Date]], 2))</f>
        <v>39</v>
      </c>
      <c r="F1913" t="str">
        <f t="shared" si="498"/>
        <v>Tuesday</v>
      </c>
      <c r="G1913" s="41">
        <v>45923</v>
      </c>
      <c r="H1913">
        <v>2</v>
      </c>
      <c r="I1913" s="1">
        <v>29.61</v>
      </c>
      <c r="J1913" s="2">
        <v>4.3055555555555555E-2</v>
      </c>
      <c r="K1913" s="12">
        <f>Combined[[#This Row],[Time Spent]]*24</f>
        <v>1.0333333333333332</v>
      </c>
      <c r="L1913" s="12">
        <f>MROUND(Combined[[#This Row],[Time Spent 2]],0.25)</f>
        <v>1</v>
      </c>
      <c r="M1913" s="2" t="s">
        <v>91</v>
      </c>
      <c r="N1913" t="s">
        <v>82</v>
      </c>
      <c r="O1913">
        <f>MATCH(Combined[[#This Row],[Primary Area]],KPIs!$C$4:$C$7,0)</f>
        <v>3</v>
      </c>
    </row>
    <row r="1914" spans="2:15" x14ac:dyDescent="0.35">
      <c r="B1914">
        <f t="shared" si="476"/>
        <v>1912</v>
      </c>
      <c r="C1914" t="s">
        <v>83</v>
      </c>
      <c r="D1914" t="s">
        <v>176</v>
      </c>
      <c r="E1914">
        <f>IF(WEEKNUM(Combined[[#This Row],[Date]], 1) = 53, 1, WEEKNUM(Combined[[#This Row],[Date]], 2))</f>
        <v>39</v>
      </c>
      <c r="F1914" t="str">
        <f t="shared" ref="F1914:F1916" si="499">TEXT(WEEKDAY(G1914,1),"DDDD")</f>
        <v>Wednesday</v>
      </c>
      <c r="G1914" s="41">
        <v>45924</v>
      </c>
      <c r="H1914">
        <v>7</v>
      </c>
      <c r="I1914" s="1">
        <v>100.72</v>
      </c>
      <c r="J1914" s="2">
        <v>0.16666666666666666</v>
      </c>
      <c r="K1914" s="12">
        <f>Combined[[#This Row],[Time Spent]]*24</f>
        <v>4</v>
      </c>
      <c r="L1914" s="12">
        <f>MROUND(Combined[[#This Row],[Time Spent 2]],0.25)</f>
        <v>4</v>
      </c>
      <c r="M1914" s="2" t="s">
        <v>91</v>
      </c>
      <c r="N1914" t="s">
        <v>80</v>
      </c>
      <c r="O1914">
        <f>MATCH(Combined[[#This Row],[Primary Area]],KPIs!$C$4:$C$7,0)</f>
        <v>2</v>
      </c>
    </row>
    <row r="1915" spans="2:15" x14ac:dyDescent="0.35">
      <c r="B1915">
        <f t="shared" si="476"/>
        <v>1913</v>
      </c>
      <c r="C1915" t="s">
        <v>86</v>
      </c>
      <c r="D1915" t="s">
        <v>176</v>
      </c>
      <c r="E1915">
        <f>IF(WEEKNUM(Combined[[#This Row],[Date]], 1) = 53, 1, WEEKNUM(Combined[[#This Row],[Date]], 2))</f>
        <v>39</v>
      </c>
      <c r="F1915" t="str">
        <f t="shared" si="499"/>
        <v>Wednesday</v>
      </c>
      <c r="G1915" s="41">
        <v>45924</v>
      </c>
      <c r="H1915">
        <v>2</v>
      </c>
      <c r="I1915" s="1">
        <v>18.5</v>
      </c>
      <c r="J1915" s="2">
        <v>0.11736111111111111</v>
      </c>
      <c r="K1915" s="12">
        <f>Combined[[#This Row],[Time Spent]]*24</f>
        <v>2.8166666666666664</v>
      </c>
      <c r="L1915" s="12">
        <f>MROUND(Combined[[#This Row],[Time Spent 2]],0.25)</f>
        <v>2.75</v>
      </c>
      <c r="M1915" s="2" t="s">
        <v>91</v>
      </c>
      <c r="N1915" t="s">
        <v>80</v>
      </c>
      <c r="O1915">
        <f>MATCH(Combined[[#This Row],[Primary Area]],KPIs!$C$4:$C$7,0)</f>
        <v>2</v>
      </c>
    </row>
    <row r="1916" spans="2:15" x14ac:dyDescent="0.35">
      <c r="B1916">
        <f t="shared" ref="B1916:B1979" si="500">ROW()-2</f>
        <v>1914</v>
      </c>
      <c r="C1916" t="s">
        <v>86</v>
      </c>
      <c r="D1916" t="s">
        <v>175</v>
      </c>
      <c r="E1916">
        <f>IF(WEEKNUM(Combined[[#This Row],[Date]], 1) = 53, 1, WEEKNUM(Combined[[#This Row],[Date]], 2))</f>
        <v>39</v>
      </c>
      <c r="F1916" t="str">
        <f t="shared" si="499"/>
        <v>Wednesday</v>
      </c>
      <c r="G1916" s="41">
        <v>45924</v>
      </c>
      <c r="H1916">
        <v>3</v>
      </c>
      <c r="I1916" s="1">
        <v>38.229999999999997</v>
      </c>
      <c r="J1916" s="2">
        <v>6.1805555555555558E-2</v>
      </c>
      <c r="K1916" s="12">
        <f>Combined[[#This Row],[Time Spent]]*24</f>
        <v>1.4833333333333334</v>
      </c>
      <c r="L1916" s="12">
        <f>MROUND(Combined[[#This Row],[Time Spent 2]],0.25)</f>
        <v>1.5</v>
      </c>
      <c r="M1916" s="2" t="s">
        <v>92</v>
      </c>
      <c r="N1916" t="s">
        <v>80</v>
      </c>
      <c r="O1916">
        <f>MATCH(Combined[[#This Row],[Primary Area]],KPIs!$C$4:$C$7,0)</f>
        <v>2</v>
      </c>
    </row>
    <row r="1917" spans="2:15" x14ac:dyDescent="0.35">
      <c r="B1917">
        <f t="shared" si="500"/>
        <v>1915</v>
      </c>
      <c r="C1917" t="s">
        <v>83</v>
      </c>
      <c r="D1917" t="s">
        <v>176</v>
      </c>
      <c r="E1917">
        <f>IF(WEEKNUM(Combined[[#This Row],[Date]], 1) = 53, 1, WEEKNUM(Combined[[#This Row],[Date]], 2))</f>
        <v>39</v>
      </c>
      <c r="F1917" t="str">
        <f t="shared" ref="F1917:F1918" si="501">TEXT(WEEKDAY(G1917,1),"DDDD")</f>
        <v>Friday</v>
      </c>
      <c r="G1917" s="41">
        <v>45926</v>
      </c>
      <c r="H1917">
        <v>1</v>
      </c>
      <c r="I1917" s="1">
        <v>10.52</v>
      </c>
      <c r="J1917" s="2">
        <v>9.2361111111111116E-2</v>
      </c>
      <c r="K1917" s="12">
        <f>Combined[[#This Row],[Time Spent]]*24</f>
        <v>2.2166666666666668</v>
      </c>
      <c r="L1917" s="12">
        <f>MROUND(Combined[[#This Row],[Time Spent 2]],0.25)</f>
        <v>2.25</v>
      </c>
      <c r="M1917" s="2" t="s">
        <v>91</v>
      </c>
      <c r="N1917" t="s">
        <v>80</v>
      </c>
      <c r="O1917">
        <f>MATCH(Combined[[#This Row],[Primary Area]],KPIs!$C$4:$C$7,0)</f>
        <v>2</v>
      </c>
    </row>
    <row r="1918" spans="2:15" x14ac:dyDescent="0.35">
      <c r="B1918">
        <f t="shared" si="500"/>
        <v>1916</v>
      </c>
      <c r="C1918" t="s">
        <v>86</v>
      </c>
      <c r="D1918" t="s">
        <v>176</v>
      </c>
      <c r="E1918">
        <f>IF(WEEKNUM(Combined[[#This Row],[Date]], 1) = 53, 1, WEEKNUM(Combined[[#This Row],[Date]], 2))</f>
        <v>39</v>
      </c>
      <c r="F1918" t="str">
        <f t="shared" si="501"/>
        <v>Friday</v>
      </c>
      <c r="G1918" s="41">
        <v>45926</v>
      </c>
      <c r="H1918">
        <v>8</v>
      </c>
      <c r="I1918" s="1">
        <v>110.75</v>
      </c>
      <c r="J1918" s="2">
        <v>0.22361111111111112</v>
      </c>
      <c r="K1918" s="12">
        <f>Combined[[#This Row],[Time Spent]]*24</f>
        <v>5.3666666666666671</v>
      </c>
      <c r="L1918" s="12">
        <f>MROUND(Combined[[#This Row],[Time Spent 2]],0.25)</f>
        <v>5.25</v>
      </c>
      <c r="M1918" s="2" t="s">
        <v>91</v>
      </c>
      <c r="N1918" t="s">
        <v>80</v>
      </c>
      <c r="O1918">
        <f>MATCH(Combined[[#This Row],[Primary Area]],KPIs!$C$4:$C$7,0)</f>
        <v>2</v>
      </c>
    </row>
    <row r="1919" spans="2:15" x14ac:dyDescent="0.35">
      <c r="B1919">
        <f t="shared" si="500"/>
        <v>1917</v>
      </c>
      <c r="C1919" t="s">
        <v>83</v>
      </c>
      <c r="D1919" t="s">
        <v>175</v>
      </c>
      <c r="E1919">
        <f>IF(WEEKNUM(Combined[[#This Row],[Date]], 1) = 53, 1, WEEKNUM(Combined[[#This Row],[Date]], 2))</f>
        <v>39</v>
      </c>
      <c r="F1919" t="str">
        <f t="shared" ref="F1919:F1921" si="502">TEXT(WEEKDAY(G1919,1),"DDDD")</f>
        <v>Saturday</v>
      </c>
      <c r="G1919" s="41">
        <v>45927</v>
      </c>
      <c r="H1919">
        <v>3</v>
      </c>
      <c r="I1919" s="1">
        <f>18.5+29.48+29.48</f>
        <v>77.460000000000008</v>
      </c>
      <c r="J1919" s="2">
        <v>5.2083333333333336E-2</v>
      </c>
      <c r="K1919" s="12">
        <f>Combined[[#This Row],[Time Spent]]*24</f>
        <v>1.25</v>
      </c>
      <c r="L1919" s="12">
        <f>MROUND(Combined[[#This Row],[Time Spent 2]],0.25)</f>
        <v>1.25</v>
      </c>
      <c r="M1919" s="2" t="s">
        <v>91</v>
      </c>
      <c r="N1919" t="s">
        <v>80</v>
      </c>
      <c r="O1919">
        <f>MATCH(Combined[[#This Row],[Primary Area]],KPIs!$C$4:$C$7,0)</f>
        <v>2</v>
      </c>
    </row>
    <row r="1920" spans="2:15" x14ac:dyDescent="0.35">
      <c r="B1920">
        <f t="shared" si="500"/>
        <v>1918</v>
      </c>
      <c r="C1920" t="s">
        <v>83</v>
      </c>
      <c r="D1920" t="s">
        <v>176</v>
      </c>
      <c r="E1920">
        <f>IF(WEEKNUM(Combined[[#This Row],[Date]], 1) = 53, 1, WEEKNUM(Combined[[#This Row],[Date]], 2))</f>
        <v>39</v>
      </c>
      <c r="F1920" t="str">
        <f t="shared" si="502"/>
        <v>Saturday</v>
      </c>
      <c r="G1920" s="41">
        <v>45927</v>
      </c>
      <c r="H1920">
        <v>3</v>
      </c>
      <c r="I1920" s="1">
        <f>17.34+14.06+10.06</f>
        <v>41.46</v>
      </c>
      <c r="J1920" s="2">
        <f>TIME(4,9,)-TIME(1,15,)</f>
        <v>0.12083333333333332</v>
      </c>
      <c r="K1920" s="12">
        <f>Combined[[#This Row],[Time Spent]]*24</f>
        <v>2.8999999999999995</v>
      </c>
      <c r="L1920" s="12">
        <f>MROUND(Combined[[#This Row],[Time Spent 2]],0.25)</f>
        <v>3</v>
      </c>
      <c r="M1920" s="2" t="s">
        <v>91</v>
      </c>
      <c r="N1920" t="s">
        <v>80</v>
      </c>
      <c r="O1920">
        <f>MATCH(Combined[[#This Row],[Primary Area]],KPIs!$C$4:$C$7,0)</f>
        <v>2</v>
      </c>
    </row>
    <row r="1921" spans="2:15" x14ac:dyDescent="0.35">
      <c r="B1921">
        <f t="shared" si="500"/>
        <v>1919</v>
      </c>
      <c r="C1921" t="s">
        <v>86</v>
      </c>
      <c r="D1921" t="s">
        <v>175</v>
      </c>
      <c r="E1921">
        <f>IF(WEEKNUM(Combined[[#This Row],[Date]], 1) = 53, 1, WEEKNUM(Combined[[#This Row],[Date]], 2))</f>
        <v>39</v>
      </c>
      <c r="F1921" t="str">
        <f t="shared" si="502"/>
        <v>Saturday</v>
      </c>
      <c r="G1921" s="41">
        <v>45927</v>
      </c>
      <c r="H1921">
        <v>10</v>
      </c>
      <c r="I1921" s="1">
        <v>115.54</v>
      </c>
      <c r="J1921" s="2">
        <v>0.33194444444444443</v>
      </c>
      <c r="K1921" s="12">
        <f>Combined[[#This Row],[Time Spent]]*24</f>
        <v>7.9666666666666668</v>
      </c>
      <c r="L1921" s="12">
        <f>MROUND(Combined[[#This Row],[Time Spent 2]],0.25)</f>
        <v>8</v>
      </c>
      <c r="M1921" s="2" t="s">
        <v>91</v>
      </c>
      <c r="N1921" t="s">
        <v>80</v>
      </c>
      <c r="O1921">
        <f>MATCH(Combined[[#This Row],[Primary Area]],KPIs!$C$4:$C$7,0)</f>
        <v>2</v>
      </c>
    </row>
    <row r="1922" spans="2:15" x14ac:dyDescent="0.35">
      <c r="B1922">
        <f t="shared" si="500"/>
        <v>1920</v>
      </c>
      <c r="C1922" t="s">
        <v>83</v>
      </c>
      <c r="D1922" t="s">
        <v>176</v>
      </c>
      <c r="E1922">
        <f>IF(WEEKNUM(Combined[[#This Row],[Date]], 1) = 53, 1, WEEKNUM(Combined[[#This Row],[Date]], 2))</f>
        <v>40</v>
      </c>
      <c r="F1922" t="str">
        <f t="shared" ref="F1922:F1925" si="503">TEXT(WEEKDAY(G1922,1),"DDDD")</f>
        <v>Monday</v>
      </c>
      <c r="G1922" s="41">
        <v>45929</v>
      </c>
      <c r="H1922">
        <v>5</v>
      </c>
      <c r="I1922" s="1">
        <v>78.33</v>
      </c>
      <c r="J1922" s="2">
        <v>0.12986111111111112</v>
      </c>
      <c r="K1922" s="12">
        <f>Combined[[#This Row],[Time Spent]]*24</f>
        <v>3.1166666666666671</v>
      </c>
      <c r="L1922" s="12">
        <f>MROUND(Combined[[#This Row],[Time Spent 2]],0.25)</f>
        <v>3</v>
      </c>
      <c r="M1922" s="2" t="s">
        <v>91</v>
      </c>
      <c r="N1922" t="s">
        <v>80</v>
      </c>
      <c r="O1922">
        <f>MATCH(Combined[[#This Row],[Primary Area]],KPIs!$C$4:$C$7,0)</f>
        <v>2</v>
      </c>
    </row>
    <row r="1923" spans="2:15" x14ac:dyDescent="0.35">
      <c r="B1923">
        <f t="shared" si="500"/>
        <v>1921</v>
      </c>
      <c r="C1923" t="s">
        <v>86</v>
      </c>
      <c r="D1923" t="s">
        <v>176</v>
      </c>
      <c r="E1923">
        <f>IF(WEEKNUM(Combined[[#This Row],[Date]], 1) = 53, 1, WEEKNUM(Combined[[#This Row],[Date]], 2))</f>
        <v>40</v>
      </c>
      <c r="F1923" t="str">
        <f t="shared" si="503"/>
        <v>Monday</v>
      </c>
      <c r="G1923" s="41">
        <v>45929</v>
      </c>
      <c r="H1923">
        <v>3</v>
      </c>
      <c r="I1923" s="1">
        <v>24.75</v>
      </c>
      <c r="J1923" s="2">
        <v>6.9444444444444448E-2</v>
      </c>
      <c r="K1923" s="12">
        <f>Combined[[#This Row],[Time Spent]]*24</f>
        <v>1.6666666666666667</v>
      </c>
      <c r="L1923" s="12">
        <f>MROUND(Combined[[#This Row],[Time Spent 2]],0.25)</f>
        <v>1.75</v>
      </c>
      <c r="M1923" s="2" t="s">
        <v>91</v>
      </c>
      <c r="N1923" t="s">
        <v>80</v>
      </c>
      <c r="O1923">
        <f>MATCH(Combined[[#This Row],[Primary Area]],KPIs!$C$4:$C$7,0)</f>
        <v>2</v>
      </c>
    </row>
    <row r="1924" spans="2:15" x14ac:dyDescent="0.35">
      <c r="B1924">
        <f t="shared" si="500"/>
        <v>1922</v>
      </c>
      <c r="C1924" t="s">
        <v>86</v>
      </c>
      <c r="D1924" t="s">
        <v>175</v>
      </c>
      <c r="E1924">
        <f>IF(WEEKNUM(Combined[[#This Row],[Date]], 1) = 53, 1, WEEKNUM(Combined[[#This Row],[Date]], 2))</f>
        <v>40</v>
      </c>
      <c r="F1924" t="str">
        <f t="shared" si="503"/>
        <v>Monday</v>
      </c>
      <c r="G1924" s="41">
        <v>45929</v>
      </c>
      <c r="H1924">
        <v>1</v>
      </c>
      <c r="I1924" s="1">
        <v>10.91</v>
      </c>
      <c r="J1924" s="2">
        <v>4.4444444444444446E-2</v>
      </c>
      <c r="K1924" s="12">
        <f>Combined[[#This Row],[Time Spent]]*24</f>
        <v>1.0666666666666667</v>
      </c>
      <c r="L1924" s="12">
        <f>MROUND(Combined[[#This Row],[Time Spent 2]],0.25)</f>
        <v>1</v>
      </c>
      <c r="M1924" s="2" t="s">
        <v>91</v>
      </c>
      <c r="N1924" t="s">
        <v>80</v>
      </c>
      <c r="O1924">
        <f>MATCH(Combined[[#This Row],[Primary Area]],KPIs!$C$4:$C$7,0)</f>
        <v>2</v>
      </c>
    </row>
    <row r="1925" spans="2:15" x14ac:dyDescent="0.35">
      <c r="B1925">
        <f t="shared" si="500"/>
        <v>1923</v>
      </c>
      <c r="C1925" t="s">
        <v>83</v>
      </c>
      <c r="D1925" t="s">
        <v>176</v>
      </c>
      <c r="E1925">
        <f>IF(WEEKNUM(Combined[[#This Row],[Date]], 1) = 53, 1, WEEKNUM(Combined[[#This Row],[Date]], 2))</f>
        <v>40</v>
      </c>
      <c r="F1925" t="str">
        <f t="shared" si="503"/>
        <v>Tuesday</v>
      </c>
      <c r="G1925" s="41">
        <v>45930</v>
      </c>
      <c r="H1925">
        <v>1</v>
      </c>
      <c r="I1925" s="1">
        <v>37</v>
      </c>
      <c r="J1925" s="2">
        <v>4.0972222222222222E-2</v>
      </c>
      <c r="K1925" s="12">
        <f>Combined[[#This Row],[Time Spent]]*24</f>
        <v>0.98333333333333339</v>
      </c>
      <c r="L1925" s="12">
        <f>MROUND(Combined[[#This Row],[Time Spent 2]],0.25)</f>
        <v>1</v>
      </c>
      <c r="M1925" s="2" t="s">
        <v>91</v>
      </c>
      <c r="N1925" t="s">
        <v>80</v>
      </c>
      <c r="O1925">
        <f>MATCH(Combined[[#This Row],[Primary Area]],KPIs!$C$4:$C$7,0)</f>
        <v>2</v>
      </c>
    </row>
    <row r="1926" spans="2:15" x14ac:dyDescent="0.35">
      <c r="B1926">
        <f t="shared" si="500"/>
        <v>1924</v>
      </c>
      <c r="C1926" t="s">
        <v>83</v>
      </c>
      <c r="D1926" t="s">
        <v>176</v>
      </c>
      <c r="E1926">
        <f>IF(WEEKNUM(Combined[[#This Row],[Date]], 1) = 53, 1, WEEKNUM(Combined[[#This Row],[Date]], 2))</f>
        <v>40</v>
      </c>
      <c r="F1926" t="str">
        <f t="shared" ref="F1926:F1928" si="504">TEXT(WEEKDAY(G1926,1),"DDDD")</f>
        <v>Wednesday</v>
      </c>
      <c r="G1926" s="41">
        <v>45931</v>
      </c>
      <c r="H1926">
        <v>3</v>
      </c>
      <c r="I1926" s="1">
        <f>22.08+13.08+35.77</f>
        <v>70.930000000000007</v>
      </c>
      <c r="J1926" s="2">
        <v>8.6805555555555552E-2</v>
      </c>
      <c r="K1926" s="12">
        <f>Combined[[#This Row],[Time Spent]]*24</f>
        <v>2.083333333333333</v>
      </c>
      <c r="L1926" s="12">
        <f>MROUND(Combined[[#This Row],[Time Spent 2]],0.25)</f>
        <v>2</v>
      </c>
      <c r="M1926" s="2" t="s">
        <v>91</v>
      </c>
      <c r="N1926" t="s">
        <v>80</v>
      </c>
      <c r="O1926">
        <f>MATCH(Combined[[#This Row],[Primary Area]],KPIs!$C$4:$C$7,0)</f>
        <v>2</v>
      </c>
    </row>
    <row r="1927" spans="2:15" x14ac:dyDescent="0.35">
      <c r="B1927">
        <f t="shared" si="500"/>
        <v>1925</v>
      </c>
      <c r="C1927" t="s">
        <v>83</v>
      </c>
      <c r="D1927" t="s">
        <v>175</v>
      </c>
      <c r="E1927">
        <f>IF(WEEKNUM(Combined[[#This Row],[Date]], 1) = 53, 1, WEEKNUM(Combined[[#This Row],[Date]], 2))</f>
        <v>40</v>
      </c>
      <c r="F1927" t="str">
        <f t="shared" si="504"/>
        <v>Wednesday</v>
      </c>
      <c r="G1927" s="41">
        <v>45931</v>
      </c>
      <c r="H1927">
        <v>3</v>
      </c>
      <c r="I1927" s="1">
        <f>18.19+28.42+40.71</f>
        <v>87.32</v>
      </c>
      <c r="J1927" s="2">
        <v>8.3703703703703697E-2</v>
      </c>
      <c r="K1927" s="12">
        <f>Combined[[#This Row],[Time Spent]]*24</f>
        <v>2.0088888888888885</v>
      </c>
      <c r="L1927" s="12">
        <f>MROUND(Combined[[#This Row],[Time Spent 2]],0.25)</f>
        <v>2</v>
      </c>
      <c r="M1927" s="2" t="s">
        <v>91</v>
      </c>
      <c r="N1927" t="s">
        <v>80</v>
      </c>
      <c r="O1927">
        <f>MATCH(Combined[[#This Row],[Primary Area]],KPIs!$C$4:$C$7,0)</f>
        <v>2</v>
      </c>
    </row>
    <row r="1928" spans="2:15" x14ac:dyDescent="0.35">
      <c r="B1928">
        <f t="shared" si="500"/>
        <v>1926</v>
      </c>
      <c r="C1928" t="s">
        <v>86</v>
      </c>
      <c r="D1928" t="s">
        <v>176</v>
      </c>
      <c r="E1928">
        <f>IF(WEEKNUM(Combined[[#This Row],[Date]], 1) = 53, 1, WEEKNUM(Combined[[#This Row],[Date]], 2))</f>
        <v>40</v>
      </c>
      <c r="F1928" t="str">
        <f t="shared" si="504"/>
        <v>Wednesday</v>
      </c>
      <c r="G1928" s="41">
        <v>45931</v>
      </c>
      <c r="H1928">
        <v>1</v>
      </c>
      <c r="I1928" s="1">
        <v>7</v>
      </c>
      <c r="J1928" s="2">
        <v>5.6944444444444443E-2</v>
      </c>
      <c r="K1928" s="12">
        <f>Combined[[#This Row],[Time Spent]]*24</f>
        <v>1.3666666666666667</v>
      </c>
      <c r="L1928" s="12">
        <f>MROUND(Combined[[#This Row],[Time Spent 2]],0.25)</f>
        <v>1.25</v>
      </c>
      <c r="M1928" s="2" t="s">
        <v>92</v>
      </c>
      <c r="N1928" t="s">
        <v>80</v>
      </c>
      <c r="O1928">
        <f>MATCH(Combined[[#This Row],[Primary Area]],KPIs!$C$4:$C$7,0)</f>
        <v>2</v>
      </c>
    </row>
    <row r="1929" spans="2:15" x14ac:dyDescent="0.35">
      <c r="B1929">
        <f t="shared" si="500"/>
        <v>1927</v>
      </c>
      <c r="C1929" t="s">
        <v>83</v>
      </c>
      <c r="D1929" t="s">
        <v>176</v>
      </c>
      <c r="E1929">
        <f>IF(WEEKNUM(Combined[[#This Row],[Date]], 1) = 53, 1, WEEKNUM(Combined[[#This Row],[Date]], 2))</f>
        <v>40</v>
      </c>
      <c r="F1929" t="str">
        <f t="shared" ref="F1929:F1930" si="505">TEXT(WEEKDAY(G1929,1),"DDDD")</f>
        <v>Thursday</v>
      </c>
      <c r="G1929" s="41">
        <v>45932</v>
      </c>
      <c r="H1929">
        <v>1</v>
      </c>
      <c r="I1929" s="1">
        <v>21.69</v>
      </c>
      <c r="J1929" s="2">
        <v>9.3055555555555558E-2</v>
      </c>
      <c r="K1929" s="12">
        <f>Combined[[#This Row],[Time Spent]]*24</f>
        <v>2.2333333333333334</v>
      </c>
      <c r="L1929" s="12">
        <f>MROUND(Combined[[#This Row],[Time Spent 2]],0.25)</f>
        <v>2.25</v>
      </c>
      <c r="M1929" s="2" t="s">
        <v>91</v>
      </c>
      <c r="N1929" t="s">
        <v>174</v>
      </c>
      <c r="O1929">
        <f>MATCH(Combined[[#This Row],[Primary Area]],KPIs!$C$4:$C$7,0)</f>
        <v>1</v>
      </c>
    </row>
    <row r="1930" spans="2:15" x14ac:dyDescent="0.35">
      <c r="B1930">
        <f t="shared" si="500"/>
        <v>1928</v>
      </c>
      <c r="C1930" t="s">
        <v>86</v>
      </c>
      <c r="D1930" t="s">
        <v>176</v>
      </c>
      <c r="E1930">
        <f>IF(WEEKNUM(Combined[[#This Row],[Date]], 1) = 53, 1, WEEKNUM(Combined[[#This Row],[Date]], 2))</f>
        <v>40</v>
      </c>
      <c r="F1930" t="str">
        <f t="shared" si="505"/>
        <v>Thursday</v>
      </c>
      <c r="G1930" s="41">
        <v>45932</v>
      </c>
      <c r="H1930">
        <v>1</v>
      </c>
      <c r="I1930" s="1">
        <v>9.75</v>
      </c>
      <c r="J1930" s="2">
        <v>4.791666666666667E-2</v>
      </c>
      <c r="K1930" s="12">
        <f>Combined[[#This Row],[Time Spent]]*24</f>
        <v>1.1500000000000001</v>
      </c>
      <c r="L1930" s="12">
        <f>MROUND(Combined[[#This Row],[Time Spent 2]],0.25)</f>
        <v>1.25</v>
      </c>
      <c r="M1930" s="2" t="s">
        <v>91</v>
      </c>
      <c r="N1930" t="s">
        <v>174</v>
      </c>
      <c r="O1930">
        <f>MATCH(Combined[[#This Row],[Primary Area]],KPIs!$C$4:$C$7,0)</f>
        <v>1</v>
      </c>
    </row>
    <row r="1931" spans="2:15" x14ac:dyDescent="0.35">
      <c r="B1931">
        <f t="shared" si="500"/>
        <v>1929</v>
      </c>
      <c r="C1931" t="s">
        <v>83</v>
      </c>
      <c r="D1931" t="s">
        <v>176</v>
      </c>
      <c r="E1931">
        <f>IF(WEEKNUM(Combined[[#This Row],[Date]], 1) = 53, 1, WEEKNUM(Combined[[#This Row],[Date]], 2))</f>
        <v>40</v>
      </c>
      <c r="F1931" t="str">
        <f t="shared" ref="F1931:F1933" si="506">TEXT(WEEKDAY(G1931,1),"DDDD")</f>
        <v>Friday</v>
      </c>
      <c r="G1931" s="41">
        <v>45933</v>
      </c>
      <c r="H1931">
        <v>5</v>
      </c>
      <c r="I1931" s="1">
        <f>221.89-100.09</f>
        <v>121.79999999999998</v>
      </c>
      <c r="J1931" s="2">
        <f>TIME(6,13,)-TIME(1,48,)</f>
        <v>0.18402777777777779</v>
      </c>
      <c r="K1931" s="12">
        <f>Combined[[#This Row],[Time Spent]]*24</f>
        <v>4.416666666666667</v>
      </c>
      <c r="L1931" s="12">
        <f>MROUND(Combined[[#This Row],[Time Spent 2]],0.25)</f>
        <v>4.5</v>
      </c>
      <c r="M1931" s="2" t="s">
        <v>91</v>
      </c>
      <c r="N1931" t="s">
        <v>80</v>
      </c>
      <c r="O1931">
        <f>MATCH(Combined[[#This Row],[Primary Area]],KPIs!$C$4:$C$7,0)</f>
        <v>2</v>
      </c>
    </row>
    <row r="1932" spans="2:15" x14ac:dyDescent="0.35">
      <c r="B1932">
        <f t="shared" si="500"/>
        <v>1930</v>
      </c>
      <c r="C1932" t="s">
        <v>83</v>
      </c>
      <c r="D1932" t="s">
        <v>175</v>
      </c>
      <c r="E1932">
        <f>IF(WEEKNUM(Combined[[#This Row],[Date]], 1) = 53, 1, WEEKNUM(Combined[[#This Row],[Date]], 2))</f>
        <v>40</v>
      </c>
      <c r="F1932" t="str">
        <f t="shared" si="506"/>
        <v>Friday</v>
      </c>
      <c r="G1932" s="41">
        <v>45933</v>
      </c>
      <c r="H1932">
        <v>3</v>
      </c>
      <c r="I1932" s="1">
        <f>55.46+27.83+16.8</f>
        <v>100.08999999999999</v>
      </c>
      <c r="J1932" s="2">
        <v>7.5405092592592593E-2</v>
      </c>
      <c r="K1932" s="12">
        <f>Combined[[#This Row],[Time Spent]]*24</f>
        <v>1.8097222222222222</v>
      </c>
      <c r="L1932" s="12">
        <f>MROUND(Combined[[#This Row],[Time Spent 2]],0.25)</f>
        <v>1.75</v>
      </c>
      <c r="M1932" s="2" t="s">
        <v>91</v>
      </c>
      <c r="N1932" t="s">
        <v>80</v>
      </c>
      <c r="O1932">
        <f>MATCH(Combined[[#This Row],[Primary Area]],KPIs!$C$4:$C$7,0)</f>
        <v>2</v>
      </c>
    </row>
    <row r="1933" spans="2:15" x14ac:dyDescent="0.35">
      <c r="B1933">
        <f t="shared" si="500"/>
        <v>1931</v>
      </c>
      <c r="C1933" t="s">
        <v>86</v>
      </c>
      <c r="D1933" t="s">
        <v>176</v>
      </c>
      <c r="E1933">
        <f>IF(WEEKNUM(Combined[[#This Row],[Date]], 1) = 53, 1, WEEKNUM(Combined[[#This Row],[Date]], 2))</f>
        <v>40</v>
      </c>
      <c r="F1933" t="str">
        <f t="shared" si="506"/>
        <v>Friday</v>
      </c>
      <c r="G1933" s="41">
        <v>45933</v>
      </c>
      <c r="H1933">
        <v>3</v>
      </c>
      <c r="I1933" s="1">
        <f>10.75+12</f>
        <v>22.75</v>
      </c>
      <c r="J1933" s="2">
        <v>0.12361111111111112</v>
      </c>
      <c r="K1933" s="12">
        <f>Combined[[#This Row],[Time Spent]]*24</f>
        <v>2.9666666666666668</v>
      </c>
      <c r="L1933" s="12">
        <f>MROUND(Combined[[#This Row],[Time Spent 2]],0.25)</f>
        <v>3</v>
      </c>
      <c r="M1933" s="2" t="s">
        <v>92</v>
      </c>
      <c r="N1933" t="s">
        <v>80</v>
      </c>
      <c r="O1933">
        <f>MATCH(Combined[[#This Row],[Primary Area]],KPIs!$C$4:$C$7,0)</f>
        <v>2</v>
      </c>
    </row>
    <row r="1934" spans="2:15" x14ac:dyDescent="0.35">
      <c r="B1934">
        <f t="shared" si="500"/>
        <v>1932</v>
      </c>
      <c r="C1934" t="s">
        <v>83</v>
      </c>
      <c r="D1934" t="s">
        <v>176</v>
      </c>
      <c r="E1934">
        <f>IF(WEEKNUM(Combined[[#This Row],[Date]], 1) = 53, 1, WEEKNUM(Combined[[#This Row],[Date]], 2))</f>
        <v>40</v>
      </c>
      <c r="F1934" t="str">
        <f t="shared" ref="F1934:F1935" si="507">TEXT(WEEKDAY(G1934,1),"DDDD")</f>
        <v>Sunday</v>
      </c>
      <c r="G1934" s="41">
        <v>45935</v>
      </c>
      <c r="H1934">
        <v>9</v>
      </c>
      <c r="I1934" s="1">
        <v>142.41</v>
      </c>
      <c r="J1934" s="2">
        <v>0.25555555555555554</v>
      </c>
      <c r="K1934" s="12">
        <f>Combined[[#This Row],[Time Spent]]*24</f>
        <v>6.1333333333333329</v>
      </c>
      <c r="L1934" s="12">
        <f>MROUND(Combined[[#This Row],[Time Spent 2]],0.25)</f>
        <v>6.25</v>
      </c>
      <c r="M1934" s="2" t="s">
        <v>91</v>
      </c>
      <c r="N1934" t="s">
        <v>85</v>
      </c>
      <c r="O1934">
        <f>MATCH(Combined[[#This Row],[Primary Area]],KPIs!$C$4:$C$7,0)</f>
        <v>4</v>
      </c>
    </row>
    <row r="1935" spans="2:15" x14ac:dyDescent="0.35">
      <c r="B1935">
        <f t="shared" si="500"/>
        <v>1933</v>
      </c>
      <c r="C1935" t="s">
        <v>86</v>
      </c>
      <c r="D1935" t="s">
        <v>176</v>
      </c>
      <c r="E1935">
        <f>IF(WEEKNUM(Combined[[#This Row],[Date]], 1) = 53, 1, WEEKNUM(Combined[[#This Row],[Date]], 2))</f>
        <v>40</v>
      </c>
      <c r="F1935" t="str">
        <f t="shared" si="507"/>
        <v>Sunday</v>
      </c>
      <c r="G1935" s="41">
        <v>45935</v>
      </c>
      <c r="H1935">
        <v>1</v>
      </c>
      <c r="I1935" s="1">
        <f>7.25+3.78</f>
        <v>11.03</v>
      </c>
      <c r="J1935" s="2">
        <v>3.0555555555555555E-2</v>
      </c>
      <c r="K1935" s="12">
        <f>Combined[[#This Row],[Time Spent]]*24</f>
        <v>0.73333333333333328</v>
      </c>
      <c r="L1935" s="12">
        <f>MROUND(Combined[[#This Row],[Time Spent 2]],0.25)</f>
        <v>0.75</v>
      </c>
      <c r="M1935" s="2" t="s">
        <v>91</v>
      </c>
      <c r="N1935" t="s">
        <v>85</v>
      </c>
      <c r="O1935">
        <f>MATCH(Combined[[#This Row],[Primary Area]],KPIs!$C$4:$C$7,0)</f>
        <v>4</v>
      </c>
    </row>
    <row r="1936" spans="2:15" x14ac:dyDescent="0.35">
      <c r="B1936">
        <f t="shared" si="500"/>
        <v>1934</v>
      </c>
      <c r="C1936" t="s">
        <v>83</v>
      </c>
      <c r="D1936" t="s">
        <v>176</v>
      </c>
      <c r="E1936">
        <f>IF(WEEKNUM(Combined[[#This Row],[Date]], 1) = 53, 1, WEEKNUM(Combined[[#This Row],[Date]], 2))</f>
        <v>41</v>
      </c>
      <c r="F1936" t="str">
        <f t="shared" ref="F1936:F1938" si="508">TEXT(WEEKDAY(G1936,1),"DDDD")</f>
        <v>Tuesday</v>
      </c>
      <c r="G1936" s="41">
        <v>45937</v>
      </c>
      <c r="H1936">
        <v>3</v>
      </c>
      <c r="I1936" s="1">
        <v>52.52</v>
      </c>
      <c r="J1936" s="2">
        <v>0.11805555555555555</v>
      </c>
      <c r="K1936" s="12">
        <f>Combined[[#This Row],[Time Spent]]*24</f>
        <v>2.833333333333333</v>
      </c>
      <c r="L1936" s="12">
        <f>MROUND(Combined[[#This Row],[Time Spent 2]],0.25)</f>
        <v>2.75</v>
      </c>
      <c r="M1936" s="2" t="s">
        <v>91</v>
      </c>
      <c r="N1936" t="s">
        <v>80</v>
      </c>
      <c r="O1936">
        <f>MATCH(Combined[[#This Row],[Primary Area]],KPIs!$C$4:$C$7,0)</f>
        <v>2</v>
      </c>
    </row>
    <row r="1937" spans="2:15" x14ac:dyDescent="0.35">
      <c r="B1937">
        <f t="shared" si="500"/>
        <v>1935</v>
      </c>
      <c r="C1937" t="s">
        <v>86</v>
      </c>
      <c r="D1937" t="s">
        <v>176</v>
      </c>
      <c r="E1937">
        <f>IF(WEEKNUM(Combined[[#This Row],[Date]], 1) = 53, 1, WEEKNUM(Combined[[#This Row],[Date]], 2))</f>
        <v>41</v>
      </c>
      <c r="F1937" t="str">
        <f t="shared" si="508"/>
        <v>Tuesday</v>
      </c>
      <c r="G1937" s="41">
        <v>45937</v>
      </c>
      <c r="H1937">
        <v>6</v>
      </c>
      <c r="I1937" s="1">
        <v>47.25</v>
      </c>
      <c r="J1937" s="2">
        <v>0.12222222222222222</v>
      </c>
      <c r="K1937" s="12">
        <f>Combined[[#This Row],[Time Spent]]*24</f>
        <v>2.9333333333333331</v>
      </c>
      <c r="L1937" s="12">
        <f>MROUND(Combined[[#This Row],[Time Spent 2]],0.25)</f>
        <v>3</v>
      </c>
      <c r="M1937" s="2" t="s">
        <v>91</v>
      </c>
      <c r="N1937" t="s">
        <v>80</v>
      </c>
      <c r="O1937">
        <f>MATCH(Combined[[#This Row],[Primary Area]],KPIs!$C$4:$C$7,0)</f>
        <v>2</v>
      </c>
    </row>
    <row r="1938" spans="2:15" x14ac:dyDescent="0.35">
      <c r="B1938">
        <f t="shared" si="500"/>
        <v>1936</v>
      </c>
      <c r="C1938" t="s">
        <v>86</v>
      </c>
      <c r="D1938" t="s">
        <v>176</v>
      </c>
      <c r="E1938">
        <f>IF(WEEKNUM(Combined[[#This Row],[Date]], 1) = 53, 1, WEEKNUM(Combined[[#This Row],[Date]], 2))</f>
        <v>41</v>
      </c>
      <c r="F1938" t="str">
        <f t="shared" si="508"/>
        <v>Tuesday</v>
      </c>
      <c r="G1938" s="41">
        <v>45937</v>
      </c>
      <c r="H1938">
        <v>6</v>
      </c>
      <c r="I1938" s="1">
        <f>34.5+2.5</f>
        <v>37</v>
      </c>
      <c r="J1938" s="2">
        <v>0.10208333333333333</v>
      </c>
      <c r="K1938" s="12">
        <f>Combined[[#This Row],[Time Spent]]*24</f>
        <v>2.4500000000000002</v>
      </c>
      <c r="L1938" s="12">
        <f>MROUND(Combined[[#This Row],[Time Spent 2]],0.25)</f>
        <v>2.5</v>
      </c>
      <c r="M1938" s="2" t="s">
        <v>92</v>
      </c>
      <c r="N1938" t="s">
        <v>80</v>
      </c>
      <c r="O1938">
        <f>MATCH(Combined[[#This Row],[Primary Area]],KPIs!$C$4:$C$7,0)</f>
        <v>2</v>
      </c>
    </row>
    <row r="1939" spans="2:15" x14ac:dyDescent="0.35">
      <c r="B1939">
        <f t="shared" si="500"/>
        <v>1937</v>
      </c>
      <c r="C1939" t="s">
        <v>83</v>
      </c>
      <c r="D1939" t="s">
        <v>176</v>
      </c>
      <c r="E1939">
        <f>IF(WEEKNUM(Combined[[#This Row],[Date]], 1) = 53, 1, WEEKNUM(Combined[[#This Row],[Date]], 2))</f>
        <v>41</v>
      </c>
      <c r="F1939" t="str">
        <f t="shared" ref="F1939:F1941" si="509">TEXT(WEEKDAY(G1939,1),"DDDD")</f>
        <v>Friday</v>
      </c>
      <c r="G1939" s="41">
        <v>45940</v>
      </c>
      <c r="H1939">
        <v>7</v>
      </c>
      <c r="I1939" s="1">
        <v>132.74</v>
      </c>
      <c r="J1939" s="2">
        <v>0.16458333333333333</v>
      </c>
      <c r="K1939" s="12">
        <f>Combined[[#This Row],[Time Spent]]*24</f>
        <v>3.95</v>
      </c>
      <c r="L1939" s="12">
        <f>MROUND(Combined[[#This Row],[Time Spent 2]],0.25)</f>
        <v>4</v>
      </c>
      <c r="M1939" s="2" t="s">
        <v>91</v>
      </c>
      <c r="N1939" t="s">
        <v>80</v>
      </c>
      <c r="O1939">
        <f>MATCH(Combined[[#This Row],[Primary Area]],KPIs!$C$4:$C$7,0)</f>
        <v>2</v>
      </c>
    </row>
    <row r="1940" spans="2:15" x14ac:dyDescent="0.35">
      <c r="B1940">
        <f t="shared" si="500"/>
        <v>1938</v>
      </c>
      <c r="C1940" t="s">
        <v>86</v>
      </c>
      <c r="D1940" t="s">
        <v>175</v>
      </c>
      <c r="E1940">
        <f>IF(WEEKNUM(Combined[[#This Row],[Date]], 1) = 53, 1, WEEKNUM(Combined[[#This Row],[Date]], 2))</f>
        <v>41</v>
      </c>
      <c r="F1940" t="str">
        <f t="shared" si="509"/>
        <v>Friday</v>
      </c>
      <c r="G1940" s="41">
        <v>45940</v>
      </c>
      <c r="H1940">
        <v>2</v>
      </c>
      <c r="I1940" s="1">
        <v>15.23</v>
      </c>
      <c r="J1940" s="2">
        <v>5.7638888888888892E-2</v>
      </c>
      <c r="K1940" s="12">
        <f>Combined[[#This Row],[Time Spent]]*24</f>
        <v>1.3833333333333333</v>
      </c>
      <c r="L1940" s="12">
        <f>MROUND(Combined[[#This Row],[Time Spent 2]],0.25)</f>
        <v>1.5</v>
      </c>
      <c r="M1940" s="2" t="s">
        <v>91</v>
      </c>
      <c r="N1940" t="s">
        <v>80</v>
      </c>
      <c r="O1940">
        <f>MATCH(Combined[[#This Row],[Primary Area]],KPIs!$C$4:$C$7,0)</f>
        <v>2</v>
      </c>
    </row>
    <row r="1941" spans="2:15" x14ac:dyDescent="0.35">
      <c r="B1941">
        <f t="shared" si="500"/>
        <v>1939</v>
      </c>
      <c r="C1941" t="s">
        <v>86</v>
      </c>
      <c r="D1941" t="s">
        <v>176</v>
      </c>
      <c r="E1941">
        <f>IF(WEEKNUM(Combined[[#This Row],[Date]], 1) = 53, 1, WEEKNUM(Combined[[#This Row],[Date]], 2))</f>
        <v>41</v>
      </c>
      <c r="F1941" t="str">
        <f t="shared" si="509"/>
        <v>Friday</v>
      </c>
      <c r="G1941" s="41">
        <v>45940</v>
      </c>
      <c r="H1941">
        <v>2</v>
      </c>
      <c r="I1941" s="1">
        <v>14.75</v>
      </c>
      <c r="J1941" s="2">
        <v>4.3749999999999997E-2</v>
      </c>
      <c r="K1941" s="12">
        <f>Combined[[#This Row],[Time Spent]]*24</f>
        <v>1.0499999999999998</v>
      </c>
      <c r="L1941" s="12">
        <f>MROUND(Combined[[#This Row],[Time Spent 2]],0.25)</f>
        <v>1</v>
      </c>
      <c r="M1941" s="2" t="s">
        <v>92</v>
      </c>
      <c r="N1941" t="s">
        <v>80</v>
      </c>
      <c r="O1941">
        <f>MATCH(Combined[[#This Row],[Primary Area]],KPIs!$C$4:$C$7,0)</f>
        <v>2</v>
      </c>
    </row>
    <row r="1942" spans="2:15" x14ac:dyDescent="0.35">
      <c r="B1942">
        <f t="shared" si="500"/>
        <v>1940</v>
      </c>
      <c r="C1942" t="s">
        <v>86</v>
      </c>
      <c r="D1942" t="s">
        <v>175</v>
      </c>
      <c r="E1942">
        <f>IF(WEEKNUM(Combined[[#This Row],[Date]], 1) = 53, 1, WEEKNUM(Combined[[#This Row],[Date]], 2))</f>
        <v>42</v>
      </c>
      <c r="F1942" t="str">
        <f>TEXT(WEEKDAY(G1942,1),"DDDD")</f>
        <v>Monday</v>
      </c>
      <c r="G1942" s="41">
        <v>45943</v>
      </c>
      <c r="H1942">
        <v>9</v>
      </c>
      <c r="I1942" s="1">
        <v>71.75</v>
      </c>
      <c r="J1942" s="2">
        <v>0.15486111111111112</v>
      </c>
      <c r="K1942" s="12">
        <f>Combined[[#This Row],[Time Spent]]*24</f>
        <v>3.7166666666666668</v>
      </c>
      <c r="L1942" s="12">
        <f>MROUND(Combined[[#This Row],[Time Spent 2]],0.25)</f>
        <v>3.75</v>
      </c>
      <c r="M1942" s="2" t="s">
        <v>91</v>
      </c>
      <c r="N1942" t="s">
        <v>80</v>
      </c>
      <c r="O1942">
        <f>MATCH(Combined[[#This Row],[Primary Area]],KPIs!$C$4:$C$7,0)</f>
        <v>2</v>
      </c>
    </row>
    <row r="1943" spans="2:15" x14ac:dyDescent="0.35">
      <c r="B1943">
        <f t="shared" si="500"/>
        <v>1941</v>
      </c>
      <c r="C1943" t="s">
        <v>86</v>
      </c>
      <c r="D1943" t="s">
        <v>176</v>
      </c>
      <c r="E1943">
        <f>IF(WEEKNUM(Combined[[#This Row],[Date]], 1) = 53, 1, WEEKNUM(Combined[[#This Row],[Date]], 2))</f>
        <v>42</v>
      </c>
      <c r="F1943" t="str">
        <f t="shared" ref="F1943" si="510">TEXT(WEEKDAY(G1943,1),"DDDD")</f>
        <v>Tuesday</v>
      </c>
      <c r="G1943" s="41">
        <v>45944</v>
      </c>
      <c r="H1943">
        <v>18</v>
      </c>
      <c r="I1943" s="1">
        <v>134.25</v>
      </c>
      <c r="J1943" s="2">
        <v>0.25069444444444444</v>
      </c>
      <c r="K1943" s="12">
        <f>Combined[[#This Row],[Time Spent]]*24</f>
        <v>6.0166666666666666</v>
      </c>
      <c r="L1943" s="12">
        <f>MROUND(Combined[[#This Row],[Time Spent 2]],0.25)</f>
        <v>6</v>
      </c>
      <c r="M1943" s="2" t="s">
        <v>91</v>
      </c>
      <c r="N1943" t="s">
        <v>80</v>
      </c>
      <c r="O1943">
        <f>MATCH(Combined[[#This Row],[Primary Area]],KPIs!$C$4:$C$7,0)</f>
        <v>2</v>
      </c>
    </row>
    <row r="1944" spans="2:15" x14ac:dyDescent="0.35">
      <c r="B1944">
        <f t="shared" si="500"/>
        <v>1942</v>
      </c>
      <c r="C1944" t="s">
        <v>83</v>
      </c>
      <c r="D1944" t="s">
        <v>176</v>
      </c>
      <c r="E1944">
        <f>IF(WEEKNUM(Combined[[#This Row],[Date]], 1) = 53, 1, WEEKNUM(Combined[[#This Row],[Date]], 2))</f>
        <v>42</v>
      </c>
      <c r="F1944" t="str">
        <f t="shared" ref="F1944:F1945" si="511">TEXT(WEEKDAY(G1944,1),"DDDD")</f>
        <v>Friday</v>
      </c>
      <c r="G1944" s="41">
        <v>45947</v>
      </c>
      <c r="H1944">
        <v>1</v>
      </c>
      <c r="I1944" s="1">
        <v>15.05</v>
      </c>
      <c r="J1944" s="2">
        <v>5.5555555555555552E-2</v>
      </c>
      <c r="K1944" s="12">
        <f>Combined[[#This Row],[Time Spent]]*24</f>
        <v>1.3333333333333333</v>
      </c>
      <c r="L1944" s="12">
        <f>MROUND(Combined[[#This Row],[Time Spent 2]],0.25)</f>
        <v>1.25</v>
      </c>
      <c r="M1944" s="2" t="s">
        <v>91</v>
      </c>
      <c r="N1944" t="s">
        <v>80</v>
      </c>
      <c r="O1944">
        <f>MATCH(Combined[[#This Row],[Primary Area]],KPIs!$C$4:$C$7,0)</f>
        <v>2</v>
      </c>
    </row>
    <row r="1945" spans="2:15" x14ac:dyDescent="0.35">
      <c r="B1945">
        <f t="shared" si="500"/>
        <v>1943</v>
      </c>
      <c r="C1945" t="s">
        <v>86</v>
      </c>
      <c r="D1945" t="s">
        <v>176</v>
      </c>
      <c r="E1945">
        <f>IF(WEEKNUM(Combined[[#This Row],[Date]], 1) = 53, 1, WEEKNUM(Combined[[#This Row],[Date]], 2))</f>
        <v>42</v>
      </c>
      <c r="F1945" t="str">
        <f t="shared" si="511"/>
        <v>Friday</v>
      </c>
      <c r="G1945" s="41">
        <v>45947</v>
      </c>
      <c r="H1945">
        <v>10</v>
      </c>
      <c r="I1945" s="1">
        <v>134.75</v>
      </c>
      <c r="J1945" s="2">
        <v>0.26944444444444443</v>
      </c>
      <c r="K1945" s="12">
        <f>Combined[[#This Row],[Time Spent]]*24</f>
        <v>6.4666666666666668</v>
      </c>
      <c r="L1945" s="12">
        <f>MROUND(Combined[[#This Row],[Time Spent 2]],0.25)</f>
        <v>6.5</v>
      </c>
      <c r="M1945" s="2" t="s">
        <v>91</v>
      </c>
      <c r="N1945" t="s">
        <v>80</v>
      </c>
      <c r="O1945">
        <f>MATCH(Combined[[#This Row],[Primary Area]],KPIs!$C$4:$C$7,0)</f>
        <v>2</v>
      </c>
    </row>
    <row r="1946" spans="2:15" x14ac:dyDescent="0.35">
      <c r="B1946">
        <f t="shared" si="500"/>
        <v>1944</v>
      </c>
      <c r="C1946" t="s">
        <v>83</v>
      </c>
      <c r="D1946" t="s">
        <v>176</v>
      </c>
      <c r="E1946">
        <f>IF(WEEKNUM(Combined[[#This Row],[Date]], 1) = 53, 1, WEEKNUM(Combined[[#This Row],[Date]], 2))</f>
        <v>43</v>
      </c>
      <c r="F1946" t="str">
        <f t="shared" ref="F1946:F1947" si="512">TEXT(WEEKDAY(G1946,1),"DDDD")</f>
        <v>Monday</v>
      </c>
      <c r="G1946" s="41">
        <v>45950</v>
      </c>
      <c r="H1946">
        <v>2</v>
      </c>
      <c r="I1946" s="1">
        <v>23.65</v>
      </c>
      <c r="J1946" s="2">
        <v>9.8611111111111108E-2</v>
      </c>
      <c r="K1946" s="12">
        <f>Combined[[#This Row],[Time Spent]]*24</f>
        <v>2.3666666666666667</v>
      </c>
      <c r="L1946" s="12">
        <f>MROUND(Combined[[#This Row],[Time Spent 2]],0.25)</f>
        <v>2.25</v>
      </c>
      <c r="M1946" s="2" t="s">
        <v>91</v>
      </c>
      <c r="N1946" t="s">
        <v>80</v>
      </c>
      <c r="O1946">
        <f>MATCH(Combined[[#This Row],[Primary Area]],KPIs!$C$4:$C$7,0)</f>
        <v>2</v>
      </c>
    </row>
    <row r="1947" spans="2:15" x14ac:dyDescent="0.35">
      <c r="B1947">
        <f t="shared" si="500"/>
        <v>1945</v>
      </c>
      <c r="C1947" t="s">
        <v>86</v>
      </c>
      <c r="D1947" t="s">
        <v>176</v>
      </c>
      <c r="E1947">
        <f>IF(WEEKNUM(Combined[[#This Row],[Date]], 1) = 53, 1, WEEKNUM(Combined[[#This Row],[Date]], 2))</f>
        <v>43</v>
      </c>
      <c r="F1947" t="str">
        <f t="shared" si="512"/>
        <v>Monday</v>
      </c>
      <c r="G1947" s="41">
        <v>45950</v>
      </c>
      <c r="H1947">
        <v>10</v>
      </c>
      <c r="I1947" s="1">
        <f>92.58+8.37</f>
        <v>100.95</v>
      </c>
      <c r="J1947" s="2">
        <v>0.25972222222222224</v>
      </c>
      <c r="K1947" s="12">
        <f>Combined[[#This Row],[Time Spent]]*24</f>
        <v>6.2333333333333343</v>
      </c>
      <c r="L1947" s="12">
        <f>MROUND(Combined[[#This Row],[Time Spent 2]],0.25)</f>
        <v>6.25</v>
      </c>
      <c r="M1947" s="2" t="s">
        <v>91</v>
      </c>
      <c r="N1947" t="s">
        <v>80</v>
      </c>
      <c r="O1947">
        <f>MATCH(Combined[[#This Row],[Primary Area]],KPIs!$C$4:$C$7,0)</f>
        <v>2</v>
      </c>
    </row>
    <row r="1948" spans="2:15" x14ac:dyDescent="0.35">
      <c r="B1948">
        <f t="shared" si="500"/>
        <v>1946</v>
      </c>
      <c r="C1948" t="s">
        <v>83</v>
      </c>
      <c r="D1948" t="s">
        <v>176</v>
      </c>
      <c r="E1948">
        <f>IF(WEEKNUM(Combined[[#This Row],[Date]], 1) = 53, 1, WEEKNUM(Combined[[#This Row],[Date]], 2))</f>
        <v>43</v>
      </c>
      <c r="F1948" t="str">
        <f t="shared" ref="F1948:F1950" si="513">TEXT(WEEKDAY(G1948,1),"DDDD")</f>
        <v>Tuesday</v>
      </c>
      <c r="G1948" s="41">
        <v>45951</v>
      </c>
      <c r="H1948">
        <v>3</v>
      </c>
      <c r="I1948" s="1">
        <v>52.66</v>
      </c>
      <c r="J1948" s="2">
        <v>0.11458333333333333</v>
      </c>
      <c r="K1948" s="12">
        <f>Combined[[#This Row],[Time Spent]]*24</f>
        <v>2.75</v>
      </c>
      <c r="L1948" s="12">
        <f>MROUND(Combined[[#This Row],[Time Spent 2]],0.25)</f>
        <v>2.75</v>
      </c>
      <c r="M1948" s="2" t="s">
        <v>91</v>
      </c>
      <c r="N1948" t="s">
        <v>80</v>
      </c>
      <c r="O1948">
        <f>MATCH(Combined[[#This Row],[Primary Area]],KPIs!$C$4:$C$7,0)</f>
        <v>2</v>
      </c>
    </row>
    <row r="1949" spans="2:15" x14ac:dyDescent="0.35">
      <c r="B1949">
        <f t="shared" si="500"/>
        <v>1947</v>
      </c>
      <c r="C1949" t="s">
        <v>86</v>
      </c>
      <c r="D1949" t="s">
        <v>176</v>
      </c>
      <c r="E1949">
        <f>IF(WEEKNUM(Combined[[#This Row],[Date]], 1) = 53, 1, WEEKNUM(Combined[[#This Row],[Date]], 2))</f>
        <v>43</v>
      </c>
      <c r="F1949" t="str">
        <f t="shared" si="513"/>
        <v>Tuesday</v>
      </c>
      <c r="G1949" s="41">
        <v>45951</v>
      </c>
      <c r="H1949">
        <v>3</v>
      </c>
      <c r="I1949" s="1">
        <v>30.5</v>
      </c>
      <c r="J1949" s="2">
        <v>8.4027777777777785E-2</v>
      </c>
      <c r="K1949" s="12">
        <f>Combined[[#This Row],[Time Spent]]*24</f>
        <v>2.0166666666666666</v>
      </c>
      <c r="L1949" s="12">
        <f>MROUND(Combined[[#This Row],[Time Spent 2]],0.25)</f>
        <v>2</v>
      </c>
      <c r="M1949" s="2" t="s">
        <v>91</v>
      </c>
      <c r="N1949" t="s">
        <v>80</v>
      </c>
      <c r="O1949">
        <f>MATCH(Combined[[#This Row],[Primary Area]],KPIs!$C$4:$C$7,0)</f>
        <v>2</v>
      </c>
    </row>
    <row r="1950" spans="2:15" x14ac:dyDescent="0.35">
      <c r="B1950">
        <f t="shared" si="500"/>
        <v>1948</v>
      </c>
      <c r="C1950" t="s">
        <v>86</v>
      </c>
      <c r="D1950" t="s">
        <v>176</v>
      </c>
      <c r="E1950">
        <f>IF(WEEKNUM(Combined[[#This Row],[Date]], 1) = 53, 1, WEEKNUM(Combined[[#This Row],[Date]], 2))</f>
        <v>43</v>
      </c>
      <c r="F1950" t="str">
        <f t="shared" si="513"/>
        <v>Tuesday</v>
      </c>
      <c r="G1950" s="41">
        <v>45951</v>
      </c>
      <c r="H1950">
        <v>9</v>
      </c>
      <c r="I1950" s="1">
        <v>68.25</v>
      </c>
      <c r="J1950" s="2">
        <v>0.20069444444444445</v>
      </c>
      <c r="K1950" s="12">
        <f>Combined[[#This Row],[Time Spent]]*24</f>
        <v>4.8166666666666664</v>
      </c>
      <c r="L1950" s="12">
        <f>MROUND(Combined[[#This Row],[Time Spent 2]],0.25)</f>
        <v>4.75</v>
      </c>
      <c r="M1950" s="2" t="s">
        <v>91</v>
      </c>
      <c r="N1950" t="s">
        <v>80</v>
      </c>
      <c r="O1950">
        <f>MATCH(Combined[[#This Row],[Primary Area]],KPIs!$C$4:$C$7,0)</f>
        <v>2</v>
      </c>
    </row>
    <row r="1951" spans="2:15" x14ac:dyDescent="0.35">
      <c r="B1951">
        <f t="shared" si="500"/>
        <v>1949</v>
      </c>
      <c r="C1951" t="s">
        <v>83</v>
      </c>
      <c r="D1951" t="s">
        <v>176</v>
      </c>
      <c r="E1951">
        <f>IF(WEEKNUM(Combined[[#This Row],[Date]], 1) = 53, 1, WEEKNUM(Combined[[#This Row],[Date]], 2))</f>
        <v>43</v>
      </c>
      <c r="F1951" t="str">
        <f t="shared" ref="F1951:F1953" si="514">TEXT(WEEKDAY(G1951,1),"DDDD")</f>
        <v>Saturday</v>
      </c>
      <c r="G1951" s="41">
        <v>45955</v>
      </c>
      <c r="H1951">
        <v>3</v>
      </c>
      <c r="I1951" s="1">
        <v>22.55</v>
      </c>
      <c r="J1951" s="2">
        <v>4.5138888888888888E-2</v>
      </c>
      <c r="K1951" s="12">
        <f>Combined[[#This Row],[Time Spent]]*24</f>
        <v>1.0833333333333333</v>
      </c>
      <c r="L1951" s="12">
        <f>MROUND(Combined[[#This Row],[Time Spent 2]],0.25)</f>
        <v>1</v>
      </c>
      <c r="M1951" s="2" t="s">
        <v>92</v>
      </c>
      <c r="N1951" t="s">
        <v>82</v>
      </c>
      <c r="O1951">
        <f>MATCH(Combined[[#This Row],[Primary Area]],KPIs!$C$4:$C$7,0)</f>
        <v>3</v>
      </c>
    </row>
    <row r="1952" spans="2:15" x14ac:dyDescent="0.35">
      <c r="B1952">
        <f t="shared" si="500"/>
        <v>1950</v>
      </c>
      <c r="C1952" t="s">
        <v>86</v>
      </c>
      <c r="D1952" t="s">
        <v>176</v>
      </c>
      <c r="E1952">
        <f>IF(WEEKNUM(Combined[[#This Row],[Date]], 1) = 53, 1, WEEKNUM(Combined[[#This Row],[Date]], 2))</f>
        <v>43</v>
      </c>
      <c r="F1952" t="str">
        <f t="shared" si="514"/>
        <v>Saturday</v>
      </c>
      <c r="G1952" s="41">
        <v>45955</v>
      </c>
      <c r="H1952">
        <v>3</v>
      </c>
      <c r="I1952" s="1">
        <v>12.37</v>
      </c>
      <c r="J1952" s="2">
        <v>7.013888888888889E-2</v>
      </c>
      <c r="K1952" s="12">
        <f>Combined[[#This Row],[Time Spent]]*24</f>
        <v>1.6833333333333333</v>
      </c>
      <c r="L1952" s="12">
        <f>MROUND(Combined[[#This Row],[Time Spent 2]],0.25)</f>
        <v>1.75</v>
      </c>
      <c r="M1952" s="2" t="s">
        <v>92</v>
      </c>
      <c r="N1952" t="s">
        <v>82</v>
      </c>
      <c r="O1952">
        <f>MATCH(Combined[[#This Row],[Primary Area]],KPIs!$C$4:$C$7,0)</f>
        <v>3</v>
      </c>
    </row>
    <row r="1953" spans="2:15" x14ac:dyDescent="0.35">
      <c r="B1953">
        <f t="shared" si="500"/>
        <v>1951</v>
      </c>
      <c r="C1953" t="s">
        <v>86</v>
      </c>
      <c r="D1953" t="s">
        <v>176</v>
      </c>
      <c r="E1953">
        <f>IF(WEEKNUM(Combined[[#This Row],[Date]], 1) = 53, 1, WEEKNUM(Combined[[#This Row],[Date]], 2))</f>
        <v>43</v>
      </c>
      <c r="F1953" t="str">
        <f t="shared" si="514"/>
        <v>Saturday</v>
      </c>
      <c r="G1953" s="41">
        <v>45955</v>
      </c>
      <c r="H1953">
        <v>5</v>
      </c>
      <c r="I1953" s="1">
        <v>27.87</v>
      </c>
      <c r="J1953" s="2">
        <v>9.0972222222222218E-2</v>
      </c>
      <c r="K1953" s="12">
        <f>Combined[[#This Row],[Time Spent]]*24</f>
        <v>2.1833333333333331</v>
      </c>
      <c r="L1953" s="12">
        <f>MROUND(Combined[[#This Row],[Time Spent 2]],0.25)</f>
        <v>2.25</v>
      </c>
      <c r="M1953" s="2" t="s">
        <v>92</v>
      </c>
      <c r="N1953" t="s">
        <v>82</v>
      </c>
      <c r="O1953">
        <f>MATCH(Combined[[#This Row],[Primary Area]],KPIs!$C$4:$C$7,0)</f>
        <v>3</v>
      </c>
    </row>
    <row r="1954" spans="2:15" x14ac:dyDescent="0.35">
      <c r="B1954">
        <f t="shared" si="500"/>
        <v>1952</v>
      </c>
      <c r="C1954" t="s">
        <v>86</v>
      </c>
      <c r="D1954" t="s">
        <v>176</v>
      </c>
      <c r="E1954">
        <f>IF(WEEKNUM(Combined[[#This Row],[Date]], 1) = 53, 1, WEEKNUM(Combined[[#This Row],[Date]], 2))</f>
        <v>44</v>
      </c>
      <c r="F1954" t="str">
        <f t="shared" ref="F1954" si="515">TEXT(WEEKDAY(G1954,1),"DDDD")</f>
        <v>Monday</v>
      </c>
      <c r="G1954" s="41">
        <v>45957</v>
      </c>
      <c r="H1954">
        <v>14</v>
      </c>
      <c r="I1954" s="1">
        <f>119.84+6.35+12.66</f>
        <v>138.85</v>
      </c>
      <c r="J1954" s="2">
        <v>0.25972222222222224</v>
      </c>
      <c r="K1954" s="12">
        <f>Combined[[#This Row],[Time Spent]]*24</f>
        <v>6.2333333333333343</v>
      </c>
      <c r="L1954" s="12">
        <f>MROUND(Combined[[#This Row],[Time Spent 2]],0.25)</f>
        <v>6.25</v>
      </c>
      <c r="M1954" s="2" t="s">
        <v>91</v>
      </c>
      <c r="N1954" t="s">
        <v>80</v>
      </c>
      <c r="O1954">
        <f>MATCH(Combined[[#This Row],[Primary Area]],KPIs!$C$4:$C$7,0)</f>
        <v>2</v>
      </c>
    </row>
    <row r="1955" spans="2:15" x14ac:dyDescent="0.35">
      <c r="B1955">
        <f t="shared" si="500"/>
        <v>1953</v>
      </c>
      <c r="C1955" t="s">
        <v>83</v>
      </c>
      <c r="D1955" t="s">
        <v>176</v>
      </c>
      <c r="E1955">
        <f>IF(WEEKNUM(Combined[[#This Row],[Date]], 1) = 53, 1, WEEKNUM(Combined[[#This Row],[Date]], 2))</f>
        <v>44</v>
      </c>
      <c r="F1955" t="str">
        <f t="shared" ref="F1955:F1958" si="516">TEXT(WEEKDAY(G1955,1),"DDDD")</f>
        <v>Tuesday</v>
      </c>
      <c r="G1955" s="41">
        <v>45958</v>
      </c>
      <c r="H1955">
        <v>1</v>
      </c>
      <c r="I1955" s="1">
        <v>21.08</v>
      </c>
      <c r="J1955" s="2">
        <v>2.2222222222222223E-2</v>
      </c>
      <c r="K1955" s="12">
        <f>Combined[[#This Row],[Time Spent]]*24</f>
        <v>0.53333333333333333</v>
      </c>
      <c r="L1955" s="12">
        <f>MROUND(Combined[[#This Row],[Time Spent 2]],0.25)</f>
        <v>0.5</v>
      </c>
      <c r="M1955" s="2" t="s">
        <v>91</v>
      </c>
      <c r="N1955" t="s">
        <v>80</v>
      </c>
      <c r="O1955">
        <f>MATCH(Combined[[#This Row],[Primary Area]],KPIs!$C$4:$C$7,0)</f>
        <v>2</v>
      </c>
    </row>
    <row r="1956" spans="2:15" x14ac:dyDescent="0.35">
      <c r="B1956">
        <f t="shared" si="500"/>
        <v>1954</v>
      </c>
      <c r="C1956" t="s">
        <v>83</v>
      </c>
      <c r="D1956" t="s">
        <v>175</v>
      </c>
      <c r="E1956">
        <f>IF(WEEKNUM(Combined[[#This Row],[Date]], 1) = 53, 1, WEEKNUM(Combined[[#This Row],[Date]], 2))</f>
        <v>44</v>
      </c>
      <c r="F1956" t="str">
        <f>TEXT(WEEKDAY(G1956,1),"DDDD")</f>
        <v>Tuesday</v>
      </c>
      <c r="G1956" s="41">
        <v>45958</v>
      </c>
      <c r="H1956">
        <v>2</v>
      </c>
      <c r="I1956" s="1">
        <v>38.799999999999997</v>
      </c>
      <c r="J1956" s="2">
        <v>6.6666666666666666E-2</v>
      </c>
      <c r="K1956" s="12">
        <f>Combined[[#This Row],[Time Spent]]*24</f>
        <v>1.6</v>
      </c>
      <c r="L1956" s="12">
        <f>MROUND(Combined[[#This Row],[Time Spent 2]],0.25)</f>
        <v>1.5</v>
      </c>
      <c r="M1956" s="2" t="s">
        <v>91</v>
      </c>
      <c r="N1956" t="s">
        <v>80</v>
      </c>
      <c r="O1956">
        <f>MATCH(Combined[[#This Row],[Primary Area]],KPIs!$C$4:$C$7,0)</f>
        <v>2</v>
      </c>
    </row>
    <row r="1957" spans="2:15" x14ac:dyDescent="0.35">
      <c r="B1957">
        <f t="shared" si="500"/>
        <v>1955</v>
      </c>
      <c r="C1957" t="s">
        <v>86</v>
      </c>
      <c r="D1957" t="s">
        <v>176</v>
      </c>
      <c r="E1957">
        <f>IF(WEEKNUM(Combined[[#This Row],[Date]], 1) = 53, 1, WEEKNUM(Combined[[#This Row],[Date]], 2))</f>
        <v>44</v>
      </c>
      <c r="F1957" t="str">
        <f t="shared" si="516"/>
        <v>Tuesday</v>
      </c>
      <c r="G1957" s="41">
        <v>45958</v>
      </c>
      <c r="H1957">
        <v>5</v>
      </c>
      <c r="I1957" s="1">
        <f>67.14+11.95</f>
        <v>79.09</v>
      </c>
      <c r="J1957" s="2">
        <v>0.10902777777777778</v>
      </c>
      <c r="K1957" s="12">
        <f>Combined[[#This Row],[Time Spent]]*24</f>
        <v>2.6166666666666667</v>
      </c>
      <c r="L1957" s="12">
        <f>MROUND(Combined[[#This Row],[Time Spent 2]],0.25)</f>
        <v>2.5</v>
      </c>
      <c r="M1957" s="2" t="s">
        <v>91</v>
      </c>
      <c r="N1957" t="s">
        <v>80</v>
      </c>
      <c r="O1957">
        <f>MATCH(Combined[[#This Row],[Primary Area]],KPIs!$C$4:$C$7,0)</f>
        <v>2</v>
      </c>
    </row>
    <row r="1958" spans="2:15" x14ac:dyDescent="0.35">
      <c r="B1958">
        <f t="shared" si="500"/>
        <v>1956</v>
      </c>
      <c r="C1958" t="s">
        <v>83</v>
      </c>
      <c r="D1958" t="s">
        <v>176</v>
      </c>
      <c r="E1958">
        <f>IF(WEEKNUM(Combined[[#This Row],[Date]], 1) = 53, 1, WEEKNUM(Combined[[#This Row],[Date]], 2))</f>
        <v>44</v>
      </c>
      <c r="F1958" t="str">
        <f t="shared" si="516"/>
        <v>Wednesday</v>
      </c>
      <c r="G1958" s="41">
        <v>45959</v>
      </c>
      <c r="H1958">
        <v>7</v>
      </c>
      <c r="I1958" s="1">
        <v>152.13999999999999</v>
      </c>
      <c r="J1958" s="2">
        <v>0.15902777777777777</v>
      </c>
      <c r="K1958" s="12">
        <f>Combined[[#This Row],[Time Spent]]*24</f>
        <v>3.8166666666666664</v>
      </c>
      <c r="L1958" s="12">
        <f>MROUND(Combined[[#This Row],[Time Spent 2]],0.25)</f>
        <v>3.75</v>
      </c>
      <c r="M1958" s="2" t="s">
        <v>91</v>
      </c>
      <c r="N1958" t="s">
        <v>80</v>
      </c>
      <c r="O1958">
        <f>MATCH(Combined[[#This Row],[Primary Area]],KPIs!$C$4:$C$7,0)</f>
        <v>2</v>
      </c>
    </row>
    <row r="1959" spans="2:15" x14ac:dyDescent="0.35">
      <c r="B1959">
        <f t="shared" si="500"/>
        <v>1957</v>
      </c>
      <c r="C1959" t="s">
        <v>86</v>
      </c>
      <c r="D1959" t="s">
        <v>175</v>
      </c>
      <c r="E1959">
        <f>IF(WEEKNUM(Combined[[#This Row],[Date]], 1) = 53, 1, WEEKNUM(Combined[[#This Row],[Date]], 2))</f>
        <v>44</v>
      </c>
      <c r="F1959" t="str">
        <f t="shared" ref="F1959:F1960" si="517">TEXT(WEEKDAY(G1959,1),"DDDD")</f>
        <v>Wednesday</v>
      </c>
      <c r="G1959" s="41">
        <v>45959</v>
      </c>
      <c r="H1959">
        <v>4</v>
      </c>
      <c r="I1959" s="1">
        <v>42.91</v>
      </c>
      <c r="J1959" s="2">
        <v>0.1125</v>
      </c>
      <c r="K1959" s="12">
        <f>Combined[[#This Row],[Time Spent]]*24</f>
        <v>2.7</v>
      </c>
      <c r="L1959" s="12">
        <f>MROUND(Combined[[#This Row],[Time Spent 2]],0.25)</f>
        <v>2.75</v>
      </c>
      <c r="M1959" s="2" t="s">
        <v>91</v>
      </c>
      <c r="N1959" t="s">
        <v>80</v>
      </c>
      <c r="O1959">
        <f>MATCH(Combined[[#This Row],[Primary Area]],KPIs!$C$4:$C$7,0)</f>
        <v>2</v>
      </c>
    </row>
    <row r="1960" spans="2:15" x14ac:dyDescent="0.35">
      <c r="B1960">
        <f t="shared" si="500"/>
        <v>1958</v>
      </c>
      <c r="C1960" t="s">
        <v>86</v>
      </c>
      <c r="D1960" t="s">
        <v>176</v>
      </c>
      <c r="E1960">
        <f>IF(WEEKNUM(Combined[[#This Row],[Date]], 1) = 53, 1, WEEKNUM(Combined[[#This Row],[Date]], 2))</f>
        <v>44</v>
      </c>
      <c r="F1960" t="str">
        <f t="shared" si="517"/>
        <v>Wednesday</v>
      </c>
      <c r="G1960" s="41">
        <v>45959</v>
      </c>
      <c r="H1960">
        <v>2</v>
      </c>
      <c r="I1960" s="1">
        <v>15.75</v>
      </c>
      <c r="J1960" s="2">
        <v>3.888888888888889E-2</v>
      </c>
      <c r="K1960" s="12">
        <f>Combined[[#This Row],[Time Spent]]*24</f>
        <v>0.93333333333333335</v>
      </c>
      <c r="L1960" s="12">
        <f>MROUND(Combined[[#This Row],[Time Spent 2]],0.25)</f>
        <v>1</v>
      </c>
      <c r="M1960" s="2" t="s">
        <v>92</v>
      </c>
      <c r="N1960" t="s">
        <v>80</v>
      </c>
      <c r="O1960">
        <f>MATCH(Combined[[#This Row],[Primary Area]],KPIs!$C$4:$C$7,0)</f>
        <v>2</v>
      </c>
    </row>
    <row r="1961" spans="2:15" x14ac:dyDescent="0.35">
      <c r="B1961">
        <f t="shared" si="500"/>
        <v>1959</v>
      </c>
      <c r="C1961" t="s">
        <v>83</v>
      </c>
      <c r="D1961" t="s">
        <v>175</v>
      </c>
      <c r="E1961">
        <f>IF(WEEKNUM(Combined[[#This Row],[Date]], 1) = 53, 1, WEEKNUM(Combined[[#This Row],[Date]], 2))</f>
        <v>44</v>
      </c>
      <c r="F1961" t="str">
        <f t="shared" ref="F1961:F1963" si="518">TEXT(WEEKDAY(G1961,1),"DDDD")</f>
        <v>Saturday</v>
      </c>
      <c r="G1961" s="41">
        <v>45962</v>
      </c>
      <c r="H1961">
        <v>7</v>
      </c>
      <c r="I1961" s="1">
        <v>104.64</v>
      </c>
      <c r="J1961" s="2">
        <v>0.22500000000000001</v>
      </c>
      <c r="K1961" s="12">
        <f>Combined[[#This Row],[Time Spent]]*24</f>
        <v>5.4</v>
      </c>
      <c r="L1961" s="12">
        <f>MROUND(Combined[[#This Row],[Time Spent 2]],0.25)</f>
        <v>5.5</v>
      </c>
      <c r="M1961" s="2" t="s">
        <v>91</v>
      </c>
      <c r="N1961" t="s">
        <v>85</v>
      </c>
      <c r="O1961">
        <f>MATCH(Combined[[#This Row],[Primary Area]],KPIs!$C$4:$C$7,0)</f>
        <v>4</v>
      </c>
    </row>
    <row r="1962" spans="2:15" x14ac:dyDescent="0.35">
      <c r="B1962">
        <f t="shared" si="500"/>
        <v>1960</v>
      </c>
      <c r="C1962" t="s">
        <v>86</v>
      </c>
      <c r="D1962" t="s">
        <v>175</v>
      </c>
      <c r="E1962">
        <f>IF(WEEKNUM(Combined[[#This Row],[Date]], 1) = 53, 1, WEEKNUM(Combined[[#This Row],[Date]], 2))</f>
        <v>44</v>
      </c>
      <c r="F1962" t="str">
        <f t="shared" si="518"/>
        <v>Saturday</v>
      </c>
      <c r="G1962" s="41">
        <v>45962</v>
      </c>
      <c r="H1962">
        <v>2</v>
      </c>
      <c r="I1962" s="1">
        <v>17.75</v>
      </c>
      <c r="J1962" s="2">
        <v>5.8333333333333334E-2</v>
      </c>
      <c r="K1962" s="12">
        <f>Combined[[#This Row],[Time Spent]]*24</f>
        <v>1.4</v>
      </c>
      <c r="L1962" s="12">
        <f>MROUND(Combined[[#This Row],[Time Spent 2]],0.25)</f>
        <v>1.5</v>
      </c>
      <c r="M1962" s="2" t="s">
        <v>91</v>
      </c>
      <c r="N1962" t="s">
        <v>85</v>
      </c>
      <c r="O1962">
        <f>MATCH(Combined[[#This Row],[Primary Area]],KPIs!$C$4:$C$7,0)</f>
        <v>4</v>
      </c>
    </row>
    <row r="1963" spans="2:15" x14ac:dyDescent="0.35">
      <c r="B1963">
        <f t="shared" si="500"/>
        <v>1961</v>
      </c>
      <c r="C1963" t="s">
        <v>86</v>
      </c>
      <c r="D1963" t="s">
        <v>176</v>
      </c>
      <c r="E1963">
        <f>IF(WEEKNUM(Combined[[#This Row],[Date]], 1) = 53, 1, WEEKNUM(Combined[[#This Row],[Date]], 2))</f>
        <v>44</v>
      </c>
      <c r="F1963" t="str">
        <f t="shared" si="518"/>
        <v>Sunday</v>
      </c>
      <c r="G1963" s="41">
        <v>45963</v>
      </c>
      <c r="H1963">
        <v>3</v>
      </c>
      <c r="I1963" s="1">
        <v>18.75</v>
      </c>
      <c r="J1963" s="2">
        <v>4.5138888888888888E-2</v>
      </c>
      <c r="K1963" s="12">
        <f>Combined[[#This Row],[Time Spent]]*24</f>
        <v>1.0833333333333333</v>
      </c>
      <c r="L1963" s="12">
        <f>MROUND(Combined[[#This Row],[Time Spent 2]],0.25)</f>
        <v>1</v>
      </c>
      <c r="M1963" s="2" t="s">
        <v>90</v>
      </c>
      <c r="N1963" t="s">
        <v>82</v>
      </c>
      <c r="O1963">
        <f>MATCH(Combined[[#This Row],[Primary Area]],KPIs!$C$4:$C$7,0)</f>
        <v>3</v>
      </c>
    </row>
    <row r="1964" spans="2:15" x14ac:dyDescent="0.35">
      <c r="B1964">
        <f t="shared" si="500"/>
        <v>1962</v>
      </c>
      <c r="C1964" t="s">
        <v>86</v>
      </c>
      <c r="D1964" t="s">
        <v>175</v>
      </c>
      <c r="E1964">
        <f>IF(WEEKNUM(Combined[[#This Row],[Date]], 1) = 53, 1, WEEKNUM(Combined[[#This Row],[Date]], 2))</f>
        <v>45</v>
      </c>
      <c r="F1964" t="str">
        <f t="shared" ref="F1964" si="519">TEXT(WEEKDAY(G1964,1),"DDDD")</f>
        <v>Monday</v>
      </c>
      <c r="G1964" s="41">
        <v>45964</v>
      </c>
      <c r="H1964">
        <v>5</v>
      </c>
      <c r="I1964" s="1">
        <v>43.65</v>
      </c>
      <c r="J1964" s="2">
        <v>9.7222222222222224E-2</v>
      </c>
      <c r="K1964" s="12">
        <f>Combined[[#This Row],[Time Spent]]*24</f>
        <v>2.3333333333333335</v>
      </c>
      <c r="L1964" s="12">
        <f>MROUND(Combined[[#This Row],[Time Spent 2]],0.25)</f>
        <v>2.25</v>
      </c>
      <c r="M1964" s="2" t="s">
        <v>91</v>
      </c>
      <c r="N1964" t="s">
        <v>80</v>
      </c>
      <c r="O1964">
        <f>MATCH(Combined[[#This Row],[Primary Area]],KPIs!$C$4:$C$7,0)</f>
        <v>2</v>
      </c>
    </row>
    <row r="1965" spans="2:15" x14ac:dyDescent="0.35">
      <c r="B1965">
        <f t="shared" si="500"/>
        <v>1963</v>
      </c>
      <c r="C1965" t="s">
        <v>83</v>
      </c>
      <c r="D1965" t="s">
        <v>175</v>
      </c>
      <c r="E1965">
        <f>IF(WEEKNUM(Combined[[#This Row],[Date]], 1) = 53, 1, WEEKNUM(Combined[[#This Row],[Date]], 2))</f>
        <v>45</v>
      </c>
      <c r="F1965" t="str">
        <f t="shared" ref="F1965:F1967" si="520">TEXT(WEEKDAY(G1965,1),"DDDD")</f>
        <v>Tuesday</v>
      </c>
      <c r="G1965" s="41">
        <v>45965</v>
      </c>
      <c r="H1965">
        <v>5</v>
      </c>
      <c r="I1965" s="1">
        <v>39.14</v>
      </c>
      <c r="J1965" s="2">
        <v>0.11041666666666666</v>
      </c>
      <c r="K1965" s="12">
        <f>Combined[[#This Row],[Time Spent]]*24</f>
        <v>2.65</v>
      </c>
      <c r="L1965" s="12">
        <f>MROUND(Combined[[#This Row],[Time Spent 2]],0.25)</f>
        <v>2.75</v>
      </c>
      <c r="M1965" s="2" t="s">
        <v>91</v>
      </c>
      <c r="N1965" t="s">
        <v>80</v>
      </c>
      <c r="O1965">
        <f>MATCH(Combined[[#This Row],[Primary Area]],KPIs!$C$4:$C$7,0)</f>
        <v>2</v>
      </c>
    </row>
    <row r="1966" spans="2:15" x14ac:dyDescent="0.35">
      <c r="B1966">
        <f t="shared" si="500"/>
        <v>1964</v>
      </c>
      <c r="C1966" t="s">
        <v>86</v>
      </c>
      <c r="D1966" t="s">
        <v>176</v>
      </c>
      <c r="E1966">
        <f>IF(WEEKNUM(Combined[[#This Row],[Date]], 1) = 53, 1, WEEKNUM(Combined[[#This Row],[Date]], 2))</f>
        <v>45</v>
      </c>
      <c r="F1966" t="str">
        <f t="shared" si="520"/>
        <v>Tuesday</v>
      </c>
      <c r="G1966" s="41">
        <v>45965</v>
      </c>
      <c r="H1966">
        <v>2</v>
      </c>
      <c r="I1966" s="1">
        <v>15.93</v>
      </c>
      <c r="J1966" s="2">
        <v>7.4999999999999997E-2</v>
      </c>
      <c r="K1966" s="12">
        <f>Combined[[#This Row],[Time Spent]]*24</f>
        <v>1.7999999999999998</v>
      </c>
      <c r="L1966" s="12">
        <f>MROUND(Combined[[#This Row],[Time Spent 2]],0.25)</f>
        <v>1.75</v>
      </c>
      <c r="M1966" s="2" t="s">
        <v>91</v>
      </c>
      <c r="N1966" t="s">
        <v>80</v>
      </c>
      <c r="O1966">
        <f>MATCH(Combined[[#This Row],[Primary Area]],KPIs!$C$4:$C$7,0)</f>
        <v>2</v>
      </c>
    </row>
    <row r="1967" spans="2:15" x14ac:dyDescent="0.35">
      <c r="B1967">
        <f t="shared" si="500"/>
        <v>1965</v>
      </c>
      <c r="C1967" t="s">
        <v>86</v>
      </c>
      <c r="D1967" t="s">
        <v>176</v>
      </c>
      <c r="E1967">
        <f>IF(WEEKNUM(Combined[[#This Row],[Date]], 1) = 53, 1, WEEKNUM(Combined[[#This Row],[Date]], 2))</f>
        <v>45</v>
      </c>
      <c r="F1967" t="str">
        <f t="shared" si="520"/>
        <v>Tuesday</v>
      </c>
      <c r="G1967" s="41">
        <v>45965</v>
      </c>
      <c r="H1967">
        <v>5</v>
      </c>
      <c r="I1967" s="1">
        <v>39.5</v>
      </c>
      <c r="J1967" s="2">
        <v>0.12152777777777778</v>
      </c>
      <c r="K1967" s="12">
        <f>Combined[[#This Row],[Time Spent]]*24</f>
        <v>2.9166666666666665</v>
      </c>
      <c r="L1967" s="12">
        <f>MROUND(Combined[[#This Row],[Time Spent 2]],0.25)</f>
        <v>3</v>
      </c>
      <c r="M1967" s="2" t="s">
        <v>91</v>
      </c>
      <c r="N1967" t="s">
        <v>80</v>
      </c>
      <c r="O1967">
        <f>MATCH(Combined[[#This Row],[Primary Area]],KPIs!$C$4:$C$7,0)</f>
        <v>2</v>
      </c>
    </row>
    <row r="1968" spans="2:15" x14ac:dyDescent="0.35">
      <c r="B1968">
        <f t="shared" si="500"/>
        <v>1966</v>
      </c>
      <c r="C1968" t="s">
        <v>83</v>
      </c>
      <c r="D1968" t="s">
        <v>175</v>
      </c>
      <c r="E1968">
        <f>IF(WEEKNUM(Combined[[#This Row],[Date]], 1) = 53, 1, WEEKNUM(Combined[[#This Row],[Date]], 2))</f>
        <v>45</v>
      </c>
      <c r="F1968" t="str">
        <f t="shared" ref="F1968:F1969" si="521">TEXT(WEEKDAY(G1968,1),"DDDD")</f>
        <v>Friday</v>
      </c>
      <c r="G1968" s="41">
        <v>45968</v>
      </c>
      <c r="H1968">
        <v>1</v>
      </c>
      <c r="I1968" s="1">
        <v>8.31</v>
      </c>
      <c r="J1968" s="2">
        <v>4.2361111111111113E-2</v>
      </c>
      <c r="K1968" s="12">
        <f>Combined[[#This Row],[Time Spent]]*24</f>
        <v>1.0166666666666666</v>
      </c>
      <c r="L1968" s="12">
        <f>MROUND(Combined[[#This Row],[Time Spent 2]],0.25)</f>
        <v>1</v>
      </c>
      <c r="M1968" s="2" t="s">
        <v>91</v>
      </c>
      <c r="N1968" t="s">
        <v>80</v>
      </c>
      <c r="O1968">
        <f>MATCH(Combined[[#This Row],[Primary Area]],KPIs!$C$4:$C$7,0)</f>
        <v>2</v>
      </c>
    </row>
    <row r="1969" spans="2:15" x14ac:dyDescent="0.35">
      <c r="B1969">
        <f t="shared" si="500"/>
        <v>1967</v>
      </c>
      <c r="C1969" t="s">
        <v>86</v>
      </c>
      <c r="D1969" t="s">
        <v>175</v>
      </c>
      <c r="E1969">
        <f>IF(WEEKNUM(Combined[[#This Row],[Date]], 1) = 53, 1, WEEKNUM(Combined[[#This Row],[Date]], 2))</f>
        <v>45</v>
      </c>
      <c r="F1969" t="str">
        <f t="shared" si="521"/>
        <v>Friday</v>
      </c>
      <c r="G1969" s="41">
        <v>45968</v>
      </c>
      <c r="H1969">
        <v>3</v>
      </c>
      <c r="I1969" s="1">
        <v>24.22</v>
      </c>
      <c r="J1969" s="2">
        <v>8.8888888888888892E-2</v>
      </c>
      <c r="K1969" s="12">
        <f>Combined[[#This Row],[Time Spent]]*24</f>
        <v>2.1333333333333333</v>
      </c>
      <c r="L1969" s="12">
        <f>MROUND(Combined[[#This Row],[Time Spent 2]],0.25)</f>
        <v>2.25</v>
      </c>
      <c r="M1969" s="2" t="s">
        <v>90</v>
      </c>
      <c r="N1969" t="s">
        <v>80</v>
      </c>
      <c r="O1969">
        <f>MATCH(Combined[[#This Row],[Primary Area]],KPIs!$C$4:$C$7,0)</f>
        <v>2</v>
      </c>
    </row>
    <row r="1970" spans="2:15" x14ac:dyDescent="0.35">
      <c r="B1970">
        <f t="shared" si="500"/>
        <v>1968</v>
      </c>
      <c r="C1970" t="s">
        <v>83</v>
      </c>
      <c r="D1970" t="s">
        <v>176</v>
      </c>
      <c r="E1970">
        <f>IF(WEEKNUM(Combined[[#This Row],[Date]], 1) = 53, 1, WEEKNUM(Combined[[#This Row],[Date]], 2))</f>
        <v>45</v>
      </c>
      <c r="F1970" t="str">
        <f t="shared" ref="F1970:F1972" si="522">TEXT(WEEKDAY(G1970,1),"DDDD")</f>
        <v>Saturday</v>
      </c>
      <c r="G1970" s="41">
        <v>45969</v>
      </c>
      <c r="H1970">
        <v>5</v>
      </c>
      <c r="I1970" s="1">
        <v>43.72</v>
      </c>
      <c r="J1970" s="2">
        <v>0.12152777777777778</v>
      </c>
      <c r="K1970" s="12">
        <f>Combined[[#This Row],[Time Spent]]*24</f>
        <v>2.9166666666666665</v>
      </c>
      <c r="L1970" s="12">
        <f>MROUND(Combined[[#This Row],[Time Spent 2]],0.25)</f>
        <v>3</v>
      </c>
      <c r="M1970" s="2" t="s">
        <v>91</v>
      </c>
      <c r="N1970" t="s">
        <v>82</v>
      </c>
      <c r="O1970">
        <f>MATCH(Combined[[#This Row],[Primary Area]],KPIs!$C$4:$C$7,0)</f>
        <v>3</v>
      </c>
    </row>
    <row r="1971" spans="2:15" x14ac:dyDescent="0.35">
      <c r="B1971">
        <f t="shared" si="500"/>
        <v>1969</v>
      </c>
      <c r="C1971" t="s">
        <v>86</v>
      </c>
      <c r="D1971" t="s">
        <v>176</v>
      </c>
      <c r="E1971">
        <f>IF(WEEKNUM(Combined[[#This Row],[Date]], 1) = 53, 1, WEEKNUM(Combined[[#This Row],[Date]], 2))</f>
        <v>45</v>
      </c>
      <c r="F1971" t="str">
        <f t="shared" si="522"/>
        <v>Saturday</v>
      </c>
      <c r="G1971" s="41">
        <v>45969</v>
      </c>
      <c r="H1971">
        <v>2</v>
      </c>
      <c r="I1971" s="1">
        <v>13.25</v>
      </c>
      <c r="J1971" s="2">
        <v>6.458333333333334E-2</v>
      </c>
      <c r="K1971" s="12">
        <f>Combined[[#This Row],[Time Spent]]*24</f>
        <v>1.5500000000000003</v>
      </c>
      <c r="L1971" s="12">
        <f>MROUND(Combined[[#This Row],[Time Spent 2]],0.25)</f>
        <v>1.5</v>
      </c>
      <c r="M1971" s="2" t="s">
        <v>91</v>
      </c>
      <c r="N1971" t="s">
        <v>82</v>
      </c>
      <c r="O1971">
        <f>MATCH(Combined[[#This Row],[Primary Area]],KPIs!$C$4:$C$7,0)</f>
        <v>3</v>
      </c>
    </row>
    <row r="1972" spans="2:15" x14ac:dyDescent="0.35">
      <c r="B1972">
        <f t="shared" si="500"/>
        <v>1970</v>
      </c>
      <c r="C1972" t="s">
        <v>86</v>
      </c>
      <c r="D1972" t="s">
        <v>176</v>
      </c>
      <c r="E1972">
        <f>IF(WEEKNUM(Combined[[#This Row],[Date]], 1) = 53, 1, WEEKNUM(Combined[[#This Row],[Date]], 2))</f>
        <v>45</v>
      </c>
      <c r="F1972" t="str">
        <f t="shared" si="522"/>
        <v>Saturday</v>
      </c>
      <c r="G1972" s="41">
        <v>45969</v>
      </c>
      <c r="H1972">
        <v>5</v>
      </c>
      <c r="I1972" s="1">
        <v>39.25</v>
      </c>
      <c r="J1972" s="2">
        <v>0.13263888888888889</v>
      </c>
      <c r="K1972" s="12">
        <f>Combined[[#This Row],[Time Spent]]*24</f>
        <v>3.1833333333333336</v>
      </c>
      <c r="L1972" s="12">
        <f>MROUND(Combined[[#This Row],[Time Spent 2]],0.25)</f>
        <v>3.25</v>
      </c>
      <c r="M1972" s="2" t="s">
        <v>91</v>
      </c>
      <c r="N1972" t="s">
        <v>82</v>
      </c>
      <c r="O1972">
        <f>MATCH(Combined[[#This Row],[Primary Area]],KPIs!$C$4:$C$7,0)</f>
        <v>3</v>
      </c>
    </row>
    <row r="1973" spans="2:15" x14ac:dyDescent="0.35">
      <c r="B1973">
        <f t="shared" si="500"/>
        <v>1971</v>
      </c>
      <c r="C1973" t="s">
        <v>86</v>
      </c>
      <c r="D1973" t="s">
        <v>176</v>
      </c>
      <c r="E1973">
        <f>IF(WEEKNUM(Combined[[#This Row],[Date]], 1) = 53, 1, WEEKNUM(Combined[[#This Row],[Date]], 2))</f>
        <v>45</v>
      </c>
      <c r="F1973" t="str">
        <f>TEXT(WEEKDAY(G1973,1),"DDDD")</f>
        <v>Saturday</v>
      </c>
      <c r="G1973" s="41">
        <v>45969</v>
      </c>
      <c r="H1973">
        <v>5</v>
      </c>
      <c r="I1973" s="1">
        <v>26.75</v>
      </c>
      <c r="J1973" s="2">
        <v>6.1805555555555558E-2</v>
      </c>
      <c r="K1973" s="12">
        <f>Combined[[#This Row],[Time Spent]]*24</f>
        <v>1.4833333333333334</v>
      </c>
      <c r="L1973" s="12">
        <f>MROUND(Combined[[#This Row],[Time Spent 2]],0.25)</f>
        <v>1.5</v>
      </c>
      <c r="M1973" s="2" t="s">
        <v>92</v>
      </c>
      <c r="N1973" t="s">
        <v>82</v>
      </c>
      <c r="O1973">
        <f>MATCH(Combined[[#This Row],[Primary Area]],KPIs!$C$4:$C$7,0)</f>
        <v>3</v>
      </c>
    </row>
    <row r="1974" spans="2:15" x14ac:dyDescent="0.35">
      <c r="B1974">
        <f t="shared" si="500"/>
        <v>1972</v>
      </c>
      <c r="C1974" t="s">
        <v>83</v>
      </c>
      <c r="D1974" t="s">
        <v>175</v>
      </c>
      <c r="E1974">
        <f>IF(WEEKNUM(Combined[[#This Row],[Date]], 1) = 53, 1, WEEKNUM(Combined[[#This Row],[Date]], 2))</f>
        <v>46</v>
      </c>
      <c r="F1974" t="str">
        <f>TEXT(WEEKDAY(G1974,1),"DDDD")</f>
        <v>Monday</v>
      </c>
      <c r="G1974" s="41">
        <v>45971</v>
      </c>
      <c r="H1974">
        <v>5</v>
      </c>
      <c r="I1974" s="1">
        <v>56.12</v>
      </c>
      <c r="J1974" s="2">
        <v>0.10486111111111111</v>
      </c>
      <c r="K1974" s="12">
        <f>Combined[[#This Row],[Time Spent]]*24</f>
        <v>2.5166666666666666</v>
      </c>
      <c r="L1974" s="12">
        <f>MROUND(Combined[[#This Row],[Time Spent 2]],0.25)</f>
        <v>2.5</v>
      </c>
      <c r="M1974" s="2" t="s">
        <v>91</v>
      </c>
      <c r="N1974" t="s">
        <v>80</v>
      </c>
      <c r="O1974">
        <f>MATCH(Combined[[#This Row],[Primary Area]],KPIs!$C$4:$C$7,0)</f>
        <v>2</v>
      </c>
    </row>
    <row r="1975" spans="2:15" x14ac:dyDescent="0.35">
      <c r="B1975">
        <f t="shared" si="500"/>
        <v>1973</v>
      </c>
      <c r="C1975" t="s">
        <v>83</v>
      </c>
      <c r="D1975" t="s">
        <v>176</v>
      </c>
      <c r="E1975">
        <f>IF(WEEKNUM(Combined[[#This Row],[Date]], 1) = 53, 1, WEEKNUM(Combined[[#This Row],[Date]], 2))</f>
        <v>46</v>
      </c>
      <c r="F1975" t="str">
        <f t="shared" ref="F1975:F1976" si="523">TEXT(WEEKDAY(G1975,1),"DDDD")</f>
        <v>Thursday</v>
      </c>
      <c r="G1975" s="41">
        <v>45974</v>
      </c>
      <c r="H1975">
        <v>1</v>
      </c>
      <c r="I1975" s="1">
        <v>13.58</v>
      </c>
      <c r="J1975" s="2">
        <v>6.3888888888888884E-2</v>
      </c>
      <c r="K1975" s="12">
        <f>Combined[[#This Row],[Time Spent]]*24</f>
        <v>1.5333333333333332</v>
      </c>
      <c r="L1975" s="12">
        <f>MROUND(Combined[[#This Row],[Time Spent 2]],0.25)</f>
        <v>1.5</v>
      </c>
      <c r="M1975" s="2" t="s">
        <v>91</v>
      </c>
      <c r="N1975" t="s">
        <v>80</v>
      </c>
      <c r="O1975">
        <f>MATCH(Combined[[#This Row],[Primary Area]],KPIs!$C$4:$C$7,0)</f>
        <v>2</v>
      </c>
    </row>
    <row r="1976" spans="2:15" x14ac:dyDescent="0.35">
      <c r="B1976">
        <f t="shared" si="500"/>
        <v>1974</v>
      </c>
      <c r="C1976" t="s">
        <v>86</v>
      </c>
      <c r="D1976" t="s">
        <v>176</v>
      </c>
      <c r="E1976">
        <f>IF(WEEKNUM(Combined[[#This Row],[Date]], 1) = 53, 1, WEEKNUM(Combined[[#This Row],[Date]], 2))</f>
        <v>46</v>
      </c>
      <c r="F1976" t="str">
        <f t="shared" si="523"/>
        <v>Thursday</v>
      </c>
      <c r="G1976" s="41">
        <v>45974</v>
      </c>
      <c r="H1976">
        <v>6</v>
      </c>
      <c r="I1976" s="1">
        <v>55.75</v>
      </c>
      <c r="J1976" s="2">
        <v>0.15416666666666667</v>
      </c>
      <c r="K1976" s="12">
        <f>Combined[[#This Row],[Time Spent]]*24</f>
        <v>3.7</v>
      </c>
      <c r="L1976" s="12">
        <f>MROUND(Combined[[#This Row],[Time Spent 2]],0.25)</f>
        <v>3.75</v>
      </c>
      <c r="M1976" s="2" t="s">
        <v>91</v>
      </c>
      <c r="N1976" t="s">
        <v>80</v>
      </c>
      <c r="O1976">
        <f>MATCH(Combined[[#This Row],[Primary Area]],KPIs!$C$4:$C$7,0)</f>
        <v>2</v>
      </c>
    </row>
    <row r="1977" spans="2:15" x14ac:dyDescent="0.35">
      <c r="B1977">
        <f t="shared" si="500"/>
        <v>1975</v>
      </c>
      <c r="C1977" t="s">
        <v>86</v>
      </c>
      <c r="D1977" t="s">
        <v>175</v>
      </c>
      <c r="E1977">
        <f>IF(WEEKNUM(Combined[[#This Row],[Date]], 1) = 53, 1, WEEKNUM(Combined[[#This Row],[Date]], 2))</f>
        <v>46</v>
      </c>
      <c r="F1977" t="str">
        <f t="shared" ref="F1977:F1985" si="524">TEXT(WEEKDAY(G1977,1),"DDDD")</f>
        <v>Saturday</v>
      </c>
      <c r="G1977" s="41">
        <v>45976</v>
      </c>
      <c r="H1977">
        <v>5</v>
      </c>
      <c r="I1977" s="1">
        <v>37.630000000000003</v>
      </c>
      <c r="J1977" s="2">
        <v>7.5694444444444439E-2</v>
      </c>
      <c r="K1977" s="12">
        <f>Combined[[#This Row],[Time Spent]]*24</f>
        <v>1.8166666666666664</v>
      </c>
      <c r="L1977" s="12">
        <f>MROUND(Combined[[#This Row],[Time Spent 2]],0.25)</f>
        <v>1.75</v>
      </c>
      <c r="M1977" s="2" t="s">
        <v>91</v>
      </c>
      <c r="N1977" t="s">
        <v>82</v>
      </c>
      <c r="O1977">
        <f>MATCH(Combined[[#This Row],[Primary Area]],KPIs!$C$4:$C$7,0)</f>
        <v>3</v>
      </c>
    </row>
    <row r="1978" spans="2:15" x14ac:dyDescent="0.35">
      <c r="B1978">
        <f t="shared" si="500"/>
        <v>1976</v>
      </c>
      <c r="C1978" t="s">
        <v>83</v>
      </c>
      <c r="D1978" t="s">
        <v>175</v>
      </c>
      <c r="E1978">
        <f>IF(WEEKNUM(Combined[[#This Row],[Date]], 1) = 53, 1, WEEKNUM(Combined[[#This Row],[Date]], 2))</f>
        <v>46</v>
      </c>
      <c r="F1978" t="str">
        <f t="shared" si="524"/>
        <v>Sunday</v>
      </c>
      <c r="G1978" s="41">
        <v>45977</v>
      </c>
      <c r="H1978">
        <v>8</v>
      </c>
      <c r="I1978" s="1">
        <v>98.83</v>
      </c>
      <c r="J1978" s="2">
        <v>0.18402777777777779</v>
      </c>
      <c r="K1978" s="12">
        <f>Combined[[#This Row],[Time Spent]]*24</f>
        <v>4.416666666666667</v>
      </c>
      <c r="L1978" s="12">
        <f>MROUND(Combined[[#This Row],[Time Spent 2]],0.25)</f>
        <v>4.5</v>
      </c>
      <c r="M1978" s="2" t="s">
        <v>91</v>
      </c>
      <c r="N1978" t="s">
        <v>85</v>
      </c>
      <c r="O1978">
        <f>MATCH(Combined[[#This Row],[Primary Area]],KPIs!$C$4:$C$7,0)</f>
        <v>4</v>
      </c>
    </row>
    <row r="1979" spans="2:15" x14ac:dyDescent="0.35">
      <c r="B1979">
        <f t="shared" si="500"/>
        <v>1977</v>
      </c>
      <c r="C1979" t="s">
        <v>86</v>
      </c>
      <c r="D1979" t="s">
        <v>175</v>
      </c>
      <c r="E1979">
        <f>IF(WEEKNUM(Combined[[#This Row],[Date]], 1) = 53, 1, WEEKNUM(Combined[[#This Row],[Date]], 2))</f>
        <v>46</v>
      </c>
      <c r="F1979" t="str">
        <f t="shared" si="524"/>
        <v>Sunday</v>
      </c>
      <c r="G1979" s="41">
        <v>45977</v>
      </c>
      <c r="H1979">
        <v>1</v>
      </c>
      <c r="I1979" s="1">
        <v>4.92</v>
      </c>
      <c r="J1979" s="2">
        <v>3.9583333333333331E-2</v>
      </c>
      <c r="K1979" s="12">
        <f>Combined[[#This Row],[Time Spent]]*24</f>
        <v>0.95</v>
      </c>
      <c r="L1979" s="12">
        <f>MROUND(Combined[[#This Row],[Time Spent 2]],0.25)</f>
        <v>1</v>
      </c>
      <c r="M1979" s="2" t="s">
        <v>91</v>
      </c>
      <c r="N1979" t="s">
        <v>85</v>
      </c>
      <c r="O1979">
        <f>MATCH(Combined[[#This Row],[Primary Area]],KPIs!$C$4:$C$7,0)</f>
        <v>4</v>
      </c>
    </row>
    <row r="1980" spans="2:15" x14ac:dyDescent="0.35">
      <c r="B1980">
        <f t="shared" ref="B1980:B2043" si="525">ROW()-2</f>
        <v>1978</v>
      </c>
      <c r="C1980" t="s">
        <v>86</v>
      </c>
      <c r="D1980" t="s">
        <v>175</v>
      </c>
      <c r="E1980">
        <f>IF(WEEKNUM(Combined[[#This Row],[Date]], 1) = 53, 1, WEEKNUM(Combined[[#This Row],[Date]], 2))</f>
        <v>46</v>
      </c>
      <c r="F1980" t="str">
        <f t="shared" si="524"/>
        <v>Sunday</v>
      </c>
      <c r="G1980" s="41">
        <v>45977</v>
      </c>
      <c r="H1980">
        <v>1</v>
      </c>
      <c r="I1980" s="1">
        <v>7.33</v>
      </c>
      <c r="J1980" s="2">
        <v>5.0694444444444445E-2</v>
      </c>
      <c r="K1980" s="12">
        <f>Combined[[#This Row],[Time Spent]]*24</f>
        <v>1.2166666666666668</v>
      </c>
      <c r="L1980" s="12">
        <f>MROUND(Combined[[#This Row],[Time Spent 2]],0.25)</f>
        <v>1.25</v>
      </c>
      <c r="M1980" s="2" t="s">
        <v>91</v>
      </c>
      <c r="N1980" t="s">
        <v>85</v>
      </c>
      <c r="O1980">
        <f>MATCH(Combined[[#This Row],[Primary Area]],KPIs!$C$4:$C$7,0)</f>
        <v>4</v>
      </c>
    </row>
    <row r="1981" spans="2:15" x14ac:dyDescent="0.35">
      <c r="B1981">
        <f t="shared" si="525"/>
        <v>1979</v>
      </c>
      <c r="C1981" t="s">
        <v>86</v>
      </c>
      <c r="D1981" t="s">
        <v>175</v>
      </c>
      <c r="E1981">
        <f>IF(WEEKNUM(Combined[[#This Row],[Date]], 1) = 53, 1, WEEKNUM(Combined[[#This Row],[Date]], 2))</f>
        <v>46</v>
      </c>
      <c r="F1981" t="str">
        <f t="shared" si="524"/>
        <v>Sunday</v>
      </c>
      <c r="G1981" s="41">
        <v>45977</v>
      </c>
      <c r="H1981">
        <v>3</v>
      </c>
      <c r="I1981" s="1">
        <v>26.71</v>
      </c>
      <c r="J1981" s="2">
        <v>4.4444444444444446E-2</v>
      </c>
      <c r="K1981" s="12">
        <f>Combined[[#This Row],[Time Spent]]*24</f>
        <v>1.0666666666666667</v>
      </c>
      <c r="L1981" s="12">
        <f>MROUND(Combined[[#This Row],[Time Spent 2]],0.25)</f>
        <v>1</v>
      </c>
      <c r="M1981" s="2" t="s">
        <v>92</v>
      </c>
      <c r="N1981" t="s">
        <v>85</v>
      </c>
      <c r="O1981">
        <f>MATCH(Combined[[#This Row],[Primary Area]],KPIs!$C$4:$C$7,0)</f>
        <v>4</v>
      </c>
    </row>
    <row r="1982" spans="2:15" x14ac:dyDescent="0.35">
      <c r="B1982">
        <f t="shared" si="525"/>
        <v>1980</v>
      </c>
      <c r="C1982" t="s">
        <v>83</v>
      </c>
      <c r="D1982" t="s">
        <v>176</v>
      </c>
      <c r="E1982">
        <f>IF(WEEKNUM(Combined[[#This Row],[Date]], 1) = 53, 1, WEEKNUM(Combined[[#This Row],[Date]], 2))</f>
        <v>47</v>
      </c>
      <c r="F1982" t="str">
        <f t="shared" si="524"/>
        <v>Monday</v>
      </c>
      <c r="G1982" s="41">
        <v>45978</v>
      </c>
      <c r="H1982">
        <v>3</v>
      </c>
      <c r="I1982" s="1">
        <v>84.37</v>
      </c>
      <c r="J1982" s="2">
        <v>0.10902777777777778</v>
      </c>
      <c r="K1982" s="12">
        <f>Combined[[#This Row],[Time Spent]]*24</f>
        <v>2.6166666666666667</v>
      </c>
      <c r="L1982" s="12">
        <f>MROUND(Combined[[#This Row],[Time Spent 2]],0.25)</f>
        <v>2.5</v>
      </c>
      <c r="M1982" s="2" t="s">
        <v>91</v>
      </c>
      <c r="N1982" t="s">
        <v>80</v>
      </c>
      <c r="O1982">
        <f>MATCH(Combined[[#This Row],[Primary Area]],KPIs!$C$4:$C$7,0)</f>
        <v>2</v>
      </c>
    </row>
    <row r="1983" spans="2:15" x14ac:dyDescent="0.35">
      <c r="B1983">
        <f t="shared" si="525"/>
        <v>1981</v>
      </c>
      <c r="C1983" t="s">
        <v>86</v>
      </c>
      <c r="D1983" t="s">
        <v>175</v>
      </c>
      <c r="E1983">
        <f>IF(WEEKNUM(Combined[[#This Row],[Date]], 1) = 53, 1, WEEKNUM(Combined[[#This Row],[Date]], 2))</f>
        <v>47</v>
      </c>
      <c r="F1983" t="str">
        <f t="shared" si="524"/>
        <v>Monday</v>
      </c>
      <c r="G1983" s="41">
        <v>45978</v>
      </c>
      <c r="H1983">
        <v>3</v>
      </c>
      <c r="I1983" s="1">
        <v>28.46</v>
      </c>
      <c r="J1983" s="2">
        <v>0.12013888888888889</v>
      </c>
      <c r="K1983" s="12">
        <f>Combined[[#This Row],[Time Spent]]*24</f>
        <v>2.8833333333333333</v>
      </c>
      <c r="L1983" s="12">
        <f>MROUND(Combined[[#This Row],[Time Spent 2]],0.25)</f>
        <v>3</v>
      </c>
      <c r="M1983" s="2" t="s">
        <v>91</v>
      </c>
      <c r="N1983" t="s">
        <v>80</v>
      </c>
      <c r="O1983">
        <f>MATCH(Combined[[#This Row],[Primary Area]],KPIs!$C$4:$C$7,0)</f>
        <v>2</v>
      </c>
    </row>
    <row r="1984" spans="2:15" x14ac:dyDescent="0.35">
      <c r="B1984">
        <f t="shared" si="525"/>
        <v>1982</v>
      </c>
      <c r="C1984" t="s">
        <v>83</v>
      </c>
      <c r="D1984" t="s">
        <v>176</v>
      </c>
      <c r="E1984">
        <f>IF(WEEKNUM(Combined[[#This Row],[Date]], 1) = 53, 1, WEEKNUM(Combined[[#This Row],[Date]], 2))</f>
        <v>47</v>
      </c>
      <c r="F1984" t="str">
        <f t="shared" si="524"/>
        <v>Tuesday</v>
      </c>
      <c r="G1984" s="41">
        <v>45979</v>
      </c>
      <c r="H1984">
        <v>4</v>
      </c>
      <c r="I1984" s="1">
        <v>33.619999999999997</v>
      </c>
      <c r="J1984" s="2">
        <v>5.9027777777777776E-2</v>
      </c>
      <c r="K1984" s="12">
        <f>Combined[[#This Row],[Time Spent]]*24</f>
        <v>1.4166666666666665</v>
      </c>
      <c r="L1984" s="12">
        <f>MROUND(Combined[[#This Row],[Time Spent 2]],0.25)</f>
        <v>1.5</v>
      </c>
      <c r="M1984" s="2" t="s">
        <v>91</v>
      </c>
      <c r="N1984" t="s">
        <v>80</v>
      </c>
      <c r="O1984">
        <f>MATCH(Combined[[#This Row],[Primary Area]],KPIs!$C$4:$C$7,0)</f>
        <v>2</v>
      </c>
    </row>
    <row r="1985" spans="2:15" x14ac:dyDescent="0.35">
      <c r="B1985">
        <f t="shared" si="525"/>
        <v>1983</v>
      </c>
      <c r="C1985" t="s">
        <v>86</v>
      </c>
      <c r="D1985" t="s">
        <v>176</v>
      </c>
      <c r="E1985">
        <f>IF(WEEKNUM(Combined[[#This Row],[Date]], 1) = 53, 1, WEEKNUM(Combined[[#This Row],[Date]], 2))</f>
        <v>47</v>
      </c>
      <c r="F1985" t="str">
        <f t="shared" si="524"/>
        <v>Tuesday</v>
      </c>
      <c r="G1985" s="41">
        <v>45979</v>
      </c>
      <c r="H1985">
        <v>3</v>
      </c>
      <c r="I1985" s="1">
        <v>42.26</v>
      </c>
      <c r="J1985" s="2">
        <v>5.486111111111111E-2</v>
      </c>
      <c r="K1985" s="12">
        <f>Combined[[#This Row],[Time Spent]]*24</f>
        <v>1.3166666666666667</v>
      </c>
      <c r="L1985" s="12">
        <f>MROUND(Combined[[#This Row],[Time Spent 2]],0.25)</f>
        <v>1.25</v>
      </c>
      <c r="M1985" s="2" t="s">
        <v>91</v>
      </c>
      <c r="N1985" t="s">
        <v>80</v>
      </c>
      <c r="O1985">
        <f>MATCH(Combined[[#This Row],[Primary Area]],KPIs!$C$4:$C$7,0)</f>
        <v>2</v>
      </c>
    </row>
    <row r="1986" spans="2:15" x14ac:dyDescent="0.35">
      <c r="B1986">
        <f t="shared" si="525"/>
        <v>1984</v>
      </c>
      <c r="C1986" t="s">
        <v>86</v>
      </c>
      <c r="D1986" t="s">
        <v>175</v>
      </c>
      <c r="E1986">
        <f>IF(WEEKNUM(Combined[[#This Row],[Date]], 1) = 53, 1, WEEKNUM(Combined[[#This Row],[Date]], 2))</f>
        <v>47</v>
      </c>
      <c r="F1986" t="str">
        <f t="shared" ref="F1986:F1987" si="526">TEXT(WEEKDAY(G1986,1),"DDDD")</f>
        <v>Friday</v>
      </c>
      <c r="G1986" s="41">
        <v>45982</v>
      </c>
      <c r="H1986">
        <v>1</v>
      </c>
      <c r="I1986" s="1">
        <v>6.97</v>
      </c>
      <c r="J1986" s="2">
        <v>4.027777777777778E-2</v>
      </c>
      <c r="K1986" s="12">
        <f>Combined[[#This Row],[Time Spent]]*24</f>
        <v>0.96666666666666679</v>
      </c>
      <c r="L1986" s="12">
        <f>MROUND(Combined[[#This Row],[Time Spent 2]],0.25)</f>
        <v>1</v>
      </c>
      <c r="M1986" s="2" t="s">
        <v>91</v>
      </c>
      <c r="N1986" t="s">
        <v>82</v>
      </c>
      <c r="O1986">
        <f>MATCH(Combined[[#This Row],[Primary Area]],KPIs!$C$4:$C$7,0)</f>
        <v>3</v>
      </c>
    </row>
    <row r="1987" spans="2:15" x14ac:dyDescent="0.35">
      <c r="B1987">
        <f t="shared" si="525"/>
        <v>1985</v>
      </c>
      <c r="C1987" t="s">
        <v>83</v>
      </c>
      <c r="D1987" t="s">
        <v>175</v>
      </c>
      <c r="E1987">
        <f>IF(WEEKNUM(Combined[[#This Row],[Date]], 1) = 53, 1, WEEKNUM(Combined[[#This Row],[Date]], 2))</f>
        <v>47</v>
      </c>
      <c r="F1987" t="str">
        <f t="shared" si="526"/>
        <v>Sunday</v>
      </c>
      <c r="G1987" s="41">
        <v>45984</v>
      </c>
      <c r="H1987">
        <v>6</v>
      </c>
      <c r="I1987" s="1">
        <v>56.65</v>
      </c>
      <c r="J1987" s="2">
        <v>0.18194444444444444</v>
      </c>
      <c r="K1987" s="12">
        <f>Combined[[#This Row],[Time Spent]]*24</f>
        <v>4.3666666666666663</v>
      </c>
      <c r="L1987" s="12">
        <f>MROUND(Combined[[#This Row],[Time Spent 2]],0.25)</f>
        <v>4.25</v>
      </c>
      <c r="M1987" s="2" t="s">
        <v>90</v>
      </c>
      <c r="N1987" t="s">
        <v>80</v>
      </c>
      <c r="O1987">
        <f>MATCH(Combined[[#This Row],[Primary Area]],KPIs!$C$4:$C$7,0)</f>
        <v>2</v>
      </c>
    </row>
    <row r="1988" spans="2:15" x14ac:dyDescent="0.35">
      <c r="B1988">
        <f t="shared" si="525"/>
        <v>1986</v>
      </c>
      <c r="C1988" t="s">
        <v>83</v>
      </c>
      <c r="D1988" t="s">
        <v>176</v>
      </c>
      <c r="E1988">
        <f>IF(WEEKNUM(Combined[[#This Row],[Date]], 1) = 53, 1, WEEKNUM(Combined[[#This Row],[Date]], 2))</f>
        <v>48</v>
      </c>
      <c r="F1988" t="str">
        <f t="shared" ref="F1988:F1990" si="527">TEXT(WEEKDAY(G1988,1),"DDDD")</f>
        <v>Tuesday</v>
      </c>
      <c r="G1988" s="41">
        <v>45986</v>
      </c>
      <c r="H1988">
        <v>5</v>
      </c>
      <c r="I1988" s="1">
        <v>65.209999999999994</v>
      </c>
      <c r="J1988" s="2">
        <v>0.10902777777777778</v>
      </c>
      <c r="K1988" s="12">
        <f>Combined[[#This Row],[Time Spent]]*24</f>
        <v>2.6166666666666667</v>
      </c>
      <c r="L1988" s="12">
        <f>MROUND(Combined[[#This Row],[Time Spent 2]],0.25)</f>
        <v>2.5</v>
      </c>
      <c r="M1988" s="2" t="s">
        <v>91</v>
      </c>
      <c r="N1988" t="s">
        <v>80</v>
      </c>
      <c r="O1988">
        <f>MATCH(Combined[[#This Row],[Primary Area]],KPIs!$C$4:$C$7,0)</f>
        <v>2</v>
      </c>
    </row>
    <row r="1989" spans="2:15" x14ac:dyDescent="0.35">
      <c r="B1989">
        <f t="shared" si="525"/>
        <v>1987</v>
      </c>
      <c r="C1989" t="s">
        <v>86</v>
      </c>
      <c r="D1989" t="s">
        <v>176</v>
      </c>
      <c r="E1989">
        <f>IF(WEEKNUM(Combined[[#This Row],[Date]], 1) = 53, 1, WEEKNUM(Combined[[#This Row],[Date]], 2))</f>
        <v>48</v>
      </c>
      <c r="F1989" t="str">
        <f t="shared" si="527"/>
        <v>Tuesday</v>
      </c>
      <c r="G1989" s="41">
        <v>45986</v>
      </c>
      <c r="H1989">
        <v>3</v>
      </c>
      <c r="I1989" s="1">
        <v>37.47</v>
      </c>
      <c r="J1989" s="2">
        <v>7.2916666666666671E-2</v>
      </c>
      <c r="K1989" s="12">
        <f>Combined[[#This Row],[Time Spent]]*24</f>
        <v>1.75</v>
      </c>
      <c r="L1989" s="12">
        <f>MROUND(Combined[[#This Row],[Time Spent 2]],0.25)</f>
        <v>1.75</v>
      </c>
      <c r="M1989" s="2" t="s">
        <v>91</v>
      </c>
      <c r="N1989" t="s">
        <v>80</v>
      </c>
      <c r="O1989">
        <f>MATCH(Combined[[#This Row],[Primary Area]],KPIs!$C$4:$C$7,0)</f>
        <v>2</v>
      </c>
    </row>
    <row r="1990" spans="2:15" x14ac:dyDescent="0.35">
      <c r="B1990">
        <f t="shared" si="525"/>
        <v>1988</v>
      </c>
      <c r="C1990" t="s">
        <v>86</v>
      </c>
      <c r="D1990" t="s">
        <v>176</v>
      </c>
      <c r="E1990">
        <f>IF(WEEKNUM(Combined[[#This Row],[Date]], 1) = 53, 1, WEEKNUM(Combined[[#This Row],[Date]], 2))</f>
        <v>48</v>
      </c>
      <c r="F1990" t="str">
        <f t="shared" si="527"/>
        <v>Tuesday</v>
      </c>
      <c r="G1990" s="41">
        <v>45986</v>
      </c>
      <c r="H1990">
        <v>1</v>
      </c>
      <c r="I1990" s="1">
        <v>7.75</v>
      </c>
      <c r="J1990" s="2">
        <v>2.0833333333333332E-2</v>
      </c>
      <c r="K1990" s="12">
        <f>Combined[[#This Row],[Time Spent]]*24</f>
        <v>0.5</v>
      </c>
      <c r="L1990" s="12">
        <f>MROUND(Combined[[#This Row],[Time Spent 2]],0.25)</f>
        <v>0.5</v>
      </c>
      <c r="M1990" s="2" t="s">
        <v>92</v>
      </c>
      <c r="N1990" t="s">
        <v>80</v>
      </c>
      <c r="O1990">
        <f>MATCH(Combined[[#This Row],[Primary Area]],KPIs!$C$4:$C$7,0)</f>
        <v>2</v>
      </c>
    </row>
    <row r="1991" spans="2:15" x14ac:dyDescent="0.35">
      <c r="B1991">
        <f t="shared" si="525"/>
        <v>1989</v>
      </c>
      <c r="C1991" t="s">
        <v>83</v>
      </c>
      <c r="D1991" t="s">
        <v>176</v>
      </c>
      <c r="E1991">
        <f>IF(WEEKNUM(Combined[[#This Row],[Date]], 1) = 53, 1, WEEKNUM(Combined[[#This Row],[Date]], 2))</f>
        <v>48</v>
      </c>
      <c r="F1991" t="str">
        <f t="shared" ref="F1991:F1993" si="528">TEXT(WEEKDAY(G1991,1),"DDDD")</f>
        <v>Friday</v>
      </c>
      <c r="G1991" s="41">
        <v>45989</v>
      </c>
      <c r="H1991">
        <v>6</v>
      </c>
      <c r="I1991" s="1">
        <v>80.5</v>
      </c>
      <c r="J1991" s="2">
        <v>0.17708333333333334</v>
      </c>
      <c r="K1991" s="12">
        <f>Combined[[#This Row],[Time Spent]]*24</f>
        <v>4.25</v>
      </c>
      <c r="L1991" s="12">
        <f>MROUND(Combined[[#This Row],[Time Spent 2]],0.25)</f>
        <v>4.25</v>
      </c>
      <c r="M1991" s="2" t="s">
        <v>91</v>
      </c>
      <c r="N1991" t="s">
        <v>174</v>
      </c>
      <c r="O1991">
        <f>MATCH(Combined[[#This Row],[Primary Area]],KPIs!$C$4:$C$7,0)</f>
        <v>1</v>
      </c>
    </row>
    <row r="1992" spans="2:15" x14ac:dyDescent="0.35">
      <c r="B1992">
        <f t="shared" si="525"/>
        <v>1990</v>
      </c>
      <c r="C1992" t="s">
        <v>86</v>
      </c>
      <c r="D1992" t="s">
        <v>176</v>
      </c>
      <c r="E1992">
        <f>IF(WEEKNUM(Combined[[#This Row],[Date]], 1) = 53, 1, WEEKNUM(Combined[[#This Row],[Date]], 2))</f>
        <v>48</v>
      </c>
      <c r="F1992" t="str">
        <f t="shared" si="528"/>
        <v>Friday</v>
      </c>
      <c r="G1992" s="41">
        <v>45989</v>
      </c>
      <c r="H1992">
        <v>7</v>
      </c>
      <c r="I1992" s="1">
        <v>74.25</v>
      </c>
      <c r="J1992" s="2">
        <v>0.16250000000000001</v>
      </c>
      <c r="K1992" s="12">
        <f>Combined[[#This Row],[Time Spent]]*24</f>
        <v>3.9000000000000004</v>
      </c>
      <c r="L1992" s="12">
        <f>MROUND(Combined[[#This Row],[Time Spent 2]],0.25)</f>
        <v>4</v>
      </c>
      <c r="M1992" s="2" t="s">
        <v>90</v>
      </c>
      <c r="N1992" t="s">
        <v>174</v>
      </c>
      <c r="O1992">
        <f>MATCH(Combined[[#This Row],[Primary Area]],KPIs!$C$4:$C$7,0)</f>
        <v>1</v>
      </c>
    </row>
    <row r="1993" spans="2:15" x14ac:dyDescent="0.35">
      <c r="B1993">
        <f t="shared" si="525"/>
        <v>1991</v>
      </c>
      <c r="C1993" t="s">
        <v>86</v>
      </c>
      <c r="D1993" t="s">
        <v>175</v>
      </c>
      <c r="E1993">
        <f>IF(WEEKNUM(Combined[[#This Row],[Date]], 1) = 53, 1, WEEKNUM(Combined[[#This Row],[Date]], 2))</f>
        <v>48</v>
      </c>
      <c r="F1993" t="str">
        <f t="shared" si="528"/>
        <v>Friday</v>
      </c>
      <c r="G1993" s="41">
        <v>45989</v>
      </c>
      <c r="H1993">
        <v>4</v>
      </c>
      <c r="I1993" s="1">
        <v>31.01</v>
      </c>
      <c r="J1993" s="2">
        <v>7.4999999999999997E-2</v>
      </c>
      <c r="K1993" s="12">
        <f>Combined[[#This Row],[Time Spent]]*24</f>
        <v>1.7999999999999998</v>
      </c>
      <c r="L1993" s="12">
        <f>MROUND(Combined[[#This Row],[Time Spent 2]],0.25)</f>
        <v>1.75</v>
      </c>
      <c r="M1993" s="2" t="s">
        <v>91</v>
      </c>
      <c r="N1993" t="s">
        <v>174</v>
      </c>
      <c r="O1993">
        <f>MATCH(Combined[[#This Row],[Primary Area]],KPIs!$C$4:$C$7,0)</f>
        <v>1</v>
      </c>
    </row>
    <row r="1994" spans="2:15" x14ac:dyDescent="0.35">
      <c r="B1994">
        <f t="shared" si="525"/>
        <v>1992</v>
      </c>
      <c r="C1994" t="s">
        <v>83</v>
      </c>
      <c r="D1994" t="s">
        <v>176</v>
      </c>
      <c r="E1994">
        <f>IF(WEEKNUM(Combined[[#This Row],[Date]], 1) = 53, 1, WEEKNUM(Combined[[#This Row],[Date]], 2))</f>
        <v>48</v>
      </c>
      <c r="F1994" t="str">
        <f t="shared" ref="F1994:F1995" si="529">TEXT(WEEKDAY(G1994,1),"DDDD")</f>
        <v>Saturday</v>
      </c>
      <c r="G1994" s="41">
        <v>45990</v>
      </c>
      <c r="H1994">
        <v>5</v>
      </c>
      <c r="I1994" s="1">
        <v>69.22</v>
      </c>
      <c r="J1994" s="2">
        <v>0.20972222222222223</v>
      </c>
      <c r="K1994" s="12">
        <f>Combined[[#This Row],[Time Spent]]*24</f>
        <v>5.0333333333333332</v>
      </c>
      <c r="L1994" s="12">
        <f>MROUND(Combined[[#This Row],[Time Spent 2]],0.25)</f>
        <v>5</v>
      </c>
      <c r="M1994" s="2" t="s">
        <v>91</v>
      </c>
      <c r="N1994" t="s">
        <v>80</v>
      </c>
      <c r="O1994">
        <f>MATCH(Combined[[#This Row],[Primary Area]],KPIs!$C$4:$C$7,0)</f>
        <v>2</v>
      </c>
    </row>
    <row r="1995" spans="2:15" x14ac:dyDescent="0.35">
      <c r="B1995">
        <f t="shared" si="525"/>
        <v>1993</v>
      </c>
      <c r="C1995" t="s">
        <v>86</v>
      </c>
      <c r="D1995" t="s">
        <v>176</v>
      </c>
      <c r="E1995">
        <f>IF(WEEKNUM(Combined[[#This Row],[Date]], 1) = 53, 1, WEEKNUM(Combined[[#This Row],[Date]], 2))</f>
        <v>48</v>
      </c>
      <c r="F1995" t="str">
        <f t="shared" si="529"/>
        <v>Saturday</v>
      </c>
      <c r="G1995" s="41">
        <v>45990</v>
      </c>
      <c r="H1995">
        <v>1</v>
      </c>
      <c r="I1995" s="1">
        <v>14.16</v>
      </c>
      <c r="J1995" s="2">
        <v>4.1666666666666664E-2</v>
      </c>
      <c r="K1995" s="12">
        <f>Combined[[#This Row],[Time Spent]]*24</f>
        <v>1</v>
      </c>
      <c r="L1995" s="12">
        <f>MROUND(Combined[[#This Row],[Time Spent 2]],0.25)</f>
        <v>1</v>
      </c>
      <c r="M1995" s="2" t="s">
        <v>91</v>
      </c>
      <c r="N1995" t="s">
        <v>80</v>
      </c>
      <c r="O1995">
        <f>MATCH(Combined[[#This Row],[Primary Area]],KPIs!$C$4:$C$7,0)</f>
        <v>2</v>
      </c>
    </row>
    <row r="1996" spans="2:15" x14ac:dyDescent="0.35">
      <c r="B1996">
        <f t="shared" si="525"/>
        <v>1994</v>
      </c>
      <c r="C1996" t="s">
        <v>83</v>
      </c>
      <c r="D1996" t="s">
        <v>176</v>
      </c>
      <c r="E1996">
        <f>IF(WEEKNUM(Combined[[#This Row],[Date]], 1) = 53, 1, WEEKNUM(Combined[[#This Row],[Date]], 2))</f>
        <v>48</v>
      </c>
      <c r="F1996" t="str">
        <f t="shared" ref="F1996:F1998" si="530">TEXT(WEEKDAY(G1996,1),"DDDD")</f>
        <v>Sunday</v>
      </c>
      <c r="G1996" s="41">
        <v>45991</v>
      </c>
      <c r="H1996">
        <v>13</v>
      </c>
      <c r="I1996" s="1">
        <v>151.01</v>
      </c>
      <c r="J1996" s="2">
        <v>0.2048611111111111</v>
      </c>
      <c r="K1996" s="12">
        <f>Combined[[#This Row],[Time Spent]]*24</f>
        <v>4.9166666666666661</v>
      </c>
      <c r="L1996" s="12">
        <f>MROUND(Combined[[#This Row],[Time Spent 2]],0.25)</f>
        <v>5</v>
      </c>
      <c r="M1996" s="2" t="s">
        <v>91</v>
      </c>
      <c r="N1996" t="s">
        <v>80</v>
      </c>
      <c r="O1996">
        <f>MATCH(Combined[[#This Row],[Primary Area]],KPIs!$C$4:$C$7,0)</f>
        <v>2</v>
      </c>
    </row>
    <row r="1997" spans="2:15" x14ac:dyDescent="0.35">
      <c r="B1997">
        <f t="shared" si="525"/>
        <v>1995</v>
      </c>
      <c r="C1997" t="s">
        <v>86</v>
      </c>
      <c r="D1997" t="s">
        <v>176</v>
      </c>
      <c r="E1997">
        <f>IF(WEEKNUM(Combined[[#This Row],[Date]], 1) = 53, 1, WEEKNUM(Combined[[#This Row],[Date]], 2))</f>
        <v>48</v>
      </c>
      <c r="F1997" t="str">
        <f t="shared" si="530"/>
        <v>Sunday</v>
      </c>
      <c r="G1997" s="41">
        <v>45991</v>
      </c>
      <c r="H1997">
        <v>3</v>
      </c>
      <c r="I1997" s="1">
        <v>17.75</v>
      </c>
      <c r="J1997" s="2">
        <v>5.0694444444444445E-2</v>
      </c>
      <c r="K1997" s="12">
        <f>Combined[[#This Row],[Time Spent]]*24</f>
        <v>1.2166666666666668</v>
      </c>
      <c r="L1997" s="12">
        <f>MROUND(Combined[[#This Row],[Time Spent 2]],0.25)</f>
        <v>1.25</v>
      </c>
      <c r="M1997" s="2" t="s">
        <v>91</v>
      </c>
      <c r="N1997" t="s">
        <v>80</v>
      </c>
      <c r="O1997">
        <f>MATCH(Combined[[#This Row],[Primary Area]],KPIs!$C$4:$C$7,0)</f>
        <v>2</v>
      </c>
    </row>
    <row r="1998" spans="2:15" x14ac:dyDescent="0.35">
      <c r="B1998">
        <f t="shared" si="525"/>
        <v>1996</v>
      </c>
      <c r="C1998" t="s">
        <v>86</v>
      </c>
      <c r="D1998" t="s">
        <v>176</v>
      </c>
      <c r="E1998">
        <f>IF(WEEKNUM(Combined[[#This Row],[Date]], 1) = 53, 1, WEEKNUM(Combined[[#This Row],[Date]], 2))</f>
        <v>48</v>
      </c>
      <c r="F1998" t="str">
        <f t="shared" si="530"/>
        <v>Sunday</v>
      </c>
      <c r="G1998" s="41">
        <v>45991</v>
      </c>
      <c r="H1998">
        <v>2</v>
      </c>
      <c r="I1998" s="1">
        <v>17.13</v>
      </c>
      <c r="J1998" s="2">
        <v>5.5555555555555552E-2</v>
      </c>
      <c r="K1998" s="12">
        <f>Combined[[#This Row],[Time Spent]]*24</f>
        <v>1.3333333333333333</v>
      </c>
      <c r="L1998" s="12">
        <f>MROUND(Combined[[#This Row],[Time Spent 2]],0.25)</f>
        <v>1.25</v>
      </c>
      <c r="M1998" s="2" t="s">
        <v>92</v>
      </c>
      <c r="N1998" t="s">
        <v>80</v>
      </c>
      <c r="O1998">
        <f>MATCH(Combined[[#This Row],[Primary Area]],KPIs!$C$4:$C$7,0)</f>
        <v>2</v>
      </c>
    </row>
    <row r="1999" spans="2:15" x14ac:dyDescent="0.35">
      <c r="B1999">
        <f t="shared" si="525"/>
        <v>1997</v>
      </c>
      <c r="C1999" t="s">
        <v>83</v>
      </c>
      <c r="D1999" t="s">
        <v>176</v>
      </c>
      <c r="E1999">
        <f>IF(WEEKNUM(Combined[[#This Row],[Date]], 1) = 53, 1, WEEKNUM(Combined[[#This Row],[Date]], 2))</f>
        <v>49</v>
      </c>
      <c r="F1999" t="str">
        <f t="shared" ref="F1999:F2000" si="531">TEXT(WEEKDAY(G1999,1),"DDDD")</f>
        <v>Tuesday</v>
      </c>
      <c r="G1999" s="41">
        <v>45993</v>
      </c>
      <c r="H1999">
        <v>6</v>
      </c>
      <c r="I1999" s="1">
        <v>85.09</v>
      </c>
      <c r="J1999" s="2">
        <v>0.1673611111111111</v>
      </c>
      <c r="K1999" s="12">
        <f>Combined[[#This Row],[Time Spent]]*24</f>
        <v>4.0166666666666666</v>
      </c>
      <c r="L1999" s="12">
        <f>MROUND(Combined[[#This Row],[Time Spent 2]],0.25)</f>
        <v>4</v>
      </c>
      <c r="M1999" s="2" t="s">
        <v>91</v>
      </c>
      <c r="N1999" t="s">
        <v>85</v>
      </c>
      <c r="O1999">
        <f>MATCH(Combined[[#This Row],[Primary Area]],KPIs!$C$4:$C$7,0)</f>
        <v>4</v>
      </c>
    </row>
    <row r="2000" spans="2:15" x14ac:dyDescent="0.35">
      <c r="B2000">
        <f t="shared" si="525"/>
        <v>1998</v>
      </c>
      <c r="C2000" t="s">
        <v>86</v>
      </c>
      <c r="D2000" t="s">
        <v>176</v>
      </c>
      <c r="E2000">
        <f>IF(WEEKNUM(Combined[[#This Row],[Date]], 1) = 53, 1, WEEKNUM(Combined[[#This Row],[Date]], 2))</f>
        <v>49</v>
      </c>
      <c r="F2000" t="str">
        <f t="shared" si="531"/>
        <v>Tuesday</v>
      </c>
      <c r="G2000" s="41">
        <v>45993</v>
      </c>
      <c r="H2000">
        <v>1</v>
      </c>
      <c r="I2000" s="1">
        <v>26.28</v>
      </c>
      <c r="J2000" s="2">
        <v>6.25E-2</v>
      </c>
      <c r="K2000" s="12">
        <f>Combined[[#This Row],[Time Spent]]*24</f>
        <v>1.5</v>
      </c>
      <c r="L2000" s="12">
        <f>MROUND(Combined[[#This Row],[Time Spent 2]],0.25)</f>
        <v>1.5</v>
      </c>
      <c r="M2000" s="2" t="s">
        <v>91</v>
      </c>
      <c r="N2000" t="s">
        <v>85</v>
      </c>
      <c r="O2000">
        <f>MATCH(Combined[[#This Row],[Primary Area]],KPIs!$C$4:$C$7,0)</f>
        <v>4</v>
      </c>
    </row>
    <row r="2001" spans="2:15" x14ac:dyDescent="0.35">
      <c r="B2001">
        <f t="shared" si="525"/>
        <v>1999</v>
      </c>
      <c r="C2001" t="s">
        <v>83</v>
      </c>
      <c r="D2001" t="s">
        <v>176</v>
      </c>
      <c r="E2001">
        <f>IF(WEEKNUM(Combined[[#This Row],[Date]], 1) = 53, 1, WEEKNUM(Combined[[#This Row],[Date]], 2))</f>
        <v>49</v>
      </c>
      <c r="F2001" t="str">
        <f t="shared" ref="F2001:F2002" si="532">TEXT(WEEKDAY(G2001,1),"DDDD")</f>
        <v>Wednesday</v>
      </c>
      <c r="G2001" s="41">
        <v>45994</v>
      </c>
      <c r="H2001">
        <v>2</v>
      </c>
      <c r="I2001" s="1">
        <v>32.51</v>
      </c>
      <c r="J2001" s="2">
        <v>0.1</v>
      </c>
      <c r="K2001" s="12">
        <f>Combined[[#This Row],[Time Spent]]*24</f>
        <v>2.4000000000000004</v>
      </c>
      <c r="L2001" s="12">
        <f>MROUND(Combined[[#This Row],[Time Spent 2]],0.25)</f>
        <v>2.5</v>
      </c>
      <c r="M2001" s="2" t="s">
        <v>91</v>
      </c>
      <c r="N2001" t="s">
        <v>174</v>
      </c>
      <c r="O2001">
        <f>MATCH(Combined[[#This Row],[Primary Area]],KPIs!$C$4:$C$7,0)</f>
        <v>1</v>
      </c>
    </row>
    <row r="2002" spans="2:15" x14ac:dyDescent="0.35">
      <c r="B2002">
        <f t="shared" si="525"/>
        <v>2000</v>
      </c>
      <c r="C2002" t="s">
        <v>86</v>
      </c>
      <c r="D2002" t="s">
        <v>175</v>
      </c>
      <c r="E2002">
        <f>IF(WEEKNUM(Combined[[#This Row],[Date]], 1) = 53, 1, WEEKNUM(Combined[[#This Row],[Date]], 2))</f>
        <v>49</v>
      </c>
      <c r="F2002" t="str">
        <f t="shared" si="532"/>
        <v>Wednesday</v>
      </c>
      <c r="G2002" s="41">
        <v>45994</v>
      </c>
      <c r="H2002">
        <v>3</v>
      </c>
      <c r="I2002" s="1">
        <v>27.05</v>
      </c>
      <c r="J2002" s="2">
        <v>0.10833333333333334</v>
      </c>
      <c r="K2002" s="12">
        <f>Combined[[#This Row],[Time Spent]]*24</f>
        <v>2.6</v>
      </c>
      <c r="L2002" s="12">
        <f>MROUND(Combined[[#This Row],[Time Spent 2]],0.25)</f>
        <v>2.5</v>
      </c>
      <c r="M2002" s="2" t="s">
        <v>91</v>
      </c>
      <c r="N2002" t="s">
        <v>174</v>
      </c>
      <c r="O2002">
        <f>MATCH(Combined[[#This Row],[Primary Area]],KPIs!$C$4:$C$7,0)</f>
        <v>1</v>
      </c>
    </row>
    <row r="2003" spans="2:15" x14ac:dyDescent="0.35">
      <c r="B2003">
        <f t="shared" si="525"/>
        <v>2001</v>
      </c>
      <c r="C2003" t="s">
        <v>83</v>
      </c>
      <c r="D2003" t="s">
        <v>176</v>
      </c>
      <c r="E2003">
        <f>IF(WEEKNUM(Combined[[#This Row],[Date]], 1) = 53, 1, WEEKNUM(Combined[[#This Row],[Date]], 2))</f>
        <v>49</v>
      </c>
      <c r="F2003" t="str">
        <f t="shared" ref="F2003:F2004" si="533">TEXT(WEEKDAY(G2003,1),"DDDD")</f>
        <v>Saturday</v>
      </c>
      <c r="G2003" s="41">
        <v>45997</v>
      </c>
      <c r="H2003">
        <v>12</v>
      </c>
      <c r="I2003" s="1">
        <v>128.79</v>
      </c>
      <c r="J2003" s="2">
        <v>0.24444444444444444</v>
      </c>
      <c r="K2003" s="12">
        <f>Combined[[#This Row],[Time Spent]]*24</f>
        <v>5.8666666666666663</v>
      </c>
      <c r="L2003" s="12">
        <f>MROUND(Combined[[#This Row],[Time Spent 2]],0.25)</f>
        <v>5.75</v>
      </c>
      <c r="M2003" s="2" t="s">
        <v>90</v>
      </c>
      <c r="N2003" t="s">
        <v>85</v>
      </c>
      <c r="O2003">
        <f>MATCH(Combined[[#This Row],[Primary Area]],KPIs!$C$4:$C$7,0)</f>
        <v>4</v>
      </c>
    </row>
    <row r="2004" spans="2:15" x14ac:dyDescent="0.35">
      <c r="B2004">
        <f t="shared" si="525"/>
        <v>2002</v>
      </c>
      <c r="C2004" t="s">
        <v>86</v>
      </c>
      <c r="D2004" t="s">
        <v>176</v>
      </c>
      <c r="E2004">
        <f>IF(WEEKNUM(Combined[[#This Row],[Date]], 1) = 53, 1, WEEKNUM(Combined[[#This Row],[Date]], 2))</f>
        <v>49</v>
      </c>
      <c r="F2004" t="str">
        <f t="shared" si="533"/>
        <v>Saturday</v>
      </c>
      <c r="G2004" s="41">
        <v>45997</v>
      </c>
      <c r="H2004">
        <v>1</v>
      </c>
      <c r="I2004" s="1">
        <v>18</v>
      </c>
      <c r="J2004" s="2">
        <v>3.4027777777777775E-2</v>
      </c>
      <c r="K2004" s="12">
        <f>Combined[[#This Row],[Time Spent]]*24</f>
        <v>0.81666666666666665</v>
      </c>
      <c r="L2004" s="12">
        <f>MROUND(Combined[[#This Row],[Time Spent 2]],0.25)</f>
        <v>0.75</v>
      </c>
      <c r="M2004" s="2" t="s">
        <v>91</v>
      </c>
      <c r="N2004" t="s">
        <v>80</v>
      </c>
      <c r="O2004">
        <f>MATCH(Combined[[#This Row],[Primary Area]],KPIs!$C$4:$C$7,0)</f>
        <v>2</v>
      </c>
    </row>
    <row r="2005" spans="2:15" x14ac:dyDescent="0.35">
      <c r="B2005">
        <f t="shared" si="525"/>
        <v>2003</v>
      </c>
      <c r="C2005" t="s">
        <v>83</v>
      </c>
      <c r="D2005" t="s">
        <v>176</v>
      </c>
      <c r="E2005">
        <f>IF(WEEKNUM(Combined[[#This Row],[Date]], 1) = 53, 1, WEEKNUM(Combined[[#This Row],[Date]], 2))</f>
        <v>49</v>
      </c>
      <c r="F2005" t="str">
        <f>TEXT(WEEKDAY(G2005,1),"DDDD")</f>
        <v>Sunday</v>
      </c>
      <c r="G2005" s="41">
        <v>45998</v>
      </c>
      <c r="H2005">
        <v>14</v>
      </c>
      <c r="I2005" s="1">
        <v>201.02</v>
      </c>
      <c r="J2005" s="2">
        <v>0.37430555555555556</v>
      </c>
      <c r="K2005" s="12">
        <f>Combined[[#This Row],[Time Spent]]*24</f>
        <v>8.9833333333333343</v>
      </c>
      <c r="L2005" s="12">
        <f>MROUND(Combined[[#This Row],[Time Spent 2]],0.25)</f>
        <v>9</v>
      </c>
      <c r="M2005" s="2" t="s">
        <v>91</v>
      </c>
      <c r="N2005" t="s">
        <v>80</v>
      </c>
      <c r="O2005">
        <f>MATCH(Combined[[#This Row],[Primary Area]],KPIs!$C$4:$C$7,0)</f>
        <v>2</v>
      </c>
    </row>
    <row r="2006" spans="2:15" x14ac:dyDescent="0.35">
      <c r="B2006">
        <f t="shared" si="525"/>
        <v>2004</v>
      </c>
      <c r="C2006" t="s">
        <v>83</v>
      </c>
      <c r="D2006" t="s">
        <v>175</v>
      </c>
      <c r="E2006">
        <f>IF(WEEKNUM(Combined[[#This Row],[Date]], 1) = 53, 1, WEEKNUM(Combined[[#This Row],[Date]], 2))</f>
        <v>50</v>
      </c>
      <c r="F2006" t="str">
        <f t="shared" ref="F2006:F2008" si="534">TEXT(WEEKDAY(G2006,1),"DDDD")</f>
        <v>Monday</v>
      </c>
      <c r="G2006" s="41">
        <v>45999</v>
      </c>
      <c r="H2006">
        <v>11</v>
      </c>
      <c r="I2006" s="1">
        <v>126.53</v>
      </c>
      <c r="J2006" s="2">
        <v>0.19236111111111112</v>
      </c>
      <c r="K2006" s="12">
        <f>Combined[[#This Row],[Time Spent]]*24</f>
        <v>4.6166666666666671</v>
      </c>
      <c r="L2006" s="12">
        <f>MROUND(Combined[[#This Row],[Time Spent 2]],0.25)</f>
        <v>4.5</v>
      </c>
      <c r="M2006" s="2" t="s">
        <v>90</v>
      </c>
      <c r="N2006" t="s">
        <v>82</v>
      </c>
      <c r="O2006">
        <f>MATCH(Combined[[#This Row],[Primary Area]],KPIs!$C$4:$C$7,0)</f>
        <v>3</v>
      </c>
    </row>
    <row r="2007" spans="2:15" x14ac:dyDescent="0.35">
      <c r="B2007">
        <f t="shared" si="525"/>
        <v>2005</v>
      </c>
      <c r="C2007" t="s">
        <v>86</v>
      </c>
      <c r="D2007" t="s">
        <v>175</v>
      </c>
      <c r="E2007">
        <f>IF(WEEKNUM(Combined[[#This Row],[Date]], 1) = 53, 1, WEEKNUM(Combined[[#This Row],[Date]], 2))</f>
        <v>50</v>
      </c>
      <c r="F2007" t="str">
        <f t="shared" si="534"/>
        <v>Monday</v>
      </c>
      <c r="G2007" s="41">
        <v>45999</v>
      </c>
      <c r="H2007">
        <v>2</v>
      </c>
      <c r="I2007" s="1">
        <v>20.81</v>
      </c>
      <c r="J2007" s="2">
        <v>6.7361111111111108E-2</v>
      </c>
      <c r="K2007" s="12">
        <f>Combined[[#This Row],[Time Spent]]*24</f>
        <v>1.6166666666666667</v>
      </c>
      <c r="L2007" s="12">
        <f>MROUND(Combined[[#This Row],[Time Spent 2]],0.25)</f>
        <v>1.5</v>
      </c>
      <c r="M2007" s="2" t="s">
        <v>90</v>
      </c>
      <c r="N2007" t="s">
        <v>82</v>
      </c>
      <c r="O2007">
        <f>MATCH(Combined[[#This Row],[Primary Area]],KPIs!$C$4:$C$7,0)</f>
        <v>3</v>
      </c>
    </row>
    <row r="2008" spans="2:15" x14ac:dyDescent="0.35">
      <c r="B2008">
        <f t="shared" si="525"/>
        <v>2006</v>
      </c>
      <c r="C2008" t="s">
        <v>86</v>
      </c>
      <c r="D2008" t="s">
        <v>175</v>
      </c>
      <c r="E2008">
        <f>IF(WEEKNUM(Combined[[#This Row],[Date]], 1) = 53, 1, WEEKNUM(Combined[[#This Row],[Date]], 2))</f>
        <v>50</v>
      </c>
      <c r="F2008" t="str">
        <f t="shared" si="534"/>
        <v>Monday</v>
      </c>
      <c r="G2008" s="41">
        <v>45999</v>
      </c>
      <c r="H2008">
        <v>1</v>
      </c>
      <c r="I2008" s="1">
        <v>9.5399999999999991</v>
      </c>
      <c r="J2008" s="2">
        <v>1.4583333333333334E-2</v>
      </c>
      <c r="K2008" s="12">
        <f>Combined[[#This Row],[Time Spent]]*24</f>
        <v>0.35</v>
      </c>
      <c r="L2008" s="12">
        <f>MROUND(Combined[[#This Row],[Time Spent 2]],0.25)</f>
        <v>0.25</v>
      </c>
      <c r="M2008" s="2" t="s">
        <v>91</v>
      </c>
      <c r="N2008" t="s">
        <v>82</v>
      </c>
      <c r="O2008">
        <f>MATCH(Combined[[#This Row],[Primary Area]],KPIs!$C$4:$C$7,0)</f>
        <v>3</v>
      </c>
    </row>
    <row r="2009" spans="2:15" x14ac:dyDescent="0.35">
      <c r="B2009">
        <f t="shared" si="525"/>
        <v>2007</v>
      </c>
      <c r="C2009" t="s">
        <v>83</v>
      </c>
      <c r="D2009" t="s">
        <v>175</v>
      </c>
      <c r="E2009">
        <f>IF(WEEKNUM(Combined[[#This Row],[Date]], 1) = 53, 1, WEEKNUM(Combined[[#This Row],[Date]], 2))</f>
        <v>50</v>
      </c>
      <c r="F2009" t="str">
        <f t="shared" ref="F2009:F2010" si="535">TEXT(WEEKDAY(G2009,1),"DDDD")</f>
        <v>Tuesday</v>
      </c>
      <c r="G2009" s="41">
        <v>46000</v>
      </c>
      <c r="H2009">
        <v>8</v>
      </c>
      <c r="I2009" s="1">
        <v>54.64</v>
      </c>
      <c r="J2009" s="2">
        <v>0.21041666666666667</v>
      </c>
      <c r="K2009" s="12">
        <f>Combined[[#This Row],[Time Spent]]*24</f>
        <v>5.05</v>
      </c>
      <c r="L2009" s="12">
        <f>MROUND(Combined[[#This Row],[Time Spent 2]],0.25)</f>
        <v>5</v>
      </c>
      <c r="M2009" s="2" t="s">
        <v>90</v>
      </c>
      <c r="N2009" t="s">
        <v>80</v>
      </c>
      <c r="O2009">
        <f>MATCH(Combined[[#This Row],[Primary Area]],KPIs!$C$4:$C$7,0)</f>
        <v>2</v>
      </c>
    </row>
    <row r="2010" spans="2:15" x14ac:dyDescent="0.35">
      <c r="B2010">
        <f t="shared" si="525"/>
        <v>2008</v>
      </c>
      <c r="C2010" t="s">
        <v>86</v>
      </c>
      <c r="D2010" t="s">
        <v>176</v>
      </c>
      <c r="E2010">
        <f>IF(WEEKNUM(Combined[[#This Row],[Date]], 1) = 53, 1, WEEKNUM(Combined[[#This Row],[Date]], 2))</f>
        <v>50</v>
      </c>
      <c r="F2010" t="str">
        <f t="shared" si="535"/>
        <v>Tuesday</v>
      </c>
      <c r="G2010" s="41">
        <v>46000</v>
      </c>
      <c r="H2010">
        <v>2</v>
      </c>
      <c r="I2010" s="1">
        <v>77.069999999999993</v>
      </c>
      <c r="J2010" s="2">
        <v>0.12777777777777777</v>
      </c>
      <c r="K2010" s="12">
        <f>Combined[[#This Row],[Time Spent]]*24</f>
        <v>3.0666666666666664</v>
      </c>
      <c r="L2010" s="12">
        <f>MROUND(Combined[[#This Row],[Time Spent 2]],0.25)</f>
        <v>3</v>
      </c>
      <c r="M2010" s="2" t="s">
        <v>91</v>
      </c>
      <c r="N2010" t="s">
        <v>80</v>
      </c>
      <c r="O2010">
        <f>MATCH(Combined[[#This Row],[Primary Area]],KPIs!$C$4:$C$7,0)</f>
        <v>2</v>
      </c>
    </row>
    <row r="2011" spans="2:15" x14ac:dyDescent="0.35">
      <c r="B2011">
        <f t="shared" si="525"/>
        <v>2009</v>
      </c>
      <c r="C2011" t="s">
        <v>83</v>
      </c>
      <c r="D2011" t="s">
        <v>176</v>
      </c>
      <c r="E2011">
        <f>IF(WEEKNUM(Combined[[#This Row],[Date]], 1) = 53, 1, WEEKNUM(Combined[[#This Row],[Date]], 2))</f>
        <v>50</v>
      </c>
      <c r="F2011" t="str">
        <f t="shared" ref="F2011" si="536">TEXT(WEEKDAY(G2011,1),"DDDD")</f>
        <v>Thursday</v>
      </c>
      <c r="G2011" s="41">
        <v>46002</v>
      </c>
      <c r="H2011">
        <v>19</v>
      </c>
      <c r="I2011" s="1">
        <v>158.91</v>
      </c>
      <c r="J2011" s="2">
        <v>0.27986111111111112</v>
      </c>
      <c r="K2011" s="12">
        <f>Combined[[#This Row],[Time Spent]]*24</f>
        <v>6.7166666666666668</v>
      </c>
      <c r="L2011" s="12">
        <f>MROUND(Combined[[#This Row],[Time Spent 2]],0.25)</f>
        <v>6.75</v>
      </c>
      <c r="M2011" s="2" t="s">
        <v>90</v>
      </c>
      <c r="N2011" t="s">
        <v>82</v>
      </c>
      <c r="O2011">
        <f>MATCH(Combined[[#This Row],[Primary Area]],KPIs!$C$4:$C$7,0)</f>
        <v>3</v>
      </c>
    </row>
    <row r="2012" spans="2:15" x14ac:dyDescent="0.35">
      <c r="B2012">
        <f t="shared" si="525"/>
        <v>2010</v>
      </c>
      <c r="C2012" t="s">
        <v>83</v>
      </c>
      <c r="D2012" t="s">
        <v>176</v>
      </c>
      <c r="E2012">
        <f>IF(WEEKNUM(Combined[[#This Row],[Date]], 1) = 53, 1, WEEKNUM(Combined[[#This Row],[Date]], 2))</f>
        <v>50</v>
      </c>
      <c r="F2012" t="str">
        <f t="shared" ref="F2012:F2013" si="537">TEXT(WEEKDAY(G2012,1),"DDDD")</f>
        <v>Friday</v>
      </c>
      <c r="G2012" s="41">
        <v>46003</v>
      </c>
      <c r="H2012">
        <v>5</v>
      </c>
      <c r="I2012" s="1">
        <v>87.58</v>
      </c>
      <c r="J2012" s="2">
        <v>0.18055555555555555</v>
      </c>
      <c r="K2012" s="12">
        <f>Combined[[#This Row],[Time Spent]]*24</f>
        <v>4.333333333333333</v>
      </c>
      <c r="L2012" s="12">
        <f>MROUND(Combined[[#This Row],[Time Spent 2]],0.25)</f>
        <v>4.25</v>
      </c>
      <c r="M2012" s="2" t="s">
        <v>90</v>
      </c>
      <c r="N2012" t="s">
        <v>80</v>
      </c>
      <c r="O2012">
        <f>MATCH(Combined[[#This Row],[Primary Area]],KPIs!$C$4:$C$7,0)</f>
        <v>2</v>
      </c>
    </row>
    <row r="2013" spans="2:15" x14ac:dyDescent="0.35">
      <c r="B2013">
        <f t="shared" si="525"/>
        <v>2011</v>
      </c>
      <c r="C2013" t="s">
        <v>86</v>
      </c>
      <c r="D2013" t="s">
        <v>176</v>
      </c>
      <c r="E2013">
        <f>IF(WEEKNUM(Combined[[#This Row],[Date]], 1) = 53, 1, WEEKNUM(Combined[[#This Row],[Date]], 2))</f>
        <v>50</v>
      </c>
      <c r="F2013" t="str">
        <f t="shared" si="537"/>
        <v>Friday</v>
      </c>
      <c r="G2013" s="41">
        <v>46003</v>
      </c>
      <c r="H2013">
        <v>5</v>
      </c>
      <c r="I2013" s="1">
        <v>22.5</v>
      </c>
      <c r="J2013" s="2">
        <v>5.2777777777777778E-2</v>
      </c>
      <c r="K2013" s="12">
        <f>Combined[[#This Row],[Time Spent]]*24</f>
        <v>1.2666666666666666</v>
      </c>
      <c r="L2013" s="12">
        <f>MROUND(Combined[[#This Row],[Time Spent 2]],0.25)</f>
        <v>1.25</v>
      </c>
      <c r="M2013" s="2" t="s">
        <v>90</v>
      </c>
      <c r="N2013" t="s">
        <v>80</v>
      </c>
      <c r="O2013">
        <f>MATCH(Combined[[#This Row],[Primary Area]],KPIs!$C$4:$C$7,0)</f>
        <v>2</v>
      </c>
    </row>
    <row r="2014" spans="2:15" x14ac:dyDescent="0.35">
      <c r="B2014">
        <f t="shared" si="525"/>
        <v>2012</v>
      </c>
      <c r="C2014" t="s">
        <v>83</v>
      </c>
      <c r="D2014" t="s">
        <v>176</v>
      </c>
      <c r="E2014">
        <f>IF(WEEKNUM(Combined[[#This Row],[Date]], 1) = 53, 1, WEEKNUM(Combined[[#This Row],[Date]], 2))</f>
        <v>50</v>
      </c>
      <c r="F2014" t="str">
        <f t="shared" ref="F2014:F2015" si="538">TEXT(WEEKDAY(G2014,1),"DDDD")</f>
        <v>Saturday</v>
      </c>
      <c r="G2014" s="41">
        <v>46004</v>
      </c>
      <c r="H2014">
        <v>6</v>
      </c>
      <c r="I2014" s="1">
        <v>75.3</v>
      </c>
      <c r="J2014" s="2">
        <v>0.16388888888888889</v>
      </c>
      <c r="K2014" s="12">
        <f>Combined[[#This Row],[Time Spent]]*24</f>
        <v>3.9333333333333336</v>
      </c>
      <c r="L2014" s="12">
        <f>MROUND(Combined[[#This Row],[Time Spent 2]],0.25)</f>
        <v>4</v>
      </c>
      <c r="M2014" s="2" t="s">
        <v>90</v>
      </c>
      <c r="N2014" t="s">
        <v>82</v>
      </c>
      <c r="O2014">
        <f>MATCH(Combined[[#This Row],[Primary Area]],KPIs!$C$4:$C$7,0)</f>
        <v>3</v>
      </c>
    </row>
    <row r="2015" spans="2:15" x14ac:dyDescent="0.35">
      <c r="B2015">
        <f t="shared" si="525"/>
        <v>2013</v>
      </c>
      <c r="C2015" t="s">
        <v>86</v>
      </c>
      <c r="D2015" t="s">
        <v>176</v>
      </c>
      <c r="E2015">
        <f>IF(WEEKNUM(Combined[[#This Row],[Date]], 1) = 53, 1, WEEKNUM(Combined[[#This Row],[Date]], 2))</f>
        <v>50</v>
      </c>
      <c r="F2015" t="str">
        <f t="shared" si="538"/>
        <v>Saturday</v>
      </c>
      <c r="G2015" s="41">
        <v>46004</v>
      </c>
      <c r="H2015">
        <v>8</v>
      </c>
      <c r="I2015" s="1">
        <v>79.27</v>
      </c>
      <c r="J2015" s="2">
        <v>79.27</v>
      </c>
      <c r="K2015" s="12">
        <f>Combined[[#This Row],[Time Spent]]*24</f>
        <v>1902.48</v>
      </c>
      <c r="L2015" s="12">
        <f>MROUND(Combined[[#This Row],[Time Spent 2]],0.25)</f>
        <v>1902.5</v>
      </c>
      <c r="M2015" s="2" t="s">
        <v>90</v>
      </c>
      <c r="N2015" t="s">
        <v>82</v>
      </c>
      <c r="O2015">
        <f>MATCH(Combined[[#This Row],[Primary Area]],KPIs!$C$4:$C$7,0)</f>
        <v>3</v>
      </c>
    </row>
    <row r="2016" spans="2:15" x14ac:dyDescent="0.35">
      <c r="B2016">
        <f t="shared" si="525"/>
        <v>2014</v>
      </c>
      <c r="C2016" t="s">
        <v>83</v>
      </c>
      <c r="D2016" t="s">
        <v>176</v>
      </c>
      <c r="E2016">
        <f>IF(WEEKNUM(Combined[[#This Row],[Date]], 1) = 53, 1, WEEKNUM(Combined[[#This Row],[Date]], 2))</f>
        <v>50</v>
      </c>
      <c r="F2016" t="str">
        <f t="shared" ref="F2016:F2017" si="539">TEXT(WEEKDAY(G2016,1),"DDDD")</f>
        <v>Sunday</v>
      </c>
      <c r="G2016" s="41">
        <v>46005</v>
      </c>
      <c r="H2016">
        <v>3</v>
      </c>
      <c r="I2016" s="1">
        <v>23.64</v>
      </c>
      <c r="J2016" s="2">
        <v>9.4444444444444442E-2</v>
      </c>
      <c r="K2016" s="12">
        <f>Combined[[#This Row],[Time Spent]]*24</f>
        <v>2.2666666666666666</v>
      </c>
      <c r="L2016" s="12">
        <f>MROUND(Combined[[#This Row],[Time Spent 2]],0.25)</f>
        <v>2.25</v>
      </c>
      <c r="M2016" s="2" t="s">
        <v>90</v>
      </c>
      <c r="N2016" t="s">
        <v>174</v>
      </c>
      <c r="O2016">
        <f>MATCH(Combined[[#This Row],[Primary Area]],KPIs!$C$4:$C$7,0)</f>
        <v>1</v>
      </c>
    </row>
    <row r="2017" spans="2:15" x14ac:dyDescent="0.35">
      <c r="B2017">
        <f t="shared" si="525"/>
        <v>2015</v>
      </c>
      <c r="C2017" t="s">
        <v>86</v>
      </c>
      <c r="D2017" t="s">
        <v>175</v>
      </c>
      <c r="E2017">
        <f>IF(WEEKNUM(Combined[[#This Row],[Date]], 1) = 53, 1, WEEKNUM(Combined[[#This Row],[Date]], 2))</f>
        <v>50</v>
      </c>
      <c r="F2017" t="str">
        <f t="shared" si="539"/>
        <v>Sunday</v>
      </c>
      <c r="G2017" s="41">
        <v>46005</v>
      </c>
      <c r="H2017">
        <v>3</v>
      </c>
      <c r="I2017" s="1">
        <v>42.93</v>
      </c>
      <c r="J2017" s="2">
        <v>6.7361111111111108E-2</v>
      </c>
      <c r="K2017" s="12">
        <f>Combined[[#This Row],[Time Spent]]*24</f>
        <v>1.6166666666666667</v>
      </c>
      <c r="L2017" s="12">
        <f>MROUND(Combined[[#This Row],[Time Spent 2]],0.25)</f>
        <v>1.5</v>
      </c>
      <c r="M2017" s="2" t="s">
        <v>90</v>
      </c>
      <c r="N2017" t="s">
        <v>174</v>
      </c>
      <c r="O2017">
        <f>MATCH(Combined[[#This Row],[Primary Area]],KPIs!$C$4:$C$7,0)</f>
        <v>1</v>
      </c>
    </row>
    <row r="2018" spans="2:15" x14ac:dyDescent="0.35">
      <c r="B2018">
        <f t="shared" si="525"/>
        <v>2016</v>
      </c>
      <c r="C2018" t="s">
        <v>83</v>
      </c>
      <c r="D2018" t="s">
        <v>176</v>
      </c>
      <c r="E2018">
        <f>IF(WEEKNUM(Combined[[#This Row],[Date]], 1) = 53, 1, WEEKNUM(Combined[[#This Row],[Date]], 2))</f>
        <v>51</v>
      </c>
      <c r="F2018" t="str">
        <f t="shared" ref="F2018:F2019" si="540">TEXT(WEEKDAY(G2018,1),"DDDD")</f>
        <v>Monday</v>
      </c>
      <c r="G2018" s="41">
        <v>46006</v>
      </c>
      <c r="H2018">
        <v>4</v>
      </c>
      <c r="I2018" s="1">
        <v>72.69</v>
      </c>
      <c r="J2018" s="2">
        <v>0.1111111111111111</v>
      </c>
      <c r="K2018" s="12">
        <f>Combined[[#This Row],[Time Spent]]*24</f>
        <v>2.6666666666666665</v>
      </c>
      <c r="L2018" s="12">
        <f>MROUND(Combined[[#This Row],[Time Spent 2]],0.25)</f>
        <v>2.75</v>
      </c>
      <c r="M2018" s="2" t="s">
        <v>91</v>
      </c>
      <c r="N2018" t="s">
        <v>80</v>
      </c>
      <c r="O2018">
        <f>MATCH(Combined[[#This Row],[Primary Area]],KPIs!$C$4:$C$7,0)</f>
        <v>2</v>
      </c>
    </row>
    <row r="2019" spans="2:15" x14ac:dyDescent="0.35">
      <c r="B2019">
        <f t="shared" si="525"/>
        <v>2017</v>
      </c>
      <c r="C2019" t="s">
        <v>86</v>
      </c>
      <c r="D2019" t="s">
        <v>176</v>
      </c>
      <c r="E2019">
        <f>IF(WEEKNUM(Combined[[#This Row],[Date]], 1) = 53, 1, WEEKNUM(Combined[[#This Row],[Date]], 2))</f>
        <v>51</v>
      </c>
      <c r="F2019" t="str">
        <f t="shared" si="540"/>
        <v>Monday</v>
      </c>
      <c r="G2019" s="41">
        <v>46006</v>
      </c>
      <c r="H2019">
        <v>3</v>
      </c>
      <c r="I2019" s="1">
        <v>44.75</v>
      </c>
      <c r="J2019" s="2">
        <v>0.11527777777777778</v>
      </c>
      <c r="K2019" s="12">
        <f>Combined[[#This Row],[Time Spent]]*24</f>
        <v>2.7666666666666666</v>
      </c>
      <c r="L2019" s="12">
        <f>MROUND(Combined[[#This Row],[Time Spent 2]],0.25)</f>
        <v>2.75</v>
      </c>
      <c r="M2019" s="2" t="s">
        <v>91</v>
      </c>
      <c r="N2019" t="s">
        <v>80</v>
      </c>
      <c r="O2019">
        <f>MATCH(Combined[[#This Row],[Primary Area]],KPIs!$C$4:$C$7,0)</f>
        <v>2</v>
      </c>
    </row>
    <row r="2020" spans="2:15" x14ac:dyDescent="0.35">
      <c r="B2020">
        <f t="shared" si="525"/>
        <v>2018</v>
      </c>
      <c r="C2020" t="s">
        <v>83</v>
      </c>
      <c r="D2020" t="s">
        <v>175</v>
      </c>
      <c r="E2020">
        <f>IF(WEEKNUM(Combined[[#This Row],[Date]], 1) = 53, 1, WEEKNUM(Combined[[#This Row],[Date]], 2))</f>
        <v>51</v>
      </c>
      <c r="F2020" t="str">
        <f t="shared" ref="F2020:F2023" si="541">TEXT(WEEKDAY(G2020,1),"DDDD")</f>
        <v>Tuesday</v>
      </c>
      <c r="G2020" s="41">
        <v>46007</v>
      </c>
      <c r="H2020">
        <v>1</v>
      </c>
      <c r="I2020" s="1">
        <v>11.3</v>
      </c>
      <c r="J2020" s="2">
        <v>6.3194444444444442E-2</v>
      </c>
      <c r="K2020" s="12">
        <f>Combined[[#This Row],[Time Spent]]*24</f>
        <v>1.5166666666666666</v>
      </c>
      <c r="L2020" s="12">
        <f>MROUND(Combined[[#This Row],[Time Spent 2]],0.25)</f>
        <v>1.5</v>
      </c>
      <c r="M2020" s="2" t="s">
        <v>91</v>
      </c>
      <c r="N2020" t="s">
        <v>82</v>
      </c>
      <c r="O2020">
        <f>MATCH(Combined[[#This Row],[Primary Area]],KPIs!$C$4:$C$7,0)</f>
        <v>3</v>
      </c>
    </row>
    <row r="2021" spans="2:15" x14ac:dyDescent="0.35">
      <c r="B2021">
        <f t="shared" si="525"/>
        <v>2019</v>
      </c>
      <c r="C2021" t="s">
        <v>86</v>
      </c>
      <c r="D2021" t="s">
        <v>175</v>
      </c>
      <c r="E2021">
        <f>IF(WEEKNUM(Combined[[#This Row],[Date]], 1) = 53, 1, WEEKNUM(Combined[[#This Row],[Date]], 2))</f>
        <v>51</v>
      </c>
      <c r="F2021" t="str">
        <f t="shared" si="541"/>
        <v>Tuesday</v>
      </c>
      <c r="G2021" s="41">
        <v>46007</v>
      </c>
      <c r="H2021">
        <v>3</v>
      </c>
      <c r="I2021" s="1">
        <v>24.98</v>
      </c>
      <c r="J2021" s="2">
        <v>5.9722222222222225E-2</v>
      </c>
      <c r="K2021" s="12">
        <f>Combined[[#This Row],[Time Spent]]*24</f>
        <v>1.4333333333333333</v>
      </c>
      <c r="L2021" s="12">
        <f>MROUND(Combined[[#This Row],[Time Spent 2]],0.25)</f>
        <v>1.5</v>
      </c>
      <c r="M2021" s="2" t="s">
        <v>91</v>
      </c>
      <c r="N2021" t="s">
        <v>82</v>
      </c>
      <c r="O2021">
        <f>MATCH(Combined[[#This Row],[Primary Area]],KPIs!$C$4:$C$7,0)</f>
        <v>3</v>
      </c>
    </row>
    <row r="2022" spans="2:15" x14ac:dyDescent="0.35">
      <c r="B2022">
        <f t="shared" si="525"/>
        <v>2020</v>
      </c>
      <c r="C2022" t="s">
        <v>86</v>
      </c>
      <c r="D2022" t="s">
        <v>176</v>
      </c>
      <c r="E2022">
        <f>IF(WEEKNUM(Combined[[#This Row],[Date]], 1) = 53, 1, WEEKNUM(Combined[[#This Row],[Date]], 2))</f>
        <v>51</v>
      </c>
      <c r="F2022" t="str">
        <f t="shared" si="541"/>
        <v>Tuesday</v>
      </c>
      <c r="G2022" s="41">
        <v>46007</v>
      </c>
      <c r="H2022">
        <v>2</v>
      </c>
      <c r="I2022" s="1">
        <v>10.75</v>
      </c>
      <c r="J2022" s="2">
        <v>2.6388888888888889E-2</v>
      </c>
      <c r="K2022" s="12">
        <f>Combined[[#This Row],[Time Spent]]*24</f>
        <v>0.6333333333333333</v>
      </c>
      <c r="L2022" s="12">
        <f>MROUND(Combined[[#This Row],[Time Spent 2]],0.25)</f>
        <v>0.75</v>
      </c>
      <c r="M2022" s="2" t="s">
        <v>91</v>
      </c>
      <c r="N2022" t="s">
        <v>82</v>
      </c>
      <c r="O2022">
        <f>MATCH(Combined[[#This Row],[Primary Area]],KPIs!$C$4:$C$7,0)</f>
        <v>3</v>
      </c>
    </row>
    <row r="2023" spans="2:15" x14ac:dyDescent="0.35">
      <c r="B2023">
        <f t="shared" si="525"/>
        <v>2021</v>
      </c>
      <c r="C2023" t="s">
        <v>86</v>
      </c>
      <c r="D2023" t="s">
        <v>175</v>
      </c>
      <c r="E2023">
        <f>IF(WEEKNUM(Combined[[#This Row],[Date]], 1) = 53, 1, WEEKNUM(Combined[[#This Row],[Date]], 2))</f>
        <v>51</v>
      </c>
      <c r="F2023" t="str">
        <f t="shared" si="541"/>
        <v>Tuesday</v>
      </c>
      <c r="G2023" s="41">
        <v>46007</v>
      </c>
      <c r="H2023">
        <v>3</v>
      </c>
      <c r="I2023" s="1">
        <v>13.49</v>
      </c>
      <c r="J2023" s="2">
        <v>3.6111111111111108E-2</v>
      </c>
      <c r="K2023" s="12">
        <f>Combined[[#This Row],[Time Spent]]*24</f>
        <v>0.86666666666666659</v>
      </c>
      <c r="L2023" s="12">
        <f>MROUND(Combined[[#This Row],[Time Spent 2]],0.25)</f>
        <v>0.75</v>
      </c>
      <c r="M2023" s="2" t="s">
        <v>92</v>
      </c>
      <c r="N2023" t="s">
        <v>82</v>
      </c>
      <c r="O2023">
        <f>MATCH(Combined[[#This Row],[Primary Area]],KPIs!$C$4:$C$7,0)</f>
        <v>3</v>
      </c>
    </row>
    <row r="2024" spans="2:15" x14ac:dyDescent="0.35">
      <c r="B2024">
        <f t="shared" si="525"/>
        <v>2022</v>
      </c>
      <c r="C2024" t="s">
        <v>86</v>
      </c>
      <c r="D2024" t="s">
        <v>176</v>
      </c>
      <c r="E2024">
        <f>IF(WEEKNUM(Combined[[#This Row],[Date]], 1) = 53, 1, WEEKNUM(Combined[[#This Row],[Date]], 2))</f>
        <v>51</v>
      </c>
      <c r="F2024" t="str">
        <f t="shared" ref="F2024" si="542">TEXT(WEEKDAY(G2024,1),"DDDD")</f>
        <v>Friday</v>
      </c>
      <c r="G2024" s="41">
        <v>46010</v>
      </c>
      <c r="H2024">
        <v>6</v>
      </c>
      <c r="I2024" s="1">
        <f>56.25+7.75</f>
        <v>64</v>
      </c>
      <c r="J2024" s="2">
        <v>0.13263888888888889</v>
      </c>
      <c r="K2024" s="12">
        <f>Combined[[#This Row],[Time Spent]]*24</f>
        <v>3.1833333333333336</v>
      </c>
      <c r="L2024" s="12">
        <f>MROUND(Combined[[#This Row],[Time Spent 2]],0.25)</f>
        <v>3.25</v>
      </c>
      <c r="M2024" s="2" t="s">
        <v>91</v>
      </c>
      <c r="N2024" t="s">
        <v>174</v>
      </c>
      <c r="O2024">
        <f>MATCH(Combined[[#This Row],[Primary Area]],KPIs!$C$4:$C$7,0)</f>
        <v>1</v>
      </c>
    </row>
    <row r="2025" spans="2:15" x14ac:dyDescent="0.35">
      <c r="B2025">
        <f t="shared" si="525"/>
        <v>2023</v>
      </c>
      <c r="C2025" t="s">
        <v>83</v>
      </c>
      <c r="D2025" t="s">
        <v>176</v>
      </c>
      <c r="E2025">
        <f>IF(WEEKNUM(Combined[[#This Row],[Date]], 1) = 53, 1, WEEKNUM(Combined[[#This Row],[Date]], 2))</f>
        <v>51</v>
      </c>
      <c r="F2025" t="str">
        <f t="shared" ref="F2025:F2027" si="543">TEXT(WEEKDAY(G2025,1),"DDDD")</f>
        <v>Sunday</v>
      </c>
      <c r="G2025" s="41">
        <v>46012</v>
      </c>
      <c r="H2025">
        <v>7</v>
      </c>
      <c r="I2025" s="1">
        <v>131.69999999999999</v>
      </c>
      <c r="J2025" s="2">
        <v>0.20694444444444443</v>
      </c>
      <c r="K2025" s="12">
        <f>Combined[[#This Row],[Time Spent]]*24</f>
        <v>4.9666666666666668</v>
      </c>
      <c r="L2025" s="12">
        <f>MROUND(Combined[[#This Row],[Time Spent 2]],0.25)</f>
        <v>5</v>
      </c>
      <c r="M2025" s="2" t="s">
        <v>91</v>
      </c>
      <c r="N2025" t="s">
        <v>85</v>
      </c>
      <c r="O2025">
        <f>MATCH(Combined[[#This Row],[Primary Area]],KPIs!$C$4:$C$7,0)</f>
        <v>4</v>
      </c>
    </row>
    <row r="2026" spans="2:15" x14ac:dyDescent="0.35">
      <c r="B2026">
        <f t="shared" si="525"/>
        <v>2024</v>
      </c>
      <c r="C2026" t="s">
        <v>86</v>
      </c>
      <c r="D2026" t="s">
        <v>176</v>
      </c>
      <c r="E2026">
        <f>IF(WEEKNUM(Combined[[#This Row],[Date]], 1) = 53, 1, WEEKNUM(Combined[[#This Row],[Date]], 2))</f>
        <v>51</v>
      </c>
      <c r="F2026" t="str">
        <f t="shared" si="543"/>
        <v>Sunday</v>
      </c>
      <c r="G2026" s="41">
        <v>46012</v>
      </c>
      <c r="H2026">
        <v>1</v>
      </c>
      <c r="I2026" s="1">
        <v>9</v>
      </c>
      <c r="J2026" s="2">
        <v>5.0694444444444445E-2</v>
      </c>
      <c r="K2026" s="12">
        <f>Combined[[#This Row],[Time Spent]]*24</f>
        <v>1.2166666666666668</v>
      </c>
      <c r="L2026" s="12">
        <f>MROUND(Combined[[#This Row],[Time Spent 2]],0.25)</f>
        <v>1.25</v>
      </c>
      <c r="M2026" s="2" t="s">
        <v>91</v>
      </c>
      <c r="N2026" t="s">
        <v>85</v>
      </c>
      <c r="O2026">
        <f>MATCH(Combined[[#This Row],[Primary Area]],KPIs!$C$4:$C$7,0)</f>
        <v>4</v>
      </c>
    </row>
    <row r="2027" spans="2:15" x14ac:dyDescent="0.35">
      <c r="B2027">
        <f t="shared" si="525"/>
        <v>2025</v>
      </c>
      <c r="C2027" t="s">
        <v>86</v>
      </c>
      <c r="D2027" t="s">
        <v>176</v>
      </c>
      <c r="E2027">
        <f>IF(WEEKNUM(Combined[[#This Row],[Date]], 1) = 53, 1, WEEKNUM(Combined[[#This Row],[Date]], 2))</f>
        <v>51</v>
      </c>
      <c r="F2027" t="str">
        <f t="shared" si="543"/>
        <v>Sunday</v>
      </c>
      <c r="G2027" s="41">
        <v>46012</v>
      </c>
      <c r="H2027">
        <v>1</v>
      </c>
      <c r="I2027" s="1">
        <v>16</v>
      </c>
      <c r="J2027" s="2">
        <v>7.7083333333333337E-2</v>
      </c>
      <c r="K2027" s="12">
        <f>Combined[[#This Row],[Time Spent]]*24</f>
        <v>1.85</v>
      </c>
      <c r="L2027" s="12">
        <f>MROUND(Combined[[#This Row],[Time Spent 2]],0.25)</f>
        <v>1.75</v>
      </c>
      <c r="M2027" s="2" t="s">
        <v>91</v>
      </c>
      <c r="N2027" t="s">
        <v>85</v>
      </c>
      <c r="O2027">
        <f>MATCH(Combined[[#This Row],[Primary Area]],KPIs!$C$4:$C$7,0)</f>
        <v>4</v>
      </c>
    </row>
    <row r="2028" spans="2:15" x14ac:dyDescent="0.35">
      <c r="B2028">
        <f t="shared" si="525"/>
        <v>2026</v>
      </c>
      <c r="C2028" t="s">
        <v>83</v>
      </c>
      <c r="D2028" t="s">
        <v>176</v>
      </c>
      <c r="E2028">
        <f>IF(WEEKNUM(Combined[[#This Row],[Date]], 1) = 53, 1, WEEKNUM(Combined[[#This Row],[Date]], 2))</f>
        <v>1</v>
      </c>
      <c r="F2028" t="str">
        <f t="shared" ref="F2028:F2030" si="544">TEXT(WEEKDAY(G2028,1),"DDDD")</f>
        <v>Tuesday</v>
      </c>
      <c r="G2028" s="41">
        <v>46021</v>
      </c>
      <c r="H2028">
        <v>3</v>
      </c>
      <c r="I2028" s="1">
        <v>42.77</v>
      </c>
      <c r="J2028" s="2">
        <v>9.7916666666666666E-2</v>
      </c>
      <c r="K2028" s="12">
        <f>Combined[[#This Row],[Time Spent]]*24</f>
        <v>2.35</v>
      </c>
      <c r="L2028" s="12">
        <f>MROUND(Combined[[#This Row],[Time Spent 2]],0.25)</f>
        <v>2.25</v>
      </c>
      <c r="M2028" s="2" t="s">
        <v>91</v>
      </c>
      <c r="N2028" t="s">
        <v>80</v>
      </c>
      <c r="O2028">
        <f>MATCH(Combined[[#This Row],[Primary Area]],KPIs!$C$4:$C$7,0)</f>
        <v>2</v>
      </c>
    </row>
    <row r="2029" spans="2:15" x14ac:dyDescent="0.35">
      <c r="B2029">
        <f t="shared" si="525"/>
        <v>2027</v>
      </c>
      <c r="C2029" t="s">
        <v>86</v>
      </c>
      <c r="D2029" t="s">
        <v>176</v>
      </c>
      <c r="E2029">
        <f>IF(WEEKNUM(Combined[[#This Row],[Date]], 1) = 53, 1, WEEKNUM(Combined[[#This Row],[Date]], 2))</f>
        <v>1</v>
      </c>
      <c r="F2029" t="str">
        <f t="shared" si="544"/>
        <v>Tuesday</v>
      </c>
      <c r="G2029" s="41">
        <v>46021</v>
      </c>
      <c r="H2029">
        <v>1</v>
      </c>
      <c r="I2029" s="1">
        <v>12.15</v>
      </c>
      <c r="J2029" s="2">
        <v>4.6527777777777779E-2</v>
      </c>
      <c r="K2029" s="12">
        <f>Combined[[#This Row],[Time Spent]]*24</f>
        <v>1.1166666666666667</v>
      </c>
      <c r="L2029" s="12">
        <f>MROUND(Combined[[#This Row],[Time Spent 2]],0.25)</f>
        <v>1</v>
      </c>
      <c r="M2029" s="2" t="s">
        <v>91</v>
      </c>
      <c r="N2029" t="s">
        <v>80</v>
      </c>
      <c r="O2029">
        <f>MATCH(Combined[[#This Row],[Primary Area]],KPIs!$C$4:$C$7,0)</f>
        <v>2</v>
      </c>
    </row>
    <row r="2030" spans="2:15" x14ac:dyDescent="0.35">
      <c r="B2030">
        <f t="shared" si="525"/>
        <v>2028</v>
      </c>
      <c r="C2030" t="s">
        <v>86</v>
      </c>
      <c r="D2030" t="s">
        <v>176</v>
      </c>
      <c r="E2030">
        <f>IF(WEEKNUM(Combined[[#This Row],[Date]], 1) = 53, 1, WEEKNUM(Combined[[#This Row],[Date]], 2))</f>
        <v>1</v>
      </c>
      <c r="F2030" t="str">
        <f t="shared" si="544"/>
        <v>Tuesday</v>
      </c>
      <c r="G2030" s="41">
        <v>46021</v>
      </c>
      <c r="H2030">
        <v>3</v>
      </c>
      <c r="I2030" s="1">
        <v>55.15</v>
      </c>
      <c r="J2030" s="2">
        <v>8.9583333333333334E-2</v>
      </c>
      <c r="K2030" s="12">
        <f>Combined[[#This Row],[Time Spent]]*24</f>
        <v>2.15</v>
      </c>
      <c r="L2030" s="12">
        <f>MROUND(Combined[[#This Row],[Time Spent 2]],0.25)</f>
        <v>2.25</v>
      </c>
      <c r="M2030" s="2" t="s">
        <v>92</v>
      </c>
      <c r="N2030" t="s">
        <v>80</v>
      </c>
      <c r="O2030">
        <f>MATCH(Combined[[#This Row],[Primary Area]],KPIs!$C$4:$C$7,0)</f>
        <v>2</v>
      </c>
    </row>
    <row r="2031" spans="2:15" x14ac:dyDescent="0.35">
      <c r="B2031">
        <f t="shared" si="525"/>
        <v>2029</v>
      </c>
      <c r="C2031" t="s">
        <v>86</v>
      </c>
      <c r="D2031" t="s">
        <v>176</v>
      </c>
      <c r="E2031">
        <f>IF(WEEKNUM(Combined[[#This Row],[Date]], 1) = 53, 1, WEEKNUM(Combined[[#This Row],[Date]], 2))</f>
        <v>1</v>
      </c>
      <c r="F2031" t="str">
        <f t="shared" ref="F2031" si="545">TEXT(WEEKDAY(G2031,1),"DDDD")</f>
        <v>Thursday</v>
      </c>
      <c r="G2031" s="41">
        <v>46023</v>
      </c>
      <c r="H2031">
        <v>1</v>
      </c>
      <c r="I2031" s="1">
        <v>9</v>
      </c>
      <c r="J2031" s="2">
        <v>1.7361111111111112E-2</v>
      </c>
      <c r="K2031" s="12">
        <f>Combined[[#This Row],[Time Spent]]*24</f>
        <v>0.41666666666666669</v>
      </c>
      <c r="L2031" s="12">
        <f>MROUND(Combined[[#This Row],[Time Spent 2]],0.25)</f>
        <v>0.5</v>
      </c>
      <c r="M2031" s="2" t="s">
        <v>90</v>
      </c>
      <c r="N2031" t="s">
        <v>82</v>
      </c>
      <c r="O2031">
        <f>MATCH(Combined[[#This Row],[Primary Area]],KPIs!$C$4:$C$7,0)</f>
        <v>3</v>
      </c>
    </row>
    <row r="2032" spans="2:15" x14ac:dyDescent="0.35">
      <c r="B2032">
        <f t="shared" si="525"/>
        <v>2030</v>
      </c>
      <c r="C2032" t="s">
        <v>83</v>
      </c>
      <c r="D2032" t="s">
        <v>176</v>
      </c>
      <c r="E2032">
        <f>IF(WEEKNUM(Combined[[#This Row],[Date]], 1) = 53, 1, WEEKNUM(Combined[[#This Row],[Date]], 2))</f>
        <v>1</v>
      </c>
      <c r="F2032" t="str">
        <f t="shared" ref="F2032:F2033" si="546">TEXT(WEEKDAY(G2032,1),"DDDD")</f>
        <v>Saturday</v>
      </c>
      <c r="G2032" s="41">
        <v>46025</v>
      </c>
      <c r="H2032">
        <v>5</v>
      </c>
      <c r="I2032" s="1">
        <v>88.58</v>
      </c>
      <c r="J2032" s="2">
        <v>0.13958333333333334</v>
      </c>
      <c r="K2032" s="12">
        <f>Combined[[#This Row],[Time Spent]]*24</f>
        <v>3.35</v>
      </c>
      <c r="L2032" s="12">
        <f>MROUND(Combined[[#This Row],[Time Spent 2]],0.25)</f>
        <v>3.25</v>
      </c>
      <c r="M2032" s="2" t="s">
        <v>91</v>
      </c>
      <c r="N2032" t="s">
        <v>80</v>
      </c>
      <c r="O2032">
        <f>MATCH(Combined[[#This Row],[Primary Area]],KPIs!$C$4:$C$7,0)</f>
        <v>2</v>
      </c>
    </row>
    <row r="2033" spans="2:15" x14ac:dyDescent="0.35">
      <c r="B2033">
        <f t="shared" si="525"/>
        <v>2031</v>
      </c>
      <c r="C2033" t="s">
        <v>86</v>
      </c>
      <c r="D2033" t="s">
        <v>176</v>
      </c>
      <c r="E2033">
        <f>IF(WEEKNUM(Combined[[#This Row],[Date]], 1) = 53, 1, WEEKNUM(Combined[[#This Row],[Date]], 2))</f>
        <v>1</v>
      </c>
      <c r="F2033" t="str">
        <f t="shared" si="546"/>
        <v>Saturday</v>
      </c>
      <c r="G2033" s="41">
        <v>46025</v>
      </c>
      <c r="H2033">
        <v>4</v>
      </c>
      <c r="I2033" s="1">
        <v>66.45</v>
      </c>
      <c r="J2033" s="2">
        <v>8.1250000000000003E-2</v>
      </c>
      <c r="K2033" s="12">
        <f>Combined[[#This Row],[Time Spent]]*24</f>
        <v>1.9500000000000002</v>
      </c>
      <c r="L2033" s="12">
        <f>MROUND(Combined[[#This Row],[Time Spent 2]],0.25)</f>
        <v>2</v>
      </c>
      <c r="M2033" s="2" t="s">
        <v>92</v>
      </c>
      <c r="N2033" t="s">
        <v>80</v>
      </c>
      <c r="O2033">
        <f>MATCH(Combined[[#This Row],[Primary Area]],KPIs!$C$4:$C$7,0)</f>
        <v>2</v>
      </c>
    </row>
    <row r="2034" spans="2:15" x14ac:dyDescent="0.35">
      <c r="B2034">
        <f t="shared" si="525"/>
        <v>2032</v>
      </c>
      <c r="C2034" t="s">
        <v>86</v>
      </c>
      <c r="D2034" t="s">
        <v>176</v>
      </c>
      <c r="E2034">
        <f>IF(WEEKNUM(Combined[[#This Row],[Date]], 1) = 53, 1, WEEKNUM(Combined[[#This Row],[Date]], 2))</f>
        <v>1</v>
      </c>
      <c r="F2034" t="str">
        <f>TEXT(WEEKDAY(G2034,1),"DDDD")</f>
        <v>Sunday</v>
      </c>
      <c r="G2034" s="41">
        <v>46026</v>
      </c>
      <c r="H2034">
        <v>1</v>
      </c>
      <c r="I2034" s="1">
        <v>5</v>
      </c>
      <c r="J2034" s="2">
        <v>2.361111111111111E-2</v>
      </c>
      <c r="K2034" s="12">
        <f>Combined[[#This Row],[Time Spent]]*24</f>
        <v>0.56666666666666665</v>
      </c>
      <c r="L2034" s="12">
        <f>MROUND(Combined[[#This Row],[Time Spent 2]],0.25)</f>
        <v>0.5</v>
      </c>
      <c r="M2034" s="2" t="s">
        <v>91</v>
      </c>
      <c r="N2034" t="s">
        <v>80</v>
      </c>
      <c r="O2034">
        <f>MATCH(Combined[[#This Row],[Primary Area]],KPIs!$C$4:$C$7,0)</f>
        <v>2</v>
      </c>
    </row>
    <row r="2035" spans="2:15" x14ac:dyDescent="0.35">
      <c r="B2035">
        <f t="shared" si="525"/>
        <v>2033</v>
      </c>
      <c r="C2035" t="s">
        <v>86</v>
      </c>
      <c r="D2035" t="s">
        <v>176</v>
      </c>
      <c r="E2035">
        <f>IF(WEEKNUM(Combined[[#This Row],[Date]], 1) = 53, 1, WEEKNUM(Combined[[#This Row],[Date]], 2))</f>
        <v>1</v>
      </c>
      <c r="F2035" t="str">
        <f>TEXT(WEEKDAY(G2035,1),"DDDD")</f>
        <v>Sunday</v>
      </c>
      <c r="G2035" s="41">
        <v>46026</v>
      </c>
      <c r="H2035">
        <v>1</v>
      </c>
      <c r="I2035" s="1">
        <v>33.4</v>
      </c>
      <c r="J2035" s="2">
        <v>2.5000000000000001E-2</v>
      </c>
      <c r="K2035" s="12">
        <f>Combined[[#This Row],[Time Spent]]*24</f>
        <v>0.60000000000000009</v>
      </c>
      <c r="L2035" s="12">
        <f>MROUND(Combined[[#This Row],[Time Spent 2]],0.25)</f>
        <v>0.5</v>
      </c>
      <c r="M2035" s="2" t="s">
        <v>92</v>
      </c>
      <c r="N2035" t="s">
        <v>80</v>
      </c>
      <c r="O2035">
        <f>MATCH(Combined[[#This Row],[Primary Area]],KPIs!$C$4:$C$7,0)</f>
        <v>2</v>
      </c>
    </row>
    <row r="2036" spans="2:15" x14ac:dyDescent="0.35">
      <c r="B2036">
        <f t="shared" si="525"/>
        <v>2034</v>
      </c>
      <c r="C2036" t="s">
        <v>83</v>
      </c>
      <c r="D2036" t="s">
        <v>176</v>
      </c>
      <c r="E2036">
        <f>IF(WEEKNUM(Combined[[#This Row],[Date]], 1) = 53, 1, WEEKNUM(Combined[[#This Row],[Date]], 2))</f>
        <v>2</v>
      </c>
      <c r="F2036" t="str">
        <f t="shared" ref="F2036:F2038" si="547">TEXT(WEEKDAY(G2036,1),"DDDD")</f>
        <v>Thursday</v>
      </c>
      <c r="G2036" s="41">
        <v>46030</v>
      </c>
      <c r="H2036">
        <v>2</v>
      </c>
      <c r="I2036" s="1">
        <v>42.2</v>
      </c>
      <c r="J2036" s="2">
        <v>6.1805555555555558E-2</v>
      </c>
      <c r="K2036" s="12">
        <f>Combined[[#This Row],[Time Spent]]*24</f>
        <v>1.4833333333333334</v>
      </c>
      <c r="L2036" s="12">
        <f>MROUND(Combined[[#This Row],[Time Spent 2]],0.25)</f>
        <v>1.5</v>
      </c>
      <c r="M2036" s="2" t="s">
        <v>91</v>
      </c>
      <c r="N2036" t="s">
        <v>82</v>
      </c>
      <c r="O2036">
        <f>MATCH(Combined[[#This Row],[Primary Area]],KPIs!$C$4:$C$7,0)</f>
        <v>3</v>
      </c>
    </row>
    <row r="2037" spans="2:15" x14ac:dyDescent="0.35">
      <c r="B2037">
        <f t="shared" si="525"/>
        <v>2035</v>
      </c>
      <c r="C2037" t="s">
        <v>83</v>
      </c>
      <c r="D2037" t="s">
        <v>175</v>
      </c>
      <c r="E2037">
        <f>IF(WEEKNUM(Combined[[#This Row],[Date]], 1) = 53, 1, WEEKNUM(Combined[[#This Row],[Date]], 2))</f>
        <v>3</v>
      </c>
      <c r="F2037" t="str">
        <f t="shared" si="547"/>
        <v>Wednesday</v>
      </c>
      <c r="G2037" s="41">
        <v>46036</v>
      </c>
      <c r="H2037">
        <v>5</v>
      </c>
      <c r="I2037" s="1">
        <v>30.33</v>
      </c>
      <c r="J2037" s="2">
        <v>7.4999999999999997E-2</v>
      </c>
      <c r="K2037" s="12">
        <f>Combined[[#This Row],[Time Spent]]*24</f>
        <v>1.7999999999999998</v>
      </c>
      <c r="L2037" s="12">
        <f>MROUND(Combined[[#This Row],[Time Spent 2]],0.25)</f>
        <v>1.75</v>
      </c>
      <c r="M2037" s="2" t="s">
        <v>91</v>
      </c>
      <c r="N2037" t="s">
        <v>82</v>
      </c>
      <c r="O2037">
        <f>MATCH(Combined[[#This Row],[Primary Area]],KPIs!$C$4:$C$7,0)</f>
        <v>3</v>
      </c>
    </row>
    <row r="2038" spans="2:15" x14ac:dyDescent="0.35">
      <c r="B2038">
        <f t="shared" si="525"/>
        <v>2036</v>
      </c>
      <c r="C2038" t="s">
        <v>86</v>
      </c>
      <c r="D2038" t="s">
        <v>175</v>
      </c>
      <c r="E2038">
        <f>IF(WEEKNUM(Combined[[#This Row],[Date]], 1) = 53, 1, WEEKNUM(Combined[[#This Row],[Date]], 2))</f>
        <v>3</v>
      </c>
      <c r="F2038" t="str">
        <f t="shared" si="547"/>
        <v>Wednesday</v>
      </c>
      <c r="G2038" s="41">
        <v>46036</v>
      </c>
      <c r="H2038">
        <v>1</v>
      </c>
      <c r="I2038" s="1">
        <v>13.22</v>
      </c>
      <c r="J2038" s="2">
        <v>5.2083333333333336E-2</v>
      </c>
      <c r="K2038" s="12">
        <f>Combined[[#This Row],[Time Spent]]*24</f>
        <v>1.25</v>
      </c>
      <c r="L2038" s="12">
        <f>MROUND(Combined[[#This Row],[Time Spent 2]],0.25)</f>
        <v>1.25</v>
      </c>
      <c r="M2038" s="2" t="s">
        <v>91</v>
      </c>
      <c r="N2038" t="s">
        <v>82</v>
      </c>
      <c r="O2038">
        <f>MATCH(Combined[[#This Row],[Primary Area]],KPIs!$C$4:$C$7,0)</f>
        <v>3</v>
      </c>
    </row>
    <row r="2039" spans="2:15" x14ac:dyDescent="0.35">
      <c r="B2039">
        <f t="shared" si="525"/>
        <v>2037</v>
      </c>
      <c r="C2039" t="s">
        <v>83</v>
      </c>
      <c r="D2039" t="s">
        <v>176</v>
      </c>
      <c r="E2039">
        <f>IF(WEEKNUM(Combined[[#This Row],[Date]], 1) = 53, 1, WEEKNUM(Combined[[#This Row],[Date]], 2))</f>
        <v>3</v>
      </c>
      <c r="F2039" t="str">
        <f t="shared" ref="F2039:F2041" si="548">TEXT(WEEKDAY(G2039,1),"DDDD")</f>
        <v>Friday</v>
      </c>
      <c r="G2039" s="41">
        <v>46038</v>
      </c>
      <c r="H2039">
        <v>4</v>
      </c>
      <c r="I2039" s="1">
        <v>126.64</v>
      </c>
      <c r="J2039" s="2">
        <v>0.12916666666666668</v>
      </c>
      <c r="K2039" s="12">
        <f>Combined[[#This Row],[Time Spent]]*24</f>
        <v>3.1000000000000005</v>
      </c>
      <c r="L2039" s="12">
        <f>MROUND(Combined[[#This Row],[Time Spent 2]],0.25)</f>
        <v>3</v>
      </c>
      <c r="M2039" s="2" t="s">
        <v>91</v>
      </c>
      <c r="N2039" t="s">
        <v>80</v>
      </c>
      <c r="O2039">
        <f>MATCH(Combined[[#This Row],[Primary Area]],KPIs!$C$4:$C$7,0)</f>
        <v>2</v>
      </c>
    </row>
    <row r="2040" spans="2:15" x14ac:dyDescent="0.35">
      <c r="B2040">
        <f t="shared" si="525"/>
        <v>2038</v>
      </c>
      <c r="C2040" t="s">
        <v>86</v>
      </c>
      <c r="D2040" t="s">
        <v>175</v>
      </c>
      <c r="E2040">
        <f>IF(WEEKNUM(Combined[[#This Row],[Date]], 1) = 53, 1, WEEKNUM(Combined[[#This Row],[Date]], 2))</f>
        <v>3</v>
      </c>
      <c r="F2040" t="str">
        <f t="shared" si="548"/>
        <v>Friday</v>
      </c>
      <c r="G2040" s="41">
        <v>46038</v>
      </c>
      <c r="H2040">
        <v>3</v>
      </c>
      <c r="I2040" s="1">
        <v>24.15</v>
      </c>
      <c r="J2040" s="2">
        <v>7.5694444444444439E-2</v>
      </c>
      <c r="K2040" s="12">
        <f>Combined[[#This Row],[Time Spent]]*24</f>
        <v>1.8166666666666664</v>
      </c>
      <c r="L2040" s="12">
        <f>MROUND(Combined[[#This Row],[Time Spent 2]],0.25)</f>
        <v>1.75</v>
      </c>
      <c r="M2040" s="2" t="s">
        <v>91</v>
      </c>
      <c r="N2040" t="s">
        <v>80</v>
      </c>
      <c r="O2040">
        <f>MATCH(Combined[[#This Row],[Primary Area]],KPIs!$C$4:$C$7,0)</f>
        <v>2</v>
      </c>
    </row>
    <row r="2041" spans="2:15" x14ac:dyDescent="0.35">
      <c r="B2041">
        <f t="shared" si="525"/>
        <v>2039</v>
      </c>
      <c r="C2041" t="s">
        <v>86</v>
      </c>
      <c r="D2041" t="s">
        <v>176</v>
      </c>
      <c r="E2041">
        <f>IF(WEEKNUM(Combined[[#This Row],[Date]], 1) = 53, 1, WEEKNUM(Combined[[#This Row],[Date]], 2))</f>
        <v>3</v>
      </c>
      <c r="F2041" t="str">
        <f t="shared" si="548"/>
        <v>Friday</v>
      </c>
      <c r="G2041" s="41">
        <v>46038</v>
      </c>
      <c r="H2041">
        <v>1</v>
      </c>
      <c r="I2041" s="1">
        <v>4.7</v>
      </c>
      <c r="J2041" s="2">
        <v>1.5972222222222221E-2</v>
      </c>
      <c r="K2041" s="12">
        <f>Combined[[#This Row],[Time Spent]]*24</f>
        <v>0.3833333333333333</v>
      </c>
      <c r="L2041" s="12">
        <f>MROUND(Combined[[#This Row],[Time Spent 2]],0.25)</f>
        <v>0.5</v>
      </c>
      <c r="M2041" s="2" t="s">
        <v>92</v>
      </c>
      <c r="N2041" t="s">
        <v>80</v>
      </c>
      <c r="O2041">
        <f>MATCH(Combined[[#This Row],[Primary Area]],KPIs!$C$4:$C$7,0)</f>
        <v>2</v>
      </c>
    </row>
    <row r="2042" spans="2:15" x14ac:dyDescent="0.35">
      <c r="B2042">
        <f t="shared" si="525"/>
        <v>2040</v>
      </c>
      <c r="C2042" t="s">
        <v>83</v>
      </c>
      <c r="D2042" t="s">
        <v>175</v>
      </c>
      <c r="E2042">
        <f>IF(WEEKNUM(Combined[[#This Row],[Date]], 1) = 53, 1, WEEKNUM(Combined[[#This Row],[Date]], 2))</f>
        <v>3</v>
      </c>
      <c r="F2042" t="str">
        <f t="shared" ref="F2042:F2043" si="549">TEXT(WEEKDAY(G2042,1),"DDDD")</f>
        <v>Saturday</v>
      </c>
      <c r="G2042" s="41">
        <v>46039</v>
      </c>
      <c r="H2042">
        <v>2</v>
      </c>
      <c r="I2042" s="1">
        <v>18.7</v>
      </c>
      <c r="J2042" s="2">
        <v>4.2361111111111113E-2</v>
      </c>
      <c r="K2042" s="12">
        <f>Combined[[#This Row],[Time Spent]]*24</f>
        <v>1.0166666666666666</v>
      </c>
      <c r="L2042" s="12">
        <f>MROUND(Combined[[#This Row],[Time Spent 2]],0.25)</f>
        <v>1</v>
      </c>
      <c r="M2042" s="2" t="s">
        <v>91</v>
      </c>
      <c r="N2042" t="s">
        <v>82</v>
      </c>
      <c r="O2042">
        <f>MATCH(Combined[[#This Row],[Primary Area]],KPIs!$C$4:$C$7,0)</f>
        <v>3</v>
      </c>
    </row>
    <row r="2043" spans="2:15" x14ac:dyDescent="0.35">
      <c r="B2043">
        <f t="shared" si="525"/>
        <v>2041</v>
      </c>
      <c r="C2043" t="s">
        <v>86</v>
      </c>
      <c r="D2043" t="s">
        <v>175</v>
      </c>
      <c r="E2043">
        <f>IF(WEEKNUM(Combined[[#This Row],[Date]], 1) = 53, 1, WEEKNUM(Combined[[#This Row],[Date]], 2))</f>
        <v>3</v>
      </c>
      <c r="F2043" t="str">
        <f t="shared" si="549"/>
        <v>Saturday</v>
      </c>
      <c r="G2043" s="41">
        <v>46039</v>
      </c>
      <c r="H2043">
        <v>9</v>
      </c>
      <c r="I2043" s="1">
        <v>112.75</v>
      </c>
      <c r="J2043" s="2">
        <v>0.15277777777777779</v>
      </c>
      <c r="K2043" s="12">
        <f>Combined[[#This Row],[Time Spent]]*24</f>
        <v>3.666666666666667</v>
      </c>
      <c r="L2043" s="12">
        <f>MROUND(Combined[[#This Row],[Time Spent 2]],0.25)</f>
        <v>3.75</v>
      </c>
      <c r="M2043" s="2" t="s">
        <v>91</v>
      </c>
      <c r="N2043" t="s">
        <v>82</v>
      </c>
      <c r="O2043">
        <f>MATCH(Combined[[#This Row],[Primary Area]],KPIs!$C$4:$C$7,0)</f>
        <v>3</v>
      </c>
    </row>
    <row r="2044" spans="2:15" x14ac:dyDescent="0.35">
      <c r="B2044">
        <f t="shared" ref="B2044:B2100" si="550">ROW()-2</f>
        <v>2042</v>
      </c>
      <c r="C2044" t="s">
        <v>83</v>
      </c>
      <c r="D2044" t="s">
        <v>175</v>
      </c>
      <c r="E2044">
        <f>IF(WEEKNUM(Combined[[#This Row],[Date]], 1) = 53, 1, WEEKNUM(Combined[[#This Row],[Date]], 2))</f>
        <v>3</v>
      </c>
      <c r="F2044" t="str">
        <f t="shared" ref="F2044" si="551">TEXT(WEEKDAY(G2044,1),"DDDD")</f>
        <v>Sunday</v>
      </c>
      <c r="G2044" s="41">
        <v>46040</v>
      </c>
      <c r="H2044">
        <v>3</v>
      </c>
      <c r="I2044" s="1">
        <v>22.93</v>
      </c>
      <c r="J2044" s="2">
        <v>6.8750000000000006E-2</v>
      </c>
      <c r="K2044" s="12">
        <f>Combined[[#This Row],[Time Spent]]*24</f>
        <v>1.6500000000000001</v>
      </c>
      <c r="L2044" s="12">
        <f>MROUND(Combined[[#This Row],[Time Spent 2]],0.25)</f>
        <v>1.75</v>
      </c>
      <c r="M2044" s="2" t="s">
        <v>91</v>
      </c>
      <c r="N2044" t="s">
        <v>80</v>
      </c>
      <c r="O2044">
        <f>MATCH(Combined[[#This Row],[Primary Area]],KPIs!$C$4:$C$7,0)</f>
        <v>2</v>
      </c>
    </row>
    <row r="2045" spans="2:15" x14ac:dyDescent="0.35">
      <c r="B2045">
        <f t="shared" si="550"/>
        <v>2043</v>
      </c>
      <c r="C2045" t="s">
        <v>83</v>
      </c>
      <c r="D2045" t="s">
        <v>175</v>
      </c>
      <c r="E2045">
        <f>IF(WEEKNUM(Combined[[#This Row],[Date]], 1) = 53, 1, WEEKNUM(Combined[[#This Row],[Date]], 2))</f>
        <v>4</v>
      </c>
      <c r="F2045" t="str">
        <f t="shared" ref="F2045:F2046" si="552">TEXT(WEEKDAY(G2045,1),"DDDD")</f>
        <v>Monday</v>
      </c>
      <c r="G2045" s="41">
        <v>46041</v>
      </c>
      <c r="H2045">
        <v>3</v>
      </c>
      <c r="I2045" s="1">
        <v>46.56</v>
      </c>
      <c r="J2045" s="2">
        <v>8.7499999999999994E-2</v>
      </c>
      <c r="K2045" s="12">
        <f>Combined[[#This Row],[Time Spent]]*24</f>
        <v>2.0999999999999996</v>
      </c>
      <c r="L2045" s="12">
        <f>MROUND(Combined[[#This Row],[Time Spent 2]],0.25)</f>
        <v>2</v>
      </c>
      <c r="M2045" s="2" t="s">
        <v>90</v>
      </c>
      <c r="N2045" t="s">
        <v>85</v>
      </c>
      <c r="O2045">
        <f>MATCH(Combined[[#This Row],[Primary Area]],KPIs!$C$4:$C$7,0)</f>
        <v>4</v>
      </c>
    </row>
    <row r="2046" spans="2:15" x14ac:dyDescent="0.35">
      <c r="B2046">
        <f t="shared" si="550"/>
        <v>2044</v>
      </c>
      <c r="C2046" t="s">
        <v>83</v>
      </c>
      <c r="D2046" t="s">
        <v>176</v>
      </c>
      <c r="E2046">
        <f>IF(WEEKNUM(Combined[[#This Row],[Date]], 1) = 53, 1, WEEKNUM(Combined[[#This Row],[Date]], 2))</f>
        <v>4</v>
      </c>
      <c r="F2046" t="str">
        <f t="shared" si="552"/>
        <v>Monday</v>
      </c>
      <c r="G2046" s="41">
        <v>46041</v>
      </c>
      <c r="H2046">
        <v>3</v>
      </c>
      <c r="I2046" s="1">
        <f>25.11+6.01</f>
        <v>31.119999999999997</v>
      </c>
      <c r="J2046" s="2">
        <f>TIME(1,13,)+TIME(0,24,51)</f>
        <v>6.7951388888888881E-2</v>
      </c>
      <c r="K2046" s="12">
        <f>Combined[[#This Row],[Time Spent]]*24</f>
        <v>1.6308333333333331</v>
      </c>
      <c r="L2046" s="12">
        <f>MROUND(Combined[[#This Row],[Time Spent 2]],0.25)</f>
        <v>1.75</v>
      </c>
      <c r="M2046" s="2" t="s">
        <v>90</v>
      </c>
      <c r="N2046" t="s">
        <v>85</v>
      </c>
      <c r="O2046">
        <f>MATCH(Combined[[#This Row],[Primary Area]],KPIs!$C$4:$C$7,0)</f>
        <v>4</v>
      </c>
    </row>
    <row r="2047" spans="2:15" x14ac:dyDescent="0.35">
      <c r="B2047">
        <f t="shared" si="550"/>
        <v>2045</v>
      </c>
      <c r="C2047" t="s">
        <v>83</v>
      </c>
      <c r="D2047" t="s">
        <v>176</v>
      </c>
      <c r="E2047">
        <f>IF(WEEKNUM(Combined[[#This Row],[Date]], 1) = 53, 1, WEEKNUM(Combined[[#This Row],[Date]], 2))</f>
        <v>4</v>
      </c>
      <c r="F2047" t="str">
        <f t="shared" ref="F2047:F2049" si="553">TEXT(WEEKDAY(G2047,1),"DDDD")</f>
        <v>Saturday</v>
      </c>
      <c r="G2047" s="41">
        <v>46046</v>
      </c>
      <c r="H2047">
        <v>1</v>
      </c>
      <c r="I2047" s="1">
        <v>28.06</v>
      </c>
      <c r="J2047" s="2">
        <v>7.0833333333333331E-2</v>
      </c>
      <c r="K2047" s="12">
        <f>Combined[[#This Row],[Time Spent]]*24</f>
        <v>1.7</v>
      </c>
      <c r="L2047" s="12">
        <f>MROUND(Combined[[#This Row],[Time Spent 2]],0.25)</f>
        <v>1.75</v>
      </c>
      <c r="M2047" s="2" t="s">
        <v>91</v>
      </c>
      <c r="N2047" t="s">
        <v>80</v>
      </c>
      <c r="O2047">
        <f>MATCH(Combined[[#This Row],[Primary Area]],KPIs!$C$4:$C$7,0)</f>
        <v>2</v>
      </c>
    </row>
    <row r="2048" spans="2:15" x14ac:dyDescent="0.35">
      <c r="B2048">
        <f t="shared" si="550"/>
        <v>2046</v>
      </c>
      <c r="C2048" t="s">
        <v>86</v>
      </c>
      <c r="D2048" t="s">
        <v>176</v>
      </c>
      <c r="E2048">
        <f>IF(WEEKNUM(Combined[[#This Row],[Date]], 1) = 53, 1, WEEKNUM(Combined[[#This Row],[Date]], 2))</f>
        <v>4</v>
      </c>
      <c r="F2048" t="str">
        <f t="shared" si="553"/>
        <v>Saturday</v>
      </c>
      <c r="G2048" s="41">
        <v>46046</v>
      </c>
      <c r="H2048">
        <v>1</v>
      </c>
      <c r="I2048" s="1">
        <v>26.25</v>
      </c>
      <c r="J2048" s="2">
        <v>4.2361111111111113E-2</v>
      </c>
      <c r="K2048" s="12">
        <f>Combined[[#This Row],[Time Spent]]*24</f>
        <v>1.0166666666666666</v>
      </c>
      <c r="L2048" s="12">
        <f>MROUND(Combined[[#This Row],[Time Spent 2]],0.25)</f>
        <v>1</v>
      </c>
      <c r="M2048" s="2" t="s">
        <v>91</v>
      </c>
      <c r="N2048" t="s">
        <v>80</v>
      </c>
      <c r="O2048">
        <f>MATCH(Combined[[#This Row],[Primary Area]],KPIs!$C$4:$C$7,0)</f>
        <v>2</v>
      </c>
    </row>
    <row r="2049" spans="2:20" x14ac:dyDescent="0.35">
      <c r="B2049">
        <f t="shared" si="550"/>
        <v>2047</v>
      </c>
      <c r="C2049" t="s">
        <v>86</v>
      </c>
      <c r="D2049" t="s">
        <v>176</v>
      </c>
      <c r="E2049">
        <f>IF(WEEKNUM(Combined[[#This Row],[Date]], 1) = 53, 1, WEEKNUM(Combined[[#This Row],[Date]], 2))</f>
        <v>4</v>
      </c>
      <c r="F2049" t="str">
        <f t="shared" si="553"/>
        <v>Saturday</v>
      </c>
      <c r="G2049" s="41">
        <v>46046</v>
      </c>
      <c r="H2049">
        <v>6</v>
      </c>
      <c r="I2049" s="1">
        <v>56.1</v>
      </c>
      <c r="J2049" s="2">
        <v>0.15763888888888888</v>
      </c>
      <c r="K2049" s="12">
        <f>Combined[[#This Row],[Time Spent]]*24</f>
        <v>3.7833333333333332</v>
      </c>
      <c r="L2049" s="12">
        <f>MROUND(Combined[[#This Row],[Time Spent 2]],0.25)</f>
        <v>3.75</v>
      </c>
      <c r="M2049" s="2" t="s">
        <v>91</v>
      </c>
      <c r="N2049" t="s">
        <v>80</v>
      </c>
      <c r="O2049">
        <f>MATCH(Combined[[#This Row],[Primary Area]],KPIs!$C$4:$C$7,0)</f>
        <v>2</v>
      </c>
    </row>
    <row r="2050" spans="2:20" x14ac:dyDescent="0.35">
      <c r="B2050">
        <f t="shared" si="550"/>
        <v>2048</v>
      </c>
      <c r="C2050" t="s">
        <v>86</v>
      </c>
      <c r="D2050" t="s">
        <v>176</v>
      </c>
      <c r="E2050">
        <f>IF(WEEKNUM(Combined[[#This Row],[Date]], 1) = 53, 1, WEEKNUM(Combined[[#This Row],[Date]], 2))</f>
        <v>5</v>
      </c>
      <c r="F2050" t="str">
        <f>TEXT(WEEKDAY(G2050,1),"DDDD")</f>
        <v>Monday</v>
      </c>
      <c r="G2050" s="41">
        <v>46048</v>
      </c>
      <c r="H2050">
        <v>2</v>
      </c>
      <c r="I2050" s="1">
        <v>21.84</v>
      </c>
      <c r="J2050" s="2">
        <v>5.6944444444444443E-2</v>
      </c>
      <c r="K2050" s="12">
        <f>Combined[[#This Row],[Time Spent]]*24</f>
        <v>1.3666666666666667</v>
      </c>
      <c r="L2050" s="12">
        <f>MROUND(Combined[[#This Row],[Time Spent 2]],0.25)</f>
        <v>1.25</v>
      </c>
      <c r="M2050" s="2" t="s">
        <v>92</v>
      </c>
      <c r="N2050" t="s">
        <v>80</v>
      </c>
      <c r="O2050">
        <f>MATCH(Combined[[#This Row],[Primary Area]],KPIs!$C$4:$C$7,0)</f>
        <v>2</v>
      </c>
    </row>
    <row r="2051" spans="2:20" x14ac:dyDescent="0.35">
      <c r="B2051">
        <f t="shared" si="550"/>
        <v>2049</v>
      </c>
      <c r="C2051" t="s">
        <v>83</v>
      </c>
      <c r="D2051" t="s">
        <v>176</v>
      </c>
      <c r="E2051">
        <f>IF(WEEKNUM(Combined[[#This Row],[Date]], 1) = 53, 1, WEEKNUM(Combined[[#This Row],[Date]], 2))</f>
        <v>5</v>
      </c>
      <c r="F2051" t="str">
        <f t="shared" ref="F2051:F2052" si="554">TEXT(WEEKDAY(G2051,1),"DDDD")</f>
        <v>Sunday</v>
      </c>
      <c r="G2051" s="41">
        <v>46054</v>
      </c>
      <c r="H2051">
        <v>2</v>
      </c>
      <c r="I2051" s="1">
        <v>77.150000000000006</v>
      </c>
      <c r="J2051" s="2">
        <v>8.611111111111111E-2</v>
      </c>
      <c r="K2051" s="12">
        <f>Combined[[#This Row],[Time Spent]]*24</f>
        <v>2.0666666666666664</v>
      </c>
      <c r="L2051" s="12">
        <f>MROUND(Combined[[#This Row],[Time Spent 2]],0.25)</f>
        <v>2</v>
      </c>
      <c r="M2051" s="2" t="s">
        <v>91</v>
      </c>
      <c r="N2051" t="s">
        <v>80</v>
      </c>
      <c r="O2051">
        <f>MATCH(Combined[[#This Row],[Primary Area]],KPIs!$C$4:$C$7,0)</f>
        <v>2</v>
      </c>
    </row>
    <row r="2052" spans="2:20" x14ac:dyDescent="0.35">
      <c r="B2052">
        <f t="shared" si="550"/>
        <v>2050</v>
      </c>
      <c r="C2052" t="s">
        <v>86</v>
      </c>
      <c r="D2052" t="s">
        <v>176</v>
      </c>
      <c r="E2052">
        <f>IF(WEEKNUM(Combined[[#This Row],[Date]], 1) = 53, 1, WEEKNUM(Combined[[#This Row],[Date]], 2))</f>
        <v>5</v>
      </c>
      <c r="F2052" t="str">
        <f t="shared" si="554"/>
        <v>Sunday</v>
      </c>
      <c r="G2052" s="41">
        <v>46054</v>
      </c>
      <c r="H2052">
        <v>5</v>
      </c>
      <c r="I2052" s="1">
        <v>64.599999999999994</v>
      </c>
      <c r="J2052" s="2">
        <v>0.11805555555555555</v>
      </c>
      <c r="K2052" s="12">
        <f>Combined[[#This Row],[Time Spent]]*24</f>
        <v>2.833333333333333</v>
      </c>
      <c r="L2052" s="12">
        <f>MROUND(Combined[[#This Row],[Time Spent 2]],0.25)</f>
        <v>2.75</v>
      </c>
      <c r="M2052" s="2" t="s">
        <v>91</v>
      </c>
      <c r="N2052" t="s">
        <v>80</v>
      </c>
      <c r="O2052">
        <f>MATCH(Combined[[#This Row],[Primary Area]],KPIs!$C$4:$C$7,0)</f>
        <v>2</v>
      </c>
    </row>
    <row r="2053" spans="2:20" x14ac:dyDescent="0.35">
      <c r="B2053">
        <f t="shared" si="550"/>
        <v>2051</v>
      </c>
      <c r="C2053" t="s">
        <v>83</v>
      </c>
      <c r="D2053" t="s">
        <v>175</v>
      </c>
      <c r="E2053">
        <f>IF(WEEKNUM(Combined[[#This Row],[Date]], 1) = 53, 1, WEEKNUM(Combined[[#This Row],[Date]], 2))</f>
        <v>7</v>
      </c>
      <c r="F2053" t="str">
        <f t="shared" ref="F2053:F2055" si="555">TEXT(WEEKDAY(G2053,1),"DDDD")</f>
        <v>Friday</v>
      </c>
      <c r="G2053" s="41">
        <v>46066</v>
      </c>
      <c r="H2053">
        <v>3</v>
      </c>
      <c r="I2053" s="1">
        <v>40.25</v>
      </c>
      <c r="J2053" s="2">
        <v>0.12152777777777778</v>
      </c>
      <c r="K2053" s="12">
        <f>Combined[[#This Row],[Time Spent]]*24</f>
        <v>2.9166666666666665</v>
      </c>
      <c r="L2053" s="12">
        <f>MROUND(Combined[[#This Row],[Time Spent 2]],0.25)</f>
        <v>3</v>
      </c>
      <c r="M2053" s="2" t="s">
        <v>91</v>
      </c>
      <c r="N2053" t="s">
        <v>85</v>
      </c>
      <c r="O2053">
        <f>MATCH(Combined[[#This Row],[Primary Area]],KPIs!$C$4:$C$7,0)</f>
        <v>4</v>
      </c>
    </row>
    <row r="2054" spans="2:20" x14ac:dyDescent="0.35">
      <c r="B2054">
        <f t="shared" si="550"/>
        <v>2052</v>
      </c>
      <c r="C2054" t="s">
        <v>86</v>
      </c>
      <c r="D2054" t="s">
        <v>175</v>
      </c>
      <c r="E2054">
        <f>IF(WEEKNUM(Combined[[#This Row],[Date]], 1) = 53, 1, WEEKNUM(Combined[[#This Row],[Date]], 2))</f>
        <v>7</v>
      </c>
      <c r="F2054" t="str">
        <f t="shared" si="555"/>
        <v>Friday</v>
      </c>
      <c r="G2054" s="41">
        <v>46066</v>
      </c>
      <c r="H2054">
        <v>2</v>
      </c>
      <c r="I2054" s="1">
        <v>26.58</v>
      </c>
      <c r="J2054" s="2">
        <v>7.4999999999999997E-2</v>
      </c>
      <c r="K2054" s="12">
        <f>Combined[[#This Row],[Time Spent]]*24</f>
        <v>1.7999999999999998</v>
      </c>
      <c r="L2054" s="12">
        <f>MROUND(Combined[[#This Row],[Time Spent 2]],0.25)</f>
        <v>1.75</v>
      </c>
      <c r="M2054" s="2" t="s">
        <v>92</v>
      </c>
      <c r="N2054" t="s">
        <v>85</v>
      </c>
      <c r="O2054">
        <f>MATCH(Combined[[#This Row],[Primary Area]],KPIs!$C$4:$C$7,0)</f>
        <v>4</v>
      </c>
    </row>
    <row r="2055" spans="2:20" x14ac:dyDescent="0.35">
      <c r="B2055">
        <f t="shared" si="550"/>
        <v>2053</v>
      </c>
      <c r="C2055" t="s">
        <v>86</v>
      </c>
      <c r="D2055" t="s">
        <v>175</v>
      </c>
      <c r="E2055">
        <f>IF(WEEKNUM(Combined[[#This Row],[Date]], 1) = 53, 1, WEEKNUM(Combined[[#This Row],[Date]], 2))</f>
        <v>7</v>
      </c>
      <c r="F2055" t="str">
        <f t="shared" si="555"/>
        <v>Friday</v>
      </c>
      <c r="G2055" s="41">
        <v>46066</v>
      </c>
      <c r="H2055">
        <v>2</v>
      </c>
      <c r="I2055" s="1">
        <v>17.95</v>
      </c>
      <c r="J2055" s="2">
        <v>3.6805555555555557E-2</v>
      </c>
      <c r="K2055" s="12">
        <f>Combined[[#This Row],[Time Spent]]*24</f>
        <v>0.8833333333333333</v>
      </c>
      <c r="L2055" s="12">
        <f>MROUND(Combined[[#This Row],[Time Spent 2]],0.25)</f>
        <v>1</v>
      </c>
      <c r="M2055" s="2" t="s">
        <v>92</v>
      </c>
      <c r="N2055" t="s">
        <v>85</v>
      </c>
      <c r="O2055">
        <f>MATCH(Combined[[#This Row],[Primary Area]],KPIs!$C$4:$C$7,0)</f>
        <v>4</v>
      </c>
    </row>
    <row r="2056" spans="2:20" x14ac:dyDescent="0.35">
      <c r="B2056">
        <f t="shared" si="550"/>
        <v>2054</v>
      </c>
      <c r="C2056" t="s">
        <v>83</v>
      </c>
      <c r="D2056" t="s">
        <v>176</v>
      </c>
      <c r="E2056">
        <f>IF(WEEKNUM(Combined[[#This Row],[Date]], 1) = 53, 1, WEEKNUM(Combined[[#This Row],[Date]], 2))</f>
        <v>7</v>
      </c>
      <c r="F2056" t="str">
        <f t="shared" ref="F2056" si="556">TEXT(WEEKDAY(G2056,1),"DDDD")</f>
        <v>Saturday</v>
      </c>
      <c r="G2056" s="41">
        <v>46067</v>
      </c>
      <c r="H2056">
        <v>3</v>
      </c>
      <c r="I2056" s="1">
        <v>60.17</v>
      </c>
      <c r="J2056" s="2">
        <v>0.15416666666666667</v>
      </c>
      <c r="K2056" s="12">
        <f>Combined[[#This Row],[Time Spent]]*24</f>
        <v>3.7</v>
      </c>
      <c r="L2056" s="12">
        <f>MROUND(Combined[[#This Row],[Time Spent 2]],0.25)</f>
        <v>3.75</v>
      </c>
      <c r="M2056" s="2" t="s">
        <v>92</v>
      </c>
      <c r="N2056" t="s">
        <v>80</v>
      </c>
      <c r="O2056">
        <f>MATCH(Combined[[#This Row],[Primary Area]],KPIs!$C$4:$C$7,0)</f>
        <v>2</v>
      </c>
    </row>
    <row r="2057" spans="2:20" x14ac:dyDescent="0.35">
      <c r="B2057">
        <f t="shared" si="550"/>
        <v>2055</v>
      </c>
      <c r="C2057" t="s">
        <v>83</v>
      </c>
      <c r="D2057" t="s">
        <v>176</v>
      </c>
      <c r="E2057">
        <f>IF(WEEKNUM(Combined[[#This Row],[Date]], 1) = 53, 1, WEEKNUM(Combined[[#This Row],[Date]], 2))</f>
        <v>8</v>
      </c>
      <c r="F2057" t="str">
        <f t="shared" ref="F2057:F2058" si="557">TEXT(WEEKDAY(G2057,1),"DDDD")</f>
        <v>Friday</v>
      </c>
      <c r="G2057" s="41">
        <v>46073</v>
      </c>
      <c r="H2057">
        <v>5</v>
      </c>
      <c r="I2057" s="1">
        <v>135.77000000000001</v>
      </c>
      <c r="J2057" s="2">
        <v>0.11874999999999999</v>
      </c>
      <c r="K2057" s="12">
        <f>Combined[[#This Row],[Time Spent]]*24</f>
        <v>2.8499999999999996</v>
      </c>
      <c r="L2057" s="12">
        <f>MROUND(Combined[[#This Row],[Time Spent 2]],0.25)</f>
        <v>2.75</v>
      </c>
      <c r="M2057" s="2" t="s">
        <v>91</v>
      </c>
      <c r="N2057" t="s">
        <v>80</v>
      </c>
      <c r="O2057">
        <f>MATCH(Combined[[#This Row],[Primary Area]],KPIs!$C$4:$C$7,0)</f>
        <v>2</v>
      </c>
    </row>
    <row r="2058" spans="2:20" x14ac:dyDescent="0.35">
      <c r="B2058">
        <f t="shared" si="550"/>
        <v>2056</v>
      </c>
      <c r="C2058" t="s">
        <v>86</v>
      </c>
      <c r="D2058" t="s">
        <v>176</v>
      </c>
      <c r="E2058">
        <f>IF(WEEKNUM(Combined[[#This Row],[Date]], 1) = 53, 1, WEEKNUM(Combined[[#This Row],[Date]], 2))</f>
        <v>8</v>
      </c>
      <c r="F2058" t="str">
        <f t="shared" si="557"/>
        <v>Friday</v>
      </c>
      <c r="G2058" s="41">
        <v>46073</v>
      </c>
      <c r="H2058">
        <v>4</v>
      </c>
      <c r="I2058" s="1">
        <v>33.25</v>
      </c>
      <c r="J2058" s="2">
        <v>8.3333333333333329E-2</v>
      </c>
      <c r="K2058" s="12">
        <f>Combined[[#This Row],[Time Spent]]*24</f>
        <v>2</v>
      </c>
      <c r="L2058" s="12">
        <f>MROUND(Combined[[#This Row],[Time Spent 2]],0.25)</f>
        <v>2</v>
      </c>
      <c r="M2058" s="2" t="s">
        <v>92</v>
      </c>
      <c r="N2058" t="s">
        <v>80</v>
      </c>
      <c r="O2058">
        <f>MATCH(Combined[[#This Row],[Primary Area]],KPIs!$C$4:$C$7,0)</f>
        <v>2</v>
      </c>
    </row>
    <row r="2059" spans="2:20" x14ac:dyDescent="0.35">
      <c r="B2059">
        <f t="shared" si="550"/>
        <v>2057</v>
      </c>
      <c r="C2059" t="s">
        <v>83</v>
      </c>
      <c r="D2059" t="s">
        <v>176</v>
      </c>
      <c r="E2059">
        <f>IF(WEEKNUM(Combined[[#This Row],[Date]], 1) = 53, 1, WEEKNUM(Combined[[#This Row],[Date]], 2))</f>
        <v>8</v>
      </c>
      <c r="F2059" t="str">
        <f t="shared" ref="F2059:F2060" si="558">TEXT(WEEKDAY(G2059,1),"DDDD")</f>
        <v>Saturday</v>
      </c>
      <c r="G2059" s="41">
        <v>46074</v>
      </c>
      <c r="H2059">
        <v>10</v>
      </c>
      <c r="I2059" s="1">
        <v>197.22</v>
      </c>
      <c r="J2059" s="2">
        <v>0.2076388888888889</v>
      </c>
      <c r="K2059" s="12">
        <f>Combined[[#This Row],[Time Spent]]*24</f>
        <v>4.9833333333333334</v>
      </c>
      <c r="L2059" s="12">
        <f>MROUND(Combined[[#This Row],[Time Spent 2]],0.25)</f>
        <v>5</v>
      </c>
      <c r="M2059" s="2" t="s">
        <v>91</v>
      </c>
      <c r="N2059" t="s">
        <v>80</v>
      </c>
      <c r="O2059">
        <f>MATCH(Combined[[#This Row],[Primary Area]],KPIs!$C$4:$C$7,0)</f>
        <v>2</v>
      </c>
    </row>
    <row r="2060" spans="2:20" x14ac:dyDescent="0.35">
      <c r="B2060">
        <f t="shared" si="550"/>
        <v>2058</v>
      </c>
      <c r="C2060" t="s">
        <v>86</v>
      </c>
      <c r="D2060" t="s">
        <v>176</v>
      </c>
      <c r="E2060">
        <f>IF(WEEKNUM(Combined[[#This Row],[Date]], 1) = 53, 1, WEEKNUM(Combined[[#This Row],[Date]], 2))</f>
        <v>10</v>
      </c>
      <c r="F2060" t="str">
        <f t="shared" si="558"/>
        <v>Monday</v>
      </c>
      <c r="G2060" s="41">
        <v>46083</v>
      </c>
      <c r="H2060">
        <v>10</v>
      </c>
      <c r="I2060" s="1">
        <v>127.19</v>
      </c>
      <c r="J2060" s="2">
        <v>0.20208333333333334</v>
      </c>
      <c r="K2060" s="12">
        <f>Combined[[#This Row],[Time Spent]]*24</f>
        <v>4.8499999999999996</v>
      </c>
      <c r="L2060" s="12">
        <f>MROUND(Combined[[#This Row],[Time Spent 2]],0.25)</f>
        <v>4.75</v>
      </c>
      <c r="M2060" s="2" t="s">
        <v>91</v>
      </c>
      <c r="N2060" t="s">
        <v>80</v>
      </c>
      <c r="O2060">
        <f>MATCH(Combined[[#This Row],[Primary Area]],KPIs!$C$4:$C$7,0)</f>
        <v>2</v>
      </c>
    </row>
    <row r="2061" spans="2:20" x14ac:dyDescent="0.35">
      <c r="B2061">
        <f t="shared" si="550"/>
        <v>2059</v>
      </c>
      <c r="C2061" t="s">
        <v>86</v>
      </c>
      <c r="D2061" t="s">
        <v>176</v>
      </c>
      <c r="E2061">
        <f>IF(WEEKNUM(Combined[[#This Row],[Date]], 1) = 53, 1, WEEKNUM(Combined[[#This Row],[Date]], 2))</f>
        <v>10</v>
      </c>
      <c r="F2061" t="str">
        <f t="shared" ref="F2061" si="559">TEXT(WEEKDAY(G2061,1),"DDDD")</f>
        <v>Tuesday</v>
      </c>
      <c r="G2061" s="41">
        <v>46084</v>
      </c>
      <c r="H2061">
        <v>8</v>
      </c>
      <c r="I2061" s="1">
        <v>49.5</v>
      </c>
      <c r="J2061" s="2">
        <v>9.7222222222222224E-2</v>
      </c>
      <c r="K2061" s="12">
        <f>Combined[[#This Row],[Time Spent]]*24</f>
        <v>2.3333333333333335</v>
      </c>
      <c r="L2061" s="12">
        <f>MROUND(Combined[[#This Row],[Time Spent 2]],0.25)</f>
        <v>2.25</v>
      </c>
      <c r="M2061" s="2" t="s">
        <v>92</v>
      </c>
      <c r="N2061" t="s">
        <v>82</v>
      </c>
      <c r="O2061">
        <f>MATCH(Combined[[#This Row],[Primary Area]],KPIs!$C$4:$C$7,0)</f>
        <v>3</v>
      </c>
    </row>
    <row r="2062" spans="2:20" x14ac:dyDescent="0.35">
      <c r="B2062">
        <f t="shared" si="550"/>
        <v>2060</v>
      </c>
      <c r="C2062" t="s">
        <v>83</v>
      </c>
      <c r="D2062" t="s">
        <v>175</v>
      </c>
      <c r="E2062">
        <f>IF(WEEKNUM(Combined[[#This Row],[Date]], 1) = 53, 1, WEEKNUM(Combined[[#This Row],[Date]], 2))</f>
        <v>10</v>
      </c>
      <c r="F2062" t="str">
        <f t="shared" ref="F2062:F2063" si="560">TEXT(WEEKDAY(G2062,1),"DDDD")</f>
        <v>Friday</v>
      </c>
      <c r="G2062" s="41">
        <v>46087</v>
      </c>
      <c r="H2062">
        <v>3</v>
      </c>
      <c r="I2062" s="1">
        <v>50.97</v>
      </c>
      <c r="J2062" s="2">
        <v>6.9444444444444448E-2</v>
      </c>
      <c r="K2062" s="12">
        <f>Combined[[#This Row],[Time Spent]]*24</f>
        <v>1.6666666666666667</v>
      </c>
      <c r="L2062" s="12">
        <f>MROUND(Combined[[#This Row],[Time Spent 2]],0.25)</f>
        <v>1.75</v>
      </c>
      <c r="M2062" s="2" t="s">
        <v>91</v>
      </c>
      <c r="N2062" t="s">
        <v>80</v>
      </c>
      <c r="O2062">
        <f>MATCH(Combined[[#This Row],[Primary Area]],KPIs!$C$4:$C$7,0)</f>
        <v>2</v>
      </c>
    </row>
    <row r="2063" spans="2:20" x14ac:dyDescent="0.35">
      <c r="B2063">
        <f t="shared" si="550"/>
        <v>2061</v>
      </c>
      <c r="C2063" t="s">
        <v>86</v>
      </c>
      <c r="D2063" t="s">
        <v>176</v>
      </c>
      <c r="E2063">
        <f>IF(WEEKNUM(Combined[[#This Row],[Date]], 1) = 53, 1, WEEKNUM(Combined[[#This Row],[Date]], 2))</f>
        <v>10</v>
      </c>
      <c r="F2063" t="str">
        <f t="shared" si="560"/>
        <v>Friday</v>
      </c>
      <c r="G2063" s="41">
        <v>46087</v>
      </c>
      <c r="H2063">
        <v>4</v>
      </c>
      <c r="I2063" s="1">
        <v>29.25</v>
      </c>
      <c r="J2063" s="2">
        <v>4.9305555555555554E-2</v>
      </c>
      <c r="K2063" s="12">
        <f>Combined[[#This Row],[Time Spent]]*24</f>
        <v>1.1833333333333333</v>
      </c>
      <c r="L2063" s="12">
        <f>MROUND(Combined[[#This Row],[Time Spent 2]],0.25)</f>
        <v>1.25</v>
      </c>
      <c r="M2063" s="2" t="s">
        <v>91</v>
      </c>
      <c r="N2063" t="s">
        <v>80</v>
      </c>
      <c r="O2063">
        <f>MATCH(Combined[[#This Row],[Primary Area]],KPIs!$C$4:$C$7,0)</f>
        <v>2</v>
      </c>
      <c r="T2063" s="105"/>
    </row>
    <row r="2064" spans="2:20" x14ac:dyDescent="0.35">
      <c r="B2064">
        <f t="shared" si="550"/>
        <v>2062</v>
      </c>
      <c r="C2064" t="s">
        <v>83</v>
      </c>
      <c r="D2064" t="s">
        <v>176</v>
      </c>
      <c r="E2064">
        <f>IF(WEEKNUM(Combined[[#This Row],[Date]], 1) = 53, 1, WEEKNUM(Combined[[#This Row],[Date]], 2))</f>
        <v>11</v>
      </c>
      <c r="F2064" t="str">
        <f t="shared" ref="F2064:F2065" si="561">TEXT(WEEKDAY(G2064,1),"DDDD")</f>
        <v>Tuesday</v>
      </c>
      <c r="G2064" s="41">
        <v>46091</v>
      </c>
      <c r="H2064">
        <v>4</v>
      </c>
      <c r="I2064" s="1">
        <v>116.3</v>
      </c>
      <c r="J2064" s="2">
        <v>0.13055555555555556</v>
      </c>
      <c r="K2064" s="12">
        <f>Combined[[#This Row],[Time Spent]]*24</f>
        <v>3.1333333333333337</v>
      </c>
      <c r="L2064" s="12">
        <f>MROUND(Combined[[#This Row],[Time Spent 2]],0.25)</f>
        <v>3.25</v>
      </c>
      <c r="M2064" s="2" t="s">
        <v>91</v>
      </c>
      <c r="N2064" t="s">
        <v>85</v>
      </c>
      <c r="O2064">
        <f>MATCH(Combined[[#This Row],[Primary Area]],KPIs!$C$4:$C$7,0)</f>
        <v>4</v>
      </c>
    </row>
    <row r="2065" spans="2:15" x14ac:dyDescent="0.35">
      <c r="B2065">
        <f t="shared" si="550"/>
        <v>2063</v>
      </c>
      <c r="C2065" t="s">
        <v>86</v>
      </c>
      <c r="D2065" t="s">
        <v>176</v>
      </c>
      <c r="E2065">
        <f>IF(WEEKNUM(Combined[[#This Row],[Date]], 1) = 53, 1, WEEKNUM(Combined[[#This Row],[Date]], 2))</f>
        <v>11</v>
      </c>
      <c r="F2065" t="str">
        <f t="shared" si="561"/>
        <v>Tuesday</v>
      </c>
      <c r="G2065" s="41">
        <v>46091</v>
      </c>
      <c r="H2065">
        <v>2</v>
      </c>
      <c r="I2065" s="1">
        <v>18.04</v>
      </c>
      <c r="J2065" s="2">
        <v>8.611111111111111E-2</v>
      </c>
      <c r="K2065" s="12">
        <f>Combined[[#This Row],[Time Spent]]*24</f>
        <v>2.0666666666666664</v>
      </c>
      <c r="L2065" s="12">
        <f>MROUND(Combined[[#This Row],[Time Spent 2]],0.25)</f>
        <v>2</v>
      </c>
      <c r="M2065" s="2" t="s">
        <v>91</v>
      </c>
      <c r="N2065" t="s">
        <v>85</v>
      </c>
      <c r="O2065">
        <f>MATCH(Combined[[#This Row],[Primary Area]],KPIs!$C$4:$C$7,0)</f>
        <v>4</v>
      </c>
    </row>
    <row r="2066" spans="2:15" x14ac:dyDescent="0.35">
      <c r="B2066">
        <f t="shared" si="550"/>
        <v>2064</v>
      </c>
      <c r="C2066" t="s">
        <v>83</v>
      </c>
      <c r="D2066" t="s">
        <v>175</v>
      </c>
      <c r="E2066">
        <f>IF(WEEKNUM(Combined[[#This Row],[Date]], 1) = 53, 1, WEEKNUM(Combined[[#This Row],[Date]], 2))</f>
        <v>11</v>
      </c>
      <c r="F2066" t="str">
        <f t="shared" ref="F2066:F2068" si="562">TEXT(WEEKDAY(G2066,1),"DDDD")</f>
        <v>Friday</v>
      </c>
      <c r="G2066" s="41">
        <v>46094</v>
      </c>
      <c r="H2066">
        <v>2</v>
      </c>
      <c r="I2066" s="1">
        <v>46.22</v>
      </c>
      <c r="J2066" s="2">
        <v>0.12430555555555556</v>
      </c>
      <c r="K2066" s="12">
        <f>Combined[[#This Row],[Time Spent]]*24</f>
        <v>2.9833333333333334</v>
      </c>
      <c r="L2066" s="12">
        <f>MROUND(Combined[[#This Row],[Time Spent 2]],0.25)</f>
        <v>3</v>
      </c>
      <c r="M2066" s="2" t="s">
        <v>91</v>
      </c>
      <c r="N2066" t="s">
        <v>80</v>
      </c>
      <c r="O2066">
        <f>MATCH(Combined[[#This Row],[Primary Area]],KPIs!$C$4:$C$7,0)</f>
        <v>2</v>
      </c>
    </row>
    <row r="2067" spans="2:15" x14ac:dyDescent="0.35">
      <c r="B2067">
        <f t="shared" si="550"/>
        <v>2065</v>
      </c>
      <c r="C2067" t="s">
        <v>86</v>
      </c>
      <c r="D2067" t="s">
        <v>175</v>
      </c>
      <c r="E2067">
        <f>IF(WEEKNUM(Combined[[#This Row],[Date]], 1) = 53, 1, WEEKNUM(Combined[[#This Row],[Date]], 2))</f>
        <v>11</v>
      </c>
      <c r="F2067" t="str">
        <f t="shared" si="562"/>
        <v>Friday</v>
      </c>
      <c r="G2067" s="41">
        <v>46094</v>
      </c>
      <c r="H2067">
        <v>1</v>
      </c>
      <c r="I2067" s="1">
        <v>24.29</v>
      </c>
      <c r="J2067" s="2">
        <v>4.2361111111111113E-2</v>
      </c>
      <c r="K2067" s="12">
        <f>Combined[[#This Row],[Time Spent]]*24</f>
        <v>1.0166666666666666</v>
      </c>
      <c r="L2067" s="12">
        <f>MROUND(Combined[[#This Row],[Time Spent 2]],0.25)</f>
        <v>1</v>
      </c>
      <c r="M2067" s="2" t="s">
        <v>91</v>
      </c>
      <c r="N2067" t="s">
        <v>80</v>
      </c>
      <c r="O2067">
        <f>MATCH(Combined[[#This Row],[Primary Area]],KPIs!$C$4:$C$7,0)</f>
        <v>2</v>
      </c>
    </row>
    <row r="2068" spans="2:15" x14ac:dyDescent="0.35">
      <c r="B2068">
        <f t="shared" si="550"/>
        <v>2066</v>
      </c>
      <c r="C2068" t="s">
        <v>86</v>
      </c>
      <c r="D2068" t="s">
        <v>176</v>
      </c>
      <c r="E2068">
        <f>IF(WEEKNUM(Combined[[#This Row],[Date]], 1) = 53, 1, WEEKNUM(Combined[[#This Row],[Date]], 2))</f>
        <v>11</v>
      </c>
      <c r="F2068" t="str">
        <f t="shared" si="562"/>
        <v>Friday</v>
      </c>
      <c r="G2068" s="41">
        <v>46094</v>
      </c>
      <c r="H2068">
        <v>3</v>
      </c>
      <c r="I2068" s="1">
        <v>25.95</v>
      </c>
      <c r="J2068" s="2">
        <v>8.8888888888888892E-2</v>
      </c>
      <c r="K2068" s="12">
        <f>Combined[[#This Row],[Time Spent]]*24</f>
        <v>2.1333333333333333</v>
      </c>
      <c r="L2068" s="12">
        <f>MROUND(Combined[[#This Row],[Time Spent 2]],0.25)</f>
        <v>2.25</v>
      </c>
      <c r="M2068" s="2" t="s">
        <v>92</v>
      </c>
      <c r="N2068" t="s">
        <v>80</v>
      </c>
      <c r="O2068">
        <f>MATCH(Combined[[#This Row],[Primary Area]],KPIs!$C$4:$C$7,0)</f>
        <v>2</v>
      </c>
    </row>
    <row r="2069" spans="2:15" x14ac:dyDescent="0.35">
      <c r="B2069">
        <f t="shared" si="550"/>
        <v>2067</v>
      </c>
      <c r="C2069" t="s">
        <v>83</v>
      </c>
      <c r="D2069" t="s">
        <v>176</v>
      </c>
      <c r="E2069">
        <f>IF(WEEKNUM(Combined[[#This Row],[Date]], 1) = 53, 1, WEEKNUM(Combined[[#This Row],[Date]], 2))</f>
        <v>12</v>
      </c>
      <c r="F2069" t="str">
        <f t="shared" ref="F2069:F2070" si="563">TEXT(WEEKDAY(G2069,1),"DDDD")</f>
        <v>Tuesday</v>
      </c>
      <c r="G2069" s="41">
        <v>46098</v>
      </c>
      <c r="H2069">
        <v>2</v>
      </c>
      <c r="I2069" s="1">
        <v>42.97</v>
      </c>
      <c r="J2069" s="2">
        <v>0.11736111111111111</v>
      </c>
      <c r="K2069" s="12">
        <f>Combined[[#This Row],[Time Spent]]*24</f>
        <v>2.8166666666666664</v>
      </c>
      <c r="L2069" s="12">
        <f>MROUND(Combined[[#This Row],[Time Spent 2]],0.25)</f>
        <v>2.75</v>
      </c>
      <c r="M2069" s="2" t="s">
        <v>92</v>
      </c>
      <c r="N2069" t="s">
        <v>80</v>
      </c>
      <c r="O2069">
        <f>MATCH(Combined[[#This Row],[Primary Area]],KPIs!$C$4:$C$7,0)</f>
        <v>2</v>
      </c>
    </row>
    <row r="2070" spans="2:15" x14ac:dyDescent="0.35">
      <c r="B2070">
        <f t="shared" si="550"/>
        <v>2068</v>
      </c>
      <c r="C2070" t="s">
        <v>86</v>
      </c>
      <c r="D2070" t="s">
        <v>176</v>
      </c>
      <c r="E2070">
        <f>IF(WEEKNUM(Combined[[#This Row],[Date]], 1) = 53, 1, WEEKNUM(Combined[[#This Row],[Date]], 2))</f>
        <v>12</v>
      </c>
      <c r="F2070" t="str">
        <f t="shared" si="563"/>
        <v>Tuesday</v>
      </c>
      <c r="G2070" s="41">
        <v>46098</v>
      </c>
      <c r="H2070">
        <v>2</v>
      </c>
      <c r="I2070" s="1">
        <v>29.1</v>
      </c>
      <c r="J2070" s="2">
        <v>0.15347222222222223</v>
      </c>
      <c r="K2070" s="12">
        <f>Combined[[#This Row],[Time Spent]]*24</f>
        <v>3.6833333333333336</v>
      </c>
      <c r="L2070" s="12">
        <f>MROUND(Combined[[#This Row],[Time Spent 2]],0.25)</f>
        <v>3.75</v>
      </c>
      <c r="M2070" s="2" t="s">
        <v>92</v>
      </c>
      <c r="N2070" t="s">
        <v>80</v>
      </c>
      <c r="O2070">
        <f>MATCH(Combined[[#This Row],[Primary Area]],KPIs!$C$4:$C$7,0)</f>
        <v>2</v>
      </c>
    </row>
    <row r="2071" spans="2:15" x14ac:dyDescent="0.35">
      <c r="B2071">
        <f t="shared" si="550"/>
        <v>2069</v>
      </c>
      <c r="C2071" t="s">
        <v>83</v>
      </c>
      <c r="D2071" t="s">
        <v>175</v>
      </c>
      <c r="E2071">
        <f>IF(WEEKNUM(Combined[[#This Row],[Date]], 1) = 53, 1, WEEKNUM(Combined[[#This Row],[Date]], 2))</f>
        <v>13</v>
      </c>
      <c r="F2071" t="str">
        <f t="shared" ref="F2071:F2074" si="564">TEXT(WEEKDAY(G2071,1),"DDDD")</f>
        <v>Wednesday</v>
      </c>
      <c r="G2071" s="41">
        <v>46106</v>
      </c>
      <c r="H2071">
        <v>3</v>
      </c>
      <c r="I2071" s="1">
        <v>41.61</v>
      </c>
      <c r="J2071" s="2">
        <v>0.11319444444444444</v>
      </c>
      <c r="K2071" s="12">
        <f>Combined[[#This Row],[Time Spent]]*24</f>
        <v>2.7166666666666668</v>
      </c>
      <c r="L2071" s="12">
        <f>MROUND(Combined[[#This Row],[Time Spent 2]],0.25)</f>
        <v>2.75</v>
      </c>
      <c r="M2071" s="2" t="s">
        <v>91</v>
      </c>
      <c r="N2071" t="s">
        <v>80</v>
      </c>
      <c r="O2071">
        <f>MATCH(Combined[[#This Row],[Primary Area]],KPIs!$C$4:$C$7,0)</f>
        <v>2</v>
      </c>
    </row>
    <row r="2072" spans="2:15" x14ac:dyDescent="0.35">
      <c r="B2072">
        <f t="shared" si="550"/>
        <v>2070</v>
      </c>
      <c r="C2072" t="s">
        <v>86</v>
      </c>
      <c r="D2072" t="s">
        <v>175</v>
      </c>
      <c r="E2072">
        <f>IF(WEEKNUM(Combined[[#This Row],[Date]], 1) = 53, 1, WEEKNUM(Combined[[#This Row],[Date]], 2))</f>
        <v>13</v>
      </c>
      <c r="F2072" t="str">
        <f t="shared" si="564"/>
        <v>Wednesday</v>
      </c>
      <c r="G2072" s="41">
        <v>46106</v>
      </c>
      <c r="H2072">
        <v>1</v>
      </c>
      <c r="I2072" s="1">
        <v>11.99</v>
      </c>
      <c r="J2072" s="2">
        <v>5.7638888888888892E-2</v>
      </c>
      <c r="K2072" s="12">
        <f>Combined[[#This Row],[Time Spent]]*24</f>
        <v>1.3833333333333333</v>
      </c>
      <c r="L2072" s="12">
        <f>MROUND(Combined[[#This Row],[Time Spent 2]],0.25)</f>
        <v>1.5</v>
      </c>
      <c r="M2072" s="2" t="s">
        <v>91</v>
      </c>
      <c r="N2072" t="s">
        <v>80</v>
      </c>
      <c r="O2072">
        <f>MATCH(Combined[[#This Row],[Primary Area]],KPIs!$C$4:$C$7,0)</f>
        <v>2</v>
      </c>
    </row>
    <row r="2073" spans="2:15" x14ac:dyDescent="0.35">
      <c r="B2073">
        <f t="shared" si="550"/>
        <v>2071</v>
      </c>
      <c r="C2073" t="s">
        <v>86</v>
      </c>
      <c r="D2073" t="s">
        <v>176</v>
      </c>
      <c r="E2073">
        <f>IF(WEEKNUM(Combined[[#This Row],[Date]], 1) = 53, 1, WEEKNUM(Combined[[#This Row],[Date]], 2))</f>
        <v>13</v>
      </c>
      <c r="F2073" t="str">
        <f t="shared" si="564"/>
        <v>Wednesday</v>
      </c>
      <c r="G2073" s="41">
        <v>46106</v>
      </c>
      <c r="H2073">
        <v>3</v>
      </c>
      <c r="I2073" s="1">
        <v>61.13</v>
      </c>
      <c r="J2073" s="2">
        <v>0.10347222222222222</v>
      </c>
      <c r="K2073" s="12">
        <f>Combined[[#This Row],[Time Spent]]*24</f>
        <v>2.4833333333333334</v>
      </c>
      <c r="L2073" s="12">
        <f>MROUND(Combined[[#This Row],[Time Spent 2]],0.25)</f>
        <v>2.5</v>
      </c>
      <c r="M2073" s="2" t="s">
        <v>91</v>
      </c>
      <c r="N2073" t="s">
        <v>80</v>
      </c>
      <c r="O2073">
        <f>MATCH(Combined[[#This Row],[Primary Area]],KPIs!$C$4:$C$7,0)</f>
        <v>2</v>
      </c>
    </row>
    <row r="2074" spans="2:15" x14ac:dyDescent="0.35">
      <c r="B2074">
        <f t="shared" si="550"/>
        <v>2072</v>
      </c>
      <c r="C2074" t="s">
        <v>83</v>
      </c>
      <c r="D2074" t="s">
        <v>175</v>
      </c>
      <c r="E2074">
        <f>IF(WEEKNUM(Combined[[#This Row],[Date]], 1) = 53, 1, WEEKNUM(Combined[[#This Row],[Date]], 2))</f>
        <v>13</v>
      </c>
      <c r="F2074" t="str">
        <f t="shared" si="564"/>
        <v>Thursday</v>
      </c>
      <c r="G2074" s="41">
        <v>46107</v>
      </c>
      <c r="H2074">
        <v>7</v>
      </c>
      <c r="I2074" s="1">
        <v>81.8</v>
      </c>
      <c r="J2074" s="2">
        <v>0.15416666666666667</v>
      </c>
      <c r="K2074" s="12">
        <f>Combined[[#This Row],[Time Spent]]*24</f>
        <v>3.7</v>
      </c>
      <c r="L2074" s="12">
        <f>MROUND(Combined[[#This Row],[Time Spent 2]],0.25)</f>
        <v>3.75</v>
      </c>
      <c r="M2074" s="2" t="s">
        <v>91</v>
      </c>
      <c r="N2074" t="s">
        <v>80</v>
      </c>
      <c r="O2074">
        <f>MATCH(Combined[[#This Row],[Primary Area]],KPIs!$C$4:$C$7,0)</f>
        <v>2</v>
      </c>
    </row>
    <row r="2075" spans="2:15" x14ac:dyDescent="0.35">
      <c r="B2075">
        <f t="shared" si="550"/>
        <v>2073</v>
      </c>
      <c r="C2075" t="s">
        <v>86</v>
      </c>
      <c r="D2075" t="s">
        <v>176</v>
      </c>
      <c r="E2075">
        <f>IF(WEEKNUM(Combined[[#This Row],[Date]], 1) = 53, 1, WEEKNUM(Combined[[#This Row],[Date]], 2))</f>
        <v>13</v>
      </c>
      <c r="F2075" t="str">
        <f t="shared" ref="F2075" si="565">TEXT(WEEKDAY(G2075,1),"DDDD")</f>
        <v>Thursday</v>
      </c>
      <c r="G2075" s="41">
        <v>46107</v>
      </c>
      <c r="H2075">
        <v>1</v>
      </c>
      <c r="I2075" s="1">
        <v>17.5</v>
      </c>
      <c r="J2075" s="2">
        <v>2.7083333333333334E-2</v>
      </c>
      <c r="K2075" s="12">
        <f>Combined[[#This Row],[Time Spent]]*24</f>
        <v>0.65</v>
      </c>
      <c r="L2075" s="12">
        <f>MROUND(Combined[[#This Row],[Time Spent 2]],0.25)</f>
        <v>0.75</v>
      </c>
      <c r="M2075" s="2" t="s">
        <v>92</v>
      </c>
      <c r="N2075" t="s">
        <v>80</v>
      </c>
      <c r="O2075">
        <f>MATCH(Combined[[#This Row],[Primary Area]],KPIs!$C$4:$C$7,0)</f>
        <v>2</v>
      </c>
    </row>
    <row r="2076" spans="2:15" x14ac:dyDescent="0.35">
      <c r="B2076">
        <f t="shared" si="550"/>
        <v>2074</v>
      </c>
      <c r="C2076" t="s">
        <v>86</v>
      </c>
      <c r="D2076" t="s">
        <v>175</v>
      </c>
      <c r="E2076">
        <f>IF(WEEKNUM(Combined[[#This Row],[Date]], 1) = 53, 1, WEEKNUM(Combined[[#This Row],[Date]], 2))</f>
        <v>16</v>
      </c>
      <c r="F2076" t="str">
        <f>TEXT(WEEKDAY(G2076,1),"DDDD")</f>
        <v>Tuesday</v>
      </c>
      <c r="G2076" s="41">
        <v>46126</v>
      </c>
      <c r="H2076">
        <v>8</v>
      </c>
      <c r="I2076" s="1">
        <v>56.55</v>
      </c>
      <c r="J2076" s="2">
        <v>0.12638888888888888</v>
      </c>
      <c r="K2076" s="12">
        <f>Combined[[#This Row],[Time Spent]]*24</f>
        <v>3.0333333333333332</v>
      </c>
      <c r="L2076" s="12">
        <f>MROUND(Combined[[#This Row],[Time Spent 2]],0.25)</f>
        <v>3</v>
      </c>
      <c r="M2076" s="2" t="s">
        <v>92</v>
      </c>
      <c r="N2076" t="s">
        <v>80</v>
      </c>
      <c r="O2076">
        <f>MATCH(Combined[[#This Row],[Primary Area]],KPIs!$C$4:$C$7,0)</f>
        <v>2</v>
      </c>
    </row>
    <row r="2077" spans="2:15" x14ac:dyDescent="0.35">
      <c r="B2077">
        <f t="shared" si="550"/>
        <v>2075</v>
      </c>
      <c r="C2077" t="s">
        <v>83</v>
      </c>
      <c r="D2077" t="s">
        <v>176</v>
      </c>
      <c r="E2077">
        <f>IF(WEEKNUM(Combined[[#This Row],[Date]], 1) = 53, 1, WEEKNUM(Combined[[#This Row],[Date]], 2))</f>
        <v>17</v>
      </c>
      <c r="F2077" t="str">
        <f t="shared" ref="F2077:F2078" si="566">TEXT(WEEKDAY(G2077,1),"DDDD")</f>
        <v>Wednesday</v>
      </c>
      <c r="G2077" s="41">
        <v>46134</v>
      </c>
      <c r="H2077">
        <v>5</v>
      </c>
      <c r="I2077" s="1">
        <v>180.98</v>
      </c>
      <c r="J2077" s="2">
        <v>0.14305555555555555</v>
      </c>
      <c r="K2077" s="12">
        <f>Combined[[#This Row],[Time Spent]]*24</f>
        <v>3.4333333333333331</v>
      </c>
      <c r="L2077" s="12">
        <f>MROUND(Combined[[#This Row],[Time Spent 2]],0.25)</f>
        <v>3.5</v>
      </c>
      <c r="M2077" s="2" t="s">
        <v>91</v>
      </c>
      <c r="N2077" t="s">
        <v>82</v>
      </c>
      <c r="O2077">
        <f>MATCH(Combined[[#This Row],[Primary Area]],KPIs!$C$4:$C$7,0)</f>
        <v>3</v>
      </c>
    </row>
    <row r="2078" spans="2:15" x14ac:dyDescent="0.35">
      <c r="B2078">
        <f t="shared" si="550"/>
        <v>2076</v>
      </c>
      <c r="C2078" t="s">
        <v>86</v>
      </c>
      <c r="D2078" t="s">
        <v>175</v>
      </c>
      <c r="E2078">
        <f>IF(WEEKNUM(Combined[[#This Row],[Date]], 1) = 53, 1, WEEKNUM(Combined[[#This Row],[Date]], 2))</f>
        <v>17</v>
      </c>
      <c r="F2078" t="str">
        <f t="shared" si="566"/>
        <v>Wednesday</v>
      </c>
      <c r="G2078" s="41">
        <v>46134</v>
      </c>
      <c r="H2078">
        <v>4</v>
      </c>
      <c r="I2078" s="1">
        <v>24.59</v>
      </c>
      <c r="J2078" s="2">
        <v>0.13194444444444445</v>
      </c>
      <c r="K2078" s="12">
        <f>Combined[[#This Row],[Time Spent]]*24</f>
        <v>3.166666666666667</v>
      </c>
      <c r="L2078" s="12">
        <f>MROUND(Combined[[#This Row],[Time Spent 2]],0.25)</f>
        <v>3.25</v>
      </c>
      <c r="M2078" s="2" t="s">
        <v>91</v>
      </c>
      <c r="N2078" t="s">
        <v>82</v>
      </c>
      <c r="O2078">
        <f>MATCH(Combined[[#This Row],[Primary Area]],KPIs!$C$4:$C$7,0)</f>
        <v>3</v>
      </c>
    </row>
    <row r="2079" spans="2:15" x14ac:dyDescent="0.35">
      <c r="B2079">
        <f t="shared" si="550"/>
        <v>2077</v>
      </c>
      <c r="C2079" t="s">
        <v>83</v>
      </c>
      <c r="D2079" t="s">
        <v>176</v>
      </c>
      <c r="E2079">
        <f>IF(WEEKNUM(Combined[[#This Row],[Date]], 1) = 53, 1, WEEKNUM(Combined[[#This Row],[Date]], 2))</f>
        <v>17</v>
      </c>
      <c r="F2079" t="str">
        <f t="shared" ref="F2079:F2081" si="567">TEXT(WEEKDAY(G2079,1),"DDDD")</f>
        <v>Friday</v>
      </c>
      <c r="G2079" s="41">
        <v>46136</v>
      </c>
      <c r="H2079">
        <v>10</v>
      </c>
      <c r="I2079" s="1">
        <v>237.25</v>
      </c>
      <c r="J2079" s="2">
        <v>0.17430555555555555</v>
      </c>
      <c r="K2079" s="12">
        <f>Combined[[#This Row],[Time Spent]]*24</f>
        <v>4.1833333333333336</v>
      </c>
      <c r="L2079" s="12">
        <f>MROUND(Combined[[#This Row],[Time Spent 2]],0.25)</f>
        <v>4.25</v>
      </c>
      <c r="M2079" s="2" t="s">
        <v>91</v>
      </c>
      <c r="N2079" t="s">
        <v>82</v>
      </c>
      <c r="O2079">
        <f>MATCH(Combined[[#This Row],[Primary Area]],KPIs!$C$4:$C$7,0)</f>
        <v>3</v>
      </c>
    </row>
    <row r="2080" spans="2:15" x14ac:dyDescent="0.35">
      <c r="B2080">
        <f t="shared" si="550"/>
        <v>2078</v>
      </c>
      <c r="C2080" t="s">
        <v>86</v>
      </c>
      <c r="D2080" t="s">
        <v>175</v>
      </c>
      <c r="E2080">
        <f>IF(WEEKNUM(Combined[[#This Row],[Date]], 1) = 53, 1, WEEKNUM(Combined[[#This Row],[Date]], 2))</f>
        <v>17</v>
      </c>
      <c r="F2080" t="str">
        <f t="shared" si="567"/>
        <v>Friday</v>
      </c>
      <c r="G2080" s="41">
        <v>46136</v>
      </c>
      <c r="H2080">
        <v>4</v>
      </c>
      <c r="I2080" s="1">
        <v>23.27</v>
      </c>
      <c r="J2080" s="2">
        <v>7.7083333333333337E-2</v>
      </c>
      <c r="K2080" s="12">
        <f>Combined[[#This Row],[Time Spent]]*24</f>
        <v>1.85</v>
      </c>
      <c r="L2080" s="12">
        <f>MROUND(Combined[[#This Row],[Time Spent 2]],0.25)</f>
        <v>1.75</v>
      </c>
      <c r="M2080" s="2" t="s">
        <v>92</v>
      </c>
      <c r="N2080" t="s">
        <v>82</v>
      </c>
      <c r="O2080">
        <f>MATCH(Combined[[#This Row],[Primary Area]],KPIs!$C$4:$C$7,0)</f>
        <v>3</v>
      </c>
    </row>
    <row r="2081" spans="2:15" x14ac:dyDescent="0.35">
      <c r="B2081">
        <f t="shared" si="550"/>
        <v>2079</v>
      </c>
      <c r="C2081" t="s">
        <v>86</v>
      </c>
      <c r="D2081" t="s">
        <v>175</v>
      </c>
      <c r="E2081">
        <f>IF(WEEKNUM(Combined[[#This Row],[Date]], 1) = 53, 1, WEEKNUM(Combined[[#This Row],[Date]], 2))</f>
        <v>17</v>
      </c>
      <c r="F2081" t="str">
        <f t="shared" si="567"/>
        <v>Friday</v>
      </c>
      <c r="G2081" s="41">
        <v>46136</v>
      </c>
      <c r="H2081">
        <v>4</v>
      </c>
      <c r="I2081" s="1">
        <v>65.16</v>
      </c>
      <c r="J2081" s="2">
        <v>0.10347222222222222</v>
      </c>
      <c r="K2081" s="12">
        <f>Combined[[#This Row],[Time Spent]]*24</f>
        <v>2.4833333333333334</v>
      </c>
      <c r="L2081" s="12">
        <f>MROUND(Combined[[#This Row],[Time Spent 2]],0.25)</f>
        <v>2.5</v>
      </c>
      <c r="M2081" s="2" t="s">
        <v>92</v>
      </c>
      <c r="N2081" t="s">
        <v>82</v>
      </c>
      <c r="O2081">
        <f>MATCH(Combined[[#This Row],[Primary Area]],KPIs!$C$4:$C$7,0)</f>
        <v>3</v>
      </c>
    </row>
    <row r="2082" spans="2:15" x14ac:dyDescent="0.35">
      <c r="B2082">
        <f t="shared" si="550"/>
        <v>2080</v>
      </c>
      <c r="C2082" t="s">
        <v>83</v>
      </c>
      <c r="D2082" t="s">
        <v>176</v>
      </c>
      <c r="E2082">
        <f>IF(WEEKNUM(Combined[[#This Row],[Date]], 1) = 53, 1, WEEKNUM(Combined[[#This Row],[Date]], 2))</f>
        <v>18</v>
      </c>
      <c r="F2082" t="str">
        <f t="shared" ref="F2082:F2083" si="568">TEXT(WEEKDAY(G2082,1),"DDDD")</f>
        <v>Wednesday</v>
      </c>
      <c r="G2082" s="41">
        <v>46141</v>
      </c>
      <c r="H2082">
        <v>2</v>
      </c>
      <c r="I2082" s="1">
        <v>29.13</v>
      </c>
      <c r="J2082" s="2">
        <v>5.1388888888888887E-2</v>
      </c>
      <c r="K2082" s="12">
        <f>Combined[[#This Row],[Time Spent]]*24</f>
        <v>1.2333333333333334</v>
      </c>
      <c r="L2082" s="12">
        <f>MROUND(Combined[[#This Row],[Time Spent 2]],0.25)</f>
        <v>1.25</v>
      </c>
      <c r="M2082" s="2" t="s">
        <v>91</v>
      </c>
      <c r="N2082" t="s">
        <v>82</v>
      </c>
      <c r="O2082">
        <f>MATCH(Combined[[#This Row],[Primary Area]],KPIs!$C$4:$C$7,0)</f>
        <v>3</v>
      </c>
    </row>
    <row r="2083" spans="2:15" x14ac:dyDescent="0.35">
      <c r="B2083">
        <f t="shared" si="550"/>
        <v>2081</v>
      </c>
      <c r="C2083" t="s">
        <v>86</v>
      </c>
      <c r="D2083" t="s">
        <v>176</v>
      </c>
      <c r="E2083">
        <f>IF(WEEKNUM(Combined[[#This Row],[Date]], 1) = 53, 1, WEEKNUM(Combined[[#This Row],[Date]], 2))</f>
        <v>18</v>
      </c>
      <c r="F2083" t="str">
        <f t="shared" si="568"/>
        <v>Wednesday</v>
      </c>
      <c r="G2083" s="41">
        <v>46141</v>
      </c>
      <c r="H2083">
        <v>11</v>
      </c>
      <c r="I2083" s="1">
        <v>93.75</v>
      </c>
      <c r="J2083" s="2">
        <v>0.22777777777777777</v>
      </c>
      <c r="K2083" s="12">
        <f>Combined[[#This Row],[Time Spent]]*24</f>
        <v>5.4666666666666668</v>
      </c>
      <c r="L2083" s="12">
        <f>MROUND(Combined[[#This Row],[Time Spent 2]],0.25)</f>
        <v>5.5</v>
      </c>
      <c r="M2083" s="2" t="s">
        <v>91</v>
      </c>
      <c r="N2083" t="s">
        <v>82</v>
      </c>
      <c r="O2083">
        <f>MATCH(Combined[[#This Row],[Primary Area]],KPIs!$C$4:$C$7,0)</f>
        <v>3</v>
      </c>
    </row>
    <row r="2084" spans="2:15" x14ac:dyDescent="0.35">
      <c r="B2084">
        <f t="shared" si="550"/>
        <v>2082</v>
      </c>
      <c r="C2084" t="s">
        <v>83</v>
      </c>
      <c r="D2084" t="s">
        <v>176</v>
      </c>
      <c r="E2084">
        <f>IF(WEEKNUM(Combined[[#This Row],[Date]], 1) = 53, 1, WEEKNUM(Combined[[#This Row],[Date]], 2))</f>
        <v>19</v>
      </c>
      <c r="F2084" t="str">
        <f t="shared" ref="F2084:F2086" si="569">TEXT(WEEKDAY(G2084,1),"DDDD")</f>
        <v>Monday</v>
      </c>
      <c r="G2084" s="41">
        <v>46146</v>
      </c>
      <c r="H2084">
        <v>3</v>
      </c>
      <c r="I2084" s="1">
        <v>22.78</v>
      </c>
      <c r="J2084" s="2">
        <v>9.375E-2</v>
      </c>
      <c r="K2084" s="12">
        <f>Combined[[#This Row],[Time Spent]]*24</f>
        <v>2.25</v>
      </c>
      <c r="L2084" s="12">
        <f>MROUND(Combined[[#This Row],[Time Spent 2]],0.25)</f>
        <v>2.25</v>
      </c>
      <c r="M2084" s="2" t="s">
        <v>91</v>
      </c>
      <c r="N2084" t="s">
        <v>80</v>
      </c>
      <c r="O2084">
        <f>MATCH(Combined[[#This Row],[Primary Area]],KPIs!$C$4:$C$7,0)</f>
        <v>2</v>
      </c>
    </row>
    <row r="2085" spans="2:15" x14ac:dyDescent="0.35">
      <c r="B2085">
        <f t="shared" si="550"/>
        <v>2083</v>
      </c>
      <c r="C2085" t="s">
        <v>86</v>
      </c>
      <c r="D2085" t="s">
        <v>176</v>
      </c>
      <c r="E2085">
        <f>IF(WEEKNUM(Combined[[#This Row],[Date]], 1) = 53, 1, WEEKNUM(Combined[[#This Row],[Date]], 2))</f>
        <v>19</v>
      </c>
      <c r="F2085" t="str">
        <f t="shared" si="569"/>
        <v>Monday</v>
      </c>
      <c r="G2085" s="41">
        <v>46146</v>
      </c>
      <c r="H2085">
        <v>1</v>
      </c>
      <c r="I2085" s="1">
        <v>7.3</v>
      </c>
      <c r="J2085" s="2">
        <v>9.375E-2</v>
      </c>
      <c r="K2085" s="12">
        <f>Combined[[#This Row],[Time Spent]]*24</f>
        <v>2.25</v>
      </c>
      <c r="L2085" s="12">
        <f>MROUND(Combined[[#This Row],[Time Spent 2]],0.25)</f>
        <v>2.25</v>
      </c>
      <c r="M2085" s="2" t="s">
        <v>91</v>
      </c>
      <c r="N2085" t="s">
        <v>80</v>
      </c>
      <c r="O2085">
        <f>MATCH(Combined[[#This Row],[Primary Area]],KPIs!$C$4:$C$7,0)</f>
        <v>2</v>
      </c>
    </row>
    <row r="2086" spans="2:15" x14ac:dyDescent="0.35">
      <c r="B2086">
        <f t="shared" si="550"/>
        <v>2084</v>
      </c>
      <c r="C2086" t="s">
        <v>86</v>
      </c>
      <c r="D2086" t="s">
        <v>176</v>
      </c>
      <c r="E2086">
        <f>IF(WEEKNUM(Combined[[#This Row],[Date]], 1) = 53, 1, WEEKNUM(Combined[[#This Row],[Date]], 2))</f>
        <v>19</v>
      </c>
      <c r="F2086" t="str">
        <f t="shared" si="569"/>
        <v>Monday</v>
      </c>
      <c r="G2086" s="41">
        <v>46146</v>
      </c>
      <c r="H2086">
        <v>3</v>
      </c>
      <c r="I2086" s="1">
        <v>27.65</v>
      </c>
      <c r="J2086" s="2">
        <v>5.4166666666666669E-2</v>
      </c>
      <c r="K2086" s="12">
        <f>Combined[[#This Row],[Time Spent]]*24</f>
        <v>1.3</v>
      </c>
      <c r="L2086" s="12">
        <f>MROUND(Combined[[#This Row],[Time Spent 2]],0.25)</f>
        <v>1.25</v>
      </c>
      <c r="M2086" s="2" t="s">
        <v>92</v>
      </c>
      <c r="N2086" t="s">
        <v>80</v>
      </c>
      <c r="O2086">
        <f>MATCH(Combined[[#This Row],[Primary Area]],KPIs!$C$4:$C$7,0)</f>
        <v>2</v>
      </c>
    </row>
    <row r="2087" spans="2:15" x14ac:dyDescent="0.35">
      <c r="B2087">
        <f t="shared" si="550"/>
        <v>2085</v>
      </c>
      <c r="C2087" t="s">
        <v>83</v>
      </c>
      <c r="D2087" t="s">
        <v>176</v>
      </c>
      <c r="E2087">
        <f>IF(WEEKNUM(Combined[[#This Row],[Date]], 1) = 53, 1, WEEKNUM(Combined[[#This Row],[Date]], 2))</f>
        <v>19</v>
      </c>
      <c r="F2087" t="str">
        <f t="shared" ref="F2087:F2091" si="570">TEXT(WEEKDAY(G2087,1),"DDDD")</f>
        <v>Friday</v>
      </c>
      <c r="G2087" s="41">
        <v>46150</v>
      </c>
      <c r="H2087">
        <v>1</v>
      </c>
      <c r="I2087" s="1">
        <v>10.54</v>
      </c>
      <c r="J2087" s="2">
        <v>6.0416666666666667E-2</v>
      </c>
      <c r="K2087" s="12">
        <f>Combined[[#This Row],[Time Spent]]*24</f>
        <v>1.45</v>
      </c>
      <c r="L2087" s="12">
        <f>MROUND(Combined[[#This Row],[Time Spent 2]],0.25)</f>
        <v>1.5</v>
      </c>
      <c r="M2087" s="2" t="s">
        <v>91</v>
      </c>
      <c r="N2087" t="s">
        <v>80</v>
      </c>
      <c r="O2087">
        <f>MATCH(Combined[[#This Row],[Primary Area]],KPIs!$C$4:$C$7,0)</f>
        <v>2</v>
      </c>
    </row>
    <row r="2088" spans="2:15" x14ac:dyDescent="0.35">
      <c r="B2088">
        <f t="shared" si="550"/>
        <v>2086</v>
      </c>
      <c r="C2088" t="s">
        <v>86</v>
      </c>
      <c r="D2088" t="s">
        <v>176</v>
      </c>
      <c r="E2088">
        <f>IF(WEEKNUM(Combined[[#This Row],[Date]], 1) = 53, 1, WEEKNUM(Combined[[#This Row],[Date]], 2))</f>
        <v>19</v>
      </c>
      <c r="F2088" t="str">
        <f t="shared" si="570"/>
        <v>Friday</v>
      </c>
      <c r="G2088" s="41">
        <v>46150</v>
      </c>
      <c r="H2088">
        <v>1</v>
      </c>
      <c r="I2088" s="1">
        <v>8.4</v>
      </c>
      <c r="J2088" s="2">
        <v>4.3055555555555555E-2</v>
      </c>
      <c r="K2088" s="12">
        <f>Combined[[#This Row],[Time Spent]]*24</f>
        <v>1.0333333333333332</v>
      </c>
      <c r="L2088" s="12">
        <f>MROUND(Combined[[#This Row],[Time Spent 2]],0.25)</f>
        <v>1</v>
      </c>
      <c r="M2088" s="2" t="s">
        <v>91</v>
      </c>
      <c r="N2088" t="s">
        <v>80</v>
      </c>
      <c r="O2088">
        <f>MATCH(Combined[[#This Row],[Primary Area]],KPIs!$C$4:$C$7,0)</f>
        <v>2</v>
      </c>
    </row>
    <row r="2089" spans="2:15" x14ac:dyDescent="0.35">
      <c r="B2089">
        <f t="shared" si="550"/>
        <v>2087</v>
      </c>
      <c r="C2089" t="s">
        <v>83</v>
      </c>
      <c r="D2089" t="s">
        <v>176</v>
      </c>
      <c r="E2089">
        <f>IF(WEEKNUM(Combined[[#This Row],[Date]], 1) = 53, 1, WEEKNUM(Combined[[#This Row],[Date]], 2))</f>
        <v>20</v>
      </c>
      <c r="F2089" t="str">
        <f t="shared" si="570"/>
        <v>Monday</v>
      </c>
      <c r="G2089" s="41">
        <v>46153</v>
      </c>
      <c r="H2089">
        <v>4</v>
      </c>
      <c r="I2089" s="1">
        <v>62.63</v>
      </c>
      <c r="J2089" s="2">
        <v>0.10208333333333333</v>
      </c>
      <c r="K2089" s="12">
        <f>Combined[[#This Row],[Time Spent]]*24</f>
        <v>2.4500000000000002</v>
      </c>
      <c r="L2089" s="12">
        <f>MROUND(Combined[[#This Row],[Time Spent 2]],0.25)</f>
        <v>2.5</v>
      </c>
      <c r="M2089" s="2" t="s">
        <v>91</v>
      </c>
      <c r="N2089" t="s">
        <v>80</v>
      </c>
      <c r="O2089">
        <f>MATCH(Combined[[#This Row],[Primary Area]],KPIs!$C$4:$C$7,0)</f>
        <v>2</v>
      </c>
    </row>
    <row r="2090" spans="2:15" x14ac:dyDescent="0.35">
      <c r="B2090">
        <f t="shared" si="550"/>
        <v>2088</v>
      </c>
      <c r="C2090" t="s">
        <v>86</v>
      </c>
      <c r="D2090" t="s">
        <v>175</v>
      </c>
      <c r="E2090">
        <f>IF(WEEKNUM(Combined[[#This Row],[Date]], 1) = 53, 1, WEEKNUM(Combined[[#This Row],[Date]], 2))</f>
        <v>20</v>
      </c>
      <c r="F2090" t="str">
        <f t="shared" si="570"/>
        <v>Monday</v>
      </c>
      <c r="G2090" s="41">
        <v>46153</v>
      </c>
      <c r="H2090">
        <v>1</v>
      </c>
      <c r="I2090" s="1">
        <v>7.49</v>
      </c>
      <c r="J2090" s="2">
        <v>4.5138888888888888E-2</v>
      </c>
      <c r="K2090" s="12">
        <f>Combined[[#This Row],[Time Spent]]*24</f>
        <v>1.0833333333333333</v>
      </c>
      <c r="L2090" s="12">
        <f>MROUND(Combined[[#This Row],[Time Spent 2]],0.25)</f>
        <v>1</v>
      </c>
      <c r="M2090" s="2" t="s">
        <v>91</v>
      </c>
      <c r="N2090" t="s">
        <v>80</v>
      </c>
      <c r="O2090">
        <f>MATCH(Combined[[#This Row],[Primary Area]],KPIs!$C$4:$C$7,0)</f>
        <v>2</v>
      </c>
    </row>
    <row r="2091" spans="2:15" x14ac:dyDescent="0.35">
      <c r="B2091">
        <f t="shared" si="550"/>
        <v>2089</v>
      </c>
      <c r="C2091" t="s">
        <v>86</v>
      </c>
      <c r="D2091" t="s">
        <v>176</v>
      </c>
      <c r="E2091">
        <f>IF(WEEKNUM(Combined[[#This Row],[Date]], 1) = 53, 1, WEEKNUM(Combined[[#This Row],[Date]], 2))</f>
        <v>20</v>
      </c>
      <c r="F2091" t="str">
        <f t="shared" si="570"/>
        <v>Monday</v>
      </c>
      <c r="G2091" s="41">
        <v>46153</v>
      </c>
      <c r="H2091">
        <v>1</v>
      </c>
      <c r="I2091" s="1">
        <v>10.65</v>
      </c>
      <c r="J2091" s="2">
        <v>5.6250000000000001E-2</v>
      </c>
      <c r="K2091" s="12">
        <f>Combined[[#This Row],[Time Spent]]*24</f>
        <v>1.35</v>
      </c>
      <c r="L2091" s="12">
        <f>MROUND(Combined[[#This Row],[Time Spent 2]],0.25)</f>
        <v>1.25</v>
      </c>
      <c r="M2091" s="2" t="s">
        <v>92</v>
      </c>
      <c r="N2091" t="s">
        <v>80</v>
      </c>
      <c r="O2091">
        <f>MATCH(Combined[[#This Row],[Primary Area]],KPIs!$C$4:$C$7,0)</f>
        <v>2</v>
      </c>
    </row>
    <row r="2092" spans="2:15" x14ac:dyDescent="0.35">
      <c r="B2092">
        <f t="shared" si="550"/>
        <v>2090</v>
      </c>
      <c r="C2092" t="s">
        <v>83</v>
      </c>
      <c r="D2092" t="s">
        <v>176</v>
      </c>
      <c r="E2092">
        <f>IF(WEEKNUM(Combined[[#This Row],[Date]], 1) = 53, 1, WEEKNUM(Combined[[#This Row],[Date]], 2))</f>
        <v>20</v>
      </c>
      <c r="F2092" t="str">
        <f t="shared" ref="F2092:F2093" si="571">TEXT(WEEKDAY(G2092,1),"DDDD")</f>
        <v>Tuesday</v>
      </c>
      <c r="G2092" s="41">
        <v>46154</v>
      </c>
      <c r="H2092">
        <v>2</v>
      </c>
      <c r="I2092" s="1">
        <v>34.08</v>
      </c>
      <c r="J2092" s="2">
        <v>8.4027777777777785E-2</v>
      </c>
      <c r="K2092" s="12">
        <f>Combined[[#This Row],[Time Spent]]*24</f>
        <v>2.0166666666666666</v>
      </c>
      <c r="L2092" s="12">
        <f>MROUND(Combined[[#This Row],[Time Spent 2]],0.25)</f>
        <v>2</v>
      </c>
      <c r="M2092" s="2" t="s">
        <v>91</v>
      </c>
      <c r="N2092" t="s">
        <v>80</v>
      </c>
      <c r="O2092">
        <f>MATCH(Combined[[#This Row],[Primary Area]],KPIs!$C$4:$C$7,0)</f>
        <v>2</v>
      </c>
    </row>
    <row r="2093" spans="2:15" x14ac:dyDescent="0.35">
      <c r="B2093">
        <f t="shared" si="550"/>
        <v>2091</v>
      </c>
      <c r="C2093" t="s">
        <v>86</v>
      </c>
      <c r="D2093" t="s">
        <v>176</v>
      </c>
      <c r="E2093">
        <f>IF(WEEKNUM(Combined[[#This Row],[Date]], 1) = 53, 1, WEEKNUM(Combined[[#This Row],[Date]], 2))</f>
        <v>20</v>
      </c>
      <c r="F2093" t="str">
        <f t="shared" si="571"/>
        <v>Tuesday</v>
      </c>
      <c r="G2093" s="41">
        <v>46154</v>
      </c>
      <c r="H2093">
        <v>4</v>
      </c>
      <c r="I2093" s="1">
        <v>69.25</v>
      </c>
      <c r="J2093" s="2">
        <v>0.13055555555555556</v>
      </c>
      <c r="K2093" s="12">
        <f>Combined[[#This Row],[Time Spent]]*24</f>
        <v>3.1333333333333337</v>
      </c>
      <c r="L2093" s="12">
        <f>MROUND(Combined[[#This Row],[Time Spent 2]],0.25)</f>
        <v>3.25</v>
      </c>
      <c r="M2093" s="2" t="s">
        <v>91</v>
      </c>
      <c r="N2093" t="s">
        <v>80</v>
      </c>
      <c r="O2093">
        <f>MATCH(Combined[[#This Row],[Primary Area]],KPIs!$C$4:$C$7,0)</f>
        <v>2</v>
      </c>
    </row>
    <row r="2094" spans="2:15" x14ac:dyDescent="0.35">
      <c r="B2094">
        <f t="shared" si="550"/>
        <v>2092</v>
      </c>
      <c r="C2094" t="s">
        <v>83</v>
      </c>
      <c r="D2094" t="s">
        <v>176</v>
      </c>
      <c r="E2094">
        <f>IF(WEEKNUM(Combined[[#This Row],[Date]], 1) = 53, 1, WEEKNUM(Combined[[#This Row],[Date]], 2))</f>
        <v>20</v>
      </c>
      <c r="F2094" t="str">
        <f t="shared" ref="F2094:F2097" si="572">TEXT(WEEKDAY(G2094,1),"DDDD")</f>
        <v>Sunday</v>
      </c>
      <c r="G2094" s="41">
        <v>46159</v>
      </c>
      <c r="H2094">
        <v>7</v>
      </c>
      <c r="I2094" s="1">
        <v>90.11</v>
      </c>
      <c r="J2094" s="2">
        <v>0.17430555555555555</v>
      </c>
      <c r="K2094" s="12">
        <f>Combined[[#This Row],[Time Spent]]*24</f>
        <v>4.1833333333333336</v>
      </c>
      <c r="L2094" s="12">
        <f>MROUND(Combined[[#This Row],[Time Spent 2]],0.25)</f>
        <v>4.25</v>
      </c>
      <c r="M2094" s="2" t="s">
        <v>91</v>
      </c>
      <c r="N2094" t="s">
        <v>85</v>
      </c>
      <c r="O2094">
        <f>MATCH(Combined[[#This Row],[Primary Area]],KPIs!$C$4:$C$7,0)</f>
        <v>4</v>
      </c>
    </row>
    <row r="2095" spans="2:15" x14ac:dyDescent="0.35">
      <c r="B2095">
        <f t="shared" si="550"/>
        <v>2093</v>
      </c>
      <c r="C2095" t="s">
        <v>86</v>
      </c>
      <c r="D2095" t="s">
        <v>176</v>
      </c>
      <c r="E2095">
        <f>IF(WEEKNUM(Combined[[#This Row],[Date]], 1) = 53, 1, WEEKNUM(Combined[[#This Row],[Date]], 2))</f>
        <v>20</v>
      </c>
      <c r="F2095" t="str">
        <f t="shared" si="572"/>
        <v>Sunday</v>
      </c>
      <c r="G2095" s="41">
        <v>46159</v>
      </c>
      <c r="H2095">
        <v>2</v>
      </c>
      <c r="I2095" s="1">
        <f>25.85+7.5</f>
        <v>33.35</v>
      </c>
      <c r="J2095" s="2">
        <v>4.3749999999999997E-2</v>
      </c>
      <c r="K2095" s="12">
        <f>Combined[[#This Row],[Time Spent]]*24</f>
        <v>1.0499999999999998</v>
      </c>
      <c r="L2095" s="12">
        <f>MROUND(Combined[[#This Row],[Time Spent 2]],0.25)</f>
        <v>1</v>
      </c>
      <c r="M2095" s="2" t="s">
        <v>91</v>
      </c>
      <c r="N2095" t="s">
        <v>85</v>
      </c>
      <c r="O2095">
        <f>MATCH(Combined[[#This Row],[Primary Area]],KPIs!$C$4:$C$7,0)</f>
        <v>4</v>
      </c>
    </row>
    <row r="2096" spans="2:15" x14ac:dyDescent="0.35">
      <c r="B2096">
        <f t="shared" si="550"/>
        <v>2094</v>
      </c>
      <c r="C2096" t="s">
        <v>86</v>
      </c>
      <c r="D2096" t="s">
        <v>175</v>
      </c>
      <c r="E2096">
        <f>IF(WEEKNUM(Combined[[#This Row],[Date]], 1) = 53, 1, WEEKNUM(Combined[[#This Row],[Date]], 2))</f>
        <v>20</v>
      </c>
      <c r="F2096" t="str">
        <f>TEXT(WEEKDAY(G2096,1),"DDDD")</f>
        <v>Sunday</v>
      </c>
      <c r="G2096" s="41">
        <v>46159</v>
      </c>
      <c r="H2096">
        <v>3</v>
      </c>
      <c r="I2096" s="1">
        <v>30.19</v>
      </c>
      <c r="J2096" s="2">
        <v>6.0416666666666667E-2</v>
      </c>
      <c r="K2096" s="12">
        <f>Combined[[#This Row],[Time Spent]]*24</f>
        <v>1.45</v>
      </c>
      <c r="L2096" s="12">
        <f>MROUND(Combined[[#This Row],[Time Spent 2]],0.25)</f>
        <v>1.5</v>
      </c>
      <c r="M2096" s="2" t="s">
        <v>92</v>
      </c>
      <c r="N2096" t="s">
        <v>85</v>
      </c>
      <c r="O2096">
        <f>MATCH(Combined[[#This Row],[Primary Area]],KPIs!$C$4:$C$7,0)</f>
        <v>4</v>
      </c>
    </row>
    <row r="2097" spans="2:15" x14ac:dyDescent="0.35">
      <c r="B2097">
        <f t="shared" si="550"/>
        <v>2095</v>
      </c>
      <c r="C2097" t="s">
        <v>83</v>
      </c>
      <c r="D2097" t="s">
        <v>176</v>
      </c>
      <c r="E2097">
        <f>IF(WEEKNUM(Combined[[#This Row],[Date]], 1) = 53, 1, WEEKNUM(Combined[[#This Row],[Date]], 2))</f>
        <v>21</v>
      </c>
      <c r="F2097" t="str">
        <f t="shared" si="572"/>
        <v>Wednesday</v>
      </c>
      <c r="G2097" s="41">
        <v>46162</v>
      </c>
      <c r="H2097">
        <v>6</v>
      </c>
      <c r="I2097" s="1">
        <v>84.21</v>
      </c>
      <c r="J2097" s="2">
        <v>0.14374999999999999</v>
      </c>
      <c r="K2097" s="12">
        <f>Combined[[#This Row],[Time Spent]]*24</f>
        <v>3.4499999999999997</v>
      </c>
      <c r="L2097" s="12">
        <f>MROUND(Combined[[#This Row],[Time Spent 2]],0.25)</f>
        <v>3.5</v>
      </c>
      <c r="M2097" s="2" t="s">
        <v>91</v>
      </c>
      <c r="N2097" t="s">
        <v>80</v>
      </c>
      <c r="O2097">
        <f>MATCH(Combined[[#This Row],[Primary Area]],KPIs!$C$4:$C$7,0)</f>
        <v>2</v>
      </c>
    </row>
    <row r="2098" spans="2:15" x14ac:dyDescent="0.35">
      <c r="B2098">
        <f t="shared" si="550"/>
        <v>2096</v>
      </c>
      <c r="C2098" t="s">
        <v>86</v>
      </c>
      <c r="D2098" t="s">
        <v>176</v>
      </c>
      <c r="E2098">
        <f>IF(WEEKNUM(Combined[[#This Row],[Date]], 1) = 53, 1, WEEKNUM(Combined[[#This Row],[Date]], 2))</f>
        <v>21</v>
      </c>
      <c r="F2098" t="str">
        <f t="shared" ref="F2098:F2099" si="573">TEXT(WEEKDAY(G2098,1),"DDDD")</f>
        <v>Wednesday</v>
      </c>
      <c r="G2098" s="41">
        <v>46162</v>
      </c>
      <c r="H2098">
        <v>3</v>
      </c>
      <c r="I2098" s="1">
        <v>18.3</v>
      </c>
      <c r="J2098" s="2">
        <v>7.3611111111111113E-2</v>
      </c>
      <c r="K2098" s="12">
        <f>Combined[[#This Row],[Time Spent]]*24</f>
        <v>1.7666666666666666</v>
      </c>
      <c r="L2098" s="12">
        <f>MROUND(Combined[[#This Row],[Time Spent 2]],0.25)</f>
        <v>1.75</v>
      </c>
      <c r="M2098" s="2" t="s">
        <v>91</v>
      </c>
      <c r="N2098" t="s">
        <v>82</v>
      </c>
      <c r="O2098">
        <f>MATCH(Combined[[#This Row],[Primary Area]],KPIs!$C$4:$C$7,0)</f>
        <v>3</v>
      </c>
    </row>
    <row r="2099" spans="2:15" x14ac:dyDescent="0.35">
      <c r="B2099">
        <f t="shared" si="550"/>
        <v>2097</v>
      </c>
      <c r="C2099" t="s">
        <v>86</v>
      </c>
      <c r="D2099" t="s">
        <v>176</v>
      </c>
      <c r="E2099">
        <f>IF(WEEKNUM(Combined[[#This Row],[Date]], 1) = 53, 1, WEEKNUM(Combined[[#This Row],[Date]], 2))</f>
        <v>21</v>
      </c>
      <c r="F2099" t="str">
        <f t="shared" si="573"/>
        <v>Wednesday</v>
      </c>
      <c r="G2099" s="41">
        <v>46162</v>
      </c>
      <c r="H2099">
        <v>1</v>
      </c>
      <c r="I2099" s="1">
        <v>5</v>
      </c>
      <c r="J2099" s="2">
        <v>4.1666666666666664E-2</v>
      </c>
      <c r="K2099" s="12">
        <f>Combined[[#This Row],[Time Spent]]*24</f>
        <v>1</v>
      </c>
      <c r="L2099" s="12">
        <f>MROUND(Combined[[#This Row],[Time Spent 2]],0.25)</f>
        <v>1</v>
      </c>
      <c r="M2099" s="2" t="s">
        <v>92</v>
      </c>
      <c r="N2099" t="s">
        <v>82</v>
      </c>
      <c r="O2099">
        <f>MATCH(Combined[[#This Row],[Primary Area]],KPIs!$C$4:$C$7,0)</f>
        <v>3</v>
      </c>
    </row>
    <row r="2100" spans="2:15" x14ac:dyDescent="0.35">
      <c r="B2100">
        <f t="shared" si="550"/>
        <v>2098</v>
      </c>
      <c r="C2100" t="s">
        <v>83</v>
      </c>
      <c r="D2100" t="s">
        <v>176</v>
      </c>
      <c r="E2100">
        <f>IF(WEEKNUM(Combined[[#This Row],[Date]], 1) = 53, 1, WEEKNUM(Combined[[#This Row],[Date]], 2))</f>
        <v>21</v>
      </c>
      <c r="F2100" t="str">
        <f t="shared" ref="F2100" si="574">TEXT(WEEKDAY(G2100,1),"DDDD")</f>
        <v>Friday</v>
      </c>
      <c r="G2100" s="41">
        <v>46164</v>
      </c>
      <c r="H2100">
        <v>9</v>
      </c>
      <c r="I2100" s="1">
        <v>125.25</v>
      </c>
      <c r="J2100" s="2">
        <v>0.26944444444444443</v>
      </c>
      <c r="K2100" s="12">
        <f>Combined[[#This Row],[Time Spent]]*24</f>
        <v>6.4666666666666668</v>
      </c>
      <c r="L2100" s="12">
        <f>MROUND(Combined[[#This Row],[Time Spent 2]],0.25)</f>
        <v>6.5</v>
      </c>
      <c r="M2100" s="2" t="s">
        <v>92</v>
      </c>
      <c r="N2100" t="s">
        <v>82</v>
      </c>
      <c r="O2100">
        <f>MATCH(Combined[[#This Row],[Primary Area]],KPIs!$C$4:$C$7,0)</f>
        <v>3</v>
      </c>
    </row>
  </sheetData>
  <phoneticPr fontId="3" type="noConversion"/>
  <conditionalFormatting sqref="R884:R1500">
    <cfRule type="duplicateValues" dxfId="18" priority="13295"/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98BA-0702-4943-95BE-4CC05AF347F7}">
  <sheetPr codeName="Sheet11">
    <tabColor rgb="FFFF5353"/>
  </sheetPr>
  <dimension ref="B1:R335"/>
  <sheetViews>
    <sheetView workbookViewId="0"/>
  </sheetViews>
  <sheetFormatPr defaultRowHeight="14.5" x14ac:dyDescent="0.35"/>
  <cols>
    <col min="2" max="2" width="10.36328125" customWidth="1"/>
    <col min="7" max="7" width="13.36328125" bestFit="1" customWidth="1"/>
    <col min="9" max="9" width="10.08984375" bestFit="1" customWidth="1"/>
    <col min="10" max="10" width="10.90625" bestFit="1" customWidth="1"/>
    <col min="13" max="13" width="9.6328125" bestFit="1" customWidth="1"/>
    <col min="14" max="14" width="10.54296875" bestFit="1" customWidth="1"/>
    <col min="15" max="15" width="10.453125" customWidth="1"/>
    <col min="17" max="17" width="17.36328125" bestFit="1" customWidth="1"/>
  </cols>
  <sheetData>
    <row r="1" spans="2:18" ht="15" thickBot="1" x14ac:dyDescent="0.4"/>
    <row r="2" spans="2:18" ht="15" thickBot="1" x14ac:dyDescent="0.4">
      <c r="B2" t="s">
        <v>39</v>
      </c>
      <c r="C2" t="s">
        <v>145</v>
      </c>
      <c r="D2" t="s">
        <v>183</v>
      </c>
      <c r="E2" t="s">
        <v>44</v>
      </c>
      <c r="F2" t="s">
        <v>177</v>
      </c>
      <c r="G2" t="s">
        <v>189</v>
      </c>
      <c r="J2" s="193" t="s">
        <v>184</v>
      </c>
      <c r="K2" s="194">
        <f>SUM(Table12[Sum2])</f>
        <v>6.2333333333333334</v>
      </c>
      <c r="N2" s="40" t="s">
        <v>8</v>
      </c>
      <c r="O2" s="2" t="s">
        <v>270</v>
      </c>
      <c r="Q2" t="s">
        <v>202</v>
      </c>
      <c r="R2" s="81">
        <f>AVERAGE(Table25[Time])</f>
        <v>1.8472639305972652E-2</v>
      </c>
    </row>
    <row r="3" spans="2:18" ht="15" thickBot="1" x14ac:dyDescent="0.4">
      <c r="B3" s="105">
        <v>0.86527777777777781</v>
      </c>
      <c r="C3" s="105">
        <v>0.98958333333333337</v>
      </c>
      <c r="D3" s="57">
        <v>81.3</v>
      </c>
      <c r="E3" s="210">
        <f>Table12[[#This Row],[Stop]]-Table12[[#This Row],[Start]]</f>
        <v>0.12430555555555556</v>
      </c>
      <c r="F3" s="211">
        <f>Table12[[#This Row],[Sum]]*24</f>
        <v>2.9833333333333334</v>
      </c>
      <c r="G3" s="210">
        <f>IFERROR(IF((B4-Table12[[#This Row],[Stop]])&lt;0,"",B4-Table12[[#This Row],[Stop]]),"")</f>
        <v>3.4722222222222099E-3</v>
      </c>
      <c r="H3" s="12"/>
      <c r="J3" s="193" t="s">
        <v>185</v>
      </c>
      <c r="K3" s="196">
        <f>SUM(Table12[Miles])</f>
        <v>144.30000000000001</v>
      </c>
      <c r="N3" s="40">
        <v>44302</v>
      </c>
      <c r="O3" s="2">
        <v>5.2777777777777778E-2</v>
      </c>
    </row>
    <row r="4" spans="2:18" ht="15" thickBot="1" x14ac:dyDescent="0.4">
      <c r="B4" s="105">
        <v>0.99305555555555558</v>
      </c>
      <c r="C4" s="105">
        <v>0.99930555555555556</v>
      </c>
      <c r="D4" s="57">
        <v>63</v>
      </c>
      <c r="E4" s="210">
        <f>Table12[[#This Row],[Stop]]-Table12[[#This Row],[Start]]</f>
        <v>6.2499999999999778E-3</v>
      </c>
      <c r="F4" s="211">
        <f>Table12[[#This Row],[Sum]]*24</f>
        <v>0.14999999999999947</v>
      </c>
      <c r="G4" s="210" t="str">
        <f>IFERROR(IF((B5-Table12[[#This Row],[Stop]])&lt;0,"",B5-Table12[[#This Row],[Stop]]),"")</f>
        <v/>
      </c>
      <c r="H4" s="12"/>
      <c r="J4" s="193" t="s">
        <v>189</v>
      </c>
      <c r="K4" s="198">
        <f>SUM(Table12[Break Time])</f>
        <v>3.4722222222222099E-3</v>
      </c>
      <c r="N4" s="40">
        <v>44507</v>
      </c>
      <c r="O4" s="2">
        <v>2.013888888888889E-2</v>
      </c>
    </row>
    <row r="5" spans="2:18" x14ac:dyDescent="0.35">
      <c r="B5" s="105">
        <v>0</v>
      </c>
      <c r="C5" s="105">
        <v>0.12916666666666668</v>
      </c>
      <c r="D5" s="57"/>
      <c r="E5" s="210">
        <f>Table12[[#This Row],[Stop]]-Table12[[#This Row],[Start]]</f>
        <v>0.12916666666666668</v>
      </c>
      <c r="F5" s="211">
        <f>Table12[[#This Row],[Sum]]*24</f>
        <v>3.1000000000000005</v>
      </c>
      <c r="G5" s="210" t="str">
        <f>IFERROR(IF((B6-Table12[[#This Row],[Stop]])&lt;0,"",B6-Table12[[#This Row],[Stop]]),"")</f>
        <v/>
      </c>
      <c r="H5" s="12"/>
      <c r="N5" s="40">
        <v>44527</v>
      </c>
      <c r="O5" s="2">
        <v>7.4999999999999997E-2</v>
      </c>
    </row>
    <row r="6" spans="2:18" x14ac:dyDescent="0.35">
      <c r="B6" s="105"/>
      <c r="C6" s="105"/>
      <c r="D6" s="57"/>
      <c r="E6" s="210">
        <f>Table12[[#This Row],[Stop]]-Table12[[#This Row],[Start]]</f>
        <v>0</v>
      </c>
      <c r="F6" s="211">
        <f>Table12[[#This Row],[Sum]]*24</f>
        <v>0</v>
      </c>
      <c r="G6" s="210">
        <f>IFERROR(IF((B7-Table12[[#This Row],[Stop]])&lt;0,"",B7-Table12[[#This Row],[Stop]]),"")</f>
        <v>0</v>
      </c>
      <c r="H6" s="12"/>
      <c r="N6" s="40">
        <v>44533</v>
      </c>
      <c r="O6" s="2">
        <v>3.888888888888889E-2</v>
      </c>
    </row>
    <row r="7" spans="2:18" x14ac:dyDescent="0.35">
      <c r="B7" s="105"/>
      <c r="C7" s="105"/>
      <c r="D7" s="57"/>
      <c r="E7" s="210">
        <f>Table12[[#This Row],[Stop]]-Table12[[#This Row],[Start]]</f>
        <v>0</v>
      </c>
      <c r="F7" s="211">
        <f>Table12[[#This Row],[Sum]]*24</f>
        <v>0</v>
      </c>
      <c r="G7" s="210">
        <f>IFERROR(IF((B8-Table12[[#This Row],[Stop]])&lt;0,"",B8-Table12[[#This Row],[Stop]]),"")</f>
        <v>0</v>
      </c>
      <c r="H7" s="12"/>
      <c r="N7" s="40">
        <v>44645</v>
      </c>
      <c r="O7" s="2">
        <v>2.1527777777777778E-2</v>
      </c>
    </row>
    <row r="8" spans="2:18" x14ac:dyDescent="0.35">
      <c r="B8" s="105"/>
      <c r="C8" s="105"/>
      <c r="D8" s="57"/>
      <c r="E8" s="210">
        <f>Table12[[#This Row],[Stop]]-Table12[[#This Row],[Start]]</f>
        <v>0</v>
      </c>
      <c r="F8" s="211">
        <f>Table12[[#This Row],[Sum]]*24</f>
        <v>0</v>
      </c>
      <c r="G8" s="210">
        <f>IFERROR(IF((B9-Table12[[#This Row],[Stop]])&lt;0,"",B9-Table12[[#This Row],[Stop]]),"")</f>
        <v>0</v>
      </c>
      <c r="H8" s="12"/>
      <c r="N8" s="40">
        <v>44646</v>
      </c>
      <c r="O8" s="2">
        <v>3.4722222222222224E-2</v>
      </c>
    </row>
    <row r="9" spans="2:18" x14ac:dyDescent="0.35">
      <c r="B9" s="105"/>
      <c r="C9" s="105"/>
      <c r="D9" s="57"/>
      <c r="E9" s="210">
        <f>Table12[[#This Row],[Stop]]-Table12[[#This Row],[Start]]</f>
        <v>0</v>
      </c>
      <c r="F9" s="211">
        <f>Table12[[#This Row],[Sum]]*24</f>
        <v>0</v>
      </c>
      <c r="G9" s="210">
        <f>IFERROR(IF((B10-Table12[[#This Row],[Stop]])&lt;0,"",B10-Table12[[#This Row],[Stop]]),"")</f>
        <v>0</v>
      </c>
      <c r="H9" s="12"/>
      <c r="N9" s="40">
        <v>44883</v>
      </c>
      <c r="O9" s="2">
        <v>3.2638888888888891E-2</v>
      </c>
    </row>
    <row r="10" spans="2:18" x14ac:dyDescent="0.35">
      <c r="B10" s="105"/>
      <c r="C10" s="105"/>
      <c r="D10" s="57"/>
      <c r="E10" s="210">
        <f>Table12[[#This Row],[Stop]]-Table12[[#This Row],[Start]]</f>
        <v>0</v>
      </c>
      <c r="F10" s="211">
        <f>Table12[[#This Row],[Sum]]*24</f>
        <v>0</v>
      </c>
      <c r="G10" s="210">
        <f>IFERROR(IF((B11-Table12[[#This Row],[Stop]])&lt;0,"",B11-Table12[[#This Row],[Stop]]),"")</f>
        <v>0</v>
      </c>
      <c r="H10" s="12"/>
      <c r="N10" s="40">
        <v>44898</v>
      </c>
      <c r="O10" s="2">
        <v>4.583333333333333E-2</v>
      </c>
    </row>
    <row r="11" spans="2:18" x14ac:dyDescent="0.35">
      <c r="B11" s="105"/>
      <c r="C11" s="105"/>
      <c r="D11" s="57"/>
      <c r="E11" s="210">
        <f>Table12[[#This Row],[Stop]]-Table12[[#This Row],[Start]]</f>
        <v>0</v>
      </c>
      <c r="F11" s="211">
        <f>Table12[[#This Row],[Sum]]*24</f>
        <v>0</v>
      </c>
      <c r="G11" s="210">
        <f>IFERROR(IF((B12-Table12[[#This Row],[Stop]])&lt;0,"",B12-Table12[[#This Row],[Stop]]),"")</f>
        <v>0</v>
      </c>
      <c r="N11" s="40">
        <v>44913</v>
      </c>
      <c r="O11" s="2">
        <v>0.11944444444444445</v>
      </c>
    </row>
    <row r="12" spans="2:18" x14ac:dyDescent="0.35">
      <c r="B12" s="105"/>
      <c r="C12" s="105"/>
      <c r="D12" s="57"/>
      <c r="E12" s="210">
        <f>Table12[[#This Row],[Stop]]-Table12[[#This Row],[Start]]</f>
        <v>0</v>
      </c>
      <c r="F12" s="211">
        <f>Table12[[#This Row],[Sum]]*24</f>
        <v>0</v>
      </c>
      <c r="G12" s="210">
        <f>IFERROR(IF((B13-Table12[[#This Row],[Stop]])&lt;0,"",B13-Table12[[#This Row],[Stop]]),"")</f>
        <v>0</v>
      </c>
      <c r="N12" s="40">
        <v>44946</v>
      </c>
      <c r="O12" s="2">
        <v>5.4166666666666669E-2</v>
      </c>
    </row>
    <row r="13" spans="2:18" x14ac:dyDescent="0.35">
      <c r="B13" s="105"/>
      <c r="C13" s="105"/>
      <c r="D13" s="57"/>
      <c r="E13" s="210">
        <f>Table12[[#This Row],[Stop]]-Table12[[#This Row],[Start]]</f>
        <v>0</v>
      </c>
      <c r="F13" s="211">
        <f>Table12[[#This Row],[Sum]]*24</f>
        <v>0</v>
      </c>
      <c r="G13" s="210">
        <f>IFERROR(IF((B14-Table12[[#This Row],[Stop]])&lt;0,"",B14-Table12[[#This Row],[Stop]]),"")</f>
        <v>0</v>
      </c>
      <c r="N13" s="40">
        <v>44947</v>
      </c>
      <c r="O13" s="2">
        <v>2.013888888888889E-2</v>
      </c>
    </row>
    <row r="14" spans="2:18" x14ac:dyDescent="0.35">
      <c r="B14" s="105"/>
      <c r="C14" s="105"/>
      <c r="D14" s="57"/>
      <c r="E14" s="210">
        <f>Table12[[#This Row],[Stop]]-Table12[[#This Row],[Start]]</f>
        <v>0</v>
      </c>
      <c r="F14" s="211">
        <f>Table12[[#This Row],[Sum]]*24</f>
        <v>0</v>
      </c>
      <c r="G14" s="210">
        <f>IFERROR(IF((B15-Table12[[#This Row],[Stop]])&lt;0,"",B15-Table12[[#This Row],[Stop]]),"")</f>
        <v>0</v>
      </c>
      <c r="N14" s="40">
        <v>44951</v>
      </c>
      <c r="O14" s="2">
        <v>9.0277777777777787E-3</v>
      </c>
    </row>
    <row r="15" spans="2:18" x14ac:dyDescent="0.35">
      <c r="B15" s="105"/>
      <c r="C15" s="105"/>
      <c r="D15" s="57"/>
      <c r="E15" s="210">
        <f>Table12[[#This Row],[Stop]]-Table12[[#This Row],[Start]]</f>
        <v>0</v>
      </c>
      <c r="F15" s="211">
        <f>Table12[[#This Row],[Sum]]*24</f>
        <v>0</v>
      </c>
      <c r="G15" s="210">
        <f>IFERROR(IF((B16-Table12[[#This Row],[Stop]])&lt;0,"",B16-Table12[[#This Row],[Stop]]),"")</f>
        <v>0</v>
      </c>
      <c r="N15" s="40">
        <v>44952</v>
      </c>
      <c r="O15" s="2">
        <v>3.6111111111111115E-2</v>
      </c>
    </row>
    <row r="16" spans="2:18" x14ac:dyDescent="0.35">
      <c r="B16" s="231"/>
      <c r="N16" s="40">
        <v>44954</v>
      </c>
      <c r="O16" s="2">
        <v>6.8749999999999992E-2</v>
      </c>
    </row>
    <row r="17" spans="2:15" x14ac:dyDescent="0.35">
      <c r="B17" s="231"/>
      <c r="N17" s="40">
        <v>44957</v>
      </c>
      <c r="O17" s="2">
        <v>2.0833333333333332E-2</v>
      </c>
    </row>
    <row r="18" spans="2:15" x14ac:dyDescent="0.35">
      <c r="B18" s="231"/>
      <c r="N18" s="40">
        <v>44958</v>
      </c>
      <c r="O18" s="2">
        <v>6.9444444444444434E-2</v>
      </c>
    </row>
    <row r="19" spans="2:15" x14ac:dyDescent="0.35">
      <c r="B19" s="231">
        <v>4.1666666666666664E-2</v>
      </c>
      <c r="N19" s="40">
        <v>44964</v>
      </c>
      <c r="O19" s="2">
        <v>5.486111111111111E-2</v>
      </c>
    </row>
    <row r="20" spans="2:15" x14ac:dyDescent="0.35">
      <c r="B20" s="231">
        <v>1.6238425925925927E-2</v>
      </c>
      <c r="N20" s="40">
        <v>44965</v>
      </c>
      <c r="O20" s="2">
        <v>2.4305555555555556E-2</v>
      </c>
    </row>
    <row r="21" spans="2:15" x14ac:dyDescent="0.35">
      <c r="B21" s="231">
        <v>1.7500000000000002E-2</v>
      </c>
      <c r="N21" s="40">
        <v>44968</v>
      </c>
      <c r="O21" s="2">
        <v>4.9305555555555554E-2</v>
      </c>
    </row>
    <row r="22" spans="2:15" x14ac:dyDescent="0.35">
      <c r="N22" s="40">
        <v>44969</v>
      </c>
      <c r="O22" s="2">
        <v>3.125E-2</v>
      </c>
    </row>
    <row r="23" spans="2:15" x14ac:dyDescent="0.35">
      <c r="N23" s="40">
        <v>44972</v>
      </c>
      <c r="O23" s="2">
        <v>2.6388888888888889E-2</v>
      </c>
    </row>
    <row r="24" spans="2:15" x14ac:dyDescent="0.35">
      <c r="N24" s="40">
        <v>44973</v>
      </c>
      <c r="O24" s="2">
        <v>2.4999999999999998E-2</v>
      </c>
    </row>
    <row r="25" spans="2:15" x14ac:dyDescent="0.35">
      <c r="N25" s="40">
        <v>44975</v>
      </c>
      <c r="O25" s="2">
        <v>7.7777777777777779E-2</v>
      </c>
    </row>
    <row r="26" spans="2:15" x14ac:dyDescent="0.35">
      <c r="N26" s="40">
        <v>44982</v>
      </c>
      <c r="O26" s="2">
        <v>3.888888888888889E-2</v>
      </c>
    </row>
    <row r="27" spans="2:15" x14ac:dyDescent="0.35">
      <c r="N27" s="40">
        <v>44986</v>
      </c>
      <c r="O27" s="2">
        <v>5.8333333333333327E-2</v>
      </c>
    </row>
    <row r="28" spans="2:15" x14ac:dyDescent="0.35">
      <c r="N28" s="40">
        <v>44989</v>
      </c>
      <c r="O28" s="2">
        <v>0.15694444444444444</v>
      </c>
    </row>
    <row r="29" spans="2:15" x14ac:dyDescent="0.35">
      <c r="N29" s="40">
        <v>44992</v>
      </c>
      <c r="O29" s="2">
        <v>1.0416666666666666E-2</v>
      </c>
    </row>
    <row r="30" spans="2:15" x14ac:dyDescent="0.35">
      <c r="N30" s="40">
        <v>44999</v>
      </c>
      <c r="O30" s="2">
        <v>1.0416666666666666E-2</v>
      </c>
    </row>
    <row r="31" spans="2:15" x14ac:dyDescent="0.35">
      <c r="N31" s="40">
        <v>45000</v>
      </c>
      <c r="O31" s="2">
        <v>4.3750000000000004E-2</v>
      </c>
    </row>
    <row r="32" spans="2:15" x14ac:dyDescent="0.35">
      <c r="N32" s="40">
        <v>45002</v>
      </c>
      <c r="O32" s="2">
        <v>1.0416666666666666E-2</v>
      </c>
    </row>
    <row r="33" spans="14:15" x14ac:dyDescent="0.35">
      <c r="N33" s="40">
        <v>45008</v>
      </c>
      <c r="O33" s="2">
        <v>1.0416666666666666E-2</v>
      </c>
    </row>
    <row r="34" spans="14:15" x14ac:dyDescent="0.35">
      <c r="N34" s="40">
        <v>45009</v>
      </c>
      <c r="O34" s="2">
        <v>4.8611111111111112E-2</v>
      </c>
    </row>
    <row r="35" spans="14:15" x14ac:dyDescent="0.35">
      <c r="N35" s="40">
        <v>45010</v>
      </c>
      <c r="O35" s="2">
        <v>3.0555555555555555E-2</v>
      </c>
    </row>
    <row r="36" spans="14:15" x14ac:dyDescent="0.35">
      <c r="N36" s="40">
        <v>45014</v>
      </c>
      <c r="O36" s="2">
        <v>7.6388888888888886E-3</v>
      </c>
    </row>
    <row r="37" spans="14:15" x14ac:dyDescent="0.35">
      <c r="N37" s="40">
        <v>45015</v>
      </c>
      <c r="O37" s="2">
        <v>1.5972222222222224E-2</v>
      </c>
    </row>
    <row r="38" spans="14:15" x14ac:dyDescent="0.35">
      <c r="N38" s="40">
        <v>45016</v>
      </c>
      <c r="O38" s="2">
        <v>2.4305555555555556E-2</v>
      </c>
    </row>
    <row r="39" spans="14:15" x14ac:dyDescent="0.35">
      <c r="N39" s="40">
        <v>45017</v>
      </c>
      <c r="O39" s="2">
        <v>2.4999999999999998E-2</v>
      </c>
    </row>
    <row r="40" spans="14:15" x14ac:dyDescent="0.35">
      <c r="N40" s="40">
        <v>45031</v>
      </c>
      <c r="O40" s="2">
        <v>3.3333333333333333E-2</v>
      </c>
    </row>
    <row r="41" spans="14:15" x14ac:dyDescent="0.35">
      <c r="N41" s="40">
        <v>45036</v>
      </c>
      <c r="O41" s="2">
        <v>4.8611111111111112E-3</v>
      </c>
    </row>
    <row r="42" spans="14:15" x14ac:dyDescent="0.35">
      <c r="N42" s="40">
        <v>45037</v>
      </c>
      <c r="O42" s="2">
        <v>1.1111111111111112E-2</v>
      </c>
    </row>
    <row r="43" spans="14:15" x14ac:dyDescent="0.35">
      <c r="N43" s="40">
        <v>45038</v>
      </c>
      <c r="O43" s="2">
        <v>6.805555555555555E-2</v>
      </c>
    </row>
    <row r="44" spans="14:15" x14ac:dyDescent="0.35">
      <c r="N44" s="40">
        <v>45039</v>
      </c>
      <c r="O44" s="2">
        <v>5.5555555555555558E-3</v>
      </c>
    </row>
    <row r="45" spans="14:15" x14ac:dyDescent="0.35">
      <c r="N45" s="40">
        <v>45042</v>
      </c>
      <c r="O45" s="2">
        <v>2.2916666666666669E-2</v>
      </c>
    </row>
    <row r="46" spans="14:15" x14ac:dyDescent="0.35">
      <c r="N46" s="40">
        <v>45044</v>
      </c>
      <c r="O46" s="2">
        <v>1.3888888888888888E-2</v>
      </c>
    </row>
    <row r="47" spans="14:15" x14ac:dyDescent="0.35">
      <c r="N47" s="40">
        <v>45045</v>
      </c>
      <c r="O47" s="2">
        <v>9.7222222222222224E-3</v>
      </c>
    </row>
    <row r="48" spans="14:15" x14ac:dyDescent="0.35">
      <c r="N48" s="40">
        <v>45046</v>
      </c>
      <c r="O48" s="2">
        <v>1.0416666666666666E-2</v>
      </c>
    </row>
    <row r="49" spans="14:15" x14ac:dyDescent="0.35">
      <c r="N49" s="40">
        <v>45049</v>
      </c>
      <c r="O49" s="2">
        <v>4.2361111111111106E-2</v>
      </c>
    </row>
    <row r="50" spans="14:15" x14ac:dyDescent="0.35">
      <c r="N50" s="40">
        <v>45050</v>
      </c>
      <c r="O50" s="2">
        <v>1.8055555555555557E-2</v>
      </c>
    </row>
    <row r="51" spans="14:15" x14ac:dyDescent="0.35">
      <c r="N51" s="40">
        <v>45051</v>
      </c>
      <c r="O51" s="2">
        <v>3.0555555555555555E-2</v>
      </c>
    </row>
    <row r="52" spans="14:15" x14ac:dyDescent="0.35">
      <c r="N52" s="40">
        <v>45053</v>
      </c>
      <c r="O52" s="2">
        <v>1.1805555555555555E-2</v>
      </c>
    </row>
    <row r="53" spans="14:15" x14ac:dyDescent="0.35">
      <c r="N53" s="40">
        <v>45056</v>
      </c>
      <c r="O53" s="2">
        <v>3.4722222222222224E-2</v>
      </c>
    </row>
    <row r="54" spans="14:15" x14ac:dyDescent="0.35">
      <c r="N54" s="40">
        <v>45058</v>
      </c>
      <c r="O54" s="2">
        <v>1.2499999999999999E-2</v>
      </c>
    </row>
    <row r="55" spans="14:15" x14ac:dyDescent="0.35">
      <c r="N55" s="40">
        <v>45064</v>
      </c>
      <c r="O55" s="2">
        <v>1.0416666666666666E-2</v>
      </c>
    </row>
    <row r="56" spans="14:15" x14ac:dyDescent="0.35">
      <c r="N56" s="40">
        <v>45068</v>
      </c>
      <c r="O56" s="2">
        <v>1.5277777777777777E-2</v>
      </c>
    </row>
    <row r="57" spans="14:15" x14ac:dyDescent="0.35">
      <c r="N57" s="40">
        <v>45070</v>
      </c>
      <c r="O57" s="2">
        <v>1.3194444444444444E-2</v>
      </c>
    </row>
    <row r="58" spans="14:15" x14ac:dyDescent="0.35">
      <c r="N58" s="40">
        <v>45072</v>
      </c>
      <c r="O58" s="2">
        <v>2.9861111111111113E-2</v>
      </c>
    </row>
    <row r="59" spans="14:15" x14ac:dyDescent="0.35">
      <c r="N59" s="40">
        <v>45078</v>
      </c>
      <c r="O59" s="2">
        <v>1.1111111111111112E-2</v>
      </c>
    </row>
    <row r="60" spans="14:15" x14ac:dyDescent="0.35">
      <c r="N60" s="40">
        <v>45079</v>
      </c>
      <c r="O60" s="2">
        <v>5.5555555555555558E-3</v>
      </c>
    </row>
    <row r="61" spans="14:15" x14ac:dyDescent="0.35">
      <c r="N61" s="40">
        <v>45086</v>
      </c>
      <c r="O61" s="2">
        <v>1.9444444444444445E-2</v>
      </c>
    </row>
    <row r="62" spans="14:15" x14ac:dyDescent="0.35">
      <c r="N62" s="40">
        <v>45087</v>
      </c>
      <c r="O62" s="2">
        <v>4.1666666666666666E-3</v>
      </c>
    </row>
    <row r="63" spans="14:15" x14ac:dyDescent="0.35">
      <c r="N63" s="40">
        <v>45097</v>
      </c>
      <c r="O63" s="2">
        <v>9.0277777777777787E-3</v>
      </c>
    </row>
    <row r="64" spans="14:15" x14ac:dyDescent="0.35">
      <c r="N64" s="40">
        <v>45100</v>
      </c>
      <c r="O64" s="2">
        <v>2.0833333333333333E-3</v>
      </c>
    </row>
    <row r="65" spans="14:15" x14ac:dyDescent="0.35">
      <c r="N65" s="40">
        <v>45112</v>
      </c>
      <c r="O65" s="2">
        <v>9.0277777777777787E-3</v>
      </c>
    </row>
    <row r="66" spans="14:15" x14ac:dyDescent="0.35">
      <c r="N66" s="40">
        <v>45115</v>
      </c>
      <c r="O66" s="2">
        <v>3.125E-2</v>
      </c>
    </row>
    <row r="67" spans="14:15" x14ac:dyDescent="0.35">
      <c r="N67" s="40">
        <v>45116</v>
      </c>
      <c r="O67" s="2">
        <v>7.6388888888888886E-3</v>
      </c>
    </row>
    <row r="68" spans="14:15" x14ac:dyDescent="0.35">
      <c r="N68" s="40">
        <v>45118</v>
      </c>
      <c r="O68" s="2">
        <v>1.3888888888888888E-2</v>
      </c>
    </row>
    <row r="69" spans="14:15" x14ac:dyDescent="0.35">
      <c r="N69" s="40">
        <v>45120</v>
      </c>
      <c r="O69" s="2">
        <v>1.2499999999999999E-2</v>
      </c>
    </row>
    <row r="70" spans="14:15" x14ac:dyDescent="0.35">
      <c r="N70" s="40">
        <v>45122</v>
      </c>
      <c r="O70" s="2">
        <v>1.9444444444444445E-2</v>
      </c>
    </row>
    <row r="71" spans="14:15" x14ac:dyDescent="0.35">
      <c r="N71" s="40">
        <v>45123</v>
      </c>
      <c r="O71" s="2">
        <v>1.4583333333333332E-2</v>
      </c>
    </row>
    <row r="72" spans="14:15" x14ac:dyDescent="0.35">
      <c r="N72" s="40">
        <v>45136</v>
      </c>
      <c r="O72" s="2">
        <v>8.3333333333333332E-3</v>
      </c>
    </row>
    <row r="73" spans="14:15" x14ac:dyDescent="0.35">
      <c r="N73" s="40">
        <v>45138</v>
      </c>
      <c r="O73" s="2">
        <v>3.4722222222222224E-2</v>
      </c>
    </row>
    <row r="74" spans="14:15" x14ac:dyDescent="0.35">
      <c r="N74" s="40">
        <v>45142</v>
      </c>
      <c r="O74" s="2">
        <v>1.3194444444444444E-2</v>
      </c>
    </row>
    <row r="75" spans="14:15" x14ac:dyDescent="0.35">
      <c r="N75" s="40">
        <v>45143</v>
      </c>
      <c r="O75" s="2">
        <v>1.5277777777777777E-2</v>
      </c>
    </row>
    <row r="76" spans="14:15" x14ac:dyDescent="0.35">
      <c r="N76" s="40">
        <v>45144</v>
      </c>
      <c r="O76" s="2">
        <v>2.5694444444444447E-2</v>
      </c>
    </row>
    <row r="77" spans="14:15" x14ac:dyDescent="0.35">
      <c r="N77" s="40">
        <v>45145</v>
      </c>
      <c r="O77" s="2">
        <v>6.2499999999999995E-3</v>
      </c>
    </row>
    <row r="78" spans="14:15" x14ac:dyDescent="0.35">
      <c r="N78" s="40">
        <v>45146</v>
      </c>
      <c r="O78" s="2">
        <v>9.7222222222222224E-3</v>
      </c>
    </row>
    <row r="79" spans="14:15" x14ac:dyDescent="0.35">
      <c r="N79" s="40">
        <v>45149</v>
      </c>
      <c r="O79" s="2">
        <v>2.0833333333333333E-3</v>
      </c>
    </row>
    <row r="80" spans="14:15" x14ac:dyDescent="0.35">
      <c r="N80" s="40">
        <v>45154</v>
      </c>
      <c r="O80" s="2">
        <v>1.3194444444444444E-2</v>
      </c>
    </row>
    <row r="81" spans="14:15" x14ac:dyDescent="0.35">
      <c r="N81" s="40">
        <v>45155</v>
      </c>
      <c r="O81" s="2">
        <v>1.7361111111111112E-2</v>
      </c>
    </row>
    <row r="82" spans="14:15" x14ac:dyDescent="0.35">
      <c r="N82" s="40">
        <v>45156</v>
      </c>
      <c r="O82" s="2">
        <v>4.7916666666666663E-2</v>
      </c>
    </row>
    <row r="83" spans="14:15" x14ac:dyDescent="0.35">
      <c r="N83" s="40">
        <v>45157</v>
      </c>
      <c r="O83" s="2">
        <v>1.8749999999999999E-2</v>
      </c>
    </row>
    <row r="84" spans="14:15" x14ac:dyDescent="0.35">
      <c r="N84" s="40">
        <v>45162</v>
      </c>
      <c r="O84" s="2">
        <v>1.1805555555555555E-2</v>
      </c>
    </row>
    <row r="85" spans="14:15" x14ac:dyDescent="0.35">
      <c r="N85" s="40">
        <v>45164</v>
      </c>
      <c r="O85" s="2">
        <v>1.1805555555555555E-2</v>
      </c>
    </row>
    <row r="86" spans="14:15" x14ac:dyDescent="0.35">
      <c r="N86" s="40">
        <v>45166</v>
      </c>
      <c r="O86" s="2">
        <v>4.4444444444444446E-2</v>
      </c>
    </row>
    <row r="87" spans="14:15" x14ac:dyDescent="0.35">
      <c r="N87" s="40">
        <v>45167</v>
      </c>
      <c r="O87" s="2">
        <v>5.5555555555555558E-3</v>
      </c>
    </row>
    <row r="88" spans="14:15" x14ac:dyDescent="0.35">
      <c r="N88" s="40">
        <v>45168</v>
      </c>
      <c r="O88" s="2">
        <v>6.2499999999999995E-3</v>
      </c>
    </row>
    <row r="89" spans="14:15" x14ac:dyDescent="0.35">
      <c r="N89" s="40">
        <v>45169</v>
      </c>
      <c r="O89" s="2">
        <v>1.3888888888888888E-2</v>
      </c>
    </row>
    <row r="90" spans="14:15" x14ac:dyDescent="0.35">
      <c r="N90" s="40">
        <v>45170</v>
      </c>
      <c r="O90" s="2">
        <v>1.0416666666666666E-2</v>
      </c>
    </row>
    <row r="91" spans="14:15" x14ac:dyDescent="0.35">
      <c r="N91" s="40">
        <v>45171</v>
      </c>
      <c r="O91" s="2">
        <v>5.0694444444444452E-2</v>
      </c>
    </row>
    <row r="92" spans="14:15" x14ac:dyDescent="0.35">
      <c r="N92" s="40">
        <v>45175</v>
      </c>
      <c r="O92" s="2">
        <v>1.1805555555555555E-2</v>
      </c>
    </row>
    <row r="93" spans="14:15" x14ac:dyDescent="0.35">
      <c r="N93" s="40">
        <v>45176</v>
      </c>
      <c r="O93" s="2">
        <v>3.5416666666666666E-2</v>
      </c>
    </row>
    <row r="94" spans="14:15" x14ac:dyDescent="0.35">
      <c r="N94" s="40">
        <v>45177</v>
      </c>
      <c r="O94" s="2">
        <v>1.1805555555555555E-2</v>
      </c>
    </row>
    <row r="95" spans="14:15" x14ac:dyDescent="0.35">
      <c r="N95" s="40">
        <v>45179</v>
      </c>
      <c r="O95" s="2">
        <v>1.8055555555555557E-2</v>
      </c>
    </row>
    <row r="96" spans="14:15" x14ac:dyDescent="0.35">
      <c r="N96" s="40">
        <v>45180</v>
      </c>
      <c r="O96" s="2">
        <v>2.7777777777777779E-3</v>
      </c>
    </row>
    <row r="97" spans="14:15" x14ac:dyDescent="0.35">
      <c r="N97" s="40">
        <v>45185</v>
      </c>
      <c r="O97" s="2">
        <v>5.6944444444444443E-2</v>
      </c>
    </row>
    <row r="98" spans="14:15" x14ac:dyDescent="0.35">
      <c r="N98" s="40">
        <v>45185</v>
      </c>
      <c r="O98" s="2">
        <v>1.2499999999999999E-2</v>
      </c>
    </row>
    <row r="99" spans="14:15" x14ac:dyDescent="0.35">
      <c r="N99" s="40">
        <v>45190</v>
      </c>
      <c r="O99" s="2">
        <v>8.3333333333333332E-3</v>
      </c>
    </row>
    <row r="100" spans="14:15" x14ac:dyDescent="0.35">
      <c r="N100" s="40">
        <v>45192</v>
      </c>
      <c r="O100" s="2">
        <v>2.1527777777777781E-2</v>
      </c>
    </row>
    <row r="101" spans="14:15" x14ac:dyDescent="0.35">
      <c r="N101" s="40">
        <v>45194</v>
      </c>
      <c r="O101" s="2">
        <v>3.5416666666666666E-2</v>
      </c>
    </row>
    <row r="102" spans="14:15" x14ac:dyDescent="0.35">
      <c r="N102" s="40">
        <v>45195</v>
      </c>
      <c r="O102" s="2">
        <v>2.7777777777777779E-3</v>
      </c>
    </row>
    <row r="103" spans="14:15" x14ac:dyDescent="0.35">
      <c r="N103" s="40">
        <v>45196</v>
      </c>
      <c r="O103" s="2">
        <v>4.1666666666666666E-3</v>
      </c>
    </row>
    <row r="104" spans="14:15" x14ac:dyDescent="0.35">
      <c r="N104" s="40">
        <v>45199</v>
      </c>
      <c r="O104" s="2">
        <v>1.5277777777777777E-2</v>
      </c>
    </row>
    <row r="105" spans="14:15" x14ac:dyDescent="0.35">
      <c r="N105" s="40">
        <v>45201</v>
      </c>
      <c r="O105" s="2">
        <v>6.2499999999999995E-3</v>
      </c>
    </row>
    <row r="106" spans="14:15" x14ac:dyDescent="0.35">
      <c r="N106" s="40">
        <v>45205</v>
      </c>
      <c r="O106" s="2">
        <v>1.6666666666666666E-2</v>
      </c>
    </row>
    <row r="107" spans="14:15" x14ac:dyDescent="0.35">
      <c r="N107" s="40">
        <v>45208</v>
      </c>
      <c r="O107" s="2">
        <v>9.7222222222222224E-3</v>
      </c>
    </row>
    <row r="108" spans="14:15" x14ac:dyDescent="0.35">
      <c r="N108" s="40">
        <v>45209</v>
      </c>
      <c r="O108" s="2">
        <v>9.0277777777777787E-3</v>
      </c>
    </row>
    <row r="109" spans="14:15" x14ac:dyDescent="0.35">
      <c r="N109" s="40">
        <v>45212</v>
      </c>
      <c r="O109" s="2">
        <v>6.9444444444444441E-3</v>
      </c>
    </row>
    <row r="110" spans="14:15" x14ac:dyDescent="0.35">
      <c r="N110" s="40">
        <v>45212</v>
      </c>
      <c r="O110" s="2">
        <v>1.5972222222222224E-2</v>
      </c>
    </row>
    <row r="111" spans="14:15" x14ac:dyDescent="0.35">
      <c r="N111" s="40">
        <v>45222</v>
      </c>
      <c r="O111" s="2">
        <v>1.0416666666666666E-2</v>
      </c>
    </row>
    <row r="112" spans="14:15" x14ac:dyDescent="0.35">
      <c r="N112" s="40">
        <v>45228</v>
      </c>
      <c r="O112" s="2">
        <v>5.0694444444444452E-2</v>
      </c>
    </row>
    <row r="113" spans="14:15" x14ac:dyDescent="0.35">
      <c r="N113" s="40">
        <v>45229</v>
      </c>
      <c r="O113" s="2">
        <v>2.7777777777777779E-3</v>
      </c>
    </row>
    <row r="114" spans="14:15" x14ac:dyDescent="0.35">
      <c r="N114" s="40">
        <v>45230</v>
      </c>
      <c r="O114" s="2">
        <v>6.9444444444444441E-3</v>
      </c>
    </row>
    <row r="115" spans="14:15" x14ac:dyDescent="0.35">
      <c r="N115" s="40">
        <v>45231</v>
      </c>
      <c r="O115" s="2">
        <v>2.4999999999999998E-2</v>
      </c>
    </row>
    <row r="116" spans="14:15" x14ac:dyDescent="0.35">
      <c r="N116" s="40">
        <v>45233</v>
      </c>
      <c r="O116" s="2">
        <v>9.0277777777777787E-3</v>
      </c>
    </row>
    <row r="117" spans="14:15" x14ac:dyDescent="0.35">
      <c r="N117" s="40">
        <v>45236</v>
      </c>
      <c r="O117" s="2">
        <v>1.2499999999999999E-2</v>
      </c>
    </row>
    <row r="118" spans="14:15" x14ac:dyDescent="0.35">
      <c r="N118" s="40">
        <v>45238</v>
      </c>
      <c r="O118" s="2">
        <v>3.472222222222222E-3</v>
      </c>
    </row>
    <row r="119" spans="14:15" x14ac:dyDescent="0.35">
      <c r="N119" s="40">
        <v>45240</v>
      </c>
      <c r="O119" s="2">
        <v>1.2499999999999999E-2</v>
      </c>
    </row>
    <row r="120" spans="14:15" x14ac:dyDescent="0.35">
      <c r="N120" s="40">
        <v>45241</v>
      </c>
      <c r="O120" s="2">
        <v>6.9444444444444441E-3</v>
      </c>
    </row>
    <row r="121" spans="14:15" x14ac:dyDescent="0.35">
      <c r="N121" s="40">
        <v>45242</v>
      </c>
      <c r="O121" s="2">
        <v>2.4999999999999998E-2</v>
      </c>
    </row>
    <row r="122" spans="14:15" x14ac:dyDescent="0.35">
      <c r="N122" s="40">
        <v>45244</v>
      </c>
      <c r="O122" s="2">
        <v>2.7777777777777779E-3</v>
      </c>
    </row>
    <row r="123" spans="14:15" x14ac:dyDescent="0.35">
      <c r="N123" s="40">
        <v>45258</v>
      </c>
      <c r="O123" s="2">
        <v>1.8055555555555557E-2</v>
      </c>
    </row>
    <row r="124" spans="14:15" x14ac:dyDescent="0.35">
      <c r="N124" s="40">
        <v>45266</v>
      </c>
      <c r="O124" s="2">
        <v>2.013888888888889E-2</v>
      </c>
    </row>
    <row r="125" spans="14:15" x14ac:dyDescent="0.35">
      <c r="N125" s="40">
        <v>45268</v>
      </c>
      <c r="O125" s="2">
        <v>1.0416666666666666E-2</v>
      </c>
    </row>
    <row r="126" spans="14:15" x14ac:dyDescent="0.35">
      <c r="N126" s="40">
        <v>45269</v>
      </c>
      <c r="O126" s="2">
        <v>1.9444444444444445E-2</v>
      </c>
    </row>
    <row r="127" spans="14:15" x14ac:dyDescent="0.35">
      <c r="N127" s="40">
        <v>45274</v>
      </c>
      <c r="O127" s="2">
        <v>9.7222222222222224E-3</v>
      </c>
    </row>
    <row r="128" spans="14:15" x14ac:dyDescent="0.35">
      <c r="N128" s="40">
        <v>45276</v>
      </c>
      <c r="O128" s="2">
        <v>4.1666666666666666E-3</v>
      </c>
    </row>
    <row r="129" spans="14:15" x14ac:dyDescent="0.35">
      <c r="N129" s="40">
        <v>45278</v>
      </c>
      <c r="O129" s="2">
        <v>5.5555555555555558E-3</v>
      </c>
    </row>
    <row r="130" spans="14:15" x14ac:dyDescent="0.35">
      <c r="N130" s="40">
        <v>45282</v>
      </c>
      <c r="O130" s="2">
        <v>1.2499999999999999E-2</v>
      </c>
    </row>
    <row r="131" spans="14:15" x14ac:dyDescent="0.35">
      <c r="N131" s="40">
        <v>45287</v>
      </c>
      <c r="O131" s="2">
        <v>3.472222222222222E-3</v>
      </c>
    </row>
    <row r="132" spans="14:15" x14ac:dyDescent="0.35">
      <c r="N132" s="40">
        <v>45289</v>
      </c>
      <c r="O132" s="2">
        <v>2.8472222222222222E-2</v>
      </c>
    </row>
    <row r="133" spans="14:15" x14ac:dyDescent="0.35">
      <c r="N133" s="40">
        <v>45293</v>
      </c>
      <c r="O133" s="2">
        <v>3.4722222222222224E-2</v>
      </c>
    </row>
    <row r="134" spans="14:15" x14ac:dyDescent="0.35">
      <c r="N134" s="40">
        <v>45297</v>
      </c>
      <c r="O134" s="2">
        <v>1.1805555555555555E-2</v>
      </c>
    </row>
    <row r="135" spans="14:15" x14ac:dyDescent="0.35">
      <c r="N135" s="40">
        <v>45298</v>
      </c>
      <c r="O135" s="2">
        <v>6.2499999999999995E-3</v>
      </c>
    </row>
    <row r="136" spans="14:15" x14ac:dyDescent="0.35">
      <c r="N136" s="40">
        <v>45304</v>
      </c>
      <c r="O136" s="2">
        <v>4.1666666666666666E-3</v>
      </c>
    </row>
    <row r="137" spans="14:15" x14ac:dyDescent="0.35">
      <c r="N137" s="40">
        <v>45305</v>
      </c>
      <c r="O137" s="2">
        <v>2.7777777777777779E-3</v>
      </c>
    </row>
    <row r="138" spans="14:15" x14ac:dyDescent="0.35">
      <c r="N138" s="40">
        <v>45307</v>
      </c>
      <c r="O138" s="2">
        <v>6.2499999999999995E-3</v>
      </c>
    </row>
    <row r="139" spans="14:15" x14ac:dyDescent="0.35">
      <c r="N139" s="40">
        <v>45311</v>
      </c>
      <c r="O139" s="2">
        <v>3.125E-2</v>
      </c>
    </row>
    <row r="140" spans="14:15" x14ac:dyDescent="0.35">
      <c r="N140" s="40">
        <v>45313</v>
      </c>
      <c r="O140" s="2">
        <v>6.9444444444444441E-3</v>
      </c>
    </row>
    <row r="141" spans="14:15" x14ac:dyDescent="0.35">
      <c r="N141" s="40">
        <v>45317</v>
      </c>
      <c r="O141" s="2">
        <v>8.3333333333333332E-3</v>
      </c>
    </row>
    <row r="142" spans="14:15" x14ac:dyDescent="0.35">
      <c r="N142" s="40">
        <v>45327</v>
      </c>
      <c r="O142" s="2">
        <v>5.5555555555555558E-3</v>
      </c>
    </row>
    <row r="143" spans="14:15" x14ac:dyDescent="0.35">
      <c r="N143" s="40">
        <v>45329</v>
      </c>
      <c r="O143" s="2">
        <v>4.8611111111111112E-3</v>
      </c>
    </row>
    <row r="144" spans="14:15" x14ac:dyDescent="0.35">
      <c r="N144" s="40">
        <v>45330</v>
      </c>
      <c r="O144" s="2">
        <v>9.7222222222222224E-3</v>
      </c>
    </row>
    <row r="145" spans="14:15" x14ac:dyDescent="0.35">
      <c r="N145" s="40">
        <v>45331</v>
      </c>
      <c r="O145" s="2">
        <v>5.5555555555555558E-3</v>
      </c>
    </row>
    <row r="146" spans="14:15" x14ac:dyDescent="0.35">
      <c r="N146" s="40">
        <v>45332</v>
      </c>
      <c r="O146" s="2">
        <v>4.8611111111111112E-3</v>
      </c>
    </row>
    <row r="147" spans="14:15" x14ac:dyDescent="0.35">
      <c r="N147" s="40">
        <v>45335</v>
      </c>
      <c r="O147" s="2">
        <v>8.3333333333333332E-3</v>
      </c>
    </row>
    <row r="148" spans="14:15" x14ac:dyDescent="0.35">
      <c r="N148" s="40">
        <v>45338</v>
      </c>
      <c r="O148" s="2">
        <v>1.3194444444444444E-2</v>
      </c>
    </row>
    <row r="149" spans="14:15" x14ac:dyDescent="0.35">
      <c r="N149" s="40">
        <v>45339</v>
      </c>
      <c r="O149" s="2">
        <v>4.1666666666666666E-3</v>
      </c>
    </row>
    <row r="150" spans="14:15" x14ac:dyDescent="0.35">
      <c r="N150" s="40">
        <v>45343</v>
      </c>
      <c r="O150" s="2">
        <v>2.5000000000000001E-2</v>
      </c>
    </row>
    <row r="151" spans="14:15" x14ac:dyDescent="0.35">
      <c r="N151" s="40">
        <v>45346</v>
      </c>
      <c r="O151" s="2">
        <v>6.5277777777777782E-2</v>
      </c>
    </row>
    <row r="152" spans="14:15" x14ac:dyDescent="0.35">
      <c r="N152" s="40">
        <v>45360</v>
      </c>
      <c r="O152" s="2">
        <v>1.2500000000000001E-2</v>
      </c>
    </row>
    <row r="153" spans="14:15" x14ac:dyDescent="0.35">
      <c r="N153" s="40">
        <v>45362</v>
      </c>
      <c r="O153" s="2">
        <v>3.4722222222222224E-2</v>
      </c>
    </row>
    <row r="154" spans="14:15" x14ac:dyDescent="0.35">
      <c r="N154" s="40">
        <v>45366</v>
      </c>
      <c r="O154" s="2">
        <v>1.0416666666666666E-2</v>
      </c>
    </row>
    <row r="155" spans="14:15" x14ac:dyDescent="0.35">
      <c r="N155" s="40">
        <v>45376</v>
      </c>
      <c r="O155" s="2">
        <v>6.9444444444444441E-3</v>
      </c>
    </row>
    <row r="156" spans="14:15" x14ac:dyDescent="0.35">
      <c r="N156" s="40">
        <v>45378</v>
      </c>
      <c r="O156" s="2">
        <v>4.1666666666666666E-3</v>
      </c>
    </row>
    <row r="157" spans="14:15" x14ac:dyDescent="0.35">
      <c r="N157" s="40">
        <v>45384</v>
      </c>
      <c r="O157" s="2">
        <v>4.1666666666666666E-3</v>
      </c>
    </row>
    <row r="158" spans="14:15" x14ac:dyDescent="0.35">
      <c r="N158" s="40">
        <v>45385</v>
      </c>
      <c r="O158" s="2">
        <v>1.8749999999999999E-2</v>
      </c>
    </row>
    <row r="159" spans="14:15" x14ac:dyDescent="0.35">
      <c r="N159" s="40">
        <v>45391</v>
      </c>
      <c r="O159" s="2">
        <v>6.9444444444444441E-3</v>
      </c>
    </row>
    <row r="160" spans="14:15" x14ac:dyDescent="0.35">
      <c r="N160" s="40">
        <v>45395</v>
      </c>
      <c r="O160" s="2">
        <v>2.7083333333333334E-2</v>
      </c>
    </row>
    <row r="161" spans="14:15" x14ac:dyDescent="0.35">
      <c r="N161" s="40">
        <v>45399</v>
      </c>
      <c r="O161" s="2">
        <v>1.5277777777777777E-2</v>
      </c>
    </row>
    <row r="162" spans="14:15" x14ac:dyDescent="0.35">
      <c r="N162" s="40">
        <v>45407</v>
      </c>
      <c r="O162" s="2">
        <v>9.0277777777777769E-3</v>
      </c>
    </row>
    <row r="163" spans="14:15" x14ac:dyDescent="0.35">
      <c r="N163" s="40">
        <v>45409</v>
      </c>
      <c r="O163" s="2">
        <v>4.8611111111111112E-3</v>
      </c>
    </row>
    <row r="164" spans="14:15" x14ac:dyDescent="0.35">
      <c r="N164" s="40">
        <v>45412</v>
      </c>
      <c r="O164" s="2">
        <v>1.1805555555555555E-2</v>
      </c>
    </row>
    <row r="165" spans="14:15" x14ac:dyDescent="0.35">
      <c r="N165" s="40">
        <v>45413</v>
      </c>
      <c r="O165" s="2">
        <v>2.0833333333333333E-3</v>
      </c>
    </row>
    <row r="166" spans="14:15" x14ac:dyDescent="0.35">
      <c r="N166" s="40">
        <v>45414</v>
      </c>
      <c r="O166" s="2">
        <v>2.7777777777777779E-3</v>
      </c>
    </row>
    <row r="167" spans="14:15" x14ac:dyDescent="0.35">
      <c r="N167" s="40">
        <v>45418</v>
      </c>
      <c r="O167" s="2">
        <v>8.3333333333333332E-3</v>
      </c>
    </row>
    <row r="168" spans="14:15" x14ac:dyDescent="0.35">
      <c r="N168" s="40">
        <v>45419</v>
      </c>
      <c r="O168" s="2">
        <v>4.1666666666666666E-3</v>
      </c>
    </row>
    <row r="169" spans="14:15" x14ac:dyDescent="0.35">
      <c r="N169" s="40">
        <v>45429</v>
      </c>
      <c r="O169" s="2">
        <v>1.6666666666666666E-2</v>
      </c>
    </row>
    <row r="170" spans="14:15" x14ac:dyDescent="0.35">
      <c r="N170" s="40">
        <v>45440</v>
      </c>
      <c r="O170" s="2">
        <v>1.4583333333333334E-2</v>
      </c>
    </row>
    <row r="171" spans="14:15" x14ac:dyDescent="0.35">
      <c r="N171" s="40">
        <v>45441</v>
      </c>
      <c r="O171" s="2">
        <v>1.1111111111111112E-2</v>
      </c>
    </row>
    <row r="172" spans="14:15" x14ac:dyDescent="0.35">
      <c r="N172" s="40">
        <v>45445</v>
      </c>
      <c r="O172" s="2">
        <v>1.2500000000000001E-2</v>
      </c>
    </row>
    <row r="173" spans="14:15" x14ac:dyDescent="0.35">
      <c r="N173" s="40">
        <v>45447</v>
      </c>
      <c r="O173" s="2">
        <v>4.1666666666666666E-3</v>
      </c>
    </row>
    <row r="174" spans="14:15" x14ac:dyDescent="0.35">
      <c r="N174" s="40">
        <v>45448</v>
      </c>
      <c r="O174" s="2">
        <v>9.0277777777777769E-3</v>
      </c>
    </row>
    <row r="175" spans="14:15" x14ac:dyDescent="0.35">
      <c r="N175" s="40">
        <v>45449</v>
      </c>
      <c r="O175" s="2">
        <v>1.3888888888888889E-3</v>
      </c>
    </row>
    <row r="176" spans="14:15" x14ac:dyDescent="0.35">
      <c r="N176" s="40">
        <v>45453</v>
      </c>
      <c r="O176" s="2">
        <v>2.9166666666666667E-2</v>
      </c>
    </row>
    <row r="177" spans="14:15" x14ac:dyDescent="0.35">
      <c r="N177" s="40">
        <v>45456</v>
      </c>
      <c r="O177" s="2">
        <v>3.2638888888888891E-2</v>
      </c>
    </row>
    <row r="178" spans="14:15" x14ac:dyDescent="0.35">
      <c r="N178" s="40">
        <v>45458</v>
      </c>
      <c r="O178" s="2">
        <v>1.9444444444444445E-2</v>
      </c>
    </row>
    <row r="179" spans="14:15" x14ac:dyDescent="0.35">
      <c r="N179" s="40">
        <v>45461</v>
      </c>
      <c r="O179" s="2">
        <v>1.8749999999999999E-2</v>
      </c>
    </row>
    <row r="180" spans="14:15" x14ac:dyDescent="0.35">
      <c r="N180" s="40">
        <v>45464</v>
      </c>
      <c r="O180" s="2">
        <v>6.9444444444444441E-3</v>
      </c>
    </row>
    <row r="181" spans="14:15" x14ac:dyDescent="0.35">
      <c r="N181" s="40">
        <v>45466</v>
      </c>
      <c r="O181" s="2">
        <v>3.4027777777777775E-2</v>
      </c>
    </row>
    <row r="182" spans="14:15" x14ac:dyDescent="0.35">
      <c r="N182" s="40">
        <v>45475</v>
      </c>
      <c r="O182" s="2">
        <v>8.3333333333333332E-3</v>
      </c>
    </row>
    <row r="183" spans="14:15" x14ac:dyDescent="0.35">
      <c r="N183" s="40">
        <v>45477</v>
      </c>
      <c r="O183" s="2">
        <v>7.6388888888888886E-3</v>
      </c>
    </row>
    <row r="184" spans="14:15" x14ac:dyDescent="0.35">
      <c r="N184" s="40">
        <v>45488</v>
      </c>
      <c r="O184" s="2">
        <v>6.2500000000000003E-3</v>
      </c>
    </row>
    <row r="185" spans="14:15" x14ac:dyDescent="0.35">
      <c r="N185" s="40">
        <v>45491</v>
      </c>
      <c r="O185" s="2">
        <v>4.8611111111111112E-3</v>
      </c>
    </row>
    <row r="186" spans="14:15" x14ac:dyDescent="0.35">
      <c r="N186" s="40">
        <v>45492</v>
      </c>
      <c r="O186" s="2">
        <v>4.8611111111111112E-3</v>
      </c>
    </row>
    <row r="187" spans="14:15" x14ac:dyDescent="0.35">
      <c r="N187" s="40">
        <v>45493</v>
      </c>
      <c r="O187" s="2">
        <v>1.1805555555555555E-2</v>
      </c>
    </row>
    <row r="188" spans="14:15" x14ac:dyDescent="0.35">
      <c r="N188" s="40">
        <v>45497</v>
      </c>
      <c r="O188" s="2">
        <v>3.472222222222222E-3</v>
      </c>
    </row>
    <row r="189" spans="14:15" x14ac:dyDescent="0.35">
      <c r="N189" s="40">
        <v>45502</v>
      </c>
      <c r="O189" s="2">
        <v>7.6388888888888886E-3</v>
      </c>
    </row>
    <row r="190" spans="14:15" x14ac:dyDescent="0.35">
      <c r="N190" s="40">
        <v>45508</v>
      </c>
      <c r="O190" s="2">
        <v>1.5277777777777777E-2</v>
      </c>
    </row>
    <row r="191" spans="14:15" x14ac:dyDescent="0.35">
      <c r="N191" s="40">
        <v>45510</v>
      </c>
      <c r="O191" s="2">
        <v>2.2916666666666665E-2</v>
      </c>
    </row>
    <row r="192" spans="14:15" x14ac:dyDescent="0.35">
      <c r="N192" s="40">
        <v>45513</v>
      </c>
      <c r="O192" s="2">
        <v>3.472222222222222E-3</v>
      </c>
    </row>
    <row r="193" spans="14:15" x14ac:dyDescent="0.35">
      <c r="N193" s="40">
        <v>45517</v>
      </c>
      <c r="O193" s="2">
        <v>7.4999999999999997E-2</v>
      </c>
    </row>
    <row r="194" spans="14:15" x14ac:dyDescent="0.35">
      <c r="N194" s="40">
        <v>45520</v>
      </c>
      <c r="O194" s="2">
        <v>2.361111111111111E-2</v>
      </c>
    </row>
    <row r="195" spans="14:15" x14ac:dyDescent="0.35">
      <c r="N195" s="40">
        <v>45522</v>
      </c>
      <c r="O195" s="2">
        <v>2.2222222222222223E-2</v>
      </c>
    </row>
    <row r="196" spans="14:15" x14ac:dyDescent="0.35">
      <c r="N196" s="40">
        <v>45527</v>
      </c>
      <c r="O196" s="2">
        <v>1.1805555555555555E-2</v>
      </c>
    </row>
    <row r="197" spans="14:15" x14ac:dyDescent="0.35">
      <c r="N197" s="40">
        <v>45528</v>
      </c>
      <c r="O197" s="2">
        <v>1.5277777777777777E-2</v>
      </c>
    </row>
    <row r="198" spans="14:15" x14ac:dyDescent="0.35">
      <c r="N198" s="40">
        <v>45530</v>
      </c>
      <c r="O198" s="2">
        <v>1.7361111111111112E-2</v>
      </c>
    </row>
    <row r="199" spans="14:15" x14ac:dyDescent="0.35">
      <c r="N199" s="40">
        <v>45531</v>
      </c>
      <c r="O199" s="2">
        <v>2.2222222222222223E-2</v>
      </c>
    </row>
    <row r="200" spans="14:15" x14ac:dyDescent="0.35">
      <c r="N200" s="40">
        <v>45537</v>
      </c>
      <c r="O200" s="2">
        <v>1.0416666666666666E-2</v>
      </c>
    </row>
    <row r="201" spans="14:15" x14ac:dyDescent="0.35">
      <c r="N201" s="40">
        <v>45541</v>
      </c>
      <c r="O201" s="2">
        <v>7.6388888888888886E-3</v>
      </c>
    </row>
    <row r="202" spans="14:15" x14ac:dyDescent="0.35">
      <c r="N202" s="40">
        <v>45542</v>
      </c>
      <c r="O202" s="2">
        <v>4.1666666666666666E-3</v>
      </c>
    </row>
    <row r="203" spans="14:15" x14ac:dyDescent="0.35">
      <c r="N203" s="40">
        <v>45545</v>
      </c>
      <c r="O203" s="2">
        <v>4.8611111111111112E-3</v>
      </c>
    </row>
    <row r="204" spans="14:15" x14ac:dyDescent="0.35">
      <c r="N204" s="40">
        <v>45546</v>
      </c>
      <c r="O204" s="2">
        <v>9.7222222222222224E-3</v>
      </c>
    </row>
    <row r="205" spans="14:15" x14ac:dyDescent="0.35">
      <c r="N205" s="40">
        <v>45547</v>
      </c>
      <c r="O205" s="2">
        <v>1.9444444444444445E-2</v>
      </c>
    </row>
    <row r="206" spans="14:15" x14ac:dyDescent="0.35">
      <c r="N206" s="40">
        <v>45548</v>
      </c>
      <c r="O206" s="2">
        <v>4.8611111111111112E-3</v>
      </c>
    </row>
    <row r="207" spans="14:15" x14ac:dyDescent="0.35">
      <c r="N207" s="40">
        <v>45555</v>
      </c>
      <c r="O207" s="2">
        <v>1.2500000000000001E-2</v>
      </c>
    </row>
    <row r="208" spans="14:15" x14ac:dyDescent="0.35">
      <c r="N208" s="40">
        <v>45558</v>
      </c>
      <c r="O208" s="2">
        <v>1.3194444444444444E-2</v>
      </c>
    </row>
    <row r="209" spans="14:15" x14ac:dyDescent="0.35">
      <c r="N209" s="40">
        <v>45559</v>
      </c>
      <c r="O209" s="2">
        <v>7.6388888888888886E-3</v>
      </c>
    </row>
    <row r="210" spans="14:15" x14ac:dyDescent="0.35">
      <c r="N210" s="40">
        <v>45562</v>
      </c>
      <c r="O210" s="2">
        <v>9.7222222222222224E-3</v>
      </c>
    </row>
    <row r="211" spans="14:15" x14ac:dyDescent="0.35">
      <c r="N211" s="40">
        <v>45571</v>
      </c>
      <c r="O211" s="2">
        <v>1.8749999999999999E-2</v>
      </c>
    </row>
    <row r="212" spans="14:15" x14ac:dyDescent="0.35">
      <c r="N212" s="40">
        <v>45572</v>
      </c>
      <c r="O212" s="2">
        <v>6.9444444444444441E-3</v>
      </c>
    </row>
    <row r="213" spans="14:15" x14ac:dyDescent="0.35">
      <c r="N213" s="40">
        <v>45577</v>
      </c>
      <c r="O213" s="2">
        <v>4.8611111111111112E-3</v>
      </c>
    </row>
    <row r="214" spans="14:15" x14ac:dyDescent="0.35">
      <c r="N214" s="40">
        <v>45579</v>
      </c>
      <c r="O214" s="2">
        <v>1.3194444444444444E-2</v>
      </c>
    </row>
    <row r="215" spans="14:15" x14ac:dyDescent="0.35">
      <c r="N215" s="40">
        <v>45585</v>
      </c>
      <c r="O215" s="2">
        <v>4.8611111111111112E-3</v>
      </c>
    </row>
    <row r="216" spans="14:15" x14ac:dyDescent="0.35">
      <c r="N216" s="40">
        <v>45586</v>
      </c>
      <c r="O216" s="2">
        <v>2.7083333333333334E-2</v>
      </c>
    </row>
    <row r="217" spans="14:15" x14ac:dyDescent="0.35">
      <c r="N217" s="40">
        <v>45587</v>
      </c>
      <c r="O217" s="2">
        <v>6.2500000000000003E-3</v>
      </c>
    </row>
    <row r="218" spans="14:15" x14ac:dyDescent="0.35">
      <c r="N218" s="40">
        <v>45593</v>
      </c>
      <c r="O218" s="2">
        <v>4.1666666666666666E-3</v>
      </c>
    </row>
    <row r="219" spans="14:15" x14ac:dyDescent="0.35">
      <c r="N219" s="40">
        <v>45594</v>
      </c>
      <c r="O219" s="2">
        <v>8.3333333333333332E-3</v>
      </c>
    </row>
    <row r="220" spans="14:15" x14ac:dyDescent="0.35">
      <c r="N220" s="40">
        <v>45595</v>
      </c>
      <c r="O220" s="2">
        <v>1.1805555555555555E-2</v>
      </c>
    </row>
    <row r="221" spans="14:15" x14ac:dyDescent="0.35">
      <c r="N221" s="40">
        <v>45597</v>
      </c>
      <c r="O221" s="2">
        <v>1.2500000000000001E-2</v>
      </c>
    </row>
    <row r="222" spans="14:15" x14ac:dyDescent="0.35">
      <c r="N222" s="40">
        <v>45598</v>
      </c>
      <c r="O222" s="2">
        <v>2.5000000000000001E-2</v>
      </c>
    </row>
    <row r="223" spans="14:15" x14ac:dyDescent="0.35">
      <c r="N223" s="40">
        <v>45601</v>
      </c>
      <c r="O223" s="2">
        <v>1.2500000000000001E-2</v>
      </c>
    </row>
    <row r="224" spans="14:15" x14ac:dyDescent="0.35">
      <c r="N224" s="40">
        <v>45607</v>
      </c>
      <c r="O224" s="2">
        <v>4.1666666666666666E-3</v>
      </c>
    </row>
    <row r="225" spans="14:15" x14ac:dyDescent="0.35">
      <c r="N225" s="40">
        <v>45608</v>
      </c>
      <c r="O225" s="2">
        <v>1.4583333333333334E-2</v>
      </c>
    </row>
    <row r="226" spans="14:15" x14ac:dyDescent="0.35">
      <c r="N226" s="40">
        <v>45612</v>
      </c>
      <c r="O226" s="2">
        <v>6.2500000000000003E-3</v>
      </c>
    </row>
    <row r="227" spans="14:15" x14ac:dyDescent="0.35">
      <c r="N227" s="40">
        <v>45618</v>
      </c>
      <c r="O227" s="2">
        <v>0.05</v>
      </c>
    </row>
    <row r="228" spans="14:15" x14ac:dyDescent="0.35">
      <c r="N228" s="40">
        <v>45625</v>
      </c>
      <c r="O228" s="2">
        <v>1.1111111111111112E-2</v>
      </c>
    </row>
    <row r="229" spans="14:15" x14ac:dyDescent="0.35">
      <c r="N229" s="40">
        <v>45630</v>
      </c>
      <c r="O229" s="2">
        <v>9.0277777777777769E-3</v>
      </c>
    </row>
    <row r="230" spans="14:15" x14ac:dyDescent="0.35">
      <c r="N230" s="40">
        <v>45675</v>
      </c>
      <c r="O230" s="2">
        <v>4.8611111111111112E-3</v>
      </c>
    </row>
    <row r="231" spans="14:15" x14ac:dyDescent="0.35">
      <c r="N231" s="40">
        <v>45676</v>
      </c>
      <c r="O231" s="2">
        <v>1.7361111111111112E-2</v>
      </c>
    </row>
    <row r="232" spans="14:15" x14ac:dyDescent="0.35">
      <c r="N232" s="40">
        <v>45678</v>
      </c>
      <c r="O232" s="2">
        <v>1.3888888888888888E-2</v>
      </c>
    </row>
    <row r="233" spans="14:15" x14ac:dyDescent="0.35">
      <c r="N233" s="40">
        <v>45695</v>
      </c>
      <c r="O233" s="2">
        <v>2.361111111111111E-2</v>
      </c>
    </row>
    <row r="234" spans="14:15" x14ac:dyDescent="0.35">
      <c r="N234" s="40">
        <v>45698</v>
      </c>
      <c r="O234" s="2">
        <v>6.2500000000000003E-3</v>
      </c>
    </row>
    <row r="235" spans="14:15" x14ac:dyDescent="0.35">
      <c r="N235" s="40">
        <v>45703</v>
      </c>
      <c r="O235" s="2">
        <v>4.1666666666666666E-3</v>
      </c>
    </row>
    <row r="236" spans="14:15" x14ac:dyDescent="0.35">
      <c r="N236" s="40">
        <v>45709</v>
      </c>
      <c r="O236" s="2">
        <v>6.2500000000000003E-3</v>
      </c>
    </row>
    <row r="237" spans="14:15" x14ac:dyDescent="0.35">
      <c r="N237" s="40">
        <v>45710</v>
      </c>
      <c r="O237" s="2">
        <v>2.5694444444444443E-2</v>
      </c>
    </row>
    <row r="238" spans="14:15" x14ac:dyDescent="0.35">
      <c r="N238" s="40">
        <v>45717</v>
      </c>
      <c r="O238" s="2">
        <v>6.9444444444444441E-3</v>
      </c>
    </row>
    <row r="239" spans="14:15" x14ac:dyDescent="0.35">
      <c r="N239" s="40">
        <v>45719</v>
      </c>
      <c r="O239" s="2">
        <v>6.9444444444444441E-3</v>
      </c>
    </row>
    <row r="240" spans="14:15" x14ac:dyDescent="0.35">
      <c r="N240" s="40">
        <v>45724</v>
      </c>
      <c r="O240" s="2">
        <v>1.3194444444444444E-2</v>
      </c>
    </row>
    <row r="241" spans="14:15" x14ac:dyDescent="0.35">
      <c r="N241" s="40">
        <v>45738</v>
      </c>
      <c r="O241" s="2">
        <v>1.3888888888888888E-2</v>
      </c>
    </row>
    <row r="242" spans="14:15" x14ac:dyDescent="0.35">
      <c r="N242" s="40">
        <v>45739</v>
      </c>
      <c r="O242" s="2">
        <v>6.2500000000000003E-3</v>
      </c>
    </row>
    <row r="243" spans="14:15" x14ac:dyDescent="0.35">
      <c r="N243" s="40">
        <v>45740</v>
      </c>
      <c r="O243" s="2">
        <v>2.9861111111111113E-2</v>
      </c>
    </row>
    <row r="244" spans="14:15" x14ac:dyDescent="0.35">
      <c r="N244" s="40">
        <v>45754</v>
      </c>
      <c r="O244" s="2">
        <v>4.8611111111111112E-3</v>
      </c>
    </row>
    <row r="245" spans="14:15" x14ac:dyDescent="0.35">
      <c r="N245" s="40">
        <v>45758</v>
      </c>
      <c r="O245" s="2">
        <v>5.5555555555555558E-3</v>
      </c>
    </row>
    <row r="246" spans="14:15" x14ac:dyDescent="0.35">
      <c r="N246" s="40">
        <v>45761</v>
      </c>
      <c r="O246" s="2">
        <v>9.7222222222222224E-3</v>
      </c>
    </row>
    <row r="247" spans="14:15" x14ac:dyDescent="0.35">
      <c r="N247" s="40">
        <v>45768</v>
      </c>
      <c r="O247" s="2">
        <v>2.6388888888888889E-2</v>
      </c>
    </row>
    <row r="248" spans="14:15" x14ac:dyDescent="0.35">
      <c r="N248" s="40">
        <v>45773</v>
      </c>
      <c r="O248" s="2">
        <v>2.2916666666666665E-2</v>
      </c>
    </row>
    <row r="249" spans="14:15" x14ac:dyDescent="0.35">
      <c r="N249" s="40">
        <v>45776</v>
      </c>
      <c r="O249" s="2">
        <v>4.1666666666666666E-3</v>
      </c>
    </row>
    <row r="250" spans="14:15" x14ac:dyDescent="0.35">
      <c r="N250" s="40">
        <v>45777</v>
      </c>
      <c r="O250" s="2">
        <v>1.1111111111111112E-2</v>
      </c>
    </row>
    <row r="251" spans="14:15" x14ac:dyDescent="0.35">
      <c r="N251" s="40">
        <v>45778</v>
      </c>
      <c r="O251" s="2">
        <v>1.1805555555555555E-2</v>
      </c>
    </row>
    <row r="252" spans="14:15" x14ac:dyDescent="0.35">
      <c r="N252" s="40">
        <v>45782</v>
      </c>
      <c r="O252" s="2">
        <v>1.3194444444444444E-2</v>
      </c>
    </row>
    <row r="253" spans="14:15" x14ac:dyDescent="0.35">
      <c r="N253" s="40">
        <v>45784</v>
      </c>
      <c r="O253" s="2">
        <v>1.5972222222222221E-2</v>
      </c>
    </row>
    <row r="254" spans="14:15" x14ac:dyDescent="0.35">
      <c r="N254" s="40">
        <v>45785</v>
      </c>
      <c r="O254" s="2">
        <v>5.5555555555555558E-3</v>
      </c>
    </row>
    <row r="255" spans="14:15" x14ac:dyDescent="0.35">
      <c r="N255" s="40">
        <v>45788</v>
      </c>
      <c r="O255" s="2">
        <v>9.166666666666666E-2</v>
      </c>
    </row>
    <row r="256" spans="14:15" x14ac:dyDescent="0.35">
      <c r="N256" s="40">
        <v>45790</v>
      </c>
      <c r="O256" s="2">
        <v>7.6388888888888886E-3</v>
      </c>
    </row>
    <row r="257" spans="14:15" x14ac:dyDescent="0.35">
      <c r="N257" s="40">
        <v>45797</v>
      </c>
      <c r="O257" s="2">
        <v>2.4305555555555556E-2</v>
      </c>
    </row>
    <row r="258" spans="14:15" x14ac:dyDescent="0.35">
      <c r="N258" s="40">
        <v>45798</v>
      </c>
      <c r="O258" s="2">
        <v>1.0416666666666666E-2</v>
      </c>
    </row>
    <row r="259" spans="14:15" x14ac:dyDescent="0.35">
      <c r="N259" s="40">
        <v>45803</v>
      </c>
      <c r="O259" s="2">
        <v>0.28611111111111109</v>
      </c>
    </row>
    <row r="260" spans="14:15" x14ac:dyDescent="0.35">
      <c r="N260" s="40">
        <v>45804</v>
      </c>
      <c r="O260" s="2">
        <v>3.472222222222222E-3</v>
      </c>
    </row>
    <row r="261" spans="14:15" x14ac:dyDescent="0.35">
      <c r="N261" s="40">
        <v>45805</v>
      </c>
      <c r="O261" s="2">
        <v>3.472222222222222E-3</v>
      </c>
    </row>
    <row r="262" spans="14:15" x14ac:dyDescent="0.35">
      <c r="N262" s="40">
        <v>45807</v>
      </c>
      <c r="O262" s="2">
        <v>1.0416666666666666E-2</v>
      </c>
    </row>
    <row r="263" spans="14:15" x14ac:dyDescent="0.35">
      <c r="N263" s="40">
        <v>45810</v>
      </c>
      <c r="O263" s="2">
        <v>1.0416666666666666E-2</v>
      </c>
    </row>
    <row r="264" spans="14:15" x14ac:dyDescent="0.35">
      <c r="N264" s="40">
        <v>45811</v>
      </c>
      <c r="O264" s="2">
        <v>1.8055555555555554E-2</v>
      </c>
    </row>
    <row r="265" spans="14:15" x14ac:dyDescent="0.35">
      <c r="N265" s="40">
        <v>45817</v>
      </c>
      <c r="O265" s="2">
        <v>1.0416666666666666E-2</v>
      </c>
    </row>
    <row r="266" spans="14:15" x14ac:dyDescent="0.35">
      <c r="N266" s="40">
        <v>45818</v>
      </c>
      <c r="O266" s="2">
        <v>1.7361111111111112E-2</v>
      </c>
    </row>
    <row r="267" spans="14:15" x14ac:dyDescent="0.35">
      <c r="N267" s="40">
        <v>45821</v>
      </c>
      <c r="O267" s="2">
        <v>2.7777777777777776E-2</v>
      </c>
    </row>
    <row r="268" spans="14:15" x14ac:dyDescent="0.35">
      <c r="N268" s="40">
        <v>45830</v>
      </c>
      <c r="O268" s="2">
        <v>4.4444444444444446E-2</v>
      </c>
    </row>
    <row r="269" spans="14:15" x14ac:dyDescent="0.35">
      <c r="N269" s="40">
        <v>45832</v>
      </c>
      <c r="O269" s="2">
        <v>4.8611111111111112E-3</v>
      </c>
    </row>
    <row r="270" spans="14:15" x14ac:dyDescent="0.35">
      <c r="N270" s="40">
        <v>45835</v>
      </c>
      <c r="O270" s="2">
        <v>1.8749999999999999E-2</v>
      </c>
    </row>
    <row r="271" spans="14:15" x14ac:dyDescent="0.35">
      <c r="N271" s="40">
        <v>45837</v>
      </c>
      <c r="O271" s="2">
        <v>3.3333333333333333E-2</v>
      </c>
    </row>
    <row r="272" spans="14:15" x14ac:dyDescent="0.35">
      <c r="N272" s="40">
        <v>45838</v>
      </c>
      <c r="O272" s="2">
        <v>3.9583333333333331E-2</v>
      </c>
    </row>
    <row r="273" spans="14:15" x14ac:dyDescent="0.35">
      <c r="N273" s="40">
        <v>45845</v>
      </c>
      <c r="O273" s="2">
        <v>4.6527777777777779E-2</v>
      </c>
    </row>
    <row r="274" spans="14:15" x14ac:dyDescent="0.35">
      <c r="N274" s="40">
        <v>45856</v>
      </c>
      <c r="O274" s="2">
        <v>2.2222222222222223E-2</v>
      </c>
    </row>
    <row r="275" spans="14:15" x14ac:dyDescent="0.35">
      <c r="N275" s="40">
        <v>45857</v>
      </c>
      <c r="O275" s="2">
        <v>8.3333333333333332E-3</v>
      </c>
    </row>
    <row r="276" spans="14:15" x14ac:dyDescent="0.35">
      <c r="N276" s="40">
        <v>45862</v>
      </c>
      <c r="O276" s="2">
        <v>3.125E-2</v>
      </c>
    </row>
    <row r="277" spans="14:15" x14ac:dyDescent="0.35">
      <c r="N277" s="40">
        <v>45866</v>
      </c>
      <c r="O277" s="2">
        <v>1.2500000000000001E-2</v>
      </c>
    </row>
    <row r="278" spans="14:15" x14ac:dyDescent="0.35">
      <c r="N278" s="40">
        <v>45868</v>
      </c>
      <c r="O278" s="2">
        <v>7.6388888888888886E-3</v>
      </c>
    </row>
    <row r="279" spans="14:15" x14ac:dyDescent="0.35">
      <c r="N279" s="40">
        <v>45869</v>
      </c>
      <c r="O279" s="2">
        <v>1.4583333333333334E-2</v>
      </c>
    </row>
    <row r="280" spans="14:15" x14ac:dyDescent="0.35">
      <c r="N280" s="40">
        <v>45870</v>
      </c>
      <c r="O280" s="2">
        <v>2.5000000000000001E-2</v>
      </c>
    </row>
    <row r="281" spans="14:15" x14ac:dyDescent="0.35">
      <c r="N281" s="40">
        <v>45873</v>
      </c>
      <c r="O281" s="2">
        <v>7.6388888888888886E-3</v>
      </c>
    </row>
    <row r="282" spans="14:15" x14ac:dyDescent="0.35">
      <c r="N282" s="40">
        <v>45878</v>
      </c>
      <c r="O282" s="2">
        <v>5.5555555555555558E-3</v>
      </c>
    </row>
    <row r="283" spans="14:15" x14ac:dyDescent="0.35">
      <c r="N283" s="40">
        <v>45879</v>
      </c>
      <c r="O283" s="2">
        <v>6.9444444444444441E-3</v>
      </c>
    </row>
    <row r="284" spans="14:15" x14ac:dyDescent="0.35">
      <c r="N284" s="40">
        <v>45880</v>
      </c>
      <c r="O284" s="2">
        <v>4.1666666666666666E-3</v>
      </c>
    </row>
    <row r="285" spans="14:15" x14ac:dyDescent="0.35">
      <c r="N285" s="40">
        <v>45881</v>
      </c>
      <c r="O285" s="2">
        <v>1.4583333333333334E-2</v>
      </c>
    </row>
    <row r="286" spans="14:15" x14ac:dyDescent="0.35">
      <c r="N286" s="40">
        <v>45884</v>
      </c>
      <c r="O286" s="2">
        <v>1.5277777777777777E-2</v>
      </c>
    </row>
    <row r="287" spans="14:15" x14ac:dyDescent="0.35">
      <c r="N287" s="40">
        <v>45885</v>
      </c>
      <c r="O287" s="2">
        <v>3.472222222222222E-3</v>
      </c>
    </row>
    <row r="288" spans="14:15" x14ac:dyDescent="0.35">
      <c r="N288" s="40">
        <v>45889</v>
      </c>
      <c r="O288" s="2">
        <v>6.2500000000000003E-3</v>
      </c>
    </row>
    <row r="289" spans="14:15" x14ac:dyDescent="0.35">
      <c r="N289" s="40">
        <v>45890</v>
      </c>
      <c r="O289" s="2">
        <v>8.3333333333333332E-3</v>
      </c>
    </row>
    <row r="290" spans="14:15" x14ac:dyDescent="0.35">
      <c r="N290" s="40">
        <v>45895</v>
      </c>
      <c r="O290" s="2">
        <v>2.0833333333333332E-2</v>
      </c>
    </row>
    <row r="291" spans="14:15" x14ac:dyDescent="0.35">
      <c r="N291" s="40">
        <v>45898</v>
      </c>
      <c r="O291" s="2">
        <v>6.9444444444444441E-3</v>
      </c>
    </row>
    <row r="292" spans="14:15" x14ac:dyDescent="0.35">
      <c r="N292" s="40">
        <v>45901</v>
      </c>
      <c r="O292" s="2">
        <v>6.9444444444444441E-3</v>
      </c>
    </row>
    <row r="293" spans="14:15" x14ac:dyDescent="0.35">
      <c r="N293" s="40">
        <v>45906</v>
      </c>
      <c r="O293" s="2">
        <v>9.0277777777777769E-3</v>
      </c>
    </row>
    <row r="294" spans="14:15" x14ac:dyDescent="0.35">
      <c r="N294" s="40">
        <v>45911</v>
      </c>
      <c r="O294" s="2">
        <v>2.9166666666666667E-2</v>
      </c>
    </row>
    <row r="295" spans="14:15" x14ac:dyDescent="0.35">
      <c r="N295" s="40">
        <v>45912</v>
      </c>
      <c r="O295" s="2">
        <v>1.1805555555555555E-2</v>
      </c>
    </row>
    <row r="296" spans="14:15" x14ac:dyDescent="0.35">
      <c r="N296" s="40">
        <v>45917</v>
      </c>
      <c r="O296" s="2">
        <v>1.5972222222222221E-2</v>
      </c>
    </row>
    <row r="297" spans="14:15" x14ac:dyDescent="0.35">
      <c r="N297" s="40">
        <v>45918</v>
      </c>
      <c r="O297" s="2">
        <v>1.1805555555555555E-2</v>
      </c>
    </row>
    <row r="298" spans="14:15" x14ac:dyDescent="0.35">
      <c r="N298" s="40">
        <v>45921</v>
      </c>
      <c r="O298" s="2">
        <v>9.7222222222222224E-3</v>
      </c>
    </row>
    <row r="299" spans="14:15" x14ac:dyDescent="0.35">
      <c r="N299" s="40">
        <v>45922</v>
      </c>
      <c r="O299" s="2">
        <v>1.6666666666666666E-2</v>
      </c>
    </row>
    <row r="300" spans="14:15" x14ac:dyDescent="0.35">
      <c r="N300" s="40">
        <v>45926</v>
      </c>
      <c r="O300" s="2">
        <v>4.8611111111111112E-3</v>
      </c>
    </row>
    <row r="301" spans="14:15" x14ac:dyDescent="0.35">
      <c r="N301" s="40">
        <v>45927</v>
      </c>
      <c r="O301" s="2">
        <v>2.0833333333333332E-2</v>
      </c>
    </row>
    <row r="302" spans="14:15" x14ac:dyDescent="0.35">
      <c r="N302" s="40">
        <v>45929</v>
      </c>
      <c r="O302" s="2">
        <v>1.2500000000000001E-2</v>
      </c>
    </row>
    <row r="303" spans="14:15" x14ac:dyDescent="0.35">
      <c r="N303" s="40">
        <v>45931</v>
      </c>
      <c r="O303" s="2">
        <v>1.3888888888888888E-2</v>
      </c>
    </row>
    <row r="304" spans="14:15" x14ac:dyDescent="0.35">
      <c r="N304" s="40">
        <v>45932</v>
      </c>
      <c r="O304" s="2">
        <v>3.6111111111111108E-2</v>
      </c>
    </row>
    <row r="305" spans="14:15" x14ac:dyDescent="0.35">
      <c r="N305" s="40">
        <v>45933</v>
      </c>
      <c r="O305" s="2">
        <v>1.0416666666666666E-2</v>
      </c>
    </row>
    <row r="306" spans="14:15" x14ac:dyDescent="0.35">
      <c r="N306" s="40">
        <v>45937</v>
      </c>
      <c r="O306" s="2">
        <v>1.1805555555555555E-2</v>
      </c>
    </row>
    <row r="307" spans="14:15" x14ac:dyDescent="0.35">
      <c r="N307" s="40">
        <v>45943</v>
      </c>
      <c r="O307" s="2">
        <v>2.013888888888889E-2</v>
      </c>
    </row>
    <row r="308" spans="14:15" x14ac:dyDescent="0.35">
      <c r="N308" s="40">
        <v>45950</v>
      </c>
      <c r="O308" s="2">
        <v>8.3333333333333332E-3</v>
      </c>
    </row>
    <row r="309" spans="14:15" x14ac:dyDescent="0.35">
      <c r="N309" s="40">
        <v>45951</v>
      </c>
      <c r="O309" s="2">
        <v>9.7222222222222224E-3</v>
      </c>
    </row>
    <row r="310" spans="14:15" x14ac:dyDescent="0.35">
      <c r="N310" s="40">
        <v>45955</v>
      </c>
      <c r="O310" s="2">
        <v>5.5555555555555558E-3</v>
      </c>
    </row>
    <row r="311" spans="14:15" x14ac:dyDescent="0.35">
      <c r="N311" s="40">
        <v>45958</v>
      </c>
      <c r="O311" s="2">
        <v>2.9166666666666667E-2</v>
      </c>
    </row>
    <row r="312" spans="14:15" x14ac:dyDescent="0.35">
      <c r="N312" s="40">
        <v>45959</v>
      </c>
      <c r="O312" s="2">
        <v>1.8749999999999999E-2</v>
      </c>
    </row>
    <row r="313" spans="14:15" x14ac:dyDescent="0.35">
      <c r="N313" s="40">
        <v>45962</v>
      </c>
      <c r="O313" s="2">
        <v>3.472222222222222E-3</v>
      </c>
    </row>
    <row r="314" spans="14:15" x14ac:dyDescent="0.35">
      <c r="N314" s="40">
        <v>45965</v>
      </c>
      <c r="O314" s="2">
        <v>4.8611111111111112E-3</v>
      </c>
    </row>
    <row r="315" spans="14:15" x14ac:dyDescent="0.35">
      <c r="N315" s="40">
        <v>45970</v>
      </c>
      <c r="O315" s="2">
        <v>6.2500000000000003E-3</v>
      </c>
    </row>
    <row r="316" spans="14:15" x14ac:dyDescent="0.35">
      <c r="N316" s="40">
        <v>45977</v>
      </c>
      <c r="O316" s="2">
        <v>1.3194444444444444E-2</v>
      </c>
    </row>
    <row r="317" spans="14:15" x14ac:dyDescent="0.35">
      <c r="N317" s="40">
        <v>45986</v>
      </c>
      <c r="O317" s="2">
        <v>9.7222222222222224E-3</v>
      </c>
    </row>
    <row r="318" spans="14:15" x14ac:dyDescent="0.35">
      <c r="N318" s="40">
        <v>45989</v>
      </c>
      <c r="O318" s="2">
        <v>3.1944444444444442E-2</v>
      </c>
    </row>
    <row r="319" spans="14:15" x14ac:dyDescent="0.35">
      <c r="N319" s="40">
        <v>45990</v>
      </c>
      <c r="O319" s="2">
        <v>4.1666666666666666E-3</v>
      </c>
    </row>
    <row r="320" spans="14:15" x14ac:dyDescent="0.35">
      <c r="N320" s="40">
        <v>45991</v>
      </c>
      <c r="O320" s="2">
        <v>1.3194444444444444E-2</v>
      </c>
    </row>
    <row r="321" spans="14:15" x14ac:dyDescent="0.35">
      <c r="N321" s="40">
        <v>45993</v>
      </c>
      <c r="O321" s="2">
        <v>9.0277777777777769E-3</v>
      </c>
    </row>
    <row r="322" spans="14:15" x14ac:dyDescent="0.35">
      <c r="N322" s="40">
        <v>45997</v>
      </c>
      <c r="O322" s="2">
        <v>4.1666666666666666E-3</v>
      </c>
    </row>
    <row r="323" spans="14:15" x14ac:dyDescent="0.35">
      <c r="N323" s="40">
        <v>45998</v>
      </c>
      <c r="O323" s="2">
        <v>1.3194444444444444E-2</v>
      </c>
    </row>
    <row r="324" spans="14:15" x14ac:dyDescent="0.35">
      <c r="N324" s="40">
        <v>45999</v>
      </c>
      <c r="O324" s="2">
        <v>4.027777777777778E-2</v>
      </c>
    </row>
    <row r="325" spans="14:15" x14ac:dyDescent="0.35">
      <c r="N325" s="40">
        <v>46000</v>
      </c>
      <c r="O325" s="2">
        <v>2.4305555555555556E-2</v>
      </c>
    </row>
    <row r="326" spans="14:15" x14ac:dyDescent="0.35">
      <c r="N326" s="40">
        <v>46004</v>
      </c>
      <c r="O326" s="2">
        <v>6.2500000000000003E-3</v>
      </c>
    </row>
    <row r="327" spans="14:15" x14ac:dyDescent="0.35">
      <c r="N327" s="40">
        <v>46007</v>
      </c>
      <c r="O327" s="2">
        <v>1.1805555555555555E-2</v>
      </c>
    </row>
    <row r="328" spans="14:15" x14ac:dyDescent="0.35">
      <c r="N328" s="40">
        <v>46013</v>
      </c>
      <c r="O328" s="2">
        <v>8.3333333333333332E-3</v>
      </c>
    </row>
    <row r="329" spans="14:15" x14ac:dyDescent="0.35">
      <c r="N329" s="40">
        <v>46026</v>
      </c>
      <c r="O329" s="2">
        <v>4.1666666666666666E-3</v>
      </c>
    </row>
    <row r="330" spans="14:15" x14ac:dyDescent="0.35">
      <c r="N330" s="40">
        <v>46041</v>
      </c>
      <c r="O330" s="2">
        <v>6.2500000000000003E-3</v>
      </c>
    </row>
    <row r="331" spans="14:15" x14ac:dyDescent="0.35">
      <c r="N331" s="40">
        <v>46046</v>
      </c>
      <c r="O331" s="2">
        <v>3.888888888888889E-2</v>
      </c>
    </row>
    <row r="332" spans="14:15" x14ac:dyDescent="0.35">
      <c r="N332" s="40">
        <v>46091</v>
      </c>
      <c r="O332" s="2">
        <v>3.472222222222222E-3</v>
      </c>
    </row>
    <row r="333" spans="14:15" x14ac:dyDescent="0.35">
      <c r="N333" s="40">
        <v>46094</v>
      </c>
      <c r="O333" s="2">
        <v>5.5555555555555558E-3</v>
      </c>
    </row>
    <row r="334" spans="14:15" x14ac:dyDescent="0.35">
      <c r="N334" s="40">
        <v>46154</v>
      </c>
      <c r="O334" s="2">
        <v>1.1111111111111112E-2</v>
      </c>
    </row>
    <row r="335" spans="14:15" x14ac:dyDescent="0.35">
      <c r="N335" s="40">
        <v>46164</v>
      </c>
      <c r="O335" s="2">
        <v>3.472222222222222E-3</v>
      </c>
    </row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059D3-4E5B-45FA-B804-0410AA73C6C8}">
  <sheetPr>
    <tabColor rgb="FF7030A0"/>
  </sheetPr>
  <dimension ref="B2:N11"/>
  <sheetViews>
    <sheetView topLeftCell="D1" zoomScale="145" zoomScaleNormal="145" workbookViewId="0">
      <selection activeCell="K11" sqref="K11"/>
    </sheetView>
  </sheetViews>
  <sheetFormatPr defaultRowHeight="14.5" x14ac:dyDescent="0.35"/>
  <cols>
    <col min="2" max="2" width="13.6328125" customWidth="1"/>
    <col min="3" max="3" width="12.453125" bestFit="1" customWidth="1"/>
    <col min="4" max="4" width="14.36328125" bestFit="1" customWidth="1"/>
    <col min="5" max="5" width="11" bestFit="1" customWidth="1"/>
    <col min="9" max="9" width="14.90625" customWidth="1"/>
    <col min="10" max="10" width="13.6328125" customWidth="1"/>
    <col min="11" max="11" width="14.08984375" bestFit="1" customWidth="1"/>
    <col min="12" max="12" width="13.453125" bestFit="1" customWidth="1"/>
    <col min="13" max="13" width="13.453125" customWidth="1"/>
    <col min="14" max="14" width="10.90625" bestFit="1" customWidth="1"/>
  </cols>
  <sheetData>
    <row r="2" spans="2:14" x14ac:dyDescent="0.35">
      <c r="B2" s="502" t="s">
        <v>312</v>
      </c>
      <c r="C2" s="502"/>
      <c r="D2" s="502"/>
      <c r="E2" s="502"/>
      <c r="H2" s="403" t="s">
        <v>172</v>
      </c>
      <c r="I2" s="408" t="s">
        <v>384</v>
      </c>
      <c r="J2" s="408" t="s">
        <v>385</v>
      </c>
      <c r="K2" s="408" t="s">
        <v>374</v>
      </c>
      <c r="L2" s="408" t="s">
        <v>321</v>
      </c>
      <c r="M2" s="122" t="s">
        <v>418</v>
      </c>
      <c r="N2" s="122" t="s">
        <v>386</v>
      </c>
    </row>
    <row r="3" spans="2:14" x14ac:dyDescent="0.35">
      <c r="B3" t="s">
        <v>299</v>
      </c>
      <c r="C3" t="s">
        <v>318</v>
      </c>
      <c r="D3" t="s">
        <v>312</v>
      </c>
      <c r="E3" t="s">
        <v>159</v>
      </c>
      <c r="H3" s="144">
        <v>2021</v>
      </c>
      <c r="I3" s="181">
        <f>SUMIFS(EarningsPerDay[Miles],EarningsPerDay[Year],H3)</f>
        <v>6906.2736826634364</v>
      </c>
      <c r="J3" s="405">
        <v>5421.3</v>
      </c>
      <c r="K3" s="405">
        <v>11682.9</v>
      </c>
      <c r="L3" s="180">
        <f>AVERAGE(I3:J3)/(SUM(AVERAGE(I3:J3),K3))</f>
        <v>0.34537429250211338</v>
      </c>
      <c r="M3" s="472">
        <f>Table35[[#This Row],[Personal Miles]]/(SUM(AVERAGE(I3:J3),K3))</f>
        <v>0.65462570749788662</v>
      </c>
      <c r="N3" s="410">
        <f ca="1"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f>
        <v>17846.686841331717</v>
      </c>
    </row>
    <row r="4" spans="2:14" x14ac:dyDescent="0.35">
      <c r="B4" t="s">
        <v>295</v>
      </c>
      <c r="C4" s="307"/>
      <c r="D4" s="306">
        <v>0.16</v>
      </c>
      <c r="E4" s="40">
        <v>46144</v>
      </c>
      <c r="H4" s="144">
        <v>2022</v>
      </c>
      <c r="I4" s="181">
        <f>SUMIFS(EarningsPerDay[Miles],EarningsPerDay[Year],H4)</f>
        <v>13785.86</v>
      </c>
      <c r="J4" s="405">
        <v>13924.4</v>
      </c>
      <c r="K4" s="405">
        <v>9715.1</v>
      </c>
      <c r="L4" s="180">
        <f t="shared" ref="L4:L7" si="0">AVERAGE(I4:J4)/(SUM(AVERAGE(I4:J4),K4))</f>
        <v>0.58782328386273697</v>
      </c>
      <c r="M4" s="472">
        <f>Table35[[#This Row],[Personal Miles]]/(SUM(AVERAGE(I4:J4),K4))</f>
        <v>0.41217671613726292</v>
      </c>
      <c r="N4" s="410">
        <f ca="1"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f>
        <v>23570.230000000003</v>
      </c>
    </row>
    <row r="5" spans="2:14" x14ac:dyDescent="0.35">
      <c r="B5" t="s">
        <v>319</v>
      </c>
      <c r="C5" s="307"/>
      <c r="D5" s="306">
        <v>0.1</v>
      </c>
      <c r="E5" s="40">
        <v>46054</v>
      </c>
      <c r="H5" s="144">
        <v>2023</v>
      </c>
      <c r="I5" s="181">
        <f>SUMIFS(EarningsPerDay[Miles],EarningsPerDay[Year],H5)</f>
        <v>17470.599999999999</v>
      </c>
      <c r="J5" s="405">
        <v>17769.2</v>
      </c>
      <c r="K5" s="405">
        <v>9554.5</v>
      </c>
      <c r="L5" s="180">
        <f t="shared" si="0"/>
        <v>0.64840070065944422</v>
      </c>
      <c r="M5" s="472">
        <f>Table35[[#This Row],[Personal Miles]]/(SUM(AVERAGE(I5:J5),K5))</f>
        <v>0.35159929934055578</v>
      </c>
      <c r="N5" s="410">
        <f ca="1"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f>
        <v>27174.400000000001</v>
      </c>
    </row>
    <row r="6" spans="2:14" x14ac:dyDescent="0.35">
      <c r="B6" t="s">
        <v>316</v>
      </c>
      <c r="C6" s="471">
        <v>2100</v>
      </c>
      <c r="D6" s="58">
        <f ca="1">C6/$N$8</f>
        <v>7.5473804684700024E-2</v>
      </c>
      <c r="H6" s="144">
        <v>2024</v>
      </c>
      <c r="I6" s="181">
        <f>SUMIFS(EarningsPerDay[Miles],EarningsPerDay[Year],H6)</f>
        <v>22187.8</v>
      </c>
      <c r="J6" s="405">
        <v>22123.1</v>
      </c>
      <c r="K6" s="405">
        <v>14645.2</v>
      </c>
      <c r="L6" s="180">
        <f t="shared" si="0"/>
        <v>0.60203963788683079</v>
      </c>
      <c r="M6" s="472">
        <f>Table35[[#This Row],[Personal Miles]]/(SUM(AVERAGE(I6:J6),K6))</f>
        <v>0.39796036211316926</v>
      </c>
      <c r="N6" s="410">
        <f ca="1"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f>
        <v>36800.649999999994</v>
      </c>
    </row>
    <row r="7" spans="2:14" x14ac:dyDescent="0.35">
      <c r="B7" t="s">
        <v>317</v>
      </c>
      <c r="C7" s="471">
        <f>754*2</f>
        <v>1508</v>
      </c>
      <c r="D7" s="58">
        <f ca="1">C7/$N$8</f>
        <v>5.4197379745013152E-2</v>
      </c>
      <c r="E7" s="40">
        <v>46023</v>
      </c>
      <c r="H7" s="406">
        <v>2025</v>
      </c>
      <c r="I7" s="407">
        <f>SUMIFS(EarningsPerDay[Miles],EarningsPerDay[Year],H7)</f>
        <v>22834.399999999998</v>
      </c>
      <c r="J7" s="409">
        <v>22862.1</v>
      </c>
      <c r="K7" s="409">
        <v>10880.9</v>
      </c>
      <c r="L7" s="180">
        <f t="shared" si="0"/>
        <v>0.67740367011916991</v>
      </c>
      <c r="M7" s="472">
        <f>Table35[[#This Row],[Personal Miles]]/(SUM(AVERAGE(I7:J7),K7))</f>
        <v>0.32259632988083004</v>
      </c>
      <c r="N7" s="410">
        <f ca="1">IF(Table35[[#This Row],[Year]]=YEAR(TODAY()),SUM(AVERAGE(Table35[[#This Row],[WB Work Miles]:[EL Work Miles]]),Table35[[#This Row],[Personal Miles]])/_xlfn.DAYS(TODAY(),DATE(YEAR(TODAY()),1,1))*_xlfn.DAYS(DATE(YEAR(TODAY()),12,31),DATE(YEAR(TODAY()),1,1)), SUM(AVERAGE(Table35[[#This Row],[WB Work Miles]:[EL Work Miles]]),Table35[[#This Row],[Personal Miles]]))</f>
        <v>33729.15</v>
      </c>
    </row>
    <row r="8" spans="2:14" x14ac:dyDescent="0.35">
      <c r="C8" s="66"/>
      <c r="D8" s="413">
        <f ca="1">SUBTOTAL(109,Table1[Cost Per Mile])</f>
        <v>0.38967118442971316</v>
      </c>
      <c r="K8" s="4">
        <f>SUBTOTAL(101,Table35[Personal Miles])</f>
        <v>11295.72</v>
      </c>
      <c r="L8" s="411">
        <f>SUBTOTAL(101,Table35[Work Miles %])</f>
        <v>0.57220831700605912</v>
      </c>
      <c r="M8" s="411">
        <f>SUBTOTAL(101,Table35[Personal Mile %])</f>
        <v>0.42779168299394088</v>
      </c>
      <c r="N8" s="412">
        <f ca="1">SUBTOTAL(101,Table35[Total Miles])</f>
        <v>27824.223368266343</v>
      </c>
    </row>
    <row r="11" spans="2:14" x14ac:dyDescent="0.35">
      <c r="C11" t="s">
        <v>322</v>
      </c>
      <c r="D11" s="310">
        <f ca="1">Table1[[#Totals],[Cost Per Mile]]*Table35[[#Totals],[Work Miles %]]</f>
        <v>0.22297309262828383</v>
      </c>
    </row>
  </sheetData>
  <mergeCells count="1">
    <mergeCell ref="B2:E2"/>
  </mergeCells>
  <phoneticPr fontId="3" type="noConversion"/>
  <conditionalFormatting sqref="E4:E7">
    <cfRule type="colorScale" priority="1">
      <colorScale>
        <cfvo type="formula" val="TODAY()-90"/>
        <cfvo type="formula" val="TODAY()-30"/>
        <cfvo type="formula" val="TODAY()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83A8-8EA0-427B-BDB1-34D3DD5E0DDD}">
  <dimension ref="A3:AS780"/>
  <sheetViews>
    <sheetView topLeftCell="D3" workbookViewId="0">
      <selection activeCell="AH14" sqref="AH14"/>
    </sheetView>
  </sheetViews>
  <sheetFormatPr defaultRowHeight="14.5" x14ac:dyDescent="0.35"/>
  <cols>
    <col min="1" max="1" width="10.6328125" bestFit="1" customWidth="1"/>
    <col min="3" max="3" width="9.90625" customWidth="1"/>
    <col min="4" max="4" width="16" customWidth="1"/>
    <col min="5" max="5" width="10" customWidth="1"/>
    <col min="7" max="7" width="12.08984375" customWidth="1"/>
    <col min="8" max="8" width="11" customWidth="1"/>
    <col min="9" max="9" width="10.453125" customWidth="1"/>
    <col min="10" max="10" width="14.54296875" customWidth="1"/>
    <col min="11" max="11" width="10.54296875" customWidth="1"/>
    <col min="14" max="14" width="12.08984375" customWidth="1"/>
    <col min="15" max="15" width="9.36328125" customWidth="1"/>
    <col min="16" max="16" width="8.6328125" customWidth="1"/>
    <col min="19" max="19" width="10.453125" customWidth="1"/>
    <col min="20" max="20" width="10.36328125" customWidth="1"/>
    <col min="21" max="21" width="14.90625" customWidth="1"/>
    <col min="22" max="22" width="29.6328125" customWidth="1"/>
    <col min="24" max="24" width="25.54296875" customWidth="1"/>
    <col min="25" max="25" width="24.54296875" customWidth="1"/>
    <col min="26" max="26" width="17" customWidth="1"/>
    <col min="27" max="27" width="17.90625" customWidth="1"/>
    <col min="33" max="33" width="28.08984375" bestFit="1" customWidth="1"/>
    <col min="34" max="34" width="15.54296875" bestFit="1" customWidth="1"/>
    <col min="35" max="38" width="7.1796875" bestFit="1" customWidth="1"/>
    <col min="39" max="39" width="11.36328125" bestFit="1" customWidth="1"/>
    <col min="40" max="40" width="8.36328125" bestFit="1" customWidth="1"/>
    <col min="41" max="41" width="14.90625" bestFit="1" customWidth="1"/>
    <col min="42" max="42" width="10" bestFit="1" customWidth="1"/>
    <col min="43" max="43" width="3" bestFit="1" customWidth="1"/>
    <col min="44" max="390" width="8" bestFit="1" customWidth="1"/>
    <col min="391" max="807" width="9" bestFit="1" customWidth="1"/>
    <col min="808" max="808" width="12.6328125" bestFit="1" customWidth="1"/>
  </cols>
  <sheetData>
    <row r="3" spans="1:40" ht="72.5" x14ac:dyDescent="0.35">
      <c r="A3" s="430" t="s">
        <v>8</v>
      </c>
      <c r="B3" s="429" t="s">
        <v>172</v>
      </c>
      <c r="C3" s="430" t="s">
        <v>104</v>
      </c>
      <c r="D3" s="430" t="s">
        <v>328</v>
      </c>
      <c r="E3" s="429" t="s">
        <v>75</v>
      </c>
      <c r="F3" s="430" t="s">
        <v>99</v>
      </c>
      <c r="G3" s="430" t="s">
        <v>111</v>
      </c>
      <c r="H3" s="430" t="s">
        <v>228</v>
      </c>
      <c r="I3" s="430" t="s">
        <v>229</v>
      </c>
      <c r="J3" s="430" t="s">
        <v>98</v>
      </c>
      <c r="K3" s="431" t="s">
        <v>78</v>
      </c>
      <c r="L3" s="431" t="s">
        <v>43</v>
      </c>
      <c r="M3" s="429" t="s">
        <v>183</v>
      </c>
      <c r="N3" s="431" t="s">
        <v>79</v>
      </c>
      <c r="O3" s="431" t="s">
        <v>122</v>
      </c>
      <c r="P3" s="432" t="s">
        <v>345</v>
      </c>
      <c r="Q3" s="431" t="s">
        <v>194</v>
      </c>
      <c r="R3" s="431" t="s">
        <v>190</v>
      </c>
      <c r="S3" s="431" t="s">
        <v>193</v>
      </c>
      <c r="T3" s="431" t="s">
        <v>192</v>
      </c>
      <c r="U3" s="431" t="s">
        <v>119</v>
      </c>
      <c r="V3" s="433" t="s">
        <v>121</v>
      </c>
      <c r="W3" s="431" t="s">
        <v>173</v>
      </c>
      <c r="X3" s="431" t="s">
        <v>326</v>
      </c>
      <c r="Y3" s="431" t="s">
        <v>344</v>
      </c>
      <c r="Z3" s="434" t="s">
        <v>366</v>
      </c>
      <c r="AA3" s="288" t="s">
        <v>394</v>
      </c>
      <c r="AB3" s="288" t="s">
        <v>395</v>
      </c>
    </row>
    <row r="4" spans="1:40" x14ac:dyDescent="0.35">
      <c r="A4" s="436">
        <v>44197</v>
      </c>
      <c r="B4" s="435">
        <v>2021</v>
      </c>
      <c r="C4" s="435">
        <v>1</v>
      </c>
      <c r="D4" s="435">
        <v>1</v>
      </c>
      <c r="E4" s="435" t="s">
        <v>278</v>
      </c>
      <c r="F4" s="436" t="s">
        <v>50</v>
      </c>
      <c r="G4" s="437" t="s">
        <v>393</v>
      </c>
      <c r="H4" s="436" t="s">
        <v>235</v>
      </c>
      <c r="I4" s="435">
        <v>29.5</v>
      </c>
      <c r="J4" s="436" t="s">
        <v>80</v>
      </c>
      <c r="K4" s="438">
        <v>28.21</v>
      </c>
      <c r="L4" s="439">
        <v>4.333333333333333</v>
      </c>
      <c r="M4" s="435">
        <v>10.341184263267598</v>
      </c>
      <c r="N4" s="435">
        <v>1</v>
      </c>
      <c r="O4" s="438">
        <v>6.5100000000000007</v>
      </c>
      <c r="P4" s="440" t="s">
        <v>393</v>
      </c>
      <c r="Q4" s="438">
        <v>28.21</v>
      </c>
      <c r="R4" s="438">
        <v>2.727927409649137</v>
      </c>
      <c r="S4" s="441">
        <v>10.341184263267598</v>
      </c>
      <c r="T4" s="441">
        <v>0.23076923076923078</v>
      </c>
      <c r="U4" s="239">
        <v>1</v>
      </c>
      <c r="V4" s="442">
        <v>0.18055555555555555</v>
      </c>
      <c r="W4" s="441" t="s">
        <v>176</v>
      </c>
      <c r="X4" s="438">
        <v>19.988788031661809</v>
      </c>
      <c r="Y4" s="438">
        <v>-13.478788031661807</v>
      </c>
      <c r="Z4" s="443">
        <v>0.31344444444444447</v>
      </c>
      <c r="AA4" s="58">
        <f t="shared" ref="AA4:AA67" ca="1" si="0">AVERAGE(OFFSET(K4,-3,0,4,1))</f>
        <v>28.21</v>
      </c>
      <c r="AB4" s="453">
        <f ca="1">Table29[[#This Row],[Earnings]]-Table29[[#This Row],[4-Week Average]]</f>
        <v>0</v>
      </c>
      <c r="AD4" t="e">
        <f>_xlfn.FORECAST.ETS.SEASONALITY(Table29[90-Day Earnings],Table29[Date],1,1)</f>
        <v>#NUM!</v>
      </c>
      <c r="AG4" s="6" t="s">
        <v>397</v>
      </c>
      <c r="AH4" s="6" t="s">
        <v>77</v>
      </c>
    </row>
    <row r="5" spans="1:40" x14ac:dyDescent="0.35">
      <c r="A5" s="445">
        <v>44198</v>
      </c>
      <c r="B5" s="444">
        <v>2021</v>
      </c>
      <c r="C5" s="444">
        <v>1</v>
      </c>
      <c r="D5" s="444">
        <v>1</v>
      </c>
      <c r="E5" s="444" t="s">
        <v>278</v>
      </c>
      <c r="F5" s="445" t="s">
        <v>51</v>
      </c>
      <c r="G5" s="446" t="s">
        <v>393</v>
      </c>
      <c r="H5" s="445" t="s">
        <v>235</v>
      </c>
      <c r="I5" s="444">
        <v>32</v>
      </c>
      <c r="J5" s="445" t="s">
        <v>85</v>
      </c>
      <c r="K5" s="447">
        <v>53.14</v>
      </c>
      <c r="L5" s="448">
        <v>3.1000000000000005</v>
      </c>
      <c r="M5" s="444">
        <v>57.189545807727626</v>
      </c>
      <c r="N5" s="444">
        <v>4</v>
      </c>
      <c r="O5" s="447">
        <v>17.141935483870967</v>
      </c>
      <c r="P5" s="449" t="s">
        <v>393</v>
      </c>
      <c r="Q5" s="447">
        <v>13.285</v>
      </c>
      <c r="R5" s="447">
        <v>0.9291908031348548</v>
      </c>
      <c r="S5" s="450">
        <v>14.297386451931906</v>
      </c>
      <c r="T5" s="450">
        <v>1.290322580645161</v>
      </c>
      <c r="U5" s="240">
        <v>1</v>
      </c>
      <c r="V5" s="451">
        <v>3.229166666666667E-2</v>
      </c>
      <c r="W5" s="450" t="s">
        <v>176</v>
      </c>
      <c r="X5" s="447">
        <v>21.29747150133398</v>
      </c>
      <c r="Y5" s="447">
        <v>-4.1555360174630138</v>
      </c>
      <c r="Z5" s="452">
        <v>0.90388888888888885</v>
      </c>
      <c r="AA5" s="58">
        <f t="shared" ca="1" si="0"/>
        <v>40.674999999999997</v>
      </c>
      <c r="AB5" s="453">
        <f ca="1">Table29[[#This Row],[Earnings]]-Table29[[#This Row],[4-Week Average]]</f>
        <v>12.465000000000003</v>
      </c>
      <c r="AG5" s="6" t="s">
        <v>81</v>
      </c>
      <c r="AH5" s="4">
        <v>2021</v>
      </c>
      <c r="AI5" s="4">
        <v>2022</v>
      </c>
      <c r="AJ5" s="4">
        <v>2023</v>
      </c>
      <c r="AK5" s="4">
        <v>2024</v>
      </c>
      <c r="AL5" s="4">
        <v>2025</v>
      </c>
    </row>
    <row r="6" spans="1:40" x14ac:dyDescent="0.35">
      <c r="A6" s="436">
        <v>44204</v>
      </c>
      <c r="B6" s="435">
        <v>2021</v>
      </c>
      <c r="C6" s="435">
        <v>2</v>
      </c>
      <c r="D6" s="435">
        <v>2</v>
      </c>
      <c r="E6" s="435" t="s">
        <v>278</v>
      </c>
      <c r="F6" s="436" t="s">
        <v>50</v>
      </c>
      <c r="G6" s="437" t="s">
        <v>393</v>
      </c>
      <c r="H6" s="436" t="s">
        <v>249</v>
      </c>
      <c r="I6" s="435">
        <v>26.6</v>
      </c>
      <c r="J6" s="436" t="s">
        <v>85</v>
      </c>
      <c r="K6" s="438">
        <v>12.04</v>
      </c>
      <c r="L6" s="439">
        <v>2.0499999999999998</v>
      </c>
      <c r="M6" s="435">
        <v>28.594772903863813</v>
      </c>
      <c r="N6" s="435">
        <v>2</v>
      </c>
      <c r="O6" s="438">
        <v>5.873170731707317</v>
      </c>
      <c r="P6" s="440" t="s">
        <v>393</v>
      </c>
      <c r="Q6" s="438">
        <v>6.02</v>
      </c>
      <c r="R6" s="438">
        <v>0.42105597552667107</v>
      </c>
      <c r="S6" s="441">
        <v>14.297386451931906</v>
      </c>
      <c r="T6" s="441">
        <v>0.97560975609756106</v>
      </c>
      <c r="U6" s="239">
        <v>1</v>
      </c>
      <c r="V6" s="442">
        <v>4.2708333333333327E-2</v>
      </c>
      <c r="W6" s="441" t="s">
        <v>176</v>
      </c>
      <c r="X6" s="438">
        <v>5.873170731707317</v>
      </c>
      <c r="Y6" s="438">
        <v>0</v>
      </c>
      <c r="Z6" s="443">
        <v>1.0376666666666665</v>
      </c>
      <c r="AA6" s="58">
        <f t="shared" ca="1" si="0"/>
        <v>31.129999999999995</v>
      </c>
      <c r="AB6" s="453">
        <f ca="1">Table29[[#This Row],[Earnings]]-Table29[[#This Row],[4-Week Average]]</f>
        <v>-19.089999999999996</v>
      </c>
      <c r="AG6" s="195">
        <v>1</v>
      </c>
      <c r="AH6" s="11">
        <v>-0.15351009073687649</v>
      </c>
      <c r="AI6" s="11">
        <v>-8.2451128512871605</v>
      </c>
      <c r="AJ6" s="11">
        <v>1.4053023570294698</v>
      </c>
      <c r="AK6" s="11">
        <v>2.4119813558964722</v>
      </c>
      <c r="AL6" s="11">
        <v>4.5813392290980879</v>
      </c>
      <c r="AM6" s="11">
        <f>AVERAGE(AH6:AL6)</f>
        <v>-1.4210854715202005E-15</v>
      </c>
      <c r="AN6" s="11" t="e">
        <f t="shared" ref="AN6" si="1">SUM(#REF!)</f>
        <v>#REF!</v>
      </c>
    </row>
    <row r="7" spans="1:40" x14ac:dyDescent="0.35">
      <c r="A7" s="445">
        <v>44206</v>
      </c>
      <c r="B7" s="444">
        <v>2021</v>
      </c>
      <c r="C7" s="444">
        <v>2</v>
      </c>
      <c r="D7" s="444">
        <v>2</v>
      </c>
      <c r="E7" s="444" t="s">
        <v>278</v>
      </c>
      <c r="F7" s="445" t="s">
        <v>45</v>
      </c>
      <c r="G7" s="446" t="s">
        <v>393</v>
      </c>
      <c r="H7" s="445" t="s">
        <v>249</v>
      </c>
      <c r="I7" s="444">
        <v>34.200000000000003</v>
      </c>
      <c r="J7" s="445" t="s">
        <v>85</v>
      </c>
      <c r="K7" s="447">
        <v>63.93</v>
      </c>
      <c r="L7" s="448">
        <v>6.6166666666666671</v>
      </c>
      <c r="M7" s="444">
        <v>71.48693225965954</v>
      </c>
      <c r="N7" s="444">
        <v>5</v>
      </c>
      <c r="O7" s="447">
        <v>9.6619647355163725</v>
      </c>
      <c r="P7" s="449" t="s">
        <v>393</v>
      </c>
      <c r="Q7" s="447">
        <v>12.786</v>
      </c>
      <c r="R7" s="447">
        <v>0.89428931944917212</v>
      </c>
      <c r="S7" s="450">
        <v>14.297386451931908</v>
      </c>
      <c r="T7" s="450">
        <v>0.75566750629722912</v>
      </c>
      <c r="U7" s="240">
        <v>1</v>
      </c>
      <c r="V7" s="451">
        <v>5.5138888888888897E-2</v>
      </c>
      <c r="W7" s="450" t="s">
        <v>176</v>
      </c>
      <c r="X7" s="447">
        <v>17.041251039326678</v>
      </c>
      <c r="Y7" s="447">
        <v>-7.3792863038103054</v>
      </c>
      <c r="Z7" s="452">
        <v>1.748</v>
      </c>
      <c r="AA7" s="58">
        <f t="shared" ca="1" si="0"/>
        <v>39.33</v>
      </c>
      <c r="AB7" s="453">
        <f ca="1">Table29[[#This Row],[Earnings]]-Table29[[#This Row],[4-Week Average]]</f>
        <v>24.6</v>
      </c>
      <c r="AG7" s="195">
        <v>2</v>
      </c>
      <c r="AH7" s="11">
        <v>-7.3792863038103054</v>
      </c>
      <c r="AI7" s="11"/>
      <c r="AJ7" s="11">
        <v>-5.750248062313533</v>
      </c>
      <c r="AK7" s="11">
        <v>28.587162094693685</v>
      </c>
      <c r="AL7" s="11">
        <v>-15.457627728569847</v>
      </c>
      <c r="AM7" s="11">
        <f t="shared" ref="AM7:AM57" si="2">AVERAGE(AH7:AL7)</f>
        <v>0</v>
      </c>
      <c r="AN7" s="11" t="e">
        <f t="shared" ref="AN7" si="3">SUM(#REF!)</f>
        <v>#REF!</v>
      </c>
    </row>
    <row r="8" spans="1:40" x14ac:dyDescent="0.35">
      <c r="A8" s="436">
        <v>44213</v>
      </c>
      <c r="B8" s="435">
        <v>2021</v>
      </c>
      <c r="C8" s="435">
        <v>3</v>
      </c>
      <c r="D8" s="435">
        <v>3</v>
      </c>
      <c r="E8" s="435" t="s">
        <v>278</v>
      </c>
      <c r="F8" s="436" t="s">
        <v>45</v>
      </c>
      <c r="G8" s="437" t="s">
        <v>393</v>
      </c>
      <c r="H8" s="436" t="s">
        <v>249</v>
      </c>
      <c r="I8" s="435">
        <v>32.4</v>
      </c>
      <c r="J8" s="436" t="s">
        <v>85</v>
      </c>
      <c r="K8" s="438">
        <v>35.950000000000003</v>
      </c>
      <c r="L8" s="439">
        <v>3.6666666666666661</v>
      </c>
      <c r="M8" s="435">
        <v>28.594772903863813</v>
      </c>
      <c r="N8" s="435">
        <v>2</v>
      </c>
      <c r="O8" s="438">
        <v>9.8045454545454565</v>
      </c>
      <c r="P8" s="440">
        <v>0.14258071902908398</v>
      </c>
      <c r="Q8" s="438">
        <v>17.975000000000001</v>
      </c>
      <c r="R8" s="438">
        <v>1.2572227840684242</v>
      </c>
      <c r="S8" s="441">
        <v>14.297386451931906</v>
      </c>
      <c r="T8" s="441">
        <v>0.54545454545454553</v>
      </c>
      <c r="U8" s="239">
        <v>1</v>
      </c>
      <c r="V8" s="442">
        <v>7.6388888888888881E-2</v>
      </c>
      <c r="W8" s="441" t="s">
        <v>176</v>
      </c>
      <c r="X8" s="438">
        <v>17.777626834921453</v>
      </c>
      <c r="Y8" s="438">
        <v>-7.9730813803759961</v>
      </c>
      <c r="Z8" s="443">
        <v>2.147444444444444</v>
      </c>
      <c r="AA8" s="58">
        <f t="shared" ca="1" si="0"/>
        <v>41.265000000000001</v>
      </c>
      <c r="AB8" s="453">
        <f ca="1">Table29[[#This Row],[Earnings]]-Table29[[#This Row],[4-Week Average]]</f>
        <v>-5.3149999999999977</v>
      </c>
      <c r="AG8" s="195">
        <v>3</v>
      </c>
      <c r="AH8" s="11">
        <v>-7.9730813803759961</v>
      </c>
      <c r="AI8" s="11">
        <v>-5.3006590599276642</v>
      </c>
      <c r="AJ8" s="11">
        <v>-11.162426198910454</v>
      </c>
      <c r="AK8" s="11">
        <v>14.238442557553906</v>
      </c>
      <c r="AL8" s="11">
        <v>10.197724081660219</v>
      </c>
      <c r="AM8" s="11">
        <f t="shared" si="2"/>
        <v>0</v>
      </c>
      <c r="AN8" s="11" t="e">
        <f t="shared" ref="AN8" si="4">SUM(#REF!)</f>
        <v>#REF!</v>
      </c>
    </row>
    <row r="9" spans="1:40" x14ac:dyDescent="0.35">
      <c r="A9" s="445">
        <v>44226</v>
      </c>
      <c r="B9" s="444">
        <v>2021</v>
      </c>
      <c r="C9" s="444">
        <v>5</v>
      </c>
      <c r="D9" s="444">
        <v>5</v>
      </c>
      <c r="E9" s="444" t="s">
        <v>278</v>
      </c>
      <c r="F9" s="445" t="s">
        <v>51</v>
      </c>
      <c r="G9" s="446" t="s">
        <v>393</v>
      </c>
      <c r="H9" s="445" t="s">
        <v>230</v>
      </c>
      <c r="I9" s="444">
        <v>29.1</v>
      </c>
      <c r="J9" s="445" t="s">
        <v>85</v>
      </c>
      <c r="K9" s="447">
        <v>100.51</v>
      </c>
      <c r="L9" s="448">
        <v>7.1666666666666661</v>
      </c>
      <c r="M9" s="444">
        <v>100.08170516352334</v>
      </c>
      <c r="N9" s="444">
        <v>7</v>
      </c>
      <c r="O9" s="447">
        <v>14.024651162790699</v>
      </c>
      <c r="P9" s="449">
        <v>-3.1172843210802679</v>
      </c>
      <c r="Q9" s="447">
        <v>14.358571428571429</v>
      </c>
      <c r="R9" s="447">
        <v>1.0042794518316498</v>
      </c>
      <c r="S9" s="450">
        <v>14.297386451931905</v>
      </c>
      <c r="T9" s="450">
        <v>0.9767441860465117</v>
      </c>
      <c r="U9" s="240">
        <v>1</v>
      </c>
      <c r="V9" s="451">
        <v>4.2658730158730153E-2</v>
      </c>
      <c r="W9" s="450" t="s">
        <v>176</v>
      </c>
      <c r="X9" s="447">
        <v>19.039721119304218</v>
      </c>
      <c r="Y9" s="447">
        <v>-5.0150699565135195</v>
      </c>
      <c r="Z9" s="452">
        <v>3.2642222222222221</v>
      </c>
      <c r="AA9" s="58">
        <f t="shared" ca="1" si="0"/>
        <v>53.107500000000002</v>
      </c>
      <c r="AB9" s="453">
        <f ca="1">Table29[[#This Row],[Earnings]]-Table29[[#This Row],[4-Week Average]]</f>
        <v>47.402500000000003</v>
      </c>
      <c r="AG9" s="195">
        <v>4</v>
      </c>
      <c r="AH9" s="11"/>
      <c r="AI9" s="11"/>
      <c r="AJ9" s="11">
        <v>-7.6086545965081331</v>
      </c>
      <c r="AK9" s="11">
        <v>10.083368981374445</v>
      </c>
      <c r="AL9" s="11">
        <v>-2.4747143848663153</v>
      </c>
      <c r="AM9" s="11">
        <f t="shared" si="2"/>
        <v>-1.1842378929335002E-15</v>
      </c>
      <c r="AN9" s="11" t="e">
        <f t="shared" ref="AN9" si="5">SUM(#REF!)</f>
        <v>#REF!</v>
      </c>
    </row>
    <row r="10" spans="1:40" x14ac:dyDescent="0.35">
      <c r="A10" s="436">
        <v>44227</v>
      </c>
      <c r="B10" s="435">
        <v>2021</v>
      </c>
      <c r="C10" s="435">
        <v>5</v>
      </c>
      <c r="D10" s="435">
        <v>5</v>
      </c>
      <c r="E10" s="435" t="s">
        <v>278</v>
      </c>
      <c r="F10" s="436" t="s">
        <v>45</v>
      </c>
      <c r="G10" s="437" t="s">
        <v>393</v>
      </c>
      <c r="H10" s="436" t="s">
        <v>249</v>
      </c>
      <c r="I10" s="435">
        <v>17.600000000000001</v>
      </c>
      <c r="J10" s="436" t="s">
        <v>82</v>
      </c>
      <c r="K10" s="438">
        <v>8.68</v>
      </c>
      <c r="L10" s="439">
        <v>2.35</v>
      </c>
      <c r="M10" s="435">
        <v>7.89235576923077</v>
      </c>
      <c r="N10" s="435">
        <v>1</v>
      </c>
      <c r="O10" s="438">
        <v>3.6936170212765953</v>
      </c>
      <c r="P10" s="440" t="s">
        <v>393</v>
      </c>
      <c r="Q10" s="438">
        <v>8.68</v>
      </c>
      <c r="R10" s="438">
        <v>1.0997983686746546</v>
      </c>
      <c r="S10" s="441">
        <v>7.89235576923077</v>
      </c>
      <c r="T10" s="441">
        <v>0.42553191489361702</v>
      </c>
      <c r="U10" s="239">
        <v>1</v>
      </c>
      <c r="V10" s="442">
        <v>9.7916666666666666E-2</v>
      </c>
      <c r="W10" s="441" t="s">
        <v>176</v>
      </c>
      <c r="X10" s="438">
        <v>3.6936170212765953</v>
      </c>
      <c r="Y10" s="438">
        <v>0</v>
      </c>
      <c r="Z10" s="443">
        <v>3.3606666666666665</v>
      </c>
      <c r="AA10" s="58">
        <f t="shared" ca="1" si="0"/>
        <v>52.267499999999998</v>
      </c>
      <c r="AB10" s="453">
        <f ca="1">Table29[[#This Row],[Earnings]]-Table29[[#This Row],[4-Week Average]]</f>
        <v>-43.587499999999999</v>
      </c>
      <c r="AG10" s="195">
        <v>5</v>
      </c>
      <c r="AH10" s="11">
        <v>-5.0150699565135195</v>
      </c>
      <c r="AI10" s="11">
        <v>0</v>
      </c>
      <c r="AJ10" s="11">
        <v>0.73820596864515942</v>
      </c>
      <c r="AK10" s="11">
        <v>7.4640109559672201</v>
      </c>
      <c r="AL10" s="11">
        <v>-3.1871469680988618</v>
      </c>
      <c r="AM10" s="11">
        <f t="shared" si="2"/>
        <v>0</v>
      </c>
      <c r="AN10" s="11" t="e">
        <f t="shared" ref="AN10" si="6">SUM(#REF!)</f>
        <v>#REF!</v>
      </c>
    </row>
    <row r="11" spans="1:40" x14ac:dyDescent="0.35">
      <c r="A11" s="445">
        <v>44228</v>
      </c>
      <c r="B11" s="444">
        <v>2021</v>
      </c>
      <c r="C11" s="444">
        <v>6</v>
      </c>
      <c r="D11" s="444">
        <v>6</v>
      </c>
      <c r="E11" s="444" t="s">
        <v>278</v>
      </c>
      <c r="F11" s="445" t="s">
        <v>46</v>
      </c>
      <c r="G11" s="446" t="s">
        <v>393</v>
      </c>
      <c r="H11" s="445" t="s">
        <v>235</v>
      </c>
      <c r="I11" s="444">
        <v>21.2</v>
      </c>
      <c r="J11" s="445" t="s">
        <v>85</v>
      </c>
      <c r="K11" s="447">
        <v>24.85</v>
      </c>
      <c r="L11" s="448">
        <v>2.15</v>
      </c>
      <c r="M11" s="444">
        <v>28.594772903863813</v>
      </c>
      <c r="N11" s="444">
        <v>2</v>
      </c>
      <c r="O11" s="447">
        <v>11.558139534883722</v>
      </c>
      <c r="P11" s="449" t="s">
        <v>393</v>
      </c>
      <c r="Q11" s="447">
        <v>12.425000000000001</v>
      </c>
      <c r="R11" s="447">
        <v>0.86903994948818752</v>
      </c>
      <c r="S11" s="450">
        <v>14.297386451931906</v>
      </c>
      <c r="T11" s="450">
        <v>0.93023255813953487</v>
      </c>
      <c r="U11" s="240">
        <v>1</v>
      </c>
      <c r="V11" s="451">
        <v>4.4791666666666667E-2</v>
      </c>
      <c r="W11" s="450" t="s">
        <v>176</v>
      </c>
      <c r="X11" s="447">
        <v>16.370667853439272</v>
      </c>
      <c r="Y11" s="447">
        <v>-4.8125283185555503</v>
      </c>
      <c r="Z11" s="452">
        <v>3.6367777777777777</v>
      </c>
      <c r="AA11" s="58">
        <f t="shared" ca="1" si="0"/>
        <v>42.497500000000002</v>
      </c>
      <c r="AB11" s="453">
        <f ca="1">Table29[[#This Row],[Earnings]]-Table29[[#This Row],[4-Week Average]]</f>
        <v>-17.647500000000001</v>
      </c>
      <c r="AG11" s="195">
        <v>6</v>
      </c>
      <c r="AH11" s="11">
        <v>-24.000829735957979</v>
      </c>
      <c r="AI11" s="11">
        <v>2.1233857199840465</v>
      </c>
      <c r="AJ11" s="11">
        <v>14.759318150302182</v>
      </c>
      <c r="AK11" s="11">
        <v>8.0259779883230316</v>
      </c>
      <c r="AL11" s="11">
        <v>-0.90785212265127768</v>
      </c>
      <c r="AM11" s="11">
        <f t="shared" si="2"/>
        <v>7.1054273576010023E-16</v>
      </c>
      <c r="AN11" s="11" t="e">
        <f t="shared" ref="AN11" si="7">SUM(#REF!)</f>
        <v>#REF!</v>
      </c>
    </row>
    <row r="12" spans="1:40" x14ac:dyDescent="0.35">
      <c r="A12" s="436">
        <v>44229</v>
      </c>
      <c r="B12" s="435">
        <v>2021</v>
      </c>
      <c r="C12" s="435">
        <v>6</v>
      </c>
      <c r="D12" s="435">
        <v>6</v>
      </c>
      <c r="E12" s="435" t="s">
        <v>278</v>
      </c>
      <c r="F12" s="436" t="s">
        <v>47</v>
      </c>
      <c r="G12" s="437" t="s">
        <v>393</v>
      </c>
      <c r="H12" s="436" t="s">
        <v>235</v>
      </c>
      <c r="I12" s="435">
        <v>31.9</v>
      </c>
      <c r="J12" s="436" t="s">
        <v>85</v>
      </c>
      <c r="K12" s="438">
        <v>53.84</v>
      </c>
      <c r="L12" s="439">
        <v>4.9666666666666668</v>
      </c>
      <c r="M12" s="435">
        <v>71.48693225965954</v>
      </c>
      <c r="N12" s="435">
        <v>5</v>
      </c>
      <c r="O12" s="438">
        <v>10.840268456375838</v>
      </c>
      <c r="P12" s="440" t="s">
        <v>393</v>
      </c>
      <c r="Q12" s="438">
        <v>10.768000000000001</v>
      </c>
      <c r="R12" s="438">
        <v>0.75314464193873665</v>
      </c>
      <c r="S12" s="441">
        <v>14.297386451931908</v>
      </c>
      <c r="T12" s="441">
        <v>1.006711409395973</v>
      </c>
      <c r="U12" s="239">
        <v>1</v>
      </c>
      <c r="V12" s="442">
        <v>4.1388888888888892E-2</v>
      </c>
      <c r="W12" s="441" t="s">
        <v>176</v>
      </c>
      <c r="X12" s="438">
        <v>23.735051355259746</v>
      </c>
      <c r="Y12" s="438">
        <v>-12.894782898883907</v>
      </c>
      <c r="Z12" s="443">
        <v>4.2349999999999994</v>
      </c>
      <c r="AA12" s="58">
        <f t="shared" ca="1" si="0"/>
        <v>46.97</v>
      </c>
      <c r="AB12" s="453">
        <f ca="1">Table29[[#This Row],[Earnings]]-Table29[[#This Row],[4-Week Average]]</f>
        <v>6.8700000000000045</v>
      </c>
      <c r="AG12" s="195">
        <v>7</v>
      </c>
      <c r="AH12" s="11">
        <v>5.4803368329469002</v>
      </c>
      <c r="AI12" s="11">
        <v>1.5297849453991255</v>
      </c>
      <c r="AJ12" s="11">
        <v>-3.8947073626487594</v>
      </c>
      <c r="AK12" s="11">
        <v>0.88249626346035726</v>
      </c>
      <c r="AL12" s="11">
        <v>-3.9979106791576378</v>
      </c>
      <c r="AM12" s="11">
        <f t="shared" si="2"/>
        <v>-2.8421709430404009E-15</v>
      </c>
      <c r="AN12" s="11" t="e">
        <f t="shared" ref="AN12:AN21" si="8">SUM(#REF!)</f>
        <v>#REF!</v>
      </c>
    </row>
    <row r="13" spans="1:40" x14ac:dyDescent="0.35">
      <c r="A13" s="445">
        <v>44234</v>
      </c>
      <c r="B13" s="444">
        <v>2021</v>
      </c>
      <c r="C13" s="444">
        <v>6</v>
      </c>
      <c r="D13" s="444">
        <v>6</v>
      </c>
      <c r="E13" s="444" t="s">
        <v>278</v>
      </c>
      <c r="F13" s="445" t="s">
        <v>45</v>
      </c>
      <c r="G13" s="446" t="s">
        <v>393</v>
      </c>
      <c r="H13" s="445" t="s">
        <v>234</v>
      </c>
      <c r="I13" s="444">
        <v>16.3</v>
      </c>
      <c r="J13" s="445" t="s">
        <v>85</v>
      </c>
      <c r="K13" s="447">
        <v>74.709999999999994</v>
      </c>
      <c r="L13" s="448">
        <v>5.4</v>
      </c>
      <c r="M13" s="444">
        <v>85.784318711591439</v>
      </c>
      <c r="N13" s="444">
        <v>6</v>
      </c>
      <c r="O13" s="447">
        <v>13.835185185185184</v>
      </c>
      <c r="P13" s="449">
        <v>4.1019300901542692</v>
      </c>
      <c r="Q13" s="447">
        <v>12.451666666666666</v>
      </c>
      <c r="R13" s="447">
        <v>0.87090509223692125</v>
      </c>
      <c r="S13" s="450">
        <v>14.297386451931906</v>
      </c>
      <c r="T13" s="450">
        <v>1.1111111111111109</v>
      </c>
      <c r="U13" s="240">
        <v>1</v>
      </c>
      <c r="V13" s="451">
        <v>3.7499999999999999E-2</v>
      </c>
      <c r="W13" s="450" t="s">
        <v>176</v>
      </c>
      <c r="X13" s="447">
        <v>20.128703703703703</v>
      </c>
      <c r="Y13" s="447">
        <v>-6.2935185185185194</v>
      </c>
      <c r="Z13" s="452">
        <v>5.0651111111111105</v>
      </c>
      <c r="AA13" s="58">
        <f t="shared" ca="1" si="0"/>
        <v>40.519999999999996</v>
      </c>
      <c r="AB13" s="453">
        <f ca="1">Table29[[#This Row],[Earnings]]-Table29[[#This Row],[4-Week Average]]</f>
        <v>34.19</v>
      </c>
      <c r="AG13" s="195">
        <v>8</v>
      </c>
      <c r="AH13" s="11">
        <v>-8.7389508069140689</v>
      </c>
      <c r="AI13" s="11">
        <v>0.13800837320573933</v>
      </c>
      <c r="AJ13" s="11">
        <v>15.358640181720588</v>
      </c>
      <c r="AK13" s="11">
        <v>-6.3079579548599529</v>
      </c>
      <c r="AL13" s="11">
        <v>-0.44973979315231816</v>
      </c>
      <c r="AM13" s="11">
        <f t="shared" si="2"/>
        <v>-2.4868995751603505E-15</v>
      </c>
      <c r="AN13" s="11" t="e">
        <f t="shared" si="8"/>
        <v>#REF!</v>
      </c>
    </row>
    <row r="14" spans="1:40" x14ac:dyDescent="0.35">
      <c r="A14" s="436">
        <v>44241</v>
      </c>
      <c r="B14" s="435">
        <v>2021</v>
      </c>
      <c r="C14" s="435">
        <v>7</v>
      </c>
      <c r="D14" s="435">
        <v>7</v>
      </c>
      <c r="E14" s="435" t="s">
        <v>278</v>
      </c>
      <c r="F14" s="436" t="s">
        <v>45</v>
      </c>
      <c r="G14" s="437" t="s">
        <v>393</v>
      </c>
      <c r="H14" s="436" t="s">
        <v>249</v>
      </c>
      <c r="I14" s="435">
        <v>29.5</v>
      </c>
      <c r="J14" s="436" t="s">
        <v>80</v>
      </c>
      <c r="K14" s="438">
        <v>174.88</v>
      </c>
      <c r="L14" s="439">
        <v>6.25</v>
      </c>
      <c r="M14" s="435">
        <v>82.729474106140785</v>
      </c>
      <c r="N14" s="435">
        <v>8</v>
      </c>
      <c r="O14" s="438">
        <v>27.980799999999999</v>
      </c>
      <c r="P14" s="440" t="s">
        <v>393</v>
      </c>
      <c r="Q14" s="438">
        <v>21.86</v>
      </c>
      <c r="R14" s="438">
        <v>2.1138778154884843</v>
      </c>
      <c r="S14" s="441">
        <v>10.341184263267598</v>
      </c>
      <c r="T14" s="441">
        <v>1.28</v>
      </c>
      <c r="U14" s="239">
        <v>1</v>
      </c>
      <c r="V14" s="442">
        <v>3.2552083333333336E-2</v>
      </c>
      <c r="W14" s="441" t="s">
        <v>176</v>
      </c>
      <c r="X14" s="438">
        <v>22.500463167053098</v>
      </c>
      <c r="Y14" s="438">
        <v>5.4803368329469002</v>
      </c>
      <c r="Z14" s="443">
        <v>7.0082222222222219</v>
      </c>
      <c r="AA14" s="58">
        <f t="shared" ca="1" si="0"/>
        <v>82.07</v>
      </c>
      <c r="AB14" s="453">
        <f ca="1">Table29[[#This Row],[Earnings]]-Table29[[#This Row],[4-Week Average]]</f>
        <v>92.81</v>
      </c>
      <c r="AG14" s="195">
        <v>9</v>
      </c>
      <c r="AH14" s="11">
        <v>-8.6068823554889402</v>
      </c>
      <c r="AI14" s="11">
        <v>-6.3122833145347705</v>
      </c>
      <c r="AJ14" s="11">
        <v>9.0571052451901828</v>
      </c>
      <c r="AK14" s="11">
        <v>1.8676393504134055</v>
      </c>
      <c r="AL14" s="11">
        <v>3.9944210744201278</v>
      </c>
      <c r="AM14" s="11">
        <f t="shared" si="2"/>
        <v>1.0658141036401502E-15</v>
      </c>
      <c r="AN14" s="11" t="e">
        <f t="shared" si="8"/>
        <v>#REF!</v>
      </c>
    </row>
    <row r="15" spans="1:40" x14ac:dyDescent="0.35">
      <c r="A15" s="445">
        <v>44247</v>
      </c>
      <c r="B15" s="444">
        <v>2021</v>
      </c>
      <c r="C15" s="444">
        <v>8</v>
      </c>
      <c r="D15" s="444">
        <v>8</v>
      </c>
      <c r="E15" s="444" t="s">
        <v>278</v>
      </c>
      <c r="F15" s="445" t="s">
        <v>51</v>
      </c>
      <c r="G15" s="446" t="s">
        <v>393</v>
      </c>
      <c r="H15" s="445" t="s">
        <v>230</v>
      </c>
      <c r="I15" s="444">
        <v>26.4</v>
      </c>
      <c r="J15" s="445" t="s">
        <v>80</v>
      </c>
      <c r="K15" s="447">
        <v>89.93</v>
      </c>
      <c r="L15" s="448">
        <v>5.2166666666666668</v>
      </c>
      <c r="M15" s="444">
        <v>103.41184263267598</v>
      </c>
      <c r="N15" s="444">
        <v>10</v>
      </c>
      <c r="O15" s="447">
        <v>17.238977635782749</v>
      </c>
      <c r="P15" s="449" t="s">
        <v>393</v>
      </c>
      <c r="Q15" s="447">
        <v>8.9930000000000003</v>
      </c>
      <c r="R15" s="447">
        <v>0.86962960634437048</v>
      </c>
      <c r="S15" s="450">
        <v>10.341184263267598</v>
      </c>
      <c r="T15" s="450">
        <v>1.9169329073482428</v>
      </c>
      <c r="U15" s="240">
        <v>1</v>
      </c>
      <c r="V15" s="451">
        <v>2.1736111111111112E-2</v>
      </c>
      <c r="W15" s="450" t="s">
        <v>176</v>
      </c>
      <c r="X15" s="447">
        <v>25.977928442696818</v>
      </c>
      <c r="Y15" s="447">
        <v>-8.7389508069140689</v>
      </c>
      <c r="Z15" s="452">
        <v>8.0074444444444453</v>
      </c>
      <c r="AA15" s="58">
        <f t="shared" ca="1" si="0"/>
        <v>98.34</v>
      </c>
      <c r="AB15" s="453">
        <f ca="1">Table29[[#This Row],[Earnings]]-Table29[[#This Row],[4-Week Average]]</f>
        <v>-8.4099999999999966</v>
      </c>
      <c r="AG15" s="195">
        <v>10</v>
      </c>
      <c r="AH15" s="11">
        <v>7.7178129343998272</v>
      </c>
      <c r="AI15" s="11">
        <v>-0.47602620001065077</v>
      </c>
      <c r="AJ15" s="11">
        <v>1.6198747115745107</v>
      </c>
      <c r="AK15" s="11">
        <v>-2.9075829286941683</v>
      </c>
      <c r="AL15" s="11">
        <v>-5.9540785172695117</v>
      </c>
      <c r="AM15" s="11">
        <f t="shared" si="2"/>
        <v>1.4210854715202005E-15</v>
      </c>
      <c r="AN15" s="11" t="e">
        <f t="shared" si="8"/>
        <v>#REF!</v>
      </c>
    </row>
    <row r="16" spans="1:40" x14ac:dyDescent="0.35">
      <c r="A16" s="436">
        <v>44248</v>
      </c>
      <c r="B16" s="435">
        <v>2021</v>
      </c>
      <c r="C16" s="435">
        <v>8</v>
      </c>
      <c r="D16" s="435">
        <v>8</v>
      </c>
      <c r="E16" s="435" t="s">
        <v>278</v>
      </c>
      <c r="F16" s="436" t="s">
        <v>45</v>
      </c>
      <c r="G16" s="437" t="s">
        <v>393</v>
      </c>
      <c r="H16" s="436" t="s">
        <v>235</v>
      </c>
      <c r="I16" s="435">
        <v>36.1</v>
      </c>
      <c r="J16" s="436" t="s">
        <v>80</v>
      </c>
      <c r="K16" s="438">
        <v>90.75</v>
      </c>
      <c r="L16" s="439">
        <v>4.5999999999999996</v>
      </c>
      <c r="M16" s="435">
        <v>124.09421115921117</v>
      </c>
      <c r="N16" s="435">
        <v>12</v>
      </c>
      <c r="O16" s="438">
        <v>19.728260869565219</v>
      </c>
      <c r="P16" s="440">
        <v>-8.2525391304347799</v>
      </c>
      <c r="Q16" s="438">
        <v>7.5625</v>
      </c>
      <c r="R16" s="438">
        <v>0.73129922139211634</v>
      </c>
      <c r="S16" s="441">
        <v>10.341184263267598</v>
      </c>
      <c r="T16" s="441">
        <v>2.6086956521739131</v>
      </c>
      <c r="U16" s="239">
        <v>1</v>
      </c>
      <c r="V16" s="442">
        <v>1.5972222222222221E-2</v>
      </c>
      <c r="W16" s="441" t="s">
        <v>176</v>
      </c>
      <c r="X16" s="438">
        <v>19.728260869565219</v>
      </c>
      <c r="Y16" s="438">
        <v>0</v>
      </c>
      <c r="Z16" s="443">
        <v>9.0157777777777781</v>
      </c>
      <c r="AA16" s="58">
        <f t="shared" ca="1" si="0"/>
        <v>107.5675</v>
      </c>
      <c r="AB16" s="453">
        <f ca="1">Table29[[#This Row],[Earnings]]-Table29[[#This Row],[4-Week Average]]</f>
        <v>-16.817499999999995</v>
      </c>
      <c r="AG16" s="195">
        <v>11</v>
      </c>
      <c r="AH16" s="11">
        <v>13.680071676159036</v>
      </c>
      <c r="AI16" s="11">
        <v>13.020771010682473</v>
      </c>
      <c r="AJ16" s="11">
        <v>-19.625329611192502</v>
      </c>
      <c r="AK16" s="11">
        <v>-1.4804585917658137</v>
      </c>
      <c r="AL16" s="11">
        <v>-5.5950544838832243</v>
      </c>
      <c r="AM16" s="11">
        <f t="shared" si="2"/>
        <v>-5.6843418860808018E-15</v>
      </c>
      <c r="AN16" s="11" t="e">
        <f t="shared" si="8"/>
        <v>#REF!</v>
      </c>
    </row>
    <row r="17" spans="1:40" x14ac:dyDescent="0.35">
      <c r="A17" s="445">
        <v>44254</v>
      </c>
      <c r="B17" s="444">
        <v>2021</v>
      </c>
      <c r="C17" s="444">
        <v>9</v>
      </c>
      <c r="D17" s="444">
        <v>9</v>
      </c>
      <c r="E17" s="444" t="s">
        <v>278</v>
      </c>
      <c r="F17" s="445" t="s">
        <v>51</v>
      </c>
      <c r="G17" s="446" t="s">
        <v>393</v>
      </c>
      <c r="H17" s="445" t="s">
        <v>230</v>
      </c>
      <c r="I17" s="444">
        <v>41.8</v>
      </c>
      <c r="J17" s="445" t="s">
        <v>82</v>
      </c>
      <c r="K17" s="447">
        <v>55.9</v>
      </c>
      <c r="L17" s="448">
        <v>3.7166666666666668</v>
      </c>
      <c r="M17" s="444">
        <v>63.13884615384616</v>
      </c>
      <c r="N17" s="444">
        <v>8</v>
      </c>
      <c r="O17" s="447">
        <v>15.040358744394618</v>
      </c>
      <c r="P17" s="449" t="s">
        <v>393</v>
      </c>
      <c r="Q17" s="447">
        <v>6.9874999999999998</v>
      </c>
      <c r="R17" s="447">
        <v>0.88535035727121536</v>
      </c>
      <c r="S17" s="450">
        <v>7.89235576923077</v>
      </c>
      <c r="T17" s="450">
        <v>2.1524663677130045</v>
      </c>
      <c r="U17" s="240">
        <v>1</v>
      </c>
      <c r="V17" s="451">
        <v>1.935763888888889E-2</v>
      </c>
      <c r="W17" s="450" t="s">
        <v>176</v>
      </c>
      <c r="X17" s="447">
        <v>23.647241099883558</v>
      </c>
      <c r="Y17" s="447">
        <v>-8.6068823554889402</v>
      </c>
      <c r="Z17" s="452">
        <v>9.6368888888888886</v>
      </c>
      <c r="AA17" s="58">
        <f t="shared" ca="1" si="0"/>
        <v>102.86499999999999</v>
      </c>
      <c r="AB17" s="453">
        <f ca="1">Table29[[#This Row],[Earnings]]-Table29[[#This Row],[4-Week Average]]</f>
        <v>-46.964999999999996</v>
      </c>
      <c r="AG17" s="195">
        <v>12</v>
      </c>
      <c r="AH17" s="11">
        <v>33.94415351853764</v>
      </c>
      <c r="AI17" s="11">
        <v>5.2178499853346842</v>
      </c>
      <c r="AJ17" s="11">
        <v>-28.270183226714124</v>
      </c>
      <c r="AK17" s="11">
        <v>8.6532890539424123</v>
      </c>
      <c r="AL17" s="11">
        <v>-19.545109331100615</v>
      </c>
      <c r="AM17" s="11">
        <f t="shared" si="2"/>
        <v>0</v>
      </c>
      <c r="AN17" s="11" t="e">
        <f t="shared" si="8"/>
        <v>#REF!</v>
      </c>
    </row>
    <row r="18" spans="1:40" x14ac:dyDescent="0.35">
      <c r="A18" s="436">
        <v>44256</v>
      </c>
      <c r="B18" s="435">
        <v>2021</v>
      </c>
      <c r="C18" s="435">
        <v>10</v>
      </c>
      <c r="D18" s="435">
        <v>10</v>
      </c>
      <c r="E18" s="435" t="s">
        <v>278</v>
      </c>
      <c r="F18" s="436" t="s">
        <v>46</v>
      </c>
      <c r="G18" s="437" t="s">
        <v>393</v>
      </c>
      <c r="H18" s="436" t="s">
        <v>249</v>
      </c>
      <c r="I18" s="435">
        <v>5.5</v>
      </c>
      <c r="J18" s="436" t="s">
        <v>80</v>
      </c>
      <c r="K18" s="438">
        <v>37.5</v>
      </c>
      <c r="L18" s="439">
        <v>1.8666666666666667</v>
      </c>
      <c r="M18" s="435">
        <v>41.364737053070392</v>
      </c>
      <c r="N18" s="435">
        <v>4</v>
      </c>
      <c r="O18" s="438">
        <v>20.089285714285715</v>
      </c>
      <c r="P18" s="440" t="s">
        <v>393</v>
      </c>
      <c r="Q18" s="438">
        <v>9.375</v>
      </c>
      <c r="R18" s="438">
        <v>0.90656928271749948</v>
      </c>
      <c r="S18" s="441">
        <v>10.341184263267598</v>
      </c>
      <c r="T18" s="441">
        <v>2.1428571428571428</v>
      </c>
      <c r="U18" s="239">
        <v>1</v>
      </c>
      <c r="V18" s="442">
        <v>1.9444444444444445E-2</v>
      </c>
      <c r="W18" s="441" t="s">
        <v>176</v>
      </c>
      <c r="X18" s="438">
        <v>23.56093186038801</v>
      </c>
      <c r="Y18" s="438">
        <v>-3.4716461461022945</v>
      </c>
      <c r="Z18" s="443">
        <v>10.053555555555556</v>
      </c>
      <c r="AA18" s="58">
        <f t="shared" ca="1" si="0"/>
        <v>68.52000000000001</v>
      </c>
      <c r="AB18" s="453">
        <f ca="1">Table29[[#This Row],[Earnings]]-Table29[[#This Row],[4-Week Average]]</f>
        <v>-31.02000000000001</v>
      </c>
      <c r="AG18" s="195">
        <v>13</v>
      </c>
      <c r="AH18" s="11">
        <v>5.666365535006566</v>
      </c>
      <c r="AI18" s="11">
        <v>-1.7827325497258926</v>
      </c>
      <c r="AJ18" s="11">
        <v>-4.0941205093963795</v>
      </c>
      <c r="AK18" s="11">
        <v>14.429353799016244</v>
      </c>
      <c r="AL18" s="11">
        <v>-14.218866274900535</v>
      </c>
      <c r="AM18" s="11">
        <f t="shared" si="2"/>
        <v>0</v>
      </c>
      <c r="AN18" s="11" t="e">
        <f t="shared" si="8"/>
        <v>#REF!</v>
      </c>
    </row>
    <row r="19" spans="1:40" x14ac:dyDescent="0.35">
      <c r="A19" s="445">
        <v>44257</v>
      </c>
      <c r="B19" s="444">
        <v>2021</v>
      </c>
      <c r="C19" s="444">
        <v>10</v>
      </c>
      <c r="D19" s="444">
        <v>10</v>
      </c>
      <c r="E19" s="444" t="s">
        <v>278</v>
      </c>
      <c r="F19" s="445" t="s">
        <v>47</v>
      </c>
      <c r="G19" s="446" t="s">
        <v>393</v>
      </c>
      <c r="H19" s="445" t="s">
        <v>249</v>
      </c>
      <c r="I19" s="444">
        <v>28.6</v>
      </c>
      <c r="J19" s="445" t="s">
        <v>82</v>
      </c>
      <c r="K19" s="447">
        <v>29.5</v>
      </c>
      <c r="L19" s="448">
        <v>1.5</v>
      </c>
      <c r="M19" s="444">
        <v>31.56942307692308</v>
      </c>
      <c r="N19" s="444">
        <v>4</v>
      </c>
      <c r="O19" s="447">
        <v>19.666666666666668</v>
      </c>
      <c r="P19" s="449" t="s">
        <v>393</v>
      </c>
      <c r="Q19" s="447">
        <v>7.375</v>
      </c>
      <c r="R19" s="447">
        <v>0.93444849872990532</v>
      </c>
      <c r="S19" s="450">
        <v>7.89235576923077</v>
      </c>
      <c r="T19" s="450">
        <v>2.6666666666666665</v>
      </c>
      <c r="U19" s="240">
        <v>1</v>
      </c>
      <c r="V19" s="451">
        <v>1.5625E-2</v>
      </c>
      <c r="W19" s="450" t="s">
        <v>176</v>
      </c>
      <c r="X19" s="447">
        <v>20.677170504338861</v>
      </c>
      <c r="Y19" s="447">
        <v>-1.0105038376721929</v>
      </c>
      <c r="Z19" s="452">
        <v>10.381333333333334</v>
      </c>
      <c r="AA19" s="58">
        <f t="shared" ca="1" si="0"/>
        <v>53.412500000000001</v>
      </c>
      <c r="AB19" s="453">
        <f ca="1">Table29[[#This Row],[Earnings]]-Table29[[#This Row],[4-Week Average]]</f>
        <v>-23.912500000000001</v>
      </c>
      <c r="AG19" s="195">
        <v>14</v>
      </c>
      <c r="AH19" s="11">
        <v>8.0921996950162871</v>
      </c>
      <c r="AI19" s="11">
        <v>5.6133599527403852</v>
      </c>
      <c r="AJ19" s="11">
        <v>-12.636803010605961</v>
      </c>
      <c r="AK19" s="11">
        <v>-1.0687566371507167</v>
      </c>
      <c r="AL19" s="11"/>
      <c r="AM19" s="11">
        <f t="shared" si="2"/>
        <v>-1.3322676295501878E-15</v>
      </c>
      <c r="AN19" s="11" t="e">
        <f t="shared" si="8"/>
        <v>#REF!</v>
      </c>
    </row>
    <row r="20" spans="1:40" x14ac:dyDescent="0.35">
      <c r="A20" s="436">
        <v>44260</v>
      </c>
      <c r="B20" s="435">
        <v>2021</v>
      </c>
      <c r="C20" s="435">
        <v>10</v>
      </c>
      <c r="D20" s="435">
        <v>10</v>
      </c>
      <c r="E20" s="435" t="s">
        <v>278</v>
      </c>
      <c r="F20" s="436" t="s">
        <v>50</v>
      </c>
      <c r="G20" s="437" t="s">
        <v>393</v>
      </c>
      <c r="H20" s="436" t="s">
        <v>249</v>
      </c>
      <c r="I20" s="435">
        <v>20.6</v>
      </c>
      <c r="J20" s="436" t="s">
        <v>85</v>
      </c>
      <c r="K20" s="438">
        <v>142.68</v>
      </c>
      <c r="L20" s="439">
        <v>4.3499999999999996</v>
      </c>
      <c r="M20" s="435">
        <v>100.08170516352334</v>
      </c>
      <c r="N20" s="435">
        <v>7</v>
      </c>
      <c r="O20" s="438">
        <v>32.800000000000004</v>
      </c>
      <c r="P20" s="440">
        <v>26.926829268292686</v>
      </c>
      <c r="Q20" s="438">
        <v>20.382857142857144</v>
      </c>
      <c r="R20" s="438">
        <v>1.4256351824429387</v>
      </c>
      <c r="S20" s="441">
        <v>14.297386451931905</v>
      </c>
      <c r="T20" s="441">
        <v>1.6091954022988506</v>
      </c>
      <c r="U20" s="239">
        <v>1</v>
      </c>
      <c r="V20" s="442">
        <v>2.5892857142857138E-2</v>
      </c>
      <c r="W20" s="441" t="s">
        <v>176</v>
      </c>
      <c r="X20" s="438">
        <v>33.891452991452994</v>
      </c>
      <c r="Y20" s="438">
        <v>-1.0914529914529894</v>
      </c>
      <c r="Z20" s="443">
        <v>11.966666666666667</v>
      </c>
      <c r="AA20" s="58">
        <f t="shared" ca="1" si="0"/>
        <v>66.39500000000001</v>
      </c>
      <c r="AB20" s="453">
        <f ca="1">Table29[[#This Row],[Earnings]]-Table29[[#This Row],[4-Week Average]]</f>
        <v>76.284999999999997</v>
      </c>
      <c r="AG20" s="195">
        <v>15</v>
      </c>
      <c r="AH20" s="11"/>
      <c r="AI20" s="11">
        <v>9.8575646730815478</v>
      </c>
      <c r="AJ20" s="11">
        <v>-7.661918287775773</v>
      </c>
      <c r="AK20" s="11">
        <v>1.6708405996929159</v>
      </c>
      <c r="AL20" s="11">
        <v>-3.8664869849987049</v>
      </c>
      <c r="AM20" s="11">
        <f t="shared" si="2"/>
        <v>-3.5527136788005009E-15</v>
      </c>
      <c r="AN20" s="11" t="e">
        <f t="shared" si="8"/>
        <v>#REF!</v>
      </c>
    </row>
    <row r="21" spans="1:40" x14ac:dyDescent="0.35">
      <c r="A21" s="445">
        <v>44261</v>
      </c>
      <c r="B21" s="444">
        <v>2021</v>
      </c>
      <c r="C21" s="444">
        <v>10</v>
      </c>
      <c r="D21" s="444">
        <v>10</v>
      </c>
      <c r="E21" s="444" t="s">
        <v>278</v>
      </c>
      <c r="F21" s="445" t="s">
        <v>51</v>
      </c>
      <c r="G21" s="446" t="s">
        <v>393</v>
      </c>
      <c r="H21" s="445" t="s">
        <v>230</v>
      </c>
      <c r="I21" s="444">
        <v>25.3</v>
      </c>
      <c r="J21" s="445" t="s">
        <v>80</v>
      </c>
      <c r="K21" s="447">
        <v>31.05</v>
      </c>
      <c r="L21" s="448">
        <v>0.70833333333333326</v>
      </c>
      <c r="M21" s="444">
        <v>20.682368526535196</v>
      </c>
      <c r="N21" s="444">
        <v>2</v>
      </c>
      <c r="O21" s="447">
        <v>43.835294117647067</v>
      </c>
      <c r="P21" s="449">
        <v>26.596316481864317</v>
      </c>
      <c r="Q21" s="447">
        <v>15.525</v>
      </c>
      <c r="R21" s="447">
        <v>1.5012787321801793</v>
      </c>
      <c r="S21" s="450">
        <v>10.341184263267598</v>
      </c>
      <c r="T21" s="450">
        <v>2.8235294117647061</v>
      </c>
      <c r="U21" s="240">
        <v>2</v>
      </c>
      <c r="V21" s="451">
        <v>1.4756944444444442E-2</v>
      </c>
      <c r="W21" s="450" t="s">
        <v>176</v>
      </c>
      <c r="X21" s="447">
        <v>30.543878208019763</v>
      </c>
      <c r="Y21" s="447">
        <v>13.291415909627304</v>
      </c>
      <c r="Z21" s="452">
        <v>12.311666666666666</v>
      </c>
      <c r="AA21" s="58">
        <f t="shared" ca="1" si="0"/>
        <v>60.182500000000005</v>
      </c>
      <c r="AB21" s="453">
        <f ca="1">Table29[[#This Row],[Earnings]]-Table29[[#This Row],[4-Week Average]]</f>
        <v>-29.132500000000004</v>
      </c>
      <c r="AG21" s="195">
        <v>16</v>
      </c>
      <c r="AH21" s="11">
        <v>1.7107964307200341</v>
      </c>
      <c r="AI21" s="11"/>
      <c r="AJ21" s="11">
        <v>2.090897144554642</v>
      </c>
      <c r="AK21" s="11">
        <v>-4.2450656415181243</v>
      </c>
      <c r="AL21" s="11">
        <v>0.44337206624345527</v>
      </c>
      <c r="AM21" s="11">
        <f t="shared" si="2"/>
        <v>1.7763568394002505E-15</v>
      </c>
      <c r="AN21" s="11" t="e">
        <f t="shared" si="8"/>
        <v>#REF!</v>
      </c>
    </row>
    <row r="22" spans="1:40" x14ac:dyDescent="0.35">
      <c r="A22" s="436">
        <v>44264</v>
      </c>
      <c r="B22" s="435">
        <v>2021</v>
      </c>
      <c r="C22" s="435">
        <v>11</v>
      </c>
      <c r="D22" s="435">
        <v>11</v>
      </c>
      <c r="E22" s="435" t="s">
        <v>278</v>
      </c>
      <c r="F22" s="436" t="s">
        <v>47</v>
      </c>
      <c r="G22" s="437" t="s">
        <v>393</v>
      </c>
      <c r="H22" s="436" t="s">
        <v>230</v>
      </c>
      <c r="I22" s="435">
        <v>40</v>
      </c>
      <c r="J22" s="436" t="s">
        <v>80</v>
      </c>
      <c r="K22" s="438">
        <v>70.41</v>
      </c>
      <c r="L22" s="439">
        <v>1.4416666666666664</v>
      </c>
      <c r="M22" s="435">
        <v>41.364737053070392</v>
      </c>
      <c r="N22" s="435">
        <v>4</v>
      </c>
      <c r="O22" s="438">
        <v>48.839306358381506</v>
      </c>
      <c r="P22" s="440" t="s">
        <v>393</v>
      </c>
      <c r="Q22" s="438">
        <v>17.602499999999999</v>
      </c>
      <c r="R22" s="438">
        <v>1.7021744852303771</v>
      </c>
      <c r="S22" s="441">
        <v>10.341184263267598</v>
      </c>
      <c r="T22" s="441">
        <v>2.7745664739884397</v>
      </c>
      <c r="U22" s="239">
        <v>2</v>
      </c>
      <c r="V22" s="442">
        <v>1.5017361111111108E-2</v>
      </c>
      <c r="W22" s="441" t="s">
        <v>176</v>
      </c>
      <c r="X22" s="438">
        <v>32.476525217105447</v>
      </c>
      <c r="Y22" s="438">
        <v>16.362781141276059</v>
      </c>
      <c r="Z22" s="443">
        <v>13.094000000000001</v>
      </c>
      <c r="AA22" s="58">
        <f t="shared" ca="1" si="0"/>
        <v>68.41</v>
      </c>
      <c r="AB22" s="453">
        <f ca="1">Table29[[#This Row],[Earnings]]-Table29[[#This Row],[4-Week Average]]</f>
        <v>2</v>
      </c>
      <c r="AG22" s="195">
        <v>17</v>
      </c>
      <c r="AH22" s="11">
        <v>2.6204193230801991</v>
      </c>
      <c r="AI22" s="11">
        <v>0.83384626009138074</v>
      </c>
      <c r="AJ22" s="11">
        <v>9.9883511075911571</v>
      </c>
      <c r="AK22" s="11">
        <v>-6.8552993443314865</v>
      </c>
      <c r="AL22" s="11">
        <v>-6.5873173464312629</v>
      </c>
      <c r="AM22" s="11">
        <f t="shared" si="2"/>
        <v>-2.4868995751603505E-15</v>
      </c>
      <c r="AN22" s="11">
        <f t="shared" ref="AN22:AN56" si="9">SUM(AM10:AM22)</f>
        <v>-1.3411494137471892E-14</v>
      </c>
    </row>
    <row r="23" spans="1:40" x14ac:dyDescent="0.35">
      <c r="A23" s="445">
        <v>44265</v>
      </c>
      <c r="B23" s="444">
        <v>2021</v>
      </c>
      <c r="C23" s="444">
        <v>11</v>
      </c>
      <c r="D23" s="444">
        <v>11</v>
      </c>
      <c r="E23" s="444" t="s">
        <v>278</v>
      </c>
      <c r="F23" s="445" t="s">
        <v>48</v>
      </c>
      <c r="G23" s="446" t="s">
        <v>393</v>
      </c>
      <c r="H23" s="445" t="s">
        <v>230</v>
      </c>
      <c r="I23" s="444">
        <v>56.3</v>
      </c>
      <c r="J23" s="445" t="s">
        <v>80</v>
      </c>
      <c r="K23" s="447">
        <v>41.620000000000005</v>
      </c>
      <c r="L23" s="448">
        <v>1.6416666666666666</v>
      </c>
      <c r="M23" s="444">
        <v>41.364737053070392</v>
      </c>
      <c r="N23" s="444">
        <v>4</v>
      </c>
      <c r="O23" s="447">
        <v>25.352284263959394</v>
      </c>
      <c r="P23" s="449" t="s">
        <v>393</v>
      </c>
      <c r="Q23" s="447">
        <v>10.405000000000001</v>
      </c>
      <c r="R23" s="447">
        <v>1.0061710279120621</v>
      </c>
      <c r="S23" s="450">
        <v>10.341184263267598</v>
      </c>
      <c r="T23" s="450">
        <v>2.436548223350254</v>
      </c>
      <c r="U23" s="240">
        <v>2</v>
      </c>
      <c r="V23" s="451">
        <v>1.7100694444444443E-2</v>
      </c>
      <c r="W23" s="450" t="s">
        <v>176</v>
      </c>
      <c r="X23" s="447">
        <v>24.713285343418189</v>
      </c>
      <c r="Y23" s="447">
        <v>0.638998920541205</v>
      </c>
      <c r="Z23" s="452">
        <v>13.556444444444443</v>
      </c>
      <c r="AA23" s="58">
        <f t="shared" ca="1" si="0"/>
        <v>71.44</v>
      </c>
      <c r="AB23" s="453">
        <f ca="1">Table29[[#This Row],[Earnings]]-Table29[[#This Row],[4-Week Average]]</f>
        <v>-29.819999999999993</v>
      </c>
      <c r="AG23" s="195">
        <v>18</v>
      </c>
      <c r="AH23" s="11">
        <v>-7.5323119050444483</v>
      </c>
      <c r="AI23" s="11"/>
      <c r="AJ23" s="11">
        <v>6.4268998933126902</v>
      </c>
      <c r="AK23" s="11">
        <v>-1.3327533723831664E-2</v>
      </c>
      <c r="AL23" s="11">
        <v>1.1187395454555897</v>
      </c>
      <c r="AM23" s="11">
        <f t="shared" si="2"/>
        <v>0</v>
      </c>
      <c r="AN23" s="11">
        <f t="shared" si="9"/>
        <v>-1.3411494137471892E-14</v>
      </c>
    </row>
    <row r="24" spans="1:40" x14ac:dyDescent="0.35">
      <c r="A24" s="436">
        <v>44267</v>
      </c>
      <c r="B24" s="435">
        <v>2021</v>
      </c>
      <c r="C24" s="435">
        <v>11</v>
      </c>
      <c r="D24" s="435">
        <v>11</v>
      </c>
      <c r="E24" s="435" t="s">
        <v>278</v>
      </c>
      <c r="F24" s="436" t="s">
        <v>50</v>
      </c>
      <c r="G24" s="437" t="s">
        <v>393</v>
      </c>
      <c r="H24" s="436" t="s">
        <v>249</v>
      </c>
      <c r="I24" s="435">
        <v>32.299999999999997</v>
      </c>
      <c r="J24" s="436" t="s">
        <v>80</v>
      </c>
      <c r="K24" s="438">
        <v>40.86</v>
      </c>
      <c r="L24" s="439">
        <v>2.5666666666666664</v>
      </c>
      <c r="M24" s="435">
        <v>51.705921316337992</v>
      </c>
      <c r="N24" s="435">
        <v>5</v>
      </c>
      <c r="O24" s="438">
        <v>15.919480519480521</v>
      </c>
      <c r="P24" s="440">
        <v>9.4094805194805211</v>
      </c>
      <c r="Q24" s="438">
        <v>8.1720000000000006</v>
      </c>
      <c r="R24" s="438">
        <v>0.79023831235918995</v>
      </c>
      <c r="S24" s="441">
        <v>10.341184263267598</v>
      </c>
      <c r="T24" s="441">
        <v>1.9480519480519483</v>
      </c>
      <c r="U24" s="239">
        <v>2</v>
      </c>
      <c r="V24" s="442">
        <v>2.1388888888888888E-2</v>
      </c>
      <c r="W24" s="441" t="s">
        <v>176</v>
      </c>
      <c r="X24" s="438">
        <v>19.241188905138749</v>
      </c>
      <c r="Y24" s="438">
        <v>-3.3217083856582281</v>
      </c>
      <c r="Z24" s="443">
        <v>14.010444444444442</v>
      </c>
      <c r="AA24" s="58">
        <f t="shared" ca="1" si="0"/>
        <v>45.984999999999999</v>
      </c>
      <c r="AB24" s="453">
        <f ca="1">Table29[[#This Row],[Earnings]]-Table29[[#This Row],[4-Week Average]]</f>
        <v>-5.125</v>
      </c>
      <c r="AG24" s="195">
        <v>19</v>
      </c>
      <c r="AH24" s="11">
        <v>7.9174396011978967</v>
      </c>
      <c r="AI24" s="11">
        <v>-3.929651249234265</v>
      </c>
      <c r="AJ24" s="11">
        <v>-9.0026083532009444</v>
      </c>
      <c r="AK24" s="11">
        <v>5.5543871442521073</v>
      </c>
      <c r="AL24" s="11">
        <v>-0.53956714301481412</v>
      </c>
      <c r="AM24" s="11">
        <f t="shared" si="2"/>
        <v>-3.9079850466805513E-15</v>
      </c>
      <c r="AN24" s="11">
        <f t="shared" si="9"/>
        <v>-1.803002191991254E-14</v>
      </c>
    </row>
    <row r="25" spans="1:40" x14ac:dyDescent="0.35">
      <c r="A25" s="445">
        <v>44270</v>
      </c>
      <c r="B25" s="444">
        <v>2021</v>
      </c>
      <c r="C25" s="444">
        <v>12</v>
      </c>
      <c r="D25" s="444">
        <v>12</v>
      </c>
      <c r="E25" s="444" t="s">
        <v>278</v>
      </c>
      <c r="F25" s="445" t="s">
        <v>46</v>
      </c>
      <c r="G25" s="446" t="s">
        <v>393</v>
      </c>
      <c r="H25" s="445" t="s">
        <v>230</v>
      </c>
      <c r="I25" s="444">
        <v>29.3</v>
      </c>
      <c r="J25" s="445" t="s">
        <v>80</v>
      </c>
      <c r="K25" s="447">
        <v>82</v>
      </c>
      <c r="L25" s="448">
        <v>2.541666666666667</v>
      </c>
      <c r="M25" s="444">
        <v>62.047105579605585</v>
      </c>
      <c r="N25" s="444">
        <v>6</v>
      </c>
      <c r="O25" s="447">
        <v>32.26229508196721</v>
      </c>
      <c r="P25" s="449">
        <v>12.173009367681495</v>
      </c>
      <c r="Q25" s="447">
        <v>13.666666666666666</v>
      </c>
      <c r="R25" s="447">
        <v>1.3215765543615106</v>
      </c>
      <c r="S25" s="450">
        <v>10.341184263267598</v>
      </c>
      <c r="T25" s="450">
        <v>2.3606557377049175</v>
      </c>
      <c r="U25" s="240">
        <v>2</v>
      </c>
      <c r="V25" s="451">
        <v>1.7650462962962965E-2</v>
      </c>
      <c r="W25" s="450" t="s">
        <v>176</v>
      </c>
      <c r="X25" s="447">
        <v>22.127564587674119</v>
      </c>
      <c r="Y25" s="447">
        <v>10.134730494293091</v>
      </c>
      <c r="Z25" s="452">
        <v>14.921555555555553</v>
      </c>
      <c r="AA25" s="58">
        <f t="shared" ca="1" si="0"/>
        <v>58.722499999999997</v>
      </c>
      <c r="AB25" s="453">
        <f ca="1">Table29[[#This Row],[Earnings]]-Table29[[#This Row],[4-Week Average]]</f>
        <v>23.277500000000003</v>
      </c>
      <c r="AG25" s="195">
        <v>20</v>
      </c>
      <c r="AH25" s="11">
        <v>28.930843051627019</v>
      </c>
      <c r="AI25" s="11">
        <v>-12.971938008904196</v>
      </c>
      <c r="AJ25" s="11">
        <v>-12.255078004322268</v>
      </c>
      <c r="AK25" s="11">
        <v>1.098038846962119</v>
      </c>
      <c r="AL25" s="11">
        <v>-4.8018658853626413</v>
      </c>
      <c r="AM25" s="11">
        <f t="shared" si="2"/>
        <v>6.3948846218409018E-15</v>
      </c>
      <c r="AN25" s="11">
        <f t="shared" si="9"/>
        <v>-8.7929663550312417E-15</v>
      </c>
    </row>
    <row r="26" spans="1:40" x14ac:dyDescent="0.35">
      <c r="A26" s="436">
        <v>44272</v>
      </c>
      <c r="B26" s="435">
        <v>2021</v>
      </c>
      <c r="C26" s="435">
        <v>12</v>
      </c>
      <c r="D26" s="435">
        <v>12</v>
      </c>
      <c r="E26" s="435" t="s">
        <v>278</v>
      </c>
      <c r="F26" s="436" t="s">
        <v>48</v>
      </c>
      <c r="G26" s="437" t="s">
        <v>393</v>
      </c>
      <c r="H26" s="436" t="s">
        <v>236</v>
      </c>
      <c r="I26" s="435">
        <v>42.3</v>
      </c>
      <c r="J26" s="436" t="s">
        <v>80</v>
      </c>
      <c r="K26" s="438">
        <v>83.79</v>
      </c>
      <c r="L26" s="439">
        <v>2.041666666666667</v>
      </c>
      <c r="M26" s="435">
        <v>72.388289842873192</v>
      </c>
      <c r="N26" s="435">
        <v>7</v>
      </c>
      <c r="O26" s="438">
        <v>41.04</v>
      </c>
      <c r="P26" s="440">
        <v>15.687715736040605</v>
      </c>
      <c r="Q26" s="438">
        <v>11.97</v>
      </c>
      <c r="R26" s="438">
        <v>1.1575076601737033</v>
      </c>
      <c r="S26" s="441">
        <v>10.341184263267598</v>
      </c>
      <c r="T26" s="441">
        <v>3.4285714285714279</v>
      </c>
      <c r="U26" s="239">
        <v>2</v>
      </c>
      <c r="V26" s="442">
        <v>1.2152777777777778E-2</v>
      </c>
      <c r="W26" s="441" t="s">
        <v>176</v>
      </c>
      <c r="X26" s="438">
        <v>26.505470302261681</v>
      </c>
      <c r="Y26" s="438">
        <v>14.534529697738318</v>
      </c>
      <c r="Z26" s="443">
        <v>15.852555555555552</v>
      </c>
      <c r="AA26" s="58">
        <f t="shared" ca="1" si="0"/>
        <v>62.06750000000001</v>
      </c>
      <c r="AB26" s="453">
        <f ca="1">Table29[[#This Row],[Earnings]]-Table29[[#This Row],[4-Week Average]]</f>
        <v>21.722499999999997</v>
      </c>
      <c r="AG26" s="195">
        <v>21</v>
      </c>
      <c r="AH26" s="11">
        <v>20.331320909211577</v>
      </c>
      <c r="AI26" s="11">
        <v>-6.9225654695823735</v>
      </c>
      <c r="AJ26" s="11">
        <v>-13.788229021949249</v>
      </c>
      <c r="AK26" s="11">
        <v>2.5588616234653472E-2</v>
      </c>
      <c r="AL26" s="11">
        <v>0.35388496608541331</v>
      </c>
      <c r="AM26" s="11">
        <f t="shared" si="2"/>
        <v>4.263256414560601E-15</v>
      </c>
      <c r="AN26" s="11">
        <f t="shared" si="9"/>
        <v>-2.0428103653102902E-15</v>
      </c>
    </row>
    <row r="27" spans="1:40" x14ac:dyDescent="0.35">
      <c r="A27" s="445">
        <v>44274</v>
      </c>
      <c r="B27" s="444">
        <v>2021</v>
      </c>
      <c r="C27" s="444">
        <v>12</v>
      </c>
      <c r="D27" s="444">
        <v>12</v>
      </c>
      <c r="E27" s="444" t="s">
        <v>278</v>
      </c>
      <c r="F27" s="445" t="s">
        <v>50</v>
      </c>
      <c r="G27" s="446" t="s">
        <v>393</v>
      </c>
      <c r="H27" s="445" t="s">
        <v>230</v>
      </c>
      <c r="I27" s="444">
        <v>54.2</v>
      </c>
      <c r="J27" s="445" t="s">
        <v>85</v>
      </c>
      <c r="K27" s="447">
        <v>122.86</v>
      </c>
      <c r="L27" s="448">
        <v>3.5999999999999996</v>
      </c>
      <c r="M27" s="444">
        <v>85.784318711591439</v>
      </c>
      <c r="N27" s="444">
        <v>6</v>
      </c>
      <c r="O27" s="447">
        <v>34.12777777777778</v>
      </c>
      <c r="P27" s="449">
        <v>14.791192411924118</v>
      </c>
      <c r="Q27" s="447">
        <v>20.476666666666667</v>
      </c>
      <c r="R27" s="447">
        <v>1.4321964881840203</v>
      </c>
      <c r="S27" s="450">
        <v>14.297386451931906</v>
      </c>
      <c r="T27" s="450">
        <v>1.6666666666666667</v>
      </c>
      <c r="U27" s="240">
        <v>1</v>
      </c>
      <c r="V27" s="451">
        <v>2.4999999999999998E-2</v>
      </c>
      <c r="W27" s="450" t="s">
        <v>176</v>
      </c>
      <c r="X27" s="447">
        <v>24.852884451271549</v>
      </c>
      <c r="Y27" s="447">
        <v>9.2748933265062306</v>
      </c>
      <c r="Z27" s="452">
        <v>17.217666666666663</v>
      </c>
      <c r="AA27" s="58">
        <f t="shared" ca="1" si="0"/>
        <v>82.377499999999998</v>
      </c>
      <c r="AB27" s="453">
        <f ca="1">Table29[[#This Row],[Earnings]]-Table29[[#This Row],[4-Week Average]]</f>
        <v>40.482500000000002</v>
      </c>
      <c r="AG27" s="195">
        <v>22</v>
      </c>
      <c r="AH27" s="11">
        <v>0.83434220919090052</v>
      </c>
      <c r="AI27" s="11">
        <v>0.45888496106704935</v>
      </c>
      <c r="AJ27" s="11">
        <v>2.5286349636056826</v>
      </c>
      <c r="AK27" s="11">
        <v>-2.507120376766057</v>
      </c>
      <c r="AL27" s="11">
        <v>-1.3147417570975612</v>
      </c>
      <c r="AM27" s="11">
        <f t="shared" si="2"/>
        <v>2.8421709430404009E-15</v>
      </c>
      <c r="AN27" s="11">
        <f t="shared" si="9"/>
        <v>-2.664535259100382E-16</v>
      </c>
    </row>
    <row r="28" spans="1:40" x14ac:dyDescent="0.35">
      <c r="A28" s="436">
        <v>44277</v>
      </c>
      <c r="B28" s="435">
        <v>2021</v>
      </c>
      <c r="C28" s="435">
        <v>13</v>
      </c>
      <c r="D28" s="435">
        <v>13</v>
      </c>
      <c r="E28" s="435" t="s">
        <v>278</v>
      </c>
      <c r="F28" s="436" t="s">
        <v>46</v>
      </c>
      <c r="G28" s="437">
        <v>0.74999999999999889</v>
      </c>
      <c r="H28" s="436" t="s">
        <v>249</v>
      </c>
      <c r="I28" s="435">
        <v>64.3</v>
      </c>
      <c r="J28" s="436" t="s">
        <v>80</v>
      </c>
      <c r="K28" s="438">
        <v>67.849999999999994</v>
      </c>
      <c r="L28" s="439">
        <v>2</v>
      </c>
      <c r="M28" s="435">
        <v>51.705921316337992</v>
      </c>
      <c r="N28" s="435">
        <v>5</v>
      </c>
      <c r="O28" s="438">
        <v>33.924999999999997</v>
      </c>
      <c r="P28" s="440">
        <v>7.7492096018735346</v>
      </c>
      <c r="Q28" s="438">
        <v>13.569999999999999</v>
      </c>
      <c r="R28" s="438">
        <v>1.3122288177574899</v>
      </c>
      <c r="S28" s="441">
        <v>10.341184263267598</v>
      </c>
      <c r="T28" s="441">
        <v>2.5</v>
      </c>
      <c r="U28" s="239">
        <v>2</v>
      </c>
      <c r="V28" s="442">
        <v>1.6666666666666666E-2</v>
      </c>
      <c r="W28" s="441" t="s">
        <v>176</v>
      </c>
      <c r="X28" s="438">
        <v>28.889867756914999</v>
      </c>
      <c r="Y28" s="438">
        <v>5.0351322430849983</v>
      </c>
      <c r="Z28" s="443">
        <v>17.97155555555555</v>
      </c>
      <c r="AA28" s="58">
        <f t="shared" ca="1" si="0"/>
        <v>89.125</v>
      </c>
      <c r="AB28" s="453">
        <f ca="1">Table29[[#This Row],[Earnings]]-Table29[[#This Row],[4-Week Average]]</f>
        <v>-21.275000000000006</v>
      </c>
      <c r="AG28" s="195">
        <v>23</v>
      </c>
      <c r="AH28" s="11">
        <v>-0.16316244739682162</v>
      </c>
      <c r="AI28" s="11">
        <v>6.8964735482187169</v>
      </c>
      <c r="AJ28" s="11">
        <v>-8.1604324961936037</v>
      </c>
      <c r="AK28" s="11">
        <v>-6.2874815075047579</v>
      </c>
      <c r="AL28" s="11">
        <v>7.7146029028764751</v>
      </c>
      <c r="AM28" s="11">
        <f t="shared" si="2"/>
        <v>1.7763568394002505E-15</v>
      </c>
      <c r="AN28" s="11">
        <f t="shared" si="9"/>
        <v>8.881784197001063E-17</v>
      </c>
    </row>
    <row r="29" spans="1:40" x14ac:dyDescent="0.35">
      <c r="A29" s="445">
        <v>44279</v>
      </c>
      <c r="B29" s="444">
        <v>2021</v>
      </c>
      <c r="C29" s="444">
        <v>13</v>
      </c>
      <c r="D29" s="444">
        <v>13</v>
      </c>
      <c r="E29" s="444" t="s">
        <v>278</v>
      </c>
      <c r="F29" s="445" t="s">
        <v>48</v>
      </c>
      <c r="G29" s="446">
        <v>0.72916666666666552</v>
      </c>
      <c r="H29" s="445" t="s">
        <v>236</v>
      </c>
      <c r="I29" s="444">
        <v>53.6</v>
      </c>
      <c r="J29" s="445" t="s">
        <v>80</v>
      </c>
      <c r="K29" s="447">
        <v>90.59</v>
      </c>
      <c r="L29" s="448">
        <v>2.5999999999999996</v>
      </c>
      <c r="M29" s="444">
        <v>62.047105579605585</v>
      </c>
      <c r="N29" s="444">
        <v>6</v>
      </c>
      <c r="O29" s="447">
        <v>34.842307692307699</v>
      </c>
      <c r="P29" s="449">
        <v>1.6461655603280008</v>
      </c>
      <c r="Q29" s="447">
        <v>15.098333333333334</v>
      </c>
      <c r="R29" s="447">
        <v>1.4600197568245028</v>
      </c>
      <c r="S29" s="450">
        <v>10.341184263267598</v>
      </c>
      <c r="T29" s="450">
        <v>2.3076923076923079</v>
      </c>
      <c r="U29" s="240">
        <v>2</v>
      </c>
      <c r="V29" s="451">
        <v>1.8055555555555554E-2</v>
      </c>
      <c r="W29" s="450" t="s">
        <v>176</v>
      </c>
      <c r="X29" s="447">
        <v>36.45127432808156</v>
      </c>
      <c r="Y29" s="447">
        <v>-1.6089666357738608</v>
      </c>
      <c r="Z29" s="452">
        <v>18.978111111111104</v>
      </c>
      <c r="AA29" s="58">
        <f t="shared" ca="1" si="0"/>
        <v>91.272500000000008</v>
      </c>
      <c r="AB29" s="453">
        <f ca="1">Table29[[#This Row],[Earnings]]-Table29[[#This Row],[4-Week Average]]</f>
        <v>-0.68250000000000455</v>
      </c>
      <c r="AG29" s="195">
        <v>24</v>
      </c>
      <c r="AH29" s="11">
        <v>-16.592973247950113</v>
      </c>
      <c r="AI29" s="11">
        <v>-11.656541892817419</v>
      </c>
      <c r="AJ29" s="11">
        <v>3.6315939005926126</v>
      </c>
      <c r="AK29" s="11">
        <v>12.022010918282557</v>
      </c>
      <c r="AL29" s="11">
        <v>12.595910321892376</v>
      </c>
      <c r="AM29" s="11">
        <f t="shared" si="2"/>
        <v>2.8421709430404009E-15</v>
      </c>
      <c r="AN29" s="11">
        <f t="shared" si="9"/>
        <v>8.6153306710912157E-15</v>
      </c>
    </row>
    <row r="30" spans="1:40" x14ac:dyDescent="0.35">
      <c r="A30" s="436">
        <v>44282</v>
      </c>
      <c r="B30" s="435">
        <v>2021</v>
      </c>
      <c r="C30" s="435">
        <v>13</v>
      </c>
      <c r="D30" s="435">
        <v>13</v>
      </c>
      <c r="E30" s="435" t="s">
        <v>278</v>
      </c>
      <c r="F30" s="436" t="s">
        <v>51</v>
      </c>
      <c r="G30" s="437">
        <v>0.64583333333333237</v>
      </c>
      <c r="H30" s="436" t="s">
        <v>236</v>
      </c>
      <c r="I30" s="435">
        <v>38.9</v>
      </c>
      <c r="J30" s="436" t="s">
        <v>80</v>
      </c>
      <c r="K30" s="438">
        <v>257.05</v>
      </c>
      <c r="L30" s="439">
        <v>7.8999999999999995</v>
      </c>
      <c r="M30" s="435">
        <v>175.80013247554916</v>
      </c>
      <c r="N30" s="435">
        <v>17</v>
      </c>
      <c r="O30" s="438">
        <v>32.537974683544306</v>
      </c>
      <c r="P30" s="440">
        <v>2.0008388068293996</v>
      </c>
      <c r="Q30" s="438">
        <v>15.120588235294118</v>
      </c>
      <c r="R30" s="438">
        <v>1.4621718219453068</v>
      </c>
      <c r="S30" s="441">
        <v>10.341184263267598</v>
      </c>
      <c r="T30" s="441">
        <v>2.1518987341772156</v>
      </c>
      <c r="U30" s="239">
        <v>2</v>
      </c>
      <c r="V30" s="442">
        <v>1.9362745098039213E-2</v>
      </c>
      <c r="W30" s="441" t="s">
        <v>176</v>
      </c>
      <c r="X30" s="438">
        <v>30.297774755848877</v>
      </c>
      <c r="Y30" s="438">
        <v>2.2401999276954285</v>
      </c>
      <c r="Z30" s="443">
        <v>21.834222222222216</v>
      </c>
      <c r="AA30" s="58">
        <f t="shared" ca="1" si="0"/>
        <v>134.58749999999998</v>
      </c>
      <c r="AB30" s="453">
        <f ca="1">Table29[[#This Row],[Earnings]]-Table29[[#This Row],[4-Week Average]]</f>
        <v>122.46250000000003</v>
      </c>
      <c r="AG30" s="195">
        <v>25</v>
      </c>
      <c r="AH30" s="11">
        <v>5.5843574940262926</v>
      </c>
      <c r="AI30" s="11">
        <v>2.5682098126779351E-2</v>
      </c>
      <c r="AJ30" s="11"/>
      <c r="AK30" s="11">
        <v>2.2005833318516146</v>
      </c>
      <c r="AL30" s="11">
        <v>-7.8106229240046936</v>
      </c>
      <c r="AM30" s="11">
        <f t="shared" si="2"/>
        <v>-1.7763568394002505E-15</v>
      </c>
      <c r="AN30" s="11">
        <f t="shared" si="9"/>
        <v>6.8389738316909652E-15</v>
      </c>
    </row>
    <row r="31" spans="1:40" x14ac:dyDescent="0.35">
      <c r="A31" s="445">
        <v>44289</v>
      </c>
      <c r="B31" s="444">
        <v>2021</v>
      </c>
      <c r="C31" s="444">
        <v>14</v>
      </c>
      <c r="D31" s="444">
        <v>1</v>
      </c>
      <c r="E31" s="444" t="s">
        <v>287</v>
      </c>
      <c r="F31" s="445" t="s">
        <v>51</v>
      </c>
      <c r="G31" s="446">
        <v>0.54166666666666585</v>
      </c>
      <c r="H31" s="445" t="s">
        <v>230</v>
      </c>
      <c r="I31" s="444">
        <v>56.4</v>
      </c>
      <c r="J31" s="445" t="s">
        <v>80</v>
      </c>
      <c r="K31" s="447">
        <v>35.739999999999995</v>
      </c>
      <c r="L31" s="448">
        <v>1.2</v>
      </c>
      <c r="M31" s="444">
        <v>31.023552789802793</v>
      </c>
      <c r="N31" s="444">
        <v>3</v>
      </c>
      <c r="O31" s="447">
        <v>29.783333333333331</v>
      </c>
      <c r="P31" s="449" t="s">
        <v>393</v>
      </c>
      <c r="Q31" s="447">
        <v>11.913333333333332</v>
      </c>
      <c r="R31" s="447">
        <v>1.1520279525092776</v>
      </c>
      <c r="S31" s="450">
        <v>10.341184263267598</v>
      </c>
      <c r="T31" s="450">
        <v>2.5</v>
      </c>
      <c r="U31" s="240">
        <v>2</v>
      </c>
      <c r="V31" s="451">
        <v>1.6666666666666666E-2</v>
      </c>
      <c r="W31" s="450" t="s">
        <v>176</v>
      </c>
      <c r="X31" s="447">
        <v>21.691133638317044</v>
      </c>
      <c r="Y31" s="447">
        <v>8.0921996950162871</v>
      </c>
      <c r="Z31" s="452">
        <v>21.327444444444438</v>
      </c>
      <c r="AA31" s="58">
        <f t="shared" ca="1" si="0"/>
        <v>112.8075</v>
      </c>
      <c r="AB31" s="453">
        <f ca="1">Table29[[#This Row],[Earnings]]-Table29[[#This Row],[4-Week Average]]</f>
        <v>-77.06750000000001</v>
      </c>
      <c r="AG31" s="195">
        <v>26</v>
      </c>
      <c r="AH31" s="11">
        <v>-1.331092681465698</v>
      </c>
      <c r="AI31" s="11">
        <v>-2.1465021519546319</v>
      </c>
      <c r="AJ31" s="11">
        <v>-6.402355870730565</v>
      </c>
      <c r="AK31" s="11"/>
      <c r="AL31" s="11">
        <v>9.8799507041508949</v>
      </c>
      <c r="AM31" s="11">
        <f t="shared" si="2"/>
        <v>0</v>
      </c>
      <c r="AN31" s="11">
        <f t="shared" si="9"/>
        <v>6.8389738316909652E-15</v>
      </c>
    </row>
    <row r="32" spans="1:40" x14ac:dyDescent="0.35">
      <c r="A32" s="436">
        <v>44302</v>
      </c>
      <c r="B32" s="435">
        <v>2021</v>
      </c>
      <c r="C32" s="435">
        <v>16</v>
      </c>
      <c r="D32" s="435">
        <v>3</v>
      </c>
      <c r="E32" s="435" t="s">
        <v>287</v>
      </c>
      <c r="F32" s="436" t="s">
        <v>50</v>
      </c>
      <c r="G32" s="437">
        <v>0.72916666666666552</v>
      </c>
      <c r="H32" s="436" t="s">
        <v>235</v>
      </c>
      <c r="I32" s="435">
        <v>40.799999999999997</v>
      </c>
      <c r="J32" s="436" t="s">
        <v>85</v>
      </c>
      <c r="K32" s="438">
        <v>139.62</v>
      </c>
      <c r="L32" s="439">
        <v>7.13</v>
      </c>
      <c r="M32" s="435">
        <v>188</v>
      </c>
      <c r="N32" s="435">
        <v>12</v>
      </c>
      <c r="O32" s="438">
        <v>19.582047685834503</v>
      </c>
      <c r="P32" s="440" t="s">
        <v>393</v>
      </c>
      <c r="Q32" s="438">
        <v>11.635</v>
      </c>
      <c r="R32" s="438">
        <v>0.74265957446808517</v>
      </c>
      <c r="S32" s="441">
        <v>15.666666666666666</v>
      </c>
      <c r="T32" s="441">
        <v>1.6830294530154277</v>
      </c>
      <c r="U32" s="239">
        <v>2</v>
      </c>
      <c r="V32" s="442">
        <v>2.4756944444444443E-2</v>
      </c>
      <c r="W32" s="441" t="s">
        <v>176</v>
      </c>
      <c r="X32" s="438">
        <v>19.08828752450929</v>
      </c>
      <c r="Y32" s="438">
        <v>0.49376016132521272</v>
      </c>
      <c r="Z32" s="443">
        <v>22.034666666666659</v>
      </c>
      <c r="AA32" s="58">
        <f t="shared" ca="1" si="0"/>
        <v>130.75</v>
      </c>
      <c r="AB32" s="453">
        <f ca="1">Table29[[#This Row],[Earnings]]-Table29[[#This Row],[4-Week Average]]</f>
        <v>8.8700000000000045</v>
      </c>
      <c r="AG32" s="195">
        <v>27</v>
      </c>
      <c r="AH32" s="11">
        <v>-5.2951020161758766</v>
      </c>
      <c r="AI32" s="11">
        <v>-1.5451382111646783</v>
      </c>
      <c r="AJ32" s="11"/>
      <c r="AK32" s="11">
        <v>-0.81641350733744389</v>
      </c>
      <c r="AL32" s="11">
        <v>7.6566537346779953</v>
      </c>
      <c r="AM32" s="11">
        <f t="shared" si="2"/>
        <v>0</v>
      </c>
      <c r="AN32" s="11">
        <f t="shared" si="9"/>
        <v>8.1712414612411515E-15</v>
      </c>
    </row>
    <row r="33" spans="1:42" x14ac:dyDescent="0.35">
      <c r="A33" s="445">
        <v>44303</v>
      </c>
      <c r="B33" s="444">
        <v>2021</v>
      </c>
      <c r="C33" s="444">
        <v>16</v>
      </c>
      <c r="D33" s="444">
        <v>3</v>
      </c>
      <c r="E33" s="444" t="s">
        <v>287</v>
      </c>
      <c r="F33" s="445" t="s">
        <v>51</v>
      </c>
      <c r="G33" s="446">
        <v>0.74999999999999889</v>
      </c>
      <c r="H33" s="445" t="s">
        <v>249</v>
      </c>
      <c r="I33" s="444">
        <v>50.9</v>
      </c>
      <c r="J33" s="445" t="s">
        <v>80</v>
      </c>
      <c r="K33" s="447">
        <v>83.039999999999992</v>
      </c>
      <c r="L33" s="448">
        <v>2.67</v>
      </c>
      <c r="M33" s="444">
        <v>73</v>
      </c>
      <c r="N33" s="444">
        <v>6</v>
      </c>
      <c r="O33" s="447">
        <v>31.101123595505616</v>
      </c>
      <c r="P33" s="449">
        <v>1.3177902621722843</v>
      </c>
      <c r="Q33" s="447">
        <v>13.839999999999998</v>
      </c>
      <c r="R33" s="447">
        <v>1.1375342465753424</v>
      </c>
      <c r="S33" s="450">
        <v>12.166666666666666</v>
      </c>
      <c r="T33" s="450">
        <v>2.2471910112359552</v>
      </c>
      <c r="U33" s="240">
        <v>2</v>
      </c>
      <c r="V33" s="451">
        <v>1.8541666666666668E-2</v>
      </c>
      <c r="W33" s="450" t="s">
        <v>176</v>
      </c>
      <c r="X33" s="447">
        <v>24.77708469395462</v>
      </c>
      <c r="Y33" s="447">
        <v>6.3240389015509955</v>
      </c>
      <c r="Z33" s="452">
        <v>22.557888888888883</v>
      </c>
      <c r="AA33" s="58">
        <f t="shared" ca="1" si="0"/>
        <v>128.86250000000001</v>
      </c>
      <c r="AB33" s="453">
        <f ca="1">Table29[[#This Row],[Earnings]]-Table29[[#This Row],[4-Week Average]]</f>
        <v>-45.822500000000019</v>
      </c>
      <c r="AG33" s="195">
        <v>28</v>
      </c>
      <c r="AH33" s="11"/>
      <c r="AI33" s="11">
        <v>2.6630005558355823</v>
      </c>
      <c r="AJ33" s="11">
        <v>2.4984121668172961</v>
      </c>
      <c r="AK33" s="11">
        <v>-5.1614127226528783</v>
      </c>
      <c r="AL33" s="11">
        <v>0</v>
      </c>
      <c r="AM33" s="11">
        <f t="shared" si="2"/>
        <v>0</v>
      </c>
      <c r="AN33" s="11">
        <f t="shared" si="9"/>
        <v>1.1723955140041652E-14</v>
      </c>
    </row>
    <row r="34" spans="1:42" x14ac:dyDescent="0.35">
      <c r="A34" s="436">
        <v>44304</v>
      </c>
      <c r="B34" s="435">
        <v>2021</v>
      </c>
      <c r="C34" s="435">
        <v>16</v>
      </c>
      <c r="D34" s="435">
        <v>3</v>
      </c>
      <c r="E34" s="435" t="s">
        <v>287</v>
      </c>
      <c r="F34" s="436" t="s">
        <v>45</v>
      </c>
      <c r="G34" s="437">
        <v>0.45833333333333259</v>
      </c>
      <c r="H34" s="436" t="s">
        <v>236</v>
      </c>
      <c r="I34" s="435">
        <v>61.9</v>
      </c>
      <c r="J34" s="436" t="s">
        <v>85</v>
      </c>
      <c r="K34" s="438">
        <v>30.67</v>
      </c>
      <c r="L34" s="439">
        <v>1.88</v>
      </c>
      <c r="M34" s="435">
        <v>19</v>
      </c>
      <c r="N34" s="435">
        <v>4</v>
      </c>
      <c r="O34" s="438">
        <v>16.313829787234045</v>
      </c>
      <c r="P34" s="440" t="s">
        <v>393</v>
      </c>
      <c r="Q34" s="438">
        <v>7.6675000000000004</v>
      </c>
      <c r="R34" s="438">
        <v>1.6142105263157895</v>
      </c>
      <c r="S34" s="441">
        <v>4.75</v>
      </c>
      <c r="T34" s="441">
        <v>2.1276595744680851</v>
      </c>
      <c r="U34" s="239">
        <v>1</v>
      </c>
      <c r="V34" s="442">
        <v>1.9583333333333331E-2</v>
      </c>
      <c r="W34" s="441" t="s">
        <v>176</v>
      </c>
      <c r="X34" s="438">
        <v>21.420832419390219</v>
      </c>
      <c r="Y34" s="438">
        <v>-5.1070026321561741</v>
      </c>
      <c r="Z34" s="443">
        <v>22.898666666666664</v>
      </c>
      <c r="AA34" s="58">
        <f t="shared" ca="1" si="0"/>
        <v>72.267499999999998</v>
      </c>
      <c r="AB34" s="453">
        <f ca="1">Table29[[#This Row],[Earnings]]-Table29[[#This Row],[4-Week Average]]</f>
        <v>-41.597499999999997</v>
      </c>
      <c r="AG34" s="195">
        <v>29</v>
      </c>
      <c r="AH34" s="11"/>
      <c r="AI34" s="11">
        <v>13.488723028148375</v>
      </c>
      <c r="AJ34" s="11">
        <v>-13.720958340105033</v>
      </c>
      <c r="AK34" s="11">
        <v>-0.43543729556548527</v>
      </c>
      <c r="AL34" s="11">
        <v>0.66767260752215662</v>
      </c>
      <c r="AM34" s="11">
        <f t="shared" si="2"/>
        <v>3.1086244689504383E-15</v>
      </c>
      <c r="AN34" s="11">
        <f t="shared" si="9"/>
        <v>1.305622276959184E-14</v>
      </c>
    </row>
    <row r="35" spans="1:42" x14ac:dyDescent="0.35">
      <c r="A35" s="445">
        <v>44311</v>
      </c>
      <c r="B35" s="444">
        <v>2021</v>
      </c>
      <c r="C35" s="444">
        <v>17</v>
      </c>
      <c r="D35" s="444">
        <v>4</v>
      </c>
      <c r="E35" s="444" t="s">
        <v>287</v>
      </c>
      <c r="F35" s="445" t="s">
        <v>45</v>
      </c>
      <c r="G35" s="446">
        <v>0.52083333333333248</v>
      </c>
      <c r="H35" s="445" t="s">
        <v>236</v>
      </c>
      <c r="I35" s="444">
        <v>44.4</v>
      </c>
      <c r="J35" s="445" t="s">
        <v>80</v>
      </c>
      <c r="K35" s="447">
        <v>41</v>
      </c>
      <c r="L35" s="448">
        <v>1.9</v>
      </c>
      <c r="M35" s="444">
        <v>51.705921316337992</v>
      </c>
      <c r="N35" s="444">
        <v>5</v>
      </c>
      <c r="O35" s="447">
        <v>21.578947368421055</v>
      </c>
      <c r="P35" s="449" t="s">
        <v>393</v>
      </c>
      <c r="Q35" s="447">
        <v>8.1999999999999993</v>
      </c>
      <c r="R35" s="447">
        <v>0.79294593261690616</v>
      </c>
      <c r="S35" s="450">
        <v>10.341184263267598</v>
      </c>
      <c r="T35" s="450">
        <v>2.6315789473684212</v>
      </c>
      <c r="U35" s="240">
        <v>2</v>
      </c>
      <c r="V35" s="451">
        <v>1.5833333333333335E-2</v>
      </c>
      <c r="W35" s="450" t="s">
        <v>176</v>
      </c>
      <c r="X35" s="447">
        <v>18.958528045340856</v>
      </c>
      <c r="Y35" s="447">
        <v>2.6204193230801991</v>
      </c>
      <c r="Z35" s="452">
        <v>23.354222222222219</v>
      </c>
      <c r="AA35" s="58">
        <f t="shared" ca="1" si="0"/>
        <v>73.582499999999996</v>
      </c>
      <c r="AB35" s="453">
        <f ca="1">Table29[[#This Row],[Earnings]]-Table29[[#This Row],[4-Week Average]]</f>
        <v>-32.582499999999996</v>
      </c>
      <c r="AG35" s="195">
        <v>30</v>
      </c>
      <c r="AH35" s="11">
        <v>-7.5080865398366523</v>
      </c>
      <c r="AI35" s="11">
        <v>2.8745455586924109</v>
      </c>
      <c r="AJ35" s="11">
        <v>4.5646932060103396</v>
      </c>
      <c r="AK35" s="11">
        <v>-0.6860201449274399</v>
      </c>
      <c r="AL35" s="11">
        <v>0.75486792006133641</v>
      </c>
      <c r="AM35" s="11">
        <f t="shared" si="2"/>
        <v>-1.0658141036401502E-15</v>
      </c>
      <c r="AN35" s="11">
        <f t="shared" si="9"/>
        <v>1.4477308241112042E-14</v>
      </c>
    </row>
    <row r="36" spans="1:42" x14ac:dyDescent="0.35">
      <c r="A36" s="436">
        <v>44318</v>
      </c>
      <c r="B36" s="435">
        <v>2021</v>
      </c>
      <c r="C36" s="435">
        <v>18</v>
      </c>
      <c r="D36" s="435">
        <v>5</v>
      </c>
      <c r="E36" s="435" t="s">
        <v>287</v>
      </c>
      <c r="F36" s="436" t="s">
        <v>45</v>
      </c>
      <c r="G36" s="437">
        <v>0.66666666666666563</v>
      </c>
      <c r="H36" s="436" t="s">
        <v>249</v>
      </c>
      <c r="I36" s="435">
        <v>56.8</v>
      </c>
      <c r="J36" s="436" t="s">
        <v>80</v>
      </c>
      <c r="K36" s="438">
        <v>41</v>
      </c>
      <c r="L36" s="439">
        <v>3.4999999999999996</v>
      </c>
      <c r="M36" s="435">
        <v>62.047105579605585</v>
      </c>
      <c r="N36" s="435">
        <v>6</v>
      </c>
      <c r="O36" s="438">
        <v>11.714285714285715</v>
      </c>
      <c r="P36" s="440">
        <v>-9.8646616541353396</v>
      </c>
      <c r="Q36" s="438">
        <v>6.833333333333333</v>
      </c>
      <c r="R36" s="438">
        <v>0.66078827718075528</v>
      </c>
      <c r="S36" s="441">
        <v>10.341184263267598</v>
      </c>
      <c r="T36" s="441">
        <v>1.7142857142857144</v>
      </c>
      <c r="U36" s="239">
        <v>2</v>
      </c>
      <c r="V36" s="442">
        <v>2.4305555555555552E-2</v>
      </c>
      <c r="W36" s="441" t="s">
        <v>176</v>
      </c>
      <c r="X36" s="438">
        <v>19.246597619330164</v>
      </c>
      <c r="Y36" s="438">
        <v>-7.5323119050444483</v>
      </c>
      <c r="Z36" s="443">
        <v>22.320444444444441</v>
      </c>
      <c r="AA36" s="58">
        <f t="shared" ca="1" si="0"/>
        <v>48.927499999999995</v>
      </c>
      <c r="AB36" s="453">
        <f ca="1">Table29[[#This Row],[Earnings]]-Table29[[#This Row],[4-Week Average]]</f>
        <v>-7.9274999999999949</v>
      </c>
      <c r="AG36" s="195">
        <v>31</v>
      </c>
      <c r="AH36" s="11">
        <v>-1.7538024687425882</v>
      </c>
      <c r="AI36" s="11"/>
      <c r="AJ36" s="11">
        <v>-6.1247044434928188</v>
      </c>
      <c r="AK36" s="11">
        <v>6.7621199753536061</v>
      </c>
      <c r="AL36" s="11">
        <v>1.1163869368818133</v>
      </c>
      <c r="AM36" s="11">
        <f t="shared" si="2"/>
        <v>3.1086244689504383E-15</v>
      </c>
      <c r="AN36" s="11">
        <f t="shared" si="9"/>
        <v>1.758593271006248E-14</v>
      </c>
    </row>
    <row r="37" spans="1:42" x14ac:dyDescent="0.35">
      <c r="A37" s="445">
        <v>44319</v>
      </c>
      <c r="B37" s="444">
        <v>2021</v>
      </c>
      <c r="C37" s="444">
        <v>19</v>
      </c>
      <c r="D37" s="444">
        <v>6</v>
      </c>
      <c r="E37" s="444" t="s">
        <v>287</v>
      </c>
      <c r="F37" s="445" t="s">
        <v>46</v>
      </c>
      <c r="G37" s="446">
        <v>0.74999999999999889</v>
      </c>
      <c r="H37" s="445" t="s">
        <v>231</v>
      </c>
      <c r="I37" s="444">
        <v>61.1</v>
      </c>
      <c r="J37" s="445" t="s">
        <v>80</v>
      </c>
      <c r="K37" s="447">
        <v>74.13</v>
      </c>
      <c r="L37" s="448">
        <v>3.1</v>
      </c>
      <c r="M37" s="444">
        <v>72.388289842873192</v>
      </c>
      <c r="N37" s="444">
        <v>7</v>
      </c>
      <c r="O37" s="447">
        <v>23.912903225806449</v>
      </c>
      <c r="P37" s="449" t="s">
        <v>393</v>
      </c>
      <c r="Q37" s="447">
        <v>10.59</v>
      </c>
      <c r="R37" s="447">
        <v>1.0240606617576873</v>
      </c>
      <c r="S37" s="450">
        <v>10.341184263267598</v>
      </c>
      <c r="T37" s="450">
        <v>2.258064516129032</v>
      </c>
      <c r="U37" s="240">
        <v>2</v>
      </c>
      <c r="V37" s="451">
        <v>1.8452380952380953E-2</v>
      </c>
      <c r="W37" s="450" t="s">
        <v>176</v>
      </c>
      <c r="X37" s="447">
        <v>22.295360168593202</v>
      </c>
      <c r="Y37" s="447">
        <v>1.617543057213247</v>
      </c>
      <c r="Z37" s="452">
        <v>22.545888888888886</v>
      </c>
      <c r="AA37" s="58">
        <f t="shared" ca="1" si="0"/>
        <v>46.7</v>
      </c>
      <c r="AB37" s="453">
        <f ca="1">Table29[[#This Row],[Earnings]]-Table29[[#This Row],[4-Week Average]]</f>
        <v>27.429999999999993</v>
      </c>
      <c r="AG37" s="195">
        <v>32</v>
      </c>
      <c r="AH37" s="11"/>
      <c r="AI37" s="11"/>
      <c r="AJ37" s="11">
        <v>-6.3299643082096591</v>
      </c>
      <c r="AK37" s="11">
        <v>3.4658965202016425</v>
      </c>
      <c r="AL37" s="11">
        <v>2.8640677880080148</v>
      </c>
      <c r="AM37" s="11">
        <f t="shared" si="2"/>
        <v>0</v>
      </c>
      <c r="AN37" s="11">
        <f t="shared" si="9"/>
        <v>2.149391775674303E-14</v>
      </c>
    </row>
    <row r="38" spans="1:42" x14ac:dyDescent="0.35">
      <c r="A38" s="436">
        <v>44320</v>
      </c>
      <c r="B38" s="435">
        <v>2021</v>
      </c>
      <c r="C38" s="435">
        <v>19</v>
      </c>
      <c r="D38" s="435">
        <v>6</v>
      </c>
      <c r="E38" s="435" t="s">
        <v>287</v>
      </c>
      <c r="F38" s="436" t="s">
        <v>47</v>
      </c>
      <c r="G38" s="437">
        <v>0.81249999999999878</v>
      </c>
      <c r="H38" s="436" t="s">
        <v>236</v>
      </c>
      <c r="I38" s="435">
        <v>50</v>
      </c>
      <c r="J38" s="436" t="s">
        <v>80</v>
      </c>
      <c r="K38" s="438">
        <v>26</v>
      </c>
      <c r="L38" s="439">
        <v>1.4000000000000001</v>
      </c>
      <c r="M38" s="435">
        <v>31.023552789802793</v>
      </c>
      <c r="N38" s="435">
        <v>3</v>
      </c>
      <c r="O38" s="438">
        <v>18.571428571428569</v>
      </c>
      <c r="P38" s="440" t="s">
        <v>393</v>
      </c>
      <c r="Q38" s="438">
        <v>8.6666666666666661</v>
      </c>
      <c r="R38" s="438">
        <v>0.83807293691217732</v>
      </c>
      <c r="S38" s="441">
        <v>10.341184263267598</v>
      </c>
      <c r="T38" s="441">
        <v>2.1428571428571428</v>
      </c>
      <c r="U38" s="239">
        <v>2</v>
      </c>
      <c r="V38" s="442">
        <v>1.9444444444444448E-2</v>
      </c>
      <c r="W38" s="441" t="s">
        <v>176</v>
      </c>
      <c r="X38" s="438">
        <v>18.163573021829258</v>
      </c>
      <c r="Y38" s="438">
        <v>0.40785554959931147</v>
      </c>
      <c r="Z38" s="443">
        <v>22.834777777777774</v>
      </c>
      <c r="AA38" s="58">
        <f t="shared" ca="1" si="0"/>
        <v>45.532499999999999</v>
      </c>
      <c r="AB38" s="453">
        <f ca="1">Table29[[#This Row],[Earnings]]-Table29[[#This Row],[4-Week Average]]</f>
        <v>-19.532499999999999</v>
      </c>
      <c r="AG38" s="195">
        <v>33</v>
      </c>
      <c r="AH38" s="11"/>
      <c r="AI38" s="11">
        <v>-2.6089778056683048</v>
      </c>
      <c r="AJ38" s="11">
        <v>2.9816371980390262</v>
      </c>
      <c r="AK38" s="11">
        <v>3.4365255459197073</v>
      </c>
      <c r="AL38" s="11">
        <v>-3.8091849382904481</v>
      </c>
      <c r="AM38" s="11">
        <f t="shared" si="2"/>
        <v>-4.8849813083506888E-15</v>
      </c>
      <c r="AN38" s="11">
        <f t="shared" si="9"/>
        <v>1.021405182655144E-14</v>
      </c>
      <c r="AP38" s="11"/>
    </row>
    <row r="39" spans="1:42" x14ac:dyDescent="0.35">
      <c r="A39" s="445">
        <v>44321</v>
      </c>
      <c r="B39" s="444">
        <v>2021</v>
      </c>
      <c r="C39" s="444">
        <v>19</v>
      </c>
      <c r="D39" s="444">
        <v>6</v>
      </c>
      <c r="E39" s="444" t="s">
        <v>287</v>
      </c>
      <c r="F39" s="445" t="s">
        <v>48</v>
      </c>
      <c r="G39" s="446">
        <v>0.72916666666666552</v>
      </c>
      <c r="H39" s="445" t="s">
        <v>236</v>
      </c>
      <c r="I39" s="444">
        <v>58.7</v>
      </c>
      <c r="J39" s="445" t="s">
        <v>80</v>
      </c>
      <c r="K39" s="447">
        <v>104.94</v>
      </c>
      <c r="L39" s="448">
        <v>2.8</v>
      </c>
      <c r="M39" s="444">
        <v>72.388289842873192</v>
      </c>
      <c r="N39" s="444">
        <v>7</v>
      </c>
      <c r="O39" s="447">
        <v>37.478571428571428</v>
      </c>
      <c r="P39" s="449" t="s">
        <v>393</v>
      </c>
      <c r="Q39" s="447">
        <v>14.991428571428571</v>
      </c>
      <c r="R39" s="447">
        <v>1.4496819890038002</v>
      </c>
      <c r="S39" s="450">
        <v>10.341184263267598</v>
      </c>
      <c r="T39" s="450">
        <v>2.5</v>
      </c>
      <c r="U39" s="240">
        <v>1</v>
      </c>
      <c r="V39" s="451">
        <v>1.6666666666666666E-2</v>
      </c>
      <c r="W39" s="450" t="s">
        <v>176</v>
      </c>
      <c r="X39" s="447">
        <v>24.426643904418047</v>
      </c>
      <c r="Y39" s="447">
        <v>13.051927524153381</v>
      </c>
      <c r="Z39" s="452">
        <v>24.000777777777774</v>
      </c>
      <c r="AA39" s="58">
        <f t="shared" ca="1" si="0"/>
        <v>61.517499999999998</v>
      </c>
      <c r="AB39" s="453">
        <f ca="1">Table29[[#This Row],[Earnings]]-Table29[[#This Row],[4-Week Average]]</f>
        <v>43.422499999999999</v>
      </c>
      <c r="AG39" s="195">
        <v>34</v>
      </c>
      <c r="AH39" s="11"/>
      <c r="AI39" s="11">
        <v>0.97561736430698076</v>
      </c>
      <c r="AJ39" s="11">
        <v>-8.9232231802732365</v>
      </c>
      <c r="AK39" s="11">
        <v>15.420442962450025</v>
      </c>
      <c r="AL39" s="11">
        <v>-7.4728371464837657</v>
      </c>
      <c r="AM39" s="11">
        <f t="shared" si="2"/>
        <v>0</v>
      </c>
      <c r="AN39" s="11">
        <f t="shared" si="9"/>
        <v>5.95079541199084E-15</v>
      </c>
      <c r="AP39" s="11"/>
    </row>
    <row r="40" spans="1:42" x14ac:dyDescent="0.35">
      <c r="A40" s="436">
        <v>44322</v>
      </c>
      <c r="B40" s="435">
        <v>2021</v>
      </c>
      <c r="C40" s="435">
        <v>19</v>
      </c>
      <c r="D40" s="435">
        <v>6</v>
      </c>
      <c r="E40" s="435" t="s">
        <v>287</v>
      </c>
      <c r="F40" s="436" t="s">
        <v>49</v>
      </c>
      <c r="G40" s="437">
        <v>0.77083333333333215</v>
      </c>
      <c r="H40" s="436" t="s">
        <v>230</v>
      </c>
      <c r="I40" s="435">
        <v>59.6</v>
      </c>
      <c r="J40" s="436" t="s">
        <v>85</v>
      </c>
      <c r="K40" s="438">
        <v>66.97</v>
      </c>
      <c r="L40" s="439">
        <v>3.9000000000000004</v>
      </c>
      <c r="M40" s="435">
        <v>85.784318711591439</v>
      </c>
      <c r="N40" s="435">
        <v>6</v>
      </c>
      <c r="O40" s="438">
        <v>17.171794871794869</v>
      </c>
      <c r="P40" s="440" t="s">
        <v>393</v>
      </c>
      <c r="Q40" s="438">
        <v>11.161666666666667</v>
      </c>
      <c r="R40" s="438">
        <v>0.78067881176692033</v>
      </c>
      <c r="S40" s="441">
        <v>14.297386451931906</v>
      </c>
      <c r="T40" s="441">
        <v>1.5384615384615383</v>
      </c>
      <c r="U40" s="239">
        <v>2</v>
      </c>
      <c r="V40" s="442">
        <v>2.7083333333333334E-2</v>
      </c>
      <c r="W40" s="441" t="s">
        <v>176</v>
      </c>
      <c r="X40" s="438">
        <v>21.385404996263951</v>
      </c>
      <c r="Y40" s="438">
        <v>-4.2136101244690813</v>
      </c>
      <c r="Z40" s="443">
        <v>24.744888888888884</v>
      </c>
      <c r="AA40" s="58">
        <f t="shared" ca="1" si="0"/>
        <v>68.009999999999991</v>
      </c>
      <c r="AB40" s="453">
        <f ca="1">Table29[[#This Row],[Earnings]]-Table29[[#This Row],[4-Week Average]]</f>
        <v>-1.039999999999992</v>
      </c>
      <c r="AG40" s="195">
        <v>35</v>
      </c>
      <c r="AH40" s="11"/>
      <c r="AI40" s="11">
        <v>-3.0182384870568164</v>
      </c>
      <c r="AJ40" s="11">
        <v>-4.0964376064316497</v>
      </c>
      <c r="AK40" s="11">
        <v>1.2514593918194628</v>
      </c>
      <c r="AL40" s="11">
        <v>5.863216701669014</v>
      </c>
      <c r="AM40" s="11">
        <f t="shared" si="2"/>
        <v>2.6645352591003757E-15</v>
      </c>
      <c r="AN40" s="11">
        <f t="shared" si="9"/>
        <v>5.773159728050814E-15</v>
      </c>
      <c r="AP40" s="11"/>
    </row>
    <row r="41" spans="1:42" x14ac:dyDescent="0.35">
      <c r="A41" s="445">
        <v>44323</v>
      </c>
      <c r="B41" s="444">
        <v>2021</v>
      </c>
      <c r="C41" s="444">
        <v>19</v>
      </c>
      <c r="D41" s="444">
        <v>6</v>
      </c>
      <c r="E41" s="444" t="s">
        <v>287</v>
      </c>
      <c r="F41" s="445" t="s">
        <v>50</v>
      </c>
      <c r="G41" s="446">
        <v>0.72916666666666552</v>
      </c>
      <c r="H41" s="445" t="s">
        <v>249</v>
      </c>
      <c r="I41" s="444">
        <v>53.8</v>
      </c>
      <c r="J41" s="445" t="s">
        <v>85</v>
      </c>
      <c r="K41" s="447">
        <v>86.57</v>
      </c>
      <c r="L41" s="448">
        <v>5.7</v>
      </c>
      <c r="M41" s="444">
        <v>157.27125097125096</v>
      </c>
      <c r="N41" s="444">
        <v>11</v>
      </c>
      <c r="O41" s="447">
        <v>15.187719298245613</v>
      </c>
      <c r="P41" s="449">
        <v>-4.3943283875888905</v>
      </c>
      <c r="Q41" s="447">
        <v>7.8699999999999992</v>
      </c>
      <c r="R41" s="447">
        <v>0.55045025372008327</v>
      </c>
      <c r="S41" s="450">
        <v>14.297386451931906</v>
      </c>
      <c r="T41" s="450">
        <v>1.9298245614035088</v>
      </c>
      <c r="U41" s="240">
        <v>2</v>
      </c>
      <c r="V41" s="451">
        <v>2.1590909090909091E-2</v>
      </c>
      <c r="W41" s="450" t="s">
        <v>176</v>
      </c>
      <c r="X41" s="447">
        <v>18.133995703544574</v>
      </c>
      <c r="Y41" s="447">
        <v>-2.9462764052989616</v>
      </c>
      <c r="Z41" s="452">
        <v>25.706777777777774</v>
      </c>
      <c r="AA41" s="58">
        <f t="shared" ca="1" si="0"/>
        <v>71.12</v>
      </c>
      <c r="AB41" s="453">
        <f ca="1">Table29[[#This Row],[Earnings]]-Table29[[#This Row],[4-Week Average]]</f>
        <v>15.449999999999989</v>
      </c>
      <c r="AG41" s="195">
        <v>36</v>
      </c>
      <c r="AH41" s="11">
        <v>-1.9261983463099828</v>
      </c>
      <c r="AI41" s="11">
        <v>-2.2473741756070549</v>
      </c>
      <c r="AJ41" s="11">
        <v>-7.8960462404287952</v>
      </c>
      <c r="AK41" s="11">
        <v>12.06961876234584</v>
      </c>
      <c r="AL41" s="11"/>
      <c r="AM41" s="11">
        <f t="shared" si="2"/>
        <v>0</v>
      </c>
      <c r="AN41" s="11">
        <f t="shared" si="9"/>
        <v>3.9968028886505635E-15</v>
      </c>
      <c r="AP41" s="11"/>
    </row>
    <row r="42" spans="1:42" x14ac:dyDescent="0.35">
      <c r="A42" s="436">
        <v>44328</v>
      </c>
      <c r="B42" s="435">
        <v>2021</v>
      </c>
      <c r="C42" s="435">
        <v>20</v>
      </c>
      <c r="D42" s="435">
        <v>7</v>
      </c>
      <c r="E42" s="435" t="s">
        <v>287</v>
      </c>
      <c r="F42" s="436" t="s">
        <v>48</v>
      </c>
      <c r="G42" s="437">
        <v>0.70833333333333226</v>
      </c>
      <c r="H42" s="436" t="s">
        <v>249</v>
      </c>
      <c r="I42" s="435">
        <v>67</v>
      </c>
      <c r="J42" s="436" t="s">
        <v>80</v>
      </c>
      <c r="K42" s="438">
        <v>146.07999999999998</v>
      </c>
      <c r="L42" s="439">
        <v>4.3000000000000007</v>
      </c>
      <c r="M42" s="435">
        <v>113.75302689594358</v>
      </c>
      <c r="N42" s="435">
        <v>11</v>
      </c>
      <c r="O42" s="438">
        <v>33.972093023255802</v>
      </c>
      <c r="P42" s="440">
        <v>-3.5064784053156259</v>
      </c>
      <c r="Q42" s="438">
        <v>13.28</v>
      </c>
      <c r="R42" s="438">
        <v>1.2841856079454286</v>
      </c>
      <c r="S42" s="441">
        <v>10.341184263267598</v>
      </c>
      <c r="T42" s="441">
        <v>2.5581395348837206</v>
      </c>
      <c r="U42" s="239">
        <v>2</v>
      </c>
      <c r="V42" s="442">
        <v>1.6287878787878792E-2</v>
      </c>
      <c r="W42" s="441" t="s">
        <v>176</v>
      </c>
      <c r="X42" s="438">
        <v>24.268423200414826</v>
      </c>
      <c r="Y42" s="438">
        <v>9.7036698228409755</v>
      </c>
      <c r="Z42" s="443">
        <v>26.499777777777773</v>
      </c>
      <c r="AA42" s="58">
        <f t="shared" ca="1" si="0"/>
        <v>101.14</v>
      </c>
      <c r="AB42" s="453">
        <f ca="1">Table29[[#This Row],[Earnings]]-Table29[[#This Row],[4-Week Average]]</f>
        <v>44.939999999999984</v>
      </c>
      <c r="AG42" s="195">
        <v>37</v>
      </c>
      <c r="AH42" s="11">
        <v>10.709685253618034</v>
      </c>
      <c r="AI42" s="11">
        <v>0.62696681329692616</v>
      </c>
      <c r="AJ42" s="11">
        <v>9.9714724825455257</v>
      </c>
      <c r="AK42" s="11">
        <v>-21.308124549460487</v>
      </c>
      <c r="AL42" s="11"/>
      <c r="AM42" s="11">
        <f t="shared" si="2"/>
        <v>0</v>
      </c>
      <c r="AN42" s="11">
        <f t="shared" si="9"/>
        <v>1.1546319456101626E-15</v>
      </c>
    </row>
    <row r="43" spans="1:42" x14ac:dyDescent="0.35">
      <c r="A43" s="445">
        <v>44330</v>
      </c>
      <c r="B43" s="444">
        <v>2021</v>
      </c>
      <c r="C43" s="444">
        <v>20</v>
      </c>
      <c r="D43" s="444">
        <v>7</v>
      </c>
      <c r="E43" s="444" t="s">
        <v>287</v>
      </c>
      <c r="F43" s="445" t="s">
        <v>50</v>
      </c>
      <c r="G43" s="446">
        <v>0.74999999999999889</v>
      </c>
      <c r="H43" s="445" t="s">
        <v>236</v>
      </c>
      <c r="I43" s="444">
        <v>73.8</v>
      </c>
      <c r="J43" s="445" t="s">
        <v>85</v>
      </c>
      <c r="K43" s="447">
        <v>86.24</v>
      </c>
      <c r="L43" s="448">
        <v>1.9</v>
      </c>
      <c r="M43" s="444">
        <v>57.189545807727626</v>
      </c>
      <c r="N43" s="444">
        <v>4</v>
      </c>
      <c r="O43" s="447">
        <v>45.389473684210529</v>
      </c>
      <c r="P43" s="449">
        <v>28.004590192170472</v>
      </c>
      <c r="Q43" s="447">
        <v>21.56</v>
      </c>
      <c r="R43" s="447">
        <v>1.5079679123513337</v>
      </c>
      <c r="S43" s="450">
        <v>14.297386451931906</v>
      </c>
      <c r="T43" s="450">
        <v>2.1052631578947367</v>
      </c>
      <c r="U43" s="240">
        <v>1</v>
      </c>
      <c r="V43" s="451">
        <v>1.9791666666666666E-2</v>
      </c>
      <c r="W43" s="450" t="s">
        <v>176</v>
      </c>
      <c r="X43" s="447">
        <v>26.162300455424486</v>
      </c>
      <c r="Y43" s="447">
        <v>19.227173228786043</v>
      </c>
      <c r="Z43" s="452">
        <v>27.457999999999991</v>
      </c>
      <c r="AA43" s="58">
        <f t="shared" ca="1" si="0"/>
        <v>96.465000000000003</v>
      </c>
      <c r="AB43" s="453">
        <f ca="1">Table29[[#This Row],[Earnings]]-Table29[[#This Row],[4-Week Average]]</f>
        <v>-10.225000000000009</v>
      </c>
      <c r="AG43" s="195">
        <v>38</v>
      </c>
      <c r="AH43" s="11">
        <v>-5.6255497089402375</v>
      </c>
      <c r="AI43" s="11">
        <v>-14.632916067191715</v>
      </c>
      <c r="AJ43" s="11">
        <v>11.084700322873456</v>
      </c>
      <c r="AK43" s="11">
        <v>9.173765453258504</v>
      </c>
      <c r="AL43" s="11"/>
      <c r="AM43" s="11">
        <f t="shared" si="2"/>
        <v>0</v>
      </c>
      <c r="AN43" s="11">
        <f t="shared" si="9"/>
        <v>2.9309887850104131E-15</v>
      </c>
    </row>
    <row r="44" spans="1:42" x14ac:dyDescent="0.35">
      <c r="A44" s="436">
        <v>44333</v>
      </c>
      <c r="B44" s="435">
        <v>2021</v>
      </c>
      <c r="C44" s="435">
        <v>21</v>
      </c>
      <c r="D44" s="435">
        <v>8</v>
      </c>
      <c r="E44" s="435" t="s">
        <v>287</v>
      </c>
      <c r="F44" s="436" t="s">
        <v>46</v>
      </c>
      <c r="G44" s="437">
        <v>0.72916666666666552</v>
      </c>
      <c r="H44" s="436" t="s">
        <v>249</v>
      </c>
      <c r="I44" s="435">
        <v>77.400000000000006</v>
      </c>
      <c r="J44" s="436" t="s">
        <v>80</v>
      </c>
      <c r="K44" s="438">
        <v>79.72999999999999</v>
      </c>
      <c r="L44" s="439">
        <v>4.6999999999999993</v>
      </c>
      <c r="M44" s="435">
        <v>93.070658369408378</v>
      </c>
      <c r="N44" s="435">
        <v>9</v>
      </c>
      <c r="O44" s="438">
        <v>16.963829787234044</v>
      </c>
      <c r="P44" s="440">
        <v>-6.9490734385724053</v>
      </c>
      <c r="Q44" s="438">
        <v>8.8588888888888881</v>
      </c>
      <c r="R44" s="438">
        <v>0.85666096487189602</v>
      </c>
      <c r="S44" s="441">
        <v>10.341184263267598</v>
      </c>
      <c r="T44" s="441">
        <v>1.9148936170212769</v>
      </c>
      <c r="U44" s="239">
        <v>2</v>
      </c>
      <c r="V44" s="442">
        <v>2.1759259259259256E-2</v>
      </c>
      <c r="W44" s="441" t="s">
        <v>176</v>
      </c>
      <c r="X44" s="438">
        <v>15.443940210072718</v>
      </c>
      <c r="Y44" s="438">
        <v>1.5198895771613259</v>
      </c>
      <c r="Z44" s="443">
        <v>26.400777777777776</v>
      </c>
      <c r="AA44" s="58">
        <f t="shared" ca="1" si="0"/>
        <v>99.655000000000001</v>
      </c>
      <c r="AB44" s="453">
        <f ca="1">Table29[[#This Row],[Earnings]]-Table29[[#This Row],[4-Week Average]]</f>
        <v>-19.925000000000011</v>
      </c>
      <c r="AG44" s="195">
        <v>39</v>
      </c>
      <c r="AH44" s="11">
        <v>0.94159904604018863</v>
      </c>
      <c r="AI44" s="11">
        <v>-10.997993061128682</v>
      </c>
      <c r="AJ44" s="11">
        <v>-15.961823108656072</v>
      </c>
      <c r="AK44" s="11">
        <v>26.01821712374457</v>
      </c>
      <c r="AL44" s="11"/>
      <c r="AM44" s="11">
        <f t="shared" si="2"/>
        <v>0</v>
      </c>
      <c r="AN44" s="11">
        <f t="shared" si="9"/>
        <v>2.9309887850104131E-15</v>
      </c>
    </row>
    <row r="45" spans="1:42" x14ac:dyDescent="0.35">
      <c r="A45" s="445">
        <v>44336</v>
      </c>
      <c r="B45" s="444">
        <v>2021</v>
      </c>
      <c r="C45" s="444">
        <v>21</v>
      </c>
      <c r="D45" s="444">
        <v>8</v>
      </c>
      <c r="E45" s="444" t="s">
        <v>287</v>
      </c>
      <c r="F45" s="445" t="s">
        <v>49</v>
      </c>
      <c r="G45" s="446">
        <v>0.74999999999999889</v>
      </c>
      <c r="H45" s="445" t="s">
        <v>236</v>
      </c>
      <c r="I45" s="444">
        <v>73.400000000000006</v>
      </c>
      <c r="J45" s="445" t="s">
        <v>80</v>
      </c>
      <c r="K45" s="447">
        <v>19.61</v>
      </c>
      <c r="L45" s="448">
        <v>0.89999999999999991</v>
      </c>
      <c r="M45" s="444">
        <v>22</v>
      </c>
      <c r="N45" s="444">
        <v>2</v>
      </c>
      <c r="O45" s="447">
        <v>21.788888888888891</v>
      </c>
      <c r="P45" s="449" t="s">
        <v>393</v>
      </c>
      <c r="Q45" s="447">
        <v>9.8049999999999997</v>
      </c>
      <c r="R45" s="447">
        <v>0.89136363636363636</v>
      </c>
      <c r="S45" s="450">
        <v>11</v>
      </c>
      <c r="T45" s="450">
        <v>2.2222222222222223</v>
      </c>
      <c r="U45" s="240">
        <v>1</v>
      </c>
      <c r="V45" s="451">
        <v>1.8749999999999999E-2</v>
      </c>
      <c r="W45" s="450" t="s">
        <v>176</v>
      </c>
      <c r="X45" s="447">
        <v>19.770465325238188</v>
      </c>
      <c r="Y45" s="447">
        <v>2.0184235636507033</v>
      </c>
      <c r="Z45" s="452">
        <v>26.618666666666666</v>
      </c>
      <c r="AA45" s="58">
        <f t="shared" ca="1" si="0"/>
        <v>82.914999999999992</v>
      </c>
      <c r="AB45" s="453">
        <f ca="1">Table29[[#This Row],[Earnings]]-Table29[[#This Row],[4-Week Average]]</f>
        <v>-63.304999999999993</v>
      </c>
      <c r="AG45" s="195">
        <v>40</v>
      </c>
      <c r="AH45" s="11">
        <v>-2.1947619047619042</v>
      </c>
      <c r="AI45" s="11">
        <v>-9.7703379528480045</v>
      </c>
      <c r="AJ45" s="11">
        <v>9.2030392333897098</v>
      </c>
      <c r="AK45" s="11">
        <v>2.7620606242201795</v>
      </c>
      <c r="AL45" s="11"/>
      <c r="AM45" s="11">
        <f t="shared" si="2"/>
        <v>-4.8849813083506888E-15</v>
      </c>
      <c r="AN45" s="11">
        <f t="shared" si="9"/>
        <v>-1.9539925233402757E-15</v>
      </c>
    </row>
    <row r="46" spans="1:42" x14ac:dyDescent="0.35">
      <c r="A46" s="436">
        <v>44337</v>
      </c>
      <c r="B46" s="435">
        <v>2021</v>
      </c>
      <c r="C46" s="435">
        <v>21</v>
      </c>
      <c r="D46" s="435">
        <v>8</v>
      </c>
      <c r="E46" s="435" t="s">
        <v>287</v>
      </c>
      <c r="F46" s="436" t="s">
        <v>50</v>
      </c>
      <c r="G46" s="437">
        <v>0.81249999999999878</v>
      </c>
      <c r="H46" s="436" t="s">
        <v>249</v>
      </c>
      <c r="I46" s="435">
        <v>77.900000000000006</v>
      </c>
      <c r="J46" s="436" t="s">
        <v>85</v>
      </c>
      <c r="K46" s="438">
        <v>43.87</v>
      </c>
      <c r="L46" s="439">
        <v>1.9</v>
      </c>
      <c r="M46" s="435">
        <v>63.9</v>
      </c>
      <c r="N46" s="435">
        <v>3</v>
      </c>
      <c r="O46" s="438">
        <v>23.089473684210525</v>
      </c>
      <c r="P46" s="440">
        <v>-3.6302732052196873</v>
      </c>
      <c r="Q46" s="438">
        <v>14.623333333333333</v>
      </c>
      <c r="R46" s="438">
        <v>0.68654147104851326</v>
      </c>
      <c r="S46" s="441">
        <v>21.3</v>
      </c>
      <c r="T46" s="441">
        <v>1.5789473684210527</v>
      </c>
      <c r="U46" s="239">
        <v>1</v>
      </c>
      <c r="V46" s="442">
        <v>2.6388888888888889E-2</v>
      </c>
      <c r="W46" s="441" t="s">
        <v>176</v>
      </c>
      <c r="X46" s="438">
        <v>16.333148531440958</v>
      </c>
      <c r="Y46" s="438">
        <v>6.7563251527695662</v>
      </c>
      <c r="Z46" s="443">
        <v>26.106888888888889</v>
      </c>
      <c r="AA46" s="58">
        <f t="shared" ca="1" si="0"/>
        <v>57.362499999999997</v>
      </c>
      <c r="AB46" s="453">
        <f ca="1">Table29[[#This Row],[Earnings]]-Table29[[#This Row],[4-Week Average]]</f>
        <v>-13.4925</v>
      </c>
      <c r="AG46" s="195">
        <v>41</v>
      </c>
      <c r="AH46" s="11">
        <v>0</v>
      </c>
      <c r="AI46" s="11">
        <v>15.998832146445629</v>
      </c>
      <c r="AJ46" s="11">
        <v>-14.084166072242366</v>
      </c>
      <c r="AK46" s="11">
        <v>-1.9146660742032715</v>
      </c>
      <c r="AL46" s="11"/>
      <c r="AM46" s="11">
        <f t="shared" si="2"/>
        <v>-2.2204460492503131E-15</v>
      </c>
      <c r="AN46" s="11">
        <f t="shared" si="9"/>
        <v>-4.1744385725905887E-15</v>
      </c>
    </row>
    <row r="47" spans="1:42" x14ac:dyDescent="0.35">
      <c r="A47" s="445">
        <v>44339</v>
      </c>
      <c r="B47" s="444">
        <v>2021</v>
      </c>
      <c r="C47" s="444">
        <v>21</v>
      </c>
      <c r="D47" s="444">
        <v>8</v>
      </c>
      <c r="E47" s="444" t="s">
        <v>287</v>
      </c>
      <c r="F47" s="445" t="s">
        <v>45</v>
      </c>
      <c r="G47" s="446">
        <v>0.52083333333333248</v>
      </c>
      <c r="H47" s="445" t="s">
        <v>230</v>
      </c>
      <c r="I47" s="444">
        <v>62.2</v>
      </c>
      <c r="J47" s="445" t="s">
        <v>85</v>
      </c>
      <c r="K47" s="447">
        <v>189.8</v>
      </c>
      <c r="L47" s="448">
        <v>6.6000000000000014</v>
      </c>
      <c r="M47" s="444">
        <v>142</v>
      </c>
      <c r="N47" s="444">
        <v>14</v>
      </c>
      <c r="O47" s="447">
        <v>28.757575757575754</v>
      </c>
      <c r="P47" s="449">
        <v>12.443745970341709</v>
      </c>
      <c r="Q47" s="447">
        <v>13.557142857142859</v>
      </c>
      <c r="R47" s="447">
        <v>1.3366197183098592</v>
      </c>
      <c r="S47" s="450">
        <v>10.142857142857142</v>
      </c>
      <c r="T47" s="450">
        <v>2.1212121212121207</v>
      </c>
      <c r="U47" s="240">
        <v>2</v>
      </c>
      <c r="V47" s="451">
        <v>1.9642857142857146E-2</v>
      </c>
      <c r="W47" s="450" t="s">
        <v>176</v>
      </c>
      <c r="X47" s="447">
        <v>18.720893141945773</v>
      </c>
      <c r="Y47" s="447">
        <v>10.036682615629982</v>
      </c>
      <c r="Z47" s="452">
        <v>27.207444444444445</v>
      </c>
      <c r="AA47" s="58">
        <f t="shared" ca="1" si="0"/>
        <v>83.252499999999998</v>
      </c>
      <c r="AB47" s="453">
        <f ca="1">Table29[[#This Row],[Earnings]]-Table29[[#This Row],[4-Week Average]]</f>
        <v>106.54750000000001</v>
      </c>
      <c r="AG47" s="195">
        <v>42</v>
      </c>
      <c r="AH47" s="11">
        <v>-6.3443745232646833</v>
      </c>
      <c r="AI47" s="11">
        <v>-5.0735390059230667</v>
      </c>
      <c r="AJ47" s="11">
        <v>9.8412261826526848</v>
      </c>
      <c r="AK47" s="11">
        <v>1.5766873465350599</v>
      </c>
      <c r="AL47" s="11"/>
      <c r="AM47" s="11">
        <f t="shared" si="2"/>
        <v>-1.3322676295501878E-15</v>
      </c>
      <c r="AN47" s="11">
        <f t="shared" si="9"/>
        <v>-8.6153306710912141E-15</v>
      </c>
    </row>
    <row r="48" spans="1:42" x14ac:dyDescent="0.35">
      <c r="A48" s="436">
        <v>44342</v>
      </c>
      <c r="B48" s="435">
        <v>2021</v>
      </c>
      <c r="C48" s="435">
        <v>22</v>
      </c>
      <c r="D48" s="435">
        <v>9</v>
      </c>
      <c r="E48" s="435" t="s">
        <v>287</v>
      </c>
      <c r="F48" s="436" t="s">
        <v>48</v>
      </c>
      <c r="G48" s="437">
        <v>0.70833333333333226</v>
      </c>
      <c r="H48" s="436" t="s">
        <v>236</v>
      </c>
      <c r="I48" s="435">
        <v>71.3</v>
      </c>
      <c r="J48" s="436" t="s">
        <v>82</v>
      </c>
      <c r="K48" s="438">
        <v>102.85</v>
      </c>
      <c r="L48" s="439">
        <v>3.9000000000000004</v>
      </c>
      <c r="M48" s="435">
        <v>54</v>
      </c>
      <c r="N48" s="435">
        <v>13</v>
      </c>
      <c r="O48" s="438">
        <v>26.371794871794869</v>
      </c>
      <c r="P48" s="440" t="s">
        <v>393</v>
      </c>
      <c r="Q48" s="438">
        <v>7.911538461538461</v>
      </c>
      <c r="R48" s="438">
        <v>1.9046296296296295</v>
      </c>
      <c r="S48" s="441">
        <v>4.1538461538461542</v>
      </c>
      <c r="T48" s="441">
        <v>3.333333333333333</v>
      </c>
      <c r="U48" s="239">
        <v>2</v>
      </c>
      <c r="V48" s="442">
        <v>1.2500000000000002E-2</v>
      </c>
      <c r="W48" s="441" t="s">
        <v>176</v>
      </c>
      <c r="X48" s="438">
        <v>21.882177824775361</v>
      </c>
      <c r="Y48" s="438">
        <v>4.4896170470195074</v>
      </c>
      <c r="Z48" s="443">
        <v>28.350222222222222</v>
      </c>
      <c r="AA48" s="58">
        <f t="shared" ca="1" si="0"/>
        <v>89.032499999999999</v>
      </c>
      <c r="AB48" s="453">
        <f ca="1">Table29[[#This Row],[Earnings]]-Table29[[#This Row],[4-Week Average]]</f>
        <v>13.817499999999995</v>
      </c>
      <c r="AG48" s="195">
        <v>43</v>
      </c>
      <c r="AH48" s="11">
        <v>0.81664066874650132</v>
      </c>
      <c r="AI48" s="11"/>
      <c r="AJ48" s="11">
        <v>0.56975588986659176</v>
      </c>
      <c r="AK48" s="11">
        <v>-1.386396558613086</v>
      </c>
      <c r="AL48" s="11"/>
      <c r="AM48" s="11">
        <f t="shared" si="2"/>
        <v>2.3684757858670005E-15</v>
      </c>
      <c r="AN48" s="11">
        <f t="shared" si="9"/>
        <v>-5.1810407815840644E-15</v>
      </c>
    </row>
    <row r="49" spans="1:44" x14ac:dyDescent="0.35">
      <c r="A49" s="445">
        <v>44345</v>
      </c>
      <c r="B49" s="444">
        <v>2021</v>
      </c>
      <c r="C49" s="444">
        <v>22</v>
      </c>
      <c r="D49" s="444">
        <v>9</v>
      </c>
      <c r="E49" s="444" t="s">
        <v>287</v>
      </c>
      <c r="F49" s="445" t="s">
        <v>51</v>
      </c>
      <c r="G49" s="446">
        <v>0.70833333333333226</v>
      </c>
      <c r="H49" s="445" t="s">
        <v>236</v>
      </c>
      <c r="I49" s="444">
        <v>54.1</v>
      </c>
      <c r="J49" s="445" t="s">
        <v>80</v>
      </c>
      <c r="K49" s="447">
        <v>66.5</v>
      </c>
      <c r="L49" s="448">
        <v>2.9000000000000004</v>
      </c>
      <c r="M49" s="444">
        <v>60</v>
      </c>
      <c r="N49" s="444">
        <v>7</v>
      </c>
      <c r="O49" s="447">
        <v>22.931034482758619</v>
      </c>
      <c r="P49" s="449">
        <v>-7.5111939816608526</v>
      </c>
      <c r="Q49" s="447">
        <v>9.5</v>
      </c>
      <c r="R49" s="447">
        <v>1.1083333333333334</v>
      </c>
      <c r="S49" s="450">
        <v>8.5714285714285712</v>
      </c>
      <c r="T49" s="450">
        <v>2.4137931034482754</v>
      </c>
      <c r="U49" s="240">
        <v>2</v>
      </c>
      <c r="V49" s="451">
        <v>1.7261904761904763E-2</v>
      </c>
      <c r="W49" s="450" t="s">
        <v>176</v>
      </c>
      <c r="X49" s="447">
        <v>26.586309320587226</v>
      </c>
      <c r="Y49" s="447">
        <v>-3.6552748378286068</v>
      </c>
      <c r="Z49" s="452">
        <v>28.468</v>
      </c>
      <c r="AA49" s="58">
        <f t="shared" ca="1" si="0"/>
        <v>100.755</v>
      </c>
      <c r="AB49" s="453">
        <f ca="1">Table29[[#This Row],[Earnings]]-Table29[[#This Row],[4-Week Average]]</f>
        <v>-34.254999999999995</v>
      </c>
      <c r="AG49" s="195">
        <v>44</v>
      </c>
      <c r="AH49" s="11">
        <v>-2.9399395015076912</v>
      </c>
      <c r="AI49" s="11"/>
      <c r="AJ49" s="11">
        <v>9.1457394760432607</v>
      </c>
      <c r="AK49" s="11">
        <v>-6.2057999745355712</v>
      </c>
      <c r="AL49" s="11"/>
      <c r="AM49" s="11">
        <f t="shared" si="2"/>
        <v>0</v>
      </c>
      <c r="AN49" s="11">
        <f t="shared" si="9"/>
        <v>-8.2896652505345027E-15</v>
      </c>
    </row>
    <row r="50" spans="1:44" x14ac:dyDescent="0.35">
      <c r="A50" s="436">
        <v>44347</v>
      </c>
      <c r="B50" s="435">
        <v>2021</v>
      </c>
      <c r="C50" s="435">
        <v>23</v>
      </c>
      <c r="D50" s="435">
        <v>10</v>
      </c>
      <c r="E50" s="435" t="s">
        <v>287</v>
      </c>
      <c r="F50" s="436" t="s">
        <v>46</v>
      </c>
      <c r="G50" s="437">
        <v>0.58333333333333237</v>
      </c>
      <c r="H50" s="436" t="s">
        <v>230</v>
      </c>
      <c r="I50" s="435">
        <v>74.5</v>
      </c>
      <c r="J50" s="436" t="s">
        <v>80</v>
      </c>
      <c r="K50" s="438">
        <v>98.360000000000014</v>
      </c>
      <c r="L50" s="439">
        <v>4.2</v>
      </c>
      <c r="M50" s="435">
        <v>89</v>
      </c>
      <c r="N50" s="435">
        <v>11</v>
      </c>
      <c r="O50" s="438">
        <v>23.419047619047621</v>
      </c>
      <c r="P50" s="440">
        <v>2.9806811125273747</v>
      </c>
      <c r="Q50" s="438">
        <v>8.9418181818181832</v>
      </c>
      <c r="R50" s="438">
        <v>1.1051685393258428</v>
      </c>
      <c r="S50" s="441">
        <v>8.0909090909090917</v>
      </c>
      <c r="T50" s="441">
        <v>2.6190476190476191</v>
      </c>
      <c r="U50" s="239">
        <v>2</v>
      </c>
      <c r="V50" s="442">
        <v>1.5909090909090911E-2</v>
      </c>
      <c r="W50" s="441" t="s">
        <v>176</v>
      </c>
      <c r="X50" s="438">
        <v>22.182309988289532</v>
      </c>
      <c r="Y50" s="438">
        <v>1.2367376307580891</v>
      </c>
      <c r="Z50" s="443">
        <v>28.816444444444446</v>
      </c>
      <c r="AA50" s="58">
        <f t="shared" ca="1" si="0"/>
        <v>114.3775</v>
      </c>
      <c r="AB50" s="453">
        <f ca="1">Table29[[#This Row],[Earnings]]-Table29[[#This Row],[4-Week Average]]</f>
        <v>-16.017499999999984</v>
      </c>
      <c r="AG50" s="195">
        <v>45</v>
      </c>
      <c r="AH50" s="11">
        <v>2.5383278558367799</v>
      </c>
      <c r="AI50" s="11">
        <v>-6.6359436566288785</v>
      </c>
      <c r="AJ50" s="11">
        <v>0.96870260228064353</v>
      </c>
      <c r="AK50" s="11">
        <v>3.1289131985114622</v>
      </c>
      <c r="AL50" s="11"/>
      <c r="AM50" s="11">
        <f t="shared" si="2"/>
        <v>1.7763568394002505E-15</v>
      </c>
      <c r="AN50" s="11">
        <f t="shared" si="9"/>
        <v>-6.5133084111342522E-15</v>
      </c>
    </row>
    <row r="51" spans="1:44" x14ac:dyDescent="0.35">
      <c r="A51" s="445">
        <v>44350</v>
      </c>
      <c r="B51" s="444">
        <v>2021</v>
      </c>
      <c r="C51" s="444">
        <v>23</v>
      </c>
      <c r="D51" s="444">
        <v>10</v>
      </c>
      <c r="E51" s="444" t="s">
        <v>287</v>
      </c>
      <c r="F51" s="445" t="s">
        <v>49</v>
      </c>
      <c r="G51" s="446">
        <v>0.72916666666666552</v>
      </c>
      <c r="H51" s="445" t="s">
        <v>236</v>
      </c>
      <c r="I51" s="444">
        <v>77</v>
      </c>
      <c r="J51" s="445" t="s">
        <v>82</v>
      </c>
      <c r="K51" s="447">
        <v>56</v>
      </c>
      <c r="L51" s="448">
        <v>2.8</v>
      </c>
      <c r="M51" s="444">
        <v>42</v>
      </c>
      <c r="N51" s="444">
        <v>6</v>
      </c>
      <c r="O51" s="447">
        <v>20</v>
      </c>
      <c r="P51" s="449" t="s">
        <v>393</v>
      </c>
      <c r="Q51" s="447">
        <v>9.3333333333333339</v>
      </c>
      <c r="R51" s="447">
        <v>1.3333333333333333</v>
      </c>
      <c r="S51" s="450">
        <v>7</v>
      </c>
      <c r="T51" s="450">
        <v>2.1428571428571428</v>
      </c>
      <c r="U51" s="240">
        <v>2</v>
      </c>
      <c r="V51" s="451">
        <v>1.9444444444444441E-2</v>
      </c>
      <c r="W51" s="450" t="s">
        <v>176</v>
      </c>
      <c r="X51" s="447">
        <v>27.094757647407121</v>
      </c>
      <c r="Y51" s="447">
        <v>-7.0947576474071212</v>
      </c>
      <c r="Z51" s="452">
        <v>27.853333333333335</v>
      </c>
      <c r="AA51" s="58">
        <f t="shared" ca="1" si="0"/>
        <v>80.927500000000009</v>
      </c>
      <c r="AB51" s="453">
        <f ca="1">Table29[[#This Row],[Earnings]]-Table29[[#This Row],[4-Week Average]]</f>
        <v>-24.927500000000009</v>
      </c>
      <c r="AG51" s="195">
        <v>46</v>
      </c>
      <c r="AH51" s="11">
        <v>11.852365530987928</v>
      </c>
      <c r="AI51" s="11">
        <v>-17.493890359862469</v>
      </c>
      <c r="AJ51" s="11">
        <v>7.836920878029467</v>
      </c>
      <c r="AK51" s="11">
        <v>-2.195396049154926</v>
      </c>
      <c r="AL51" s="11"/>
      <c r="AM51" s="11">
        <f t="shared" si="2"/>
        <v>0</v>
      </c>
      <c r="AN51" s="11">
        <f t="shared" si="9"/>
        <v>-1.6283271027835631E-15</v>
      </c>
    </row>
    <row r="52" spans="1:44" x14ac:dyDescent="0.35">
      <c r="A52" s="436">
        <v>44351</v>
      </c>
      <c r="B52" s="435">
        <v>2021</v>
      </c>
      <c r="C52" s="435">
        <v>23</v>
      </c>
      <c r="D52" s="435">
        <v>10</v>
      </c>
      <c r="E52" s="435" t="s">
        <v>287</v>
      </c>
      <c r="F52" s="436" t="s">
        <v>50</v>
      </c>
      <c r="G52" s="437">
        <v>0.74999999999999889</v>
      </c>
      <c r="H52" s="436" t="s">
        <v>230</v>
      </c>
      <c r="I52" s="435">
        <v>85</v>
      </c>
      <c r="J52" s="436" t="s">
        <v>82</v>
      </c>
      <c r="K52" s="438">
        <v>77.39</v>
      </c>
      <c r="L52" s="439">
        <v>3</v>
      </c>
      <c r="M52" s="435">
        <v>52</v>
      </c>
      <c r="N52" s="435">
        <v>8</v>
      </c>
      <c r="O52" s="438">
        <v>25.796666666666667</v>
      </c>
      <c r="P52" s="440" t="s">
        <v>393</v>
      </c>
      <c r="Q52" s="438">
        <v>9.6737500000000001</v>
      </c>
      <c r="R52" s="438">
        <v>1.4882692307692307</v>
      </c>
      <c r="S52" s="441">
        <v>6.5</v>
      </c>
      <c r="T52" s="441">
        <v>2.6666666666666665</v>
      </c>
      <c r="U52" s="239">
        <v>2</v>
      </c>
      <c r="V52" s="442">
        <v>1.5625E-2</v>
      </c>
      <c r="W52" s="441" t="s">
        <v>176</v>
      </c>
      <c r="X52" s="438">
        <v>20.101809097414456</v>
      </c>
      <c r="Y52" s="438">
        <v>5.6948575692522105</v>
      </c>
      <c r="Z52" s="443">
        <v>28.368222222222222</v>
      </c>
      <c r="AA52" s="58">
        <f t="shared" ca="1" si="0"/>
        <v>74.5625</v>
      </c>
      <c r="AB52" s="453">
        <f ca="1">Table29[[#This Row],[Earnings]]-Table29[[#This Row],[4-Week Average]]</f>
        <v>2.8275000000000006</v>
      </c>
      <c r="AG52" s="195">
        <v>47</v>
      </c>
      <c r="AH52" s="11">
        <v>-7.2684722514107101</v>
      </c>
      <c r="AI52" s="11">
        <v>7.4026724416903829</v>
      </c>
      <c r="AJ52" s="11">
        <v>-0.41670892258445313</v>
      </c>
      <c r="AK52" s="11">
        <v>0.28250873230476969</v>
      </c>
      <c r="AL52" s="11"/>
      <c r="AM52" s="11">
        <f t="shared" si="2"/>
        <v>-2.6645352591003757E-15</v>
      </c>
      <c r="AN52" s="11">
        <f t="shared" si="9"/>
        <v>-4.2928623618839391E-15</v>
      </c>
    </row>
    <row r="53" spans="1:44" x14ac:dyDescent="0.35">
      <c r="A53" s="445">
        <v>44354</v>
      </c>
      <c r="B53" s="444">
        <v>2021</v>
      </c>
      <c r="C53" s="444">
        <v>24</v>
      </c>
      <c r="D53" s="444">
        <v>11</v>
      </c>
      <c r="E53" s="444" t="s">
        <v>287</v>
      </c>
      <c r="F53" s="445" t="s">
        <v>46</v>
      </c>
      <c r="G53" s="446">
        <v>0.77083333333333215</v>
      </c>
      <c r="H53" s="445" t="s">
        <v>230</v>
      </c>
      <c r="I53" s="444">
        <v>90.1</v>
      </c>
      <c r="J53" s="445" t="s">
        <v>82</v>
      </c>
      <c r="K53" s="447">
        <v>24.75</v>
      </c>
      <c r="L53" s="448">
        <v>2.5</v>
      </c>
      <c r="M53" s="444">
        <v>45</v>
      </c>
      <c r="N53" s="444">
        <v>5</v>
      </c>
      <c r="O53" s="447">
        <v>9.9</v>
      </c>
      <c r="P53" s="449" t="s">
        <v>393</v>
      </c>
      <c r="Q53" s="447">
        <v>4.95</v>
      </c>
      <c r="R53" s="447">
        <v>0.55000000000000004</v>
      </c>
      <c r="S53" s="450">
        <v>9</v>
      </c>
      <c r="T53" s="450">
        <v>2</v>
      </c>
      <c r="U53" s="240">
        <v>2</v>
      </c>
      <c r="V53" s="451">
        <v>2.0833333333333332E-2</v>
      </c>
      <c r="W53" s="450" t="s">
        <v>176</v>
      </c>
      <c r="X53" s="447">
        <v>18.7884790163058</v>
      </c>
      <c r="Y53" s="447">
        <v>-8.8884790163057996</v>
      </c>
      <c r="Z53" s="452">
        <v>27.860888888888891</v>
      </c>
      <c r="AA53" s="58">
        <f t="shared" ca="1" si="0"/>
        <v>64.125</v>
      </c>
      <c r="AB53" s="453">
        <f ca="1">Table29[[#This Row],[Earnings]]-Table29[[#This Row],[4-Week Average]]</f>
        <v>-39.375</v>
      </c>
      <c r="AG53" s="195">
        <v>48</v>
      </c>
      <c r="AH53" s="11">
        <v>7.6199216613547804</v>
      </c>
      <c r="AI53" s="11">
        <v>-11.129950699824281</v>
      </c>
      <c r="AJ53" s="11">
        <v>3.1949329102292978E-2</v>
      </c>
      <c r="AK53" s="11">
        <v>3.47807970936719</v>
      </c>
      <c r="AL53" s="11"/>
      <c r="AM53" s="11">
        <f t="shared" si="2"/>
        <v>-4.4408920985006262E-15</v>
      </c>
      <c r="AN53" s="11">
        <f t="shared" si="9"/>
        <v>-1.1398289719484941E-14</v>
      </c>
    </row>
    <row r="54" spans="1:44" x14ac:dyDescent="0.35">
      <c r="A54" s="436">
        <v>44359</v>
      </c>
      <c r="B54" s="435">
        <v>2021</v>
      </c>
      <c r="C54" s="435">
        <v>24</v>
      </c>
      <c r="D54" s="435">
        <v>11</v>
      </c>
      <c r="E54" s="435" t="s">
        <v>287</v>
      </c>
      <c r="F54" s="436" t="s">
        <v>51</v>
      </c>
      <c r="G54" s="437">
        <v>0.60416666666666574</v>
      </c>
      <c r="H54" s="436" t="s">
        <v>230</v>
      </c>
      <c r="I54" s="435">
        <v>80.099999999999994</v>
      </c>
      <c r="J54" s="436" t="s">
        <v>85</v>
      </c>
      <c r="K54" s="438">
        <v>26.34</v>
      </c>
      <c r="L54" s="439">
        <v>1.8</v>
      </c>
      <c r="M54" s="435">
        <v>31</v>
      </c>
      <c r="N54" s="435">
        <v>2</v>
      </c>
      <c r="O54" s="438">
        <v>14.633333333333333</v>
      </c>
      <c r="P54" s="440" t="s">
        <v>393</v>
      </c>
      <c r="Q54" s="438">
        <v>13.17</v>
      </c>
      <c r="R54" s="438">
        <v>0.84967741935483876</v>
      </c>
      <c r="S54" s="441">
        <v>15.5</v>
      </c>
      <c r="T54" s="441">
        <v>1.1111111111111112</v>
      </c>
      <c r="U54" s="239">
        <v>1</v>
      </c>
      <c r="V54" s="442">
        <v>3.7499999999999999E-2</v>
      </c>
      <c r="W54" s="441" t="s">
        <v>176</v>
      </c>
      <c r="X54" s="438">
        <v>22.337827564977648</v>
      </c>
      <c r="Y54" s="438">
        <v>-7.7044942316443148</v>
      </c>
      <c r="Z54" s="443">
        <v>27.237111111111112</v>
      </c>
      <c r="AA54" s="58">
        <f t="shared" ca="1" si="0"/>
        <v>46.12</v>
      </c>
      <c r="AB54" s="453">
        <f ca="1">Table29[[#This Row],[Earnings]]-Table29[[#This Row],[4-Week Average]]</f>
        <v>-19.779999999999998</v>
      </c>
      <c r="AG54" s="195">
        <v>49</v>
      </c>
      <c r="AH54" s="11">
        <v>-0.26060716559860708</v>
      </c>
      <c r="AI54" s="11">
        <v>-17.263707480732094</v>
      </c>
      <c r="AJ54" s="11">
        <v>12.096158966802509</v>
      </c>
      <c r="AK54" s="11">
        <v>5.4281556795281851</v>
      </c>
      <c r="AL54" s="11"/>
      <c r="AM54" s="11">
        <f t="shared" si="2"/>
        <v>-1.7763568394002505E-15</v>
      </c>
      <c r="AN54" s="11">
        <f t="shared" si="9"/>
        <v>-1.3174646558885191E-14</v>
      </c>
    </row>
    <row r="55" spans="1:44" x14ac:dyDescent="0.35">
      <c r="A55" s="445">
        <v>44361</v>
      </c>
      <c r="B55" s="444">
        <v>2021</v>
      </c>
      <c r="C55" s="444">
        <v>25</v>
      </c>
      <c r="D55" s="444">
        <v>12</v>
      </c>
      <c r="E55" s="444" t="s">
        <v>287</v>
      </c>
      <c r="F55" s="445" t="s">
        <v>46</v>
      </c>
      <c r="G55" s="446">
        <v>0.81249999999999878</v>
      </c>
      <c r="H55" s="445" t="s">
        <v>236</v>
      </c>
      <c r="I55" s="444">
        <v>67.2</v>
      </c>
      <c r="J55" s="445" t="s">
        <v>80</v>
      </c>
      <c r="K55" s="447">
        <v>35.75</v>
      </c>
      <c r="L55" s="448">
        <v>2.7</v>
      </c>
      <c r="M55" s="444">
        <v>57</v>
      </c>
      <c r="N55" s="444">
        <v>4</v>
      </c>
      <c r="O55" s="447">
        <v>13.24074074074074</v>
      </c>
      <c r="P55" s="449">
        <v>-8.1911861366219618</v>
      </c>
      <c r="Q55" s="447">
        <v>8.9375</v>
      </c>
      <c r="R55" s="447">
        <v>0.6271929824561403</v>
      </c>
      <c r="S55" s="450">
        <v>14.25</v>
      </c>
      <c r="T55" s="450">
        <v>1.4814814814814814</v>
      </c>
      <c r="U55" s="240">
        <v>2</v>
      </c>
      <c r="V55" s="451">
        <v>2.8125000000000001E-2</v>
      </c>
      <c r="W55" s="450" t="s">
        <v>176</v>
      </c>
      <c r="X55" s="447">
        <v>19.273030658110066</v>
      </c>
      <c r="Y55" s="447">
        <v>-6.0322899173693258</v>
      </c>
      <c r="Z55" s="452">
        <v>26.723222222222223</v>
      </c>
      <c r="AA55" s="58">
        <f t="shared" ca="1" si="0"/>
        <v>41.057499999999997</v>
      </c>
      <c r="AB55" s="453">
        <f ca="1">Table29[[#This Row],[Earnings]]-Table29[[#This Row],[4-Week Average]]</f>
        <v>-5.3074999999999974</v>
      </c>
      <c r="AG55" s="195">
        <v>50</v>
      </c>
      <c r="AH55" s="11">
        <v>-1.4356364268249457</v>
      </c>
      <c r="AI55" s="11">
        <v>-1.3918271033083141</v>
      </c>
      <c r="AJ55" s="11">
        <v>-5.6862758865071008</v>
      </c>
      <c r="AK55" s="11">
        <v>8.5137394166403588</v>
      </c>
      <c r="AL55" s="11"/>
      <c r="AM55" s="11">
        <f t="shared" si="2"/>
        <v>0</v>
      </c>
      <c r="AN55" s="11">
        <f t="shared" si="9"/>
        <v>-1.3174646558885191E-14</v>
      </c>
    </row>
    <row r="56" spans="1:44" x14ac:dyDescent="0.35">
      <c r="A56" s="436">
        <v>44366</v>
      </c>
      <c r="B56" s="435">
        <v>2021</v>
      </c>
      <c r="C56" s="435">
        <v>25</v>
      </c>
      <c r="D56" s="435">
        <v>12</v>
      </c>
      <c r="E56" s="435" t="s">
        <v>287</v>
      </c>
      <c r="F56" s="436" t="s">
        <v>51</v>
      </c>
      <c r="G56" s="437">
        <v>0.58333333333333237</v>
      </c>
      <c r="H56" s="436" t="s">
        <v>249</v>
      </c>
      <c r="I56" s="435">
        <v>83</v>
      </c>
      <c r="J56" s="436" t="s">
        <v>85</v>
      </c>
      <c r="K56" s="438">
        <v>142.98000000000002</v>
      </c>
      <c r="L56" s="439">
        <v>7</v>
      </c>
      <c r="M56" s="435">
        <v>171</v>
      </c>
      <c r="N56" s="435">
        <v>15</v>
      </c>
      <c r="O56" s="438">
        <v>20.425714285714289</v>
      </c>
      <c r="P56" s="440">
        <v>5.792380952380956</v>
      </c>
      <c r="Q56" s="438">
        <v>9.5320000000000018</v>
      </c>
      <c r="R56" s="438">
        <v>0.83614035087719307</v>
      </c>
      <c r="S56" s="441">
        <v>11.4</v>
      </c>
      <c r="T56" s="441">
        <v>2.1428571428571428</v>
      </c>
      <c r="U56" s="239">
        <v>2</v>
      </c>
      <c r="V56" s="442">
        <v>1.9444444444444445E-2</v>
      </c>
      <c r="W56" s="441" t="s">
        <v>176</v>
      </c>
      <c r="X56" s="438">
        <v>22.879063937501609</v>
      </c>
      <c r="Y56" s="438">
        <v>-2.4533496517873203</v>
      </c>
      <c r="Z56" s="443">
        <v>26.015777777777775</v>
      </c>
      <c r="AA56" s="58">
        <f t="shared" ca="1" si="0"/>
        <v>57.455000000000005</v>
      </c>
      <c r="AB56" s="453">
        <f ca="1">Table29[[#This Row],[Earnings]]-Table29[[#This Row],[4-Week Average]]</f>
        <v>85.525000000000006</v>
      </c>
      <c r="AG56" s="195">
        <v>51</v>
      </c>
      <c r="AH56" s="11">
        <v>1.9850064350064329</v>
      </c>
      <c r="AI56" s="11">
        <v>-7.4353361863362757</v>
      </c>
      <c r="AJ56" s="11">
        <v>5.4503297513298463</v>
      </c>
      <c r="AK56" s="11"/>
      <c r="AL56" s="11"/>
      <c r="AM56" s="11">
        <f t="shared" si="2"/>
        <v>0</v>
      </c>
      <c r="AN56" s="11">
        <f t="shared" si="9"/>
        <v>-1.3174646558885191E-14</v>
      </c>
    </row>
    <row r="57" spans="1:44" x14ac:dyDescent="0.35">
      <c r="A57" s="445">
        <v>44367</v>
      </c>
      <c r="B57" s="444">
        <v>2021</v>
      </c>
      <c r="C57" s="444">
        <v>25</v>
      </c>
      <c r="D57" s="444">
        <v>12</v>
      </c>
      <c r="E57" s="444" t="s">
        <v>287</v>
      </c>
      <c r="F57" s="445" t="s">
        <v>45</v>
      </c>
      <c r="G57" s="446">
        <v>0.66666666666666563</v>
      </c>
      <c r="H57" s="445" t="s">
        <v>249</v>
      </c>
      <c r="I57" s="444">
        <v>83.8</v>
      </c>
      <c r="J57" s="445" t="s">
        <v>85</v>
      </c>
      <c r="K57" s="447">
        <v>110.89</v>
      </c>
      <c r="L57" s="448">
        <v>2.9000000000000004</v>
      </c>
      <c r="M57" s="444">
        <v>69</v>
      </c>
      <c r="N57" s="444">
        <v>5</v>
      </c>
      <c r="O57" s="447">
        <v>38.237931034482756</v>
      </c>
      <c r="P57" s="449">
        <v>15.702228262077856</v>
      </c>
      <c r="Q57" s="447">
        <v>22.178000000000001</v>
      </c>
      <c r="R57" s="447">
        <v>1.6071014492753624</v>
      </c>
      <c r="S57" s="450">
        <v>13.8</v>
      </c>
      <c r="T57" s="450">
        <v>1.7241379310344827</v>
      </c>
      <c r="U57" s="240">
        <v>2</v>
      </c>
      <c r="V57" s="451">
        <v>2.416666666666667E-2</v>
      </c>
      <c r="W57" s="450" t="s">
        <v>176</v>
      </c>
      <c r="X57" s="447">
        <v>24.167933971299817</v>
      </c>
      <c r="Y57" s="447">
        <v>14.069997063182939</v>
      </c>
      <c r="Z57" s="452">
        <v>26.494</v>
      </c>
      <c r="AA57" s="58">
        <f t="shared" ca="1" si="0"/>
        <v>78.990000000000009</v>
      </c>
      <c r="AB57" s="453">
        <f ca="1">Table29[[#This Row],[Earnings]]-Table29[[#This Row],[4-Week Average]]</f>
        <v>31.899999999999991</v>
      </c>
      <c r="AG57" s="195">
        <v>52</v>
      </c>
      <c r="AH57" s="11">
        <v>-8.7356321839081374E-2</v>
      </c>
      <c r="AI57" s="11">
        <v>8.7356321839077822E-2</v>
      </c>
      <c r="AJ57" s="11"/>
      <c r="AK57" s="11"/>
      <c r="AL57" s="11"/>
      <c r="AM57" s="11">
        <f t="shared" si="2"/>
        <v>-1.7763568394002505E-15</v>
      </c>
      <c r="AN57" s="11">
        <f>SUM(AM45:AM57)</f>
        <v>-1.4951003398285444E-14</v>
      </c>
    </row>
    <row r="58" spans="1:44" x14ac:dyDescent="0.35">
      <c r="A58" s="436">
        <v>44369</v>
      </c>
      <c r="B58" s="435">
        <v>2021</v>
      </c>
      <c r="C58" s="435">
        <v>26</v>
      </c>
      <c r="D58" s="435">
        <v>13</v>
      </c>
      <c r="E58" s="435" t="s">
        <v>287</v>
      </c>
      <c r="F58" s="436" t="s">
        <v>47</v>
      </c>
      <c r="G58" s="437">
        <v>0.8541666666666653</v>
      </c>
      <c r="H58" s="436" t="s">
        <v>236</v>
      </c>
      <c r="I58" s="435">
        <v>70.2</v>
      </c>
      <c r="J58" s="436" t="s">
        <v>80</v>
      </c>
      <c r="K58" s="438">
        <v>32.910000000000004</v>
      </c>
      <c r="L58" s="439">
        <v>1.8</v>
      </c>
      <c r="M58" s="435">
        <v>40</v>
      </c>
      <c r="N58" s="435">
        <v>2</v>
      </c>
      <c r="O58" s="438">
        <v>18.283333333333335</v>
      </c>
      <c r="P58" s="440">
        <v>-0.28809523809523441</v>
      </c>
      <c r="Q58" s="438">
        <v>16.455000000000002</v>
      </c>
      <c r="R58" s="438">
        <v>0.82275000000000009</v>
      </c>
      <c r="S58" s="441">
        <v>20</v>
      </c>
      <c r="T58" s="441">
        <v>1.1111111111111112</v>
      </c>
      <c r="U58" s="239">
        <v>2</v>
      </c>
      <c r="V58" s="442">
        <v>3.7499999999999999E-2</v>
      </c>
      <c r="W58" s="441" t="s">
        <v>176</v>
      </c>
      <c r="X58" s="438">
        <v>20.492635020175374</v>
      </c>
      <c r="Y58" s="438">
        <v>-2.2093016868420392</v>
      </c>
      <c r="Z58" s="443">
        <v>25.853111111111104</v>
      </c>
      <c r="AA58" s="58">
        <f t="shared" ca="1" si="0"/>
        <v>80.632500000000007</v>
      </c>
      <c r="AB58" s="453">
        <f ca="1">Table29[[#This Row],[Earnings]]-Table29[[#This Row],[4-Week Average]]</f>
        <v>-47.722500000000004</v>
      </c>
    </row>
    <row r="59" spans="1:44" x14ac:dyDescent="0.35">
      <c r="A59" s="445">
        <v>44371</v>
      </c>
      <c r="B59" s="444">
        <v>2021</v>
      </c>
      <c r="C59" s="444">
        <v>26</v>
      </c>
      <c r="D59" s="444">
        <v>13</v>
      </c>
      <c r="E59" s="444" t="s">
        <v>287</v>
      </c>
      <c r="F59" s="445" t="s">
        <v>49</v>
      </c>
      <c r="G59" s="446">
        <v>0.74999999999999889</v>
      </c>
      <c r="H59" s="445" t="s">
        <v>236</v>
      </c>
      <c r="I59" s="444">
        <v>67.900000000000006</v>
      </c>
      <c r="J59" s="445" t="s">
        <v>80</v>
      </c>
      <c r="K59" s="447">
        <v>68.81</v>
      </c>
      <c r="L59" s="448">
        <v>2.8</v>
      </c>
      <c r="M59" s="444">
        <v>45</v>
      </c>
      <c r="N59" s="444">
        <v>8</v>
      </c>
      <c r="O59" s="447">
        <v>24.575000000000003</v>
      </c>
      <c r="P59" s="449">
        <v>2.7861111111111114</v>
      </c>
      <c r="Q59" s="447">
        <v>8.6012500000000003</v>
      </c>
      <c r="R59" s="447">
        <v>1.5291111111111111</v>
      </c>
      <c r="S59" s="450">
        <v>5.625</v>
      </c>
      <c r="T59" s="450">
        <v>2.8571428571428572</v>
      </c>
      <c r="U59" s="240">
        <v>2</v>
      </c>
      <c r="V59" s="451">
        <v>1.4583333333333332E-2</v>
      </c>
      <c r="W59" s="450" t="s">
        <v>176</v>
      </c>
      <c r="X59" s="447">
        <v>24.575000000000003</v>
      </c>
      <c r="Y59" s="447">
        <v>0</v>
      </c>
      <c r="Z59" s="452">
        <v>26.617666666666658</v>
      </c>
      <c r="AA59" s="58">
        <f t="shared" ca="1" si="0"/>
        <v>88.897500000000008</v>
      </c>
      <c r="AB59" s="453">
        <f ca="1">Table29[[#This Row],[Earnings]]-Table29[[#This Row],[4-Week Average]]</f>
        <v>-20.087500000000006</v>
      </c>
      <c r="AK59" s="195"/>
      <c r="AL59" s="11"/>
      <c r="AM59" s="11"/>
      <c r="AO59" s="11"/>
      <c r="AQ59">
        <v>41</v>
      </c>
      <c r="AR59" s="11">
        <v>58.368333333333339</v>
      </c>
    </row>
    <row r="60" spans="1:44" x14ac:dyDescent="0.35">
      <c r="A60" s="436">
        <v>44373</v>
      </c>
      <c r="B60" s="435">
        <v>2021</v>
      </c>
      <c r="C60" s="435">
        <v>26</v>
      </c>
      <c r="D60" s="435">
        <v>13</v>
      </c>
      <c r="E60" s="435" t="s">
        <v>287</v>
      </c>
      <c r="F60" s="436" t="s">
        <v>51</v>
      </c>
      <c r="G60" s="437">
        <v>0.66666666666666563</v>
      </c>
      <c r="H60" s="436" t="s">
        <v>230</v>
      </c>
      <c r="I60" s="435">
        <v>93.1</v>
      </c>
      <c r="J60" s="436" t="s">
        <v>85</v>
      </c>
      <c r="K60" s="438">
        <v>134.35999999999999</v>
      </c>
      <c r="L60" s="439">
        <v>6.4</v>
      </c>
      <c r="M60" s="435">
        <v>112.99999999999999</v>
      </c>
      <c r="N60" s="435">
        <v>18</v>
      </c>
      <c r="O60" s="438">
        <v>20.993749999999995</v>
      </c>
      <c r="P60" s="440">
        <v>3.464226190476186</v>
      </c>
      <c r="Q60" s="438">
        <v>7.4644444444444433</v>
      </c>
      <c r="R60" s="438">
        <v>1.1890265486725664</v>
      </c>
      <c r="S60" s="441">
        <v>6.2777777777777768</v>
      </c>
      <c r="T60" s="441">
        <v>2.8125</v>
      </c>
      <c r="U60" s="239">
        <v>2</v>
      </c>
      <c r="V60" s="442">
        <v>1.4814814814814815E-2</v>
      </c>
      <c r="W60" s="441" t="s">
        <v>176</v>
      </c>
      <c r="X60" s="438">
        <v>20.115540994623654</v>
      </c>
      <c r="Y60" s="438">
        <v>0.87820900537634117</v>
      </c>
      <c r="Z60" s="443">
        <v>25.254444444444445</v>
      </c>
      <c r="AA60" s="58">
        <f t="shared" ca="1" si="0"/>
        <v>86.742500000000007</v>
      </c>
      <c r="AB60" s="453">
        <f ca="1">Table29[[#This Row],[Earnings]]-Table29[[#This Row],[4-Week Average]]</f>
        <v>47.617499999999978</v>
      </c>
      <c r="AK60" s="195"/>
      <c r="AL60" s="11"/>
      <c r="AM60" s="11"/>
      <c r="AO60" s="11"/>
      <c r="AQ60">
        <v>42</v>
      </c>
      <c r="AR60" s="11">
        <v>64.936761904761894</v>
      </c>
    </row>
    <row r="61" spans="1:44" x14ac:dyDescent="0.35">
      <c r="A61" s="445">
        <v>44376</v>
      </c>
      <c r="B61" s="444">
        <v>2021</v>
      </c>
      <c r="C61" s="444">
        <v>27</v>
      </c>
      <c r="D61" s="444">
        <v>1</v>
      </c>
      <c r="E61" s="444" t="s">
        <v>305</v>
      </c>
      <c r="F61" s="445" t="s">
        <v>47</v>
      </c>
      <c r="G61" s="446">
        <v>0.72916666666666552</v>
      </c>
      <c r="H61" s="445" t="s">
        <v>236</v>
      </c>
      <c r="I61" s="444">
        <v>95.3</v>
      </c>
      <c r="J61" s="445" t="s">
        <v>80</v>
      </c>
      <c r="K61" s="447">
        <v>98.18</v>
      </c>
      <c r="L61" s="448">
        <v>3.8</v>
      </c>
      <c r="M61" s="444">
        <v>72</v>
      </c>
      <c r="N61" s="444">
        <v>9</v>
      </c>
      <c r="O61" s="447">
        <v>25.836842105263162</v>
      </c>
      <c r="P61" s="449" t="s">
        <v>393</v>
      </c>
      <c r="Q61" s="447">
        <v>10.908888888888889</v>
      </c>
      <c r="R61" s="447">
        <v>1.3636111111111111</v>
      </c>
      <c r="S61" s="450">
        <v>8</v>
      </c>
      <c r="T61" s="450">
        <v>2.3684210526315792</v>
      </c>
      <c r="U61" s="240">
        <v>2</v>
      </c>
      <c r="V61" s="451">
        <v>1.7592592592592594E-2</v>
      </c>
      <c r="W61" s="450" t="s">
        <v>176</v>
      </c>
      <c r="X61" s="447">
        <v>20.191072811871479</v>
      </c>
      <c r="Y61" s="447">
        <v>5.6457692933916839</v>
      </c>
      <c r="Z61" s="452">
        <v>26.345333333333333</v>
      </c>
      <c r="AA61" s="58">
        <f t="shared" ca="1" si="0"/>
        <v>83.564999999999998</v>
      </c>
      <c r="AB61" s="453">
        <f ca="1">Table29[[#This Row],[Earnings]]-Table29[[#This Row],[4-Week Average]]</f>
        <v>14.615000000000009</v>
      </c>
      <c r="AK61" s="195"/>
      <c r="AL61" s="11"/>
      <c r="AM61" s="11"/>
      <c r="AO61" s="11"/>
      <c r="AQ61">
        <v>43</v>
      </c>
      <c r="AR61" s="11">
        <v>63.291650793650788</v>
      </c>
    </row>
    <row r="62" spans="1:44" x14ac:dyDescent="0.35">
      <c r="A62" s="436">
        <v>44379</v>
      </c>
      <c r="B62" s="435">
        <v>2021</v>
      </c>
      <c r="C62" s="435">
        <v>27</v>
      </c>
      <c r="D62" s="435">
        <v>1</v>
      </c>
      <c r="E62" s="435" t="s">
        <v>305</v>
      </c>
      <c r="F62" s="436" t="s">
        <v>50</v>
      </c>
      <c r="G62" s="437">
        <v>0.79166666666666541</v>
      </c>
      <c r="H62" s="436" t="s">
        <v>236</v>
      </c>
      <c r="I62" s="435">
        <v>58.1</v>
      </c>
      <c r="J62" s="436" t="s">
        <v>85</v>
      </c>
      <c r="K62" s="438">
        <v>50.5</v>
      </c>
      <c r="L62" s="439">
        <v>4</v>
      </c>
      <c r="M62" s="435">
        <v>95.6</v>
      </c>
      <c r="N62" s="435">
        <v>7</v>
      </c>
      <c r="O62" s="438">
        <v>12.625</v>
      </c>
      <c r="P62" s="440" t="s">
        <v>393</v>
      </c>
      <c r="Q62" s="438">
        <v>7.2142857142857144</v>
      </c>
      <c r="R62" s="438">
        <v>0.52824267782426781</v>
      </c>
      <c r="S62" s="441">
        <v>13.657142857142857</v>
      </c>
      <c r="T62" s="441">
        <v>1.75</v>
      </c>
      <c r="U62" s="239">
        <v>2</v>
      </c>
      <c r="V62" s="442">
        <v>2.3809523809523808E-2</v>
      </c>
      <c r="W62" s="441" t="s">
        <v>176</v>
      </c>
      <c r="X62" s="438">
        <v>18.630277777777778</v>
      </c>
      <c r="Y62" s="438">
        <v>-6.0052777777777777</v>
      </c>
      <c r="Z62" s="443">
        <v>26.509333333333331</v>
      </c>
      <c r="AA62" s="58">
        <f t="shared" ca="1" si="0"/>
        <v>87.962500000000006</v>
      </c>
      <c r="AB62" s="453">
        <f ca="1">Table29[[#This Row],[Earnings]]-Table29[[#This Row],[4-Week Average]]</f>
        <v>-37.462500000000006</v>
      </c>
      <c r="AK62" s="195"/>
      <c r="AL62" s="11"/>
      <c r="AM62" s="11"/>
      <c r="AO62" s="11"/>
      <c r="AQ62">
        <v>44</v>
      </c>
      <c r="AR62" s="11">
        <v>63.61130555555556</v>
      </c>
    </row>
    <row r="63" spans="1:44" x14ac:dyDescent="0.35">
      <c r="A63" s="445">
        <v>44380</v>
      </c>
      <c r="B63" s="444">
        <v>2021</v>
      </c>
      <c r="C63" s="444">
        <v>27</v>
      </c>
      <c r="D63" s="444">
        <v>1</v>
      </c>
      <c r="E63" s="444" t="s">
        <v>305</v>
      </c>
      <c r="F63" s="445" t="s">
        <v>51</v>
      </c>
      <c r="G63" s="446">
        <v>0.54166666666666585</v>
      </c>
      <c r="H63" s="445" t="s">
        <v>236</v>
      </c>
      <c r="I63" s="444">
        <v>58.2</v>
      </c>
      <c r="J63" s="445" t="s">
        <v>80</v>
      </c>
      <c r="K63" s="447">
        <v>52</v>
      </c>
      <c r="L63" s="448">
        <v>4.8000000000000007</v>
      </c>
      <c r="M63" s="444">
        <v>52.5</v>
      </c>
      <c r="N63" s="444">
        <v>7</v>
      </c>
      <c r="O63" s="447">
        <v>10.833333333333332</v>
      </c>
      <c r="P63" s="449" t="s">
        <v>393</v>
      </c>
      <c r="Q63" s="447">
        <v>7.4285714285714288</v>
      </c>
      <c r="R63" s="447">
        <v>0.99047619047619051</v>
      </c>
      <c r="S63" s="450">
        <v>7.5</v>
      </c>
      <c r="T63" s="450">
        <v>1.458333333333333</v>
      </c>
      <c r="U63" s="240">
        <v>2</v>
      </c>
      <c r="V63" s="451">
        <v>2.8571428571428577E-2</v>
      </c>
      <c r="W63" s="450" t="s">
        <v>176</v>
      </c>
      <c r="X63" s="447">
        <v>15.768926865123115</v>
      </c>
      <c r="Y63" s="447">
        <v>-4.9355935317897828</v>
      </c>
      <c r="Z63" s="452">
        <v>27.087111111111106</v>
      </c>
      <c r="AA63" s="58">
        <f t="shared" ca="1" si="0"/>
        <v>83.759999999999991</v>
      </c>
      <c r="AB63" s="453">
        <f ca="1">Table29[[#This Row],[Earnings]]-Table29[[#This Row],[4-Week Average]]</f>
        <v>-31.759999999999991</v>
      </c>
      <c r="AK63" s="195"/>
      <c r="AL63" s="11"/>
      <c r="AM63" s="11"/>
      <c r="AO63" s="11"/>
      <c r="AQ63">
        <v>45</v>
      </c>
      <c r="AR63" s="11">
        <v>51.115767676767675</v>
      </c>
    </row>
    <row r="64" spans="1:44" x14ac:dyDescent="0.35">
      <c r="A64" s="436">
        <v>44401</v>
      </c>
      <c r="B64" s="435">
        <v>2021</v>
      </c>
      <c r="C64" s="435">
        <v>30</v>
      </c>
      <c r="D64" s="435">
        <v>4</v>
      </c>
      <c r="E64" s="435" t="s">
        <v>305</v>
      </c>
      <c r="F64" s="436" t="s">
        <v>51</v>
      </c>
      <c r="G64" s="437">
        <v>0.70833333333333226</v>
      </c>
      <c r="H64" s="436" t="s">
        <v>236</v>
      </c>
      <c r="I64" s="435">
        <v>69.599999999999994</v>
      </c>
      <c r="J64" s="436" t="s">
        <v>80</v>
      </c>
      <c r="K64" s="438">
        <v>24</v>
      </c>
      <c r="L64" s="439">
        <v>2.1</v>
      </c>
      <c r="M64" s="435">
        <v>58</v>
      </c>
      <c r="N64" s="435">
        <v>3</v>
      </c>
      <c r="O64" s="438">
        <v>11.428571428571429</v>
      </c>
      <c r="P64" s="440">
        <v>0.59523809523809668</v>
      </c>
      <c r="Q64" s="438">
        <v>8</v>
      </c>
      <c r="R64" s="438">
        <v>0.41379310344827586</v>
      </c>
      <c r="S64" s="441">
        <v>19.333333333333332</v>
      </c>
      <c r="T64" s="441">
        <v>1.4285714285714286</v>
      </c>
      <c r="U64" s="239">
        <v>2</v>
      </c>
      <c r="V64" s="442">
        <v>2.9166666666666671E-2</v>
      </c>
      <c r="W64" s="441" t="s">
        <v>176</v>
      </c>
      <c r="X64" s="438">
        <v>18.936657968408081</v>
      </c>
      <c r="Y64" s="438">
        <v>-7.5080865398366523</v>
      </c>
      <c r="Z64" s="443">
        <v>24.083444444444446</v>
      </c>
      <c r="AA64" s="58">
        <f t="shared" ca="1" si="0"/>
        <v>56.17</v>
      </c>
      <c r="AB64" s="453">
        <f ca="1">Table29[[#This Row],[Earnings]]-Table29[[#This Row],[4-Week Average]]</f>
        <v>-32.17</v>
      </c>
      <c r="AK64" s="195"/>
      <c r="AL64" s="11"/>
      <c r="AM64" s="11"/>
      <c r="AO64" s="11"/>
      <c r="AQ64">
        <v>46</v>
      </c>
      <c r="AR64" s="11">
        <v>53.257687499999989</v>
      </c>
    </row>
    <row r="65" spans="1:45" x14ac:dyDescent="0.35">
      <c r="A65" s="445">
        <v>44408</v>
      </c>
      <c r="B65" s="444">
        <v>2021</v>
      </c>
      <c r="C65" s="444">
        <v>31</v>
      </c>
      <c r="D65" s="444">
        <v>5</v>
      </c>
      <c r="E65" s="444" t="s">
        <v>305</v>
      </c>
      <c r="F65" s="445" t="s">
        <v>51</v>
      </c>
      <c r="G65" s="446">
        <v>0.58333333333333237</v>
      </c>
      <c r="H65" s="445" t="s">
        <v>249</v>
      </c>
      <c r="I65" s="444">
        <v>74.3</v>
      </c>
      <c r="J65" s="445" t="s">
        <v>80</v>
      </c>
      <c r="K65" s="447">
        <v>28.2</v>
      </c>
      <c r="L65" s="448">
        <v>1.2</v>
      </c>
      <c r="M65" s="444">
        <v>16.5</v>
      </c>
      <c r="N65" s="444">
        <v>3</v>
      </c>
      <c r="O65" s="447">
        <v>23.5</v>
      </c>
      <c r="P65" s="449">
        <v>12.36904761904762</v>
      </c>
      <c r="Q65" s="447">
        <v>9.4</v>
      </c>
      <c r="R65" s="447">
        <v>1.709090909090909</v>
      </c>
      <c r="S65" s="450">
        <v>5.5</v>
      </c>
      <c r="T65" s="450">
        <v>2.5</v>
      </c>
      <c r="U65" s="240">
        <v>2</v>
      </c>
      <c r="V65" s="451">
        <v>1.6666666666666666E-2</v>
      </c>
      <c r="W65" s="450" t="s">
        <v>176</v>
      </c>
      <c r="X65" s="447">
        <v>22.885934984497997</v>
      </c>
      <c r="Y65" s="447">
        <v>0.61406501550200332</v>
      </c>
      <c r="Z65" s="452">
        <v>23.941222222222223</v>
      </c>
      <c r="AA65" s="58">
        <f t="shared" ca="1" si="0"/>
        <v>38.674999999999997</v>
      </c>
      <c r="AB65" s="453">
        <f ca="1">Table29[[#This Row],[Earnings]]-Table29[[#This Row],[4-Week Average]]</f>
        <v>-10.474999999999998</v>
      </c>
      <c r="AK65" s="195"/>
      <c r="AL65" s="11"/>
      <c r="AM65" s="11"/>
      <c r="AO65" s="11"/>
      <c r="AQ65">
        <v>47</v>
      </c>
      <c r="AR65" s="11">
        <v>46.240738095238086</v>
      </c>
    </row>
    <row r="66" spans="1:45" x14ac:dyDescent="0.35">
      <c r="A66" s="436">
        <v>44409</v>
      </c>
      <c r="B66" s="435">
        <v>2021</v>
      </c>
      <c r="C66" s="435">
        <v>31</v>
      </c>
      <c r="D66" s="435">
        <v>5</v>
      </c>
      <c r="E66" s="435" t="s">
        <v>305</v>
      </c>
      <c r="F66" s="436" t="s">
        <v>45</v>
      </c>
      <c r="G66" s="437">
        <v>0.70833333333333226</v>
      </c>
      <c r="H66" s="436" t="s">
        <v>236</v>
      </c>
      <c r="I66" s="435">
        <v>74.2</v>
      </c>
      <c r="J66" s="436" t="s">
        <v>80</v>
      </c>
      <c r="K66" s="438">
        <v>27.8</v>
      </c>
      <c r="L66" s="439">
        <v>1.9</v>
      </c>
      <c r="M66" s="435">
        <v>47.4</v>
      </c>
      <c r="N66" s="435">
        <v>2</v>
      </c>
      <c r="O66" s="438">
        <v>14.631578947368421</v>
      </c>
      <c r="P66" s="440" t="s">
        <v>393</v>
      </c>
      <c r="Q66" s="438">
        <v>13.9</v>
      </c>
      <c r="R66" s="438">
        <v>0.5864978902953587</v>
      </c>
      <c r="S66" s="441">
        <v>23.7</v>
      </c>
      <c r="T66" s="441">
        <v>1.0526315789473684</v>
      </c>
      <c r="U66" s="239">
        <v>1</v>
      </c>
      <c r="V66" s="442">
        <v>3.9583333333333331E-2</v>
      </c>
      <c r="W66" s="441" t="s">
        <v>176</v>
      </c>
      <c r="X66" s="438">
        <v>16.999446431613013</v>
      </c>
      <c r="Y66" s="438">
        <v>-2.3678674842445915</v>
      </c>
      <c r="Z66" s="443">
        <v>23.426444444444446</v>
      </c>
      <c r="AA66" s="58">
        <f t="shared" ca="1" si="0"/>
        <v>33</v>
      </c>
      <c r="AB66" s="453">
        <f ca="1">Table29[[#This Row],[Earnings]]-Table29[[#This Row],[4-Week Average]]</f>
        <v>-5.1999999999999993</v>
      </c>
      <c r="AK66" s="195"/>
      <c r="AL66" s="11"/>
      <c r="AM66" s="11"/>
      <c r="AO66" s="11"/>
      <c r="AQ66">
        <v>48</v>
      </c>
      <c r="AR66" s="11">
        <v>54.589087301587291</v>
      </c>
    </row>
    <row r="67" spans="1:45" x14ac:dyDescent="0.35">
      <c r="A67" s="445">
        <v>44438</v>
      </c>
      <c r="B67" s="444">
        <v>2021</v>
      </c>
      <c r="C67" s="444">
        <v>36</v>
      </c>
      <c r="D67" s="444">
        <v>10</v>
      </c>
      <c r="E67" s="444" t="s">
        <v>305</v>
      </c>
      <c r="F67" s="445" t="s">
        <v>46</v>
      </c>
      <c r="G67" s="446">
        <v>0.70833333333333226</v>
      </c>
      <c r="H67" s="445" t="s">
        <v>236</v>
      </c>
      <c r="I67" s="444">
        <v>82.2</v>
      </c>
      <c r="J67" s="445" t="s">
        <v>80</v>
      </c>
      <c r="K67" s="447">
        <v>16</v>
      </c>
      <c r="L67" s="448">
        <v>1.1000000000000001</v>
      </c>
      <c r="M67" s="444">
        <v>13.5</v>
      </c>
      <c r="N67" s="444">
        <v>2</v>
      </c>
      <c r="O67" s="447">
        <v>14.545454545454545</v>
      </c>
      <c r="P67" s="449" t="s">
        <v>393</v>
      </c>
      <c r="Q67" s="447">
        <v>8</v>
      </c>
      <c r="R67" s="447">
        <v>1.1851851851851851</v>
      </c>
      <c r="S67" s="450">
        <v>6.75</v>
      </c>
      <c r="T67" s="450">
        <v>1.8181818181818181</v>
      </c>
      <c r="U67" s="240">
        <v>1</v>
      </c>
      <c r="V67" s="451">
        <v>2.2916666666666669E-2</v>
      </c>
      <c r="W67" s="450" t="s">
        <v>176</v>
      </c>
      <c r="X67" s="447">
        <v>18.499060876897357</v>
      </c>
      <c r="Y67" s="447">
        <v>-3.9536063314428116</v>
      </c>
      <c r="Z67" s="452">
        <v>11.187333333333335</v>
      </c>
      <c r="AA67" s="58">
        <f t="shared" ca="1" si="0"/>
        <v>24</v>
      </c>
      <c r="AB67" s="453">
        <f ca="1">Table29[[#This Row],[Earnings]]-Table29[[#This Row],[4-Week Average]]</f>
        <v>-8</v>
      </c>
      <c r="AK67" s="195"/>
      <c r="AL67" s="11"/>
      <c r="AM67" s="11"/>
      <c r="AO67" s="11"/>
      <c r="AQ67">
        <v>49</v>
      </c>
      <c r="AR67" s="11">
        <v>54.17252777777778</v>
      </c>
    </row>
    <row r="68" spans="1:45" x14ac:dyDescent="0.35">
      <c r="A68" s="436">
        <v>44439</v>
      </c>
      <c r="B68" s="435">
        <v>2021</v>
      </c>
      <c r="C68" s="435">
        <v>36</v>
      </c>
      <c r="D68" s="435">
        <v>10</v>
      </c>
      <c r="E68" s="435" t="s">
        <v>305</v>
      </c>
      <c r="F68" s="436" t="s">
        <v>47</v>
      </c>
      <c r="G68" s="437">
        <v>0.81249999999999878</v>
      </c>
      <c r="H68" s="436" t="s">
        <v>236</v>
      </c>
      <c r="I68" s="435">
        <v>73.400000000000006</v>
      </c>
      <c r="J68" s="436" t="s">
        <v>80</v>
      </c>
      <c r="K68" s="438">
        <v>53.66</v>
      </c>
      <c r="L68" s="439">
        <v>2.3000000000000003</v>
      </c>
      <c r="M68" s="435">
        <v>37.1</v>
      </c>
      <c r="N68" s="435">
        <v>6</v>
      </c>
      <c r="O68" s="438">
        <v>23.330434782608691</v>
      </c>
      <c r="P68" s="440">
        <v>-2.5064073226544714</v>
      </c>
      <c r="Q68" s="438">
        <v>8.9433333333333334</v>
      </c>
      <c r="R68" s="438">
        <v>1.4463611859838272</v>
      </c>
      <c r="S68" s="441">
        <v>6.1833333333333336</v>
      </c>
      <c r="T68" s="441">
        <v>2.6086956521739126</v>
      </c>
      <c r="U68" s="239">
        <v>2</v>
      </c>
      <c r="V68" s="442">
        <v>1.5972222222222224E-2</v>
      </c>
      <c r="W68" s="441" t="s">
        <v>176</v>
      </c>
      <c r="X68" s="438">
        <v>21.303026797475862</v>
      </c>
      <c r="Y68" s="438">
        <v>2.0274079851328288</v>
      </c>
      <c r="Z68" s="443">
        <v>11.783555555555559</v>
      </c>
      <c r="AA68" s="58">
        <f t="shared" ref="AA68:AA131" ca="1" si="10">AVERAGE(OFFSET(K68,-3,0,4,1))</f>
        <v>31.414999999999999</v>
      </c>
      <c r="AB68" s="453">
        <f ca="1">Table29[[#This Row],[Earnings]]-Table29[[#This Row],[4-Week Average]]</f>
        <v>22.244999999999997</v>
      </c>
      <c r="AK68" s="195"/>
      <c r="AL68" s="11"/>
      <c r="AM68" s="11"/>
      <c r="AO68" s="11"/>
      <c r="AQ68">
        <v>50</v>
      </c>
      <c r="AR68" s="11">
        <v>47.663642857142854</v>
      </c>
    </row>
    <row r="69" spans="1:45" x14ac:dyDescent="0.35">
      <c r="A69" s="445">
        <v>44449</v>
      </c>
      <c r="B69" s="444">
        <v>2021</v>
      </c>
      <c r="C69" s="444">
        <v>37</v>
      </c>
      <c r="D69" s="444">
        <v>11</v>
      </c>
      <c r="E69" s="444" t="s">
        <v>305</v>
      </c>
      <c r="F69" s="445" t="s">
        <v>50</v>
      </c>
      <c r="G69" s="446">
        <v>0.77083333333333215</v>
      </c>
      <c r="H69" s="445" t="s">
        <v>230</v>
      </c>
      <c r="I69" s="444">
        <v>73.099999999999994</v>
      </c>
      <c r="J69" s="445" t="s">
        <v>80</v>
      </c>
      <c r="K69" s="447">
        <v>83.36</v>
      </c>
      <c r="L69" s="448">
        <v>3.1</v>
      </c>
      <c r="M69" s="444">
        <v>50.099999999999994</v>
      </c>
      <c r="N69" s="444">
        <v>10</v>
      </c>
      <c r="O69" s="447">
        <v>26.890322580645162</v>
      </c>
      <c r="P69" s="449" t="s">
        <v>393</v>
      </c>
      <c r="Q69" s="447">
        <v>8.3360000000000003</v>
      </c>
      <c r="R69" s="447">
        <v>1.6638722554890222</v>
      </c>
      <c r="S69" s="450">
        <v>5.01</v>
      </c>
      <c r="T69" s="450">
        <v>3.225806451612903</v>
      </c>
      <c r="U69" s="240">
        <v>1</v>
      </c>
      <c r="V69" s="451">
        <v>1.2916666666666667E-2</v>
      </c>
      <c r="W69" s="450" t="s">
        <v>176</v>
      </c>
      <c r="X69" s="447">
        <v>29.0777208364416</v>
      </c>
      <c r="Y69" s="447">
        <v>-2.1873982557964382</v>
      </c>
      <c r="Z69" s="452">
        <v>10.66</v>
      </c>
      <c r="AA69" s="58">
        <f t="shared" ca="1" si="10"/>
        <v>45.204999999999998</v>
      </c>
      <c r="AB69" s="453">
        <f ca="1">Table29[[#This Row],[Earnings]]-Table29[[#This Row],[4-Week Average]]</f>
        <v>38.155000000000001</v>
      </c>
      <c r="AK69" s="195"/>
      <c r="AL69" s="11"/>
      <c r="AM69" s="11"/>
      <c r="AO69" s="11"/>
      <c r="AQ69">
        <v>51</v>
      </c>
      <c r="AR69" s="11">
        <v>49.816622222222222</v>
      </c>
    </row>
    <row r="70" spans="1:45" x14ac:dyDescent="0.35">
      <c r="A70" s="436">
        <v>44451</v>
      </c>
      <c r="B70" s="435">
        <v>2021</v>
      </c>
      <c r="C70" s="435">
        <v>37</v>
      </c>
      <c r="D70" s="435">
        <v>11</v>
      </c>
      <c r="E70" s="435" t="s">
        <v>305</v>
      </c>
      <c r="F70" s="436" t="s">
        <v>45</v>
      </c>
      <c r="G70" s="437">
        <v>0.64583333333333237</v>
      </c>
      <c r="H70" s="436" t="s">
        <v>230</v>
      </c>
      <c r="I70" s="435">
        <v>74.3</v>
      </c>
      <c r="J70" s="436" t="s">
        <v>80</v>
      </c>
      <c r="K70" s="438">
        <v>20.149999999999999</v>
      </c>
      <c r="L70" s="439">
        <v>0.5</v>
      </c>
      <c r="M70" s="435">
        <v>13.3</v>
      </c>
      <c r="N70" s="435">
        <v>2</v>
      </c>
      <c r="O70" s="438">
        <v>40.299999999999997</v>
      </c>
      <c r="P70" s="440">
        <v>25.668421052631576</v>
      </c>
      <c r="Q70" s="438">
        <v>10.074999999999999</v>
      </c>
      <c r="R70" s="438">
        <v>1.5150375939849623</v>
      </c>
      <c r="S70" s="441">
        <v>6.65</v>
      </c>
      <c r="T70" s="441">
        <v>4</v>
      </c>
      <c r="U70" s="239">
        <v>1</v>
      </c>
      <c r="V70" s="442">
        <v>1.0416666666666666E-2</v>
      </c>
      <c r="W70" s="441" t="s">
        <v>176</v>
      </c>
      <c r="X70" s="438">
        <v>27.402916490585525</v>
      </c>
      <c r="Y70" s="438">
        <v>12.897083509414472</v>
      </c>
      <c r="Z70" s="443">
        <v>10.486666666666668</v>
      </c>
      <c r="AA70" s="58">
        <f t="shared" ca="1" si="10"/>
        <v>43.292499999999997</v>
      </c>
      <c r="AB70" s="453">
        <f ca="1">Table29[[#This Row],[Earnings]]-Table29[[#This Row],[4-Week Average]]</f>
        <v>-23.142499999999998</v>
      </c>
      <c r="AK70" s="195"/>
      <c r="AL70" s="11"/>
      <c r="AO70" s="11"/>
      <c r="AQ70">
        <v>52</v>
      </c>
      <c r="AR70" s="11">
        <v>51.991425925925945</v>
      </c>
    </row>
    <row r="71" spans="1:45" x14ac:dyDescent="0.35">
      <c r="A71" s="445">
        <v>44455</v>
      </c>
      <c r="B71" s="444">
        <v>2021</v>
      </c>
      <c r="C71" s="444">
        <v>38</v>
      </c>
      <c r="D71" s="444">
        <v>12</v>
      </c>
      <c r="E71" s="444" t="s">
        <v>305</v>
      </c>
      <c r="F71" s="445" t="s">
        <v>49</v>
      </c>
      <c r="G71" s="446">
        <v>0.74999999999999889</v>
      </c>
      <c r="H71" s="445" t="s">
        <v>249</v>
      </c>
      <c r="I71" s="444">
        <v>72</v>
      </c>
      <c r="J71" s="445" t="s">
        <v>80</v>
      </c>
      <c r="K71" s="447">
        <v>39.5</v>
      </c>
      <c r="L71" s="448">
        <v>3.1</v>
      </c>
      <c r="M71" s="444">
        <v>76.8</v>
      </c>
      <c r="N71" s="444">
        <v>4</v>
      </c>
      <c r="O71" s="447">
        <v>12.741935483870968</v>
      </c>
      <c r="P71" s="449" t="s">
        <v>393</v>
      </c>
      <c r="Q71" s="447">
        <v>9.875</v>
      </c>
      <c r="R71" s="447">
        <v>0.51432291666666674</v>
      </c>
      <c r="S71" s="450">
        <v>19.2</v>
      </c>
      <c r="T71" s="450">
        <v>1.2903225806451613</v>
      </c>
      <c r="U71" s="240">
        <v>1</v>
      </c>
      <c r="V71" s="451">
        <v>3.229166666666667E-2</v>
      </c>
      <c r="W71" s="450" t="s">
        <v>176</v>
      </c>
      <c r="X71" s="447">
        <v>18.367485192811206</v>
      </c>
      <c r="Y71" s="447">
        <v>-5.6255497089402375</v>
      </c>
      <c r="Z71" s="452">
        <v>10.925555555555556</v>
      </c>
      <c r="AA71" s="58">
        <f t="shared" ca="1" si="10"/>
        <v>49.167499999999997</v>
      </c>
      <c r="AB71" s="453">
        <f ca="1">Table29[[#This Row],[Earnings]]-Table29[[#This Row],[4-Week Average]]</f>
        <v>-9.6674999999999969</v>
      </c>
      <c r="AK71" s="195"/>
      <c r="AL71" s="11"/>
      <c r="AO71" s="11"/>
      <c r="AQ71">
        <v>1</v>
      </c>
      <c r="AR71" s="11">
        <v>41.515134502923978</v>
      </c>
      <c r="AS71" s="11">
        <f>SUM(AR59:AR71)</f>
        <v>700.5706854468873</v>
      </c>
    </row>
    <row r="72" spans="1:45" x14ac:dyDescent="0.35">
      <c r="A72" s="436">
        <v>44464</v>
      </c>
      <c r="B72" s="435">
        <v>2021</v>
      </c>
      <c r="C72" s="435">
        <v>39</v>
      </c>
      <c r="D72" s="435">
        <v>13</v>
      </c>
      <c r="E72" s="435" t="s">
        <v>305</v>
      </c>
      <c r="F72" s="436" t="s">
        <v>51</v>
      </c>
      <c r="G72" s="437">
        <v>0.58333333333333237</v>
      </c>
      <c r="H72" s="436" t="s">
        <v>236</v>
      </c>
      <c r="I72" s="435">
        <v>69.7</v>
      </c>
      <c r="J72" s="436" t="s">
        <v>80</v>
      </c>
      <c r="K72" s="438">
        <v>179.39999999999998</v>
      </c>
      <c r="L72" s="439">
        <v>7.3000000000000016</v>
      </c>
      <c r="M72" s="435">
        <v>152.30000000000001</v>
      </c>
      <c r="N72" s="435">
        <v>16</v>
      </c>
      <c r="O72" s="438">
        <v>24.575342465753415</v>
      </c>
      <c r="P72" s="440">
        <v>9.3213742117851623</v>
      </c>
      <c r="Q72" s="438">
        <v>11.212499999999999</v>
      </c>
      <c r="R72" s="438">
        <v>1.1779382797110962</v>
      </c>
      <c r="S72" s="441">
        <v>9.5187500000000007</v>
      </c>
      <c r="T72" s="441">
        <v>2.1917808219178077</v>
      </c>
      <c r="U72" s="239">
        <v>2</v>
      </c>
      <c r="V72" s="442">
        <v>1.9010416666666672E-2</v>
      </c>
      <c r="W72" s="441" t="s">
        <v>176</v>
      </c>
      <c r="X72" s="438">
        <v>23.633743419713227</v>
      </c>
      <c r="Y72" s="438">
        <v>0.94159904604018863</v>
      </c>
      <c r="Z72" s="443">
        <v>7.4749999999999996</v>
      </c>
      <c r="AA72" s="58">
        <f t="shared" ca="1" si="10"/>
        <v>80.602499999999992</v>
      </c>
      <c r="AB72" s="453">
        <f ca="1">Table29[[#This Row],[Earnings]]-Table29[[#This Row],[4-Week Average]]</f>
        <v>98.797499999999985</v>
      </c>
      <c r="AK72" s="195"/>
      <c r="AL72" s="11"/>
      <c r="AO72" s="11"/>
      <c r="AQ72">
        <v>2</v>
      </c>
      <c r="AR72" s="11">
        <v>42.634533333333337</v>
      </c>
      <c r="AS72" s="11">
        <f t="shared" ref="AS72:AS122" si="11">SUM(AR60:AR72)</f>
        <v>684.83688544688732</v>
      </c>
    </row>
    <row r="73" spans="1:45" x14ac:dyDescent="0.35">
      <c r="A73" s="445">
        <v>44471</v>
      </c>
      <c r="B73" s="444">
        <v>2021</v>
      </c>
      <c r="C73" s="444">
        <v>40</v>
      </c>
      <c r="D73" s="444">
        <v>1</v>
      </c>
      <c r="E73" s="444" t="s">
        <v>327</v>
      </c>
      <c r="F73" s="445" t="s">
        <v>51</v>
      </c>
      <c r="G73" s="446">
        <v>0.77083333333333215</v>
      </c>
      <c r="H73" s="445" t="s">
        <v>236</v>
      </c>
      <c r="I73" s="444">
        <v>55.4</v>
      </c>
      <c r="J73" s="445" t="s">
        <v>80</v>
      </c>
      <c r="K73" s="447">
        <v>35.75</v>
      </c>
      <c r="L73" s="448">
        <v>2.0999999999999996</v>
      </c>
      <c r="M73" s="444">
        <v>40</v>
      </c>
      <c r="N73" s="444">
        <v>5</v>
      </c>
      <c r="O73" s="447">
        <v>17.023809523809526</v>
      </c>
      <c r="P73" s="449" t="s">
        <v>393</v>
      </c>
      <c r="Q73" s="447">
        <v>7.15</v>
      </c>
      <c r="R73" s="447">
        <v>0.89375000000000004</v>
      </c>
      <c r="S73" s="450">
        <v>8</v>
      </c>
      <c r="T73" s="450">
        <v>2.3809523809523814</v>
      </c>
      <c r="U73" s="240">
        <v>1</v>
      </c>
      <c r="V73" s="451">
        <v>1.7499999999999998E-2</v>
      </c>
      <c r="W73" s="450" t="s">
        <v>176</v>
      </c>
      <c r="X73" s="447">
        <v>19.21857142857143</v>
      </c>
      <c r="Y73" s="447">
        <v>-2.1947619047619042</v>
      </c>
      <c r="Z73" s="452">
        <v>5.6424444444444442</v>
      </c>
      <c r="AA73" s="58">
        <f t="shared" ca="1" si="10"/>
        <v>68.699999999999989</v>
      </c>
      <c r="AB73" s="453">
        <f ca="1">Table29[[#This Row],[Earnings]]-Table29[[#This Row],[4-Week Average]]</f>
        <v>-32.949999999999989</v>
      </c>
      <c r="AK73" s="195"/>
      <c r="AL73" s="11"/>
      <c r="AO73" s="11"/>
      <c r="AQ73">
        <v>3</v>
      </c>
      <c r="AR73" s="11">
        <v>40.715548611111103</v>
      </c>
      <c r="AS73" s="11">
        <f t="shared" si="11"/>
        <v>660.61567215323669</v>
      </c>
    </row>
    <row r="74" spans="1:45" x14ac:dyDescent="0.35">
      <c r="A74" s="436">
        <v>44479</v>
      </c>
      <c r="B74" s="435">
        <v>2021</v>
      </c>
      <c r="C74" s="435">
        <v>41</v>
      </c>
      <c r="D74" s="435">
        <v>2</v>
      </c>
      <c r="E74" s="435" t="s">
        <v>327</v>
      </c>
      <c r="F74" s="436" t="s">
        <v>45</v>
      </c>
      <c r="G74" s="437">
        <v>0.70833333333333226</v>
      </c>
      <c r="H74" s="436" t="s">
        <v>249</v>
      </c>
      <c r="I74" s="435">
        <v>67.599999999999994</v>
      </c>
      <c r="J74" s="436" t="s">
        <v>80</v>
      </c>
      <c r="K74" s="438">
        <v>22.5</v>
      </c>
      <c r="L74" s="439">
        <v>1.2</v>
      </c>
      <c r="M74" s="435">
        <v>35</v>
      </c>
      <c r="N74" s="435">
        <v>2</v>
      </c>
      <c r="O74" s="438">
        <v>18.75</v>
      </c>
      <c r="P74" s="440" t="s">
        <v>393</v>
      </c>
      <c r="Q74" s="438">
        <v>11.25</v>
      </c>
      <c r="R74" s="438">
        <v>0.6428571428571429</v>
      </c>
      <c r="S74" s="441">
        <v>17.5</v>
      </c>
      <c r="T74" s="441">
        <v>1.6666666666666667</v>
      </c>
      <c r="U74" s="239">
        <v>1</v>
      </c>
      <c r="V74" s="442">
        <v>2.4999999999999998E-2</v>
      </c>
      <c r="W74" s="441" t="s">
        <v>176</v>
      </c>
      <c r="X74" s="438">
        <v>18.75</v>
      </c>
      <c r="Y74" s="438">
        <v>0</v>
      </c>
      <c r="Z74" s="443">
        <v>5.8924444444444442</v>
      </c>
      <c r="AA74" s="58">
        <f t="shared" ca="1" si="10"/>
        <v>69.287499999999994</v>
      </c>
      <c r="AB74" s="453">
        <f ca="1">Table29[[#This Row],[Earnings]]-Table29[[#This Row],[4-Week Average]]</f>
        <v>-46.787499999999994</v>
      </c>
      <c r="AK74" s="195"/>
      <c r="AL74" s="11"/>
      <c r="AO74" s="11"/>
      <c r="AQ74">
        <v>4</v>
      </c>
      <c r="AR74" s="11">
        <v>48.309972222222221</v>
      </c>
      <c r="AS74" s="11">
        <f t="shared" si="11"/>
        <v>645.63399358180811</v>
      </c>
    </row>
    <row r="75" spans="1:45" x14ac:dyDescent="0.35">
      <c r="A75" s="445">
        <v>44480</v>
      </c>
      <c r="B75" s="444">
        <v>2021</v>
      </c>
      <c r="C75" s="444">
        <v>42</v>
      </c>
      <c r="D75" s="444">
        <v>3</v>
      </c>
      <c r="E75" s="444" t="s">
        <v>327</v>
      </c>
      <c r="F75" s="445" t="s">
        <v>46</v>
      </c>
      <c r="G75" s="446">
        <v>0.74999999999999889</v>
      </c>
      <c r="H75" s="445" t="s">
        <v>249</v>
      </c>
      <c r="I75" s="444">
        <v>74.599999999999994</v>
      </c>
      <c r="J75" s="445" t="s">
        <v>80</v>
      </c>
      <c r="K75" s="447">
        <v>43.75</v>
      </c>
      <c r="L75" s="448">
        <v>2.2999999999999998</v>
      </c>
      <c r="M75" s="444">
        <v>43.199999999999996</v>
      </c>
      <c r="N75" s="444">
        <v>3</v>
      </c>
      <c r="O75" s="447">
        <v>19.021739130434785</v>
      </c>
      <c r="P75" s="449" t="s">
        <v>393</v>
      </c>
      <c r="Q75" s="447">
        <v>14.583333333333334</v>
      </c>
      <c r="R75" s="447">
        <v>1.0127314814814816</v>
      </c>
      <c r="S75" s="450">
        <v>14.399999999999999</v>
      </c>
      <c r="T75" s="450">
        <v>1.3043478260869565</v>
      </c>
      <c r="U75" s="240">
        <v>1</v>
      </c>
      <c r="V75" s="451">
        <v>3.1944444444444442E-2</v>
      </c>
      <c r="W75" s="450" t="s">
        <v>176</v>
      </c>
      <c r="X75" s="447">
        <v>25.366113653699468</v>
      </c>
      <c r="Y75" s="447">
        <v>-6.3443745232646833</v>
      </c>
      <c r="Z75" s="452">
        <v>6.3785555555555549</v>
      </c>
      <c r="AA75" s="58">
        <f t="shared" ca="1" si="10"/>
        <v>70.349999999999994</v>
      </c>
      <c r="AB75" s="453">
        <f ca="1">Table29[[#This Row],[Earnings]]-Table29[[#This Row],[4-Week Average]]</f>
        <v>-26.599999999999994</v>
      </c>
      <c r="AK75" s="195"/>
      <c r="AL75" s="11"/>
      <c r="AM75" s="11"/>
      <c r="AO75" s="11"/>
      <c r="AQ75">
        <v>5</v>
      </c>
      <c r="AR75" s="11">
        <v>40.811333333333337</v>
      </c>
      <c r="AS75" s="11">
        <f t="shared" si="11"/>
        <v>622.83402135958579</v>
      </c>
    </row>
    <row r="76" spans="1:45" x14ac:dyDescent="0.35">
      <c r="A76" s="436">
        <v>44493</v>
      </c>
      <c r="B76" s="435">
        <v>2021</v>
      </c>
      <c r="C76" s="435">
        <v>43</v>
      </c>
      <c r="D76" s="435">
        <v>4</v>
      </c>
      <c r="E76" s="435" t="s">
        <v>327</v>
      </c>
      <c r="F76" s="436" t="s">
        <v>45</v>
      </c>
      <c r="G76" s="437">
        <v>0.68749999999999889</v>
      </c>
      <c r="H76" s="436" t="s">
        <v>236</v>
      </c>
      <c r="I76" s="435">
        <v>42.9</v>
      </c>
      <c r="J76" s="436" t="s">
        <v>80</v>
      </c>
      <c r="K76" s="438">
        <v>137.51</v>
      </c>
      <c r="L76" s="439">
        <v>5.3999999999999995</v>
      </c>
      <c r="M76" s="435">
        <v>100</v>
      </c>
      <c r="N76" s="435">
        <v>14</v>
      </c>
      <c r="O76" s="438">
        <v>25.464814814814815</v>
      </c>
      <c r="P76" s="440">
        <v>6.7148148148148152</v>
      </c>
      <c r="Q76" s="438">
        <v>9.8221428571428557</v>
      </c>
      <c r="R76" s="438">
        <v>1.3751</v>
      </c>
      <c r="S76" s="441">
        <v>7.1428571428571432</v>
      </c>
      <c r="T76" s="441">
        <v>2.592592592592593</v>
      </c>
      <c r="U76" s="239">
        <v>2</v>
      </c>
      <c r="V76" s="442">
        <v>1.607142857142857E-2</v>
      </c>
      <c r="W76" s="441" t="s">
        <v>176</v>
      </c>
      <c r="X76" s="438">
        <v>24.648174146068314</v>
      </c>
      <c r="Y76" s="438">
        <v>0.81664066874650132</v>
      </c>
      <c r="Z76" s="443">
        <v>7.6397777777777769</v>
      </c>
      <c r="AA76" s="58">
        <f t="shared" ca="1" si="10"/>
        <v>59.877499999999998</v>
      </c>
      <c r="AB76" s="453">
        <f ca="1">Table29[[#This Row],[Earnings]]-Table29[[#This Row],[4-Week Average]]</f>
        <v>77.632499999999993</v>
      </c>
      <c r="AK76" s="195"/>
      <c r="AL76" s="11"/>
      <c r="AM76" s="11"/>
      <c r="AO76" s="11"/>
      <c r="AQ76">
        <v>6</v>
      </c>
      <c r="AR76" s="11">
        <v>34.976277777777788</v>
      </c>
      <c r="AS76" s="11">
        <f t="shared" si="11"/>
        <v>606.69453146059595</v>
      </c>
    </row>
    <row r="77" spans="1:45" x14ac:dyDescent="0.35">
      <c r="A77" s="445">
        <v>44494</v>
      </c>
      <c r="B77" s="444">
        <v>2021</v>
      </c>
      <c r="C77" s="444">
        <v>44</v>
      </c>
      <c r="D77" s="444">
        <v>5</v>
      </c>
      <c r="E77" s="444" t="s">
        <v>327</v>
      </c>
      <c r="F77" s="445" t="s">
        <v>46</v>
      </c>
      <c r="G77" s="446">
        <v>0.74999999999999889</v>
      </c>
      <c r="H77" s="445" t="s">
        <v>236</v>
      </c>
      <c r="I77" s="444">
        <v>43.9</v>
      </c>
      <c r="J77" s="445" t="s">
        <v>80</v>
      </c>
      <c r="K77" s="447">
        <v>80.210000000000008</v>
      </c>
      <c r="L77" s="448">
        <v>3.9</v>
      </c>
      <c r="M77" s="444">
        <v>72.400000000000006</v>
      </c>
      <c r="N77" s="444">
        <v>9</v>
      </c>
      <c r="O77" s="447">
        <v>20.56666666666667</v>
      </c>
      <c r="P77" s="449">
        <v>1.5449275362318851</v>
      </c>
      <c r="Q77" s="447">
        <v>8.9122222222222227</v>
      </c>
      <c r="R77" s="447">
        <v>1.1078729281767956</v>
      </c>
      <c r="S77" s="450">
        <v>8.0444444444444443</v>
      </c>
      <c r="T77" s="450">
        <v>2.3076923076923079</v>
      </c>
      <c r="U77" s="240">
        <v>2</v>
      </c>
      <c r="V77" s="451">
        <v>1.8055555555555557E-2</v>
      </c>
      <c r="W77" s="450" t="s">
        <v>176</v>
      </c>
      <c r="X77" s="447">
        <v>23.506606168174361</v>
      </c>
      <c r="Y77" s="447">
        <v>-2.9399395015076912</v>
      </c>
      <c r="Z77" s="452">
        <v>8.5309999999999988</v>
      </c>
      <c r="AA77" s="58">
        <f t="shared" ca="1" si="10"/>
        <v>70.992500000000007</v>
      </c>
      <c r="AB77" s="453">
        <f ca="1">Table29[[#This Row],[Earnings]]-Table29[[#This Row],[4-Week Average]]</f>
        <v>9.2175000000000011</v>
      </c>
      <c r="AK77" s="195"/>
      <c r="AL77" s="11"/>
      <c r="AM77" s="11"/>
      <c r="AO77" s="11"/>
      <c r="AQ77">
        <v>7</v>
      </c>
      <c r="AR77" s="11">
        <v>44.38848366013071</v>
      </c>
      <c r="AS77" s="11">
        <f t="shared" si="11"/>
        <v>597.82532762072674</v>
      </c>
    </row>
    <row r="78" spans="1:45" x14ac:dyDescent="0.35">
      <c r="A78" s="436">
        <v>44502</v>
      </c>
      <c r="B78" s="435">
        <v>2021</v>
      </c>
      <c r="C78" s="435">
        <v>45</v>
      </c>
      <c r="D78" s="435">
        <v>6</v>
      </c>
      <c r="E78" s="435" t="s">
        <v>327</v>
      </c>
      <c r="F78" s="436" t="s">
        <v>47</v>
      </c>
      <c r="G78" s="437">
        <v>0.72916666666666552</v>
      </c>
      <c r="H78" s="436" t="s">
        <v>249</v>
      </c>
      <c r="I78" s="435">
        <v>47.5</v>
      </c>
      <c r="J78" s="436" t="s">
        <v>80</v>
      </c>
      <c r="K78" s="438">
        <v>27.5</v>
      </c>
      <c r="L78" s="439">
        <v>1.2</v>
      </c>
      <c r="M78" s="435">
        <v>11</v>
      </c>
      <c r="N78" s="435">
        <v>4</v>
      </c>
      <c r="O78" s="438">
        <v>22.916666666666668</v>
      </c>
      <c r="P78" s="440" t="s">
        <v>393</v>
      </c>
      <c r="Q78" s="438">
        <v>6.875</v>
      </c>
      <c r="R78" s="438">
        <v>2.5</v>
      </c>
      <c r="S78" s="441">
        <v>2.75</v>
      </c>
      <c r="T78" s="441">
        <v>3.3333333333333335</v>
      </c>
      <c r="U78" s="239">
        <v>1</v>
      </c>
      <c r="V78" s="442">
        <v>1.2499999999999999E-2</v>
      </c>
      <c r="W78" s="441" t="s">
        <v>176</v>
      </c>
      <c r="X78" s="438">
        <v>26.085332217138063</v>
      </c>
      <c r="Y78" s="438">
        <v>-3.1686655504713954</v>
      </c>
      <c r="Z78" s="443">
        <v>8.2143333333333324</v>
      </c>
      <c r="AA78" s="58">
        <f t="shared" ca="1" si="10"/>
        <v>72.242500000000007</v>
      </c>
      <c r="AB78" s="453">
        <f ca="1">Table29[[#This Row],[Earnings]]-Table29[[#This Row],[4-Week Average]]</f>
        <v>-44.742500000000007</v>
      </c>
      <c r="AK78" s="195"/>
      <c r="AL78" s="11"/>
      <c r="AM78" s="11"/>
      <c r="AO78" s="11"/>
      <c r="AQ78">
        <v>8</v>
      </c>
      <c r="AR78" s="11">
        <v>42.261631944444431</v>
      </c>
      <c r="AS78" s="11">
        <f t="shared" si="11"/>
        <v>593.84622146993297</v>
      </c>
    </row>
    <row r="79" spans="1:45" x14ac:dyDescent="0.35">
      <c r="A79" s="445">
        <v>44505</v>
      </c>
      <c r="B79" s="444">
        <v>2021</v>
      </c>
      <c r="C79" s="444">
        <v>45</v>
      </c>
      <c r="D79" s="444">
        <v>6</v>
      </c>
      <c r="E79" s="444" t="s">
        <v>327</v>
      </c>
      <c r="F79" s="445" t="s">
        <v>50</v>
      </c>
      <c r="G79" s="446">
        <v>0.74999999999999889</v>
      </c>
      <c r="H79" s="445" t="s">
        <v>230</v>
      </c>
      <c r="I79" s="444">
        <v>48.2</v>
      </c>
      <c r="J79" s="445" t="s">
        <v>80</v>
      </c>
      <c r="K79" s="447">
        <v>77.099999999999994</v>
      </c>
      <c r="L79" s="448">
        <v>2.6000000000000005</v>
      </c>
      <c r="M79" s="444">
        <v>58</v>
      </c>
      <c r="N79" s="444">
        <v>6</v>
      </c>
      <c r="O79" s="447">
        <v>29.653846153846146</v>
      </c>
      <c r="P79" s="449" t="s">
        <v>393</v>
      </c>
      <c r="Q79" s="447">
        <v>12.85</v>
      </c>
      <c r="R79" s="447">
        <v>1.329310344827586</v>
      </c>
      <c r="S79" s="450">
        <v>9.6666666666666661</v>
      </c>
      <c r="T79" s="450">
        <v>2.307692307692307</v>
      </c>
      <c r="U79" s="240">
        <v>2</v>
      </c>
      <c r="V79" s="451">
        <v>1.8055555555555557E-2</v>
      </c>
      <c r="W79" s="450" t="s">
        <v>176</v>
      </c>
      <c r="X79" s="447">
        <v>23.946852747537971</v>
      </c>
      <c r="Y79" s="447">
        <v>5.7069934063081753</v>
      </c>
      <c r="Z79" s="452">
        <v>9.0709999999999997</v>
      </c>
      <c r="AA79" s="58">
        <f t="shared" ca="1" si="10"/>
        <v>80.58</v>
      </c>
      <c r="AB79" s="453">
        <f ca="1">Table29[[#This Row],[Earnings]]-Table29[[#This Row],[4-Week Average]]</f>
        <v>-3.480000000000004</v>
      </c>
      <c r="AK79" s="195"/>
      <c r="AL79" s="11"/>
      <c r="AM79" s="11"/>
      <c r="AO79" s="11"/>
      <c r="AQ79">
        <v>9</v>
      </c>
      <c r="AR79" s="11">
        <v>42.407063492063479</v>
      </c>
      <c r="AS79" s="11">
        <f t="shared" si="11"/>
        <v>581.66419766040917</v>
      </c>
    </row>
    <row r="80" spans="1:45" x14ac:dyDescent="0.35">
      <c r="A80" s="436">
        <v>44507</v>
      </c>
      <c r="B80" s="435">
        <v>2021</v>
      </c>
      <c r="C80" s="435">
        <v>45</v>
      </c>
      <c r="D80" s="435">
        <v>6</v>
      </c>
      <c r="E80" s="435" t="s">
        <v>327</v>
      </c>
      <c r="F80" s="436" t="s">
        <v>45</v>
      </c>
      <c r="G80" s="437">
        <v>0.45833333333333259</v>
      </c>
      <c r="H80" s="436" t="s">
        <v>230</v>
      </c>
      <c r="I80" s="435">
        <v>60.5</v>
      </c>
      <c r="J80" s="436" t="s">
        <v>82</v>
      </c>
      <c r="K80" s="438">
        <v>40.4</v>
      </c>
      <c r="L80" s="439">
        <v>1.9000000000000001</v>
      </c>
      <c r="M80" s="435">
        <v>19.299999999999997</v>
      </c>
      <c r="N80" s="435">
        <v>5</v>
      </c>
      <c r="O80" s="438">
        <v>21.263157894736839</v>
      </c>
      <c r="P80" s="440" t="s">
        <v>393</v>
      </c>
      <c r="Q80" s="438">
        <v>8.08</v>
      </c>
      <c r="R80" s="438">
        <v>2.0932642487046635</v>
      </c>
      <c r="S80" s="441">
        <v>3.8599999999999994</v>
      </c>
      <c r="T80" s="441">
        <v>2.6315789473684208</v>
      </c>
      <c r="U80" s="239">
        <v>2</v>
      </c>
      <c r="V80" s="442">
        <v>1.5833333333333335E-2</v>
      </c>
      <c r="W80" s="441" t="s">
        <v>176</v>
      </c>
      <c r="X80" s="438">
        <v>21.263157894736839</v>
      </c>
      <c r="Y80" s="438">
        <v>0</v>
      </c>
      <c r="Z80" s="443">
        <v>9.5198888888888877</v>
      </c>
      <c r="AA80" s="58">
        <f t="shared" ca="1" si="10"/>
        <v>56.302500000000002</v>
      </c>
      <c r="AB80" s="453">
        <f ca="1">Table29[[#This Row],[Earnings]]-Table29[[#This Row],[4-Week Average]]</f>
        <v>-15.902500000000003</v>
      </c>
      <c r="AK80" s="195"/>
      <c r="AL80" s="11"/>
      <c r="AM80" s="11"/>
      <c r="AO80" s="11"/>
      <c r="AQ80">
        <v>10</v>
      </c>
      <c r="AR80" s="11">
        <v>37.35537777777779</v>
      </c>
      <c r="AS80" s="11">
        <f t="shared" si="11"/>
        <v>564.8470476604092</v>
      </c>
    </row>
    <row r="81" spans="1:45" x14ac:dyDescent="0.35">
      <c r="A81" s="445">
        <v>44509</v>
      </c>
      <c r="B81" s="444">
        <v>2021</v>
      </c>
      <c r="C81" s="444">
        <v>46</v>
      </c>
      <c r="D81" s="444">
        <v>7</v>
      </c>
      <c r="E81" s="444" t="s">
        <v>327</v>
      </c>
      <c r="F81" s="445" t="s">
        <v>47</v>
      </c>
      <c r="G81" s="446">
        <v>0.72916666666666552</v>
      </c>
      <c r="H81" s="445" t="s">
        <v>236</v>
      </c>
      <c r="I81" s="444">
        <v>54.9</v>
      </c>
      <c r="J81" s="445" t="s">
        <v>80</v>
      </c>
      <c r="K81" s="447">
        <v>119.74</v>
      </c>
      <c r="L81" s="448">
        <v>3.3999999999999995</v>
      </c>
      <c r="M81" s="444">
        <v>82</v>
      </c>
      <c r="N81" s="444">
        <v>9</v>
      </c>
      <c r="O81" s="447">
        <v>35.21764705882353</v>
      </c>
      <c r="P81" s="449">
        <v>12.300980392156863</v>
      </c>
      <c r="Q81" s="447">
        <v>13.304444444444444</v>
      </c>
      <c r="R81" s="447">
        <v>1.4602439024390244</v>
      </c>
      <c r="S81" s="450">
        <v>9.1111111111111107</v>
      </c>
      <c r="T81" s="450">
        <v>2.6470588235294121</v>
      </c>
      <c r="U81" s="240">
        <v>2</v>
      </c>
      <c r="V81" s="451">
        <v>1.5740740740740739E-2</v>
      </c>
      <c r="W81" s="450" t="s">
        <v>176</v>
      </c>
      <c r="X81" s="447">
        <v>27.181628668598059</v>
      </c>
      <c r="Y81" s="447">
        <v>8.0360183902254718</v>
      </c>
      <c r="Z81" s="452">
        <v>10.850333333333333</v>
      </c>
      <c r="AA81" s="58">
        <f t="shared" ca="1" si="10"/>
        <v>66.185000000000002</v>
      </c>
      <c r="AB81" s="453">
        <f ca="1">Table29[[#This Row],[Earnings]]-Table29[[#This Row],[4-Week Average]]</f>
        <v>53.554999999999993</v>
      </c>
      <c r="AK81" s="195"/>
      <c r="AL81" s="11"/>
      <c r="AM81" s="11">
        <v>38.513750000000002</v>
      </c>
      <c r="AO81" s="11"/>
      <c r="AQ81">
        <v>11</v>
      </c>
      <c r="AR81" s="11">
        <v>41.452012345679016</v>
      </c>
      <c r="AS81" s="11">
        <f t="shared" si="11"/>
        <v>558.63541714894529</v>
      </c>
    </row>
    <row r="82" spans="1:45" x14ac:dyDescent="0.35">
      <c r="A82" s="436">
        <v>44511</v>
      </c>
      <c r="B82" s="435">
        <v>2021</v>
      </c>
      <c r="C82" s="435">
        <v>46</v>
      </c>
      <c r="D82" s="435">
        <v>7</v>
      </c>
      <c r="E82" s="435" t="s">
        <v>327</v>
      </c>
      <c r="F82" s="436" t="s">
        <v>49</v>
      </c>
      <c r="G82" s="437">
        <v>0.72916666666666552</v>
      </c>
      <c r="H82" s="436" t="s">
        <v>236</v>
      </c>
      <c r="I82" s="435">
        <v>57.1</v>
      </c>
      <c r="J82" s="436" t="s">
        <v>80</v>
      </c>
      <c r="K82" s="438">
        <v>83.23</v>
      </c>
      <c r="L82" s="439">
        <v>3.1</v>
      </c>
      <c r="M82" s="435">
        <v>90.7</v>
      </c>
      <c r="N82" s="435">
        <v>9</v>
      </c>
      <c r="O82" s="438">
        <v>26.848387096774193</v>
      </c>
      <c r="P82" s="440" t="s">
        <v>393</v>
      </c>
      <c r="Q82" s="438">
        <v>9.2477777777777774</v>
      </c>
      <c r="R82" s="438">
        <v>0.91764057331863291</v>
      </c>
      <c r="S82" s="441">
        <v>10.077777777777778</v>
      </c>
      <c r="T82" s="441">
        <v>2.903225806451613</v>
      </c>
      <c r="U82" s="239">
        <v>3</v>
      </c>
      <c r="V82" s="442">
        <v>1.4351851851851852E-2</v>
      </c>
      <c r="W82" s="441" t="s">
        <v>176</v>
      </c>
      <c r="X82" s="438">
        <v>20.86601173020528</v>
      </c>
      <c r="Y82" s="438">
        <v>5.9823753665689132</v>
      </c>
      <c r="Z82" s="443">
        <v>11.77511111111111</v>
      </c>
      <c r="AA82" s="58">
        <f t="shared" ca="1" si="10"/>
        <v>80.117500000000007</v>
      </c>
      <c r="AB82" s="453">
        <f ca="1">Table29[[#This Row],[Earnings]]-Table29[[#This Row],[4-Week Average]]</f>
        <v>3.1124999999999972</v>
      </c>
      <c r="AK82" s="195"/>
      <c r="AL82" s="11"/>
      <c r="AM82" s="11">
        <v>-64.253749999999997</v>
      </c>
      <c r="AO82" s="11"/>
      <c r="AQ82">
        <v>12</v>
      </c>
      <c r="AR82" s="11">
        <v>39.202623456790121</v>
      </c>
      <c r="AS82" s="11">
        <f t="shared" si="11"/>
        <v>548.02141838351326</v>
      </c>
    </row>
    <row r="83" spans="1:45" x14ac:dyDescent="0.35">
      <c r="A83" s="445">
        <v>44514</v>
      </c>
      <c r="B83" s="444">
        <v>2021</v>
      </c>
      <c r="C83" s="444">
        <v>46</v>
      </c>
      <c r="D83" s="444">
        <v>7</v>
      </c>
      <c r="E83" s="444" t="s">
        <v>327</v>
      </c>
      <c r="F83" s="445" t="s">
        <v>45</v>
      </c>
      <c r="G83" s="446">
        <v>0.72916666666666552</v>
      </c>
      <c r="H83" s="445" t="s">
        <v>236</v>
      </c>
      <c r="I83" s="444">
        <v>39.1</v>
      </c>
      <c r="J83" s="445" t="s">
        <v>82</v>
      </c>
      <c r="K83" s="447">
        <v>102.44999999999999</v>
      </c>
      <c r="L83" s="448">
        <v>4.8000000000000007</v>
      </c>
      <c r="M83" s="444">
        <v>71.900000000000006</v>
      </c>
      <c r="N83" s="444">
        <v>12</v>
      </c>
      <c r="O83" s="447">
        <v>21.343749999999993</v>
      </c>
      <c r="P83" s="449">
        <v>8.0592105263153968E-2</v>
      </c>
      <c r="Q83" s="447">
        <v>8.5374999999999996</v>
      </c>
      <c r="R83" s="447">
        <v>1.424895688456189</v>
      </c>
      <c r="S83" s="450">
        <v>5.9916666666666671</v>
      </c>
      <c r="T83" s="450">
        <v>2.4999999999999996</v>
      </c>
      <c r="U83" s="240">
        <v>2</v>
      </c>
      <c r="V83" s="451">
        <v>1.666666666666667E-2</v>
      </c>
      <c r="W83" s="450" t="s">
        <v>176</v>
      </c>
      <c r="X83" s="447">
        <v>23.50977822580645</v>
      </c>
      <c r="Y83" s="447">
        <v>-2.1660282258064569</v>
      </c>
      <c r="Z83" s="452">
        <v>12.913444444444444</v>
      </c>
      <c r="AA83" s="58">
        <f t="shared" ca="1" si="10"/>
        <v>86.454999999999998</v>
      </c>
      <c r="AB83" s="453">
        <f ca="1">Table29[[#This Row],[Earnings]]-Table29[[#This Row],[4-Week Average]]</f>
        <v>15.99499999999999</v>
      </c>
      <c r="AK83" s="195"/>
      <c r="AL83" s="11"/>
      <c r="AM83" s="11">
        <v>70.760000000000019</v>
      </c>
      <c r="AO83" s="11"/>
      <c r="AQ83">
        <v>13</v>
      </c>
      <c r="AR83" s="11">
        <v>43.034320987654311</v>
      </c>
      <c r="AS83" s="11">
        <f t="shared" si="11"/>
        <v>539.06431344524162</v>
      </c>
    </row>
    <row r="84" spans="1:45" x14ac:dyDescent="0.35">
      <c r="A84" s="436">
        <v>44515</v>
      </c>
      <c r="B84" s="435">
        <v>2021</v>
      </c>
      <c r="C84" s="435">
        <v>47</v>
      </c>
      <c r="D84" s="435">
        <v>8</v>
      </c>
      <c r="E84" s="435" t="s">
        <v>327</v>
      </c>
      <c r="F84" s="436" t="s">
        <v>46</v>
      </c>
      <c r="G84" s="437">
        <v>0.72916666666666552</v>
      </c>
      <c r="H84" s="436" t="s">
        <v>249</v>
      </c>
      <c r="I84" s="435">
        <v>37.1</v>
      </c>
      <c r="J84" s="436" t="s">
        <v>85</v>
      </c>
      <c r="K84" s="438">
        <v>116.81</v>
      </c>
      <c r="L84" s="439">
        <v>6</v>
      </c>
      <c r="M84" s="435">
        <v>132.19999999999999</v>
      </c>
      <c r="N84" s="435">
        <v>13</v>
      </c>
      <c r="O84" s="438">
        <v>19.468333333333334</v>
      </c>
      <c r="P84" s="440" t="s">
        <v>393</v>
      </c>
      <c r="Q84" s="438">
        <v>8.985384615384616</v>
      </c>
      <c r="R84" s="438">
        <v>0.88358547655068087</v>
      </c>
      <c r="S84" s="441">
        <v>10.169230769230769</v>
      </c>
      <c r="T84" s="441">
        <v>2.1666666666666665</v>
      </c>
      <c r="U84" s="239">
        <v>2</v>
      </c>
      <c r="V84" s="442">
        <v>1.9230769230769232E-2</v>
      </c>
      <c r="W84" s="441" t="s">
        <v>176</v>
      </c>
      <c r="X84" s="438">
        <v>23.549802521868241</v>
      </c>
      <c r="Y84" s="438">
        <v>-4.081469188534907</v>
      </c>
      <c r="Z84" s="443">
        <v>14.211333333333332</v>
      </c>
      <c r="AA84" s="58">
        <f t="shared" ca="1" si="10"/>
        <v>105.55749999999999</v>
      </c>
      <c r="AB84" s="453">
        <f ca="1">Table29[[#This Row],[Earnings]]-Table29[[#This Row],[4-Week Average]]</f>
        <v>11.252500000000012</v>
      </c>
      <c r="AK84" s="195"/>
      <c r="AL84" s="11"/>
      <c r="AM84" s="11">
        <v>-34.616875000000007</v>
      </c>
      <c r="AO84" s="11"/>
      <c r="AQ84">
        <v>14</v>
      </c>
      <c r="AR84" s="11">
        <v>47.160957264957261</v>
      </c>
      <c r="AS84" s="11">
        <f t="shared" si="11"/>
        <v>544.7101362072749</v>
      </c>
    </row>
    <row r="85" spans="1:45" x14ac:dyDescent="0.35">
      <c r="A85" s="445">
        <v>44516</v>
      </c>
      <c r="B85" s="444">
        <v>2021</v>
      </c>
      <c r="C85" s="444">
        <v>47</v>
      </c>
      <c r="D85" s="444">
        <v>8</v>
      </c>
      <c r="E85" s="444" t="s">
        <v>327</v>
      </c>
      <c r="F85" s="445" t="s">
        <v>47</v>
      </c>
      <c r="G85" s="446">
        <v>0.74999999999999889</v>
      </c>
      <c r="H85" s="445" t="s">
        <v>249</v>
      </c>
      <c r="I85" s="444">
        <v>38.700000000000003</v>
      </c>
      <c r="J85" s="445" t="s">
        <v>85</v>
      </c>
      <c r="K85" s="447">
        <v>87.539999999999992</v>
      </c>
      <c r="L85" s="448">
        <v>5</v>
      </c>
      <c r="M85" s="444">
        <v>96.699999999999989</v>
      </c>
      <c r="N85" s="444">
        <v>11</v>
      </c>
      <c r="O85" s="447">
        <v>17.507999999999999</v>
      </c>
      <c r="P85" s="449" t="s">
        <v>393</v>
      </c>
      <c r="Q85" s="447">
        <v>7.9581818181818171</v>
      </c>
      <c r="R85" s="447">
        <v>0.90527404343329887</v>
      </c>
      <c r="S85" s="450">
        <v>8.7909090909090892</v>
      </c>
      <c r="T85" s="450">
        <v>2.2000000000000002</v>
      </c>
      <c r="U85" s="240">
        <v>2</v>
      </c>
      <c r="V85" s="451">
        <v>1.893939393939394E-2</v>
      </c>
      <c r="W85" s="450" t="s">
        <v>176</v>
      </c>
      <c r="X85" s="447">
        <v>20.185372549019611</v>
      </c>
      <c r="Y85" s="447">
        <v>-2.6773725490196121</v>
      </c>
      <c r="Z85" s="452">
        <v>15.183999999999999</v>
      </c>
      <c r="AA85" s="58">
        <f t="shared" ca="1" si="10"/>
        <v>97.507499999999993</v>
      </c>
      <c r="AB85" s="453">
        <f ca="1">Table29[[#This Row],[Earnings]]-Table29[[#This Row],[4-Week Average]]</f>
        <v>-9.9675000000000011</v>
      </c>
      <c r="AK85" s="195"/>
      <c r="AL85" s="11"/>
      <c r="AM85" s="11">
        <v>-50.65937499999999</v>
      </c>
      <c r="AO85" s="11"/>
      <c r="AQ85">
        <v>15</v>
      </c>
      <c r="AR85" s="11">
        <v>51.166222222222224</v>
      </c>
      <c r="AS85" s="11">
        <f t="shared" si="11"/>
        <v>553.24182509616389</v>
      </c>
    </row>
    <row r="86" spans="1:45" x14ac:dyDescent="0.35">
      <c r="A86" s="436">
        <v>44517</v>
      </c>
      <c r="B86" s="435">
        <v>2021</v>
      </c>
      <c r="C86" s="435">
        <v>47</v>
      </c>
      <c r="D86" s="435">
        <v>8</v>
      </c>
      <c r="E86" s="435" t="s">
        <v>327</v>
      </c>
      <c r="F86" s="436" t="s">
        <v>48</v>
      </c>
      <c r="G86" s="437">
        <v>0.74999999999999889</v>
      </c>
      <c r="H86" s="436" t="s">
        <v>236</v>
      </c>
      <c r="I86" s="435">
        <v>58.6</v>
      </c>
      <c r="J86" s="436" t="s">
        <v>85</v>
      </c>
      <c r="K86" s="438">
        <v>13.25</v>
      </c>
      <c r="L86" s="439">
        <v>1.7</v>
      </c>
      <c r="M86" s="435">
        <v>52</v>
      </c>
      <c r="N86" s="435">
        <v>2</v>
      </c>
      <c r="O86" s="438">
        <v>7.7941176470588234</v>
      </c>
      <c r="P86" s="440" t="s">
        <v>393</v>
      </c>
      <c r="Q86" s="438">
        <v>6.625</v>
      </c>
      <c r="R86" s="438">
        <v>0.25480769230769229</v>
      </c>
      <c r="S86" s="441">
        <v>26</v>
      </c>
      <c r="T86" s="441">
        <v>1.1764705882352942</v>
      </c>
      <c r="U86" s="239">
        <v>1</v>
      </c>
      <c r="V86" s="442">
        <v>3.5416666666666666E-2</v>
      </c>
      <c r="W86" s="441" t="s">
        <v>176</v>
      </c>
      <c r="X86" s="438">
        <v>7.7941176470588234</v>
      </c>
      <c r="Y86" s="438">
        <v>0</v>
      </c>
      <c r="Z86" s="443">
        <v>15.331222222222221</v>
      </c>
      <c r="AA86" s="58">
        <f t="shared" ca="1" si="10"/>
        <v>80.012499999999989</v>
      </c>
      <c r="AB86" s="453">
        <f ca="1">Table29[[#This Row],[Earnings]]-Table29[[#This Row],[4-Week Average]]</f>
        <v>-66.762499999999989</v>
      </c>
      <c r="AK86" s="195"/>
      <c r="AL86" s="11"/>
      <c r="AM86" s="11">
        <v>20.844166666666663</v>
      </c>
      <c r="AO86" s="11"/>
      <c r="AQ86">
        <v>16</v>
      </c>
      <c r="AR86" s="11">
        <v>47.250470085470084</v>
      </c>
      <c r="AS86" s="11">
        <f t="shared" si="11"/>
        <v>559.77674657052273</v>
      </c>
    </row>
    <row r="87" spans="1:45" x14ac:dyDescent="0.35">
      <c r="A87" s="445">
        <v>44519</v>
      </c>
      <c r="B87" s="444">
        <v>2021</v>
      </c>
      <c r="C87" s="444">
        <v>47</v>
      </c>
      <c r="D87" s="444">
        <v>8</v>
      </c>
      <c r="E87" s="444" t="s">
        <v>327</v>
      </c>
      <c r="F87" s="445" t="s">
        <v>50</v>
      </c>
      <c r="G87" s="446">
        <v>0.91666666666666519</v>
      </c>
      <c r="H87" s="445" t="s">
        <v>230</v>
      </c>
      <c r="I87" s="444">
        <v>42.4</v>
      </c>
      <c r="J87" s="445" t="s">
        <v>82</v>
      </c>
      <c r="K87" s="447">
        <v>73.03</v>
      </c>
      <c r="L87" s="448">
        <v>3.1</v>
      </c>
      <c r="M87" s="444">
        <v>74</v>
      </c>
      <c r="N87" s="444">
        <v>8</v>
      </c>
      <c r="O87" s="447">
        <v>23.558064516129033</v>
      </c>
      <c r="P87" s="449" t="s">
        <v>393</v>
      </c>
      <c r="Q87" s="447">
        <v>9.1287500000000001</v>
      </c>
      <c r="R87" s="447">
        <v>0.98689189189189186</v>
      </c>
      <c r="S87" s="450">
        <v>9.25</v>
      </c>
      <c r="T87" s="450">
        <v>2.5806451612903225</v>
      </c>
      <c r="U87" s="240">
        <v>3</v>
      </c>
      <c r="V87" s="451">
        <v>1.6145833333333335E-2</v>
      </c>
      <c r="W87" s="450" t="s">
        <v>176</v>
      </c>
      <c r="X87" s="447">
        <v>24.067695029985224</v>
      </c>
      <c r="Y87" s="447">
        <v>-0.50963051385619096</v>
      </c>
      <c r="Z87" s="452">
        <v>16.142666666666667</v>
      </c>
      <c r="AA87" s="58">
        <f t="shared" ca="1" si="10"/>
        <v>72.657499999999999</v>
      </c>
      <c r="AB87" s="453">
        <f ca="1">Table29[[#This Row],[Earnings]]-Table29[[#This Row],[4-Week Average]]</f>
        <v>0.37250000000000227</v>
      </c>
      <c r="AG87" t="s">
        <v>81</v>
      </c>
      <c r="AH87" s="4">
        <v>2021</v>
      </c>
      <c r="AI87" s="4">
        <v>2022</v>
      </c>
      <c r="AJ87" s="4">
        <v>2023</v>
      </c>
      <c r="AK87" s="4">
        <v>2024</v>
      </c>
      <c r="AL87" s="4">
        <v>2025</v>
      </c>
      <c r="AM87" s="11">
        <v>-25.523749999999993</v>
      </c>
      <c r="AO87" s="11"/>
      <c r="AQ87">
        <v>17</v>
      </c>
      <c r="AR87" s="11">
        <v>51.454760233918115</v>
      </c>
      <c r="AS87" s="11">
        <f t="shared" si="11"/>
        <v>562.92153458221878</v>
      </c>
    </row>
    <row r="88" spans="1:45" x14ac:dyDescent="0.35">
      <c r="A88" s="436">
        <v>44521</v>
      </c>
      <c r="B88" s="435">
        <v>2021</v>
      </c>
      <c r="C88" s="435">
        <v>47</v>
      </c>
      <c r="D88" s="435">
        <v>8</v>
      </c>
      <c r="E88" s="435" t="s">
        <v>327</v>
      </c>
      <c r="F88" s="436" t="s">
        <v>45</v>
      </c>
      <c r="G88" s="437">
        <v>0.77083333333333215</v>
      </c>
      <c r="H88" s="436" t="s">
        <v>236</v>
      </c>
      <c r="I88" s="435">
        <v>52</v>
      </c>
      <c r="J88" s="436" t="s">
        <v>82</v>
      </c>
      <c r="K88" s="438">
        <v>63.25</v>
      </c>
      <c r="L88" s="439">
        <v>3.4000000000000004</v>
      </c>
      <c r="M88" s="435">
        <v>71</v>
      </c>
      <c r="N88" s="435">
        <v>6</v>
      </c>
      <c r="O88" s="438">
        <v>18.602941176470587</v>
      </c>
      <c r="P88" s="440">
        <v>-2.7005127708978307</v>
      </c>
      <c r="Q88" s="438">
        <v>10.541666666666666</v>
      </c>
      <c r="R88" s="438">
        <v>0.89084507042253525</v>
      </c>
      <c r="S88" s="441">
        <v>11.833333333333334</v>
      </c>
      <c r="T88" s="441">
        <v>1.7647058823529409</v>
      </c>
      <c r="U88" s="239">
        <v>2</v>
      </c>
      <c r="V88" s="442">
        <v>2.3611111111111114E-2</v>
      </c>
      <c r="W88" s="441" t="s">
        <v>176</v>
      </c>
      <c r="X88" s="438">
        <v>18.602941176470587</v>
      </c>
      <c r="Y88" s="438">
        <v>0</v>
      </c>
      <c r="Z88" s="443">
        <v>16.845444444444443</v>
      </c>
      <c r="AA88" s="58">
        <f t="shared" ca="1" si="10"/>
        <v>59.267499999999998</v>
      </c>
      <c r="AB88" s="453">
        <f ca="1">Table29[[#This Row],[Earnings]]-Table29[[#This Row],[4-Week Average]]</f>
        <v>3.9825000000000017</v>
      </c>
      <c r="AG88" s="459">
        <v>1</v>
      </c>
      <c r="AH88" s="11">
        <v>35.032500000000013</v>
      </c>
      <c r="AI88" s="11">
        <v>2.7800000000000082</v>
      </c>
      <c r="AJ88" s="11">
        <v>144.86750000000001</v>
      </c>
      <c r="AK88" s="11">
        <v>-41.764999999999986</v>
      </c>
      <c r="AL88" s="11">
        <v>18.727499999999996</v>
      </c>
      <c r="AM88" s="11">
        <f>AVERAGE(AH88:AL88)</f>
        <v>31.928500000000007</v>
      </c>
      <c r="AN88" s="11">
        <f>AVERAGE(AM81:AM93)</f>
        <v>-2.5387211538461498</v>
      </c>
      <c r="AO88" s="460"/>
      <c r="AQ88">
        <v>18</v>
      </c>
      <c r="AR88" s="11">
        <v>55.496222222222201</v>
      </c>
      <c r="AS88" s="11">
        <f t="shared" si="11"/>
        <v>577.60642347110752</v>
      </c>
    </row>
    <row r="89" spans="1:45" x14ac:dyDescent="0.35">
      <c r="A89" s="445">
        <v>44522</v>
      </c>
      <c r="B89" s="444">
        <v>2021</v>
      </c>
      <c r="C89" s="444">
        <v>48</v>
      </c>
      <c r="D89" s="444">
        <v>9</v>
      </c>
      <c r="E89" s="444" t="s">
        <v>327</v>
      </c>
      <c r="F89" s="445" t="s">
        <v>46</v>
      </c>
      <c r="G89" s="446">
        <v>0.70833333333333226</v>
      </c>
      <c r="H89" s="445" t="s">
        <v>230</v>
      </c>
      <c r="I89" s="444">
        <v>30.7</v>
      </c>
      <c r="J89" s="445" t="s">
        <v>80</v>
      </c>
      <c r="K89" s="447">
        <v>120</v>
      </c>
      <c r="L89" s="448">
        <v>4.2</v>
      </c>
      <c r="M89" s="444">
        <v>84</v>
      </c>
      <c r="N89" s="444">
        <v>11</v>
      </c>
      <c r="O89" s="447">
        <v>28.571428571428569</v>
      </c>
      <c r="P89" s="449">
        <v>8.7772256728778402</v>
      </c>
      <c r="Q89" s="447">
        <v>10.909090909090908</v>
      </c>
      <c r="R89" s="447">
        <v>1.4285714285714286</v>
      </c>
      <c r="S89" s="450">
        <v>7.6363636363636367</v>
      </c>
      <c r="T89" s="450">
        <v>2.6190476190476191</v>
      </c>
      <c r="U89" s="240">
        <v>2</v>
      </c>
      <c r="V89" s="451">
        <v>1.5909090909090911E-2</v>
      </c>
      <c r="W89" s="450" t="s">
        <v>176</v>
      </c>
      <c r="X89" s="447">
        <v>22.7536390170972</v>
      </c>
      <c r="Y89" s="447">
        <v>5.8177895543313696</v>
      </c>
      <c r="Z89" s="452">
        <v>18.178777777777778</v>
      </c>
      <c r="AA89" s="58">
        <f t="shared" ca="1" si="10"/>
        <v>67.382499999999993</v>
      </c>
      <c r="AB89" s="453">
        <f ca="1">Table29[[#This Row],[Earnings]]-Table29[[#This Row],[4-Week Average]]</f>
        <v>52.617500000000007</v>
      </c>
      <c r="AG89" s="459">
        <v>2</v>
      </c>
      <c r="AH89" s="11">
        <v>5.5100000000000051</v>
      </c>
      <c r="AI89" s="11"/>
      <c r="AJ89" s="11">
        <v>-68.574999999999989</v>
      </c>
      <c r="AK89" s="11">
        <v>-38.02000000000001</v>
      </c>
      <c r="AL89" s="11">
        <v>37.547500000000021</v>
      </c>
      <c r="AM89" s="11">
        <f t="shared" ref="AM89:AM139" si="12">AVERAGE(AH89:AL89)</f>
        <v>-15.884374999999993</v>
      </c>
      <c r="AN89" s="11">
        <f t="shared" ref="AN89:AN139" si="13">AVERAGE(AM82:AM94)</f>
        <v>-3.5218942307692278</v>
      </c>
      <c r="AO89" s="460"/>
      <c r="AQ89">
        <v>19</v>
      </c>
      <c r="AR89" s="11">
        <v>46.715181818181811</v>
      </c>
      <c r="AS89" s="11">
        <f t="shared" si="11"/>
        <v>589.34532751151153</v>
      </c>
    </row>
    <row r="90" spans="1:45" x14ac:dyDescent="0.35">
      <c r="A90" s="436">
        <v>44527</v>
      </c>
      <c r="B90" s="435">
        <v>2021</v>
      </c>
      <c r="C90" s="435">
        <v>48</v>
      </c>
      <c r="D90" s="435">
        <v>9</v>
      </c>
      <c r="E90" s="435" t="s">
        <v>327</v>
      </c>
      <c r="F90" s="436" t="s">
        <v>51</v>
      </c>
      <c r="G90" s="437">
        <v>0.56249999999999911</v>
      </c>
      <c r="H90" s="436" t="s">
        <v>249</v>
      </c>
      <c r="I90" s="435">
        <v>30.6</v>
      </c>
      <c r="J90" s="436" t="s">
        <v>85</v>
      </c>
      <c r="K90" s="438">
        <v>280.45</v>
      </c>
      <c r="L90" s="439">
        <v>11.5</v>
      </c>
      <c r="M90" s="435">
        <v>247</v>
      </c>
      <c r="N90" s="435">
        <v>26</v>
      </c>
      <c r="O90" s="438">
        <v>24.38695652173913</v>
      </c>
      <c r="P90" s="440" t="s">
        <v>393</v>
      </c>
      <c r="Q90" s="438">
        <v>10.786538461538461</v>
      </c>
      <c r="R90" s="438">
        <v>1.1354251012145749</v>
      </c>
      <c r="S90" s="441">
        <v>9.5</v>
      </c>
      <c r="T90" s="441">
        <v>2.2608695652173911</v>
      </c>
      <c r="U90" s="239">
        <v>3</v>
      </c>
      <c r="V90" s="442">
        <v>1.842948717948718E-2</v>
      </c>
      <c r="W90" s="441" t="s">
        <v>176</v>
      </c>
      <c r="X90" s="438">
        <v>22.584824414715719</v>
      </c>
      <c r="Y90" s="438">
        <v>1.8021321070234109</v>
      </c>
      <c r="Z90" s="443">
        <v>21.294888888888888</v>
      </c>
      <c r="AA90" s="58">
        <f t="shared" ca="1" si="10"/>
        <v>134.1825</v>
      </c>
      <c r="AB90" s="453">
        <f ca="1">Table29[[#This Row],[Earnings]]-Table29[[#This Row],[4-Week Average]]</f>
        <v>146.26749999999998</v>
      </c>
      <c r="AG90" s="459">
        <v>3</v>
      </c>
      <c r="AH90" s="11">
        <v>-5.3149999999999977</v>
      </c>
      <c r="AI90" s="11">
        <v>-8.99999999999892E-2</v>
      </c>
      <c r="AJ90" s="11">
        <v>66.357500000000016</v>
      </c>
      <c r="AK90" s="11">
        <v>72.112500000000011</v>
      </c>
      <c r="AL90" s="11">
        <v>14.734999999999985</v>
      </c>
      <c r="AM90" s="11">
        <f t="shared" si="12"/>
        <v>29.560000000000009</v>
      </c>
      <c r="AN90" s="11">
        <f t="shared" si="13"/>
        <v>2.2480096153846194</v>
      </c>
      <c r="AO90" s="460"/>
      <c r="AQ90">
        <v>20</v>
      </c>
      <c r="AR90" s="11">
        <v>51.700732026143797</v>
      </c>
      <c r="AS90" s="11">
        <f t="shared" si="11"/>
        <v>596.65757587752455</v>
      </c>
    </row>
    <row r="91" spans="1:45" x14ac:dyDescent="0.35">
      <c r="A91" s="445">
        <v>44529</v>
      </c>
      <c r="B91" s="444">
        <v>2021</v>
      </c>
      <c r="C91" s="444">
        <v>49</v>
      </c>
      <c r="D91" s="444">
        <v>10</v>
      </c>
      <c r="E91" s="444" t="s">
        <v>327</v>
      </c>
      <c r="F91" s="445" t="s">
        <v>46</v>
      </c>
      <c r="G91" s="446">
        <v>0.70833333333333226</v>
      </c>
      <c r="H91" s="445" t="s">
        <v>249</v>
      </c>
      <c r="I91" s="444">
        <v>31.7</v>
      </c>
      <c r="J91" s="445" t="s">
        <v>82</v>
      </c>
      <c r="K91" s="447">
        <v>113</v>
      </c>
      <c r="L91" s="448">
        <v>4.9000000000000004</v>
      </c>
      <c r="M91" s="444">
        <v>86.8</v>
      </c>
      <c r="N91" s="444">
        <v>14</v>
      </c>
      <c r="O91" s="447">
        <v>23.061224489795915</v>
      </c>
      <c r="P91" s="449" t="s">
        <v>393</v>
      </c>
      <c r="Q91" s="447">
        <v>8.0714285714285712</v>
      </c>
      <c r="R91" s="447">
        <v>1.3018433179723503</v>
      </c>
      <c r="S91" s="450">
        <v>6.2</v>
      </c>
      <c r="T91" s="450">
        <v>2.8571428571428568</v>
      </c>
      <c r="U91" s="240">
        <v>2</v>
      </c>
      <c r="V91" s="451">
        <v>1.4583333333333335E-2</v>
      </c>
      <c r="W91" s="450" t="s">
        <v>176</v>
      </c>
      <c r="X91" s="447">
        <v>21.442841149708883</v>
      </c>
      <c r="Y91" s="447">
        <v>1.618383340087032</v>
      </c>
      <c r="Z91" s="452">
        <v>21.776444444444444</v>
      </c>
      <c r="AA91" s="58">
        <f t="shared" ca="1" si="10"/>
        <v>144.17500000000001</v>
      </c>
      <c r="AB91" s="453">
        <f ca="1">Table29[[#This Row],[Earnings]]-Table29[[#This Row],[4-Week Average]]</f>
        <v>-31.175000000000011</v>
      </c>
      <c r="AG91" s="459">
        <v>4</v>
      </c>
      <c r="AH91" s="11"/>
      <c r="AI91" s="11"/>
      <c r="AJ91" s="11">
        <v>1.8699999999999761</v>
      </c>
      <c r="AK91" s="11">
        <v>-27.595000000000013</v>
      </c>
      <c r="AL91" s="11">
        <v>-53.539999999999992</v>
      </c>
      <c r="AM91" s="11">
        <f t="shared" si="12"/>
        <v>-26.421666666666678</v>
      </c>
      <c r="AN91" s="11">
        <f t="shared" si="13"/>
        <v>-2.2023749999999986</v>
      </c>
      <c r="AO91" s="460"/>
      <c r="AQ91">
        <v>21</v>
      </c>
      <c r="AR91" s="11">
        <v>46.842540740740745</v>
      </c>
      <c r="AS91" s="11">
        <f t="shared" si="11"/>
        <v>601.23848467382095</v>
      </c>
    </row>
    <row r="92" spans="1:45" x14ac:dyDescent="0.35">
      <c r="A92" s="436">
        <v>44533</v>
      </c>
      <c r="B92" s="435">
        <v>2021</v>
      </c>
      <c r="C92" s="435">
        <v>49</v>
      </c>
      <c r="D92" s="435">
        <v>10</v>
      </c>
      <c r="E92" s="435" t="s">
        <v>327</v>
      </c>
      <c r="F92" s="436" t="s">
        <v>50</v>
      </c>
      <c r="G92" s="437">
        <v>0.79166666666666541</v>
      </c>
      <c r="H92" s="436" t="s">
        <v>230</v>
      </c>
      <c r="I92" s="435">
        <v>31.5</v>
      </c>
      <c r="J92" s="436" t="s">
        <v>85</v>
      </c>
      <c r="K92" s="438">
        <v>115.66</v>
      </c>
      <c r="L92" s="439">
        <v>6.33</v>
      </c>
      <c r="M92" s="435">
        <v>143</v>
      </c>
      <c r="N92" s="435">
        <v>11</v>
      </c>
      <c r="O92" s="438">
        <v>18.271721958925749</v>
      </c>
      <c r="P92" s="440" t="s">
        <v>393</v>
      </c>
      <c r="Q92" s="438">
        <v>10.514545454545454</v>
      </c>
      <c r="R92" s="438">
        <v>0.80881118881118874</v>
      </c>
      <c r="S92" s="441">
        <v>13</v>
      </c>
      <c r="T92" s="441">
        <v>1.7377567140600316</v>
      </c>
      <c r="U92" s="239">
        <v>3</v>
      </c>
      <c r="V92" s="442">
        <v>2.3977272727272726E-2</v>
      </c>
      <c r="W92" s="441" t="s">
        <v>176</v>
      </c>
      <c r="X92" s="438">
        <v>20.150712464611388</v>
      </c>
      <c r="Y92" s="438">
        <v>-1.8789905056856391</v>
      </c>
      <c r="Z92" s="443">
        <v>23.061555555555554</v>
      </c>
      <c r="AA92" s="58">
        <f t="shared" ca="1" si="10"/>
        <v>157.2775</v>
      </c>
      <c r="AB92" s="453">
        <f ca="1">Table29[[#This Row],[Earnings]]-Table29[[#This Row],[4-Week Average]]</f>
        <v>-41.617500000000007</v>
      </c>
      <c r="AG92" s="459">
        <v>5</v>
      </c>
      <c r="AH92" s="11">
        <v>3.8150000000000048</v>
      </c>
      <c r="AI92" s="11">
        <v>-53.647500000000001</v>
      </c>
      <c r="AJ92" s="11">
        <v>-52.354999999999997</v>
      </c>
      <c r="AK92" s="11">
        <v>-46.267500000000005</v>
      </c>
      <c r="AL92" s="11">
        <v>1.0550000000000068</v>
      </c>
      <c r="AM92" s="11">
        <f t="shared" si="12"/>
        <v>-29.48</v>
      </c>
      <c r="AN92" s="11">
        <f t="shared" si="13"/>
        <v>-1.0409615384615369</v>
      </c>
      <c r="AO92" s="460"/>
      <c r="AQ92">
        <v>22</v>
      </c>
      <c r="AR92" s="11">
        <v>56.385040935672507</v>
      </c>
      <c r="AS92" s="11">
        <f t="shared" si="11"/>
        <v>615.21646211742996</v>
      </c>
    </row>
    <row r="93" spans="1:45" x14ac:dyDescent="0.35">
      <c r="A93" s="445">
        <v>44536</v>
      </c>
      <c r="B93" s="444">
        <v>2021</v>
      </c>
      <c r="C93" s="444">
        <v>50</v>
      </c>
      <c r="D93" s="444">
        <v>11</v>
      </c>
      <c r="E93" s="444" t="s">
        <v>327</v>
      </c>
      <c r="F93" s="445" t="s">
        <v>46</v>
      </c>
      <c r="G93" s="446">
        <v>0.72916666666666552</v>
      </c>
      <c r="H93" s="445" t="s">
        <v>236</v>
      </c>
      <c r="I93" s="444">
        <v>38.9</v>
      </c>
      <c r="J93" s="445" t="s">
        <v>80</v>
      </c>
      <c r="K93" s="447">
        <v>117.21000000000001</v>
      </c>
      <c r="L93" s="448">
        <v>4.8</v>
      </c>
      <c r="M93" s="444">
        <v>130.1</v>
      </c>
      <c r="N93" s="444">
        <v>11</v>
      </c>
      <c r="O93" s="447">
        <v>24.418750000000003</v>
      </c>
      <c r="P93" s="449">
        <v>1.6988052104899936</v>
      </c>
      <c r="Q93" s="447">
        <v>10.655454545454546</v>
      </c>
      <c r="R93" s="447">
        <v>0.90092236740968501</v>
      </c>
      <c r="S93" s="450">
        <v>11.827272727272726</v>
      </c>
      <c r="T93" s="450">
        <v>2.291666666666667</v>
      </c>
      <c r="U93" s="240">
        <v>3</v>
      </c>
      <c r="V93" s="451">
        <v>1.8181818181818181E-2</v>
      </c>
      <c r="W93" s="450" t="s">
        <v>176</v>
      </c>
      <c r="X93" s="447">
        <v>21.372401866151865</v>
      </c>
      <c r="Y93" s="447">
        <v>3.046348133848138</v>
      </c>
      <c r="Z93" s="452">
        <v>24.363888888888887</v>
      </c>
      <c r="AA93" s="58">
        <f t="shared" ca="1" si="10"/>
        <v>156.58000000000001</v>
      </c>
      <c r="AB93" s="453">
        <f ca="1">Table29[[#This Row],[Earnings]]-Table29[[#This Row],[4-Week Average]]</f>
        <v>-39.370000000000005</v>
      </c>
      <c r="AG93" s="459">
        <v>6</v>
      </c>
      <c r="AH93" s="11">
        <v>23.412500000000001</v>
      </c>
      <c r="AI93" s="11">
        <v>-12.614999999999995</v>
      </c>
      <c r="AJ93" s="11">
        <v>56.575000000000017</v>
      </c>
      <c r="AK93" s="11">
        <v>33.260000000000005</v>
      </c>
      <c r="AL93" s="11">
        <v>10.517499999999998</v>
      </c>
      <c r="AM93" s="11">
        <f t="shared" si="12"/>
        <v>22.230000000000008</v>
      </c>
      <c r="AN93" s="11">
        <f t="shared" si="13"/>
        <v>3.3005288461538478</v>
      </c>
      <c r="AO93" s="460"/>
      <c r="AQ93">
        <v>23</v>
      </c>
      <c r="AR93" s="11">
        <v>54.687466666666673</v>
      </c>
      <c r="AS93" s="11">
        <f t="shared" si="11"/>
        <v>632.5485510063188</v>
      </c>
    </row>
    <row r="94" spans="1:45" x14ac:dyDescent="0.35">
      <c r="A94" s="436">
        <v>44537</v>
      </c>
      <c r="B94" s="435">
        <v>2021</v>
      </c>
      <c r="C94" s="435">
        <v>50</v>
      </c>
      <c r="D94" s="435">
        <v>11</v>
      </c>
      <c r="E94" s="435" t="s">
        <v>327</v>
      </c>
      <c r="F94" s="436" t="s">
        <v>47</v>
      </c>
      <c r="G94" s="437">
        <v>0.72916666666666552</v>
      </c>
      <c r="H94" s="436" t="s">
        <v>234</v>
      </c>
      <c r="I94" s="435">
        <v>23</v>
      </c>
      <c r="J94" s="436" t="s">
        <v>82</v>
      </c>
      <c r="K94" s="438">
        <v>62.57</v>
      </c>
      <c r="L94" s="439">
        <v>2.2000000000000002</v>
      </c>
      <c r="M94" s="435">
        <v>38.1</v>
      </c>
      <c r="N94" s="435">
        <v>6</v>
      </c>
      <c r="O94" s="438">
        <v>28.440909090909088</v>
      </c>
      <c r="P94" s="440" t="s">
        <v>393</v>
      </c>
      <c r="Q94" s="438">
        <v>10.428333333333333</v>
      </c>
      <c r="R94" s="438">
        <v>1.642257217847769</v>
      </c>
      <c r="S94" s="441">
        <v>6.3500000000000005</v>
      </c>
      <c r="T94" s="441">
        <v>2.7272727272727271</v>
      </c>
      <c r="U94" s="239">
        <v>2</v>
      </c>
      <c r="V94" s="442">
        <v>1.5277777777777779E-2</v>
      </c>
      <c r="W94" s="441" t="s">
        <v>176</v>
      </c>
      <c r="X94" s="438">
        <v>28.440909090909088</v>
      </c>
      <c r="Y94" s="438">
        <v>0</v>
      </c>
      <c r="Z94" s="443">
        <v>25.059111111111115</v>
      </c>
      <c r="AA94" s="58">
        <f t="shared" ca="1" si="10"/>
        <v>102.11</v>
      </c>
      <c r="AB94" s="453">
        <f ca="1">Table29[[#This Row],[Earnings]]-Table29[[#This Row],[4-Week Average]]</f>
        <v>-39.54</v>
      </c>
      <c r="AG94" s="462">
        <v>7</v>
      </c>
      <c r="AH94" s="11">
        <v>92.81</v>
      </c>
      <c r="AI94" s="11">
        <v>60.059999999999988</v>
      </c>
      <c r="AJ94" s="11">
        <v>-31.909999999999982</v>
      </c>
      <c r="AK94" s="11">
        <v>-15.924999999999997</v>
      </c>
      <c r="AL94" s="11">
        <v>23.627500000000012</v>
      </c>
      <c r="AM94" s="11">
        <f t="shared" si="12"/>
        <v>25.732500000000005</v>
      </c>
      <c r="AN94" s="11">
        <f t="shared" si="13"/>
        <v>1.3971698717948737</v>
      </c>
      <c r="AO94" s="461"/>
      <c r="AQ94">
        <v>24</v>
      </c>
      <c r="AR94" s="11">
        <v>55.560490196078433</v>
      </c>
      <c r="AS94" s="11">
        <f t="shared" si="11"/>
        <v>646.65702885671817</v>
      </c>
    </row>
    <row r="95" spans="1:45" x14ac:dyDescent="0.35">
      <c r="A95" s="445">
        <v>44540</v>
      </c>
      <c r="B95" s="444">
        <v>2021</v>
      </c>
      <c r="C95" s="444">
        <v>50</v>
      </c>
      <c r="D95" s="444">
        <v>11</v>
      </c>
      <c r="E95" s="444" t="s">
        <v>327</v>
      </c>
      <c r="F95" s="445" t="s">
        <v>50</v>
      </c>
      <c r="G95" s="446">
        <v>0.74999999999999889</v>
      </c>
      <c r="H95" s="445" t="s">
        <v>235</v>
      </c>
      <c r="I95" s="444">
        <v>44.2</v>
      </c>
      <c r="J95" s="445" t="s">
        <v>85</v>
      </c>
      <c r="K95" s="447">
        <v>109.35</v>
      </c>
      <c r="L95" s="448">
        <v>6.1</v>
      </c>
      <c r="M95" s="444">
        <v>128.9</v>
      </c>
      <c r="N95" s="444">
        <v>11</v>
      </c>
      <c r="O95" s="447">
        <v>17.926229508196723</v>
      </c>
      <c r="P95" s="449">
        <v>-0.34549245072902579</v>
      </c>
      <c r="Q95" s="447">
        <v>9.9409090909090896</v>
      </c>
      <c r="R95" s="447">
        <v>0.84833204034134979</v>
      </c>
      <c r="S95" s="450">
        <v>11.718181818181819</v>
      </c>
      <c r="T95" s="450">
        <v>1.8032786885245902</v>
      </c>
      <c r="U95" s="240">
        <v>3</v>
      </c>
      <c r="V95" s="451">
        <v>2.3106060606060606E-2</v>
      </c>
      <c r="W95" s="450" t="s">
        <v>176</v>
      </c>
      <c r="X95" s="447">
        <v>22.408214068869807</v>
      </c>
      <c r="Y95" s="447">
        <v>-4.4819845606730837</v>
      </c>
      <c r="Z95" s="452">
        <v>25.347888888888889</v>
      </c>
      <c r="AA95" s="58">
        <f t="shared" ca="1" si="10"/>
        <v>101.19749999999999</v>
      </c>
      <c r="AB95" s="453">
        <f ca="1">Table29[[#This Row],[Earnings]]-Table29[[#This Row],[4-Week Average]]</f>
        <v>8.1525000000000034</v>
      </c>
      <c r="AG95" s="462">
        <v>8</v>
      </c>
      <c r="AH95" s="11">
        <v>-25.227499999999992</v>
      </c>
      <c r="AI95" s="11">
        <v>-50.982500000000002</v>
      </c>
      <c r="AJ95" s="11">
        <v>-12.347499999999997</v>
      </c>
      <c r="AK95" s="11">
        <v>16.052500000000016</v>
      </c>
      <c r="AL95" s="11">
        <v>126.28</v>
      </c>
      <c r="AM95" s="11">
        <f t="shared" si="12"/>
        <v>10.755000000000006</v>
      </c>
      <c r="AN95" s="11">
        <f t="shared" si="13"/>
        <v>5.7397660256410274</v>
      </c>
      <c r="AO95" s="461"/>
      <c r="AQ95">
        <v>25</v>
      </c>
      <c r="AR95" s="11">
        <v>58.400637037037058</v>
      </c>
      <c r="AS95" s="11">
        <f t="shared" si="11"/>
        <v>665.85504243696528</v>
      </c>
    </row>
    <row r="96" spans="1:45" x14ac:dyDescent="0.35">
      <c r="A96" s="436">
        <v>44545</v>
      </c>
      <c r="B96" s="435">
        <v>2021</v>
      </c>
      <c r="C96" s="435">
        <v>51</v>
      </c>
      <c r="D96" s="435">
        <v>12</v>
      </c>
      <c r="E96" s="435" t="s">
        <v>327</v>
      </c>
      <c r="F96" s="436" t="s">
        <v>48</v>
      </c>
      <c r="G96" s="437">
        <v>0.72916666666666552</v>
      </c>
      <c r="H96" s="436" t="s">
        <v>235</v>
      </c>
      <c r="I96" s="435">
        <v>41.1</v>
      </c>
      <c r="J96" s="436" t="s">
        <v>80</v>
      </c>
      <c r="K96" s="438">
        <v>79.55</v>
      </c>
      <c r="L96" s="439">
        <v>3.5</v>
      </c>
      <c r="M96" s="435">
        <v>72.5</v>
      </c>
      <c r="N96" s="435">
        <v>8</v>
      </c>
      <c r="O96" s="438">
        <v>22.728571428571428</v>
      </c>
      <c r="P96" s="440" t="s">
        <v>393</v>
      </c>
      <c r="Q96" s="438">
        <v>9.9437499999999996</v>
      </c>
      <c r="R96" s="438">
        <v>1.0972413793103448</v>
      </c>
      <c r="S96" s="441">
        <v>9.0625</v>
      </c>
      <c r="T96" s="441">
        <v>2.2857142857142856</v>
      </c>
      <c r="U96" s="239">
        <v>2</v>
      </c>
      <c r="V96" s="442">
        <v>1.8229166666666668E-2</v>
      </c>
      <c r="W96" s="441" t="s">
        <v>176</v>
      </c>
      <c r="X96" s="438">
        <v>20.743564993564995</v>
      </c>
      <c r="Y96" s="438">
        <v>1.9850064350064329</v>
      </c>
      <c r="Z96" s="443">
        <v>25.568999999999999</v>
      </c>
      <c r="AA96" s="58">
        <f t="shared" ca="1" si="10"/>
        <v>92.17</v>
      </c>
      <c r="AB96" s="453">
        <f ca="1">Table29[[#This Row],[Earnings]]-Table29[[#This Row],[4-Week Average]]</f>
        <v>-12.620000000000005</v>
      </c>
      <c r="AG96" s="462">
        <v>9</v>
      </c>
      <c r="AH96" s="11">
        <v>-46.964999999999996</v>
      </c>
      <c r="AI96" s="11">
        <v>55.454999999999984</v>
      </c>
      <c r="AJ96" s="11">
        <v>105.5775</v>
      </c>
      <c r="AK96" s="11">
        <v>3.5049999999999955</v>
      </c>
      <c r="AL96" s="11">
        <v>-53.047500000000028</v>
      </c>
      <c r="AM96" s="11">
        <f t="shared" si="12"/>
        <v>12.904999999999992</v>
      </c>
      <c r="AN96" s="11">
        <f t="shared" si="13"/>
        <v>0.88877564102564244</v>
      </c>
      <c r="AO96" s="461"/>
      <c r="AQ96">
        <v>26</v>
      </c>
      <c r="AR96" s="11">
        <v>44.779013888888898</v>
      </c>
      <c r="AS96" s="11">
        <f t="shared" si="11"/>
        <v>667.59973533819982</v>
      </c>
    </row>
    <row r="97" spans="1:45" x14ac:dyDescent="0.35">
      <c r="A97" s="445">
        <v>44557</v>
      </c>
      <c r="B97" s="444">
        <v>2021</v>
      </c>
      <c r="C97" s="444">
        <v>1</v>
      </c>
      <c r="D97" s="444">
        <v>1</v>
      </c>
      <c r="E97" s="444" t="s">
        <v>278</v>
      </c>
      <c r="F97" s="445" t="s">
        <v>46</v>
      </c>
      <c r="G97" s="446">
        <v>0.83333333333333204</v>
      </c>
      <c r="H97" s="445" t="s">
        <v>235</v>
      </c>
      <c r="I97" s="444">
        <v>32.799999999999997</v>
      </c>
      <c r="J97" s="445" t="s">
        <v>80</v>
      </c>
      <c r="K97" s="447">
        <v>40.049999999999997</v>
      </c>
      <c r="L97" s="448">
        <v>1.5</v>
      </c>
      <c r="M97" s="444">
        <v>34.299999999999997</v>
      </c>
      <c r="N97" s="444">
        <v>2</v>
      </c>
      <c r="O97" s="447">
        <v>26.7</v>
      </c>
      <c r="P97" s="449">
        <v>-2.0588602654176391</v>
      </c>
      <c r="Q97" s="447">
        <v>20.024999999999999</v>
      </c>
      <c r="R97" s="447">
        <v>1.1676384839650147</v>
      </c>
      <c r="S97" s="450">
        <v>17.149999999999999</v>
      </c>
      <c r="T97" s="450">
        <v>1.3333333333333333</v>
      </c>
      <c r="U97" s="240">
        <v>1</v>
      </c>
      <c r="V97" s="451">
        <v>3.125E-2</v>
      </c>
      <c r="W97" s="450" t="s">
        <v>176</v>
      </c>
      <c r="X97" s="447">
        <v>22.603731343283581</v>
      </c>
      <c r="Y97" s="447">
        <v>4.0962686567164184</v>
      </c>
      <c r="Z97" s="452">
        <v>24.020666666666667</v>
      </c>
      <c r="AA97" s="58">
        <f t="shared" ca="1" si="10"/>
        <v>72.88</v>
      </c>
      <c r="AB97" s="453">
        <f ca="1">Table29[[#This Row],[Earnings]]-Table29[[#This Row],[4-Week Average]]</f>
        <v>-32.83</v>
      </c>
      <c r="AG97" s="462">
        <v>10</v>
      </c>
      <c r="AH97" s="11">
        <v>-7.7800000000000189</v>
      </c>
      <c r="AI97" s="11">
        <v>31.817499999999995</v>
      </c>
      <c r="AJ97" s="11">
        <v>-107.9575</v>
      </c>
      <c r="AK97" s="11">
        <v>73.489999999999995</v>
      </c>
      <c r="AL97" s="11">
        <v>-87.162499999999994</v>
      </c>
      <c r="AM97" s="11">
        <f t="shared" si="12"/>
        <v>-19.518500000000003</v>
      </c>
      <c r="AN97" s="11">
        <f t="shared" si="13"/>
        <v>0.33435256410256475</v>
      </c>
      <c r="AO97" s="461"/>
      <c r="AQ97">
        <v>27</v>
      </c>
      <c r="AR97" s="11">
        <v>55.068071428571443</v>
      </c>
      <c r="AS97" s="11">
        <f t="shared" si="11"/>
        <v>675.50684950181403</v>
      </c>
    </row>
    <row r="98" spans="1:45" x14ac:dyDescent="0.35">
      <c r="A98" s="436">
        <v>44561</v>
      </c>
      <c r="B98" s="435">
        <v>2021</v>
      </c>
      <c r="C98" s="435">
        <v>1</v>
      </c>
      <c r="D98" s="435">
        <v>1</v>
      </c>
      <c r="E98" s="435" t="s">
        <v>278</v>
      </c>
      <c r="F98" s="436" t="s">
        <v>50</v>
      </c>
      <c r="G98" s="437">
        <v>0.68749999999999889</v>
      </c>
      <c r="H98" s="436" t="s">
        <v>235</v>
      </c>
      <c r="I98" s="435">
        <v>37.799999999999997</v>
      </c>
      <c r="J98" s="436" t="s">
        <v>80</v>
      </c>
      <c r="K98" s="438">
        <v>150.18</v>
      </c>
      <c r="L98" s="439">
        <v>4.5</v>
      </c>
      <c r="M98" s="435">
        <v>109.2</v>
      </c>
      <c r="N98" s="435">
        <v>10</v>
      </c>
      <c r="O98" s="438">
        <v>33.373333333333335</v>
      </c>
      <c r="P98" s="440">
        <v>22.158593073593075</v>
      </c>
      <c r="Q98" s="438">
        <v>15.018000000000001</v>
      </c>
      <c r="R98" s="438">
        <v>1.3752747252747253</v>
      </c>
      <c r="S98" s="441">
        <v>10.92</v>
      </c>
      <c r="T98" s="441">
        <v>2.2222222222222223</v>
      </c>
      <c r="U98" s="239">
        <v>2</v>
      </c>
      <c r="V98" s="442">
        <v>1.8749999999999999E-2</v>
      </c>
      <c r="W98" s="441" t="s">
        <v>176</v>
      </c>
      <c r="X98" s="438">
        <v>19.988788031661809</v>
      </c>
      <c r="Y98" s="438">
        <v>13.384545301671526</v>
      </c>
      <c r="Z98" s="443">
        <v>25.292111111111112</v>
      </c>
      <c r="AA98" s="58">
        <f t="shared" ca="1" si="10"/>
        <v>94.782499999999999</v>
      </c>
      <c r="AB98" s="453">
        <f ca="1">Table29[[#This Row],[Earnings]]-Table29[[#This Row],[4-Week Average]]</f>
        <v>55.397500000000008</v>
      </c>
      <c r="AG98" s="462">
        <v>11</v>
      </c>
      <c r="AH98" s="11">
        <v>-32.944999999999993</v>
      </c>
      <c r="AI98" s="11">
        <v>-7.0324999999999989</v>
      </c>
      <c r="AJ98" s="11">
        <v>-18.305000000000021</v>
      </c>
      <c r="AK98" s="11">
        <v>-91.227499999999992</v>
      </c>
      <c r="AL98" s="11">
        <v>178.41</v>
      </c>
      <c r="AM98" s="11">
        <f t="shared" si="12"/>
        <v>5.7800000000000011</v>
      </c>
      <c r="AN98" s="11">
        <f t="shared" si="13"/>
        <v>-2.5825705128205123</v>
      </c>
      <c r="AO98" s="461"/>
      <c r="AQ98">
        <v>28</v>
      </c>
      <c r="AR98" s="11">
        <v>47.973287037037039</v>
      </c>
      <c r="AS98" s="11">
        <f t="shared" si="11"/>
        <v>672.31391431662882</v>
      </c>
    </row>
    <row r="99" spans="1:45" x14ac:dyDescent="0.35">
      <c r="A99" s="445">
        <v>44572</v>
      </c>
      <c r="B99" s="444">
        <v>2022</v>
      </c>
      <c r="C99" s="444">
        <v>3</v>
      </c>
      <c r="D99" s="444">
        <v>3</v>
      </c>
      <c r="E99" s="444" t="s">
        <v>278</v>
      </c>
      <c r="F99" s="445" t="s">
        <v>47</v>
      </c>
      <c r="G99" s="446">
        <v>0.72916666666666552</v>
      </c>
      <c r="H99" s="445" t="s">
        <v>249</v>
      </c>
      <c r="I99" s="444">
        <v>24.1</v>
      </c>
      <c r="J99" s="445" t="s">
        <v>80</v>
      </c>
      <c r="K99" s="447">
        <v>79.45</v>
      </c>
      <c r="L99" s="448">
        <v>3.9000000000000004</v>
      </c>
      <c r="M99" s="444">
        <v>81.3</v>
      </c>
      <c r="N99" s="444">
        <v>8</v>
      </c>
      <c r="O99" s="447">
        <v>20.371794871794872</v>
      </c>
      <c r="P99" s="449">
        <v>-28.467511486586634</v>
      </c>
      <c r="Q99" s="447">
        <v>9.9312500000000004</v>
      </c>
      <c r="R99" s="447">
        <v>0.97724477244772456</v>
      </c>
      <c r="S99" s="450">
        <v>10.1625</v>
      </c>
      <c r="T99" s="450">
        <v>2.0512820512820511</v>
      </c>
      <c r="U99" s="240">
        <v>2</v>
      </c>
      <c r="V99" s="451">
        <v>2.0312500000000001E-2</v>
      </c>
      <c r="W99" s="450" t="s">
        <v>176</v>
      </c>
      <c r="X99" s="447">
        <v>24.309841019700176</v>
      </c>
      <c r="Y99" s="447">
        <v>-3.9380461479053039</v>
      </c>
      <c r="Z99" s="452">
        <v>25.438777777777769</v>
      </c>
      <c r="AA99" s="58">
        <f t="shared" ca="1" si="10"/>
        <v>87.30749999999999</v>
      </c>
      <c r="AB99" s="453">
        <f ca="1">Table29[[#This Row],[Earnings]]-Table29[[#This Row],[4-Week Average]]</f>
        <v>-7.8574999999999875</v>
      </c>
      <c r="AG99" s="462">
        <v>12</v>
      </c>
      <c r="AH99" s="11">
        <v>85.482500000000002</v>
      </c>
      <c r="AI99" s="11">
        <v>40.894999999999996</v>
      </c>
      <c r="AJ99" s="11">
        <v>-24.105000000000004</v>
      </c>
      <c r="AK99" s="11">
        <v>23.03</v>
      </c>
      <c r="AL99" s="11">
        <v>-144.80000000000001</v>
      </c>
      <c r="AM99" s="11">
        <f t="shared" si="12"/>
        <v>-3.8995000000000033</v>
      </c>
      <c r="AN99" s="11">
        <f t="shared" si="13"/>
        <v>-0.33582692307692219</v>
      </c>
      <c r="AO99" s="461"/>
      <c r="AQ99">
        <v>29</v>
      </c>
      <c r="AR99" s="11">
        <v>55.506864197530867</v>
      </c>
      <c r="AS99" s="11">
        <f t="shared" si="11"/>
        <v>680.5703084286896</v>
      </c>
    </row>
    <row r="100" spans="1:45" x14ac:dyDescent="0.35">
      <c r="A100" s="436">
        <v>44576</v>
      </c>
      <c r="B100" s="435">
        <v>2022</v>
      </c>
      <c r="C100" s="435">
        <v>3</v>
      </c>
      <c r="D100" s="435">
        <v>3</v>
      </c>
      <c r="E100" s="435" t="s">
        <v>278</v>
      </c>
      <c r="F100" s="436" t="s">
        <v>51</v>
      </c>
      <c r="G100" s="437">
        <v>0.47916666666666591</v>
      </c>
      <c r="H100" s="436" t="s">
        <v>230</v>
      </c>
      <c r="I100" s="435">
        <v>19.7</v>
      </c>
      <c r="J100" s="436" t="s">
        <v>82</v>
      </c>
      <c r="K100" s="438">
        <v>100.25</v>
      </c>
      <c r="L100" s="439">
        <v>5.6</v>
      </c>
      <c r="M100" s="435">
        <v>116.89999999999999</v>
      </c>
      <c r="N100" s="435">
        <v>14</v>
      </c>
      <c r="O100" s="438">
        <v>17.901785714285715</v>
      </c>
      <c r="P100" s="440">
        <v>2.861426969891097</v>
      </c>
      <c r="Q100" s="438">
        <v>7.1607142857142856</v>
      </c>
      <c r="R100" s="438">
        <v>0.85757057313943552</v>
      </c>
      <c r="S100" s="441">
        <v>8.35</v>
      </c>
      <c r="T100" s="441">
        <v>2.5</v>
      </c>
      <c r="U100" s="239">
        <v>3</v>
      </c>
      <c r="V100" s="442">
        <v>1.6666666666666666E-2</v>
      </c>
      <c r="W100" s="441" t="s">
        <v>176</v>
      </c>
      <c r="X100" s="438">
        <v>19.264398626308076</v>
      </c>
      <c r="Y100" s="438">
        <v>-1.3626129120223602</v>
      </c>
      <c r="Z100" s="443">
        <v>26.55266666666666</v>
      </c>
      <c r="AA100" s="58">
        <f t="shared" ca="1" si="10"/>
        <v>92.482500000000002</v>
      </c>
      <c r="AB100" s="453">
        <f ca="1">Table29[[#This Row],[Earnings]]-Table29[[#This Row],[4-Week Average]]</f>
        <v>7.7674999999999983</v>
      </c>
      <c r="AG100" s="462">
        <v>13</v>
      </c>
      <c r="AH100" s="11">
        <v>100.50500000000002</v>
      </c>
      <c r="AI100" s="11">
        <v>-61.08250000000001</v>
      </c>
      <c r="AJ100" s="11">
        <v>46.19</v>
      </c>
      <c r="AK100" s="11">
        <v>46.759999999999991</v>
      </c>
      <c r="AL100" s="11">
        <v>22.277499999999996</v>
      </c>
      <c r="AM100" s="11">
        <f t="shared" si="12"/>
        <v>30.93</v>
      </c>
      <c r="AN100" s="11">
        <f t="shared" si="13"/>
        <v>1.3394615384615389</v>
      </c>
      <c r="AO100" s="461"/>
      <c r="AQ100">
        <v>30</v>
      </c>
      <c r="AR100" s="11">
        <v>59.485564102564098</v>
      </c>
      <c r="AS100" s="11">
        <f t="shared" si="11"/>
        <v>688.60111229733559</v>
      </c>
    </row>
    <row r="101" spans="1:45" x14ac:dyDescent="0.35">
      <c r="A101" s="445">
        <v>44585</v>
      </c>
      <c r="B101" s="444">
        <v>2022</v>
      </c>
      <c r="C101" s="444">
        <v>5</v>
      </c>
      <c r="D101" s="444">
        <v>5</v>
      </c>
      <c r="E101" s="444" t="s">
        <v>278</v>
      </c>
      <c r="F101" s="445" t="s">
        <v>46</v>
      </c>
      <c r="G101" s="446">
        <v>0.72916666666666552</v>
      </c>
      <c r="H101" s="445" t="s">
        <v>234</v>
      </c>
      <c r="I101" s="444">
        <v>29.7</v>
      </c>
      <c r="J101" s="445" t="s">
        <v>80</v>
      </c>
      <c r="K101" s="447">
        <v>38.43</v>
      </c>
      <c r="L101" s="448">
        <v>1.8</v>
      </c>
      <c r="M101" s="444">
        <v>46.4</v>
      </c>
      <c r="N101" s="444">
        <v>4</v>
      </c>
      <c r="O101" s="447">
        <v>21.349999999999998</v>
      </c>
      <c r="P101" s="449">
        <v>-6.8941451990632316</v>
      </c>
      <c r="Q101" s="447">
        <v>9.6074999999999999</v>
      </c>
      <c r="R101" s="447">
        <v>0.82823275862068968</v>
      </c>
      <c r="S101" s="450">
        <v>11.6</v>
      </c>
      <c r="T101" s="450">
        <v>2.2222222222222223</v>
      </c>
      <c r="U101" s="240">
        <v>2</v>
      </c>
      <c r="V101" s="451">
        <v>1.8749999999999999E-2</v>
      </c>
      <c r="W101" s="450" t="s">
        <v>176</v>
      </c>
      <c r="X101" s="447">
        <v>21.349999999999998</v>
      </c>
      <c r="Y101" s="447">
        <v>0</v>
      </c>
      <c r="Z101" s="452">
        <v>24.560555555555553</v>
      </c>
      <c r="AA101" s="58">
        <f t="shared" ca="1" si="10"/>
        <v>92.077500000000001</v>
      </c>
      <c r="AB101" s="453">
        <f ca="1">Table29[[#This Row],[Earnings]]-Table29[[#This Row],[4-Week Average]]</f>
        <v>-53.647500000000001</v>
      </c>
      <c r="AG101" s="462">
        <v>14</v>
      </c>
      <c r="AH101" s="11">
        <v>-77.06750000000001</v>
      </c>
      <c r="AI101" s="11">
        <v>-49.237499999999997</v>
      </c>
      <c r="AJ101" s="11">
        <v>27.582500000000024</v>
      </c>
      <c r="AK101" s="11">
        <v>-25.814999999999984</v>
      </c>
      <c r="AL101" s="11"/>
      <c r="AM101" s="11">
        <f t="shared" si="12"/>
        <v>-31.134374999999991</v>
      </c>
      <c r="AN101" s="11">
        <f t="shared" si="13"/>
        <v>1.4444999999999999</v>
      </c>
      <c r="AO101" s="461"/>
      <c r="AQ101">
        <v>31</v>
      </c>
      <c r="AR101" s="11">
        <v>63.204976190476202</v>
      </c>
      <c r="AS101" s="11">
        <f t="shared" si="11"/>
        <v>696.30986626558956</v>
      </c>
    </row>
    <row r="102" spans="1:45" x14ac:dyDescent="0.35">
      <c r="A102" s="436">
        <v>44595</v>
      </c>
      <c r="B102" s="435">
        <v>2022</v>
      </c>
      <c r="C102" s="435">
        <v>6</v>
      </c>
      <c r="D102" s="435">
        <v>6</v>
      </c>
      <c r="E102" s="435" t="s">
        <v>278</v>
      </c>
      <c r="F102" s="436" t="s">
        <v>49</v>
      </c>
      <c r="G102" s="437">
        <v>0.74999999999999889</v>
      </c>
      <c r="H102" s="436" t="s">
        <v>232</v>
      </c>
      <c r="I102" s="435">
        <v>24.4</v>
      </c>
      <c r="J102" s="436" t="s">
        <v>80</v>
      </c>
      <c r="K102" s="438">
        <v>55.89</v>
      </c>
      <c r="L102" s="439">
        <v>2.5</v>
      </c>
      <c r="M102" s="435">
        <v>49.8</v>
      </c>
      <c r="N102" s="435">
        <v>8</v>
      </c>
      <c r="O102" s="438">
        <v>22.356000000000002</v>
      </c>
      <c r="P102" s="440" t="s">
        <v>393</v>
      </c>
      <c r="Q102" s="438">
        <v>6.9862500000000001</v>
      </c>
      <c r="R102" s="438">
        <v>1.1222891566265061</v>
      </c>
      <c r="S102" s="441">
        <v>6.2249999999999996</v>
      </c>
      <c r="T102" s="441">
        <v>3.2</v>
      </c>
      <c r="U102" s="239">
        <v>1</v>
      </c>
      <c r="V102" s="442">
        <v>1.3020833333333334E-2</v>
      </c>
      <c r="W102" s="441" t="s">
        <v>176</v>
      </c>
      <c r="X102" s="438">
        <v>20.232614280015955</v>
      </c>
      <c r="Y102" s="438">
        <v>2.1233857199840465</v>
      </c>
      <c r="Z102" s="443">
        <v>24.019333333333332</v>
      </c>
      <c r="AA102" s="58">
        <f t="shared" ca="1" si="10"/>
        <v>68.504999999999995</v>
      </c>
      <c r="AB102" s="453">
        <f ca="1">Table29[[#This Row],[Earnings]]-Table29[[#This Row],[4-Week Average]]</f>
        <v>-12.614999999999995</v>
      </c>
      <c r="AG102" s="462">
        <v>15</v>
      </c>
      <c r="AH102" s="11"/>
      <c r="AI102" s="11">
        <v>2</v>
      </c>
      <c r="AJ102" s="11">
        <v>-78.0625</v>
      </c>
      <c r="AK102" s="11">
        <v>-0.27249999999999375</v>
      </c>
      <c r="AL102" s="11">
        <v>-16.03250000000002</v>
      </c>
      <c r="AM102" s="11">
        <f t="shared" si="12"/>
        <v>-23.091875000000002</v>
      </c>
      <c r="AN102" s="11">
        <f t="shared" si="13"/>
        <v>0.66015384615384509</v>
      </c>
      <c r="AO102" s="461"/>
      <c r="AQ102">
        <v>32</v>
      </c>
      <c r="AR102" s="11">
        <v>60.862912698412693</v>
      </c>
      <c r="AS102" s="11">
        <f t="shared" si="11"/>
        <v>710.45759714582061</v>
      </c>
    </row>
    <row r="103" spans="1:45" x14ac:dyDescent="0.35">
      <c r="A103" s="445">
        <v>44600</v>
      </c>
      <c r="B103" s="444">
        <v>2022</v>
      </c>
      <c r="C103" s="444">
        <v>7</v>
      </c>
      <c r="D103" s="444">
        <v>7</v>
      </c>
      <c r="E103" s="444" t="s">
        <v>278</v>
      </c>
      <c r="F103" s="445" t="s">
        <v>47</v>
      </c>
      <c r="G103" s="446">
        <v>0.77083333333333215</v>
      </c>
      <c r="H103" s="445" t="s">
        <v>230</v>
      </c>
      <c r="I103" s="444">
        <v>38.700000000000003</v>
      </c>
      <c r="J103" s="445" t="s">
        <v>80</v>
      </c>
      <c r="K103" s="447">
        <v>110.74</v>
      </c>
      <c r="L103" s="448">
        <v>3.3</v>
      </c>
      <c r="M103" s="444">
        <v>76</v>
      </c>
      <c r="N103" s="444">
        <v>6</v>
      </c>
      <c r="O103" s="447">
        <v>33.557575757575755</v>
      </c>
      <c r="P103" s="449">
        <v>-1.0479748575124361</v>
      </c>
      <c r="Q103" s="447">
        <v>18.456666666666667</v>
      </c>
      <c r="R103" s="447">
        <v>1.4571052631578947</v>
      </c>
      <c r="S103" s="450">
        <v>12.666666666666666</v>
      </c>
      <c r="T103" s="450">
        <v>1.8181818181818183</v>
      </c>
      <c r="U103" s="240">
        <v>2</v>
      </c>
      <c r="V103" s="451">
        <v>2.2916666666666665E-2</v>
      </c>
      <c r="W103" s="450" t="s">
        <v>176</v>
      </c>
      <c r="X103" s="447">
        <v>27.074867409256267</v>
      </c>
      <c r="Y103" s="447">
        <v>6.4827083483194876</v>
      </c>
      <c r="Z103" s="452">
        <v>23.470444444444446</v>
      </c>
      <c r="AA103" s="58">
        <f t="shared" ca="1" si="10"/>
        <v>76.327500000000001</v>
      </c>
      <c r="AB103" s="453">
        <f ca="1">Table29[[#This Row],[Earnings]]-Table29[[#This Row],[4-Week Average]]</f>
        <v>34.412499999999994</v>
      </c>
      <c r="AG103" s="462">
        <v>16</v>
      </c>
      <c r="AH103" s="11">
        <v>-78.550000000000011</v>
      </c>
      <c r="AI103" s="11"/>
      <c r="AJ103" s="11">
        <v>47.137500000000003</v>
      </c>
      <c r="AK103" s="11">
        <v>-3.7974999999999994</v>
      </c>
      <c r="AL103" s="11">
        <v>1.7700000000000102</v>
      </c>
      <c r="AM103" s="11">
        <f t="shared" si="12"/>
        <v>-8.36</v>
      </c>
      <c r="AN103" s="11">
        <f t="shared" si="13"/>
        <v>-4.1328076923076935</v>
      </c>
      <c r="AO103" s="461"/>
      <c r="AQ103">
        <v>33</v>
      </c>
      <c r="AR103" s="11">
        <v>62.376269841269838</v>
      </c>
      <c r="AS103" s="11">
        <f t="shared" si="11"/>
        <v>721.13313496094656</v>
      </c>
    </row>
    <row r="104" spans="1:45" x14ac:dyDescent="0.35">
      <c r="A104" s="436">
        <v>44604</v>
      </c>
      <c r="B104" s="435">
        <v>2022</v>
      </c>
      <c r="C104" s="435">
        <v>7</v>
      </c>
      <c r="D104" s="435">
        <v>7</v>
      </c>
      <c r="E104" s="435" t="s">
        <v>278</v>
      </c>
      <c r="F104" s="436" t="s">
        <v>51</v>
      </c>
      <c r="G104" s="437">
        <v>0.64583333333333237</v>
      </c>
      <c r="H104" s="436" t="s">
        <v>234</v>
      </c>
      <c r="I104" s="435">
        <v>23.6</v>
      </c>
      <c r="J104" s="436" t="s">
        <v>80</v>
      </c>
      <c r="K104" s="438">
        <v>102.55</v>
      </c>
      <c r="L104" s="439">
        <v>5.5</v>
      </c>
      <c r="M104" s="435">
        <v>87.4</v>
      </c>
      <c r="N104" s="435">
        <v>14</v>
      </c>
      <c r="O104" s="438">
        <v>18.645454545454545</v>
      </c>
      <c r="P104" s="440">
        <v>-12.558627600203494</v>
      </c>
      <c r="Q104" s="438">
        <v>7.3250000000000002</v>
      </c>
      <c r="R104" s="438">
        <v>1.173340961098398</v>
      </c>
      <c r="S104" s="441">
        <v>6.2428571428571429</v>
      </c>
      <c r="T104" s="441">
        <v>2.5454545454545454</v>
      </c>
      <c r="U104" s="239">
        <v>1</v>
      </c>
      <c r="V104" s="442">
        <v>1.636904761904762E-2</v>
      </c>
      <c r="W104" s="441" t="s">
        <v>176</v>
      </c>
      <c r="X104" s="438">
        <v>23.598377948374907</v>
      </c>
      <c r="Y104" s="438">
        <v>-4.9529234029203622</v>
      </c>
      <c r="Z104" s="443">
        <v>22.546777777777777</v>
      </c>
      <c r="AA104" s="58">
        <f t="shared" ca="1" si="10"/>
        <v>76.902500000000003</v>
      </c>
      <c r="AB104" s="453">
        <f ca="1">Table29[[#This Row],[Earnings]]-Table29[[#This Row],[4-Week Average]]</f>
        <v>25.647499999999994</v>
      </c>
      <c r="AG104" s="462">
        <v>17</v>
      </c>
      <c r="AH104" s="11">
        <v>-32.582499999999996</v>
      </c>
      <c r="AI104" s="11">
        <v>92.637500000000017</v>
      </c>
      <c r="AJ104" s="11">
        <v>16.587499999999977</v>
      </c>
      <c r="AK104" s="11">
        <v>-38.335000000000008</v>
      </c>
      <c r="AL104" s="11">
        <v>-24.377500000000005</v>
      </c>
      <c r="AM104" s="11">
        <f t="shared" si="12"/>
        <v>2.7859999999999969</v>
      </c>
      <c r="AN104" s="11">
        <f t="shared" si="13"/>
        <v>-2.1705000000000014</v>
      </c>
      <c r="AO104" s="461"/>
      <c r="AQ104">
        <v>34</v>
      </c>
      <c r="AR104" s="11">
        <v>60.138672839506171</v>
      </c>
      <c r="AS104" s="11">
        <f t="shared" si="11"/>
        <v>734.42926705971195</v>
      </c>
    </row>
    <row r="105" spans="1:45" x14ac:dyDescent="0.35">
      <c r="A105" s="445">
        <v>44606</v>
      </c>
      <c r="B105" s="444">
        <v>2022</v>
      </c>
      <c r="C105" s="444">
        <v>8</v>
      </c>
      <c r="D105" s="444">
        <v>8</v>
      </c>
      <c r="E105" s="444" t="s">
        <v>278</v>
      </c>
      <c r="F105" s="445" t="s">
        <v>46</v>
      </c>
      <c r="G105" s="446">
        <v>0.74999999999999889</v>
      </c>
      <c r="H105" s="445" t="s">
        <v>230</v>
      </c>
      <c r="I105" s="444">
        <v>16.7</v>
      </c>
      <c r="J105" s="445" t="s">
        <v>80</v>
      </c>
      <c r="K105" s="447">
        <v>21.75</v>
      </c>
      <c r="L105" s="448">
        <v>0.8</v>
      </c>
      <c r="M105" s="444">
        <v>19.3</v>
      </c>
      <c r="N105" s="444">
        <v>2</v>
      </c>
      <c r="O105" s="447">
        <v>27.1875</v>
      </c>
      <c r="P105" s="449">
        <v>0.32218384074941397</v>
      </c>
      <c r="Q105" s="447">
        <v>10.875</v>
      </c>
      <c r="R105" s="447">
        <v>1.1269430051813472</v>
      </c>
      <c r="S105" s="450">
        <v>9.65</v>
      </c>
      <c r="T105" s="450">
        <v>2.5</v>
      </c>
      <c r="U105" s="240">
        <v>1</v>
      </c>
      <c r="V105" s="451">
        <v>1.6666666666666666E-2</v>
      </c>
      <c r="W105" s="450" t="s">
        <v>176</v>
      </c>
      <c r="X105" s="447">
        <v>27.049491626794261</v>
      </c>
      <c r="Y105" s="447">
        <v>0.13800837320573933</v>
      </c>
      <c r="Z105" s="452">
        <v>20.517888888888891</v>
      </c>
      <c r="AA105" s="58">
        <f t="shared" ca="1" si="10"/>
        <v>72.732500000000002</v>
      </c>
      <c r="AB105" s="453">
        <f ca="1">Table29[[#This Row],[Earnings]]-Table29[[#This Row],[4-Week Average]]</f>
        <v>-50.982500000000002</v>
      </c>
      <c r="AG105" s="462">
        <v>18</v>
      </c>
      <c r="AH105" s="11">
        <v>-7.9274999999999949</v>
      </c>
      <c r="AI105" s="11"/>
      <c r="AJ105" s="11">
        <v>-75.14</v>
      </c>
      <c r="AK105" s="11">
        <v>44.425000000000011</v>
      </c>
      <c r="AL105" s="11">
        <v>7.8374999999999773</v>
      </c>
      <c r="AM105" s="11">
        <f t="shared" si="12"/>
        <v>-7.7012500000000017</v>
      </c>
      <c r="AN105" s="11">
        <f t="shared" si="13"/>
        <v>-0.91796153846153861</v>
      </c>
      <c r="AO105" s="461"/>
      <c r="AQ105">
        <v>35</v>
      </c>
      <c r="AR105" s="11">
        <v>62.3425476190476</v>
      </c>
      <c r="AS105" s="11">
        <f t="shared" si="11"/>
        <v>740.38677374308702</v>
      </c>
    </row>
    <row r="106" spans="1:45" x14ac:dyDescent="0.35">
      <c r="A106" s="436">
        <v>44616</v>
      </c>
      <c r="B106" s="435">
        <v>2022</v>
      </c>
      <c r="C106" s="435">
        <v>9</v>
      </c>
      <c r="D106" s="435">
        <v>9</v>
      </c>
      <c r="E106" s="435" t="s">
        <v>278</v>
      </c>
      <c r="F106" s="436" t="s">
        <v>49</v>
      </c>
      <c r="G106" s="437">
        <v>0.72916666666666552</v>
      </c>
      <c r="H106" s="436" t="s">
        <v>232</v>
      </c>
      <c r="I106" s="435">
        <v>17.3</v>
      </c>
      <c r="J106" s="436" t="s">
        <v>82</v>
      </c>
      <c r="K106" s="438">
        <v>72.930000000000007</v>
      </c>
      <c r="L106" s="439">
        <v>4</v>
      </c>
      <c r="M106" s="435">
        <v>59</v>
      </c>
      <c r="N106" s="435">
        <v>10</v>
      </c>
      <c r="O106" s="438">
        <v>18.232500000000002</v>
      </c>
      <c r="P106" s="440" t="s">
        <v>393</v>
      </c>
      <c r="Q106" s="438">
        <v>7.293000000000001</v>
      </c>
      <c r="R106" s="438">
        <v>1.2361016949152543</v>
      </c>
      <c r="S106" s="441">
        <v>5.9</v>
      </c>
      <c r="T106" s="441">
        <v>2.5</v>
      </c>
      <c r="U106" s="239">
        <v>2</v>
      </c>
      <c r="V106" s="442">
        <v>1.6666666666666666E-2</v>
      </c>
      <c r="W106" s="441" t="s">
        <v>176</v>
      </c>
      <c r="X106" s="438">
        <v>23.055098920863308</v>
      </c>
      <c r="Y106" s="438">
        <v>-4.8225989208633067</v>
      </c>
      <c r="Z106" s="443">
        <v>18.333444444444446</v>
      </c>
      <c r="AA106" s="58">
        <f t="shared" ca="1" si="10"/>
        <v>76.992500000000007</v>
      </c>
      <c r="AB106" s="453">
        <f ca="1">Table29[[#This Row],[Earnings]]-Table29[[#This Row],[4-Week Average]]</f>
        <v>-4.0625</v>
      </c>
      <c r="AG106" s="462">
        <v>19</v>
      </c>
      <c r="AH106" s="11">
        <v>65.72999999999999</v>
      </c>
      <c r="AI106" s="11">
        <v>-13.662500000000023</v>
      </c>
      <c r="AJ106" s="11">
        <v>51.42</v>
      </c>
      <c r="AK106" s="11">
        <v>-34.197499999999991</v>
      </c>
      <c r="AL106" s="11">
        <v>48.6875</v>
      </c>
      <c r="AM106" s="11">
        <f t="shared" si="12"/>
        <v>23.595499999999994</v>
      </c>
      <c r="AN106" s="11">
        <f t="shared" si="13"/>
        <v>-6.1230769230769186E-2</v>
      </c>
      <c r="AO106" s="461"/>
      <c r="AQ106">
        <v>36</v>
      </c>
      <c r="AR106" s="11">
        <v>50.895986928104584</v>
      </c>
      <c r="AS106" s="11">
        <f t="shared" si="11"/>
        <v>736.59529400452493</v>
      </c>
    </row>
    <row r="107" spans="1:45" x14ac:dyDescent="0.35">
      <c r="A107" s="445">
        <v>44619</v>
      </c>
      <c r="B107" s="444">
        <v>2022</v>
      </c>
      <c r="C107" s="444">
        <v>9</v>
      </c>
      <c r="D107" s="444">
        <v>9</v>
      </c>
      <c r="E107" s="444" t="s">
        <v>278</v>
      </c>
      <c r="F107" s="445" t="s">
        <v>45</v>
      </c>
      <c r="G107" s="446">
        <v>0.70833333333333226</v>
      </c>
      <c r="H107" s="445" t="s">
        <v>230</v>
      </c>
      <c r="I107" s="444">
        <v>11</v>
      </c>
      <c r="J107" s="445" t="s">
        <v>85</v>
      </c>
      <c r="K107" s="447">
        <v>145.1</v>
      </c>
      <c r="L107" s="448">
        <v>5.5</v>
      </c>
      <c r="M107" s="444">
        <v>90.6</v>
      </c>
      <c r="N107" s="444">
        <v>16</v>
      </c>
      <c r="O107" s="447">
        <v>26.381818181818179</v>
      </c>
      <c r="P107" s="449">
        <v>15.28125305673584</v>
      </c>
      <c r="Q107" s="447">
        <v>9.0687499999999996</v>
      </c>
      <c r="R107" s="447">
        <v>1.6015452538631347</v>
      </c>
      <c r="S107" s="450">
        <v>5.6624999999999996</v>
      </c>
      <c r="T107" s="450">
        <v>2.9090909090909092</v>
      </c>
      <c r="U107" s="240">
        <v>2</v>
      </c>
      <c r="V107" s="451">
        <v>1.4322916666666666E-2</v>
      </c>
      <c r="W107" s="450" t="s">
        <v>176</v>
      </c>
      <c r="X107" s="447">
        <v>27.871502575489643</v>
      </c>
      <c r="Y107" s="447">
        <v>-1.4896843936714639</v>
      </c>
      <c r="Z107" s="452">
        <v>15.573999999999998</v>
      </c>
      <c r="AA107" s="58">
        <f t="shared" ca="1" si="10"/>
        <v>85.58250000000001</v>
      </c>
      <c r="AB107" s="453">
        <f ca="1">Table29[[#This Row],[Earnings]]-Table29[[#This Row],[4-Week Average]]</f>
        <v>59.517499999999984</v>
      </c>
      <c r="AG107" s="458">
        <v>20</v>
      </c>
      <c r="AH107" s="11">
        <v>34.714999999999975</v>
      </c>
      <c r="AI107" s="11">
        <v>-57.319999999999979</v>
      </c>
      <c r="AJ107" s="11">
        <v>4.1025000000000063</v>
      </c>
      <c r="AK107" s="11">
        <v>70.305000000000007</v>
      </c>
      <c r="AL107" s="11">
        <v>25.877499999999984</v>
      </c>
      <c r="AM107" s="11">
        <f t="shared" si="12"/>
        <v>15.535999999999998</v>
      </c>
      <c r="AN107" s="11">
        <f t="shared" si="13"/>
        <v>0.66853846153846086</v>
      </c>
      <c r="AO107" s="457"/>
      <c r="AQ107">
        <v>37</v>
      </c>
      <c r="AR107" s="11">
        <v>57.850566666666658</v>
      </c>
      <c r="AS107" s="11">
        <f t="shared" si="11"/>
        <v>738.88537047511318</v>
      </c>
    </row>
    <row r="108" spans="1:45" x14ac:dyDescent="0.35">
      <c r="A108" s="436">
        <v>44620</v>
      </c>
      <c r="B108" s="435">
        <v>2022</v>
      </c>
      <c r="C108" s="435">
        <v>10</v>
      </c>
      <c r="D108" s="435">
        <v>10</v>
      </c>
      <c r="E108" s="435" t="s">
        <v>278</v>
      </c>
      <c r="F108" s="436" t="s">
        <v>46</v>
      </c>
      <c r="G108" s="437">
        <v>0.74999999999999889</v>
      </c>
      <c r="H108" s="436" t="s">
        <v>234</v>
      </c>
      <c r="I108" s="435">
        <v>27.8</v>
      </c>
      <c r="J108" s="436" t="s">
        <v>80</v>
      </c>
      <c r="K108" s="438">
        <v>122.35</v>
      </c>
      <c r="L108" s="439">
        <v>5.3</v>
      </c>
      <c r="M108" s="435">
        <v>119.19999999999999</v>
      </c>
      <c r="N108" s="435">
        <v>11</v>
      </c>
      <c r="O108" s="438">
        <v>23.084905660377359</v>
      </c>
      <c r="P108" s="440">
        <v>-3.8341078056647966</v>
      </c>
      <c r="Q108" s="438">
        <v>11.122727272727273</v>
      </c>
      <c r="R108" s="438">
        <v>1.0264261744966443</v>
      </c>
      <c r="S108" s="441">
        <v>10.836363636363636</v>
      </c>
      <c r="T108" s="441">
        <v>2.0754716981132075</v>
      </c>
      <c r="U108" s="239">
        <v>2</v>
      </c>
      <c r="V108" s="442">
        <v>2.0075757575757577E-2</v>
      </c>
      <c r="W108" s="441" t="s">
        <v>176</v>
      </c>
      <c r="X108" s="438">
        <v>23.56093186038801</v>
      </c>
      <c r="Y108" s="438">
        <v>-0.47602620001065077</v>
      </c>
      <c r="Z108" s="443">
        <v>16.93344444444444</v>
      </c>
      <c r="AA108" s="58">
        <f t="shared" ca="1" si="10"/>
        <v>90.532499999999999</v>
      </c>
      <c r="AB108" s="453">
        <f ca="1">Table29[[#This Row],[Earnings]]-Table29[[#This Row],[4-Week Average]]</f>
        <v>31.817499999999995</v>
      </c>
      <c r="AG108" s="458">
        <v>21</v>
      </c>
      <c r="AH108" s="11">
        <v>9.8250000000000171</v>
      </c>
      <c r="AI108" s="11">
        <v>-50.937500000000007</v>
      </c>
      <c r="AJ108" s="11">
        <v>-77.862500000000011</v>
      </c>
      <c r="AK108" s="11">
        <v>-92.777500000000018</v>
      </c>
      <c r="AL108" s="11">
        <v>-46.014999999999986</v>
      </c>
      <c r="AM108" s="11">
        <f t="shared" si="12"/>
        <v>-51.5535</v>
      </c>
      <c r="AN108" s="11">
        <f t="shared" si="13"/>
        <v>-4.2718942307692309</v>
      </c>
      <c r="AO108" s="457"/>
      <c r="AQ108">
        <v>38</v>
      </c>
      <c r="AR108" s="11">
        <v>55.179060606060609</v>
      </c>
      <c r="AS108" s="11">
        <f t="shared" si="11"/>
        <v>735.66379404413669</v>
      </c>
    </row>
    <row r="109" spans="1:45" x14ac:dyDescent="0.35">
      <c r="A109" s="445">
        <v>44627</v>
      </c>
      <c r="B109" s="444">
        <v>2022</v>
      </c>
      <c r="C109" s="444">
        <v>11</v>
      </c>
      <c r="D109" s="444">
        <v>11</v>
      </c>
      <c r="E109" s="444" t="s">
        <v>278</v>
      </c>
      <c r="F109" s="445" t="s">
        <v>46</v>
      </c>
      <c r="G109" s="446">
        <v>0.70833333333333226</v>
      </c>
      <c r="H109" s="445" t="s">
        <v>236</v>
      </c>
      <c r="I109" s="444">
        <v>36.5</v>
      </c>
      <c r="J109" s="445" t="s">
        <v>80</v>
      </c>
      <c r="K109" s="447">
        <v>72.14</v>
      </c>
      <c r="L109" s="448">
        <v>2.2999999999999998</v>
      </c>
      <c r="M109" s="444">
        <v>54.3</v>
      </c>
      <c r="N109" s="444">
        <v>6</v>
      </c>
      <c r="O109" s="447">
        <v>31.365217391304352</v>
      </c>
      <c r="P109" s="449">
        <v>4.9939336117857387</v>
      </c>
      <c r="Q109" s="447">
        <v>12.023333333333333</v>
      </c>
      <c r="R109" s="447">
        <v>1.3285451197053408</v>
      </c>
      <c r="S109" s="450">
        <v>9.0499999999999989</v>
      </c>
      <c r="T109" s="450">
        <v>2.6086956521739131</v>
      </c>
      <c r="U109" s="240">
        <v>2</v>
      </c>
      <c r="V109" s="451">
        <v>1.5972222222222221E-2</v>
      </c>
      <c r="W109" s="450" t="s">
        <v>176</v>
      </c>
      <c r="X109" s="447">
        <v>26.303037502761384</v>
      </c>
      <c r="Y109" s="447">
        <v>5.0621798885429676</v>
      </c>
      <c r="Z109" s="452">
        <v>14.452333333333332</v>
      </c>
      <c r="AA109" s="58">
        <f t="shared" ca="1" si="10"/>
        <v>103.13</v>
      </c>
      <c r="AB109" s="453">
        <f ca="1">Table29[[#This Row],[Earnings]]-Table29[[#This Row],[4-Week Average]]</f>
        <v>-30.989999999999995</v>
      </c>
      <c r="AG109" s="458">
        <v>22</v>
      </c>
      <c r="AH109" s="11">
        <v>-20.4375</v>
      </c>
      <c r="AI109" s="11">
        <v>29.977500000000006</v>
      </c>
      <c r="AJ109" s="11">
        <v>133.27249999999998</v>
      </c>
      <c r="AK109" s="11">
        <v>63.099999999999994</v>
      </c>
      <c r="AL109" s="11">
        <v>-13.83750000000002</v>
      </c>
      <c r="AM109" s="11">
        <f t="shared" si="12"/>
        <v>38.414999999999999</v>
      </c>
      <c r="AN109" s="11">
        <f t="shared" si="13"/>
        <v>-1.3319903846153855</v>
      </c>
      <c r="AO109" s="457"/>
      <c r="AQ109">
        <v>39</v>
      </c>
      <c r="AR109" s="11">
        <v>59.813182539682543</v>
      </c>
      <c r="AS109" s="11">
        <f t="shared" si="11"/>
        <v>750.69796269493031</v>
      </c>
    </row>
    <row r="110" spans="1:45" x14ac:dyDescent="0.35">
      <c r="A110" s="436">
        <v>44632</v>
      </c>
      <c r="B110" s="435">
        <v>2022</v>
      </c>
      <c r="C110" s="435">
        <v>11</v>
      </c>
      <c r="D110" s="435">
        <v>11</v>
      </c>
      <c r="E110" s="435" t="s">
        <v>278</v>
      </c>
      <c r="F110" s="436" t="s">
        <v>51</v>
      </c>
      <c r="G110" s="437">
        <v>0.54166666666666585</v>
      </c>
      <c r="H110" s="436" t="s">
        <v>249</v>
      </c>
      <c r="I110" s="435">
        <v>22.8</v>
      </c>
      <c r="J110" s="436" t="s">
        <v>80</v>
      </c>
      <c r="K110" s="438">
        <v>145.13999999999999</v>
      </c>
      <c r="L110" s="439">
        <v>4.5</v>
      </c>
      <c r="M110" s="435">
        <v>115.60000000000001</v>
      </c>
      <c r="N110" s="435">
        <v>11</v>
      </c>
      <c r="O110" s="438">
        <v>32.25333333333333</v>
      </c>
      <c r="P110" s="440">
        <v>4.1889080877261655</v>
      </c>
      <c r="Q110" s="438">
        <v>13.194545454545453</v>
      </c>
      <c r="R110" s="438">
        <v>1.2555363321799307</v>
      </c>
      <c r="S110" s="441">
        <v>10.50909090909091</v>
      </c>
      <c r="T110" s="441">
        <v>2.4444444444444446</v>
      </c>
      <c r="U110" s="239">
        <v>2</v>
      </c>
      <c r="V110" s="442">
        <v>1.7045454545454548E-2</v>
      </c>
      <c r="W110" s="441" t="s">
        <v>176</v>
      </c>
      <c r="X110" s="438">
        <v>24.294742211193824</v>
      </c>
      <c r="Y110" s="438">
        <v>7.9585911221395058</v>
      </c>
      <c r="Z110" s="443">
        <v>14.85</v>
      </c>
      <c r="AA110" s="58">
        <f t="shared" ca="1" si="10"/>
        <v>121.18249999999999</v>
      </c>
      <c r="AB110" s="453">
        <f ca="1">Table29[[#This Row],[Earnings]]-Table29[[#This Row],[4-Week Average]]</f>
        <v>23.957499999999996</v>
      </c>
      <c r="AG110" s="458">
        <v>23</v>
      </c>
      <c r="AH110" s="11">
        <v>-38.117499999999993</v>
      </c>
      <c r="AI110" s="11">
        <v>-4.8174999999999955</v>
      </c>
      <c r="AJ110" s="11">
        <v>-57.427499999999974</v>
      </c>
      <c r="AK110" s="11">
        <v>54.425000000000026</v>
      </c>
      <c r="AL110" s="11">
        <v>29.759999999999991</v>
      </c>
      <c r="AM110" s="11">
        <f t="shared" si="12"/>
        <v>-3.2354999999999876</v>
      </c>
      <c r="AN110" s="11">
        <f t="shared" si="13"/>
        <v>-1.6217500000000014</v>
      </c>
      <c r="AO110" s="457"/>
      <c r="AQ110">
        <v>40</v>
      </c>
      <c r="AR110" s="11">
        <v>61.099777777777796</v>
      </c>
      <c r="AS110" s="11">
        <f t="shared" si="11"/>
        <v>756.7296690441367</v>
      </c>
    </row>
    <row r="111" spans="1:45" x14ac:dyDescent="0.35">
      <c r="A111" s="445">
        <v>44634</v>
      </c>
      <c r="B111" s="444">
        <v>2022</v>
      </c>
      <c r="C111" s="444">
        <v>12</v>
      </c>
      <c r="D111" s="444">
        <v>12</v>
      </c>
      <c r="E111" s="444" t="s">
        <v>278</v>
      </c>
      <c r="F111" s="445" t="s">
        <v>46</v>
      </c>
      <c r="G111" s="446">
        <v>0.72916666666666552</v>
      </c>
      <c r="H111" s="445" t="s">
        <v>236</v>
      </c>
      <c r="I111" s="444">
        <v>49</v>
      </c>
      <c r="J111" s="445" t="s">
        <v>80</v>
      </c>
      <c r="K111" s="447">
        <v>88.67</v>
      </c>
      <c r="L111" s="448">
        <v>4.8</v>
      </c>
      <c r="M111" s="444">
        <v>86</v>
      </c>
      <c r="N111" s="444">
        <v>11</v>
      </c>
      <c r="O111" s="447">
        <v>18.472916666666666</v>
      </c>
      <c r="P111" s="449">
        <v>-8.5226088143251637</v>
      </c>
      <c r="Q111" s="447">
        <v>8.0609090909090906</v>
      </c>
      <c r="R111" s="447">
        <v>1.0310465116279071</v>
      </c>
      <c r="S111" s="450">
        <v>7.8181818181818183</v>
      </c>
      <c r="T111" s="450">
        <v>2.291666666666667</v>
      </c>
      <c r="U111" s="240">
        <v>2</v>
      </c>
      <c r="V111" s="451">
        <v>1.8181818181818181E-2</v>
      </c>
      <c r="W111" s="450" t="s">
        <v>176</v>
      </c>
      <c r="X111" s="447">
        <v>22.127564587674119</v>
      </c>
      <c r="Y111" s="447">
        <v>-3.6546479210074523</v>
      </c>
      <c r="Z111" s="452">
        <v>15.835222222222223</v>
      </c>
      <c r="AA111" s="58">
        <f t="shared" ca="1" si="10"/>
        <v>107.075</v>
      </c>
      <c r="AB111" s="453">
        <f ca="1">Table29[[#This Row],[Earnings]]-Table29[[#This Row],[4-Week Average]]</f>
        <v>-18.405000000000001</v>
      </c>
      <c r="AG111" s="458">
        <v>24</v>
      </c>
      <c r="AH111" s="11">
        <v>-59.155000000000001</v>
      </c>
      <c r="AI111" s="11">
        <v>103.92249999999999</v>
      </c>
      <c r="AJ111" s="11">
        <v>21.655000000000001</v>
      </c>
      <c r="AK111" s="11">
        <v>9.5675000000000097</v>
      </c>
      <c r="AL111" s="11">
        <v>8.597500000000025</v>
      </c>
      <c r="AM111" s="11">
        <f t="shared" si="12"/>
        <v>16.917500000000004</v>
      </c>
      <c r="AN111" s="11">
        <f t="shared" si="13"/>
        <v>2.1229134615384604</v>
      </c>
      <c r="AO111" s="458"/>
      <c r="AQ111">
        <v>41</v>
      </c>
      <c r="AR111" s="11">
        <v>58.368333333333339</v>
      </c>
      <c r="AS111" s="11">
        <f t="shared" si="11"/>
        <v>767.124715340433</v>
      </c>
    </row>
    <row r="112" spans="1:45" x14ac:dyDescent="0.35">
      <c r="A112" s="436">
        <v>44639</v>
      </c>
      <c r="B112" s="435">
        <v>2022</v>
      </c>
      <c r="C112" s="435">
        <v>12</v>
      </c>
      <c r="D112" s="435">
        <v>12</v>
      </c>
      <c r="E112" s="435" t="s">
        <v>278</v>
      </c>
      <c r="F112" s="436" t="s">
        <v>51</v>
      </c>
      <c r="G112" s="437">
        <v>0.56249999999999911</v>
      </c>
      <c r="H112" s="436" t="s">
        <v>236</v>
      </c>
      <c r="I112" s="435">
        <v>49.1</v>
      </c>
      <c r="J112" s="436" t="s">
        <v>80</v>
      </c>
      <c r="K112" s="438">
        <v>222.43</v>
      </c>
      <c r="L112" s="439">
        <v>8.8000000000000007</v>
      </c>
      <c r="M112" s="435">
        <v>176</v>
      </c>
      <c r="N112" s="435">
        <v>23</v>
      </c>
      <c r="O112" s="438">
        <v>25.276136363636361</v>
      </c>
      <c r="P112" s="440">
        <v>-3.6260704995160395</v>
      </c>
      <c r="Q112" s="438">
        <v>9.6708695652173908</v>
      </c>
      <c r="R112" s="438">
        <v>1.2638068181818183</v>
      </c>
      <c r="S112" s="441">
        <v>7.6521739130434785</v>
      </c>
      <c r="T112" s="441">
        <v>2.6136363636363633</v>
      </c>
      <c r="U112" s="239">
        <v>4</v>
      </c>
      <c r="V112" s="442">
        <v>1.5942028985507246E-2</v>
      </c>
      <c r="W112" s="441" t="s">
        <v>176</v>
      </c>
      <c r="X112" s="438">
        <v>21.037978186413866</v>
      </c>
      <c r="Y112" s="438">
        <v>4.2381581772224948</v>
      </c>
      <c r="Z112" s="443">
        <v>17.422777777777782</v>
      </c>
      <c r="AA112" s="58">
        <f t="shared" ca="1" si="10"/>
        <v>132.095</v>
      </c>
      <c r="AB112" s="453">
        <f ca="1">Table29[[#This Row],[Earnings]]-Table29[[#This Row],[4-Week Average]]</f>
        <v>90.335000000000008</v>
      </c>
      <c r="AG112" s="458">
        <v>25</v>
      </c>
      <c r="AH112" s="11">
        <v>112.11749999999999</v>
      </c>
      <c r="AI112" s="11">
        <v>11.939999999999998</v>
      </c>
      <c r="AJ112" s="11"/>
      <c r="AK112" s="11">
        <v>-84.910000000000011</v>
      </c>
      <c r="AL112" s="11">
        <v>-16.797500000000028</v>
      </c>
      <c r="AM112" s="11">
        <f t="shared" si="12"/>
        <v>5.5874999999999879</v>
      </c>
      <c r="AN112" s="11">
        <f t="shared" si="13"/>
        <v>3.8295673076923076</v>
      </c>
      <c r="AO112" s="458"/>
      <c r="AQ112">
        <v>42</v>
      </c>
      <c r="AR112" s="11">
        <v>64.936761904761894</v>
      </c>
      <c r="AS112" s="11">
        <f t="shared" si="11"/>
        <v>776.55461304766413</v>
      </c>
    </row>
    <row r="113" spans="1:45" x14ac:dyDescent="0.35">
      <c r="A113" s="445">
        <v>44640</v>
      </c>
      <c r="B113" s="444">
        <v>2022</v>
      </c>
      <c r="C113" s="444">
        <v>12</v>
      </c>
      <c r="D113" s="444">
        <v>12</v>
      </c>
      <c r="E113" s="444" t="s">
        <v>278</v>
      </c>
      <c r="F113" s="445" t="s">
        <v>45</v>
      </c>
      <c r="G113" s="446">
        <v>0.68749999999999889</v>
      </c>
      <c r="H113" s="445" t="s">
        <v>236</v>
      </c>
      <c r="I113" s="444">
        <v>43.1</v>
      </c>
      <c r="J113" s="445" t="s">
        <v>80</v>
      </c>
      <c r="K113" s="447">
        <v>110.7</v>
      </c>
      <c r="L113" s="448">
        <v>4</v>
      </c>
      <c r="M113" s="444">
        <v>80</v>
      </c>
      <c r="N113" s="444">
        <v>13</v>
      </c>
      <c r="O113" s="447">
        <v>27.675000000000001</v>
      </c>
      <c r="P113" s="449">
        <v>3.8204695652173903</v>
      </c>
      <c r="Q113" s="447">
        <v>8.5153846153846153</v>
      </c>
      <c r="R113" s="447">
        <v>1.38375</v>
      </c>
      <c r="S113" s="450">
        <v>6.1538461538461542</v>
      </c>
      <c r="T113" s="450">
        <v>3.25</v>
      </c>
      <c r="U113" s="240">
        <v>2</v>
      </c>
      <c r="V113" s="451">
        <v>1.2820512820512822E-2</v>
      </c>
      <c r="W113" s="450" t="s">
        <v>176</v>
      </c>
      <c r="X113" s="447">
        <v>23.040660270880359</v>
      </c>
      <c r="Y113" s="447">
        <v>4.6343397291196418</v>
      </c>
      <c r="Z113" s="452">
        <v>18.652777777777782</v>
      </c>
      <c r="AA113" s="58">
        <f t="shared" ca="1" si="10"/>
        <v>141.73500000000001</v>
      </c>
      <c r="AB113" s="453">
        <f ca="1">Table29[[#This Row],[Earnings]]-Table29[[#This Row],[4-Week Average]]</f>
        <v>-31.035000000000011</v>
      </c>
      <c r="AG113" s="458">
        <v>26</v>
      </c>
      <c r="AH113" s="11">
        <v>-20.192500000000024</v>
      </c>
      <c r="AI113" s="11">
        <v>-36.780000000000015</v>
      </c>
      <c r="AJ113" s="11">
        <v>-34.919999999999995</v>
      </c>
      <c r="AK113" s="11"/>
      <c r="AL113" s="11">
        <v>-41.289999999999978</v>
      </c>
      <c r="AM113" s="11">
        <f t="shared" si="12"/>
        <v>-33.295625000000001</v>
      </c>
      <c r="AN113" s="11">
        <f t="shared" si="13"/>
        <v>2.2367788461538449</v>
      </c>
      <c r="AO113" s="458"/>
      <c r="AQ113">
        <v>43</v>
      </c>
      <c r="AR113" s="11">
        <v>63.291650793650788</v>
      </c>
      <c r="AS113" s="11">
        <f t="shared" si="11"/>
        <v>780.36069973875078</v>
      </c>
    </row>
    <row r="114" spans="1:45" x14ac:dyDescent="0.35">
      <c r="A114" s="436">
        <v>44644</v>
      </c>
      <c r="B114" s="435">
        <v>2022</v>
      </c>
      <c r="C114" s="435">
        <v>13</v>
      </c>
      <c r="D114" s="435">
        <v>13</v>
      </c>
      <c r="E114" s="435" t="s">
        <v>278</v>
      </c>
      <c r="F114" s="436" t="s">
        <v>49</v>
      </c>
      <c r="G114" s="437">
        <v>0.81249999999999878</v>
      </c>
      <c r="H114" s="436" t="s">
        <v>236</v>
      </c>
      <c r="I114" s="435">
        <v>53</v>
      </c>
      <c r="J114" s="436" t="s">
        <v>80</v>
      </c>
      <c r="K114" s="438">
        <v>26.25</v>
      </c>
      <c r="L114" s="439">
        <v>1.1000000000000001</v>
      </c>
      <c r="M114" s="435">
        <v>36.5</v>
      </c>
      <c r="N114" s="435">
        <v>2</v>
      </c>
      <c r="O114" s="438">
        <v>23.863636363636363</v>
      </c>
      <c r="P114" s="440">
        <v>1.5076363636363617</v>
      </c>
      <c r="Q114" s="438">
        <v>13.125</v>
      </c>
      <c r="R114" s="438">
        <v>0.71917808219178081</v>
      </c>
      <c r="S114" s="441">
        <v>18.25</v>
      </c>
      <c r="T114" s="441">
        <v>1.8181818181818181</v>
      </c>
      <c r="U114" s="239">
        <v>1</v>
      </c>
      <c r="V114" s="442">
        <v>2.2916666666666669E-2</v>
      </c>
      <c r="W114" s="441" t="s">
        <v>176</v>
      </c>
      <c r="X114" s="438">
        <v>21.815117980610939</v>
      </c>
      <c r="Y114" s="438">
        <v>2.0485183830254243</v>
      </c>
      <c r="Z114" s="443">
        <v>18.94444444444445</v>
      </c>
      <c r="AA114" s="58">
        <f t="shared" ca="1" si="10"/>
        <v>112.0125</v>
      </c>
      <c r="AB114" s="453">
        <f ca="1">Table29[[#This Row],[Earnings]]-Table29[[#This Row],[4-Week Average]]</f>
        <v>-85.762500000000003</v>
      </c>
      <c r="AG114" s="458">
        <v>27</v>
      </c>
      <c r="AH114" s="11">
        <v>-54.607499999999987</v>
      </c>
      <c r="AI114" s="11">
        <v>28.442499999999981</v>
      </c>
      <c r="AJ114" s="11"/>
      <c r="AK114" s="11">
        <v>69.132500000000007</v>
      </c>
      <c r="AL114" s="11">
        <v>-14.63000000000001</v>
      </c>
      <c r="AM114" s="11">
        <f t="shared" si="12"/>
        <v>7.0843749999999979</v>
      </c>
      <c r="AN114" s="11">
        <f t="shared" si="13"/>
        <v>-0.1812083333333338</v>
      </c>
      <c r="AO114" s="458"/>
      <c r="AQ114">
        <v>44</v>
      </c>
      <c r="AR114" s="11">
        <v>63.61130555555556</v>
      </c>
      <c r="AS114" s="11">
        <f t="shared" si="11"/>
        <v>780.76702910383005</v>
      </c>
    </row>
    <row r="115" spans="1:45" x14ac:dyDescent="0.35">
      <c r="A115" s="445">
        <v>44645</v>
      </c>
      <c r="B115" s="444">
        <v>2022</v>
      </c>
      <c r="C115" s="444">
        <v>13</v>
      </c>
      <c r="D115" s="444">
        <v>13</v>
      </c>
      <c r="E115" s="444" t="s">
        <v>278</v>
      </c>
      <c r="F115" s="445" t="s">
        <v>50</v>
      </c>
      <c r="G115" s="446">
        <v>0.79166666666666541</v>
      </c>
      <c r="H115" s="445" t="s">
        <v>236</v>
      </c>
      <c r="I115" s="444">
        <v>48.4</v>
      </c>
      <c r="J115" s="445" t="s">
        <v>85</v>
      </c>
      <c r="K115" s="447">
        <v>102.57</v>
      </c>
      <c r="L115" s="448">
        <v>5.5</v>
      </c>
      <c r="M115" s="444">
        <v>95.800000000000011</v>
      </c>
      <c r="N115" s="444">
        <v>15</v>
      </c>
      <c r="O115" s="447">
        <v>18.649090909090908</v>
      </c>
      <c r="P115" s="449">
        <v>-5.6178919274041235</v>
      </c>
      <c r="Q115" s="447">
        <v>6.8379999999999992</v>
      </c>
      <c r="R115" s="447">
        <v>1.0706680584551147</v>
      </c>
      <c r="S115" s="450">
        <v>6.3866666666666676</v>
      </c>
      <c r="T115" s="450">
        <v>2.7272727272727271</v>
      </c>
      <c r="U115" s="240">
        <v>2</v>
      </c>
      <c r="V115" s="451">
        <v>1.5277777777777777E-2</v>
      </c>
      <c r="W115" s="450" t="s">
        <v>176</v>
      </c>
      <c r="X115" s="447">
        <v>21.587544461558959</v>
      </c>
      <c r="Y115" s="447">
        <v>-2.9384535524680508</v>
      </c>
      <c r="Z115" s="452">
        <v>20.084111111111117</v>
      </c>
      <c r="AA115" s="58">
        <f t="shared" ca="1" si="10"/>
        <v>115.4875</v>
      </c>
      <c r="AB115" s="453">
        <f ca="1">Table29[[#This Row],[Earnings]]-Table29[[#This Row],[4-Week Average]]</f>
        <v>-12.917500000000004</v>
      </c>
      <c r="AG115" s="458">
        <v>28</v>
      </c>
      <c r="AH115" s="11"/>
      <c r="AI115" s="11">
        <v>-39.85499999999999</v>
      </c>
      <c r="AJ115" s="11">
        <v>18.534999999999982</v>
      </c>
      <c r="AK115" s="11">
        <v>-118.83750000000001</v>
      </c>
      <c r="AL115" s="11">
        <v>32.722499999999997</v>
      </c>
      <c r="AM115" s="11">
        <f t="shared" si="12"/>
        <v>-26.858750000000008</v>
      </c>
      <c r="AN115" s="11">
        <f t="shared" si="13"/>
        <v>-5.5596506410256428</v>
      </c>
      <c r="AO115" s="458"/>
      <c r="AQ115">
        <v>45</v>
      </c>
      <c r="AR115" s="11">
        <v>51.115767676767675</v>
      </c>
      <c r="AS115" s="11">
        <f t="shared" si="11"/>
        <v>771.01988408218483</v>
      </c>
    </row>
    <row r="116" spans="1:45" x14ac:dyDescent="0.35">
      <c r="A116" s="436">
        <v>44646</v>
      </c>
      <c r="B116" s="435">
        <v>2022</v>
      </c>
      <c r="C116" s="435">
        <v>13</v>
      </c>
      <c r="D116" s="435">
        <v>13</v>
      </c>
      <c r="E116" s="435" t="s">
        <v>278</v>
      </c>
      <c r="F116" s="436" t="s">
        <v>51</v>
      </c>
      <c r="G116" s="437">
        <v>0.56249999999999911</v>
      </c>
      <c r="H116" s="436" t="s">
        <v>235</v>
      </c>
      <c r="I116" s="435">
        <v>46.8</v>
      </c>
      <c r="J116" s="436" t="s">
        <v>80</v>
      </c>
      <c r="K116" s="438">
        <v>129.97</v>
      </c>
      <c r="L116" s="439">
        <v>4.42</v>
      </c>
      <c r="M116" s="435">
        <v>111</v>
      </c>
      <c r="N116" s="435">
        <v>9</v>
      </c>
      <c r="O116" s="438">
        <v>29.404977375565611</v>
      </c>
      <c r="P116" s="440">
        <v>1.1071155956658814</v>
      </c>
      <c r="Q116" s="438">
        <v>14.441111111111111</v>
      </c>
      <c r="R116" s="438">
        <v>1.1709009009009008</v>
      </c>
      <c r="S116" s="441">
        <v>12.333333333333334</v>
      </c>
      <c r="T116" s="441">
        <v>2.0361990950226243</v>
      </c>
      <c r="U116" s="239">
        <v>2</v>
      </c>
      <c r="V116" s="442">
        <v>2.0462962962962964E-2</v>
      </c>
      <c r="W116" s="441" t="s">
        <v>176</v>
      </c>
      <c r="X116" s="438">
        <v>30.297774755848877</v>
      </c>
      <c r="Y116" s="438">
        <v>-0.89279738028326605</v>
      </c>
      <c r="Z116" s="443">
        <v>21.528222222222226</v>
      </c>
      <c r="AA116" s="58">
        <f t="shared" ca="1" si="10"/>
        <v>92.372500000000002</v>
      </c>
      <c r="AB116" s="453">
        <f ca="1">Table29[[#This Row],[Earnings]]-Table29[[#This Row],[4-Week Average]]</f>
        <v>37.597499999999997</v>
      </c>
      <c r="AG116" s="458">
        <v>29</v>
      </c>
      <c r="AH116" s="11"/>
      <c r="AI116" s="11">
        <v>8.2050000000000125</v>
      </c>
      <c r="AJ116" s="11">
        <v>-23.225000000000009</v>
      </c>
      <c r="AK116" s="11">
        <v>116.78500000000001</v>
      </c>
      <c r="AL116" s="11">
        <v>59.517500000000013</v>
      </c>
      <c r="AM116" s="11">
        <f t="shared" si="12"/>
        <v>40.320625000000007</v>
      </c>
      <c r="AN116" s="11">
        <f t="shared" si="13"/>
        <v>1.8437916666666647</v>
      </c>
      <c r="AO116" s="458"/>
      <c r="AQ116">
        <v>46</v>
      </c>
      <c r="AR116" s="11">
        <v>53.257687499999989</v>
      </c>
      <c r="AS116" s="11">
        <f t="shared" si="11"/>
        <v>761.90130174091507</v>
      </c>
    </row>
    <row r="117" spans="1:45" x14ac:dyDescent="0.35">
      <c r="A117" s="445">
        <v>44649</v>
      </c>
      <c r="B117" s="444">
        <v>2022</v>
      </c>
      <c r="C117" s="444">
        <v>14</v>
      </c>
      <c r="D117" s="444">
        <v>1</v>
      </c>
      <c r="E117" s="444" t="s">
        <v>287</v>
      </c>
      <c r="F117" s="445" t="s">
        <v>47</v>
      </c>
      <c r="G117" s="446">
        <v>0.70833333333333226</v>
      </c>
      <c r="H117" s="445" t="s">
        <v>230</v>
      </c>
      <c r="I117" s="444">
        <v>44.5</v>
      </c>
      <c r="J117" s="445" t="s">
        <v>80</v>
      </c>
      <c r="K117" s="447">
        <v>56.64</v>
      </c>
      <c r="L117" s="448">
        <v>1.7000000000000002</v>
      </c>
      <c r="M117" s="444">
        <v>37.799999999999997</v>
      </c>
      <c r="N117" s="444">
        <v>4</v>
      </c>
      <c r="O117" s="447">
        <v>33.317647058823525</v>
      </c>
      <c r="P117" s="449">
        <v>14.890266106442574</v>
      </c>
      <c r="Q117" s="447">
        <v>14.16</v>
      </c>
      <c r="R117" s="447">
        <v>1.4984126984126986</v>
      </c>
      <c r="S117" s="450">
        <v>9.4499999999999993</v>
      </c>
      <c r="T117" s="450">
        <v>2.3529411764705879</v>
      </c>
      <c r="U117" s="240">
        <v>2</v>
      </c>
      <c r="V117" s="451">
        <v>1.7708333333333336E-2</v>
      </c>
      <c r="W117" s="450" t="s">
        <v>176</v>
      </c>
      <c r="X117" s="447">
        <v>27.133182503770737</v>
      </c>
      <c r="Y117" s="447">
        <v>6.1844645550527879</v>
      </c>
      <c r="Z117" s="452">
        <v>21.712555555555561</v>
      </c>
      <c r="AA117" s="58">
        <f t="shared" ca="1" si="10"/>
        <v>78.857499999999987</v>
      </c>
      <c r="AB117" s="453">
        <f ca="1">Table29[[#This Row],[Earnings]]-Table29[[#This Row],[4-Week Average]]</f>
        <v>-22.217499999999987</v>
      </c>
      <c r="AG117" s="458">
        <v>30</v>
      </c>
      <c r="AH117" s="11">
        <v>-32.17</v>
      </c>
      <c r="AI117" s="11">
        <v>6.6349999999999909</v>
      </c>
      <c r="AJ117" s="11">
        <v>109.73250000000002</v>
      </c>
      <c r="AK117" s="11">
        <v>-3.2999999999999829</v>
      </c>
      <c r="AL117" s="11">
        <v>43.964999999999989</v>
      </c>
      <c r="AM117" s="11">
        <f t="shared" si="12"/>
        <v>24.972500000000004</v>
      </c>
      <c r="AN117" s="11">
        <f t="shared" si="13"/>
        <v>-2.9505833333333342</v>
      </c>
      <c r="AO117" s="458"/>
      <c r="AQ117">
        <v>47</v>
      </c>
      <c r="AR117" s="11">
        <v>46.240738095238086</v>
      </c>
      <c r="AS117" s="11">
        <f t="shared" si="11"/>
        <v>748.00336699664695</v>
      </c>
    </row>
    <row r="118" spans="1:45" x14ac:dyDescent="0.35">
      <c r="A118" s="436">
        <v>44651</v>
      </c>
      <c r="B118" s="435">
        <v>2022</v>
      </c>
      <c r="C118" s="435">
        <v>14</v>
      </c>
      <c r="D118" s="435">
        <v>1</v>
      </c>
      <c r="E118" s="435" t="s">
        <v>287</v>
      </c>
      <c r="F118" s="436" t="s">
        <v>49</v>
      </c>
      <c r="G118" s="437">
        <v>0.74999999999999889</v>
      </c>
      <c r="H118" s="436" t="s">
        <v>236</v>
      </c>
      <c r="I118" s="435">
        <v>50.8</v>
      </c>
      <c r="J118" s="436" t="s">
        <v>80</v>
      </c>
      <c r="K118" s="438">
        <v>71.25</v>
      </c>
      <c r="L118" s="439">
        <v>3.5</v>
      </c>
      <c r="M118" s="435">
        <v>68</v>
      </c>
      <c r="N118" s="435">
        <v>10</v>
      </c>
      <c r="O118" s="438">
        <v>20.357142857142858</v>
      </c>
      <c r="P118" s="440">
        <v>-2.8248015873015895</v>
      </c>
      <c r="Q118" s="438">
        <v>7.125</v>
      </c>
      <c r="R118" s="438">
        <v>1.0477941176470589</v>
      </c>
      <c r="S118" s="441">
        <v>6.8</v>
      </c>
      <c r="T118" s="441">
        <v>2.8571428571428572</v>
      </c>
      <c r="U118" s="239">
        <v>1</v>
      </c>
      <c r="V118" s="442">
        <v>1.4583333333333332E-2</v>
      </c>
      <c r="W118" s="441" t="s">
        <v>176</v>
      </c>
      <c r="X118" s="438">
        <v>20.685685249709643</v>
      </c>
      <c r="Y118" s="438">
        <v>-0.32854239256678497</v>
      </c>
      <c r="Z118" s="443">
        <v>20.835555555555558</v>
      </c>
      <c r="AA118" s="58">
        <f t="shared" ca="1" si="10"/>
        <v>90.107500000000002</v>
      </c>
      <c r="AB118" s="453">
        <f ca="1">Table29[[#This Row],[Earnings]]-Table29[[#This Row],[4-Week Average]]</f>
        <v>-18.857500000000002</v>
      </c>
      <c r="AG118" s="458">
        <v>31</v>
      </c>
      <c r="AH118" s="11">
        <v>-15.674999999999997</v>
      </c>
      <c r="AI118" s="11"/>
      <c r="AJ118" s="11">
        <v>-21.715000000000003</v>
      </c>
      <c r="AK118" s="11">
        <v>-27.707500000000024</v>
      </c>
      <c r="AL118" s="11">
        <v>-48.532499999999999</v>
      </c>
      <c r="AM118" s="11">
        <f t="shared" si="12"/>
        <v>-28.407500000000006</v>
      </c>
      <c r="AN118" s="11">
        <f t="shared" si="13"/>
        <v>-1.4714583333333342</v>
      </c>
      <c r="AO118" s="458"/>
      <c r="AQ118">
        <v>48</v>
      </c>
      <c r="AR118" s="11">
        <v>54.589087301587291</v>
      </c>
      <c r="AS118" s="11">
        <f t="shared" si="11"/>
        <v>740.24990667918667</v>
      </c>
    </row>
    <row r="119" spans="1:45" x14ac:dyDescent="0.35">
      <c r="A119" s="445">
        <v>44653</v>
      </c>
      <c r="B119" s="444">
        <v>2022</v>
      </c>
      <c r="C119" s="444">
        <v>14</v>
      </c>
      <c r="D119" s="444">
        <v>1</v>
      </c>
      <c r="E119" s="444" t="s">
        <v>287</v>
      </c>
      <c r="F119" s="445" t="s">
        <v>51</v>
      </c>
      <c r="G119" s="446">
        <v>0.43749999999999933</v>
      </c>
      <c r="H119" s="445" t="s">
        <v>234</v>
      </c>
      <c r="I119" s="444">
        <v>45.2</v>
      </c>
      <c r="J119" s="445" t="s">
        <v>80</v>
      </c>
      <c r="K119" s="447">
        <v>75.069999999999993</v>
      </c>
      <c r="L119" s="448">
        <v>3.5</v>
      </c>
      <c r="M119" s="444">
        <v>68</v>
      </c>
      <c r="N119" s="444">
        <v>7</v>
      </c>
      <c r="O119" s="447">
        <v>21.448571428571427</v>
      </c>
      <c r="P119" s="449">
        <v>-6.4899257086277622</v>
      </c>
      <c r="Q119" s="447">
        <v>10.724285714285713</v>
      </c>
      <c r="R119" s="447">
        <v>1.1039705882352939</v>
      </c>
      <c r="S119" s="450">
        <v>9.7142857142857135</v>
      </c>
      <c r="T119" s="450">
        <v>2</v>
      </c>
      <c r="U119" s="240">
        <v>2</v>
      </c>
      <c r="V119" s="451">
        <v>2.0833333333333332E-2</v>
      </c>
      <c r="W119" s="450" t="s">
        <v>176</v>
      </c>
      <c r="X119" s="447">
        <v>21.691133638317044</v>
      </c>
      <c r="Y119" s="447">
        <v>-0.24256220974561771</v>
      </c>
      <c r="Z119" s="452">
        <v>21.669666666666668</v>
      </c>
      <c r="AA119" s="58">
        <f t="shared" ca="1" si="10"/>
        <v>83.232500000000002</v>
      </c>
      <c r="AB119" s="453">
        <f ca="1">Table29[[#This Row],[Earnings]]-Table29[[#This Row],[4-Week Average]]</f>
        <v>-8.1625000000000085</v>
      </c>
      <c r="AG119" s="458">
        <v>32</v>
      </c>
      <c r="AH119" s="11"/>
      <c r="AI119" s="11"/>
      <c r="AJ119" s="11">
        <v>-48.809999999999974</v>
      </c>
      <c r="AK119" s="11">
        <v>37.749999999999972</v>
      </c>
      <c r="AL119" s="11">
        <v>-12.455000000000013</v>
      </c>
      <c r="AM119" s="11">
        <f t="shared" si="12"/>
        <v>-7.8383333333333383</v>
      </c>
      <c r="AN119" s="11">
        <f t="shared" si="13"/>
        <v>-2.7468910256410273</v>
      </c>
      <c r="AO119" s="458"/>
      <c r="AQ119">
        <v>49</v>
      </c>
      <c r="AR119" s="11">
        <v>54.17252777777778</v>
      </c>
      <c r="AS119" s="11">
        <f t="shared" si="11"/>
        <v>743.52644752885988</v>
      </c>
    </row>
    <row r="120" spans="1:45" x14ac:dyDescent="0.35">
      <c r="A120" s="436">
        <v>44660</v>
      </c>
      <c r="B120" s="435">
        <v>2022</v>
      </c>
      <c r="C120" s="435">
        <v>15</v>
      </c>
      <c r="D120" s="435">
        <v>2</v>
      </c>
      <c r="E120" s="435" t="s">
        <v>287</v>
      </c>
      <c r="F120" s="436" t="s">
        <v>51</v>
      </c>
      <c r="G120" s="437">
        <v>0.72916666666666552</v>
      </c>
      <c r="H120" s="436" t="s">
        <v>236</v>
      </c>
      <c r="I120" s="435">
        <v>54.5</v>
      </c>
      <c r="J120" s="436" t="s">
        <v>80</v>
      </c>
      <c r="K120" s="438">
        <v>70.319999999999993</v>
      </c>
      <c r="L120" s="439">
        <v>1.9</v>
      </c>
      <c r="M120" s="435">
        <v>49.5</v>
      </c>
      <c r="N120" s="435">
        <v>8</v>
      </c>
      <c r="O120" s="438">
        <v>37.01052631578947</v>
      </c>
      <c r="P120" s="440">
        <v>10.694510605747222</v>
      </c>
      <c r="Q120" s="438">
        <v>8.7899999999999991</v>
      </c>
      <c r="R120" s="438">
        <v>1.4206060606060604</v>
      </c>
      <c r="S120" s="441">
        <v>6.1875</v>
      </c>
      <c r="T120" s="441">
        <v>4.2105263157894735</v>
      </c>
      <c r="U120" s="239">
        <v>3</v>
      </c>
      <c r="V120" s="442">
        <v>9.8958333333333329E-3</v>
      </c>
      <c r="W120" s="441" t="s">
        <v>176</v>
      </c>
      <c r="X120" s="438">
        <v>27.152961642707922</v>
      </c>
      <c r="Y120" s="438">
        <v>9.8575646730815478</v>
      </c>
      <c r="Z120" s="443">
        <v>22.451000000000001</v>
      </c>
      <c r="AA120" s="58">
        <f t="shared" ca="1" si="10"/>
        <v>68.319999999999993</v>
      </c>
      <c r="AB120" s="453">
        <f ca="1">Table29[[#This Row],[Earnings]]-Table29[[#This Row],[4-Week Average]]</f>
        <v>2</v>
      </c>
      <c r="AG120" s="456">
        <v>33</v>
      </c>
      <c r="AH120" s="11"/>
      <c r="AI120" s="11">
        <v>-40.044999999999987</v>
      </c>
      <c r="AJ120" s="11">
        <v>-79.447500000000019</v>
      </c>
      <c r="AK120" s="11">
        <v>-57.790000000000063</v>
      </c>
      <c r="AL120" s="11">
        <v>-40.252500000000012</v>
      </c>
      <c r="AM120" s="11">
        <f t="shared" si="12"/>
        <v>-54.38375000000002</v>
      </c>
      <c r="AN120" s="11">
        <f t="shared" si="13"/>
        <v>-4.9361698717948723</v>
      </c>
      <c r="AO120" s="456"/>
      <c r="AQ120">
        <v>50</v>
      </c>
      <c r="AR120" s="11">
        <v>47.663642857142854</v>
      </c>
      <c r="AS120" s="11">
        <f t="shared" si="11"/>
        <v>733.33952371933606</v>
      </c>
    </row>
    <row r="121" spans="1:45" x14ac:dyDescent="0.35">
      <c r="A121" s="445">
        <v>44673</v>
      </c>
      <c r="B121" s="444">
        <v>2022</v>
      </c>
      <c r="C121" s="444">
        <v>17</v>
      </c>
      <c r="D121" s="444">
        <v>4</v>
      </c>
      <c r="E121" s="444" t="s">
        <v>287</v>
      </c>
      <c r="F121" s="445" t="s">
        <v>50</v>
      </c>
      <c r="G121" s="446">
        <v>0.70833333333333226</v>
      </c>
      <c r="H121" s="445" t="s">
        <v>230</v>
      </c>
      <c r="I121" s="444">
        <v>58.3</v>
      </c>
      <c r="J121" s="445" t="s">
        <v>85</v>
      </c>
      <c r="K121" s="447">
        <v>195.73000000000002</v>
      </c>
      <c r="L121" s="448">
        <v>8.4</v>
      </c>
      <c r="M121" s="444">
        <v>213.2</v>
      </c>
      <c r="N121" s="444">
        <v>18</v>
      </c>
      <c r="O121" s="447">
        <v>23.301190476190477</v>
      </c>
      <c r="P121" s="449">
        <v>-2.5109881119348145</v>
      </c>
      <c r="Q121" s="447">
        <v>10.87388888888889</v>
      </c>
      <c r="R121" s="447">
        <v>0.91805816135084439</v>
      </c>
      <c r="S121" s="450">
        <v>11.844444444444443</v>
      </c>
      <c r="T121" s="450">
        <v>2.1428571428571428</v>
      </c>
      <c r="U121" s="240">
        <v>4</v>
      </c>
      <c r="V121" s="451">
        <v>1.9444444444444445E-2</v>
      </c>
      <c r="W121" s="450" t="s">
        <v>176</v>
      </c>
      <c r="X121" s="447">
        <v>22.467344216099097</v>
      </c>
      <c r="Y121" s="447">
        <v>0.83384626009138074</v>
      </c>
      <c r="Z121" s="452">
        <v>22.629111111111111</v>
      </c>
      <c r="AA121" s="58">
        <f t="shared" ca="1" si="10"/>
        <v>103.0925</v>
      </c>
      <c r="AB121" s="453">
        <f ca="1">Table29[[#This Row],[Earnings]]-Table29[[#This Row],[4-Week Average]]</f>
        <v>92.637500000000017</v>
      </c>
      <c r="AG121" s="456">
        <v>34</v>
      </c>
      <c r="AH121" s="11"/>
      <c r="AI121" s="11">
        <v>23.590000000000003</v>
      </c>
      <c r="AJ121" s="11">
        <v>0.84500000000002728</v>
      </c>
      <c r="AK121" s="11">
        <v>75.005000000000024</v>
      </c>
      <c r="AL121" s="11">
        <v>79.325000000000003</v>
      </c>
      <c r="AM121" s="11">
        <f t="shared" si="12"/>
        <v>44.691250000000011</v>
      </c>
      <c r="AN121" s="11">
        <f t="shared" si="13"/>
        <v>1.0632051282051265</v>
      </c>
      <c r="AO121" s="456"/>
      <c r="AQ121">
        <v>51</v>
      </c>
      <c r="AR121" s="11">
        <v>49.816622222222222</v>
      </c>
      <c r="AS121" s="11">
        <f t="shared" si="11"/>
        <v>727.97708533549769</v>
      </c>
    </row>
    <row r="122" spans="1:45" x14ac:dyDescent="0.35">
      <c r="A122" s="436">
        <v>44684</v>
      </c>
      <c r="B122" s="435">
        <v>2022</v>
      </c>
      <c r="C122" s="435">
        <v>19</v>
      </c>
      <c r="D122" s="435">
        <v>6</v>
      </c>
      <c r="E122" s="435" t="s">
        <v>287</v>
      </c>
      <c r="F122" s="436" t="s">
        <v>47</v>
      </c>
      <c r="G122" s="437">
        <v>0.72916666666666552</v>
      </c>
      <c r="H122" s="436" t="s">
        <v>236</v>
      </c>
      <c r="I122" s="435">
        <v>48.9</v>
      </c>
      <c r="J122" s="436" t="s">
        <v>82</v>
      </c>
      <c r="K122" s="438">
        <v>50.68</v>
      </c>
      <c r="L122" s="439">
        <v>3.2</v>
      </c>
      <c r="M122" s="435">
        <v>72.3</v>
      </c>
      <c r="N122" s="435">
        <v>8</v>
      </c>
      <c r="O122" s="438">
        <v>15.837499999999999</v>
      </c>
      <c r="P122" s="440" t="s">
        <v>393</v>
      </c>
      <c r="Q122" s="438">
        <v>6.335</v>
      </c>
      <c r="R122" s="438">
        <v>0.70096818810511763</v>
      </c>
      <c r="S122" s="441">
        <v>9.0374999999999996</v>
      </c>
      <c r="T122" s="441">
        <v>2.5</v>
      </c>
      <c r="U122" s="239">
        <v>2</v>
      </c>
      <c r="V122" s="442">
        <v>1.6666666666666666E-2</v>
      </c>
      <c r="W122" s="441" t="s">
        <v>176</v>
      </c>
      <c r="X122" s="438">
        <v>18.163573021829258</v>
      </c>
      <c r="Y122" s="438">
        <v>-2.3260730218292593</v>
      </c>
      <c r="Z122" s="443">
        <v>22.765222222222221</v>
      </c>
      <c r="AA122" s="58">
        <f t="shared" ca="1" si="10"/>
        <v>97.95</v>
      </c>
      <c r="AB122" s="453">
        <f ca="1">Table29[[#This Row],[Earnings]]-Table29[[#This Row],[4-Week Average]]</f>
        <v>-47.27</v>
      </c>
      <c r="AG122" s="456">
        <v>35</v>
      </c>
      <c r="AH122" s="11"/>
      <c r="AI122" s="11">
        <v>3.7325000000000159</v>
      </c>
      <c r="AJ122" s="11">
        <v>118.04500000000002</v>
      </c>
      <c r="AK122" s="11">
        <v>-113.42750000000001</v>
      </c>
      <c r="AL122" s="11">
        <v>-103.9975</v>
      </c>
      <c r="AM122" s="11">
        <f t="shared" si="12"/>
        <v>-23.911874999999995</v>
      </c>
      <c r="AN122" s="11">
        <f t="shared" si="13"/>
        <v>-2.2420352564102584</v>
      </c>
      <c r="AO122" s="456"/>
      <c r="AQ122">
        <v>52</v>
      </c>
      <c r="AR122" s="11">
        <v>51.991425925925945</v>
      </c>
      <c r="AS122" s="11">
        <f t="shared" si="11"/>
        <v>720.15532872174106</v>
      </c>
    </row>
    <row r="123" spans="1:45" x14ac:dyDescent="0.35">
      <c r="A123" s="445">
        <v>44685</v>
      </c>
      <c r="B123" s="444">
        <v>2022</v>
      </c>
      <c r="C123" s="444">
        <v>19</v>
      </c>
      <c r="D123" s="444">
        <v>6</v>
      </c>
      <c r="E123" s="444" t="s">
        <v>287</v>
      </c>
      <c r="F123" s="445" t="s">
        <v>48</v>
      </c>
      <c r="G123" s="446">
        <v>0.70833333333333226</v>
      </c>
      <c r="H123" s="445" t="s">
        <v>236</v>
      </c>
      <c r="I123" s="444">
        <v>65.5</v>
      </c>
      <c r="J123" s="445" t="s">
        <v>85</v>
      </c>
      <c r="K123" s="447">
        <v>82.49</v>
      </c>
      <c r="L123" s="448">
        <v>3.8</v>
      </c>
      <c r="M123" s="444">
        <v>62</v>
      </c>
      <c r="N123" s="444">
        <v>9</v>
      </c>
      <c r="O123" s="447">
        <v>21.707894736842103</v>
      </c>
      <c r="P123" s="449" t="s">
        <v>393</v>
      </c>
      <c r="Q123" s="447">
        <v>9.1655555555555548</v>
      </c>
      <c r="R123" s="447">
        <v>1.3304838709677418</v>
      </c>
      <c r="S123" s="450">
        <v>6.8888888888888893</v>
      </c>
      <c r="T123" s="450">
        <v>2.3684210526315792</v>
      </c>
      <c r="U123" s="240">
        <v>1</v>
      </c>
      <c r="V123" s="451">
        <v>1.7592592592592594E-2</v>
      </c>
      <c r="W123" s="450" t="s">
        <v>176</v>
      </c>
      <c r="X123" s="447">
        <v>24.426643904418047</v>
      </c>
      <c r="Y123" s="447">
        <v>-2.7187491675759432</v>
      </c>
      <c r="Z123" s="452">
        <v>23.060777777777776</v>
      </c>
      <c r="AA123" s="58">
        <f t="shared" ca="1" si="10"/>
        <v>99.805000000000007</v>
      </c>
      <c r="AB123" s="453">
        <f ca="1">Table29[[#This Row],[Earnings]]-Table29[[#This Row],[4-Week Average]]</f>
        <v>-17.315000000000012</v>
      </c>
      <c r="AG123" s="456">
        <v>36</v>
      </c>
      <c r="AH123" s="11">
        <v>14.244999999999997</v>
      </c>
      <c r="AI123" s="11">
        <v>53.380000000000024</v>
      </c>
      <c r="AJ123" s="11">
        <v>-13.019999999999989</v>
      </c>
      <c r="AK123" s="11">
        <v>9.3675000000000068</v>
      </c>
      <c r="AL123" s="11"/>
      <c r="AM123" s="11">
        <f t="shared" si="12"/>
        <v>15.993125000000012</v>
      </c>
      <c r="AN123" s="11">
        <f t="shared" si="13"/>
        <v>2.057964743589741</v>
      </c>
      <c r="AO123" s="456"/>
    </row>
    <row r="124" spans="1:45" x14ac:dyDescent="0.35">
      <c r="A124" s="436">
        <v>44688</v>
      </c>
      <c r="B124" s="435">
        <v>2022</v>
      </c>
      <c r="C124" s="435">
        <v>19</v>
      </c>
      <c r="D124" s="435">
        <v>6</v>
      </c>
      <c r="E124" s="435" t="s">
        <v>287</v>
      </c>
      <c r="F124" s="436" t="s">
        <v>51</v>
      </c>
      <c r="G124" s="437">
        <v>0.64583333333333237</v>
      </c>
      <c r="H124" s="436" t="s">
        <v>230</v>
      </c>
      <c r="I124" s="435">
        <v>57.8</v>
      </c>
      <c r="J124" s="436" t="s">
        <v>80</v>
      </c>
      <c r="K124" s="438">
        <v>177.53</v>
      </c>
      <c r="L124" s="439">
        <v>7.8000000000000007</v>
      </c>
      <c r="M124" s="435">
        <v>136.69999999999999</v>
      </c>
      <c r="N124" s="435">
        <v>18</v>
      </c>
      <c r="O124" s="438">
        <v>22.760256410256407</v>
      </c>
      <c r="P124" s="440">
        <v>-5.6946614209352866</v>
      </c>
      <c r="Q124" s="438">
        <v>9.8627777777777776</v>
      </c>
      <c r="R124" s="438">
        <v>1.2986832479882957</v>
      </c>
      <c r="S124" s="441">
        <v>7.5944444444444441</v>
      </c>
      <c r="T124" s="441">
        <v>2.3076923076923075</v>
      </c>
      <c r="U124" s="239">
        <v>3</v>
      </c>
      <c r="V124" s="442">
        <v>1.8055555555555557E-2</v>
      </c>
      <c r="W124" s="441" t="s">
        <v>176</v>
      </c>
      <c r="X124" s="438">
        <v>21.645085470085469</v>
      </c>
      <c r="Y124" s="438">
        <v>1.1151709401709375</v>
      </c>
      <c r="Z124" s="443">
        <v>25.033333333333335</v>
      </c>
      <c r="AA124" s="58">
        <f t="shared" ca="1" si="10"/>
        <v>126.60750000000002</v>
      </c>
      <c r="AB124" s="453">
        <f ca="1">Table29[[#This Row],[Earnings]]-Table29[[#This Row],[4-Week Average]]</f>
        <v>50.922499999999985</v>
      </c>
      <c r="AG124" s="456">
        <v>37</v>
      </c>
      <c r="AH124" s="11">
        <v>15.012500000000003</v>
      </c>
      <c r="AI124" s="11">
        <v>-30.992500000000035</v>
      </c>
      <c r="AJ124" s="11">
        <v>-9.8350000000000222</v>
      </c>
      <c r="AK124" s="11">
        <v>27.162499999999994</v>
      </c>
      <c r="AL124" s="11"/>
      <c r="AM124" s="11">
        <f t="shared" si="12"/>
        <v>0.33687499999998494</v>
      </c>
      <c r="AN124" s="11">
        <f t="shared" si="13"/>
        <v>-4.8242467948717964</v>
      </c>
      <c r="AO124" s="456"/>
    </row>
    <row r="125" spans="1:45" x14ac:dyDescent="0.35">
      <c r="A125" s="445">
        <v>44692</v>
      </c>
      <c r="B125" s="444">
        <v>2022</v>
      </c>
      <c r="C125" s="444">
        <v>20</v>
      </c>
      <c r="D125" s="444">
        <v>7</v>
      </c>
      <c r="E125" s="444" t="s">
        <v>287</v>
      </c>
      <c r="F125" s="445" t="s">
        <v>48</v>
      </c>
      <c r="G125" s="446">
        <v>0.74999999999999889</v>
      </c>
      <c r="H125" s="445" t="s">
        <v>230</v>
      </c>
      <c r="I125" s="444">
        <v>78.599999999999994</v>
      </c>
      <c r="J125" s="445" t="s">
        <v>80</v>
      </c>
      <c r="K125" s="447">
        <v>64.34</v>
      </c>
      <c r="L125" s="448">
        <v>3</v>
      </c>
      <c r="M125" s="444">
        <v>52</v>
      </c>
      <c r="N125" s="444">
        <v>8</v>
      </c>
      <c r="O125" s="447">
        <v>21.446666666666669</v>
      </c>
      <c r="P125" s="449">
        <v>-14.278665559246949</v>
      </c>
      <c r="Q125" s="447">
        <v>8.0425000000000004</v>
      </c>
      <c r="R125" s="447">
        <v>1.2373076923076924</v>
      </c>
      <c r="S125" s="450">
        <v>6.5</v>
      </c>
      <c r="T125" s="450">
        <v>2.6666666666666665</v>
      </c>
      <c r="U125" s="240">
        <v>2</v>
      </c>
      <c r="V125" s="451">
        <v>1.5625E-2</v>
      </c>
      <c r="W125" s="450" t="s">
        <v>176</v>
      </c>
      <c r="X125" s="447">
        <v>24.268423200414826</v>
      </c>
      <c r="Y125" s="447">
        <v>-2.8217565337481574</v>
      </c>
      <c r="Z125" s="452">
        <v>24.517777777777781</v>
      </c>
      <c r="AA125" s="58">
        <f t="shared" ca="1" si="10"/>
        <v>93.759999999999991</v>
      </c>
      <c r="AB125" s="453">
        <f ca="1">Table29[[#This Row],[Earnings]]-Table29[[#This Row],[4-Week Average]]</f>
        <v>-29.419999999999987</v>
      </c>
      <c r="AG125" s="456">
        <v>38</v>
      </c>
      <c r="AH125" s="11">
        <v>-9.6674999999999969</v>
      </c>
      <c r="AI125" s="11">
        <v>0.27750000000000341</v>
      </c>
      <c r="AJ125" s="11">
        <v>-77.902499999999975</v>
      </c>
      <c r="AK125" s="11">
        <v>-4.2000000000000171</v>
      </c>
      <c r="AL125" s="11"/>
      <c r="AM125" s="11">
        <f t="shared" si="12"/>
        <v>-22.873124999999995</v>
      </c>
      <c r="AN125" s="11">
        <f t="shared" si="13"/>
        <v>-2.6989262820512829</v>
      </c>
      <c r="AO125" s="456"/>
    </row>
    <row r="126" spans="1:45" x14ac:dyDescent="0.35">
      <c r="A126" s="436">
        <v>44693</v>
      </c>
      <c r="B126" s="435">
        <v>2022</v>
      </c>
      <c r="C126" s="435">
        <v>20</v>
      </c>
      <c r="D126" s="435">
        <v>7</v>
      </c>
      <c r="E126" s="435" t="s">
        <v>287</v>
      </c>
      <c r="F126" s="436" t="s">
        <v>49</v>
      </c>
      <c r="G126" s="437">
        <v>0.70833333333333226</v>
      </c>
      <c r="H126" s="436" t="s">
        <v>236</v>
      </c>
      <c r="I126" s="435">
        <v>77.5</v>
      </c>
      <c r="J126" s="436" t="s">
        <v>82</v>
      </c>
      <c r="K126" s="438">
        <v>40.400000000000006</v>
      </c>
      <c r="L126" s="439">
        <v>2.6</v>
      </c>
      <c r="M126" s="435">
        <v>42</v>
      </c>
      <c r="N126" s="435">
        <v>7</v>
      </c>
      <c r="O126" s="438">
        <v>15.53846153846154</v>
      </c>
      <c r="P126" s="440">
        <v>-4.4615384615384599</v>
      </c>
      <c r="Q126" s="438">
        <v>5.7714285714285722</v>
      </c>
      <c r="R126" s="438">
        <v>0.96190476190476204</v>
      </c>
      <c r="S126" s="441">
        <v>6</v>
      </c>
      <c r="T126" s="441">
        <v>2.6923076923076921</v>
      </c>
      <c r="U126" s="239">
        <v>2</v>
      </c>
      <c r="V126" s="442">
        <v>1.5476190476190477E-2</v>
      </c>
      <c r="W126" s="441" t="s">
        <v>176</v>
      </c>
      <c r="X126" s="438">
        <v>19.305707637558172</v>
      </c>
      <c r="Y126" s="438">
        <v>-3.7672460990966314</v>
      </c>
      <c r="Z126" s="443">
        <v>24.966666666666672</v>
      </c>
      <c r="AA126" s="58">
        <f t="shared" ca="1" si="10"/>
        <v>91.19</v>
      </c>
      <c r="AB126" s="453">
        <f ca="1">Table29[[#This Row],[Earnings]]-Table29[[#This Row],[4-Week Average]]</f>
        <v>-50.789999999999992</v>
      </c>
      <c r="AG126" s="456">
        <v>39</v>
      </c>
      <c r="AH126" s="11">
        <v>98.797499999999985</v>
      </c>
      <c r="AI126" s="11">
        <v>-89.212500000000006</v>
      </c>
      <c r="AJ126" s="11">
        <v>65.400000000000006</v>
      </c>
      <c r="AK126" s="11">
        <v>103.79999999999998</v>
      </c>
      <c r="AL126" s="11"/>
      <c r="AM126" s="11">
        <f t="shared" si="12"/>
        <v>44.696249999999992</v>
      </c>
      <c r="AN126" s="11">
        <f t="shared" si="13"/>
        <v>2.8923557692307678</v>
      </c>
      <c r="AO126" s="456"/>
    </row>
    <row r="127" spans="1:45" x14ac:dyDescent="0.35">
      <c r="A127" s="445">
        <v>44694</v>
      </c>
      <c r="B127" s="444">
        <v>2022</v>
      </c>
      <c r="C127" s="444">
        <v>20</v>
      </c>
      <c r="D127" s="444">
        <v>7</v>
      </c>
      <c r="E127" s="444" t="s">
        <v>287</v>
      </c>
      <c r="F127" s="445" t="s">
        <v>50</v>
      </c>
      <c r="G127" s="446">
        <v>0.72916666666666552</v>
      </c>
      <c r="H127" s="445" t="s">
        <v>236</v>
      </c>
      <c r="I127" s="444">
        <v>86.8</v>
      </c>
      <c r="J127" s="445" t="s">
        <v>80</v>
      </c>
      <c r="K127" s="447">
        <v>124.61</v>
      </c>
      <c r="L127" s="448">
        <v>6.3000000000000007</v>
      </c>
      <c r="M127" s="444">
        <v>162.4</v>
      </c>
      <c r="N127" s="444">
        <v>11</v>
      </c>
      <c r="O127" s="447">
        <v>19.779365079365078</v>
      </c>
      <c r="P127" s="449" t="s">
        <v>393</v>
      </c>
      <c r="Q127" s="447">
        <v>11.328181818181818</v>
      </c>
      <c r="R127" s="447">
        <v>0.7673029556650246</v>
      </c>
      <c r="S127" s="450">
        <v>14.763636363636364</v>
      </c>
      <c r="T127" s="450">
        <v>1.7460317460317458</v>
      </c>
      <c r="U127" s="240">
        <v>3</v>
      </c>
      <c r="V127" s="451">
        <v>2.3863636363636365E-2</v>
      </c>
      <c r="W127" s="450" t="s">
        <v>176</v>
      </c>
      <c r="X127" s="447">
        <v>26.162300455424486</v>
      </c>
      <c r="Y127" s="447">
        <v>-6.3829353760594074</v>
      </c>
      <c r="Z127" s="452">
        <v>25.211777777777783</v>
      </c>
      <c r="AA127" s="58">
        <f t="shared" ca="1" si="10"/>
        <v>101.72</v>
      </c>
      <c r="AB127" s="453">
        <f ca="1">Table29[[#This Row],[Earnings]]-Table29[[#This Row],[4-Week Average]]</f>
        <v>22.89</v>
      </c>
      <c r="AG127" s="456">
        <v>40</v>
      </c>
      <c r="AH127" s="11">
        <v>-32.949999999999989</v>
      </c>
      <c r="AI127" s="11">
        <v>-4.6200000000000045</v>
      </c>
      <c r="AJ127" s="11">
        <v>-31.972500000000025</v>
      </c>
      <c r="AK127" s="11">
        <v>-73.992500000000021</v>
      </c>
      <c r="AL127" s="11"/>
      <c r="AM127" s="11">
        <f t="shared" si="12"/>
        <v>-35.883750000000006</v>
      </c>
      <c r="AN127" s="11">
        <f t="shared" si="13"/>
        <v>-0.24455128205128374</v>
      </c>
      <c r="AO127" s="456"/>
    </row>
    <row r="128" spans="1:45" x14ac:dyDescent="0.35">
      <c r="A128" s="436">
        <v>44700</v>
      </c>
      <c r="B128" s="435">
        <v>2022</v>
      </c>
      <c r="C128" s="435">
        <v>21</v>
      </c>
      <c r="D128" s="435">
        <v>8</v>
      </c>
      <c r="E128" s="435" t="s">
        <v>287</v>
      </c>
      <c r="F128" s="436" t="s">
        <v>49</v>
      </c>
      <c r="G128" s="437">
        <v>0.72916666666666552</v>
      </c>
      <c r="H128" s="436" t="s">
        <v>236</v>
      </c>
      <c r="I128" s="435">
        <v>58.6</v>
      </c>
      <c r="J128" s="436" t="s">
        <v>80</v>
      </c>
      <c r="K128" s="438">
        <v>60.43</v>
      </c>
      <c r="L128" s="439">
        <v>3.1</v>
      </c>
      <c r="M128" s="435">
        <v>62</v>
      </c>
      <c r="N128" s="435">
        <v>7</v>
      </c>
      <c r="O128" s="438">
        <v>19.493548387096773</v>
      </c>
      <c r="P128" s="440">
        <v>-2.7467955282471443</v>
      </c>
      <c r="Q128" s="438">
        <v>8.6328571428571426</v>
      </c>
      <c r="R128" s="438">
        <v>0.97467741935483876</v>
      </c>
      <c r="S128" s="441">
        <v>8.8571428571428577</v>
      </c>
      <c r="T128" s="441">
        <v>2.258064516129032</v>
      </c>
      <c r="U128" s="239">
        <v>3</v>
      </c>
      <c r="V128" s="442">
        <v>1.8452380952380953E-2</v>
      </c>
      <c r="W128" s="441" t="s">
        <v>176</v>
      </c>
      <c r="X128" s="438">
        <v>19.770465325238188</v>
      </c>
      <c r="Y128" s="438">
        <v>-0.27691693814141516</v>
      </c>
      <c r="Z128" s="443">
        <v>25.641555555555559</v>
      </c>
      <c r="AA128" s="58">
        <f t="shared" ca="1" si="10"/>
        <v>72.445000000000007</v>
      </c>
      <c r="AB128" s="453">
        <f ca="1">Table29[[#This Row],[Earnings]]-Table29[[#This Row],[4-Week Average]]</f>
        <v>-12.015000000000008</v>
      </c>
      <c r="AG128" s="456">
        <v>41</v>
      </c>
      <c r="AH128" s="11">
        <v>-46.787499999999994</v>
      </c>
      <c r="AI128" s="11">
        <v>201.08249999999998</v>
      </c>
      <c r="AJ128" s="11">
        <v>-43.502500000000026</v>
      </c>
      <c r="AK128" s="11">
        <v>5.3724999999999881</v>
      </c>
      <c r="AL128" s="11"/>
      <c r="AM128" s="11">
        <f t="shared" si="12"/>
        <v>29.041249999999987</v>
      </c>
      <c r="AN128" s="11">
        <f t="shared" si="13"/>
        <v>6.9014102564102568</v>
      </c>
      <c r="AO128" s="456"/>
    </row>
    <row r="129" spans="1:41" x14ac:dyDescent="0.35">
      <c r="A129" s="445">
        <v>44701</v>
      </c>
      <c r="B129" s="444">
        <v>2022</v>
      </c>
      <c r="C129" s="444">
        <v>21</v>
      </c>
      <c r="D129" s="444">
        <v>8</v>
      </c>
      <c r="E129" s="444" t="s">
        <v>287</v>
      </c>
      <c r="F129" s="445" t="s">
        <v>50</v>
      </c>
      <c r="G129" s="446">
        <v>0.77083333333333215</v>
      </c>
      <c r="H129" s="445" t="s">
        <v>236</v>
      </c>
      <c r="I129" s="444">
        <v>69.900000000000006</v>
      </c>
      <c r="J129" s="445" t="s">
        <v>82</v>
      </c>
      <c r="K129" s="447">
        <v>23.25</v>
      </c>
      <c r="L129" s="448">
        <v>2.4</v>
      </c>
      <c r="M129" s="444">
        <v>33</v>
      </c>
      <c r="N129" s="444">
        <v>5</v>
      </c>
      <c r="O129" s="447">
        <v>9.6875</v>
      </c>
      <c r="P129" s="449">
        <v>-16.109166666666667</v>
      </c>
      <c r="Q129" s="447">
        <v>4.6500000000000004</v>
      </c>
      <c r="R129" s="447">
        <v>0.70454545454545459</v>
      </c>
      <c r="S129" s="450">
        <v>6.6</v>
      </c>
      <c r="T129" s="450">
        <v>2.0833333333333335</v>
      </c>
      <c r="U129" s="240">
        <v>1</v>
      </c>
      <c r="V129" s="451">
        <v>0.02</v>
      </c>
      <c r="W129" s="450" t="s">
        <v>176</v>
      </c>
      <c r="X129" s="447">
        <v>16.333148531440958</v>
      </c>
      <c r="Y129" s="447">
        <v>-6.6456485314409584</v>
      </c>
      <c r="Z129" s="452">
        <v>25.899888888888892</v>
      </c>
      <c r="AA129" s="58">
        <f t="shared" ca="1" si="10"/>
        <v>62.172499999999999</v>
      </c>
      <c r="AB129" s="453">
        <f ca="1">Table29[[#This Row],[Earnings]]-Table29[[#This Row],[4-Week Average]]</f>
        <v>-38.922499999999999</v>
      </c>
      <c r="AG129" s="456">
        <v>42</v>
      </c>
      <c r="AH129" s="11">
        <v>-26.599999999999994</v>
      </c>
      <c r="AI129" s="11">
        <v>-106.78999999999996</v>
      </c>
      <c r="AJ129" s="11">
        <v>19.194999999999993</v>
      </c>
      <c r="AK129" s="11">
        <v>-82.39749999999998</v>
      </c>
      <c r="AL129" s="11"/>
      <c r="AM129" s="11">
        <f t="shared" si="12"/>
        <v>-49.148124999999986</v>
      </c>
      <c r="AN129" s="11">
        <f t="shared" si="13"/>
        <v>-1.4789743589743596</v>
      </c>
      <c r="AO129" s="456"/>
    </row>
    <row r="130" spans="1:41" x14ac:dyDescent="0.35">
      <c r="A130" s="436">
        <v>44704</v>
      </c>
      <c r="B130" s="435">
        <v>2022</v>
      </c>
      <c r="C130" s="435">
        <v>22</v>
      </c>
      <c r="D130" s="435">
        <v>9</v>
      </c>
      <c r="E130" s="435" t="s">
        <v>287</v>
      </c>
      <c r="F130" s="436" t="s">
        <v>46</v>
      </c>
      <c r="G130" s="437">
        <v>0.72916666666666552</v>
      </c>
      <c r="H130" s="436" t="s">
        <v>230</v>
      </c>
      <c r="I130" s="435">
        <v>62.6</v>
      </c>
      <c r="J130" s="436" t="s">
        <v>85</v>
      </c>
      <c r="K130" s="438">
        <v>109.4</v>
      </c>
      <c r="L130" s="439">
        <v>5.7</v>
      </c>
      <c r="M130" s="435">
        <v>113.6</v>
      </c>
      <c r="N130" s="435">
        <v>13</v>
      </c>
      <c r="O130" s="438">
        <v>19.192982456140353</v>
      </c>
      <c r="P130" s="440" t="s">
        <v>393</v>
      </c>
      <c r="Q130" s="438">
        <v>8.4153846153846157</v>
      </c>
      <c r="R130" s="438">
        <v>0.96302816901408461</v>
      </c>
      <c r="S130" s="441">
        <v>8.7384615384615376</v>
      </c>
      <c r="T130" s="441">
        <v>2.2807017543859649</v>
      </c>
      <c r="U130" s="239">
        <v>4</v>
      </c>
      <c r="V130" s="442">
        <v>1.826923076923077E-2</v>
      </c>
      <c r="W130" s="441" t="s">
        <v>176</v>
      </c>
      <c r="X130" s="438">
        <v>18.734097495073303</v>
      </c>
      <c r="Y130" s="438">
        <v>0.45888496106704935</v>
      </c>
      <c r="Z130" s="443">
        <v>27.115444444444449</v>
      </c>
      <c r="AA130" s="58">
        <f t="shared" ca="1" si="10"/>
        <v>79.422499999999999</v>
      </c>
      <c r="AB130" s="453">
        <f ca="1">Table29[[#This Row],[Earnings]]-Table29[[#This Row],[4-Week Average]]</f>
        <v>29.977500000000006</v>
      </c>
      <c r="AG130" s="456">
        <v>43</v>
      </c>
      <c r="AH130" s="11">
        <v>77.632499999999993</v>
      </c>
      <c r="AI130" s="11"/>
      <c r="AJ130" s="11">
        <v>41.115000000000009</v>
      </c>
      <c r="AK130" s="11">
        <v>39.057500000000005</v>
      </c>
      <c r="AL130" s="11"/>
      <c r="AM130" s="11">
        <f t="shared" si="12"/>
        <v>52.601666666666667</v>
      </c>
      <c r="AN130" s="11">
        <f t="shared" si="13"/>
        <v>5.8034775641025647</v>
      </c>
      <c r="AO130" s="456"/>
    </row>
    <row r="131" spans="1:41" x14ac:dyDescent="0.35">
      <c r="A131" s="445">
        <v>44714</v>
      </c>
      <c r="B131" s="444">
        <v>2022</v>
      </c>
      <c r="C131" s="444">
        <v>23</v>
      </c>
      <c r="D131" s="444">
        <v>10</v>
      </c>
      <c r="E131" s="444" t="s">
        <v>287</v>
      </c>
      <c r="F131" s="445" t="s">
        <v>49</v>
      </c>
      <c r="G131" s="446">
        <v>0.74999999999999889</v>
      </c>
      <c r="H131" s="445" t="s">
        <v>236</v>
      </c>
      <c r="I131" s="444">
        <v>55.3</v>
      </c>
      <c r="J131" s="445" t="s">
        <v>80</v>
      </c>
      <c r="K131" s="447">
        <v>91.4</v>
      </c>
      <c r="L131" s="448">
        <v>2.1</v>
      </c>
      <c r="M131" s="444">
        <v>51</v>
      </c>
      <c r="N131" s="444">
        <v>6</v>
      </c>
      <c r="O131" s="447">
        <v>43.523809523809526</v>
      </c>
      <c r="P131" s="449">
        <v>21.970164490527395</v>
      </c>
      <c r="Q131" s="447">
        <v>15.233333333333334</v>
      </c>
      <c r="R131" s="447">
        <v>1.7921568627450981</v>
      </c>
      <c r="S131" s="450">
        <v>8.5</v>
      </c>
      <c r="T131" s="450">
        <v>2.8571428571428572</v>
      </c>
      <c r="U131" s="240">
        <v>3</v>
      </c>
      <c r="V131" s="451">
        <v>1.4583333333333335E-2</v>
      </c>
      <c r="W131" s="450" t="s">
        <v>176</v>
      </c>
      <c r="X131" s="447">
        <v>27.094757647407121</v>
      </c>
      <c r="Y131" s="447">
        <v>16.429051876402404</v>
      </c>
      <c r="Z131" s="452">
        <v>24.349000000000004</v>
      </c>
      <c r="AA131" s="58">
        <f t="shared" ca="1" si="10"/>
        <v>71.12</v>
      </c>
      <c r="AB131" s="453">
        <f ca="1">Table29[[#This Row],[Earnings]]-Table29[[#This Row],[4-Week Average]]</f>
        <v>20.28</v>
      </c>
      <c r="AG131" s="456">
        <v>44</v>
      </c>
      <c r="AH131" s="11">
        <v>9.2175000000000011</v>
      </c>
      <c r="AI131" s="11"/>
      <c r="AJ131" s="11">
        <v>46.804999999999964</v>
      </c>
      <c r="AK131" s="11">
        <v>76.814999999999998</v>
      </c>
      <c r="AL131" s="11"/>
      <c r="AM131" s="11">
        <f t="shared" si="12"/>
        <v>44.279166666666661</v>
      </c>
      <c r="AN131" s="11">
        <f t="shared" si="13"/>
        <v>1.9104006410256393</v>
      </c>
      <c r="AO131" s="456"/>
    </row>
    <row r="132" spans="1:41" x14ac:dyDescent="0.35">
      <c r="A132" s="436">
        <v>44715</v>
      </c>
      <c r="B132" s="435">
        <v>2022</v>
      </c>
      <c r="C132" s="435">
        <v>23</v>
      </c>
      <c r="D132" s="435">
        <v>10</v>
      </c>
      <c r="E132" s="435" t="s">
        <v>287</v>
      </c>
      <c r="F132" s="436" t="s">
        <v>50</v>
      </c>
      <c r="G132" s="437">
        <v>0.74999999999999889</v>
      </c>
      <c r="H132" s="436" t="s">
        <v>236</v>
      </c>
      <c r="I132" s="435">
        <v>62.7</v>
      </c>
      <c r="J132" s="436" t="s">
        <v>85</v>
      </c>
      <c r="K132" s="438">
        <v>41.22</v>
      </c>
      <c r="L132" s="439">
        <v>3.9</v>
      </c>
      <c r="M132" s="435">
        <v>81.48</v>
      </c>
      <c r="N132" s="435">
        <v>4</v>
      </c>
      <c r="O132" s="438">
        <v>10.569230769230769</v>
      </c>
      <c r="P132" s="440">
        <v>-14.740750196507557</v>
      </c>
      <c r="Q132" s="438">
        <v>10.305</v>
      </c>
      <c r="R132" s="438">
        <v>0.50589101620029453</v>
      </c>
      <c r="S132" s="441">
        <v>20.37</v>
      </c>
      <c r="T132" s="441">
        <v>1.0256410256410258</v>
      </c>
      <c r="U132" s="239">
        <v>3</v>
      </c>
      <c r="V132" s="442">
        <v>4.0625000000000001E-2</v>
      </c>
      <c r="W132" s="441" t="s">
        <v>176</v>
      </c>
      <c r="X132" s="438">
        <v>20.101809097414456</v>
      </c>
      <c r="Y132" s="438">
        <v>-9.5325783281836873</v>
      </c>
      <c r="Z132" s="443">
        <v>24.807000000000002</v>
      </c>
      <c r="AA132" s="58">
        <f t="shared" ref="AA132:AA195" ca="1" si="14">AVERAGE(OFFSET(K132,-3,0,4,1))</f>
        <v>66.317499999999995</v>
      </c>
      <c r="AB132" s="453">
        <f ca="1">Table29[[#This Row],[Earnings]]-Table29[[#This Row],[4-Week Average]]</f>
        <v>-25.097499999999997</v>
      </c>
      <c r="AG132" s="456">
        <v>45</v>
      </c>
      <c r="AH132" s="11">
        <v>-64.125000000000014</v>
      </c>
      <c r="AI132" s="11">
        <v>-13.967500000000001</v>
      </c>
      <c r="AJ132" s="11">
        <v>-48.957499999999982</v>
      </c>
      <c r="AK132" s="11">
        <v>-67.422500000000014</v>
      </c>
      <c r="AL132" s="11"/>
      <c r="AM132" s="11">
        <f t="shared" si="12"/>
        <v>-48.618125000000006</v>
      </c>
      <c r="AN132" s="11">
        <f t="shared" si="13"/>
        <v>-2.0123878205128198</v>
      </c>
      <c r="AO132" s="456"/>
    </row>
    <row r="133" spans="1:41" x14ac:dyDescent="0.35">
      <c r="A133" s="445">
        <v>44721</v>
      </c>
      <c r="B133" s="444">
        <v>2022</v>
      </c>
      <c r="C133" s="444">
        <v>24</v>
      </c>
      <c r="D133" s="444">
        <v>11</v>
      </c>
      <c r="E133" s="444" t="s">
        <v>287</v>
      </c>
      <c r="F133" s="445" t="s">
        <v>49</v>
      </c>
      <c r="G133" s="446">
        <v>0.70833333333333226</v>
      </c>
      <c r="H133" s="445" t="s">
        <v>230</v>
      </c>
      <c r="I133" s="444">
        <v>73.5</v>
      </c>
      <c r="J133" s="445" t="s">
        <v>80</v>
      </c>
      <c r="K133" s="447">
        <v>88.63</v>
      </c>
      <c r="L133" s="448">
        <v>5.9</v>
      </c>
      <c r="M133" s="444">
        <v>101.4</v>
      </c>
      <c r="N133" s="444">
        <v>11</v>
      </c>
      <c r="O133" s="447">
        <v>15.022033898305082</v>
      </c>
      <c r="P133" s="449">
        <v>-10.925644033082527</v>
      </c>
      <c r="Q133" s="447">
        <v>8.0572727272727267</v>
      </c>
      <c r="R133" s="447">
        <v>0.87406311637080858</v>
      </c>
      <c r="S133" s="450">
        <v>9.2181818181818187</v>
      </c>
      <c r="T133" s="450">
        <v>1.8644067796610169</v>
      </c>
      <c r="U133" s="240">
        <v>2</v>
      </c>
      <c r="V133" s="451">
        <v>2.234848484848485E-2</v>
      </c>
      <c r="W133" s="450" t="s">
        <v>176</v>
      </c>
      <c r="X133" s="447">
        <v>20.552091321007818</v>
      </c>
      <c r="Y133" s="447">
        <v>-5.5300574227027361</v>
      </c>
      <c r="Z133" s="452">
        <v>24.990222222222222</v>
      </c>
      <c r="AA133" s="58">
        <f t="shared" ca="1" si="14"/>
        <v>82.662499999999994</v>
      </c>
      <c r="AB133" s="453">
        <f ca="1">Table29[[#This Row],[Earnings]]-Table29[[#This Row],[4-Week Average]]</f>
        <v>5.9675000000000011</v>
      </c>
      <c r="AG133" s="459">
        <v>46</v>
      </c>
      <c r="AH133" s="11">
        <v>72.66249999999998</v>
      </c>
      <c r="AI133" s="11">
        <v>-26.914999999999992</v>
      </c>
      <c r="AJ133" s="11">
        <v>50.43249999999999</v>
      </c>
      <c r="AK133" s="11">
        <v>57.875000000000014</v>
      </c>
      <c r="AL133" s="11"/>
      <c r="AM133" s="11">
        <f t="shared" si="12"/>
        <v>38.513750000000002</v>
      </c>
      <c r="AN133" s="11">
        <f t="shared" si="13"/>
        <v>1.3504807692307699</v>
      </c>
      <c r="AO133" s="459"/>
    </row>
    <row r="134" spans="1:41" x14ac:dyDescent="0.35">
      <c r="A134" s="436">
        <v>44722</v>
      </c>
      <c r="B134" s="435">
        <v>2022</v>
      </c>
      <c r="C134" s="435">
        <v>24</v>
      </c>
      <c r="D134" s="435">
        <v>11</v>
      </c>
      <c r="E134" s="435" t="s">
        <v>287</v>
      </c>
      <c r="F134" s="436" t="s">
        <v>50</v>
      </c>
      <c r="G134" s="437">
        <v>0.74999999999999889</v>
      </c>
      <c r="H134" s="436" t="s">
        <v>230</v>
      </c>
      <c r="I134" s="435">
        <v>74</v>
      </c>
      <c r="J134" s="436" t="s">
        <v>85</v>
      </c>
      <c r="K134" s="438">
        <v>154.5</v>
      </c>
      <c r="L134" s="439">
        <v>9.1000000000000014</v>
      </c>
      <c r="M134" s="435">
        <v>166.4</v>
      </c>
      <c r="N134" s="435">
        <v>16</v>
      </c>
      <c r="O134" s="438">
        <v>16.978021978021975</v>
      </c>
      <c r="P134" s="440">
        <v>-5.8751672882984245</v>
      </c>
      <c r="Q134" s="438">
        <v>9.65625</v>
      </c>
      <c r="R134" s="438">
        <v>0.92848557692307687</v>
      </c>
      <c r="S134" s="441">
        <v>10.4</v>
      </c>
      <c r="T134" s="441">
        <v>1.758241758241758</v>
      </c>
      <c r="U134" s="239">
        <v>3</v>
      </c>
      <c r="V134" s="442">
        <v>2.3697916666666669E-2</v>
      </c>
      <c r="W134" s="441" t="s">
        <v>176</v>
      </c>
      <c r="X134" s="438">
        <v>23.104506448136657</v>
      </c>
      <c r="Y134" s="438">
        <v>-6.1264844701146828</v>
      </c>
      <c r="Z134" s="443">
        <v>25.094222222222221</v>
      </c>
      <c r="AA134" s="58">
        <f t="shared" ca="1" si="14"/>
        <v>93.9375</v>
      </c>
      <c r="AB134" s="453">
        <f ca="1">Table29[[#This Row],[Earnings]]-Table29[[#This Row],[4-Week Average]]</f>
        <v>60.5625</v>
      </c>
      <c r="AG134" s="459">
        <v>47</v>
      </c>
      <c r="AH134" s="11">
        <v>-61.122499999999974</v>
      </c>
      <c r="AI134" s="11">
        <v>95.852499999999978</v>
      </c>
      <c r="AJ134" s="11">
        <v>-164.05</v>
      </c>
      <c r="AK134" s="11">
        <v>-127.69499999999999</v>
      </c>
      <c r="AL134" s="11"/>
      <c r="AM134" s="11">
        <f t="shared" si="12"/>
        <v>-64.253749999999997</v>
      </c>
      <c r="AN134" s="11">
        <f t="shared" si="13"/>
        <v>-4.0510576923076922</v>
      </c>
      <c r="AO134" s="459"/>
    </row>
    <row r="135" spans="1:41" x14ac:dyDescent="0.35">
      <c r="A135" s="445">
        <v>44724</v>
      </c>
      <c r="B135" s="444">
        <v>2022</v>
      </c>
      <c r="C135" s="444">
        <v>24</v>
      </c>
      <c r="D135" s="444">
        <v>11</v>
      </c>
      <c r="E135" s="444" t="s">
        <v>287</v>
      </c>
      <c r="F135" s="445" t="s">
        <v>45</v>
      </c>
      <c r="G135" s="446">
        <v>0.70833333333333226</v>
      </c>
      <c r="H135" s="445" t="s">
        <v>236</v>
      </c>
      <c r="I135" s="444">
        <v>76.3</v>
      </c>
      <c r="J135" s="445" t="s">
        <v>85</v>
      </c>
      <c r="K135" s="447">
        <v>144.63999999999999</v>
      </c>
      <c r="L135" s="448">
        <v>6.82</v>
      </c>
      <c r="M135" s="444">
        <v>182</v>
      </c>
      <c r="N135" s="444">
        <v>13</v>
      </c>
      <c r="O135" s="447">
        <v>21.20821114369501</v>
      </c>
      <c r="P135" s="449">
        <v>-6.5615677160691774</v>
      </c>
      <c r="Q135" s="447">
        <v>11.126153846153844</v>
      </c>
      <c r="R135" s="447">
        <v>0.79472527472527466</v>
      </c>
      <c r="S135" s="450">
        <v>14</v>
      </c>
      <c r="T135" s="450">
        <v>1.9061583577712609</v>
      </c>
      <c r="U135" s="240">
        <v>2</v>
      </c>
      <c r="V135" s="451">
        <v>2.1858974358974357E-2</v>
      </c>
      <c r="W135" s="450" t="s">
        <v>176</v>
      </c>
      <c r="X135" s="447">
        <v>21.20821114369501</v>
      </c>
      <c r="Y135" s="447">
        <v>0</v>
      </c>
      <c r="Z135" s="452">
        <v>25.716111111111108</v>
      </c>
      <c r="AA135" s="58">
        <f t="shared" ca="1" si="14"/>
        <v>107.2475</v>
      </c>
      <c r="AB135" s="453">
        <f ca="1">Table29[[#This Row],[Earnings]]-Table29[[#This Row],[4-Week Average]]</f>
        <v>37.392499999999984</v>
      </c>
      <c r="AG135" s="459">
        <v>48</v>
      </c>
      <c r="AH135" s="11">
        <v>198.88499999999999</v>
      </c>
      <c r="AI135" s="11">
        <v>-99.442499999999967</v>
      </c>
      <c r="AJ135" s="11">
        <v>121.845</v>
      </c>
      <c r="AK135" s="11">
        <v>61.75250000000004</v>
      </c>
      <c r="AL135" s="11"/>
      <c r="AM135" s="11">
        <f t="shared" si="12"/>
        <v>70.760000000000019</v>
      </c>
      <c r="AN135" s="11">
        <f t="shared" si="13"/>
        <v>1.1652692307692325</v>
      </c>
      <c r="AO135" s="459"/>
    </row>
    <row r="136" spans="1:41" x14ac:dyDescent="0.35">
      <c r="A136" s="436">
        <v>44728</v>
      </c>
      <c r="B136" s="435">
        <v>2022</v>
      </c>
      <c r="C136" s="435">
        <v>25</v>
      </c>
      <c r="D136" s="435">
        <v>12</v>
      </c>
      <c r="E136" s="435" t="s">
        <v>287</v>
      </c>
      <c r="F136" s="436" t="s">
        <v>49</v>
      </c>
      <c r="G136" s="437">
        <v>0.72916666666666552</v>
      </c>
      <c r="H136" s="436" t="s">
        <v>236</v>
      </c>
      <c r="I136" s="435">
        <v>78.2</v>
      </c>
      <c r="J136" s="436" t="s">
        <v>85</v>
      </c>
      <c r="K136" s="438">
        <v>123.72</v>
      </c>
      <c r="L136" s="439">
        <v>6.8</v>
      </c>
      <c r="M136" s="435">
        <v>163.1</v>
      </c>
      <c r="N136" s="435">
        <v>10</v>
      </c>
      <c r="O136" s="438">
        <v>18.194117647058825</v>
      </c>
      <c r="P136" s="440">
        <v>1.0223227752639552</v>
      </c>
      <c r="Q136" s="438">
        <v>12.372</v>
      </c>
      <c r="R136" s="438">
        <v>0.75855303494788473</v>
      </c>
      <c r="S136" s="441">
        <v>16.309999999999999</v>
      </c>
      <c r="T136" s="441">
        <v>1.4705882352941178</v>
      </c>
      <c r="U136" s="239">
        <v>4</v>
      </c>
      <c r="V136" s="442">
        <v>2.8333333333333332E-2</v>
      </c>
      <c r="W136" s="441" t="s">
        <v>176</v>
      </c>
      <c r="X136" s="438">
        <v>19.1731951408422</v>
      </c>
      <c r="Y136" s="438">
        <v>-0.97907749378337527</v>
      </c>
      <c r="Z136" s="443">
        <v>27.090777777777774</v>
      </c>
      <c r="AA136" s="58">
        <f t="shared" ca="1" si="14"/>
        <v>127.8725</v>
      </c>
      <c r="AB136" s="453">
        <f ca="1">Table29[[#This Row],[Earnings]]-Table29[[#This Row],[4-Week Average]]</f>
        <v>-4.1525000000000034</v>
      </c>
      <c r="AG136" s="459">
        <v>49</v>
      </c>
      <c r="AH136" s="11">
        <v>-72.792500000000018</v>
      </c>
      <c r="AI136" s="11">
        <v>22.992499999999993</v>
      </c>
      <c r="AJ136" s="11">
        <v>-12.672499999999985</v>
      </c>
      <c r="AK136" s="11">
        <v>-75.995000000000005</v>
      </c>
      <c r="AL136" s="11"/>
      <c r="AM136" s="11">
        <f t="shared" si="12"/>
        <v>-34.616875000000007</v>
      </c>
      <c r="AN136" s="11">
        <f t="shared" si="13"/>
        <v>-2.2905480769230731</v>
      </c>
      <c r="AO136" s="459"/>
    </row>
    <row r="137" spans="1:41" x14ac:dyDescent="0.35">
      <c r="A137" s="445">
        <v>44730</v>
      </c>
      <c r="B137" s="444">
        <v>2022</v>
      </c>
      <c r="C137" s="444">
        <v>25</v>
      </c>
      <c r="D137" s="444">
        <v>12</v>
      </c>
      <c r="E137" s="444" t="s">
        <v>287</v>
      </c>
      <c r="F137" s="445" t="s">
        <v>51</v>
      </c>
      <c r="G137" s="446">
        <v>0.70833333333333226</v>
      </c>
      <c r="H137" s="445" t="s">
        <v>236</v>
      </c>
      <c r="I137" s="444">
        <v>54.9</v>
      </c>
      <c r="J137" s="445" t="s">
        <v>82</v>
      </c>
      <c r="K137" s="447">
        <v>162.41</v>
      </c>
      <c r="L137" s="448">
        <v>6.8</v>
      </c>
      <c r="M137" s="444">
        <v>128.30000000000001</v>
      </c>
      <c r="N137" s="444">
        <v>17</v>
      </c>
      <c r="O137" s="447">
        <v>23.883823529411764</v>
      </c>
      <c r="P137" s="449" t="s">
        <v>393</v>
      </c>
      <c r="Q137" s="447">
        <v>9.5535294117647052</v>
      </c>
      <c r="R137" s="447">
        <v>1.2658612626656274</v>
      </c>
      <c r="S137" s="450">
        <v>7.5470588235294125</v>
      </c>
      <c r="T137" s="450">
        <v>2.5</v>
      </c>
      <c r="U137" s="240">
        <v>4</v>
      </c>
      <c r="V137" s="451">
        <v>1.6666666666666666E-2</v>
      </c>
      <c r="W137" s="450" t="s">
        <v>176</v>
      </c>
      <c r="X137" s="447">
        <v>22.879063937501609</v>
      </c>
      <c r="Y137" s="447">
        <v>1.0047595919101546</v>
      </c>
      <c r="Z137" s="452">
        <v>25.193888888888885</v>
      </c>
      <c r="AA137" s="58">
        <f t="shared" ca="1" si="14"/>
        <v>146.3175</v>
      </c>
      <c r="AB137" s="453">
        <f ca="1">Table29[[#This Row],[Earnings]]-Table29[[#This Row],[4-Week Average]]</f>
        <v>16.092500000000001</v>
      </c>
      <c r="AG137" s="459">
        <v>50</v>
      </c>
      <c r="AH137" s="11">
        <v>-70.757499999999993</v>
      </c>
      <c r="AI137" s="11">
        <v>-41.697499999999984</v>
      </c>
      <c r="AJ137" s="11">
        <v>-71.634999999999991</v>
      </c>
      <c r="AK137" s="11">
        <v>-18.547499999999992</v>
      </c>
      <c r="AL137" s="11"/>
      <c r="AM137" s="11">
        <f t="shared" si="12"/>
        <v>-50.65937499999999</v>
      </c>
      <c r="AN137" s="11">
        <f t="shared" si="13"/>
        <v>3.7639230769230805</v>
      </c>
      <c r="AO137" s="459"/>
    </row>
    <row r="138" spans="1:41" x14ac:dyDescent="0.35">
      <c r="A138" s="436">
        <v>44734</v>
      </c>
      <c r="B138" s="435">
        <v>2022</v>
      </c>
      <c r="C138" s="435">
        <v>26</v>
      </c>
      <c r="D138" s="435">
        <v>13</v>
      </c>
      <c r="E138" s="435" t="s">
        <v>287</v>
      </c>
      <c r="F138" s="436" t="s">
        <v>48</v>
      </c>
      <c r="G138" s="437">
        <v>0.77083333333333215</v>
      </c>
      <c r="H138" s="436" t="s">
        <v>236</v>
      </c>
      <c r="I138" s="435">
        <v>71.2</v>
      </c>
      <c r="J138" s="436" t="s">
        <v>82</v>
      </c>
      <c r="K138" s="438">
        <v>27.73</v>
      </c>
      <c r="L138" s="439">
        <v>3.53</v>
      </c>
      <c r="M138" s="435">
        <v>63</v>
      </c>
      <c r="N138" s="435">
        <v>5</v>
      </c>
      <c r="O138" s="438">
        <v>7.855524079320114</v>
      </c>
      <c r="P138" s="440">
        <v>-18.516270792474756</v>
      </c>
      <c r="Q138" s="438">
        <v>5.5460000000000003</v>
      </c>
      <c r="R138" s="438">
        <v>0.44015873015873014</v>
      </c>
      <c r="S138" s="441">
        <v>12.6</v>
      </c>
      <c r="T138" s="441">
        <v>1.41643059490085</v>
      </c>
      <c r="U138" s="239">
        <v>3</v>
      </c>
      <c r="V138" s="442">
        <v>2.9416666666666664E-2</v>
      </c>
      <c r="W138" s="441" t="s">
        <v>176</v>
      </c>
      <c r="X138" s="438">
        <v>14.873473218905231</v>
      </c>
      <c r="Y138" s="438">
        <v>-7.0179491395851166</v>
      </c>
      <c r="Z138" s="443">
        <v>25.210333333333331</v>
      </c>
      <c r="AA138" s="58">
        <f t="shared" ca="1" si="14"/>
        <v>114.625</v>
      </c>
      <c r="AB138" s="453">
        <f ca="1">Table29[[#This Row],[Earnings]]-Table29[[#This Row],[4-Week Average]]</f>
        <v>-86.894999999999996</v>
      </c>
      <c r="AG138" s="459">
        <v>51</v>
      </c>
      <c r="AH138" s="11">
        <v>-12.620000000000005</v>
      </c>
      <c r="AI138" s="11">
        <v>17.892499999999984</v>
      </c>
      <c r="AJ138" s="11">
        <v>57.260000000000005</v>
      </c>
      <c r="AK138" s="11"/>
      <c r="AL138" s="11"/>
      <c r="AM138" s="11">
        <f t="shared" si="12"/>
        <v>20.844166666666663</v>
      </c>
      <c r="AN138" s="11">
        <f t="shared" si="13"/>
        <v>-2.3147948717948692</v>
      </c>
      <c r="AO138" s="459"/>
    </row>
    <row r="139" spans="1:41" x14ac:dyDescent="0.35">
      <c r="A139" s="445">
        <v>44736</v>
      </c>
      <c r="B139" s="444">
        <v>2022</v>
      </c>
      <c r="C139" s="444">
        <v>26</v>
      </c>
      <c r="D139" s="444">
        <v>13</v>
      </c>
      <c r="E139" s="444" t="s">
        <v>287</v>
      </c>
      <c r="F139" s="445" t="s">
        <v>50</v>
      </c>
      <c r="G139" s="446">
        <v>0.74999999999999889</v>
      </c>
      <c r="H139" s="445" t="s">
        <v>230</v>
      </c>
      <c r="I139" s="444">
        <v>87.6</v>
      </c>
      <c r="J139" s="445" t="s">
        <v>80</v>
      </c>
      <c r="K139" s="447">
        <v>124.09</v>
      </c>
      <c r="L139" s="448">
        <v>3.5</v>
      </c>
      <c r="M139" s="444">
        <v>137.6</v>
      </c>
      <c r="N139" s="444">
        <v>9</v>
      </c>
      <c r="O139" s="447">
        <v>35.454285714285717</v>
      </c>
      <c r="P139" s="449">
        <v>15.674920634920639</v>
      </c>
      <c r="Q139" s="447">
        <v>13.787777777777778</v>
      </c>
      <c r="R139" s="447">
        <v>0.90181686046511633</v>
      </c>
      <c r="S139" s="450">
        <v>15.288888888888888</v>
      </c>
      <c r="T139" s="450">
        <v>2.5714285714285716</v>
      </c>
      <c r="U139" s="240">
        <v>4</v>
      </c>
      <c r="V139" s="451">
        <v>1.6203703703703703E-2</v>
      </c>
      <c r="W139" s="450" t="s">
        <v>176</v>
      </c>
      <c r="X139" s="447">
        <v>26.982702895536416</v>
      </c>
      <c r="Y139" s="447">
        <v>8.471582818749301</v>
      </c>
      <c r="Z139" s="452">
        <v>24.00533333333334</v>
      </c>
      <c r="AA139" s="58">
        <f t="shared" ca="1" si="14"/>
        <v>109.48750000000001</v>
      </c>
      <c r="AB139" s="453">
        <f ca="1">Table29[[#This Row],[Earnings]]-Table29[[#This Row],[4-Week Average]]</f>
        <v>14.602499999999992</v>
      </c>
      <c r="AG139" s="459">
        <v>52</v>
      </c>
      <c r="AH139" s="11">
        <v>-1.4374999999999858</v>
      </c>
      <c r="AI139" s="11">
        <v>-49.61</v>
      </c>
      <c r="AJ139" s="11"/>
      <c r="AK139" s="11"/>
      <c r="AL139" s="11"/>
      <c r="AM139" s="11">
        <f t="shared" si="12"/>
        <v>-25.523749999999993</v>
      </c>
      <c r="AN139" s="11">
        <f t="shared" si="13"/>
        <v>-7.9885769230769208</v>
      </c>
      <c r="AO139" s="459"/>
    </row>
    <row r="140" spans="1:41" x14ac:dyDescent="0.35">
      <c r="A140" s="436">
        <v>44737</v>
      </c>
      <c r="B140" s="435">
        <v>2022</v>
      </c>
      <c r="C140" s="435">
        <v>26</v>
      </c>
      <c r="D140" s="435">
        <v>13</v>
      </c>
      <c r="E140" s="435" t="s">
        <v>287</v>
      </c>
      <c r="F140" s="436" t="s">
        <v>51</v>
      </c>
      <c r="G140" s="437">
        <v>0.74999999999999889</v>
      </c>
      <c r="H140" s="436" t="s">
        <v>230</v>
      </c>
      <c r="I140" s="435">
        <v>88.2</v>
      </c>
      <c r="J140" s="436" t="s">
        <v>82</v>
      </c>
      <c r="K140" s="438">
        <v>118.68</v>
      </c>
      <c r="L140" s="439">
        <v>6.1999999999999993</v>
      </c>
      <c r="M140" s="435">
        <v>134</v>
      </c>
      <c r="N140" s="435">
        <v>16</v>
      </c>
      <c r="O140" s="438">
        <v>19.14193548387097</v>
      </c>
      <c r="P140" s="440">
        <v>-4.7418880455407937</v>
      </c>
      <c r="Q140" s="438">
        <v>7.4175000000000004</v>
      </c>
      <c r="R140" s="438">
        <v>0.88567164179104485</v>
      </c>
      <c r="S140" s="441">
        <v>8.375</v>
      </c>
      <c r="T140" s="441">
        <v>2.580645161290323</v>
      </c>
      <c r="U140" s="239">
        <v>2</v>
      </c>
      <c r="V140" s="442">
        <v>1.6145833333333331E-2</v>
      </c>
      <c r="W140" s="441" t="s">
        <v>176</v>
      </c>
      <c r="X140" s="438">
        <v>20.115540994623654</v>
      </c>
      <c r="Y140" s="438">
        <v>-0.97360551075268376</v>
      </c>
      <c r="Z140" s="443">
        <v>25.324000000000005</v>
      </c>
      <c r="AA140" s="58">
        <f t="shared" ca="1" si="14"/>
        <v>108.22750000000001</v>
      </c>
      <c r="AB140" s="453">
        <f ca="1">Table29[[#This Row],[Earnings]]-Table29[[#This Row],[4-Week Average]]</f>
        <v>10.452500000000001</v>
      </c>
      <c r="AM140" s="11">
        <v>31.928500000000007</v>
      </c>
    </row>
    <row r="141" spans="1:41" x14ac:dyDescent="0.35">
      <c r="A141" s="445">
        <v>44738</v>
      </c>
      <c r="B141" s="444">
        <v>2022</v>
      </c>
      <c r="C141" s="444">
        <v>26</v>
      </c>
      <c r="D141" s="444">
        <v>13</v>
      </c>
      <c r="E141" s="444" t="s">
        <v>287</v>
      </c>
      <c r="F141" s="445" t="s">
        <v>45</v>
      </c>
      <c r="G141" s="446">
        <v>0.58333333333333237</v>
      </c>
      <c r="H141" s="445" t="s">
        <v>236</v>
      </c>
      <c r="I141" s="444">
        <v>76.5</v>
      </c>
      <c r="J141" s="445" t="s">
        <v>82</v>
      </c>
      <c r="K141" s="447">
        <v>123.57999999999998</v>
      </c>
      <c r="L141" s="448">
        <v>7.6</v>
      </c>
      <c r="M141" s="444">
        <v>142.5</v>
      </c>
      <c r="N141" s="444">
        <v>16</v>
      </c>
      <c r="O141" s="447">
        <v>16.260526315789473</v>
      </c>
      <c r="P141" s="449" t="s">
        <v>393</v>
      </c>
      <c r="Q141" s="447">
        <v>7.723749999999999</v>
      </c>
      <c r="R141" s="447">
        <v>0.86722807017543846</v>
      </c>
      <c r="S141" s="450">
        <v>8.90625</v>
      </c>
      <c r="T141" s="450">
        <v>2.1052631578947367</v>
      </c>
      <c r="U141" s="240">
        <v>3</v>
      </c>
      <c r="V141" s="451">
        <v>1.9791666666666666E-2</v>
      </c>
      <c r="W141" s="450" t="s">
        <v>176</v>
      </c>
      <c r="X141" s="447">
        <v>18.887056636155606</v>
      </c>
      <c r="Y141" s="447">
        <v>-2.6265303203661325</v>
      </c>
      <c r="Z141" s="452">
        <v>26.697111111111113</v>
      </c>
      <c r="AA141" s="58">
        <f t="shared" ca="1" si="14"/>
        <v>98.52</v>
      </c>
      <c r="AB141" s="453">
        <f ca="1">Table29[[#This Row],[Earnings]]-Table29[[#This Row],[4-Week Average]]</f>
        <v>25.059999999999988</v>
      </c>
      <c r="AM141" s="11">
        <v>-15.884374999999993</v>
      </c>
    </row>
    <row r="142" spans="1:41" x14ac:dyDescent="0.35">
      <c r="A142" s="436">
        <v>44740</v>
      </c>
      <c r="B142" s="435">
        <v>2022</v>
      </c>
      <c r="C142" s="435">
        <v>27</v>
      </c>
      <c r="D142" s="435">
        <v>1</v>
      </c>
      <c r="E142" s="435" t="s">
        <v>305</v>
      </c>
      <c r="F142" s="436" t="s">
        <v>47</v>
      </c>
      <c r="G142" s="437">
        <v>0.72916666666666552</v>
      </c>
      <c r="H142" s="436" t="s">
        <v>236</v>
      </c>
      <c r="I142" s="435">
        <v>78.3</v>
      </c>
      <c r="J142" s="436" t="s">
        <v>85</v>
      </c>
      <c r="K142" s="438">
        <v>60.870000000000005</v>
      </c>
      <c r="L142" s="439">
        <v>7.9</v>
      </c>
      <c r="M142" s="435">
        <v>92.2</v>
      </c>
      <c r="N142" s="435">
        <v>5</v>
      </c>
      <c r="O142" s="438">
        <v>7.7050632911392407</v>
      </c>
      <c r="P142" s="440" t="s">
        <v>393</v>
      </c>
      <c r="Q142" s="438">
        <v>12.174000000000001</v>
      </c>
      <c r="R142" s="438">
        <v>0.6601952277657267</v>
      </c>
      <c r="S142" s="441">
        <v>18.440000000000001</v>
      </c>
      <c r="T142" s="441">
        <v>0.63291139240506322</v>
      </c>
      <c r="U142" s="239">
        <v>3</v>
      </c>
      <c r="V142" s="442">
        <v>6.5833333333333341E-2</v>
      </c>
      <c r="W142" s="441" t="s">
        <v>176</v>
      </c>
      <c r="X142" s="438">
        <v>20.191072811871479</v>
      </c>
      <c r="Y142" s="438">
        <v>-12.486009520732239</v>
      </c>
      <c r="Z142" s="443">
        <v>26.74411111111111</v>
      </c>
      <c r="AA142" s="58">
        <f t="shared" ca="1" si="14"/>
        <v>106.80500000000001</v>
      </c>
      <c r="AB142" s="453">
        <f ca="1">Table29[[#This Row],[Earnings]]-Table29[[#This Row],[4-Week Average]]</f>
        <v>-45.935000000000002</v>
      </c>
      <c r="AM142" s="11">
        <v>29.560000000000009</v>
      </c>
    </row>
    <row r="143" spans="1:41" x14ac:dyDescent="0.35">
      <c r="A143" s="445">
        <v>44743</v>
      </c>
      <c r="B143" s="444">
        <v>2022</v>
      </c>
      <c r="C143" s="444">
        <v>27</v>
      </c>
      <c r="D143" s="444">
        <v>1</v>
      </c>
      <c r="E143" s="444" t="s">
        <v>305</v>
      </c>
      <c r="F143" s="445" t="s">
        <v>50</v>
      </c>
      <c r="G143" s="446">
        <v>0.74999999999999889</v>
      </c>
      <c r="H143" s="445" t="s">
        <v>236</v>
      </c>
      <c r="I143" s="444">
        <v>83.9</v>
      </c>
      <c r="J143" s="445" t="s">
        <v>82</v>
      </c>
      <c r="K143" s="447">
        <v>110.86</v>
      </c>
      <c r="L143" s="448">
        <v>4.5</v>
      </c>
      <c r="M143" s="444">
        <v>143</v>
      </c>
      <c r="N143" s="444">
        <v>12</v>
      </c>
      <c r="O143" s="447">
        <v>24.635555555555555</v>
      </c>
      <c r="P143" s="449" t="s">
        <v>393</v>
      </c>
      <c r="Q143" s="447">
        <v>9.2383333333333333</v>
      </c>
      <c r="R143" s="447">
        <v>0.77524475524475522</v>
      </c>
      <c r="S143" s="450">
        <v>11.916666666666666</v>
      </c>
      <c r="T143" s="450">
        <v>2.6666666666666665</v>
      </c>
      <c r="U143" s="240">
        <v>3</v>
      </c>
      <c r="V143" s="451">
        <v>1.5625E-2</v>
      </c>
      <c r="W143" s="450" t="s">
        <v>176</v>
      </c>
      <c r="X143" s="447">
        <v>18.630277777777778</v>
      </c>
      <c r="Y143" s="447">
        <v>6.0052777777777777</v>
      </c>
      <c r="Z143" s="452">
        <v>26.350111111111108</v>
      </c>
      <c r="AA143" s="58">
        <f t="shared" ca="1" si="14"/>
        <v>103.4975</v>
      </c>
      <c r="AB143" s="453">
        <f ca="1">Table29[[#This Row],[Earnings]]-Table29[[#This Row],[4-Week Average]]</f>
        <v>7.3624999999999972</v>
      </c>
      <c r="AM143" s="11">
        <v>-26.421666666666678</v>
      </c>
    </row>
    <row r="144" spans="1:41" x14ac:dyDescent="0.35">
      <c r="A144" s="436">
        <v>44744</v>
      </c>
      <c r="B144" s="435">
        <v>2022</v>
      </c>
      <c r="C144" s="435">
        <v>27</v>
      </c>
      <c r="D144" s="435">
        <v>1</v>
      </c>
      <c r="E144" s="435" t="s">
        <v>305</v>
      </c>
      <c r="F144" s="436" t="s">
        <v>51</v>
      </c>
      <c r="G144" s="437">
        <v>0.66666666666666563</v>
      </c>
      <c r="H144" s="436" t="s">
        <v>230</v>
      </c>
      <c r="I144" s="435">
        <v>80.3</v>
      </c>
      <c r="J144" s="436" t="s">
        <v>82</v>
      </c>
      <c r="K144" s="438">
        <v>187.79</v>
      </c>
      <c r="L144" s="439">
        <v>9.07</v>
      </c>
      <c r="M144" s="435">
        <v>166</v>
      </c>
      <c r="N144" s="435">
        <v>20</v>
      </c>
      <c r="O144" s="438">
        <v>20.704520396912898</v>
      </c>
      <c r="P144" s="440" t="s">
        <v>393</v>
      </c>
      <c r="Q144" s="438">
        <v>9.3895</v>
      </c>
      <c r="R144" s="438">
        <v>1.1312650602409637</v>
      </c>
      <c r="S144" s="441">
        <v>8.3000000000000007</v>
      </c>
      <c r="T144" s="441">
        <v>2.2050716648291067</v>
      </c>
      <c r="U144" s="239">
        <v>5</v>
      </c>
      <c r="V144" s="442">
        <v>1.8895833333333334E-2</v>
      </c>
      <c r="W144" s="441" t="s">
        <v>176</v>
      </c>
      <c r="X144" s="438">
        <v>15.768926865123115</v>
      </c>
      <c r="Y144" s="438">
        <v>4.9355935317897828</v>
      </c>
      <c r="Z144" s="443">
        <v>28.436666666666664</v>
      </c>
      <c r="AA144" s="58">
        <f t="shared" ca="1" si="14"/>
        <v>120.77500000000001</v>
      </c>
      <c r="AB144" s="453">
        <f ca="1">Table29[[#This Row],[Earnings]]-Table29[[#This Row],[4-Week Average]]</f>
        <v>67.014999999999986</v>
      </c>
      <c r="AM144" s="11">
        <v>-29.48</v>
      </c>
    </row>
    <row r="145" spans="1:28" x14ac:dyDescent="0.35">
      <c r="A145" s="445">
        <v>44747</v>
      </c>
      <c r="B145" s="444">
        <v>2022</v>
      </c>
      <c r="C145" s="444">
        <v>28</v>
      </c>
      <c r="D145" s="444">
        <v>2</v>
      </c>
      <c r="E145" s="444" t="s">
        <v>305</v>
      </c>
      <c r="F145" s="445" t="s">
        <v>47</v>
      </c>
      <c r="G145" s="446">
        <v>0.72916666666666552</v>
      </c>
      <c r="H145" s="445" t="s">
        <v>236</v>
      </c>
      <c r="I145" s="444">
        <v>76</v>
      </c>
      <c r="J145" s="445" t="s">
        <v>82</v>
      </c>
      <c r="K145" s="447">
        <v>60.43</v>
      </c>
      <c r="L145" s="448">
        <v>3.28</v>
      </c>
      <c r="M145" s="444">
        <v>46.1</v>
      </c>
      <c r="N145" s="444">
        <v>8</v>
      </c>
      <c r="O145" s="447">
        <v>18.42378048780488</v>
      </c>
      <c r="P145" s="449" t="s">
        <v>393</v>
      </c>
      <c r="Q145" s="447">
        <v>7.55375</v>
      </c>
      <c r="R145" s="447">
        <v>1.3108459869848155</v>
      </c>
      <c r="S145" s="450">
        <v>5.7625000000000002</v>
      </c>
      <c r="T145" s="450">
        <v>2.4390243902439024</v>
      </c>
      <c r="U145" s="240">
        <v>1</v>
      </c>
      <c r="V145" s="451">
        <v>1.7083333333333332E-2</v>
      </c>
      <c r="W145" s="450" t="s">
        <v>176</v>
      </c>
      <c r="X145" s="447">
        <v>15.352241121095423</v>
      </c>
      <c r="Y145" s="447">
        <v>3.071539366709457</v>
      </c>
      <c r="Z145" s="452">
        <v>29.108111111111107</v>
      </c>
      <c r="AA145" s="58">
        <f t="shared" ca="1" si="14"/>
        <v>104.9875</v>
      </c>
      <c r="AB145" s="453">
        <f ca="1">Table29[[#This Row],[Earnings]]-Table29[[#This Row],[4-Week Average]]</f>
        <v>-44.557499999999997</v>
      </c>
    </row>
    <row r="146" spans="1:28" x14ac:dyDescent="0.35">
      <c r="A146" s="436">
        <v>44748</v>
      </c>
      <c r="B146" s="435">
        <v>2022</v>
      </c>
      <c r="C146" s="435">
        <v>28</v>
      </c>
      <c r="D146" s="435">
        <v>2</v>
      </c>
      <c r="E146" s="435" t="s">
        <v>305</v>
      </c>
      <c r="F146" s="436" t="s">
        <v>48</v>
      </c>
      <c r="G146" s="437">
        <v>0.74999999999999889</v>
      </c>
      <c r="H146" s="436" t="s">
        <v>249</v>
      </c>
      <c r="I146" s="435">
        <v>76.7</v>
      </c>
      <c r="J146" s="436" t="s">
        <v>80</v>
      </c>
      <c r="K146" s="438">
        <v>67.430000000000007</v>
      </c>
      <c r="L146" s="439">
        <v>3.3</v>
      </c>
      <c r="M146" s="435">
        <v>48.2</v>
      </c>
      <c r="N146" s="435">
        <v>6</v>
      </c>
      <c r="O146" s="438">
        <v>20.433333333333337</v>
      </c>
      <c r="P146" s="440" t="s">
        <v>393</v>
      </c>
      <c r="Q146" s="438">
        <v>11.238333333333335</v>
      </c>
      <c r="R146" s="438">
        <v>1.3989626556016599</v>
      </c>
      <c r="S146" s="441">
        <v>8.0333333333333332</v>
      </c>
      <c r="T146" s="441">
        <v>1.8181818181818183</v>
      </c>
      <c r="U146" s="239">
        <v>3</v>
      </c>
      <c r="V146" s="442">
        <v>2.2916666666666665E-2</v>
      </c>
      <c r="W146" s="441" t="s">
        <v>176</v>
      </c>
      <c r="X146" s="438">
        <v>20.380241708825185</v>
      </c>
      <c r="Y146" s="438">
        <v>5.309162450815208E-2</v>
      </c>
      <c r="Z146" s="443">
        <v>29.857333333333326</v>
      </c>
      <c r="AA146" s="58">
        <f t="shared" ca="1" si="14"/>
        <v>106.6275</v>
      </c>
      <c r="AB146" s="453">
        <f ca="1">Table29[[#This Row],[Earnings]]-Table29[[#This Row],[4-Week Average]]</f>
        <v>-39.197499999999991</v>
      </c>
    </row>
    <row r="147" spans="1:28" x14ac:dyDescent="0.35">
      <c r="A147" s="445">
        <v>44749</v>
      </c>
      <c r="B147" s="444">
        <v>2022</v>
      </c>
      <c r="C147" s="444">
        <v>28</v>
      </c>
      <c r="D147" s="444">
        <v>2</v>
      </c>
      <c r="E147" s="444" t="s">
        <v>305</v>
      </c>
      <c r="F147" s="445" t="s">
        <v>49</v>
      </c>
      <c r="G147" s="446">
        <v>0.74999999999999889</v>
      </c>
      <c r="H147" s="445" t="s">
        <v>236</v>
      </c>
      <c r="I147" s="444">
        <v>81.599999999999994</v>
      </c>
      <c r="J147" s="445" t="s">
        <v>85</v>
      </c>
      <c r="K147" s="447">
        <v>91.2</v>
      </c>
      <c r="L147" s="448">
        <v>3.3</v>
      </c>
      <c r="M147" s="444">
        <v>76.800000000000011</v>
      </c>
      <c r="N147" s="444">
        <v>13</v>
      </c>
      <c r="O147" s="447">
        <v>27.63636363636364</v>
      </c>
      <c r="P147" s="449" t="s">
        <v>393</v>
      </c>
      <c r="Q147" s="447">
        <v>7.0153846153846153</v>
      </c>
      <c r="R147" s="447">
        <v>1.1874999999999998</v>
      </c>
      <c r="S147" s="450">
        <v>5.9076923076923089</v>
      </c>
      <c r="T147" s="450">
        <v>3.9393939393939394</v>
      </c>
      <c r="U147" s="240">
        <v>3</v>
      </c>
      <c r="V147" s="451">
        <v>1.0576923076923076E-2</v>
      </c>
      <c r="W147" s="450" t="s">
        <v>176</v>
      </c>
      <c r="X147" s="447">
        <v>24.976515151515155</v>
      </c>
      <c r="Y147" s="447">
        <v>2.6598484848484851</v>
      </c>
      <c r="Z147" s="452">
        <v>30.870666666666658</v>
      </c>
      <c r="AA147" s="58">
        <f t="shared" ca="1" si="14"/>
        <v>101.71249999999999</v>
      </c>
      <c r="AB147" s="453">
        <f ca="1">Table29[[#This Row],[Earnings]]-Table29[[#This Row],[4-Week Average]]</f>
        <v>-10.512499999999989</v>
      </c>
    </row>
    <row r="148" spans="1:28" x14ac:dyDescent="0.35">
      <c r="A148" s="436">
        <v>44750</v>
      </c>
      <c r="B148" s="435">
        <v>2022</v>
      </c>
      <c r="C148" s="435">
        <v>28</v>
      </c>
      <c r="D148" s="435">
        <v>2</v>
      </c>
      <c r="E148" s="435" t="s">
        <v>305</v>
      </c>
      <c r="F148" s="436" t="s">
        <v>50</v>
      </c>
      <c r="G148" s="437">
        <v>0.79166666666666541</v>
      </c>
      <c r="H148" s="436" t="s">
        <v>230</v>
      </c>
      <c r="I148" s="435">
        <v>77.5</v>
      </c>
      <c r="J148" s="436" t="s">
        <v>85</v>
      </c>
      <c r="K148" s="438">
        <v>145.57</v>
      </c>
      <c r="L148" s="439">
        <v>8.75</v>
      </c>
      <c r="M148" s="435">
        <v>169</v>
      </c>
      <c r="N148" s="435">
        <v>18</v>
      </c>
      <c r="O148" s="438">
        <v>16.636571428571429</v>
      </c>
      <c r="P148" s="440">
        <v>4.011571428571429</v>
      </c>
      <c r="Q148" s="438">
        <v>8.0872222222222216</v>
      </c>
      <c r="R148" s="438">
        <v>0.86136094674556207</v>
      </c>
      <c r="S148" s="441">
        <v>9.3888888888888893</v>
      </c>
      <c r="T148" s="441">
        <v>2.0571428571428569</v>
      </c>
      <c r="U148" s="239">
        <v>3</v>
      </c>
      <c r="V148" s="442">
        <v>2.0254629629629629E-2</v>
      </c>
      <c r="W148" s="441" t="s">
        <v>176</v>
      </c>
      <c r="X148" s="438">
        <v>19.758050348801941</v>
      </c>
      <c r="Y148" s="438">
        <v>-3.121478920230512</v>
      </c>
      <c r="Z148" s="443">
        <v>31.706777777777774</v>
      </c>
      <c r="AA148" s="58">
        <f t="shared" ca="1" si="14"/>
        <v>91.157499999999999</v>
      </c>
      <c r="AB148" s="453">
        <f ca="1">Table29[[#This Row],[Earnings]]-Table29[[#This Row],[4-Week Average]]</f>
        <v>54.412499999999994</v>
      </c>
    </row>
    <row r="149" spans="1:28" x14ac:dyDescent="0.35">
      <c r="A149" s="445">
        <v>44753</v>
      </c>
      <c r="B149" s="444">
        <v>2022</v>
      </c>
      <c r="C149" s="444">
        <v>29</v>
      </c>
      <c r="D149" s="444">
        <v>3</v>
      </c>
      <c r="E149" s="444" t="s">
        <v>305</v>
      </c>
      <c r="F149" s="445" t="s">
        <v>46</v>
      </c>
      <c r="G149" s="446">
        <v>0.74999999999999889</v>
      </c>
      <c r="H149" s="445" t="s">
        <v>236</v>
      </c>
      <c r="I149" s="444">
        <v>84</v>
      </c>
      <c r="J149" s="445" t="s">
        <v>85</v>
      </c>
      <c r="K149" s="447">
        <v>122.56</v>
      </c>
      <c r="L149" s="448">
        <v>3.6</v>
      </c>
      <c r="M149" s="444">
        <v>71.400000000000006</v>
      </c>
      <c r="N149" s="444">
        <v>10</v>
      </c>
      <c r="O149" s="447">
        <v>34.044444444444444</v>
      </c>
      <c r="P149" s="449" t="s">
        <v>393</v>
      </c>
      <c r="Q149" s="447">
        <v>12.256</v>
      </c>
      <c r="R149" s="447">
        <v>1.7165266106442576</v>
      </c>
      <c r="S149" s="450">
        <v>7.1400000000000006</v>
      </c>
      <c r="T149" s="450">
        <v>2.7777777777777777</v>
      </c>
      <c r="U149" s="240">
        <v>2</v>
      </c>
      <c r="V149" s="451">
        <v>1.4999999999999999E-2</v>
      </c>
      <c r="W149" s="450" t="s">
        <v>176</v>
      </c>
      <c r="X149" s="447">
        <v>26.720763551233567</v>
      </c>
      <c r="Y149" s="447">
        <v>7.3236808932108772</v>
      </c>
      <c r="Z149" s="452">
        <v>33.068555555555548</v>
      </c>
      <c r="AA149" s="58">
        <f t="shared" ca="1" si="14"/>
        <v>106.69</v>
      </c>
      <c r="AB149" s="453">
        <f ca="1">Table29[[#This Row],[Earnings]]-Table29[[#This Row],[4-Week Average]]</f>
        <v>15.870000000000005</v>
      </c>
    </row>
    <row r="150" spans="1:28" x14ac:dyDescent="0.35">
      <c r="A150" s="436">
        <v>44755</v>
      </c>
      <c r="B150" s="435">
        <v>2022</v>
      </c>
      <c r="C150" s="435">
        <v>29</v>
      </c>
      <c r="D150" s="435">
        <v>3</v>
      </c>
      <c r="E150" s="435" t="s">
        <v>305</v>
      </c>
      <c r="F150" s="436" t="s">
        <v>48</v>
      </c>
      <c r="G150" s="437">
        <v>0.74999999999999889</v>
      </c>
      <c r="H150" s="436" t="s">
        <v>236</v>
      </c>
      <c r="I150" s="435">
        <v>81.7</v>
      </c>
      <c r="J150" s="436" t="s">
        <v>85</v>
      </c>
      <c r="K150" s="438">
        <v>129.21</v>
      </c>
      <c r="L150" s="439">
        <v>4.7</v>
      </c>
      <c r="M150" s="435">
        <v>107.30000000000001</v>
      </c>
      <c r="N150" s="435">
        <v>8</v>
      </c>
      <c r="O150" s="438">
        <v>27.491489361702129</v>
      </c>
      <c r="P150" s="440" t="s">
        <v>393</v>
      </c>
      <c r="Q150" s="438">
        <v>16.151250000000001</v>
      </c>
      <c r="R150" s="438">
        <v>1.2041938490214352</v>
      </c>
      <c r="S150" s="441">
        <v>13.412500000000001</v>
      </c>
      <c r="T150" s="441">
        <v>1.7021276595744681</v>
      </c>
      <c r="U150" s="239">
        <v>2</v>
      </c>
      <c r="V150" s="442">
        <v>2.4479166666666666E-2</v>
      </c>
      <c r="W150" s="441" t="s">
        <v>176</v>
      </c>
      <c r="X150" s="438">
        <v>21.177052197860014</v>
      </c>
      <c r="Y150" s="438">
        <v>6.3144371638421148</v>
      </c>
      <c r="Z150" s="443">
        <v>34.504222222222218</v>
      </c>
      <c r="AA150" s="58">
        <f t="shared" ca="1" si="14"/>
        <v>122.13499999999999</v>
      </c>
      <c r="AB150" s="453">
        <f ca="1">Table29[[#This Row],[Earnings]]-Table29[[#This Row],[4-Week Average]]</f>
        <v>7.0750000000000171</v>
      </c>
    </row>
    <row r="151" spans="1:28" x14ac:dyDescent="0.35">
      <c r="A151" s="445">
        <v>44757</v>
      </c>
      <c r="B151" s="444">
        <v>2022</v>
      </c>
      <c r="C151" s="444">
        <v>29</v>
      </c>
      <c r="D151" s="444">
        <v>3</v>
      </c>
      <c r="E151" s="444" t="s">
        <v>305</v>
      </c>
      <c r="F151" s="445" t="s">
        <v>50</v>
      </c>
      <c r="G151" s="446">
        <v>0.72916666666666552</v>
      </c>
      <c r="H151" s="445" t="s">
        <v>230</v>
      </c>
      <c r="I151" s="444">
        <v>81.8</v>
      </c>
      <c r="J151" s="445" t="s">
        <v>80</v>
      </c>
      <c r="K151" s="447">
        <v>100.12</v>
      </c>
      <c r="L151" s="448">
        <v>5.5</v>
      </c>
      <c r="M151" s="444">
        <v>144.69999999999999</v>
      </c>
      <c r="N151" s="444">
        <v>11</v>
      </c>
      <c r="O151" s="447">
        <v>18.203636363636363</v>
      </c>
      <c r="P151" s="449">
        <v>-8.6866862170087984</v>
      </c>
      <c r="Q151" s="447">
        <v>9.1018181818181816</v>
      </c>
      <c r="R151" s="447">
        <v>0.69191430545957167</v>
      </c>
      <c r="S151" s="450">
        <v>13.154545454545454</v>
      </c>
      <c r="T151" s="450">
        <v>2</v>
      </c>
      <c r="U151" s="240">
        <v>4</v>
      </c>
      <c r="V151" s="451">
        <v>2.0833333333333332E-2</v>
      </c>
      <c r="W151" s="450" t="s">
        <v>176</v>
      </c>
      <c r="X151" s="447">
        <v>19.277372919603788</v>
      </c>
      <c r="Y151" s="447">
        <v>-1.0737365559674252</v>
      </c>
      <c r="Z151" s="452">
        <v>35.61666666666666</v>
      </c>
      <c r="AA151" s="58">
        <f t="shared" ca="1" si="14"/>
        <v>124.36500000000001</v>
      </c>
      <c r="AB151" s="453">
        <f ca="1">Table29[[#This Row],[Earnings]]-Table29[[#This Row],[4-Week Average]]</f>
        <v>-24.245000000000005</v>
      </c>
    </row>
    <row r="152" spans="1:28" x14ac:dyDescent="0.35">
      <c r="A152" s="436">
        <v>44758</v>
      </c>
      <c r="B152" s="435">
        <v>2022</v>
      </c>
      <c r="C152" s="435">
        <v>29</v>
      </c>
      <c r="D152" s="435">
        <v>3</v>
      </c>
      <c r="E152" s="435" t="s">
        <v>305</v>
      </c>
      <c r="F152" s="436" t="s">
        <v>51</v>
      </c>
      <c r="G152" s="437">
        <v>0.79166666666666541</v>
      </c>
      <c r="H152" s="436" t="s">
        <v>236</v>
      </c>
      <c r="I152" s="435">
        <v>85.2</v>
      </c>
      <c r="J152" s="436" t="s">
        <v>85</v>
      </c>
      <c r="K152" s="438">
        <v>129.97</v>
      </c>
      <c r="L152" s="439">
        <v>6.2</v>
      </c>
      <c r="M152" s="435">
        <v>169.5</v>
      </c>
      <c r="N152" s="435">
        <v>14</v>
      </c>
      <c r="O152" s="438">
        <v>20.96290322580645</v>
      </c>
      <c r="P152" s="440" t="s">
        <v>393</v>
      </c>
      <c r="Q152" s="438">
        <v>9.2835714285714293</v>
      </c>
      <c r="R152" s="438">
        <v>0.76678466076696161</v>
      </c>
      <c r="S152" s="441">
        <v>12.107142857142858</v>
      </c>
      <c r="T152" s="441">
        <v>2.258064516129032</v>
      </c>
      <c r="U152" s="239">
        <v>3</v>
      </c>
      <c r="V152" s="442">
        <v>1.8452380952380953E-2</v>
      </c>
      <c r="W152" s="441" t="s">
        <v>176</v>
      </c>
      <c r="X152" s="438">
        <v>20.038561698743642</v>
      </c>
      <c r="Y152" s="438">
        <v>0.9243415270628077</v>
      </c>
      <c r="Z152" s="443">
        <v>37.060777777777773</v>
      </c>
      <c r="AA152" s="58">
        <f t="shared" ca="1" si="14"/>
        <v>120.465</v>
      </c>
      <c r="AB152" s="453">
        <f ca="1">Table29[[#This Row],[Earnings]]-Table29[[#This Row],[4-Week Average]]</f>
        <v>9.5049999999999955</v>
      </c>
    </row>
    <row r="153" spans="1:28" x14ac:dyDescent="0.35">
      <c r="A153" s="445">
        <v>44762</v>
      </c>
      <c r="B153" s="444">
        <v>2022</v>
      </c>
      <c r="C153" s="444">
        <v>30</v>
      </c>
      <c r="D153" s="444">
        <v>4</v>
      </c>
      <c r="E153" s="444" t="s">
        <v>305</v>
      </c>
      <c r="F153" s="445" t="s">
        <v>48</v>
      </c>
      <c r="G153" s="446">
        <v>0.72916666666666552</v>
      </c>
      <c r="H153" s="445" t="s">
        <v>236</v>
      </c>
      <c r="I153" s="444">
        <v>90.7</v>
      </c>
      <c r="J153" s="445" t="s">
        <v>85</v>
      </c>
      <c r="K153" s="447">
        <v>136.70999999999998</v>
      </c>
      <c r="L153" s="448">
        <v>4.5999999999999996</v>
      </c>
      <c r="M153" s="444">
        <v>113.69999999999999</v>
      </c>
      <c r="N153" s="444">
        <v>12</v>
      </c>
      <c r="O153" s="447">
        <v>29.719565217391303</v>
      </c>
      <c r="P153" s="449">
        <v>2.2280758556891733</v>
      </c>
      <c r="Q153" s="447">
        <v>11.392499999999998</v>
      </c>
      <c r="R153" s="447">
        <v>1.2023746701846965</v>
      </c>
      <c r="S153" s="450">
        <v>9.4749999999999996</v>
      </c>
      <c r="T153" s="450">
        <v>2.6086956521739131</v>
      </c>
      <c r="U153" s="240">
        <v>2</v>
      </c>
      <c r="V153" s="451">
        <v>1.5972222222222221E-2</v>
      </c>
      <c r="W153" s="450" t="s">
        <v>176</v>
      </c>
      <c r="X153" s="447">
        <v>26.04195315133131</v>
      </c>
      <c r="Y153" s="447">
        <v>3.6776120660599929</v>
      </c>
      <c r="Z153" s="452">
        <v>38.579777777777771</v>
      </c>
      <c r="AA153" s="58">
        <f t="shared" ca="1" si="14"/>
        <v>124.0025</v>
      </c>
      <c r="AB153" s="453">
        <f ca="1">Table29[[#This Row],[Earnings]]-Table29[[#This Row],[4-Week Average]]</f>
        <v>12.707499999999982</v>
      </c>
    </row>
    <row r="154" spans="1:28" x14ac:dyDescent="0.35">
      <c r="A154" s="436">
        <v>44763</v>
      </c>
      <c r="B154" s="435">
        <v>2022</v>
      </c>
      <c r="C154" s="435">
        <v>30</v>
      </c>
      <c r="D154" s="435">
        <v>4</v>
      </c>
      <c r="E154" s="435" t="s">
        <v>305</v>
      </c>
      <c r="F154" s="436" t="s">
        <v>49</v>
      </c>
      <c r="G154" s="437">
        <v>0.72916666666666552</v>
      </c>
      <c r="H154" s="436" t="s">
        <v>236</v>
      </c>
      <c r="I154" s="435">
        <v>89.9</v>
      </c>
      <c r="J154" s="436" t="s">
        <v>80</v>
      </c>
      <c r="K154" s="438">
        <v>114.17</v>
      </c>
      <c r="L154" s="439">
        <v>5.67</v>
      </c>
      <c r="M154" s="435">
        <v>125</v>
      </c>
      <c r="N154" s="435">
        <v>12</v>
      </c>
      <c r="O154" s="438">
        <v>20.135802469135804</v>
      </c>
      <c r="P154" s="440">
        <v>7.393866985264836</v>
      </c>
      <c r="Q154" s="438">
        <v>9.5141666666666662</v>
      </c>
      <c r="R154" s="438">
        <v>0.91336000000000006</v>
      </c>
      <c r="S154" s="441">
        <v>10.416666666666666</v>
      </c>
      <c r="T154" s="441">
        <v>2.1164021164021163</v>
      </c>
      <c r="U154" s="239">
        <v>2</v>
      </c>
      <c r="V154" s="442">
        <v>1.96875E-2</v>
      </c>
      <c r="W154" s="441" t="s">
        <v>176</v>
      </c>
      <c r="X154" s="438">
        <v>20.938868976503386</v>
      </c>
      <c r="Y154" s="438">
        <v>-0.80306650736758201</v>
      </c>
      <c r="Z154" s="443">
        <v>37.673555555555552</v>
      </c>
      <c r="AA154" s="58">
        <f t="shared" ca="1" si="14"/>
        <v>120.24249999999999</v>
      </c>
      <c r="AB154" s="453">
        <f ca="1">Table29[[#This Row],[Earnings]]-Table29[[#This Row],[4-Week Average]]</f>
        <v>-6.0724999999999909</v>
      </c>
    </row>
    <row r="155" spans="1:28" x14ac:dyDescent="0.35">
      <c r="A155" s="445">
        <v>44781</v>
      </c>
      <c r="B155" s="444">
        <v>2022</v>
      </c>
      <c r="C155" s="444">
        <v>33</v>
      </c>
      <c r="D155" s="444">
        <v>7</v>
      </c>
      <c r="E155" s="444" t="s">
        <v>305</v>
      </c>
      <c r="F155" s="445" t="s">
        <v>46</v>
      </c>
      <c r="G155" s="446">
        <v>0.74999999999999889</v>
      </c>
      <c r="H155" s="445" t="s">
        <v>236</v>
      </c>
      <c r="I155" s="444">
        <v>73.2</v>
      </c>
      <c r="J155" s="445" t="s">
        <v>82</v>
      </c>
      <c r="K155" s="447">
        <v>56.58</v>
      </c>
      <c r="L155" s="448">
        <v>5.8</v>
      </c>
      <c r="M155" s="444">
        <v>81.099999999999994</v>
      </c>
      <c r="N155" s="444">
        <v>10</v>
      </c>
      <c r="O155" s="447">
        <v>9.7551724137931028</v>
      </c>
      <c r="P155" s="449" t="s">
        <v>393</v>
      </c>
      <c r="Q155" s="447">
        <v>5.6579999999999995</v>
      </c>
      <c r="R155" s="447">
        <v>0.69765721331689279</v>
      </c>
      <c r="S155" s="450">
        <v>8.11</v>
      </c>
      <c r="T155" s="450">
        <v>1.7241379310344829</v>
      </c>
      <c r="U155" s="240">
        <v>3</v>
      </c>
      <c r="V155" s="451">
        <v>2.4166666666666666E-2</v>
      </c>
      <c r="W155" s="450" t="s">
        <v>176</v>
      </c>
      <c r="X155" s="447">
        <v>15.658282216918668</v>
      </c>
      <c r="Y155" s="447">
        <v>-5.9031098031255649</v>
      </c>
      <c r="Z155" s="452">
        <v>34.849999999999994</v>
      </c>
      <c r="AA155" s="58">
        <f t="shared" ca="1" si="14"/>
        <v>109.35749999999999</v>
      </c>
      <c r="AB155" s="453">
        <f ca="1">Table29[[#This Row],[Earnings]]-Table29[[#This Row],[4-Week Average]]</f>
        <v>-52.777499999999989</v>
      </c>
    </row>
    <row r="156" spans="1:28" x14ac:dyDescent="0.35">
      <c r="A156" s="436">
        <v>44782</v>
      </c>
      <c r="B156" s="435">
        <v>2022</v>
      </c>
      <c r="C156" s="435">
        <v>33</v>
      </c>
      <c r="D156" s="435">
        <v>7</v>
      </c>
      <c r="E156" s="435" t="s">
        <v>305</v>
      </c>
      <c r="F156" s="436" t="s">
        <v>47</v>
      </c>
      <c r="G156" s="437">
        <v>0.72916666666666552</v>
      </c>
      <c r="H156" s="436" t="s">
        <v>236</v>
      </c>
      <c r="I156" s="435">
        <v>70.7</v>
      </c>
      <c r="J156" s="436" t="s">
        <v>85</v>
      </c>
      <c r="K156" s="438">
        <v>114.57</v>
      </c>
      <c r="L156" s="439">
        <v>5.6999999999999993</v>
      </c>
      <c r="M156" s="435">
        <v>77.7</v>
      </c>
      <c r="N156" s="435">
        <v>12</v>
      </c>
      <c r="O156" s="438">
        <v>20.100000000000001</v>
      </c>
      <c r="P156" s="440">
        <v>12.394936708860762</v>
      </c>
      <c r="Q156" s="438">
        <v>9.5474999999999994</v>
      </c>
      <c r="R156" s="438">
        <v>1.4745173745173743</v>
      </c>
      <c r="S156" s="441">
        <v>6.4750000000000005</v>
      </c>
      <c r="T156" s="441">
        <v>2.1052631578947372</v>
      </c>
      <c r="U156" s="239">
        <v>2</v>
      </c>
      <c r="V156" s="442">
        <v>1.9791666666666662E-2</v>
      </c>
      <c r="W156" s="441" t="s">
        <v>176</v>
      </c>
      <c r="X156" s="438">
        <v>17.127735570511192</v>
      </c>
      <c r="Y156" s="438">
        <v>2.9722644294888099</v>
      </c>
      <c r="Z156" s="443">
        <v>35.408111111111111</v>
      </c>
      <c r="AA156" s="58">
        <f t="shared" ca="1" si="14"/>
        <v>105.50749999999999</v>
      </c>
      <c r="AB156" s="453">
        <f ca="1">Table29[[#This Row],[Earnings]]-Table29[[#This Row],[4-Week Average]]</f>
        <v>9.0625</v>
      </c>
    </row>
    <row r="157" spans="1:28" x14ac:dyDescent="0.35">
      <c r="A157" s="445">
        <v>44783</v>
      </c>
      <c r="B157" s="444">
        <v>2022</v>
      </c>
      <c r="C157" s="444">
        <v>33</v>
      </c>
      <c r="D157" s="444">
        <v>7</v>
      </c>
      <c r="E157" s="444" t="s">
        <v>305</v>
      </c>
      <c r="F157" s="445" t="s">
        <v>48</v>
      </c>
      <c r="G157" s="446">
        <v>0.79166666666666541</v>
      </c>
      <c r="H157" s="445" t="s">
        <v>236</v>
      </c>
      <c r="I157" s="444">
        <v>74.400000000000006</v>
      </c>
      <c r="J157" s="445" t="s">
        <v>82</v>
      </c>
      <c r="K157" s="447">
        <v>100</v>
      </c>
      <c r="L157" s="448">
        <v>4.5</v>
      </c>
      <c r="M157" s="444">
        <v>73</v>
      </c>
      <c r="N157" s="444">
        <v>12</v>
      </c>
      <c r="O157" s="447">
        <v>22.222222222222221</v>
      </c>
      <c r="P157" s="449" t="s">
        <v>393</v>
      </c>
      <c r="Q157" s="447">
        <v>8.3333333333333339</v>
      </c>
      <c r="R157" s="447">
        <v>1.3698630136986301</v>
      </c>
      <c r="S157" s="450">
        <v>6.083333333333333</v>
      </c>
      <c r="T157" s="450">
        <v>2.6666666666666665</v>
      </c>
      <c r="U157" s="240">
        <v>4</v>
      </c>
      <c r="V157" s="451">
        <v>1.5625E-2</v>
      </c>
      <c r="W157" s="450" t="s">
        <v>176</v>
      </c>
      <c r="X157" s="447">
        <v>21.900354654253771</v>
      </c>
      <c r="Y157" s="447">
        <v>0.32186756796845017</v>
      </c>
      <c r="Z157" s="452">
        <v>36.07033333333333</v>
      </c>
      <c r="AA157" s="58">
        <f t="shared" ca="1" si="14"/>
        <v>96.33</v>
      </c>
      <c r="AB157" s="453">
        <f ca="1">Table29[[#This Row],[Earnings]]-Table29[[#This Row],[4-Week Average]]</f>
        <v>3.6700000000000017</v>
      </c>
    </row>
    <row r="158" spans="1:28" x14ac:dyDescent="0.35">
      <c r="A158" s="436">
        <v>44789</v>
      </c>
      <c r="B158" s="435">
        <v>2022</v>
      </c>
      <c r="C158" s="435">
        <v>34</v>
      </c>
      <c r="D158" s="435">
        <v>8</v>
      </c>
      <c r="E158" s="435" t="s">
        <v>305</v>
      </c>
      <c r="F158" s="436" t="s">
        <v>47</v>
      </c>
      <c r="G158" s="437">
        <v>0.74999999999999889</v>
      </c>
      <c r="H158" s="436" t="s">
        <v>236</v>
      </c>
      <c r="I158" s="435">
        <v>68</v>
      </c>
      <c r="J158" s="436" t="s">
        <v>80</v>
      </c>
      <c r="K158" s="438">
        <v>86.72</v>
      </c>
      <c r="L158" s="439">
        <v>4.7</v>
      </c>
      <c r="M158" s="435">
        <v>114.9</v>
      </c>
      <c r="N158" s="435">
        <v>8</v>
      </c>
      <c r="O158" s="438">
        <v>18.451063829787234</v>
      </c>
      <c r="P158" s="440">
        <v>-6.132574614148691</v>
      </c>
      <c r="Q158" s="438">
        <v>10.84</v>
      </c>
      <c r="R158" s="438">
        <v>0.75474325500435158</v>
      </c>
      <c r="S158" s="441">
        <v>14.362500000000001</v>
      </c>
      <c r="T158" s="441">
        <v>1.7021276595744681</v>
      </c>
      <c r="U158" s="239">
        <v>2</v>
      </c>
      <c r="V158" s="442">
        <v>2.4479166666666666E-2</v>
      </c>
      <c r="W158" s="441" t="s">
        <v>176</v>
      </c>
      <c r="X158" s="438">
        <v>18.451063829787234</v>
      </c>
      <c r="Y158" s="438">
        <v>0</v>
      </c>
      <c r="Z158" s="443">
        <v>35.649333333333331</v>
      </c>
      <c r="AA158" s="58">
        <f t="shared" ca="1" si="14"/>
        <v>89.467500000000001</v>
      </c>
      <c r="AB158" s="453">
        <f ca="1">Table29[[#This Row],[Earnings]]-Table29[[#This Row],[4-Week Average]]</f>
        <v>-2.7475000000000023</v>
      </c>
    </row>
    <row r="159" spans="1:28" x14ac:dyDescent="0.35">
      <c r="A159" s="445">
        <v>44790</v>
      </c>
      <c r="B159" s="444">
        <v>2022</v>
      </c>
      <c r="C159" s="444">
        <v>34</v>
      </c>
      <c r="D159" s="444">
        <v>8</v>
      </c>
      <c r="E159" s="444" t="s">
        <v>305</v>
      </c>
      <c r="F159" s="445" t="s">
        <v>48</v>
      </c>
      <c r="G159" s="446">
        <v>0.74999999999999889</v>
      </c>
      <c r="H159" s="445" t="s">
        <v>236</v>
      </c>
      <c r="I159" s="444">
        <v>69</v>
      </c>
      <c r="J159" s="445" t="s">
        <v>85</v>
      </c>
      <c r="K159" s="447">
        <v>130.63</v>
      </c>
      <c r="L159" s="448">
        <v>4.5999999999999996</v>
      </c>
      <c r="M159" s="444">
        <v>125</v>
      </c>
      <c r="N159" s="444">
        <v>10</v>
      </c>
      <c r="O159" s="447">
        <v>28.397826086956524</v>
      </c>
      <c r="P159" s="449">
        <v>-0.20770120259019009</v>
      </c>
      <c r="Q159" s="447">
        <v>13.062999999999999</v>
      </c>
      <c r="R159" s="447">
        <v>1.04504</v>
      </c>
      <c r="S159" s="450">
        <v>12.5</v>
      </c>
      <c r="T159" s="450">
        <v>2.1739130434782612</v>
      </c>
      <c r="U159" s="240">
        <v>3</v>
      </c>
      <c r="V159" s="451">
        <v>1.9166666666666665E-2</v>
      </c>
      <c r="W159" s="450" t="s">
        <v>176</v>
      </c>
      <c r="X159" s="447">
        <v>23.323781261793304</v>
      </c>
      <c r="Y159" s="447">
        <v>5.0740448251632202</v>
      </c>
      <c r="Z159" s="452">
        <v>36.429333333333332</v>
      </c>
      <c r="AA159" s="58">
        <f t="shared" ca="1" si="14"/>
        <v>107.97999999999999</v>
      </c>
      <c r="AB159" s="453">
        <f ca="1">Table29[[#This Row],[Earnings]]-Table29[[#This Row],[4-Week Average]]</f>
        <v>22.650000000000006</v>
      </c>
    </row>
    <row r="160" spans="1:28" x14ac:dyDescent="0.35">
      <c r="A160" s="436">
        <v>44791</v>
      </c>
      <c r="B160" s="435">
        <v>2022</v>
      </c>
      <c r="C160" s="435">
        <v>34</v>
      </c>
      <c r="D160" s="435">
        <v>8</v>
      </c>
      <c r="E160" s="435" t="s">
        <v>305</v>
      </c>
      <c r="F160" s="436" t="s">
        <v>49</v>
      </c>
      <c r="G160" s="437">
        <v>0.72916666666666552</v>
      </c>
      <c r="H160" s="436" t="s">
        <v>236</v>
      </c>
      <c r="I160" s="435">
        <v>83.3</v>
      </c>
      <c r="J160" s="436" t="s">
        <v>85</v>
      </c>
      <c r="K160" s="438">
        <v>83.82</v>
      </c>
      <c r="L160" s="439">
        <v>4.8</v>
      </c>
      <c r="M160" s="435">
        <v>108.1</v>
      </c>
      <c r="N160" s="435">
        <v>8</v>
      </c>
      <c r="O160" s="438">
        <v>17.462499999999999</v>
      </c>
      <c r="P160" s="440">
        <v>-10.173863636363642</v>
      </c>
      <c r="Q160" s="438">
        <v>10.477499999999999</v>
      </c>
      <c r="R160" s="438">
        <v>0.77539315448658652</v>
      </c>
      <c r="S160" s="441">
        <v>13.512499999999999</v>
      </c>
      <c r="T160" s="441">
        <v>1.6666666666666667</v>
      </c>
      <c r="U160" s="239">
        <v>4</v>
      </c>
      <c r="V160" s="442">
        <v>2.4999999999999998E-2</v>
      </c>
      <c r="W160" s="441" t="s">
        <v>176</v>
      </c>
      <c r="X160" s="438">
        <v>20.801092160105405</v>
      </c>
      <c r="Y160" s="438">
        <v>-3.3385921601054065</v>
      </c>
      <c r="Z160" s="443">
        <v>37.102333333333334</v>
      </c>
      <c r="AA160" s="58">
        <f t="shared" ca="1" si="14"/>
        <v>100.2925</v>
      </c>
      <c r="AB160" s="453">
        <f ca="1">Table29[[#This Row],[Earnings]]-Table29[[#This Row],[4-Week Average]]</f>
        <v>-16.472500000000011</v>
      </c>
    </row>
    <row r="161" spans="1:28" x14ac:dyDescent="0.35">
      <c r="A161" s="445">
        <v>44793</v>
      </c>
      <c r="B161" s="444">
        <v>2022</v>
      </c>
      <c r="C161" s="444">
        <v>34</v>
      </c>
      <c r="D161" s="444">
        <v>8</v>
      </c>
      <c r="E161" s="444" t="s">
        <v>305</v>
      </c>
      <c r="F161" s="445" t="s">
        <v>51</v>
      </c>
      <c r="G161" s="446">
        <v>0.58333333333333237</v>
      </c>
      <c r="H161" s="445" t="s">
        <v>230</v>
      </c>
      <c r="I161" s="444">
        <v>85.9</v>
      </c>
      <c r="J161" s="445" t="s">
        <v>80</v>
      </c>
      <c r="K161" s="447">
        <v>127.27</v>
      </c>
      <c r="L161" s="448">
        <v>6.6999999999999993</v>
      </c>
      <c r="M161" s="444">
        <v>139</v>
      </c>
      <c r="N161" s="444">
        <v>13</v>
      </c>
      <c r="O161" s="447">
        <v>18.995522388059705</v>
      </c>
      <c r="P161" s="449">
        <v>1.4112105811451627</v>
      </c>
      <c r="Q161" s="447">
        <v>9.7899999999999991</v>
      </c>
      <c r="R161" s="447">
        <v>0.91561151079136682</v>
      </c>
      <c r="S161" s="450">
        <v>10.692307692307692</v>
      </c>
      <c r="T161" s="450">
        <v>1.9402985074626868</v>
      </c>
      <c r="U161" s="240">
        <v>3</v>
      </c>
      <c r="V161" s="451">
        <v>2.1474358974358971E-2</v>
      </c>
      <c r="W161" s="450" t="s">
        <v>176</v>
      </c>
      <c r="X161" s="447">
        <v>19.755357688810538</v>
      </c>
      <c r="Y161" s="447">
        <v>-0.75983530075083294</v>
      </c>
      <c r="Z161" s="452">
        <v>38.516444444444446</v>
      </c>
      <c r="AA161" s="58">
        <f t="shared" ca="1" si="14"/>
        <v>107.10999999999999</v>
      </c>
      <c r="AB161" s="453">
        <f ca="1">Table29[[#This Row],[Earnings]]-Table29[[#This Row],[4-Week Average]]</f>
        <v>20.160000000000011</v>
      </c>
    </row>
    <row r="162" spans="1:28" x14ac:dyDescent="0.35">
      <c r="A162" s="436">
        <v>44795</v>
      </c>
      <c r="B162" s="435">
        <v>2022</v>
      </c>
      <c r="C162" s="435">
        <v>35</v>
      </c>
      <c r="D162" s="435">
        <v>9</v>
      </c>
      <c r="E162" s="435" t="s">
        <v>305</v>
      </c>
      <c r="F162" s="436" t="s">
        <v>46</v>
      </c>
      <c r="G162" s="437">
        <v>0.74999999999999889</v>
      </c>
      <c r="H162" s="436" t="s">
        <v>236</v>
      </c>
      <c r="I162" s="435">
        <v>77.900000000000006</v>
      </c>
      <c r="J162" s="436" t="s">
        <v>85</v>
      </c>
      <c r="K162" s="438">
        <v>100.72</v>
      </c>
      <c r="L162" s="439">
        <v>5.0999999999999996</v>
      </c>
      <c r="M162" s="435">
        <v>124.19999999999999</v>
      </c>
      <c r="N162" s="435">
        <v>9</v>
      </c>
      <c r="O162" s="438">
        <v>19.749019607843138</v>
      </c>
      <c r="P162" s="440">
        <v>-14.295424836601306</v>
      </c>
      <c r="Q162" s="438">
        <v>11.191111111111111</v>
      </c>
      <c r="R162" s="438">
        <v>0.81095008051529793</v>
      </c>
      <c r="S162" s="441">
        <v>13.799999999999999</v>
      </c>
      <c r="T162" s="441">
        <v>1.7647058823529413</v>
      </c>
      <c r="U162" s="239">
        <v>2</v>
      </c>
      <c r="V162" s="442">
        <v>2.361111111111111E-2</v>
      </c>
      <c r="W162" s="441" t="s">
        <v>176</v>
      </c>
      <c r="X162" s="438">
        <v>22.565375230269186</v>
      </c>
      <c r="Y162" s="438">
        <v>-2.8163556224260482</v>
      </c>
      <c r="Z162" s="443">
        <v>38.419999999999995</v>
      </c>
      <c r="AA162" s="58">
        <f t="shared" ca="1" si="14"/>
        <v>110.60999999999999</v>
      </c>
      <c r="AB162" s="453">
        <f ca="1">Table29[[#This Row],[Earnings]]-Table29[[#This Row],[4-Week Average]]</f>
        <v>-9.8899999999999864</v>
      </c>
    </row>
    <row r="163" spans="1:28" x14ac:dyDescent="0.35">
      <c r="A163" s="445">
        <v>44800</v>
      </c>
      <c r="B163" s="444">
        <v>2022</v>
      </c>
      <c r="C163" s="444">
        <v>35</v>
      </c>
      <c r="D163" s="444">
        <v>9</v>
      </c>
      <c r="E163" s="444" t="s">
        <v>305</v>
      </c>
      <c r="F163" s="445" t="s">
        <v>51</v>
      </c>
      <c r="G163" s="446">
        <v>0.74999999999999889</v>
      </c>
      <c r="H163" s="445" t="s">
        <v>236</v>
      </c>
      <c r="I163" s="444">
        <v>76.900000000000006</v>
      </c>
      <c r="J163" s="445" t="s">
        <v>80</v>
      </c>
      <c r="K163" s="447">
        <v>122.1</v>
      </c>
      <c r="L163" s="448">
        <v>6.6999999999999993</v>
      </c>
      <c r="M163" s="444">
        <v>144.77999999999997</v>
      </c>
      <c r="N163" s="444">
        <v>9</v>
      </c>
      <c r="O163" s="447">
        <v>18.223880597014926</v>
      </c>
      <c r="P163" s="449">
        <v>0.35732667387135209</v>
      </c>
      <c r="Q163" s="447">
        <v>13.566666666666666</v>
      </c>
      <c r="R163" s="447">
        <v>0.84334852880232092</v>
      </c>
      <c r="S163" s="450">
        <v>16.086666666666662</v>
      </c>
      <c r="T163" s="450">
        <v>1.3432835820895523</v>
      </c>
      <c r="U163" s="240">
        <v>4</v>
      </c>
      <c r="V163" s="451">
        <v>3.1018518518518515E-2</v>
      </c>
      <c r="W163" s="450" t="s">
        <v>176</v>
      </c>
      <c r="X163" s="447">
        <v>18.425763461645694</v>
      </c>
      <c r="Y163" s="447">
        <v>-0.20188286463076821</v>
      </c>
      <c r="Z163" s="452">
        <v>39.776666666666657</v>
      </c>
      <c r="AA163" s="58">
        <f t="shared" ca="1" si="14"/>
        <v>108.47749999999999</v>
      </c>
      <c r="AB163" s="453">
        <f ca="1">Table29[[#This Row],[Earnings]]-Table29[[#This Row],[4-Week Average]]</f>
        <v>13.622500000000002</v>
      </c>
    </row>
    <row r="164" spans="1:28" x14ac:dyDescent="0.35">
      <c r="A164" s="436">
        <v>44802</v>
      </c>
      <c r="B164" s="435">
        <v>2022</v>
      </c>
      <c r="C164" s="435">
        <v>36</v>
      </c>
      <c r="D164" s="435">
        <v>10</v>
      </c>
      <c r="E164" s="435" t="s">
        <v>305</v>
      </c>
      <c r="F164" s="436" t="s">
        <v>46</v>
      </c>
      <c r="G164" s="437">
        <v>0.72916666666666552</v>
      </c>
      <c r="H164" s="436" t="s">
        <v>230</v>
      </c>
      <c r="I164" s="435">
        <v>91.7</v>
      </c>
      <c r="J164" s="436" t="s">
        <v>80</v>
      </c>
      <c r="K164" s="438">
        <v>79.789999999999992</v>
      </c>
      <c r="L164" s="439">
        <v>6.7</v>
      </c>
      <c r="M164" s="435">
        <v>101.69999999999999</v>
      </c>
      <c r="N164" s="435">
        <v>7</v>
      </c>
      <c r="O164" s="438">
        <v>11.908955223880595</v>
      </c>
      <c r="P164" s="440">
        <v>-2.6364993215739503</v>
      </c>
      <c r="Q164" s="438">
        <v>11.398571428571428</v>
      </c>
      <c r="R164" s="438">
        <v>0.78456243854473939</v>
      </c>
      <c r="S164" s="441">
        <v>14.528571428571427</v>
      </c>
      <c r="T164" s="441">
        <v>1.044776119402985</v>
      </c>
      <c r="U164" s="239">
        <v>2</v>
      </c>
      <c r="V164" s="442">
        <v>3.9880952380952385E-2</v>
      </c>
      <c r="W164" s="441" t="s">
        <v>176</v>
      </c>
      <c r="X164" s="438">
        <v>18.499060876897357</v>
      </c>
      <c r="Y164" s="438">
        <v>-6.5901056530167619</v>
      </c>
      <c r="Z164" s="443">
        <v>40.66322222222221</v>
      </c>
      <c r="AA164" s="58">
        <f t="shared" ca="1" si="14"/>
        <v>107.47</v>
      </c>
      <c r="AB164" s="453">
        <f ca="1">Table29[[#This Row],[Earnings]]-Table29[[#This Row],[4-Week Average]]</f>
        <v>-27.680000000000007</v>
      </c>
    </row>
    <row r="165" spans="1:28" x14ac:dyDescent="0.35">
      <c r="A165" s="445">
        <v>44803</v>
      </c>
      <c r="B165" s="444">
        <v>2022</v>
      </c>
      <c r="C165" s="444">
        <v>36</v>
      </c>
      <c r="D165" s="444">
        <v>10</v>
      </c>
      <c r="E165" s="444" t="s">
        <v>305</v>
      </c>
      <c r="F165" s="445" t="s">
        <v>47</v>
      </c>
      <c r="G165" s="446">
        <v>0.72916666666666552</v>
      </c>
      <c r="H165" s="445" t="s">
        <v>236</v>
      </c>
      <c r="I165" s="444">
        <v>79.8</v>
      </c>
      <c r="J165" s="445" t="s">
        <v>85</v>
      </c>
      <c r="K165" s="447">
        <v>118.28</v>
      </c>
      <c r="L165" s="448">
        <v>6.1</v>
      </c>
      <c r="M165" s="444">
        <v>100.8</v>
      </c>
      <c r="N165" s="444">
        <v>12</v>
      </c>
      <c r="O165" s="447">
        <v>19.39016393442623</v>
      </c>
      <c r="P165" s="449">
        <v>5.4876322888566094</v>
      </c>
      <c r="Q165" s="447">
        <v>9.8566666666666674</v>
      </c>
      <c r="R165" s="447">
        <v>1.1734126984126985</v>
      </c>
      <c r="S165" s="450">
        <v>8.4</v>
      </c>
      <c r="T165" s="450">
        <v>1.9672131147540985</v>
      </c>
      <c r="U165" s="240">
        <v>3</v>
      </c>
      <c r="V165" s="451">
        <v>2.1180555555555553E-2</v>
      </c>
      <c r="W165" s="450" t="s">
        <v>176</v>
      </c>
      <c r="X165" s="447">
        <v>21.303026797475862</v>
      </c>
      <c r="Y165" s="447">
        <v>-1.9128628630496323</v>
      </c>
      <c r="Z165" s="452">
        <v>41.977444444444437</v>
      </c>
      <c r="AA165" s="58">
        <f t="shared" ca="1" si="14"/>
        <v>105.2225</v>
      </c>
      <c r="AB165" s="453">
        <f ca="1">Table29[[#This Row],[Earnings]]-Table29[[#This Row],[4-Week Average]]</f>
        <v>13.057500000000005</v>
      </c>
    </row>
    <row r="166" spans="1:28" x14ac:dyDescent="0.35">
      <c r="A166" s="436">
        <v>44804</v>
      </c>
      <c r="B166" s="435">
        <v>2022</v>
      </c>
      <c r="C166" s="435">
        <v>36</v>
      </c>
      <c r="D166" s="435">
        <v>10</v>
      </c>
      <c r="E166" s="435" t="s">
        <v>305</v>
      </c>
      <c r="F166" s="436" t="s">
        <v>48</v>
      </c>
      <c r="G166" s="437">
        <v>0.72916666666666552</v>
      </c>
      <c r="H166" s="436" t="s">
        <v>236</v>
      </c>
      <c r="I166" s="435">
        <v>71</v>
      </c>
      <c r="J166" s="436" t="s">
        <v>85</v>
      </c>
      <c r="K166" s="438">
        <v>125.49</v>
      </c>
      <c r="L166" s="439">
        <v>4.0999999999999996</v>
      </c>
      <c r="M166" s="435">
        <v>115.1</v>
      </c>
      <c r="N166" s="435">
        <v>10</v>
      </c>
      <c r="O166" s="438">
        <v>30.607317073170734</v>
      </c>
      <c r="P166" s="440">
        <v>2.0710235178207483</v>
      </c>
      <c r="Q166" s="438">
        <v>12.548999999999999</v>
      </c>
      <c r="R166" s="438">
        <v>1.0902693310165075</v>
      </c>
      <c r="S166" s="441">
        <v>11.51</v>
      </c>
      <c r="T166" s="441">
        <v>2.4390243902439028</v>
      </c>
      <c r="U166" s="239">
        <v>2</v>
      </c>
      <c r="V166" s="442">
        <v>1.7083333333333332E-2</v>
      </c>
      <c r="W166" s="441" t="s">
        <v>176</v>
      </c>
      <c r="X166" s="438">
        <v>25.564780393451905</v>
      </c>
      <c r="Y166" s="438">
        <v>5.0425366797188289</v>
      </c>
      <c r="Z166" s="443">
        <v>42.356222222222215</v>
      </c>
      <c r="AA166" s="58">
        <f t="shared" ca="1" si="14"/>
        <v>111.41499999999999</v>
      </c>
      <c r="AB166" s="453">
        <f ca="1">Table29[[#This Row],[Earnings]]-Table29[[#This Row],[4-Week Average]]</f>
        <v>14.075000000000003</v>
      </c>
    </row>
    <row r="167" spans="1:28" x14ac:dyDescent="0.35">
      <c r="A167" s="445">
        <v>44805</v>
      </c>
      <c r="B167" s="444">
        <v>2022</v>
      </c>
      <c r="C167" s="444">
        <v>36</v>
      </c>
      <c r="D167" s="444">
        <v>10</v>
      </c>
      <c r="E167" s="444" t="s">
        <v>305</v>
      </c>
      <c r="F167" s="445" t="s">
        <v>49</v>
      </c>
      <c r="G167" s="446">
        <v>0.72916666666666552</v>
      </c>
      <c r="H167" s="445" t="s">
        <v>230</v>
      </c>
      <c r="I167" s="444">
        <v>71.3</v>
      </c>
      <c r="J167" s="445" t="s">
        <v>82</v>
      </c>
      <c r="K167" s="447">
        <v>78.5</v>
      </c>
      <c r="L167" s="448">
        <v>5</v>
      </c>
      <c r="M167" s="444">
        <v>78</v>
      </c>
      <c r="N167" s="444">
        <v>11</v>
      </c>
      <c r="O167" s="447">
        <v>15.7</v>
      </c>
      <c r="P167" s="449" t="s">
        <v>393</v>
      </c>
      <c r="Q167" s="447">
        <v>7.1363636363636367</v>
      </c>
      <c r="R167" s="447">
        <v>1.0064102564102564</v>
      </c>
      <c r="S167" s="450">
        <v>7.0909090909090908</v>
      </c>
      <c r="T167" s="450">
        <v>2.2000000000000002</v>
      </c>
      <c r="U167" s="240">
        <v>1</v>
      </c>
      <c r="V167" s="451">
        <v>1.893939393939394E-2</v>
      </c>
      <c r="W167" s="450" t="s">
        <v>176</v>
      </c>
      <c r="X167" s="447">
        <v>19.513187856973243</v>
      </c>
      <c r="Y167" s="447">
        <v>-3.8131878569732436</v>
      </c>
      <c r="Z167" s="452">
        <v>42.770444444444443</v>
      </c>
      <c r="AA167" s="58">
        <f t="shared" ca="1" si="14"/>
        <v>100.515</v>
      </c>
      <c r="AB167" s="453">
        <f ca="1">Table29[[#This Row],[Earnings]]-Table29[[#This Row],[4-Week Average]]</f>
        <v>-22.015000000000001</v>
      </c>
    </row>
    <row r="168" spans="1:28" x14ac:dyDescent="0.35">
      <c r="A168" s="436">
        <v>44806</v>
      </c>
      <c r="B168" s="435">
        <v>2022</v>
      </c>
      <c r="C168" s="435">
        <v>36</v>
      </c>
      <c r="D168" s="435">
        <v>10</v>
      </c>
      <c r="E168" s="435" t="s">
        <v>305</v>
      </c>
      <c r="F168" s="436" t="s">
        <v>50</v>
      </c>
      <c r="G168" s="437">
        <v>0.47916666666666591</v>
      </c>
      <c r="H168" s="436" t="s">
        <v>230</v>
      </c>
      <c r="I168" s="435">
        <v>74</v>
      </c>
      <c r="J168" s="436" t="s">
        <v>80</v>
      </c>
      <c r="K168" s="438">
        <v>136.03</v>
      </c>
      <c r="L168" s="439">
        <v>5</v>
      </c>
      <c r="M168" s="435">
        <v>95.7</v>
      </c>
      <c r="N168" s="435">
        <v>11</v>
      </c>
      <c r="O168" s="438">
        <v>27.206</v>
      </c>
      <c r="P168" s="440">
        <v>4.6590205278592371</v>
      </c>
      <c r="Q168" s="438">
        <v>12.366363636363637</v>
      </c>
      <c r="R168" s="438">
        <v>1.4214211076280041</v>
      </c>
      <c r="S168" s="441">
        <v>8.7000000000000011</v>
      </c>
      <c r="T168" s="441">
        <v>2.2000000000000002</v>
      </c>
      <c r="U168" s="239">
        <v>3</v>
      </c>
      <c r="V168" s="442">
        <v>1.893939393939394E-2</v>
      </c>
      <c r="W168" s="441" t="s">
        <v>176</v>
      </c>
      <c r="X168" s="438">
        <v>21.674707341206283</v>
      </c>
      <c r="Y168" s="438">
        <v>5.531292658793717</v>
      </c>
      <c r="Z168" s="443">
        <v>44.281888888888886</v>
      </c>
      <c r="AA168" s="58">
        <f t="shared" ca="1" si="14"/>
        <v>114.57499999999999</v>
      </c>
      <c r="AB168" s="453">
        <f ca="1">Table29[[#This Row],[Earnings]]-Table29[[#This Row],[4-Week Average]]</f>
        <v>21.455000000000013</v>
      </c>
    </row>
    <row r="169" spans="1:28" x14ac:dyDescent="0.35">
      <c r="A169" s="445">
        <v>44807</v>
      </c>
      <c r="B169" s="444">
        <v>2022</v>
      </c>
      <c r="C169" s="444">
        <v>36</v>
      </c>
      <c r="D169" s="444">
        <v>10</v>
      </c>
      <c r="E169" s="444" t="s">
        <v>305</v>
      </c>
      <c r="F169" s="445" t="s">
        <v>51</v>
      </c>
      <c r="G169" s="446">
        <v>0.70833333333333226</v>
      </c>
      <c r="H169" s="445" t="s">
        <v>236</v>
      </c>
      <c r="I169" s="444">
        <v>83</v>
      </c>
      <c r="J169" s="445" t="s">
        <v>80</v>
      </c>
      <c r="K169" s="447">
        <v>185.99</v>
      </c>
      <c r="L169" s="448">
        <v>8.73</v>
      </c>
      <c r="M169" s="444">
        <v>162</v>
      </c>
      <c r="N169" s="444">
        <v>17</v>
      </c>
      <c r="O169" s="447">
        <v>21.304696449026345</v>
      </c>
      <c r="P169" s="449">
        <v>3.3785880802375452</v>
      </c>
      <c r="Q169" s="447">
        <v>10.940588235294118</v>
      </c>
      <c r="R169" s="447">
        <v>1.1480864197530865</v>
      </c>
      <c r="S169" s="450">
        <v>9.5294117647058822</v>
      </c>
      <c r="T169" s="450">
        <v>1.9473081328751431</v>
      </c>
      <c r="U169" s="240">
        <v>5</v>
      </c>
      <c r="V169" s="451">
        <v>2.1397058823529411E-2</v>
      </c>
      <c r="W169" s="450" t="s">
        <v>176</v>
      </c>
      <c r="X169" s="447">
        <v>21.809743590106308</v>
      </c>
      <c r="Y169" s="447">
        <v>-0.50504714107996307</v>
      </c>
      <c r="Z169" s="452">
        <v>46.348444444444439</v>
      </c>
      <c r="AA169" s="58">
        <f t="shared" ca="1" si="14"/>
        <v>131.5025</v>
      </c>
      <c r="AB169" s="453">
        <f ca="1">Table29[[#This Row],[Earnings]]-Table29[[#This Row],[4-Week Average]]</f>
        <v>54.487500000000011</v>
      </c>
    </row>
    <row r="170" spans="1:28" x14ac:dyDescent="0.35">
      <c r="A170" s="436">
        <v>44809</v>
      </c>
      <c r="B170" s="435">
        <v>2022</v>
      </c>
      <c r="C170" s="435">
        <v>37</v>
      </c>
      <c r="D170" s="435">
        <v>11</v>
      </c>
      <c r="E170" s="435" t="s">
        <v>305</v>
      </c>
      <c r="F170" s="436" t="s">
        <v>46</v>
      </c>
      <c r="G170" s="437">
        <v>0.72916666666666552</v>
      </c>
      <c r="H170" s="436" t="s">
        <v>236</v>
      </c>
      <c r="I170" s="435">
        <v>62.3</v>
      </c>
      <c r="J170" s="436" t="s">
        <v>85</v>
      </c>
      <c r="K170" s="438">
        <v>174.1</v>
      </c>
      <c r="L170" s="439">
        <v>6.3999999999999995</v>
      </c>
      <c r="M170" s="435">
        <v>141.4</v>
      </c>
      <c r="N170" s="435">
        <v>14</v>
      </c>
      <c r="O170" s="438">
        <v>27.203125</v>
      </c>
      <c r="P170" s="440">
        <v>0.30639297385620878</v>
      </c>
      <c r="Q170" s="438">
        <v>12.435714285714285</v>
      </c>
      <c r="R170" s="438">
        <v>1.2312588401697311</v>
      </c>
      <c r="S170" s="441">
        <v>10.1</v>
      </c>
      <c r="T170" s="441">
        <v>2.1875</v>
      </c>
      <c r="U170" s="239">
        <v>3</v>
      </c>
      <c r="V170" s="442">
        <v>1.9047619047619046E-2</v>
      </c>
      <c r="W170" s="441" t="s">
        <v>176</v>
      </c>
      <c r="X170" s="438">
        <v>31.165355603448276</v>
      </c>
      <c r="Y170" s="438">
        <v>-3.9622306034482762</v>
      </c>
      <c r="Z170" s="443">
        <v>48.282888888888891</v>
      </c>
      <c r="AA170" s="58">
        <f t="shared" ca="1" si="14"/>
        <v>143.655</v>
      </c>
      <c r="AB170" s="453">
        <f ca="1">Table29[[#This Row],[Earnings]]-Table29[[#This Row],[4-Week Average]]</f>
        <v>30.444999999999993</v>
      </c>
    </row>
    <row r="171" spans="1:28" x14ac:dyDescent="0.35">
      <c r="A171" s="445">
        <v>44810</v>
      </c>
      <c r="B171" s="444">
        <v>2022</v>
      </c>
      <c r="C171" s="444">
        <v>37</v>
      </c>
      <c r="D171" s="444">
        <v>11</v>
      </c>
      <c r="E171" s="444" t="s">
        <v>305</v>
      </c>
      <c r="F171" s="445" t="s">
        <v>47</v>
      </c>
      <c r="G171" s="446">
        <v>0.68749999999999889</v>
      </c>
      <c r="H171" s="445" t="s">
        <v>236</v>
      </c>
      <c r="I171" s="444">
        <v>70.7</v>
      </c>
      <c r="J171" s="445" t="s">
        <v>85</v>
      </c>
      <c r="K171" s="447">
        <v>110.01</v>
      </c>
      <c r="L171" s="448">
        <v>2.4</v>
      </c>
      <c r="M171" s="444">
        <v>93</v>
      </c>
      <c r="N171" s="444">
        <v>9</v>
      </c>
      <c r="O171" s="447">
        <v>45.837500000000006</v>
      </c>
      <c r="P171" s="449">
        <v>30.105757591478181</v>
      </c>
      <c r="Q171" s="447">
        <v>12.223333333333334</v>
      </c>
      <c r="R171" s="447">
        <v>1.1829032258064516</v>
      </c>
      <c r="S171" s="450">
        <v>10.333333333333334</v>
      </c>
      <c r="T171" s="450">
        <v>3.75</v>
      </c>
      <c r="U171" s="240">
        <v>2</v>
      </c>
      <c r="V171" s="451">
        <v>1.1111111111111112E-2</v>
      </c>
      <c r="W171" s="450" t="s">
        <v>176</v>
      </c>
      <c r="X171" s="447">
        <v>32.022523584905663</v>
      </c>
      <c r="Y171" s="447">
        <v>13.814976415094343</v>
      </c>
      <c r="Z171" s="452">
        <v>49.505222222222223</v>
      </c>
      <c r="AA171" s="58">
        <f t="shared" ca="1" si="14"/>
        <v>151.5325</v>
      </c>
      <c r="AB171" s="453">
        <f ca="1">Table29[[#This Row],[Earnings]]-Table29[[#This Row],[4-Week Average]]</f>
        <v>-41.522499999999994</v>
      </c>
    </row>
    <row r="172" spans="1:28" x14ac:dyDescent="0.35">
      <c r="A172" s="436">
        <v>44811</v>
      </c>
      <c r="B172" s="435">
        <v>2022</v>
      </c>
      <c r="C172" s="435">
        <v>37</v>
      </c>
      <c r="D172" s="435">
        <v>11</v>
      </c>
      <c r="E172" s="435" t="s">
        <v>305</v>
      </c>
      <c r="F172" s="436" t="s">
        <v>48</v>
      </c>
      <c r="G172" s="437">
        <v>0.74999999999999889</v>
      </c>
      <c r="H172" s="436" t="s">
        <v>236</v>
      </c>
      <c r="I172" s="435">
        <v>73.7</v>
      </c>
      <c r="J172" s="436" t="s">
        <v>85</v>
      </c>
      <c r="K172" s="438">
        <v>18.829999999999998</v>
      </c>
      <c r="L172" s="439">
        <v>7</v>
      </c>
      <c r="M172" s="435">
        <v>65.5</v>
      </c>
      <c r="N172" s="435">
        <v>3</v>
      </c>
      <c r="O172" s="438">
        <v>2.69</v>
      </c>
      <c r="P172" s="440">
        <v>-26.364049434805171</v>
      </c>
      <c r="Q172" s="438">
        <v>6.2766666666666664</v>
      </c>
      <c r="R172" s="438">
        <v>0.28748091603053433</v>
      </c>
      <c r="S172" s="441">
        <v>21.833333333333332</v>
      </c>
      <c r="T172" s="441">
        <v>0.42857142857142855</v>
      </c>
      <c r="U172" s="239">
        <v>1</v>
      </c>
      <c r="V172" s="442">
        <v>9.7222222222222224E-2</v>
      </c>
      <c r="W172" s="441" t="s">
        <v>176</v>
      </c>
      <c r="X172" s="438">
        <v>17.244530305697353</v>
      </c>
      <c r="Y172" s="438">
        <v>-14.554530305697353</v>
      </c>
      <c r="Z172" s="443">
        <v>48.729666666666667</v>
      </c>
      <c r="AA172" s="58">
        <f t="shared" ca="1" si="14"/>
        <v>122.2325</v>
      </c>
      <c r="AB172" s="453">
        <f ca="1">Table29[[#This Row],[Earnings]]-Table29[[#This Row],[4-Week Average]]</f>
        <v>-103.4025</v>
      </c>
    </row>
    <row r="173" spans="1:28" x14ac:dyDescent="0.35">
      <c r="A173" s="445">
        <v>44812</v>
      </c>
      <c r="B173" s="444">
        <v>2022</v>
      </c>
      <c r="C173" s="444">
        <v>37</v>
      </c>
      <c r="D173" s="444">
        <v>11</v>
      </c>
      <c r="E173" s="444" t="s">
        <v>305</v>
      </c>
      <c r="F173" s="445" t="s">
        <v>49</v>
      </c>
      <c r="G173" s="446">
        <v>0.74999999999999889</v>
      </c>
      <c r="H173" s="445" t="s">
        <v>230</v>
      </c>
      <c r="I173" s="444">
        <v>79.3</v>
      </c>
      <c r="J173" s="445" t="s">
        <v>85</v>
      </c>
      <c r="K173" s="447">
        <v>114.77000000000001</v>
      </c>
      <c r="L173" s="448">
        <v>5.5</v>
      </c>
      <c r="M173" s="444">
        <v>62.5</v>
      </c>
      <c r="N173" s="444">
        <v>14</v>
      </c>
      <c r="O173" s="447">
        <v>20.867272727272731</v>
      </c>
      <c r="P173" s="449">
        <v>-1.6821590909090887</v>
      </c>
      <c r="Q173" s="447">
        <v>8.1978571428571438</v>
      </c>
      <c r="R173" s="447">
        <v>1.8363200000000002</v>
      </c>
      <c r="S173" s="450">
        <v>4.4642857142857144</v>
      </c>
      <c r="T173" s="450">
        <v>2.5454545454545454</v>
      </c>
      <c r="U173" s="240">
        <v>3</v>
      </c>
      <c r="V173" s="451">
        <v>1.636904761904762E-2</v>
      </c>
      <c r="W173" s="450" t="s">
        <v>176</v>
      </c>
      <c r="X173" s="447">
        <v>23.619788035045261</v>
      </c>
      <c r="Y173" s="447">
        <v>-2.75251530777253</v>
      </c>
      <c r="Z173" s="452">
        <v>48.288222222222231</v>
      </c>
      <c r="AA173" s="58">
        <f t="shared" ca="1" si="14"/>
        <v>104.42750000000001</v>
      </c>
      <c r="AB173" s="453">
        <f ca="1">Table29[[#This Row],[Earnings]]-Table29[[#This Row],[4-Week Average]]</f>
        <v>10.342500000000001</v>
      </c>
    </row>
    <row r="174" spans="1:28" x14ac:dyDescent="0.35">
      <c r="A174" s="436">
        <v>44813</v>
      </c>
      <c r="B174" s="435">
        <v>2022</v>
      </c>
      <c r="C174" s="435">
        <v>37</v>
      </c>
      <c r="D174" s="435">
        <v>11</v>
      </c>
      <c r="E174" s="435" t="s">
        <v>305</v>
      </c>
      <c r="F174" s="436" t="s">
        <v>50</v>
      </c>
      <c r="G174" s="437">
        <v>0.74999999999999889</v>
      </c>
      <c r="H174" s="436" t="s">
        <v>230</v>
      </c>
      <c r="I174" s="435">
        <v>82.5</v>
      </c>
      <c r="J174" s="436" t="s">
        <v>85</v>
      </c>
      <c r="K174" s="438">
        <v>110.59</v>
      </c>
      <c r="L174" s="439">
        <v>2.9</v>
      </c>
      <c r="M174" s="435">
        <v>156.19999999999999</v>
      </c>
      <c r="N174" s="435">
        <v>10</v>
      </c>
      <c r="O174" s="438">
        <v>38.134482758620692</v>
      </c>
      <c r="P174" s="440">
        <v>23.503697044334977</v>
      </c>
      <c r="Q174" s="438">
        <v>11.059000000000001</v>
      </c>
      <c r="R174" s="438">
        <v>0.70800256081946233</v>
      </c>
      <c r="S174" s="441">
        <v>15.62</v>
      </c>
      <c r="T174" s="441">
        <v>3.4482758620689657</v>
      </c>
      <c r="U174" s="239">
        <v>3</v>
      </c>
      <c r="V174" s="442">
        <v>1.2083333333333333E-2</v>
      </c>
      <c r="W174" s="441" t="s">
        <v>176</v>
      </c>
      <c r="X174" s="438">
        <v>29.0777208364416</v>
      </c>
      <c r="Y174" s="438">
        <v>9.056761922179092</v>
      </c>
      <c r="Z174" s="443">
        <v>49.51700000000001</v>
      </c>
      <c r="AA174" s="58">
        <f t="shared" ca="1" si="14"/>
        <v>88.550000000000011</v>
      </c>
      <c r="AB174" s="453">
        <f ca="1">Table29[[#This Row],[Earnings]]-Table29[[#This Row],[4-Week Average]]</f>
        <v>22.039999999999992</v>
      </c>
    </row>
    <row r="175" spans="1:28" x14ac:dyDescent="0.35">
      <c r="A175" s="445">
        <v>44814</v>
      </c>
      <c r="B175" s="444">
        <v>2022</v>
      </c>
      <c r="C175" s="444">
        <v>37</v>
      </c>
      <c r="D175" s="444">
        <v>11</v>
      </c>
      <c r="E175" s="444" t="s">
        <v>305</v>
      </c>
      <c r="F175" s="445" t="s">
        <v>51</v>
      </c>
      <c r="G175" s="446">
        <v>0.60416666666666574</v>
      </c>
      <c r="H175" s="445" t="s">
        <v>230</v>
      </c>
      <c r="I175" s="444">
        <v>79.5</v>
      </c>
      <c r="J175" s="445" t="s">
        <v>82</v>
      </c>
      <c r="K175" s="447">
        <v>112.3</v>
      </c>
      <c r="L175" s="448">
        <v>4.5</v>
      </c>
      <c r="M175" s="444">
        <v>125.80000000000001</v>
      </c>
      <c r="N175" s="444">
        <v>13</v>
      </c>
      <c r="O175" s="447">
        <v>24.955555555555556</v>
      </c>
      <c r="P175" s="449">
        <v>4.251035158642658</v>
      </c>
      <c r="Q175" s="447">
        <v>8.638461538461538</v>
      </c>
      <c r="R175" s="447">
        <v>0.89268680445151027</v>
      </c>
      <c r="S175" s="450">
        <v>9.6769230769230781</v>
      </c>
      <c r="T175" s="450">
        <v>2.8888888888888888</v>
      </c>
      <c r="U175" s="240">
        <v>5</v>
      </c>
      <c r="V175" s="451">
        <v>1.4423076923076922E-2</v>
      </c>
      <c r="W175" s="450" t="s">
        <v>176</v>
      </c>
      <c r="X175" s="447">
        <v>22.687811791383218</v>
      </c>
      <c r="Y175" s="447">
        <v>2.2677437641723373</v>
      </c>
      <c r="Z175" s="452">
        <v>49.157666666666671</v>
      </c>
      <c r="AA175" s="58">
        <f t="shared" ca="1" si="14"/>
        <v>89.122500000000002</v>
      </c>
      <c r="AB175" s="453">
        <f ca="1">Table29[[#This Row],[Earnings]]-Table29[[#This Row],[4-Week Average]]</f>
        <v>23.177499999999995</v>
      </c>
    </row>
    <row r="176" spans="1:28" x14ac:dyDescent="0.35">
      <c r="A176" s="436">
        <v>44815</v>
      </c>
      <c r="B176" s="435">
        <v>2022</v>
      </c>
      <c r="C176" s="435">
        <v>37</v>
      </c>
      <c r="D176" s="435">
        <v>11</v>
      </c>
      <c r="E176" s="435" t="s">
        <v>305</v>
      </c>
      <c r="F176" s="436" t="s">
        <v>45</v>
      </c>
      <c r="G176" s="437">
        <v>0.54166666666666585</v>
      </c>
      <c r="H176" s="436" t="s">
        <v>236</v>
      </c>
      <c r="I176" s="435">
        <v>81.7</v>
      </c>
      <c r="J176" s="436" t="s">
        <v>82</v>
      </c>
      <c r="K176" s="438">
        <v>149.79</v>
      </c>
      <c r="L176" s="439">
        <v>6.1999999999999993</v>
      </c>
      <c r="M176" s="435">
        <v>152.6</v>
      </c>
      <c r="N176" s="435">
        <v>23</v>
      </c>
      <c r="O176" s="438">
        <v>24.159677419354839</v>
      </c>
      <c r="P176" s="440" t="s">
        <v>393</v>
      </c>
      <c r="Q176" s="438">
        <v>6.5126086956521734</v>
      </c>
      <c r="R176" s="438">
        <v>0.98158584534731319</v>
      </c>
      <c r="S176" s="441">
        <v>6.6347826086956516</v>
      </c>
      <c r="T176" s="441">
        <v>3.709677419354839</v>
      </c>
      <c r="U176" s="239">
        <v>3</v>
      </c>
      <c r="V176" s="442">
        <v>1.1231884057971013E-2</v>
      </c>
      <c r="W176" s="441" t="s">
        <v>176</v>
      </c>
      <c r="X176" s="438">
        <v>27.402916490585525</v>
      </c>
      <c r="Y176" s="438">
        <v>-3.2432390712306862</v>
      </c>
      <c r="Z176" s="443">
        <v>50.822000000000003</v>
      </c>
      <c r="AA176" s="58">
        <f t="shared" ca="1" si="14"/>
        <v>121.86250000000001</v>
      </c>
      <c r="AB176" s="453">
        <f ca="1">Table29[[#This Row],[Earnings]]-Table29[[#This Row],[4-Week Average]]</f>
        <v>27.927499999999981</v>
      </c>
    </row>
    <row r="177" spans="1:28" x14ac:dyDescent="0.35">
      <c r="A177" s="445">
        <v>44816</v>
      </c>
      <c r="B177" s="444">
        <v>2022</v>
      </c>
      <c r="C177" s="444">
        <v>38</v>
      </c>
      <c r="D177" s="444">
        <v>12</v>
      </c>
      <c r="E177" s="444" t="s">
        <v>305</v>
      </c>
      <c r="F177" s="445" t="s">
        <v>46</v>
      </c>
      <c r="G177" s="446">
        <v>0.74999999999999889</v>
      </c>
      <c r="H177" s="445" t="s">
        <v>236</v>
      </c>
      <c r="I177" s="444">
        <v>72.7</v>
      </c>
      <c r="J177" s="445" t="s">
        <v>85</v>
      </c>
      <c r="K177" s="447">
        <v>106.19</v>
      </c>
      <c r="L177" s="448">
        <v>6.9</v>
      </c>
      <c r="M177" s="444">
        <v>82.5</v>
      </c>
      <c r="N177" s="444">
        <v>12</v>
      </c>
      <c r="O177" s="447">
        <v>15.389855072463767</v>
      </c>
      <c r="P177" s="449">
        <v>-11.60900794496543</v>
      </c>
      <c r="Q177" s="447">
        <v>8.8491666666666671</v>
      </c>
      <c r="R177" s="447">
        <v>1.2871515151515152</v>
      </c>
      <c r="S177" s="450">
        <v>6.875</v>
      </c>
      <c r="T177" s="450">
        <v>1.7391304347826086</v>
      </c>
      <c r="U177" s="240">
        <v>2</v>
      </c>
      <c r="V177" s="451">
        <v>2.3958333333333335E-2</v>
      </c>
      <c r="W177" s="450" t="s">
        <v>176</v>
      </c>
      <c r="X177" s="447">
        <v>20.419818365926204</v>
      </c>
      <c r="Y177" s="447">
        <v>-5.029963293462437</v>
      </c>
      <c r="Z177" s="452">
        <v>52.001888888888892</v>
      </c>
      <c r="AA177" s="58">
        <f t="shared" ca="1" si="14"/>
        <v>119.71749999999999</v>
      </c>
      <c r="AB177" s="453">
        <f ca="1">Table29[[#This Row],[Earnings]]-Table29[[#This Row],[4-Week Average]]</f>
        <v>-13.527499999999989</v>
      </c>
    </row>
    <row r="178" spans="1:28" x14ac:dyDescent="0.35">
      <c r="A178" s="436">
        <v>44819</v>
      </c>
      <c r="B178" s="435">
        <v>2022</v>
      </c>
      <c r="C178" s="435">
        <v>38</v>
      </c>
      <c r="D178" s="435">
        <v>12</v>
      </c>
      <c r="E178" s="435" t="s">
        <v>305</v>
      </c>
      <c r="F178" s="436" t="s">
        <v>49</v>
      </c>
      <c r="G178" s="437">
        <v>0.72916666666666552</v>
      </c>
      <c r="H178" s="436" t="s">
        <v>230</v>
      </c>
      <c r="I178" s="435">
        <v>65.900000000000006</v>
      </c>
      <c r="J178" s="436" t="s">
        <v>82</v>
      </c>
      <c r="K178" s="438">
        <v>168.62</v>
      </c>
      <c r="L178" s="439">
        <v>9.4</v>
      </c>
      <c r="M178" s="435">
        <v>68</v>
      </c>
      <c r="N178" s="435">
        <v>16</v>
      </c>
      <c r="O178" s="438">
        <v>17.938297872340424</v>
      </c>
      <c r="P178" s="440">
        <v>2.238297872340425</v>
      </c>
      <c r="Q178" s="438">
        <v>10.53875</v>
      </c>
      <c r="R178" s="438">
        <v>2.4797058823529414</v>
      </c>
      <c r="S178" s="441">
        <v>4.25</v>
      </c>
      <c r="T178" s="441">
        <v>1.7021276595744681</v>
      </c>
      <c r="U178" s="239">
        <v>2</v>
      </c>
      <c r="V178" s="442">
        <v>2.4479166666666666E-2</v>
      </c>
      <c r="W178" s="441" t="s">
        <v>176</v>
      </c>
      <c r="X178" s="438">
        <v>18.367485192811206</v>
      </c>
      <c r="Y178" s="438">
        <v>-0.42918732047078123</v>
      </c>
      <c r="Z178" s="443">
        <v>52.500777777777778</v>
      </c>
      <c r="AA178" s="58">
        <f t="shared" ca="1" si="14"/>
        <v>134.22499999999999</v>
      </c>
      <c r="AB178" s="453">
        <f ca="1">Table29[[#This Row],[Earnings]]-Table29[[#This Row],[4-Week Average]]</f>
        <v>34.39500000000001</v>
      </c>
    </row>
    <row r="179" spans="1:28" x14ac:dyDescent="0.35">
      <c r="A179" s="445">
        <v>44820</v>
      </c>
      <c r="B179" s="444">
        <v>2022</v>
      </c>
      <c r="C179" s="444">
        <v>38</v>
      </c>
      <c r="D179" s="444">
        <v>12</v>
      </c>
      <c r="E179" s="444" t="s">
        <v>305</v>
      </c>
      <c r="F179" s="445" t="s">
        <v>50</v>
      </c>
      <c r="G179" s="446">
        <v>0.72916666666666552</v>
      </c>
      <c r="H179" s="445" t="s">
        <v>230</v>
      </c>
      <c r="I179" s="444">
        <v>66.900000000000006</v>
      </c>
      <c r="J179" s="445" t="s">
        <v>80</v>
      </c>
      <c r="K179" s="447">
        <v>65.78</v>
      </c>
      <c r="L179" s="448">
        <v>5.4</v>
      </c>
      <c r="M179" s="444">
        <v>71.599999999999994</v>
      </c>
      <c r="N179" s="444">
        <v>6</v>
      </c>
      <c r="O179" s="447">
        <v>12.18148148148148</v>
      </c>
      <c r="P179" s="449">
        <v>-11.91850483327903</v>
      </c>
      <c r="Q179" s="447">
        <v>10.963333333333333</v>
      </c>
      <c r="R179" s="447">
        <v>0.91871508379888278</v>
      </c>
      <c r="S179" s="450">
        <v>11.933333333333332</v>
      </c>
      <c r="T179" s="450">
        <v>1.1111111111111109</v>
      </c>
      <c r="U179" s="240">
        <v>2</v>
      </c>
      <c r="V179" s="451">
        <v>3.7499999999999999E-2</v>
      </c>
      <c r="W179" s="450" t="s">
        <v>176</v>
      </c>
      <c r="X179" s="447">
        <v>19.334078749155886</v>
      </c>
      <c r="Y179" s="447">
        <v>-7.1525972676744054</v>
      </c>
      <c r="Z179" s="452">
        <v>51.42711111111111</v>
      </c>
      <c r="AA179" s="58">
        <f t="shared" ca="1" si="14"/>
        <v>122.595</v>
      </c>
      <c r="AB179" s="453">
        <f ca="1">Table29[[#This Row],[Earnings]]-Table29[[#This Row],[4-Week Average]]</f>
        <v>-56.814999999999998</v>
      </c>
    </row>
    <row r="180" spans="1:28" x14ac:dyDescent="0.35">
      <c r="A180" s="436">
        <v>44822</v>
      </c>
      <c r="B180" s="435">
        <v>2022</v>
      </c>
      <c r="C180" s="435">
        <v>38</v>
      </c>
      <c r="D180" s="435">
        <v>12</v>
      </c>
      <c r="E180" s="435" t="s">
        <v>305</v>
      </c>
      <c r="F180" s="436" t="s">
        <v>45</v>
      </c>
      <c r="G180" s="437">
        <v>0.72916666666666552</v>
      </c>
      <c r="H180" s="436" t="s">
        <v>236</v>
      </c>
      <c r="I180" s="435">
        <v>58.3</v>
      </c>
      <c r="J180" s="436" t="s">
        <v>80</v>
      </c>
      <c r="K180" s="438">
        <v>161.82999999999998</v>
      </c>
      <c r="L180" s="439">
        <v>7.1</v>
      </c>
      <c r="M180" s="435">
        <v>124.2</v>
      </c>
      <c r="N180" s="435">
        <v>11</v>
      </c>
      <c r="O180" s="438">
        <v>22.792957746478873</v>
      </c>
      <c r="P180" s="440">
        <v>-4.6728317272053381</v>
      </c>
      <c r="Q180" s="438">
        <v>14.711818181818181</v>
      </c>
      <c r="R180" s="438">
        <v>1.3029790660225442</v>
      </c>
      <c r="S180" s="441">
        <v>11.290909090909091</v>
      </c>
      <c r="T180" s="441">
        <v>1.5492957746478875</v>
      </c>
      <c r="U180" s="239">
        <v>2</v>
      </c>
      <c r="V180" s="442">
        <v>2.689393939393939E-2</v>
      </c>
      <c r="W180" s="441" t="s">
        <v>176</v>
      </c>
      <c r="X180" s="438">
        <v>24.814125932062964</v>
      </c>
      <c r="Y180" s="438">
        <v>-2.0211681855840915</v>
      </c>
      <c r="Z180" s="443">
        <v>53.225222222222214</v>
      </c>
      <c r="AA180" s="58">
        <f t="shared" ca="1" si="14"/>
        <v>125.605</v>
      </c>
      <c r="AB180" s="453">
        <f ca="1">Table29[[#This Row],[Earnings]]-Table29[[#This Row],[4-Week Average]]</f>
        <v>36.22499999999998</v>
      </c>
    </row>
    <row r="181" spans="1:28" x14ac:dyDescent="0.35">
      <c r="A181" s="445">
        <v>44823</v>
      </c>
      <c r="B181" s="444">
        <v>2022</v>
      </c>
      <c r="C181" s="444">
        <v>39</v>
      </c>
      <c r="D181" s="444">
        <v>13</v>
      </c>
      <c r="E181" s="444" t="s">
        <v>305</v>
      </c>
      <c r="F181" s="445" t="s">
        <v>46</v>
      </c>
      <c r="G181" s="446">
        <v>0.72916666666666552</v>
      </c>
      <c r="H181" s="445" t="s">
        <v>236</v>
      </c>
      <c r="I181" s="444">
        <v>56.8</v>
      </c>
      <c r="J181" s="445" t="s">
        <v>85</v>
      </c>
      <c r="K181" s="447">
        <v>78.52</v>
      </c>
      <c r="L181" s="448">
        <v>6.6</v>
      </c>
      <c r="M181" s="444">
        <v>80.199999999999989</v>
      </c>
      <c r="N181" s="444">
        <v>8</v>
      </c>
      <c r="O181" s="447">
        <v>11.896969696969697</v>
      </c>
      <c r="P181" s="449">
        <v>-12.199641334218144</v>
      </c>
      <c r="Q181" s="447">
        <v>9.8149999999999995</v>
      </c>
      <c r="R181" s="447">
        <v>0.97905236907730686</v>
      </c>
      <c r="S181" s="450">
        <v>10.024999999999999</v>
      </c>
      <c r="T181" s="450">
        <v>1.2121212121212122</v>
      </c>
      <c r="U181" s="240">
        <v>2</v>
      </c>
      <c r="V181" s="451">
        <v>3.4374999999999996E-2</v>
      </c>
      <c r="W181" s="450" t="s">
        <v>176</v>
      </c>
      <c r="X181" s="447">
        <v>19.871020059752453</v>
      </c>
      <c r="Y181" s="447">
        <v>-7.9740503627827568</v>
      </c>
      <c r="Z181" s="452">
        <v>54.097666666666669</v>
      </c>
      <c r="AA181" s="58">
        <f t="shared" ca="1" si="14"/>
        <v>118.6875</v>
      </c>
      <c r="AB181" s="453">
        <f ca="1">Table29[[#This Row],[Earnings]]-Table29[[#This Row],[4-Week Average]]</f>
        <v>-40.167500000000004</v>
      </c>
    </row>
    <row r="182" spans="1:28" x14ac:dyDescent="0.35">
      <c r="A182" s="436">
        <v>44824</v>
      </c>
      <c r="B182" s="435">
        <v>2022</v>
      </c>
      <c r="C182" s="435">
        <v>39</v>
      </c>
      <c r="D182" s="435">
        <v>13</v>
      </c>
      <c r="E182" s="435" t="s">
        <v>305</v>
      </c>
      <c r="F182" s="436" t="s">
        <v>47</v>
      </c>
      <c r="G182" s="437">
        <v>0.72916666666666552</v>
      </c>
      <c r="H182" s="436" t="s">
        <v>236</v>
      </c>
      <c r="I182" s="435">
        <v>66.8</v>
      </c>
      <c r="J182" s="436" t="s">
        <v>82</v>
      </c>
      <c r="K182" s="438">
        <v>35.19</v>
      </c>
      <c r="L182" s="439">
        <v>2.4500000000000002</v>
      </c>
      <c r="M182" s="435">
        <v>28.6</v>
      </c>
      <c r="N182" s="435">
        <v>3</v>
      </c>
      <c r="O182" s="438">
        <v>14.363265306122447</v>
      </c>
      <c r="P182" s="440">
        <v>-4.0605151816824332</v>
      </c>
      <c r="Q182" s="438">
        <v>11.729999999999999</v>
      </c>
      <c r="R182" s="438">
        <v>1.2304195804195803</v>
      </c>
      <c r="S182" s="441">
        <v>9.5333333333333332</v>
      </c>
      <c r="T182" s="441">
        <v>1.2244897959183672</v>
      </c>
      <c r="U182" s="239">
        <v>1</v>
      </c>
      <c r="V182" s="442">
        <v>3.4027777777777782E-2</v>
      </c>
      <c r="W182" s="441" t="s">
        <v>176</v>
      </c>
      <c r="X182" s="438">
        <v>19.765191567522344</v>
      </c>
      <c r="Y182" s="438">
        <v>-5.4019262613998968</v>
      </c>
      <c r="Z182" s="443">
        <v>54.180555555555543</v>
      </c>
      <c r="AA182" s="58">
        <f t="shared" ca="1" si="14"/>
        <v>85.33</v>
      </c>
      <c r="AB182" s="453">
        <f ca="1">Table29[[#This Row],[Earnings]]-Table29[[#This Row],[4-Week Average]]</f>
        <v>-50.14</v>
      </c>
    </row>
    <row r="183" spans="1:28" x14ac:dyDescent="0.35">
      <c r="A183" s="445">
        <v>44825</v>
      </c>
      <c r="B183" s="444">
        <v>2022</v>
      </c>
      <c r="C183" s="444">
        <v>39</v>
      </c>
      <c r="D183" s="444">
        <v>13</v>
      </c>
      <c r="E183" s="444" t="s">
        <v>305</v>
      </c>
      <c r="F183" s="445" t="s">
        <v>48</v>
      </c>
      <c r="G183" s="446">
        <v>0.72916666666666552</v>
      </c>
      <c r="H183" s="445" t="s">
        <v>236</v>
      </c>
      <c r="I183" s="444">
        <v>63.5</v>
      </c>
      <c r="J183" s="445" t="s">
        <v>82</v>
      </c>
      <c r="K183" s="447">
        <v>45.85</v>
      </c>
      <c r="L183" s="448">
        <v>4.3000000000000007</v>
      </c>
      <c r="M183" s="444">
        <v>48.2</v>
      </c>
      <c r="N183" s="444">
        <v>10</v>
      </c>
      <c r="O183" s="447">
        <v>10.662790697674417</v>
      </c>
      <c r="P183" s="449">
        <v>-11.559431524547804</v>
      </c>
      <c r="Q183" s="447">
        <v>4.585</v>
      </c>
      <c r="R183" s="447">
        <v>0.95124481327800825</v>
      </c>
      <c r="S183" s="450">
        <v>4.82</v>
      </c>
      <c r="T183" s="450">
        <v>2.3255813953488369</v>
      </c>
      <c r="U183" s="240">
        <v>3</v>
      </c>
      <c r="V183" s="451">
        <v>1.7916666666666668E-2</v>
      </c>
      <c r="W183" s="450" t="s">
        <v>176</v>
      </c>
      <c r="X183" s="447">
        <v>17.616301009214567</v>
      </c>
      <c r="Y183" s="447">
        <v>-6.9535103115401498</v>
      </c>
      <c r="Z183" s="452">
        <v>54.689999999999991</v>
      </c>
      <c r="AA183" s="58">
        <f t="shared" ca="1" si="14"/>
        <v>80.347499999999997</v>
      </c>
      <c r="AB183" s="453">
        <f ca="1">Table29[[#This Row],[Earnings]]-Table29[[#This Row],[4-Week Average]]</f>
        <v>-34.497499999999995</v>
      </c>
    </row>
    <row r="184" spans="1:28" x14ac:dyDescent="0.35">
      <c r="A184" s="436">
        <v>44827</v>
      </c>
      <c r="B184" s="435">
        <v>2022</v>
      </c>
      <c r="C184" s="435">
        <v>39</v>
      </c>
      <c r="D184" s="435">
        <v>13</v>
      </c>
      <c r="E184" s="435" t="s">
        <v>305</v>
      </c>
      <c r="F184" s="436" t="s">
        <v>50</v>
      </c>
      <c r="G184" s="437">
        <v>0.72916666666666552</v>
      </c>
      <c r="H184" s="436" t="s">
        <v>230</v>
      </c>
      <c r="I184" s="435">
        <v>64.599999999999994</v>
      </c>
      <c r="J184" s="436" t="s">
        <v>80</v>
      </c>
      <c r="K184" s="438">
        <v>94.03</v>
      </c>
      <c r="L184" s="439">
        <v>2.5</v>
      </c>
      <c r="M184" s="435">
        <v>113.8</v>
      </c>
      <c r="N184" s="435">
        <v>13</v>
      </c>
      <c r="O184" s="438">
        <v>37.612000000000002</v>
      </c>
      <c r="P184" s="440">
        <v>16.491639893559249</v>
      </c>
      <c r="Q184" s="438">
        <v>7.233076923076923</v>
      </c>
      <c r="R184" s="438">
        <v>0.82627416520210895</v>
      </c>
      <c r="S184" s="441">
        <v>8.7538461538461529</v>
      </c>
      <c r="T184" s="441">
        <v>5.2</v>
      </c>
      <c r="U184" s="239">
        <v>2</v>
      </c>
      <c r="V184" s="442">
        <v>8.0128205128205138E-3</v>
      </c>
      <c r="W184" s="441" t="s">
        <v>176</v>
      </c>
      <c r="X184" s="438">
        <v>28.280506125405878</v>
      </c>
      <c r="Y184" s="438">
        <v>9.3314938745941234</v>
      </c>
      <c r="Z184" s="443">
        <v>53.037333333333329</v>
      </c>
      <c r="AA184" s="58">
        <f t="shared" ca="1" si="14"/>
        <v>63.397500000000001</v>
      </c>
      <c r="AB184" s="453">
        <f ca="1">Table29[[#This Row],[Earnings]]-Table29[[#This Row],[4-Week Average]]</f>
        <v>30.6325</v>
      </c>
    </row>
    <row r="185" spans="1:28" x14ac:dyDescent="0.35">
      <c r="A185" s="445">
        <v>44829</v>
      </c>
      <c r="B185" s="444">
        <v>2022</v>
      </c>
      <c r="C185" s="444">
        <v>39</v>
      </c>
      <c r="D185" s="444">
        <v>13</v>
      </c>
      <c r="E185" s="444" t="s">
        <v>305</v>
      </c>
      <c r="F185" s="445" t="s">
        <v>45</v>
      </c>
      <c r="G185" s="446">
        <v>0.77083333333333215</v>
      </c>
      <c r="H185" s="445" t="s">
        <v>236</v>
      </c>
      <c r="I185" s="444">
        <v>71.099999999999994</v>
      </c>
      <c r="J185" s="445" t="s">
        <v>80</v>
      </c>
      <c r="K185" s="447">
        <v>64.97</v>
      </c>
      <c r="L185" s="448">
        <v>3.5999999999999996</v>
      </c>
      <c r="M185" s="444">
        <v>88.5</v>
      </c>
      <c r="N185" s="444">
        <v>6</v>
      </c>
      <c r="O185" s="447">
        <v>18.047222222222224</v>
      </c>
      <c r="P185" s="449">
        <v>-7.8609566757268752</v>
      </c>
      <c r="Q185" s="447">
        <v>10.828333333333333</v>
      </c>
      <c r="R185" s="447">
        <v>0.73412429378531074</v>
      </c>
      <c r="S185" s="450">
        <v>14.75</v>
      </c>
      <c r="T185" s="450">
        <v>1.6666666666666667</v>
      </c>
      <c r="U185" s="240">
        <v>2</v>
      </c>
      <c r="V185" s="451">
        <v>2.4999999999999998E-2</v>
      </c>
      <c r="W185" s="450" t="s">
        <v>176</v>
      </c>
      <c r="X185" s="447">
        <v>18.047222222222224</v>
      </c>
      <c r="Y185" s="447">
        <v>0</v>
      </c>
      <c r="Z185" s="452">
        <v>52.38611111111112</v>
      </c>
      <c r="AA185" s="58">
        <f t="shared" ca="1" si="14"/>
        <v>60.01</v>
      </c>
      <c r="AB185" s="453">
        <f ca="1">Table29[[#This Row],[Earnings]]-Table29[[#This Row],[4-Week Average]]</f>
        <v>4.9600000000000009</v>
      </c>
    </row>
    <row r="186" spans="1:28" x14ac:dyDescent="0.35">
      <c r="A186" s="436">
        <v>44830</v>
      </c>
      <c r="B186" s="435">
        <v>2022</v>
      </c>
      <c r="C186" s="435">
        <v>40</v>
      </c>
      <c r="D186" s="435">
        <v>1</v>
      </c>
      <c r="E186" s="435" t="s">
        <v>327</v>
      </c>
      <c r="F186" s="436" t="s">
        <v>46</v>
      </c>
      <c r="G186" s="437">
        <v>0.70833333333333226</v>
      </c>
      <c r="H186" s="436" t="s">
        <v>236</v>
      </c>
      <c r="I186" s="435">
        <v>70.5</v>
      </c>
      <c r="J186" s="436" t="s">
        <v>85</v>
      </c>
      <c r="K186" s="438">
        <v>167.59</v>
      </c>
      <c r="L186" s="439">
        <v>6.8</v>
      </c>
      <c r="M186" s="435">
        <v>104.1</v>
      </c>
      <c r="N186" s="435">
        <v>16</v>
      </c>
      <c r="O186" s="438">
        <v>24.64558823529412</v>
      </c>
      <c r="P186" s="440">
        <v>5.1772549019607865</v>
      </c>
      <c r="Q186" s="438">
        <v>10.474375</v>
      </c>
      <c r="R186" s="438">
        <v>1.6098943323727186</v>
      </c>
      <c r="S186" s="441">
        <v>6.5062499999999996</v>
      </c>
      <c r="T186" s="441">
        <v>2.3529411764705883</v>
      </c>
      <c r="U186" s="239">
        <v>4</v>
      </c>
      <c r="V186" s="442">
        <v>1.7708333333333333E-2</v>
      </c>
      <c r="W186" s="441" t="s">
        <v>176</v>
      </c>
      <c r="X186" s="438">
        <v>22.463410793300739</v>
      </c>
      <c r="Y186" s="438">
        <v>2.1821774419933817</v>
      </c>
      <c r="Z186" s="443">
        <v>53.5718888888889</v>
      </c>
      <c r="AA186" s="58">
        <f t="shared" ca="1" si="14"/>
        <v>93.11</v>
      </c>
      <c r="AB186" s="453">
        <f ca="1">Table29[[#This Row],[Earnings]]-Table29[[#This Row],[4-Week Average]]</f>
        <v>74.48</v>
      </c>
    </row>
    <row r="187" spans="1:28" x14ac:dyDescent="0.35">
      <c r="A187" s="445">
        <v>44831</v>
      </c>
      <c r="B187" s="444">
        <v>2022</v>
      </c>
      <c r="C187" s="444">
        <v>40</v>
      </c>
      <c r="D187" s="444">
        <v>1</v>
      </c>
      <c r="E187" s="444" t="s">
        <v>327</v>
      </c>
      <c r="F187" s="445" t="s">
        <v>47</v>
      </c>
      <c r="G187" s="446">
        <v>0.74999999999999889</v>
      </c>
      <c r="H187" s="445" t="s">
        <v>236</v>
      </c>
      <c r="I187" s="444">
        <v>67.7</v>
      </c>
      <c r="J187" s="445" t="s">
        <v>85</v>
      </c>
      <c r="K187" s="447">
        <v>85.92</v>
      </c>
      <c r="L187" s="448">
        <v>4.3999999999999995</v>
      </c>
      <c r="M187" s="444">
        <v>138</v>
      </c>
      <c r="N187" s="444">
        <v>13</v>
      </c>
      <c r="O187" s="447">
        <v>19.527272727272731</v>
      </c>
      <c r="P187" s="449">
        <v>2.0192727272727318</v>
      </c>
      <c r="Q187" s="447">
        <v>6.609230769230769</v>
      </c>
      <c r="R187" s="447">
        <v>0.62260869565217392</v>
      </c>
      <c r="S187" s="450">
        <v>10.615384615384615</v>
      </c>
      <c r="T187" s="450">
        <v>2.954545454545455</v>
      </c>
      <c r="U187" s="240">
        <v>3</v>
      </c>
      <c r="V187" s="451">
        <v>1.4102564102564101E-2</v>
      </c>
      <c r="W187" s="450" t="s">
        <v>176</v>
      </c>
      <c r="X187" s="447">
        <v>16.531874791874795</v>
      </c>
      <c r="Y187" s="447">
        <v>2.9953979353979356</v>
      </c>
      <c r="Z187" s="452">
        <v>54.526555555555568</v>
      </c>
      <c r="AA187" s="58">
        <f t="shared" ca="1" si="14"/>
        <v>103.12750000000001</v>
      </c>
      <c r="AB187" s="453">
        <f ca="1">Table29[[#This Row],[Earnings]]-Table29[[#This Row],[4-Week Average]]</f>
        <v>-17.20750000000001</v>
      </c>
    </row>
    <row r="188" spans="1:28" x14ac:dyDescent="0.35">
      <c r="A188" s="436">
        <v>44833</v>
      </c>
      <c r="B188" s="435">
        <v>2022</v>
      </c>
      <c r="C188" s="435">
        <v>40</v>
      </c>
      <c r="D188" s="435">
        <v>1</v>
      </c>
      <c r="E188" s="435" t="s">
        <v>327</v>
      </c>
      <c r="F188" s="436" t="s">
        <v>49</v>
      </c>
      <c r="G188" s="437">
        <v>0.74999999999999889</v>
      </c>
      <c r="H188" s="436" t="s">
        <v>230</v>
      </c>
      <c r="I188" s="435">
        <v>61.1</v>
      </c>
      <c r="J188" s="436" t="s">
        <v>85</v>
      </c>
      <c r="K188" s="438">
        <v>101.93</v>
      </c>
      <c r="L188" s="439">
        <v>6.7</v>
      </c>
      <c r="M188" s="435">
        <v>108.9</v>
      </c>
      <c r="N188" s="435">
        <v>10</v>
      </c>
      <c r="O188" s="438">
        <v>15.213432835820896</v>
      </c>
      <c r="P188" s="440" t="s">
        <v>393</v>
      </c>
      <c r="Q188" s="438">
        <v>10.193000000000001</v>
      </c>
      <c r="R188" s="438">
        <v>0.93599632690541779</v>
      </c>
      <c r="S188" s="441">
        <v>10.89</v>
      </c>
      <c r="T188" s="441">
        <v>1.4925373134328357</v>
      </c>
      <c r="U188" s="239">
        <v>2</v>
      </c>
      <c r="V188" s="442">
        <v>2.7916666666666669E-2</v>
      </c>
      <c r="W188" s="441" t="s">
        <v>176</v>
      </c>
      <c r="X188" s="438">
        <v>17.60271641791045</v>
      </c>
      <c r="Y188" s="438">
        <v>-2.3892835820895542</v>
      </c>
      <c r="Z188" s="443">
        <v>54.427333333333344</v>
      </c>
      <c r="AA188" s="58">
        <f t="shared" ca="1" si="14"/>
        <v>105.10250000000001</v>
      </c>
      <c r="AB188" s="453">
        <f ca="1">Table29[[#This Row],[Earnings]]-Table29[[#This Row],[4-Week Average]]</f>
        <v>-3.1724999999999994</v>
      </c>
    </row>
    <row r="189" spans="1:28" x14ac:dyDescent="0.35">
      <c r="A189" s="445">
        <v>44834</v>
      </c>
      <c r="B189" s="444">
        <v>2022</v>
      </c>
      <c r="C189" s="444">
        <v>40</v>
      </c>
      <c r="D189" s="444">
        <v>1</v>
      </c>
      <c r="E189" s="444" t="s">
        <v>327</v>
      </c>
      <c r="F189" s="445" t="s">
        <v>50</v>
      </c>
      <c r="G189" s="446">
        <v>0.72916666666666552</v>
      </c>
      <c r="H189" s="445" t="s">
        <v>230</v>
      </c>
      <c r="I189" s="444">
        <v>63.1</v>
      </c>
      <c r="J189" s="445" t="s">
        <v>80</v>
      </c>
      <c r="K189" s="447">
        <v>85.460000000000008</v>
      </c>
      <c r="L189" s="448">
        <v>5.8</v>
      </c>
      <c r="M189" s="444">
        <v>36.5</v>
      </c>
      <c r="N189" s="444">
        <v>7</v>
      </c>
      <c r="O189" s="447">
        <v>14.734482758620691</v>
      </c>
      <c r="P189" s="449">
        <v>-14.919363395225455</v>
      </c>
      <c r="Q189" s="447">
        <v>12.20857142857143</v>
      </c>
      <c r="R189" s="447">
        <v>2.341369863013699</v>
      </c>
      <c r="S189" s="450">
        <v>5.2142857142857144</v>
      </c>
      <c r="T189" s="450">
        <v>1.2068965517241379</v>
      </c>
      <c r="U189" s="240">
        <v>2</v>
      </c>
      <c r="V189" s="451">
        <v>3.4523809523809519E-2</v>
      </c>
      <c r="W189" s="450" t="s">
        <v>176</v>
      </c>
      <c r="X189" s="447">
        <v>19.047300903119872</v>
      </c>
      <c r="Y189" s="447">
        <v>-4.3128181444991807</v>
      </c>
      <c r="Z189" s="452">
        <v>53.290333333333344</v>
      </c>
      <c r="AA189" s="58">
        <f t="shared" ca="1" si="14"/>
        <v>110.22499999999999</v>
      </c>
      <c r="AB189" s="453">
        <f ca="1">Table29[[#This Row],[Earnings]]-Table29[[#This Row],[4-Week Average]]</f>
        <v>-24.764999999999986</v>
      </c>
    </row>
    <row r="190" spans="1:28" x14ac:dyDescent="0.35">
      <c r="A190" s="436">
        <v>44836</v>
      </c>
      <c r="B190" s="435">
        <v>2022</v>
      </c>
      <c r="C190" s="435">
        <v>40</v>
      </c>
      <c r="D190" s="435">
        <v>1</v>
      </c>
      <c r="E190" s="435" t="s">
        <v>327</v>
      </c>
      <c r="F190" s="436" t="s">
        <v>45</v>
      </c>
      <c r="G190" s="437">
        <v>0.77083333333333215</v>
      </c>
      <c r="H190" s="436" t="s">
        <v>230</v>
      </c>
      <c r="I190" s="435">
        <v>57.3</v>
      </c>
      <c r="J190" s="436" t="s">
        <v>80</v>
      </c>
      <c r="K190" s="438">
        <v>45.83</v>
      </c>
      <c r="L190" s="439">
        <v>5.2</v>
      </c>
      <c r="M190" s="435">
        <v>59.7</v>
      </c>
      <c r="N190" s="435">
        <v>4</v>
      </c>
      <c r="O190" s="438">
        <v>8.8134615384615387</v>
      </c>
      <c r="P190" s="440">
        <v>-13.293945868945869</v>
      </c>
      <c r="Q190" s="438">
        <v>11.4575</v>
      </c>
      <c r="R190" s="438">
        <v>0.76767169179229477</v>
      </c>
      <c r="S190" s="441">
        <v>14.925000000000001</v>
      </c>
      <c r="T190" s="441">
        <v>0.76923076923076916</v>
      </c>
      <c r="U190" s="239">
        <v>2</v>
      </c>
      <c r="V190" s="442">
        <v>5.4166666666666669E-2</v>
      </c>
      <c r="W190" s="441" t="s">
        <v>176</v>
      </c>
      <c r="X190" s="438">
        <v>17.059273142112126</v>
      </c>
      <c r="Y190" s="438">
        <v>-8.2458116036505871</v>
      </c>
      <c r="Z190" s="443">
        <v>53.799555555555564</v>
      </c>
      <c r="AA190" s="58">
        <f t="shared" ca="1" si="14"/>
        <v>79.785000000000011</v>
      </c>
      <c r="AB190" s="453">
        <f ca="1">Table29[[#This Row],[Earnings]]-Table29[[#This Row],[4-Week Average]]</f>
        <v>-33.955000000000013</v>
      </c>
    </row>
    <row r="191" spans="1:28" x14ac:dyDescent="0.35">
      <c r="A191" s="445">
        <v>44837</v>
      </c>
      <c r="B191" s="444">
        <v>2022</v>
      </c>
      <c r="C191" s="444">
        <v>41</v>
      </c>
      <c r="D191" s="444">
        <v>2</v>
      </c>
      <c r="E191" s="444" t="s">
        <v>327</v>
      </c>
      <c r="F191" s="445" t="s">
        <v>46</v>
      </c>
      <c r="G191" s="446">
        <v>0.74999999999999889</v>
      </c>
      <c r="H191" s="445" t="s">
        <v>230</v>
      </c>
      <c r="I191" s="444">
        <v>62.6</v>
      </c>
      <c r="J191" s="445" t="s">
        <v>82</v>
      </c>
      <c r="K191" s="447">
        <v>82.9</v>
      </c>
      <c r="L191" s="448">
        <v>2.2999999999999998</v>
      </c>
      <c r="M191" s="444">
        <v>87.3</v>
      </c>
      <c r="N191" s="444">
        <v>12</v>
      </c>
      <c r="O191" s="447">
        <v>36.04347826086957</v>
      </c>
      <c r="P191" s="449">
        <v>12.982253771073655</v>
      </c>
      <c r="Q191" s="447">
        <v>6.9083333333333341</v>
      </c>
      <c r="R191" s="447">
        <v>0.94959908361970224</v>
      </c>
      <c r="S191" s="450">
        <v>7.2749999999999995</v>
      </c>
      <c r="T191" s="450">
        <v>5.2173913043478262</v>
      </c>
      <c r="U191" s="240">
        <v>3</v>
      </c>
      <c r="V191" s="451">
        <v>7.9861111111111105E-3</v>
      </c>
      <c r="W191" s="450" t="s">
        <v>176</v>
      </c>
      <c r="X191" s="447">
        <v>25.660106415887583</v>
      </c>
      <c r="Y191" s="447">
        <v>10.383371844981987</v>
      </c>
      <c r="Z191" s="452">
        <v>54.049222222222234</v>
      </c>
      <c r="AA191" s="58">
        <f t="shared" ca="1" si="14"/>
        <v>79.03</v>
      </c>
      <c r="AB191" s="453">
        <f ca="1">Table29[[#This Row],[Earnings]]-Table29[[#This Row],[4-Week Average]]</f>
        <v>3.8700000000000045</v>
      </c>
    </row>
    <row r="192" spans="1:28" x14ac:dyDescent="0.35">
      <c r="A192" s="436">
        <v>44839</v>
      </c>
      <c r="B192" s="435">
        <v>2022</v>
      </c>
      <c r="C192" s="435">
        <v>41</v>
      </c>
      <c r="D192" s="435">
        <v>2</v>
      </c>
      <c r="E192" s="435" t="s">
        <v>327</v>
      </c>
      <c r="F192" s="436" t="s">
        <v>48</v>
      </c>
      <c r="G192" s="437">
        <v>0.72916666666666552</v>
      </c>
      <c r="H192" s="436" t="s">
        <v>236</v>
      </c>
      <c r="I192" s="435">
        <v>73.099999999999994</v>
      </c>
      <c r="J192" s="436" t="s">
        <v>85</v>
      </c>
      <c r="K192" s="438">
        <v>132.1</v>
      </c>
      <c r="L192" s="439">
        <v>7.6</v>
      </c>
      <c r="M192" s="435">
        <v>143.19999999999999</v>
      </c>
      <c r="N192" s="435">
        <v>13</v>
      </c>
      <c r="O192" s="438">
        <v>17.381578947368421</v>
      </c>
      <c r="P192" s="440">
        <v>9.5874613003095988</v>
      </c>
      <c r="Q192" s="438">
        <v>10.161538461538461</v>
      </c>
      <c r="R192" s="438">
        <v>0.92248603351955316</v>
      </c>
      <c r="S192" s="441">
        <v>11.015384615384615</v>
      </c>
      <c r="T192" s="441">
        <v>1.7105263157894737</v>
      </c>
      <c r="U192" s="239">
        <v>2</v>
      </c>
      <c r="V192" s="442">
        <v>2.4358974358974356E-2</v>
      </c>
      <c r="W192" s="441" t="s">
        <v>176</v>
      </c>
      <c r="X192" s="438">
        <v>17.381578947368421</v>
      </c>
      <c r="Y192" s="438">
        <v>0</v>
      </c>
      <c r="Z192" s="443">
        <v>53.754444444444459</v>
      </c>
      <c r="AA192" s="58">
        <f t="shared" ca="1" si="14"/>
        <v>86.572500000000005</v>
      </c>
      <c r="AB192" s="453">
        <f ca="1">Table29[[#This Row],[Earnings]]-Table29[[#This Row],[4-Week Average]]</f>
        <v>45.527499999999989</v>
      </c>
    </row>
    <row r="193" spans="1:28" x14ac:dyDescent="0.35">
      <c r="A193" s="445">
        <v>44840</v>
      </c>
      <c r="B193" s="444">
        <v>2022</v>
      </c>
      <c r="C193" s="444">
        <v>41</v>
      </c>
      <c r="D193" s="444">
        <v>2</v>
      </c>
      <c r="E193" s="444" t="s">
        <v>327</v>
      </c>
      <c r="F193" s="445" t="s">
        <v>49</v>
      </c>
      <c r="G193" s="446">
        <v>0.74999999999999889</v>
      </c>
      <c r="H193" s="445" t="s">
        <v>236</v>
      </c>
      <c r="I193" s="444">
        <v>69.5</v>
      </c>
      <c r="J193" s="445" t="s">
        <v>80</v>
      </c>
      <c r="K193" s="447">
        <v>177.31</v>
      </c>
      <c r="L193" s="448">
        <v>6.2</v>
      </c>
      <c r="M193" s="444">
        <v>125.4</v>
      </c>
      <c r="N193" s="444">
        <v>14</v>
      </c>
      <c r="O193" s="447">
        <v>28.598387096774193</v>
      </c>
      <c r="P193" s="449">
        <v>1.75</v>
      </c>
      <c r="Q193" s="447">
        <v>12.665000000000001</v>
      </c>
      <c r="R193" s="447">
        <v>1.4139553429027112</v>
      </c>
      <c r="S193" s="450">
        <v>8.9571428571428573</v>
      </c>
      <c r="T193" s="450">
        <v>2.258064516129032</v>
      </c>
      <c r="U193" s="240">
        <v>3</v>
      </c>
      <c r="V193" s="451">
        <v>1.8452380952380953E-2</v>
      </c>
      <c r="W193" s="450" t="s">
        <v>176</v>
      </c>
      <c r="X193" s="447">
        <v>25.855566097406705</v>
      </c>
      <c r="Y193" s="447">
        <v>2.7428209993674884</v>
      </c>
      <c r="Z193" s="452">
        <v>54.107111111111116</v>
      </c>
      <c r="AA193" s="58">
        <f t="shared" ca="1" si="14"/>
        <v>109.53500000000001</v>
      </c>
      <c r="AB193" s="453">
        <f ca="1">Table29[[#This Row],[Earnings]]-Table29[[#This Row],[4-Week Average]]</f>
        <v>67.774999999999991</v>
      </c>
    </row>
    <row r="194" spans="1:28" x14ac:dyDescent="0.35">
      <c r="A194" s="436">
        <v>44841</v>
      </c>
      <c r="B194" s="435">
        <v>2022</v>
      </c>
      <c r="C194" s="435">
        <v>41</v>
      </c>
      <c r="D194" s="435">
        <v>2</v>
      </c>
      <c r="E194" s="435" t="s">
        <v>327</v>
      </c>
      <c r="F194" s="436" t="s">
        <v>50</v>
      </c>
      <c r="G194" s="437">
        <v>0.45833333333333259</v>
      </c>
      <c r="H194" s="436" t="s">
        <v>230</v>
      </c>
      <c r="I194" s="435">
        <v>57.2</v>
      </c>
      <c r="J194" s="436" t="s">
        <v>80</v>
      </c>
      <c r="K194" s="438">
        <v>208.98999999999998</v>
      </c>
      <c r="L194" s="439">
        <v>7.6</v>
      </c>
      <c r="M194" s="435">
        <v>170.7</v>
      </c>
      <c r="N194" s="435">
        <v>22</v>
      </c>
      <c r="O194" s="438">
        <v>27.498684210526314</v>
      </c>
      <c r="P194" s="440">
        <v>5.3045197542928939</v>
      </c>
      <c r="Q194" s="438">
        <v>9.4995454545454532</v>
      </c>
      <c r="R194" s="438">
        <v>1.2243116578793205</v>
      </c>
      <c r="S194" s="441">
        <v>7.7590909090909088</v>
      </c>
      <c r="T194" s="441">
        <v>2.8947368421052633</v>
      </c>
      <c r="U194" s="239">
        <v>3</v>
      </c>
      <c r="V194" s="442">
        <v>1.4393939393939395E-2</v>
      </c>
      <c r="W194" s="441" t="s">
        <v>176</v>
      </c>
      <c r="X194" s="438">
        <v>26.913230994152045</v>
      </c>
      <c r="Y194" s="438">
        <v>0.58545321637426895</v>
      </c>
      <c r="Z194" s="443">
        <v>56.429222222222222</v>
      </c>
      <c r="AA194" s="58">
        <f t="shared" ca="1" si="14"/>
        <v>150.32499999999999</v>
      </c>
      <c r="AB194" s="453">
        <f ca="1">Table29[[#This Row],[Earnings]]-Table29[[#This Row],[4-Week Average]]</f>
        <v>58.664999999999992</v>
      </c>
    </row>
    <row r="195" spans="1:28" x14ac:dyDescent="0.35">
      <c r="A195" s="445">
        <v>44842</v>
      </c>
      <c r="B195" s="444">
        <v>2022</v>
      </c>
      <c r="C195" s="444">
        <v>41</v>
      </c>
      <c r="D195" s="444">
        <v>2</v>
      </c>
      <c r="E195" s="444" t="s">
        <v>327</v>
      </c>
      <c r="F195" s="445" t="s">
        <v>51</v>
      </c>
      <c r="G195" s="446">
        <v>0.60416666666666574</v>
      </c>
      <c r="H195" s="445" t="s">
        <v>236</v>
      </c>
      <c r="I195" s="444">
        <v>57.2</v>
      </c>
      <c r="J195" s="445" t="s">
        <v>82</v>
      </c>
      <c r="K195" s="447">
        <v>206.45999999999998</v>
      </c>
      <c r="L195" s="448">
        <v>5.9</v>
      </c>
      <c r="M195" s="444">
        <v>167.9</v>
      </c>
      <c r="N195" s="444">
        <v>21</v>
      </c>
      <c r="O195" s="447">
        <v>34.993220338983043</v>
      </c>
      <c r="P195" s="449" t="s">
        <v>393</v>
      </c>
      <c r="Q195" s="447">
        <v>9.831428571428571</v>
      </c>
      <c r="R195" s="447">
        <v>1.2296605122096484</v>
      </c>
      <c r="S195" s="450">
        <v>7.9952380952380953</v>
      </c>
      <c r="T195" s="450">
        <v>3.5593220338983049</v>
      </c>
      <c r="U195" s="240">
        <v>5</v>
      </c>
      <c r="V195" s="451">
        <v>1.1706349206349206E-2</v>
      </c>
      <c r="W195" s="450" t="s">
        <v>176</v>
      </c>
      <c r="X195" s="447">
        <v>32.706034253261159</v>
      </c>
      <c r="Y195" s="447">
        <v>2.2871860857218849</v>
      </c>
      <c r="Z195" s="452">
        <v>58.723222222222226</v>
      </c>
      <c r="AA195" s="58">
        <f t="shared" ca="1" si="14"/>
        <v>181.21499999999997</v>
      </c>
      <c r="AB195" s="453">
        <f ca="1">Table29[[#This Row],[Earnings]]-Table29[[#This Row],[4-Week Average]]</f>
        <v>25.245000000000005</v>
      </c>
    </row>
    <row r="196" spans="1:28" x14ac:dyDescent="0.35">
      <c r="A196" s="436">
        <v>44845</v>
      </c>
      <c r="B196" s="435">
        <v>2022</v>
      </c>
      <c r="C196" s="435">
        <v>42</v>
      </c>
      <c r="D196" s="435">
        <v>3</v>
      </c>
      <c r="E196" s="435" t="s">
        <v>327</v>
      </c>
      <c r="F196" s="436" t="s">
        <v>47</v>
      </c>
      <c r="G196" s="437">
        <v>0.58333333333333237</v>
      </c>
      <c r="H196" s="436" t="s">
        <v>236</v>
      </c>
      <c r="I196" s="435">
        <v>69.5</v>
      </c>
      <c r="J196" s="436" t="s">
        <v>82</v>
      </c>
      <c r="K196" s="438">
        <v>73.02</v>
      </c>
      <c r="L196" s="439">
        <v>10.099999999999998</v>
      </c>
      <c r="M196" s="435">
        <v>70.3</v>
      </c>
      <c r="N196" s="435">
        <v>10</v>
      </c>
      <c r="O196" s="438">
        <v>7.2297029702970308</v>
      </c>
      <c r="P196" s="440">
        <v>-21.211206120612058</v>
      </c>
      <c r="Q196" s="438">
        <v>7.3019999999999996</v>
      </c>
      <c r="R196" s="438">
        <v>1.0386913229018493</v>
      </c>
      <c r="S196" s="441">
        <v>7.0299999999999994</v>
      </c>
      <c r="T196" s="441">
        <v>0.99009900990099031</v>
      </c>
      <c r="U196" s="239">
        <v>2</v>
      </c>
      <c r="V196" s="442">
        <v>4.2083333333333327E-2</v>
      </c>
      <c r="W196" s="441" t="s">
        <v>176</v>
      </c>
      <c r="X196" s="438">
        <v>11.682034947680814</v>
      </c>
      <c r="Y196" s="438">
        <v>-4.4523319773837828</v>
      </c>
      <c r="Z196" s="443">
        <v>56.737111111111126</v>
      </c>
      <c r="AA196" s="58">
        <f t="shared" ref="AA196:AA259" ca="1" si="15">AVERAGE(OFFSET(K196,-3,0,4,1))</f>
        <v>166.44499999999999</v>
      </c>
      <c r="AB196" s="453">
        <f ca="1">Table29[[#This Row],[Earnings]]-Table29[[#This Row],[4-Week Average]]</f>
        <v>-93.424999999999997</v>
      </c>
    </row>
    <row r="197" spans="1:28" x14ac:dyDescent="0.35">
      <c r="A197" s="445">
        <v>44846</v>
      </c>
      <c r="B197" s="444">
        <v>2022</v>
      </c>
      <c r="C197" s="444">
        <v>42</v>
      </c>
      <c r="D197" s="444">
        <v>3</v>
      </c>
      <c r="E197" s="444" t="s">
        <v>327</v>
      </c>
      <c r="F197" s="445" t="s">
        <v>48</v>
      </c>
      <c r="G197" s="446">
        <v>0.72916666666666552</v>
      </c>
      <c r="H197" s="445" t="s">
        <v>236</v>
      </c>
      <c r="I197" s="444">
        <v>62.6</v>
      </c>
      <c r="J197" s="445" t="s">
        <v>80</v>
      </c>
      <c r="K197" s="447">
        <v>90.95</v>
      </c>
      <c r="L197" s="448">
        <v>9.6000000000000014</v>
      </c>
      <c r="M197" s="444">
        <v>72.400000000000006</v>
      </c>
      <c r="N197" s="444">
        <v>9</v>
      </c>
      <c r="O197" s="447">
        <v>9.4739583333333321</v>
      </c>
      <c r="P197" s="449">
        <v>-13.254613095238096</v>
      </c>
      <c r="Q197" s="447">
        <v>10.105555555555556</v>
      </c>
      <c r="R197" s="447">
        <v>1.2562154696132597</v>
      </c>
      <c r="S197" s="450">
        <v>8.0444444444444443</v>
      </c>
      <c r="T197" s="450">
        <v>0.93749999999999989</v>
      </c>
      <c r="U197" s="240">
        <v>4</v>
      </c>
      <c r="V197" s="451">
        <v>4.4444444444444453E-2</v>
      </c>
      <c r="W197" s="450" t="s">
        <v>176</v>
      </c>
      <c r="X197" s="447">
        <v>13.571307524875621</v>
      </c>
      <c r="Y197" s="447">
        <v>-4.097349191542289</v>
      </c>
      <c r="Z197" s="452">
        <v>57.747666666666674</v>
      </c>
      <c r="AA197" s="58">
        <f t="shared" ca="1" si="15"/>
        <v>144.85499999999999</v>
      </c>
      <c r="AB197" s="453">
        <f ca="1">Table29[[#This Row],[Earnings]]-Table29[[#This Row],[4-Week Average]]</f>
        <v>-53.904999999999987</v>
      </c>
    </row>
    <row r="198" spans="1:28" x14ac:dyDescent="0.35">
      <c r="A198" s="436">
        <v>44848</v>
      </c>
      <c r="B198" s="435">
        <v>2022</v>
      </c>
      <c r="C198" s="435">
        <v>42</v>
      </c>
      <c r="D198" s="435">
        <v>3</v>
      </c>
      <c r="E198" s="435" t="s">
        <v>327</v>
      </c>
      <c r="F198" s="436" t="s">
        <v>50</v>
      </c>
      <c r="G198" s="437">
        <v>0.72916666666666552</v>
      </c>
      <c r="H198" s="436" t="s">
        <v>236</v>
      </c>
      <c r="I198" s="435">
        <v>65.7</v>
      </c>
      <c r="J198" s="436" t="s">
        <v>80</v>
      </c>
      <c r="K198" s="438">
        <v>177.53</v>
      </c>
      <c r="L198" s="439">
        <v>6.18</v>
      </c>
      <c r="M198" s="435">
        <v>140.39999999999998</v>
      </c>
      <c r="N198" s="435">
        <v>12</v>
      </c>
      <c r="O198" s="438">
        <v>28.726537216828479</v>
      </c>
      <c r="P198" s="440">
        <v>4.7641995091640936</v>
      </c>
      <c r="Q198" s="438">
        <v>14.794166666666667</v>
      </c>
      <c r="R198" s="438">
        <v>1.2644586894586898</v>
      </c>
      <c r="S198" s="441">
        <v>11.699999999999998</v>
      </c>
      <c r="T198" s="441">
        <v>1.941747572815534</v>
      </c>
      <c r="U198" s="239">
        <v>4</v>
      </c>
      <c r="V198" s="442">
        <v>2.1458333333333333E-2</v>
      </c>
      <c r="W198" s="441" t="s">
        <v>176</v>
      </c>
      <c r="X198" s="438">
        <v>25.250395053825475</v>
      </c>
      <c r="Y198" s="438">
        <v>3.4761421630030043</v>
      </c>
      <c r="Z198" s="443">
        <v>57.163666666666671</v>
      </c>
      <c r="AA198" s="58">
        <f t="shared" ca="1" si="15"/>
        <v>136.98999999999998</v>
      </c>
      <c r="AB198" s="453">
        <f ca="1">Table29[[#This Row],[Earnings]]-Table29[[#This Row],[4-Week Average]]</f>
        <v>40.54000000000002</v>
      </c>
    </row>
    <row r="199" spans="1:28" x14ac:dyDescent="0.35">
      <c r="A199" s="445">
        <v>44869</v>
      </c>
      <c r="B199" s="444">
        <v>2022</v>
      </c>
      <c r="C199" s="444">
        <v>45</v>
      </c>
      <c r="D199" s="444">
        <v>6</v>
      </c>
      <c r="E199" s="444" t="s">
        <v>327</v>
      </c>
      <c r="F199" s="445" t="s">
        <v>50</v>
      </c>
      <c r="G199" s="446">
        <v>0.74999999999999889</v>
      </c>
      <c r="H199" s="445" t="s">
        <v>230</v>
      </c>
      <c r="I199" s="444">
        <v>73.400000000000006</v>
      </c>
      <c r="J199" s="445" t="s">
        <v>80</v>
      </c>
      <c r="K199" s="447">
        <v>95.210000000000008</v>
      </c>
      <c r="L199" s="448">
        <v>5.5</v>
      </c>
      <c r="M199" s="444">
        <v>144</v>
      </c>
      <c r="N199" s="444">
        <v>9</v>
      </c>
      <c r="O199" s="447">
        <v>17.310909090909092</v>
      </c>
      <c r="P199" s="449">
        <v>-7.8424784940463148</v>
      </c>
      <c r="Q199" s="447">
        <v>10.578888888888891</v>
      </c>
      <c r="R199" s="447">
        <v>0.66118055555555566</v>
      </c>
      <c r="S199" s="450">
        <v>16</v>
      </c>
      <c r="T199" s="450">
        <v>1.6363636363636365</v>
      </c>
      <c r="U199" s="240">
        <v>4</v>
      </c>
      <c r="V199" s="451">
        <v>2.5462962962962965E-2</v>
      </c>
      <c r="W199" s="450" t="s">
        <v>176</v>
      </c>
      <c r="X199" s="447">
        <v>23.946852747537971</v>
      </c>
      <c r="Y199" s="447">
        <v>-6.6359436566288785</v>
      </c>
      <c r="Z199" s="452">
        <v>55.434000000000005</v>
      </c>
      <c r="AA199" s="58">
        <f t="shared" ca="1" si="15"/>
        <v>109.17750000000001</v>
      </c>
      <c r="AB199" s="453">
        <f ca="1">Table29[[#This Row],[Earnings]]-Table29[[#This Row],[4-Week Average]]</f>
        <v>-13.967500000000001</v>
      </c>
    </row>
    <row r="200" spans="1:28" x14ac:dyDescent="0.35">
      <c r="A200" s="436">
        <v>44872</v>
      </c>
      <c r="B200" s="435">
        <v>2022</v>
      </c>
      <c r="C200" s="435">
        <v>46</v>
      </c>
      <c r="D200" s="435">
        <v>7</v>
      </c>
      <c r="E200" s="435" t="s">
        <v>327</v>
      </c>
      <c r="F200" s="436" t="s">
        <v>46</v>
      </c>
      <c r="G200" s="437">
        <v>0.70833333333333226</v>
      </c>
      <c r="H200" s="436" t="s">
        <v>230</v>
      </c>
      <c r="I200" s="435">
        <v>44.9</v>
      </c>
      <c r="J200" s="436" t="s">
        <v>85</v>
      </c>
      <c r="K200" s="438">
        <v>129.17000000000002</v>
      </c>
      <c r="L200" s="439">
        <v>6.1999999999999993</v>
      </c>
      <c r="M200" s="435">
        <v>112.1</v>
      </c>
      <c r="N200" s="435">
        <v>11</v>
      </c>
      <c r="O200" s="438">
        <v>20.833870967741941</v>
      </c>
      <c r="P200" s="440">
        <v>-1.2230898165717861</v>
      </c>
      <c r="Q200" s="438">
        <v>11.742727272727274</v>
      </c>
      <c r="R200" s="438">
        <v>1.1522747546833187</v>
      </c>
      <c r="S200" s="441">
        <v>10.19090909090909</v>
      </c>
      <c r="T200" s="441">
        <v>1.774193548387097</v>
      </c>
      <c r="U200" s="239">
        <v>3</v>
      </c>
      <c r="V200" s="442">
        <v>2.3484848484848483E-2</v>
      </c>
      <c r="W200" s="441" t="s">
        <v>176</v>
      </c>
      <c r="X200" s="438">
        <v>24.609907387766043</v>
      </c>
      <c r="Y200" s="438">
        <v>-3.7760364200241021</v>
      </c>
      <c r="Z200" s="443">
        <v>54.967555555555556</v>
      </c>
      <c r="AA200" s="58">
        <f t="shared" ca="1" si="15"/>
        <v>123.21500000000002</v>
      </c>
      <c r="AB200" s="453">
        <f ca="1">Table29[[#This Row],[Earnings]]-Table29[[#This Row],[4-Week Average]]</f>
        <v>5.9549999999999983</v>
      </c>
    </row>
    <row r="201" spans="1:28" x14ac:dyDescent="0.35">
      <c r="A201" s="445">
        <v>44874</v>
      </c>
      <c r="B201" s="444">
        <v>2022</v>
      </c>
      <c r="C201" s="444">
        <v>46</v>
      </c>
      <c r="D201" s="444">
        <v>7</v>
      </c>
      <c r="E201" s="444" t="s">
        <v>327</v>
      </c>
      <c r="F201" s="445" t="s">
        <v>48</v>
      </c>
      <c r="G201" s="446">
        <v>0.72916666666666552</v>
      </c>
      <c r="H201" s="445" t="s">
        <v>230</v>
      </c>
      <c r="I201" s="444">
        <v>65.099999999999994</v>
      </c>
      <c r="J201" s="445" t="s">
        <v>82</v>
      </c>
      <c r="K201" s="447">
        <v>45.09</v>
      </c>
      <c r="L201" s="448">
        <v>6.2</v>
      </c>
      <c r="M201" s="444">
        <v>26.1</v>
      </c>
      <c r="N201" s="444">
        <v>5</v>
      </c>
      <c r="O201" s="447">
        <v>7.2725806451612911</v>
      </c>
      <c r="P201" s="449" t="s">
        <v>393</v>
      </c>
      <c r="Q201" s="447">
        <v>9.0180000000000007</v>
      </c>
      <c r="R201" s="447">
        <v>1.7275862068965517</v>
      </c>
      <c r="S201" s="450">
        <v>5.2200000000000006</v>
      </c>
      <c r="T201" s="450">
        <v>0.80645161290322576</v>
      </c>
      <c r="U201" s="240">
        <v>2</v>
      </c>
      <c r="V201" s="451">
        <v>5.1666666666666666E-2</v>
      </c>
      <c r="W201" s="450" t="s">
        <v>176</v>
      </c>
      <c r="X201" s="447">
        <v>14.047487233777559</v>
      </c>
      <c r="Y201" s="447">
        <v>-6.7749065886162683</v>
      </c>
      <c r="Z201" s="452">
        <v>54.357444444444432</v>
      </c>
      <c r="AA201" s="58">
        <f t="shared" ca="1" si="15"/>
        <v>111.75</v>
      </c>
      <c r="AB201" s="453">
        <f ca="1">Table29[[#This Row],[Earnings]]-Table29[[#This Row],[4-Week Average]]</f>
        <v>-66.66</v>
      </c>
    </row>
    <row r="202" spans="1:28" x14ac:dyDescent="0.35">
      <c r="A202" s="436">
        <v>44875</v>
      </c>
      <c r="B202" s="435">
        <v>2022</v>
      </c>
      <c r="C202" s="435">
        <v>46</v>
      </c>
      <c r="D202" s="435">
        <v>7</v>
      </c>
      <c r="E202" s="435" t="s">
        <v>327</v>
      </c>
      <c r="F202" s="436" t="s">
        <v>49</v>
      </c>
      <c r="G202" s="437">
        <v>0.74999999999999889</v>
      </c>
      <c r="H202" s="436" t="s">
        <v>236</v>
      </c>
      <c r="I202" s="435">
        <v>68.3</v>
      </c>
      <c r="J202" s="436" t="s">
        <v>85</v>
      </c>
      <c r="K202" s="438">
        <v>81.86</v>
      </c>
      <c r="L202" s="439">
        <v>5.5</v>
      </c>
      <c r="M202" s="435">
        <v>112.9</v>
      </c>
      <c r="N202" s="435">
        <v>9</v>
      </c>
      <c r="O202" s="438">
        <v>14.883636363636363</v>
      </c>
      <c r="P202" s="440">
        <v>-0.32979647218453323</v>
      </c>
      <c r="Q202" s="438">
        <v>9.0955555555555563</v>
      </c>
      <c r="R202" s="438">
        <v>0.72506643046944197</v>
      </c>
      <c r="S202" s="441">
        <v>12.544444444444444</v>
      </c>
      <c r="T202" s="441">
        <v>1.6363636363636365</v>
      </c>
      <c r="U202" s="239">
        <v>2</v>
      </c>
      <c r="V202" s="442">
        <v>2.5462962962962965E-2</v>
      </c>
      <c r="W202" s="441" t="s">
        <v>176</v>
      </c>
      <c r="X202" s="438">
        <v>20.86601173020528</v>
      </c>
      <c r="Y202" s="438">
        <v>-5.9823753665689168</v>
      </c>
      <c r="Z202" s="443">
        <v>55.266999999999989</v>
      </c>
      <c r="AA202" s="58">
        <f t="shared" ca="1" si="15"/>
        <v>87.83250000000001</v>
      </c>
      <c r="AB202" s="453">
        <f ca="1">Table29[[#This Row],[Earnings]]-Table29[[#This Row],[4-Week Average]]</f>
        <v>-5.9725000000000108</v>
      </c>
    </row>
    <row r="203" spans="1:28" x14ac:dyDescent="0.35">
      <c r="A203" s="445">
        <v>44876</v>
      </c>
      <c r="B203" s="444">
        <v>2022</v>
      </c>
      <c r="C203" s="444">
        <v>46</v>
      </c>
      <c r="D203" s="444">
        <v>7</v>
      </c>
      <c r="E203" s="444" t="s">
        <v>327</v>
      </c>
      <c r="F203" s="445" t="s">
        <v>50</v>
      </c>
      <c r="G203" s="446">
        <v>0.74999999999999889</v>
      </c>
      <c r="H203" s="445" t="s">
        <v>236</v>
      </c>
      <c r="I203" s="444">
        <v>70</v>
      </c>
      <c r="J203" s="445" t="s">
        <v>80</v>
      </c>
      <c r="K203" s="447">
        <v>138.39000000000001</v>
      </c>
      <c r="L203" s="448">
        <v>6.43</v>
      </c>
      <c r="M203" s="444">
        <v>122.30000000000001</v>
      </c>
      <c r="N203" s="444">
        <v>11</v>
      </c>
      <c r="O203" s="447">
        <v>21.522550544323487</v>
      </c>
      <c r="P203" s="449">
        <v>-2.062341341822659</v>
      </c>
      <c r="Q203" s="447">
        <v>12.580909090909092</v>
      </c>
      <c r="R203" s="447">
        <v>1.1315617334423549</v>
      </c>
      <c r="S203" s="450">
        <v>11.118181818181819</v>
      </c>
      <c r="T203" s="450">
        <v>1.7107309486780715</v>
      </c>
      <c r="U203" s="240">
        <v>4</v>
      </c>
      <c r="V203" s="451">
        <v>2.4356060606060603E-2</v>
      </c>
      <c r="W203" s="450" t="s">
        <v>176</v>
      </c>
      <c r="X203" s="447">
        <v>22.483122528976669</v>
      </c>
      <c r="Y203" s="447">
        <v>-0.96057198465318194</v>
      </c>
      <c r="Z203" s="452">
        <v>56.804666666666655</v>
      </c>
      <c r="AA203" s="58">
        <f t="shared" ca="1" si="15"/>
        <v>98.627499999999998</v>
      </c>
      <c r="AB203" s="453">
        <f ca="1">Table29[[#This Row],[Earnings]]-Table29[[#This Row],[4-Week Average]]</f>
        <v>39.762500000000017</v>
      </c>
    </row>
    <row r="204" spans="1:28" x14ac:dyDescent="0.35">
      <c r="A204" s="436">
        <v>44882</v>
      </c>
      <c r="B204" s="435">
        <v>2022</v>
      </c>
      <c r="C204" s="435">
        <v>47</v>
      </c>
      <c r="D204" s="435">
        <v>8</v>
      </c>
      <c r="E204" s="435" t="s">
        <v>327</v>
      </c>
      <c r="F204" s="436" t="s">
        <v>49</v>
      </c>
      <c r="G204" s="437">
        <v>0.70833333333333226</v>
      </c>
      <c r="H204" s="436" t="s">
        <v>230</v>
      </c>
      <c r="I204" s="435">
        <v>33.6</v>
      </c>
      <c r="J204" s="436" t="s">
        <v>80</v>
      </c>
      <c r="K204" s="438">
        <v>112.02999999999999</v>
      </c>
      <c r="L204" s="439">
        <v>5.2</v>
      </c>
      <c r="M204" s="435">
        <v>88.600000000000009</v>
      </c>
      <c r="N204" s="435">
        <v>9</v>
      </c>
      <c r="O204" s="438">
        <v>21.544230769230765</v>
      </c>
      <c r="P204" s="440">
        <v>-6.1791563275434278</v>
      </c>
      <c r="Q204" s="438">
        <v>12.447777777777777</v>
      </c>
      <c r="R204" s="438">
        <v>1.2644469525959365</v>
      </c>
      <c r="S204" s="441">
        <v>9.844444444444445</v>
      </c>
      <c r="T204" s="441">
        <v>1.7307692307692306</v>
      </c>
      <c r="U204" s="239">
        <v>4</v>
      </c>
      <c r="V204" s="442">
        <v>2.4074074074074078E-2</v>
      </c>
      <c r="W204" s="441" t="s">
        <v>176</v>
      </c>
      <c r="X204" s="438">
        <v>15.912805605247465</v>
      </c>
      <c r="Y204" s="438">
        <v>5.6314251639833</v>
      </c>
      <c r="Z204" s="443">
        <v>54.703111111111106</v>
      </c>
      <c r="AA204" s="58">
        <f t="shared" ca="1" si="15"/>
        <v>94.342500000000001</v>
      </c>
      <c r="AB204" s="453">
        <f ca="1">Table29[[#This Row],[Earnings]]-Table29[[#This Row],[4-Week Average]]</f>
        <v>17.687499999999986</v>
      </c>
    </row>
    <row r="205" spans="1:28" x14ac:dyDescent="0.35">
      <c r="A205" s="445">
        <v>44883</v>
      </c>
      <c r="B205" s="444">
        <v>2022</v>
      </c>
      <c r="C205" s="444">
        <v>47</v>
      </c>
      <c r="D205" s="444">
        <v>8</v>
      </c>
      <c r="E205" s="444" t="s">
        <v>327</v>
      </c>
      <c r="F205" s="445" t="s">
        <v>50</v>
      </c>
      <c r="G205" s="446">
        <v>0.74999999999999889</v>
      </c>
      <c r="H205" s="445" t="s">
        <v>230</v>
      </c>
      <c r="I205" s="444">
        <v>37.6</v>
      </c>
      <c r="J205" s="445" t="s">
        <v>80</v>
      </c>
      <c r="K205" s="447">
        <v>214.98</v>
      </c>
      <c r="L205" s="448">
        <v>8.32</v>
      </c>
      <c r="M205" s="444">
        <v>212</v>
      </c>
      <c r="N205" s="444">
        <v>15</v>
      </c>
      <c r="O205" s="447">
        <v>25.838942307692307</v>
      </c>
      <c r="P205" s="449">
        <v>2.597773978516603</v>
      </c>
      <c r="Q205" s="447">
        <v>14.331999999999999</v>
      </c>
      <c r="R205" s="447">
        <v>1.0140566037735848</v>
      </c>
      <c r="S205" s="450">
        <v>14.133333333333333</v>
      </c>
      <c r="T205" s="450">
        <v>1.8028846153846154</v>
      </c>
      <c r="U205" s="240">
        <v>4</v>
      </c>
      <c r="V205" s="451">
        <v>2.311111111111111E-2</v>
      </c>
      <c r="W205" s="450" t="s">
        <v>176</v>
      </c>
      <c r="X205" s="447">
        <v>24.067695029985224</v>
      </c>
      <c r="Y205" s="447">
        <v>1.7712472777070829</v>
      </c>
      <c r="Z205" s="452">
        <v>55.677666666666653</v>
      </c>
      <c r="AA205" s="58">
        <f t="shared" ca="1" si="15"/>
        <v>136.815</v>
      </c>
      <c r="AB205" s="453">
        <f ca="1">Table29[[#This Row],[Earnings]]-Table29[[#This Row],[4-Week Average]]</f>
        <v>78.164999999999992</v>
      </c>
    </row>
    <row r="206" spans="1:28" x14ac:dyDescent="0.35">
      <c r="A206" s="436">
        <v>44886</v>
      </c>
      <c r="B206" s="435">
        <v>2022</v>
      </c>
      <c r="C206" s="435">
        <v>48</v>
      </c>
      <c r="D206" s="435">
        <v>9</v>
      </c>
      <c r="E206" s="435" t="s">
        <v>327</v>
      </c>
      <c r="F206" s="436" t="s">
        <v>46</v>
      </c>
      <c r="G206" s="437">
        <v>0.72916666666666552</v>
      </c>
      <c r="H206" s="436" t="s">
        <v>230</v>
      </c>
      <c r="I206" s="435">
        <v>42.5</v>
      </c>
      <c r="J206" s="436" t="s">
        <v>85</v>
      </c>
      <c r="K206" s="438">
        <v>140.76999999999998</v>
      </c>
      <c r="L206" s="439">
        <v>7.6</v>
      </c>
      <c r="M206" s="435">
        <v>136.9</v>
      </c>
      <c r="N206" s="435">
        <v>10</v>
      </c>
      <c r="O206" s="438">
        <v>18.522368421052629</v>
      </c>
      <c r="P206" s="440">
        <v>-3.1268957577371665</v>
      </c>
      <c r="Q206" s="438">
        <v>14.076999999999998</v>
      </c>
      <c r="R206" s="438">
        <v>1.0282688093498902</v>
      </c>
      <c r="S206" s="441">
        <v>13.690000000000001</v>
      </c>
      <c r="T206" s="441">
        <v>1.3157894736842106</v>
      </c>
      <c r="U206" s="239">
        <v>2</v>
      </c>
      <c r="V206" s="442">
        <v>3.1666666666666669E-2</v>
      </c>
      <c r="W206" s="441" t="s">
        <v>176</v>
      </c>
      <c r="X206" s="438">
        <v>22.7536390170972</v>
      </c>
      <c r="Y206" s="438">
        <v>-4.2312705960445705</v>
      </c>
      <c r="Z206" s="443">
        <v>56.122666666666653</v>
      </c>
      <c r="AA206" s="58">
        <f t="shared" ca="1" si="15"/>
        <v>151.54249999999999</v>
      </c>
      <c r="AB206" s="453">
        <f ca="1">Table29[[#This Row],[Earnings]]-Table29[[#This Row],[4-Week Average]]</f>
        <v>-10.772500000000008</v>
      </c>
    </row>
    <row r="207" spans="1:28" x14ac:dyDescent="0.35">
      <c r="A207" s="445">
        <v>44888</v>
      </c>
      <c r="B207" s="444">
        <v>2022</v>
      </c>
      <c r="C207" s="444">
        <v>48</v>
      </c>
      <c r="D207" s="444">
        <v>9</v>
      </c>
      <c r="E207" s="444" t="s">
        <v>327</v>
      </c>
      <c r="F207" s="445" t="s">
        <v>48</v>
      </c>
      <c r="G207" s="446">
        <v>0.74999999999999889</v>
      </c>
      <c r="H207" s="445" t="s">
        <v>230</v>
      </c>
      <c r="I207" s="444">
        <v>34.799999999999997</v>
      </c>
      <c r="J207" s="445" t="s">
        <v>80</v>
      </c>
      <c r="K207" s="447">
        <v>120.16</v>
      </c>
      <c r="L207" s="448">
        <v>5.2</v>
      </c>
      <c r="M207" s="444">
        <v>109.2</v>
      </c>
      <c r="N207" s="444">
        <v>11</v>
      </c>
      <c r="O207" s="447">
        <v>23.107692307692307</v>
      </c>
      <c r="P207" s="449">
        <v>7.0064274267399291</v>
      </c>
      <c r="Q207" s="447">
        <v>10.923636363636364</v>
      </c>
      <c r="R207" s="447">
        <v>1.1003663003663002</v>
      </c>
      <c r="S207" s="450">
        <v>9.9272727272727277</v>
      </c>
      <c r="T207" s="450">
        <v>2.1153846153846154</v>
      </c>
      <c r="U207" s="240">
        <v>3</v>
      </c>
      <c r="V207" s="451">
        <v>1.9696969696969695E-2</v>
      </c>
      <c r="W207" s="450" t="s">
        <v>176</v>
      </c>
      <c r="X207" s="447">
        <v>21.611061995023647</v>
      </c>
      <c r="Y207" s="447">
        <v>1.4966303126686604</v>
      </c>
      <c r="Z207" s="452">
        <v>57.457777777777764</v>
      </c>
      <c r="AA207" s="58">
        <f t="shared" ca="1" si="15"/>
        <v>146.98499999999999</v>
      </c>
      <c r="AB207" s="453">
        <f ca="1">Table29[[#This Row],[Earnings]]-Table29[[#This Row],[4-Week Average]]</f>
        <v>-26.824999999999989</v>
      </c>
    </row>
    <row r="208" spans="1:28" x14ac:dyDescent="0.35">
      <c r="A208" s="436">
        <v>44890</v>
      </c>
      <c r="B208" s="435">
        <v>2022</v>
      </c>
      <c r="C208" s="435">
        <v>48</v>
      </c>
      <c r="D208" s="435">
        <v>9</v>
      </c>
      <c r="E208" s="435" t="s">
        <v>327</v>
      </c>
      <c r="F208" s="436" t="s">
        <v>50</v>
      </c>
      <c r="G208" s="437">
        <v>0.77083333333333215</v>
      </c>
      <c r="H208" s="436" t="s">
        <v>249</v>
      </c>
      <c r="I208" s="435">
        <v>45.2</v>
      </c>
      <c r="J208" s="436" t="s">
        <v>80</v>
      </c>
      <c r="K208" s="438">
        <v>96.42</v>
      </c>
      <c r="L208" s="439">
        <v>5.8999999999999995</v>
      </c>
      <c r="M208" s="435">
        <v>78.900000000000006</v>
      </c>
      <c r="N208" s="435">
        <v>9</v>
      </c>
      <c r="O208" s="438">
        <v>16.342372881355935</v>
      </c>
      <c r="P208" s="440">
        <v>-7.2699060161792808</v>
      </c>
      <c r="Q208" s="438">
        <v>10.713333333333333</v>
      </c>
      <c r="R208" s="438">
        <v>1.2220532319391635</v>
      </c>
      <c r="S208" s="441">
        <v>8.7666666666666675</v>
      </c>
      <c r="T208" s="441">
        <v>1.5254237288135595</v>
      </c>
      <c r="U208" s="239">
        <v>3</v>
      </c>
      <c r="V208" s="442">
        <v>2.7314814814814809E-2</v>
      </c>
      <c r="W208" s="441" t="s">
        <v>176</v>
      </c>
      <c r="X208" s="438">
        <v>22.935551190780895</v>
      </c>
      <c r="Y208" s="438">
        <v>-6.5931783094249603</v>
      </c>
      <c r="Z208" s="443">
        <v>57.17244444444443</v>
      </c>
      <c r="AA208" s="58">
        <f t="shared" ca="1" si="15"/>
        <v>143.08249999999998</v>
      </c>
      <c r="AB208" s="453">
        <f ca="1">Table29[[#This Row],[Earnings]]-Table29[[#This Row],[4-Week Average]]</f>
        <v>-46.66249999999998</v>
      </c>
    </row>
    <row r="209" spans="1:28" x14ac:dyDescent="0.35">
      <c r="A209" s="445">
        <v>44891</v>
      </c>
      <c r="B209" s="444">
        <v>2022</v>
      </c>
      <c r="C209" s="444">
        <v>48</v>
      </c>
      <c r="D209" s="444">
        <v>9</v>
      </c>
      <c r="E209" s="444" t="s">
        <v>327</v>
      </c>
      <c r="F209" s="445" t="s">
        <v>51</v>
      </c>
      <c r="G209" s="446">
        <v>0.68749999999999889</v>
      </c>
      <c r="H209" s="445" t="s">
        <v>236</v>
      </c>
      <c r="I209" s="444">
        <v>53.7</v>
      </c>
      <c r="J209" s="445" t="s">
        <v>174</v>
      </c>
      <c r="K209" s="447">
        <v>108.07</v>
      </c>
      <c r="L209" s="448">
        <v>5.1999999999999993</v>
      </c>
      <c r="M209" s="444">
        <v>182.7</v>
      </c>
      <c r="N209" s="444">
        <v>12</v>
      </c>
      <c r="O209" s="447">
        <v>20.782692307692308</v>
      </c>
      <c r="P209" s="449" t="s">
        <v>393</v>
      </c>
      <c r="Q209" s="447">
        <v>9.0058333333333334</v>
      </c>
      <c r="R209" s="447">
        <v>0.59151614668856045</v>
      </c>
      <c r="S209" s="450">
        <v>15.225</v>
      </c>
      <c r="T209" s="450">
        <v>2.3076923076923079</v>
      </c>
      <c r="U209" s="240">
        <v>4</v>
      </c>
      <c r="V209" s="451">
        <v>1.8055555555555554E-2</v>
      </c>
      <c r="W209" s="450" t="s">
        <v>176</v>
      </c>
      <c r="X209" s="447">
        <v>22.584824414715719</v>
      </c>
      <c r="Y209" s="447">
        <v>-1.8021321070234109</v>
      </c>
      <c r="Z209" s="452">
        <v>58.373222222222203</v>
      </c>
      <c r="AA209" s="58">
        <f t="shared" ca="1" si="15"/>
        <v>116.35499999999999</v>
      </c>
      <c r="AB209" s="453">
        <f ca="1">Table29[[#This Row],[Earnings]]-Table29[[#This Row],[4-Week Average]]</f>
        <v>-8.2849999999999966</v>
      </c>
    </row>
    <row r="210" spans="1:28" x14ac:dyDescent="0.35">
      <c r="A210" s="436">
        <v>44892</v>
      </c>
      <c r="B210" s="435">
        <v>2022</v>
      </c>
      <c r="C210" s="435">
        <v>48</v>
      </c>
      <c r="D210" s="435">
        <v>9</v>
      </c>
      <c r="E210" s="435" t="s">
        <v>327</v>
      </c>
      <c r="F210" s="436" t="s">
        <v>45</v>
      </c>
      <c r="G210" s="437">
        <v>0.72916666666666552</v>
      </c>
      <c r="H210" s="436" t="s">
        <v>236</v>
      </c>
      <c r="I210" s="435">
        <v>40.9</v>
      </c>
      <c r="J210" s="436" t="s">
        <v>80</v>
      </c>
      <c r="K210" s="438">
        <v>99.02</v>
      </c>
      <c r="L210" s="439">
        <v>4.5999999999999996</v>
      </c>
      <c r="M210" s="435">
        <v>123.19999999999999</v>
      </c>
      <c r="N210" s="435">
        <v>11</v>
      </c>
      <c r="O210" s="438">
        <v>21.526086956521741</v>
      </c>
      <c r="P210" s="440">
        <v>3.8499948387629566</v>
      </c>
      <c r="Q210" s="438">
        <v>9.0018181818181819</v>
      </c>
      <c r="R210" s="438">
        <v>0.80373376623376624</v>
      </c>
      <c r="S210" s="441">
        <v>11.2</v>
      </c>
      <c r="T210" s="441">
        <v>2.3913043478260874</v>
      </c>
      <c r="U210" s="239">
        <v>4</v>
      </c>
      <c r="V210" s="442">
        <v>1.7424242424242422E-2</v>
      </c>
      <c r="W210" s="441" t="s">
        <v>175</v>
      </c>
      <c r="X210" s="438">
        <v>21.526086956521741</v>
      </c>
      <c r="Y210" s="438">
        <v>0</v>
      </c>
      <c r="Z210" s="443">
        <v>58.586888888888865</v>
      </c>
      <c r="AA210" s="58">
        <f t="shared" ca="1" si="15"/>
        <v>105.91749999999999</v>
      </c>
      <c r="AB210" s="453">
        <f ca="1">Table29[[#This Row],[Earnings]]-Table29[[#This Row],[4-Week Average]]</f>
        <v>-6.8974999999999937</v>
      </c>
    </row>
    <row r="211" spans="1:28" x14ac:dyDescent="0.35">
      <c r="A211" s="445">
        <v>44893</v>
      </c>
      <c r="B211" s="444">
        <v>2022</v>
      </c>
      <c r="C211" s="444">
        <v>49</v>
      </c>
      <c r="D211" s="444">
        <v>10</v>
      </c>
      <c r="E211" s="444" t="s">
        <v>327</v>
      </c>
      <c r="F211" s="445" t="s">
        <v>46</v>
      </c>
      <c r="G211" s="446">
        <v>0.72916666666666552</v>
      </c>
      <c r="H211" s="445" t="s">
        <v>230</v>
      </c>
      <c r="I211" s="444">
        <v>36.4</v>
      </c>
      <c r="J211" s="445" t="s">
        <v>85</v>
      </c>
      <c r="K211" s="447">
        <v>46.61</v>
      </c>
      <c r="L211" s="448">
        <v>8.2000000000000011</v>
      </c>
      <c r="M211" s="444">
        <v>64.400000000000006</v>
      </c>
      <c r="N211" s="444">
        <v>5</v>
      </c>
      <c r="O211" s="447">
        <v>5.6841463414634141</v>
      </c>
      <c r="P211" s="449">
        <v>-15.183393897892092</v>
      </c>
      <c r="Q211" s="447">
        <v>9.3219999999999992</v>
      </c>
      <c r="R211" s="447">
        <v>0.72375776397515523</v>
      </c>
      <c r="S211" s="450">
        <v>12.88</v>
      </c>
      <c r="T211" s="450">
        <v>0.60975609756097549</v>
      </c>
      <c r="U211" s="240">
        <v>1</v>
      </c>
      <c r="V211" s="451">
        <v>6.8333333333333343E-2</v>
      </c>
      <c r="W211" s="450" t="s">
        <v>176</v>
      </c>
      <c r="X211" s="447">
        <v>21.442841149708883</v>
      </c>
      <c r="Y211" s="447">
        <v>-15.758694808245469</v>
      </c>
      <c r="Z211" s="452">
        <v>57.790555555555542</v>
      </c>
      <c r="AA211" s="58">
        <f t="shared" ca="1" si="15"/>
        <v>87.53</v>
      </c>
      <c r="AB211" s="453">
        <f ca="1">Table29[[#This Row],[Earnings]]-Table29[[#This Row],[4-Week Average]]</f>
        <v>-40.92</v>
      </c>
    </row>
    <row r="212" spans="1:28" x14ac:dyDescent="0.35">
      <c r="A212" s="436">
        <v>44896</v>
      </c>
      <c r="B212" s="435">
        <v>2022</v>
      </c>
      <c r="C212" s="435">
        <v>49</v>
      </c>
      <c r="D212" s="435">
        <v>10</v>
      </c>
      <c r="E212" s="435" t="s">
        <v>327</v>
      </c>
      <c r="F212" s="436" t="s">
        <v>49</v>
      </c>
      <c r="G212" s="437">
        <v>0.72916666666666552</v>
      </c>
      <c r="H212" s="436" t="s">
        <v>230</v>
      </c>
      <c r="I212" s="435">
        <v>35.4</v>
      </c>
      <c r="J212" s="436" t="s">
        <v>80</v>
      </c>
      <c r="K212" s="438">
        <v>73.87</v>
      </c>
      <c r="L212" s="439">
        <v>5.3000000000000007</v>
      </c>
      <c r="M212" s="435">
        <v>103.7</v>
      </c>
      <c r="N212" s="435">
        <v>6</v>
      </c>
      <c r="O212" s="438">
        <v>13.937735849056603</v>
      </c>
      <c r="P212" s="440">
        <v>-11.725932471869784</v>
      </c>
      <c r="Q212" s="438">
        <v>12.311666666666667</v>
      </c>
      <c r="R212" s="438">
        <v>0.71234329797492768</v>
      </c>
      <c r="S212" s="441">
        <v>17.283333333333335</v>
      </c>
      <c r="T212" s="441">
        <v>1.132075471698113</v>
      </c>
      <c r="U212" s="239">
        <v>3</v>
      </c>
      <c r="V212" s="442">
        <v>3.6805555555555557E-2</v>
      </c>
      <c r="W212" s="441" t="s">
        <v>176</v>
      </c>
      <c r="X212" s="438">
        <v>15.442748521543226</v>
      </c>
      <c r="Y212" s="438">
        <v>-1.5050126724866235</v>
      </c>
      <c r="Z212" s="443">
        <v>54.833333333333336</v>
      </c>
      <c r="AA212" s="58">
        <f t="shared" ca="1" si="15"/>
        <v>81.892499999999998</v>
      </c>
      <c r="AB212" s="453">
        <f ca="1">Table29[[#This Row],[Earnings]]-Table29[[#This Row],[4-Week Average]]</f>
        <v>-8.0224999999999937</v>
      </c>
    </row>
    <row r="213" spans="1:28" x14ac:dyDescent="0.35">
      <c r="A213" s="445">
        <v>44898</v>
      </c>
      <c r="B213" s="444">
        <v>2022</v>
      </c>
      <c r="C213" s="444">
        <v>49</v>
      </c>
      <c r="D213" s="444">
        <v>10</v>
      </c>
      <c r="E213" s="444" t="s">
        <v>327</v>
      </c>
      <c r="F213" s="445" t="s">
        <v>51</v>
      </c>
      <c r="G213" s="446">
        <v>0.66666666666666563</v>
      </c>
      <c r="H213" s="445" t="s">
        <v>249</v>
      </c>
      <c r="I213" s="444">
        <v>38.1</v>
      </c>
      <c r="J213" s="445" t="s">
        <v>82</v>
      </c>
      <c r="K213" s="447">
        <v>169.07999999999998</v>
      </c>
      <c r="L213" s="448">
        <v>9.08</v>
      </c>
      <c r="M213" s="444">
        <v>112</v>
      </c>
      <c r="N213" s="444">
        <v>21</v>
      </c>
      <c r="O213" s="447">
        <v>18.621145374449338</v>
      </c>
      <c r="P213" s="449">
        <v>-16.372074964533706</v>
      </c>
      <c r="Q213" s="447">
        <v>8.0514285714285698</v>
      </c>
      <c r="R213" s="447">
        <v>1.5096428571428571</v>
      </c>
      <c r="S213" s="450">
        <v>5.333333333333333</v>
      </c>
      <c r="T213" s="450">
        <v>2.3127753303964758</v>
      </c>
      <c r="U213" s="240">
        <v>6</v>
      </c>
      <c r="V213" s="451">
        <v>1.8015873015873016E-2</v>
      </c>
      <c r="W213" s="450" t="s">
        <v>176</v>
      </c>
      <c r="X213" s="447">
        <v>18.621145374449338</v>
      </c>
      <c r="Y213" s="447">
        <v>0</v>
      </c>
      <c r="Z213" s="452">
        <v>54.645444444444436</v>
      </c>
      <c r="AA213" s="58">
        <f t="shared" ca="1" si="15"/>
        <v>97.144999999999996</v>
      </c>
      <c r="AB213" s="453">
        <f ca="1">Table29[[#This Row],[Earnings]]-Table29[[#This Row],[4-Week Average]]</f>
        <v>71.934999999999988</v>
      </c>
    </row>
    <row r="214" spans="1:28" x14ac:dyDescent="0.35">
      <c r="A214" s="436">
        <v>44900</v>
      </c>
      <c r="B214" s="435">
        <v>2022</v>
      </c>
      <c r="C214" s="435">
        <v>50</v>
      </c>
      <c r="D214" s="435">
        <v>11</v>
      </c>
      <c r="E214" s="435" t="s">
        <v>327</v>
      </c>
      <c r="F214" s="436" t="s">
        <v>46</v>
      </c>
      <c r="G214" s="437">
        <v>0.70833333333333226</v>
      </c>
      <c r="H214" s="436" t="s">
        <v>236</v>
      </c>
      <c r="I214" s="435">
        <v>51.3</v>
      </c>
      <c r="J214" s="436" t="s">
        <v>85</v>
      </c>
      <c r="K214" s="438">
        <v>71.63</v>
      </c>
      <c r="L214" s="439">
        <v>9.1</v>
      </c>
      <c r="M214" s="435">
        <v>97.8</v>
      </c>
      <c r="N214" s="435">
        <v>9</v>
      </c>
      <c r="O214" s="438">
        <v>7.871428571428571</v>
      </c>
      <c r="P214" s="440">
        <v>-9.9594328883485197</v>
      </c>
      <c r="Q214" s="438">
        <v>7.9588888888888887</v>
      </c>
      <c r="R214" s="438">
        <v>0.73241308793456028</v>
      </c>
      <c r="S214" s="441">
        <v>10.866666666666667</v>
      </c>
      <c r="T214" s="441">
        <v>0.98901098901098905</v>
      </c>
      <c r="U214" s="239">
        <v>2</v>
      </c>
      <c r="V214" s="442">
        <v>4.2129629629629628E-2</v>
      </c>
      <c r="W214" s="441" t="s">
        <v>176</v>
      </c>
      <c r="X214" s="438">
        <v>21.372401866151865</v>
      </c>
      <c r="Y214" s="438">
        <v>-13.500973294723295</v>
      </c>
      <c r="Z214" s="443">
        <v>52.284555555555549</v>
      </c>
      <c r="AA214" s="58">
        <f t="shared" ca="1" si="15"/>
        <v>90.297499999999999</v>
      </c>
      <c r="AB214" s="453">
        <f ca="1">Table29[[#This Row],[Earnings]]-Table29[[#This Row],[4-Week Average]]</f>
        <v>-18.667500000000004</v>
      </c>
    </row>
    <row r="215" spans="1:28" x14ac:dyDescent="0.35">
      <c r="A215" s="445">
        <v>44902</v>
      </c>
      <c r="B215" s="444">
        <v>2022</v>
      </c>
      <c r="C215" s="444">
        <v>50</v>
      </c>
      <c r="D215" s="444">
        <v>11</v>
      </c>
      <c r="E215" s="444" t="s">
        <v>327</v>
      </c>
      <c r="F215" s="445" t="s">
        <v>48</v>
      </c>
      <c r="G215" s="446">
        <v>0.624999999999999</v>
      </c>
      <c r="H215" s="445" t="s">
        <v>236</v>
      </c>
      <c r="I215" s="444">
        <v>46.1</v>
      </c>
      <c r="J215" s="445" t="s">
        <v>80</v>
      </c>
      <c r="K215" s="447">
        <v>165.23000000000002</v>
      </c>
      <c r="L215" s="448">
        <v>4.5</v>
      </c>
      <c r="M215" s="444">
        <v>150.39999999999998</v>
      </c>
      <c r="N215" s="444">
        <v>14</v>
      </c>
      <c r="O215" s="447">
        <v>36.717777777777783</v>
      </c>
      <c r="P215" s="449">
        <v>18.281037087912097</v>
      </c>
      <c r="Q215" s="447">
        <v>11.802142857142858</v>
      </c>
      <c r="R215" s="447">
        <v>1.0986037234042556</v>
      </c>
      <c r="S215" s="450">
        <v>10.742857142857142</v>
      </c>
      <c r="T215" s="450">
        <v>3.1111111111111112</v>
      </c>
      <c r="U215" s="240">
        <v>3</v>
      </c>
      <c r="V215" s="451">
        <v>1.3392857142857144E-2</v>
      </c>
      <c r="W215" s="450" t="s">
        <v>175</v>
      </c>
      <c r="X215" s="447">
        <v>28.248499278499281</v>
      </c>
      <c r="Y215" s="447">
        <v>8.4692784992785022</v>
      </c>
      <c r="Z215" s="452">
        <v>52.635999999999996</v>
      </c>
      <c r="AA215" s="58">
        <f t="shared" ca="1" si="15"/>
        <v>119.9525</v>
      </c>
      <c r="AB215" s="453">
        <f ca="1">Table29[[#This Row],[Earnings]]-Table29[[#This Row],[4-Week Average]]</f>
        <v>45.277500000000018</v>
      </c>
    </row>
    <row r="216" spans="1:28" x14ac:dyDescent="0.35">
      <c r="A216" s="436">
        <v>44903</v>
      </c>
      <c r="B216" s="435">
        <v>2022</v>
      </c>
      <c r="C216" s="435">
        <v>50</v>
      </c>
      <c r="D216" s="435">
        <v>11</v>
      </c>
      <c r="E216" s="435" t="s">
        <v>327</v>
      </c>
      <c r="F216" s="436" t="s">
        <v>49</v>
      </c>
      <c r="G216" s="437">
        <v>0.72916666666666552</v>
      </c>
      <c r="H216" s="436" t="s">
        <v>230</v>
      </c>
      <c r="I216" s="435">
        <v>34.9</v>
      </c>
      <c r="J216" s="436" t="s">
        <v>80</v>
      </c>
      <c r="K216" s="438">
        <v>96.51</v>
      </c>
      <c r="L216" s="439">
        <v>7.2</v>
      </c>
      <c r="M216" s="435">
        <v>120.1</v>
      </c>
      <c r="N216" s="435">
        <v>9</v>
      </c>
      <c r="O216" s="438">
        <v>13.404166666666667</v>
      </c>
      <c r="P216" s="440">
        <v>-9.3280185362922747</v>
      </c>
      <c r="Q216" s="438">
        <v>10.723333333333334</v>
      </c>
      <c r="R216" s="438">
        <v>0.80358034970857628</v>
      </c>
      <c r="S216" s="441">
        <v>13.344444444444443</v>
      </c>
      <c r="T216" s="441">
        <v>1.25</v>
      </c>
      <c r="U216" s="239">
        <v>3</v>
      </c>
      <c r="V216" s="442">
        <v>3.3333333333333333E-2</v>
      </c>
      <c r="W216" s="441" t="s">
        <v>175</v>
      </c>
      <c r="X216" s="438">
        <v>19.011640461215933</v>
      </c>
      <c r="Y216" s="438">
        <v>-5.6074737945492661</v>
      </c>
      <c r="Z216" s="443">
        <v>52.479555555555557</v>
      </c>
      <c r="AA216" s="58">
        <f t="shared" ca="1" si="15"/>
        <v>125.6125</v>
      </c>
      <c r="AB216" s="453">
        <f ca="1">Table29[[#This Row],[Earnings]]-Table29[[#This Row],[4-Week Average]]</f>
        <v>-29.102499999999992</v>
      </c>
    </row>
    <row r="217" spans="1:28" x14ac:dyDescent="0.35">
      <c r="A217" s="445">
        <v>44904</v>
      </c>
      <c r="B217" s="444">
        <v>2022</v>
      </c>
      <c r="C217" s="444">
        <v>50</v>
      </c>
      <c r="D217" s="444">
        <v>11</v>
      </c>
      <c r="E217" s="444" t="s">
        <v>327</v>
      </c>
      <c r="F217" s="445" t="s">
        <v>50</v>
      </c>
      <c r="G217" s="446">
        <v>0.72916666666666552</v>
      </c>
      <c r="H217" s="445" t="s">
        <v>249</v>
      </c>
      <c r="I217" s="444">
        <v>21.2</v>
      </c>
      <c r="J217" s="445" t="s">
        <v>80</v>
      </c>
      <c r="K217" s="447">
        <v>142.44999999999999</v>
      </c>
      <c r="L217" s="448">
        <v>4.5</v>
      </c>
      <c r="M217" s="444">
        <v>96</v>
      </c>
      <c r="N217" s="444">
        <v>12</v>
      </c>
      <c r="O217" s="447">
        <v>31.655555555555551</v>
      </c>
      <c r="P217" s="449">
        <v>8.9520149100427453</v>
      </c>
      <c r="Q217" s="447">
        <v>11.870833333333332</v>
      </c>
      <c r="R217" s="447">
        <v>1.4838541666666665</v>
      </c>
      <c r="S217" s="450">
        <v>8</v>
      </c>
      <c r="T217" s="450">
        <v>2.6666666666666665</v>
      </c>
      <c r="U217" s="240">
        <v>2</v>
      </c>
      <c r="V217" s="451">
        <v>1.5625E-2</v>
      </c>
      <c r="W217" s="450" t="s">
        <v>176</v>
      </c>
      <c r="X217" s="447">
        <v>22.408214068869807</v>
      </c>
      <c r="Y217" s="447">
        <v>9.2473414866857446</v>
      </c>
      <c r="Z217" s="452">
        <v>52.814555555555557</v>
      </c>
      <c r="AA217" s="58">
        <f t="shared" ca="1" si="15"/>
        <v>118.955</v>
      </c>
      <c r="AB217" s="453">
        <f ca="1">Table29[[#This Row],[Earnings]]-Table29[[#This Row],[4-Week Average]]</f>
        <v>23.49499999999999</v>
      </c>
    </row>
    <row r="218" spans="1:28" x14ac:dyDescent="0.35">
      <c r="A218" s="436">
        <v>44906</v>
      </c>
      <c r="B218" s="435">
        <v>2022</v>
      </c>
      <c r="C218" s="435">
        <v>50</v>
      </c>
      <c r="D218" s="435">
        <v>11</v>
      </c>
      <c r="E218" s="435" t="s">
        <v>327</v>
      </c>
      <c r="F218" s="436" t="s">
        <v>45</v>
      </c>
      <c r="G218" s="437">
        <v>0.77083333333333215</v>
      </c>
      <c r="H218" s="436" t="s">
        <v>234</v>
      </c>
      <c r="I218" s="435">
        <v>26.7</v>
      </c>
      <c r="J218" s="436" t="s">
        <v>174</v>
      </c>
      <c r="K218" s="438">
        <v>51.13</v>
      </c>
      <c r="L218" s="439">
        <v>3.1</v>
      </c>
      <c r="M218" s="435">
        <v>92.1</v>
      </c>
      <c r="N218" s="435">
        <v>5</v>
      </c>
      <c r="O218" s="438">
        <v>16.493548387096773</v>
      </c>
      <c r="P218" s="440" t="s">
        <v>393</v>
      </c>
      <c r="Q218" s="438">
        <v>10.226000000000001</v>
      </c>
      <c r="R218" s="438">
        <v>0.55515743756786107</v>
      </c>
      <c r="S218" s="441">
        <v>18.419999999999998</v>
      </c>
      <c r="T218" s="441">
        <v>1.6129032258064515</v>
      </c>
      <c r="U218" s="239">
        <v>1</v>
      </c>
      <c r="V218" s="442">
        <v>2.5833333333333333E-2</v>
      </c>
      <c r="W218" s="441" t="s">
        <v>176</v>
      </c>
      <c r="X218" s="438">
        <v>16.493548387096773</v>
      </c>
      <c r="Y218" s="438">
        <v>0</v>
      </c>
      <c r="Z218" s="443">
        <v>50.538444444444458</v>
      </c>
      <c r="AA218" s="58">
        <f t="shared" ca="1" si="15"/>
        <v>113.83</v>
      </c>
      <c r="AB218" s="453">
        <f ca="1">Table29[[#This Row],[Earnings]]-Table29[[#This Row],[4-Week Average]]</f>
        <v>-62.699999999999996</v>
      </c>
    </row>
    <row r="219" spans="1:28" x14ac:dyDescent="0.35">
      <c r="A219" s="445">
        <v>44907</v>
      </c>
      <c r="B219" s="444">
        <v>2022</v>
      </c>
      <c r="C219" s="444">
        <v>51</v>
      </c>
      <c r="D219" s="444">
        <v>12</v>
      </c>
      <c r="E219" s="444" t="s">
        <v>327</v>
      </c>
      <c r="F219" s="445" t="s">
        <v>46</v>
      </c>
      <c r="G219" s="446">
        <v>0.70833333333333226</v>
      </c>
      <c r="H219" s="445" t="s">
        <v>234</v>
      </c>
      <c r="I219" s="444">
        <v>27.3</v>
      </c>
      <c r="J219" s="445" t="s">
        <v>82</v>
      </c>
      <c r="K219" s="447">
        <v>84.9</v>
      </c>
      <c r="L219" s="448">
        <v>4.8499999999999996</v>
      </c>
      <c r="M219" s="444">
        <v>82.7</v>
      </c>
      <c r="N219" s="444">
        <v>12</v>
      </c>
      <c r="O219" s="447">
        <v>17.505154639175259</v>
      </c>
      <c r="P219" s="449">
        <v>-12.047196736157481</v>
      </c>
      <c r="Q219" s="447">
        <v>7.0750000000000002</v>
      </c>
      <c r="R219" s="447">
        <v>1.026602176541717</v>
      </c>
      <c r="S219" s="450">
        <v>6.8916666666666666</v>
      </c>
      <c r="T219" s="450">
        <v>2.4742268041237114</v>
      </c>
      <c r="U219" s="240">
        <v>3</v>
      </c>
      <c r="V219" s="451">
        <v>1.6840277777777777E-2</v>
      </c>
      <c r="W219" s="450" t="s">
        <v>176</v>
      </c>
      <c r="X219" s="447">
        <v>17.505154639175259</v>
      </c>
      <c r="Y219" s="447">
        <v>0</v>
      </c>
      <c r="Z219" s="452">
        <v>51.481777777777786</v>
      </c>
      <c r="AA219" s="58">
        <f t="shared" ca="1" si="15"/>
        <v>93.747500000000002</v>
      </c>
      <c r="AB219" s="453">
        <f ca="1">Table29[[#This Row],[Earnings]]-Table29[[#This Row],[4-Week Average]]</f>
        <v>-8.8474999999999966</v>
      </c>
    </row>
    <row r="220" spans="1:28" x14ac:dyDescent="0.35">
      <c r="A220" s="436">
        <v>44908</v>
      </c>
      <c r="B220" s="435">
        <v>2022</v>
      </c>
      <c r="C220" s="435">
        <v>51</v>
      </c>
      <c r="D220" s="435">
        <v>12</v>
      </c>
      <c r="E220" s="435" t="s">
        <v>327</v>
      </c>
      <c r="F220" s="436" t="s">
        <v>47</v>
      </c>
      <c r="G220" s="437">
        <v>0.72916666666666552</v>
      </c>
      <c r="H220" s="436" t="s">
        <v>234</v>
      </c>
      <c r="I220" s="435">
        <v>31.5</v>
      </c>
      <c r="J220" s="436" t="s">
        <v>80</v>
      </c>
      <c r="K220" s="438">
        <v>85.05</v>
      </c>
      <c r="L220" s="439">
        <v>3.45</v>
      </c>
      <c r="M220" s="435">
        <v>76.7</v>
      </c>
      <c r="N220" s="435">
        <v>7</v>
      </c>
      <c r="O220" s="438">
        <v>24.652173913043477</v>
      </c>
      <c r="P220" s="440">
        <v>-4.4149829497016242</v>
      </c>
      <c r="Q220" s="438">
        <v>12.15</v>
      </c>
      <c r="R220" s="438">
        <v>1.1088657105606257</v>
      </c>
      <c r="S220" s="441">
        <v>10.957142857142857</v>
      </c>
      <c r="T220" s="441">
        <v>2.0289855072463765</v>
      </c>
      <c r="U220" s="239">
        <v>3</v>
      </c>
      <c r="V220" s="442">
        <v>2.0535714285714286E-2</v>
      </c>
      <c r="W220" s="441" t="s">
        <v>175</v>
      </c>
      <c r="X220" s="438">
        <v>24.652173913043477</v>
      </c>
      <c r="Y220" s="438">
        <v>0</v>
      </c>
      <c r="Z220" s="443">
        <v>52.426777777777787</v>
      </c>
      <c r="AA220" s="58">
        <f t="shared" ca="1" si="15"/>
        <v>90.882500000000007</v>
      </c>
      <c r="AB220" s="453">
        <f ca="1">Table29[[#This Row],[Earnings]]-Table29[[#This Row],[4-Week Average]]</f>
        <v>-5.8325000000000102</v>
      </c>
    </row>
    <row r="221" spans="1:28" x14ac:dyDescent="0.35">
      <c r="A221" s="445">
        <v>44909</v>
      </c>
      <c r="B221" s="444">
        <v>2022</v>
      </c>
      <c r="C221" s="444">
        <v>51</v>
      </c>
      <c r="D221" s="444">
        <v>12</v>
      </c>
      <c r="E221" s="444" t="s">
        <v>327</v>
      </c>
      <c r="F221" s="445" t="s">
        <v>48</v>
      </c>
      <c r="G221" s="446">
        <v>0.72916666666666552</v>
      </c>
      <c r="H221" s="445" t="s">
        <v>234</v>
      </c>
      <c r="I221" s="444">
        <v>34.6</v>
      </c>
      <c r="J221" s="445" t="s">
        <v>80</v>
      </c>
      <c r="K221" s="447">
        <v>104.11</v>
      </c>
      <c r="L221" s="448">
        <v>5.55</v>
      </c>
      <c r="M221" s="444">
        <v>114.50000000000001</v>
      </c>
      <c r="N221" s="444">
        <v>12</v>
      </c>
      <c r="O221" s="447">
        <v>18.758558558558558</v>
      </c>
      <c r="P221" s="449">
        <v>-4.2484414032851525</v>
      </c>
      <c r="Q221" s="447">
        <v>8.6758333333333333</v>
      </c>
      <c r="R221" s="447">
        <v>0.90925764192139724</v>
      </c>
      <c r="S221" s="450">
        <v>9.5416666666666679</v>
      </c>
      <c r="T221" s="450">
        <v>2.1621621621621623</v>
      </c>
      <c r="U221" s="240">
        <v>2</v>
      </c>
      <c r="V221" s="451">
        <v>1.9270833333333331E-2</v>
      </c>
      <c r="W221" s="450" t="s">
        <v>175</v>
      </c>
      <c r="X221" s="447">
        <v>20.743564993564995</v>
      </c>
      <c r="Y221" s="447">
        <v>-1.9850064350064365</v>
      </c>
      <c r="Z221" s="452">
        <v>51.710000000000008</v>
      </c>
      <c r="AA221" s="58">
        <f t="shared" ca="1" si="15"/>
        <v>81.297499999999999</v>
      </c>
      <c r="AB221" s="453">
        <f ca="1">Table29[[#This Row],[Earnings]]-Table29[[#This Row],[4-Week Average]]</f>
        <v>22.8125</v>
      </c>
    </row>
    <row r="222" spans="1:28" x14ac:dyDescent="0.35">
      <c r="A222" s="436">
        <v>44910</v>
      </c>
      <c r="B222" s="435">
        <v>2022</v>
      </c>
      <c r="C222" s="435">
        <v>51</v>
      </c>
      <c r="D222" s="435">
        <v>12</v>
      </c>
      <c r="E222" s="435" t="s">
        <v>327</v>
      </c>
      <c r="F222" s="436" t="s">
        <v>49</v>
      </c>
      <c r="G222" s="437">
        <v>0.66666666666666563</v>
      </c>
      <c r="H222" s="436" t="s">
        <v>232</v>
      </c>
      <c r="I222" s="435">
        <v>29.1</v>
      </c>
      <c r="J222" s="436" t="s">
        <v>174</v>
      </c>
      <c r="K222" s="438">
        <v>164.79</v>
      </c>
      <c r="L222" s="439">
        <v>8.85</v>
      </c>
      <c r="M222" s="435">
        <v>196.3</v>
      </c>
      <c r="N222" s="435">
        <v>16</v>
      </c>
      <c r="O222" s="438">
        <v>18.620338983050846</v>
      </c>
      <c r="P222" s="440" t="s">
        <v>393</v>
      </c>
      <c r="Q222" s="438">
        <v>10.299375</v>
      </c>
      <c r="R222" s="438">
        <v>0.83948038716250628</v>
      </c>
      <c r="S222" s="441">
        <v>12.268750000000001</v>
      </c>
      <c r="T222" s="441">
        <v>1.807909604519774</v>
      </c>
      <c r="U222" s="239">
        <v>2</v>
      </c>
      <c r="V222" s="442">
        <v>2.3046874999999998E-2</v>
      </c>
      <c r="W222" s="441" t="s">
        <v>176</v>
      </c>
      <c r="X222" s="438">
        <v>22.64296949152542</v>
      </c>
      <c r="Y222" s="438">
        <v>-4.0226305084745739</v>
      </c>
      <c r="Z222" s="443">
        <v>52.810111111111112</v>
      </c>
      <c r="AA222" s="58">
        <f t="shared" ca="1" si="15"/>
        <v>109.71250000000001</v>
      </c>
      <c r="AB222" s="453">
        <f ca="1">Table29[[#This Row],[Earnings]]-Table29[[#This Row],[4-Week Average]]</f>
        <v>55.077499999999986</v>
      </c>
    </row>
    <row r="223" spans="1:28" x14ac:dyDescent="0.35">
      <c r="A223" s="445">
        <v>44911</v>
      </c>
      <c r="B223" s="444">
        <v>2022</v>
      </c>
      <c r="C223" s="444">
        <v>51</v>
      </c>
      <c r="D223" s="444">
        <v>12</v>
      </c>
      <c r="E223" s="444" t="s">
        <v>327</v>
      </c>
      <c r="F223" s="445" t="s">
        <v>50</v>
      </c>
      <c r="G223" s="446">
        <v>0.72916666666666552</v>
      </c>
      <c r="H223" s="445" t="s">
        <v>232</v>
      </c>
      <c r="I223" s="444">
        <v>29.9</v>
      </c>
      <c r="J223" s="445" t="s">
        <v>80</v>
      </c>
      <c r="K223" s="447">
        <v>135.93</v>
      </c>
      <c r="L223" s="448">
        <v>6.85</v>
      </c>
      <c r="M223" s="444">
        <v>113.30000000000001</v>
      </c>
      <c r="N223" s="444">
        <v>10</v>
      </c>
      <c r="O223" s="447">
        <v>19.843795620437959</v>
      </c>
      <c r="P223" s="449">
        <v>-3.8544133484129297</v>
      </c>
      <c r="Q223" s="447">
        <v>13.593</v>
      </c>
      <c r="R223" s="447">
        <v>1.1997352162400705</v>
      </c>
      <c r="S223" s="450">
        <v>11.330000000000002</v>
      </c>
      <c r="T223" s="450">
        <v>1.4598540145985401</v>
      </c>
      <c r="U223" s="240">
        <v>3</v>
      </c>
      <c r="V223" s="451">
        <v>2.8541666666666663E-2</v>
      </c>
      <c r="W223" s="450" t="s">
        <v>175</v>
      </c>
      <c r="X223" s="447">
        <v>19.843795620437959</v>
      </c>
      <c r="Y223" s="447">
        <v>0</v>
      </c>
      <c r="Z223" s="452">
        <v>54.320444444444448</v>
      </c>
      <c r="AA223" s="58">
        <f t="shared" ca="1" si="15"/>
        <v>122.47</v>
      </c>
      <c r="AB223" s="453">
        <f ca="1">Table29[[#This Row],[Earnings]]-Table29[[#This Row],[4-Week Average]]</f>
        <v>13.460000000000008</v>
      </c>
    </row>
    <row r="224" spans="1:28" x14ac:dyDescent="0.35">
      <c r="A224" s="436">
        <v>44912</v>
      </c>
      <c r="B224" s="435">
        <v>2022</v>
      </c>
      <c r="C224" s="435">
        <v>51</v>
      </c>
      <c r="D224" s="435">
        <v>12</v>
      </c>
      <c r="E224" s="435" t="s">
        <v>327</v>
      </c>
      <c r="F224" s="436" t="s">
        <v>51</v>
      </c>
      <c r="G224" s="437">
        <v>0.77083333333333215</v>
      </c>
      <c r="H224" s="436" t="s">
        <v>235</v>
      </c>
      <c r="I224" s="435">
        <v>31.5</v>
      </c>
      <c r="J224" s="436" t="s">
        <v>82</v>
      </c>
      <c r="K224" s="438">
        <v>13.01</v>
      </c>
      <c r="L224" s="439">
        <v>0.73</v>
      </c>
      <c r="M224" s="435">
        <v>15.5</v>
      </c>
      <c r="N224" s="435">
        <v>1</v>
      </c>
      <c r="O224" s="438">
        <v>17.82191780821918</v>
      </c>
      <c r="P224" s="440">
        <v>-8.9852650484970091</v>
      </c>
      <c r="Q224" s="438">
        <v>13.01</v>
      </c>
      <c r="R224" s="438">
        <v>0.83935483870967742</v>
      </c>
      <c r="S224" s="441">
        <v>15.5</v>
      </c>
      <c r="T224" s="441">
        <v>1.3698630136986301</v>
      </c>
      <c r="U224" s="239">
        <v>1</v>
      </c>
      <c r="V224" s="442">
        <v>3.0416666666666665E-2</v>
      </c>
      <c r="W224" s="441" t="s">
        <v>176</v>
      </c>
      <c r="X224" s="438">
        <v>19.249617051074445</v>
      </c>
      <c r="Y224" s="438">
        <v>-1.4276992428552653</v>
      </c>
      <c r="Z224" s="443">
        <v>52.666888888888906</v>
      </c>
      <c r="AA224" s="58">
        <f t="shared" ca="1" si="15"/>
        <v>104.46</v>
      </c>
      <c r="AB224" s="453">
        <f ca="1">Table29[[#This Row],[Earnings]]-Table29[[#This Row],[4-Week Average]]</f>
        <v>-91.449999999999989</v>
      </c>
    </row>
    <row r="225" spans="1:28" x14ac:dyDescent="0.35">
      <c r="A225" s="445">
        <v>44913</v>
      </c>
      <c r="B225" s="444">
        <v>2022</v>
      </c>
      <c r="C225" s="444">
        <v>51</v>
      </c>
      <c r="D225" s="444">
        <v>12</v>
      </c>
      <c r="E225" s="444" t="s">
        <v>327</v>
      </c>
      <c r="F225" s="445" t="s">
        <v>45</v>
      </c>
      <c r="G225" s="446">
        <v>0.58333333333333237</v>
      </c>
      <c r="H225" s="445" t="s">
        <v>249</v>
      </c>
      <c r="I225" s="444">
        <v>27.7</v>
      </c>
      <c r="J225" s="445" t="s">
        <v>85</v>
      </c>
      <c r="K225" s="447">
        <v>148.13999999999999</v>
      </c>
      <c r="L225" s="448">
        <v>9.68</v>
      </c>
      <c r="M225" s="444">
        <v>223</v>
      </c>
      <c r="N225" s="444">
        <v>17</v>
      </c>
      <c r="O225" s="447">
        <v>15.303719008264462</v>
      </c>
      <c r="P225" s="449" t="s">
        <v>393</v>
      </c>
      <c r="Q225" s="447">
        <v>8.7141176470588224</v>
      </c>
      <c r="R225" s="447">
        <v>0.6643049327354259</v>
      </c>
      <c r="S225" s="450">
        <v>13.117647058823529</v>
      </c>
      <c r="T225" s="450">
        <v>1.7561983471074381</v>
      </c>
      <c r="U225" s="240">
        <v>5</v>
      </c>
      <c r="V225" s="451">
        <v>2.372549019607843E-2</v>
      </c>
      <c r="W225" s="450" t="s">
        <v>175</v>
      </c>
      <c r="X225" s="447">
        <v>15.303719008264462</v>
      </c>
      <c r="Y225" s="447">
        <v>0</v>
      </c>
      <c r="Z225" s="452">
        <v>53.440444444444459</v>
      </c>
      <c r="AA225" s="58">
        <f t="shared" ca="1" si="15"/>
        <v>115.4675</v>
      </c>
      <c r="AB225" s="453">
        <f ca="1">Table29[[#This Row],[Earnings]]-Table29[[#This Row],[4-Week Average]]</f>
        <v>32.672499999999985</v>
      </c>
    </row>
    <row r="226" spans="1:28" x14ac:dyDescent="0.35">
      <c r="A226" s="436">
        <v>44914</v>
      </c>
      <c r="B226" s="435">
        <v>2021</v>
      </c>
      <c r="C226" s="435">
        <v>52</v>
      </c>
      <c r="D226" s="435">
        <v>13</v>
      </c>
      <c r="E226" s="435" t="s">
        <v>327</v>
      </c>
      <c r="F226" s="436" t="s">
        <v>46</v>
      </c>
      <c r="G226" s="437">
        <v>0.66666666666666563</v>
      </c>
      <c r="H226" s="436" t="s">
        <v>249</v>
      </c>
      <c r="I226" s="435">
        <v>27.5</v>
      </c>
      <c r="J226" s="436" t="s">
        <v>82</v>
      </c>
      <c r="K226" s="438">
        <v>16</v>
      </c>
      <c r="L226" s="439">
        <v>0.8</v>
      </c>
      <c r="M226" s="435">
        <v>16</v>
      </c>
      <c r="N226" s="435">
        <v>1</v>
      </c>
      <c r="O226" s="438">
        <v>20</v>
      </c>
      <c r="P226" s="440">
        <v>-5.5366191299469136</v>
      </c>
      <c r="Q226" s="438">
        <v>16</v>
      </c>
      <c r="R226" s="438">
        <v>1</v>
      </c>
      <c r="S226" s="441">
        <v>16</v>
      </c>
      <c r="T226" s="441">
        <v>1.25</v>
      </c>
      <c r="U226" s="239">
        <v>1</v>
      </c>
      <c r="V226" s="442">
        <v>3.3333333333333333E-2</v>
      </c>
      <c r="W226" s="441" t="s">
        <v>176</v>
      </c>
      <c r="X226" s="438">
        <v>20.087356321839081</v>
      </c>
      <c r="Y226" s="438">
        <v>-8.7356321839081374E-2</v>
      </c>
      <c r="Z226" s="443">
        <v>53.227222222222238</v>
      </c>
      <c r="AA226" s="58">
        <f t="shared" ca="1" si="15"/>
        <v>78.27</v>
      </c>
      <c r="AB226" s="453">
        <f ca="1">Table29[[#This Row],[Earnings]]-Table29[[#This Row],[4-Week Average]]</f>
        <v>-62.269999999999996</v>
      </c>
    </row>
    <row r="227" spans="1:28" x14ac:dyDescent="0.35">
      <c r="A227" s="445">
        <v>44915</v>
      </c>
      <c r="B227" s="444">
        <v>2021</v>
      </c>
      <c r="C227" s="444">
        <v>52</v>
      </c>
      <c r="D227" s="444">
        <v>13</v>
      </c>
      <c r="E227" s="444" t="s">
        <v>327</v>
      </c>
      <c r="F227" s="445" t="s">
        <v>47</v>
      </c>
      <c r="G227" s="446">
        <v>0.49999999999999922</v>
      </c>
      <c r="H227" s="445" t="s">
        <v>249</v>
      </c>
      <c r="I227" s="444">
        <v>31.5</v>
      </c>
      <c r="J227" s="445" t="s">
        <v>80</v>
      </c>
      <c r="K227" s="447">
        <v>140.16</v>
      </c>
      <c r="L227" s="448">
        <v>8.6199999999999992</v>
      </c>
      <c r="M227" s="444">
        <v>177</v>
      </c>
      <c r="N227" s="444">
        <v>18</v>
      </c>
      <c r="O227" s="447">
        <v>16.259860788863111</v>
      </c>
      <c r="P227" s="449">
        <v>-11.335635090648118</v>
      </c>
      <c r="Q227" s="447">
        <v>7.7866666666666662</v>
      </c>
      <c r="R227" s="447">
        <v>0.79186440677966097</v>
      </c>
      <c r="S227" s="450">
        <v>9.8333333333333339</v>
      </c>
      <c r="T227" s="450">
        <v>2.0881670533642693</v>
      </c>
      <c r="U227" s="240">
        <v>5</v>
      </c>
      <c r="V227" s="451">
        <v>1.9953703703703703E-2</v>
      </c>
      <c r="W227" s="450" t="s">
        <v>176</v>
      </c>
      <c r="X227" s="447">
        <v>16.259860788863111</v>
      </c>
      <c r="Y227" s="447">
        <v>0</v>
      </c>
      <c r="Z227" s="452">
        <v>54.275111111111123</v>
      </c>
      <c r="AA227" s="58">
        <f t="shared" ca="1" si="15"/>
        <v>79.327499999999986</v>
      </c>
      <c r="AB227" s="453">
        <f ca="1">Table29[[#This Row],[Earnings]]-Table29[[#This Row],[4-Week Average]]</f>
        <v>60.83250000000001</v>
      </c>
    </row>
    <row r="228" spans="1:28" x14ac:dyDescent="0.35">
      <c r="A228" s="436">
        <v>44922</v>
      </c>
      <c r="B228" s="435">
        <v>2022</v>
      </c>
      <c r="C228" s="435">
        <v>1</v>
      </c>
      <c r="D228" s="435">
        <v>1</v>
      </c>
      <c r="E228" s="435" t="s">
        <v>278</v>
      </c>
      <c r="F228" s="436" t="s">
        <v>47</v>
      </c>
      <c r="G228" s="437">
        <v>0.72916666666666552</v>
      </c>
      <c r="H228" s="436" t="s">
        <v>235</v>
      </c>
      <c r="I228" s="435">
        <v>31</v>
      </c>
      <c r="J228" s="436" t="s">
        <v>174</v>
      </c>
      <c r="K228" s="438">
        <v>60.18</v>
      </c>
      <c r="L228" s="439">
        <v>3.93</v>
      </c>
      <c r="M228" s="435">
        <v>72.400000000000006</v>
      </c>
      <c r="N228" s="435">
        <v>9</v>
      </c>
      <c r="O228" s="438">
        <v>15.31297709923664</v>
      </c>
      <c r="P228" s="440" t="s">
        <v>393</v>
      </c>
      <c r="Q228" s="438">
        <v>6.6866666666666665</v>
      </c>
      <c r="R228" s="438">
        <v>0.83121546961325965</v>
      </c>
      <c r="S228" s="441">
        <v>8.0444444444444443</v>
      </c>
      <c r="T228" s="441">
        <v>2.2900763358778624</v>
      </c>
      <c r="U228" s="239">
        <v>3</v>
      </c>
      <c r="V228" s="442">
        <v>1.8194444444444447E-2</v>
      </c>
      <c r="W228" s="441" t="s">
        <v>176</v>
      </c>
      <c r="X228" s="438">
        <v>19.350854746801417</v>
      </c>
      <c r="Y228" s="438">
        <v>-4.0378776475647769</v>
      </c>
      <c r="Z228" s="443">
        <v>50.360333333333344</v>
      </c>
      <c r="AA228" s="58">
        <f t="shared" ca="1" si="15"/>
        <v>91.11999999999999</v>
      </c>
      <c r="AB228" s="453">
        <f ca="1">Table29[[#This Row],[Earnings]]-Table29[[#This Row],[4-Week Average]]</f>
        <v>-30.939999999999991</v>
      </c>
    </row>
    <row r="229" spans="1:28" x14ac:dyDescent="0.35">
      <c r="A229" s="445">
        <v>44924</v>
      </c>
      <c r="B229" s="444">
        <v>2022</v>
      </c>
      <c r="C229" s="444">
        <v>1</v>
      </c>
      <c r="D229" s="444">
        <v>1</v>
      </c>
      <c r="E229" s="444" t="s">
        <v>278</v>
      </c>
      <c r="F229" s="445" t="s">
        <v>49</v>
      </c>
      <c r="G229" s="446">
        <v>0.72916666666666552</v>
      </c>
      <c r="H229" s="445" t="s">
        <v>230</v>
      </c>
      <c r="I229" s="444">
        <v>49</v>
      </c>
      <c r="J229" s="445" t="s">
        <v>80</v>
      </c>
      <c r="K229" s="447">
        <v>106.49</v>
      </c>
      <c r="L229" s="448">
        <v>7.1</v>
      </c>
      <c r="M229" s="444">
        <v>137.30000000000001</v>
      </c>
      <c r="N229" s="444">
        <v>10</v>
      </c>
      <c r="O229" s="447">
        <v>14.998591549295774</v>
      </c>
      <c r="P229" s="449">
        <v>-8.1112266325224098</v>
      </c>
      <c r="Q229" s="447">
        <v>10.648999999999999</v>
      </c>
      <c r="R229" s="447">
        <v>0.77560087399854327</v>
      </c>
      <c r="S229" s="450">
        <v>13.73</v>
      </c>
      <c r="T229" s="450">
        <v>1.4084507042253522</v>
      </c>
      <c r="U229" s="240">
        <v>3</v>
      </c>
      <c r="V229" s="451">
        <v>2.9583333333333333E-2</v>
      </c>
      <c r="W229" s="450" t="s">
        <v>176</v>
      </c>
      <c r="X229" s="447">
        <v>18.675659411011523</v>
      </c>
      <c r="Y229" s="447">
        <v>-3.6770678617157486</v>
      </c>
      <c r="Z229" s="452">
        <v>49.461444444444453</v>
      </c>
      <c r="AA229" s="58">
        <f t="shared" ca="1" si="15"/>
        <v>80.707499999999996</v>
      </c>
      <c r="AB229" s="453">
        <f ca="1">Table29[[#This Row],[Earnings]]-Table29[[#This Row],[4-Week Average]]</f>
        <v>25.782499999999999</v>
      </c>
    </row>
    <row r="230" spans="1:28" x14ac:dyDescent="0.35">
      <c r="A230" s="436">
        <v>44925</v>
      </c>
      <c r="B230" s="435">
        <v>2022</v>
      </c>
      <c r="C230" s="435">
        <v>1</v>
      </c>
      <c r="D230" s="435">
        <v>1</v>
      </c>
      <c r="E230" s="435" t="s">
        <v>278</v>
      </c>
      <c r="F230" s="436" t="s">
        <v>50</v>
      </c>
      <c r="G230" s="437">
        <v>0.74999999999999889</v>
      </c>
      <c r="H230" s="436" t="s">
        <v>236</v>
      </c>
      <c r="I230" s="435">
        <v>50.7</v>
      </c>
      <c r="J230" s="436" t="s">
        <v>80</v>
      </c>
      <c r="K230" s="438">
        <v>112.86</v>
      </c>
      <c r="L230" s="439">
        <v>5.8</v>
      </c>
      <c r="M230" s="435">
        <v>141</v>
      </c>
      <c r="N230" s="435">
        <v>8</v>
      </c>
      <c r="O230" s="438">
        <v>19.458620689655174</v>
      </c>
      <c r="P230" s="440">
        <v>0.857682738717223</v>
      </c>
      <c r="Q230" s="438">
        <v>14.1075</v>
      </c>
      <c r="R230" s="438">
        <v>0.80042553191489363</v>
      </c>
      <c r="S230" s="441">
        <v>17.625</v>
      </c>
      <c r="T230" s="441">
        <v>1.3793103448275863</v>
      </c>
      <c r="U230" s="239">
        <v>2</v>
      </c>
      <c r="V230" s="442">
        <v>3.0208333333333334E-2</v>
      </c>
      <c r="W230" s="441" t="s">
        <v>176</v>
      </c>
      <c r="X230" s="438">
        <v>19.988788031661809</v>
      </c>
      <c r="Y230" s="438">
        <v>-0.53016734200663507</v>
      </c>
      <c r="Z230" s="443">
        <v>50.715444444444451</v>
      </c>
      <c r="AA230" s="58">
        <f t="shared" ca="1" si="15"/>
        <v>104.9225</v>
      </c>
      <c r="AB230" s="453">
        <f ca="1">Table29[[#This Row],[Earnings]]-Table29[[#This Row],[4-Week Average]]</f>
        <v>7.9375</v>
      </c>
    </row>
    <row r="231" spans="1:28" x14ac:dyDescent="0.35">
      <c r="A231" s="445">
        <v>44927</v>
      </c>
      <c r="B231" s="444">
        <v>2023</v>
      </c>
      <c r="C231" s="444">
        <v>1</v>
      </c>
      <c r="D231" s="444">
        <v>1</v>
      </c>
      <c r="E231" s="444" t="s">
        <v>278</v>
      </c>
      <c r="F231" s="445" t="s">
        <v>45</v>
      </c>
      <c r="G231" s="446">
        <v>0.64583333333333237</v>
      </c>
      <c r="H231" s="445" t="s">
        <v>249</v>
      </c>
      <c r="I231" s="444">
        <v>46.1</v>
      </c>
      <c r="J231" s="445" t="s">
        <v>80</v>
      </c>
      <c r="K231" s="447">
        <v>155.47</v>
      </c>
      <c r="L231" s="448">
        <v>8.32</v>
      </c>
      <c r="M231" s="444">
        <v>135.5</v>
      </c>
      <c r="N231" s="444">
        <v>15</v>
      </c>
      <c r="O231" s="447">
        <v>18.686298076923077</v>
      </c>
      <c r="P231" s="449">
        <v>-6.441722212931996</v>
      </c>
      <c r="Q231" s="447">
        <v>10.364666666666666</v>
      </c>
      <c r="R231" s="447">
        <v>1.147380073800738</v>
      </c>
      <c r="S231" s="450">
        <v>9.0333333333333332</v>
      </c>
      <c r="T231" s="450">
        <v>1.8028846153846154</v>
      </c>
      <c r="U231" s="240">
        <v>4</v>
      </c>
      <c r="V231" s="451">
        <v>2.311111111111111E-2</v>
      </c>
      <c r="W231" s="450" t="s">
        <v>175</v>
      </c>
      <c r="X231" s="447">
        <v>22.85733102789024</v>
      </c>
      <c r="Y231" s="447">
        <v>-4.1710329509671631</v>
      </c>
      <c r="Z231" s="452">
        <v>51.012555555555565</v>
      </c>
      <c r="AA231" s="58">
        <f t="shared" ca="1" si="15"/>
        <v>108.75</v>
      </c>
      <c r="AB231" s="453">
        <f ca="1">Table29[[#This Row],[Earnings]]-Table29[[#This Row],[4-Week Average]]</f>
        <v>46.72</v>
      </c>
    </row>
    <row r="232" spans="1:28" x14ac:dyDescent="0.35">
      <c r="A232" s="436">
        <v>44929</v>
      </c>
      <c r="B232" s="435">
        <v>2023</v>
      </c>
      <c r="C232" s="435">
        <v>2</v>
      </c>
      <c r="D232" s="435">
        <v>2</v>
      </c>
      <c r="E232" s="435" t="s">
        <v>278</v>
      </c>
      <c r="F232" s="436" t="s">
        <v>47</v>
      </c>
      <c r="G232" s="437">
        <v>0.70833333333333226</v>
      </c>
      <c r="H232" s="436" t="s">
        <v>236</v>
      </c>
      <c r="I232" s="435">
        <v>44.1</v>
      </c>
      <c r="J232" s="436" t="s">
        <v>80</v>
      </c>
      <c r="K232" s="438">
        <v>90.85</v>
      </c>
      <c r="L232" s="439">
        <v>5.75</v>
      </c>
      <c r="M232" s="435">
        <v>94</v>
      </c>
      <c r="N232" s="435">
        <v>10</v>
      </c>
      <c r="O232" s="438">
        <v>15.799999999999999</v>
      </c>
      <c r="P232" s="440">
        <v>-18.456225662584053</v>
      </c>
      <c r="Q232" s="438">
        <v>9.0849999999999991</v>
      </c>
      <c r="R232" s="438">
        <v>0.96648936170212763</v>
      </c>
      <c r="S232" s="441">
        <v>9.4</v>
      </c>
      <c r="T232" s="441">
        <v>1.7391304347826086</v>
      </c>
      <c r="U232" s="239">
        <v>2</v>
      </c>
      <c r="V232" s="442">
        <v>2.3958333333333331E-2</v>
      </c>
      <c r="W232" s="441" t="s">
        <v>176</v>
      </c>
      <c r="X232" s="438">
        <v>19.135593220338983</v>
      </c>
      <c r="Y232" s="438">
        <v>-3.3355932203389838</v>
      </c>
      <c r="Z232" s="443">
        <v>50.554222222222236</v>
      </c>
      <c r="AA232" s="58">
        <f t="shared" ca="1" si="15"/>
        <v>116.41749999999999</v>
      </c>
      <c r="AB232" s="453">
        <f ca="1">Table29[[#This Row],[Earnings]]-Table29[[#This Row],[4-Week Average]]</f>
        <v>-25.567499999999995</v>
      </c>
    </row>
    <row r="233" spans="1:28" x14ac:dyDescent="0.35">
      <c r="A233" s="445">
        <v>44930</v>
      </c>
      <c r="B233" s="444">
        <v>2023</v>
      </c>
      <c r="C233" s="444">
        <v>2</v>
      </c>
      <c r="D233" s="444">
        <v>2</v>
      </c>
      <c r="E233" s="444" t="s">
        <v>278</v>
      </c>
      <c r="F233" s="445" t="s">
        <v>48</v>
      </c>
      <c r="G233" s="446">
        <v>0.64583333333333237</v>
      </c>
      <c r="H233" s="445" t="s">
        <v>233</v>
      </c>
      <c r="I233" s="444">
        <v>32.200000000000003</v>
      </c>
      <c r="J233" s="445" t="s">
        <v>85</v>
      </c>
      <c r="K233" s="447">
        <v>124.46000000000001</v>
      </c>
      <c r="L233" s="448">
        <v>6.4</v>
      </c>
      <c r="M233" s="444">
        <v>113</v>
      </c>
      <c r="N233" s="444">
        <v>13</v>
      </c>
      <c r="O233" s="447">
        <v>19.446874999999999</v>
      </c>
      <c r="P233" s="449" t="s">
        <v>393</v>
      </c>
      <c r="Q233" s="447">
        <v>9.573846153846155</v>
      </c>
      <c r="R233" s="447">
        <v>1.1014159292035399</v>
      </c>
      <c r="S233" s="450">
        <v>8.6923076923076916</v>
      </c>
      <c r="T233" s="450">
        <v>2.03125</v>
      </c>
      <c r="U233" s="240">
        <v>5</v>
      </c>
      <c r="V233" s="451">
        <v>2.0512820512820513E-2</v>
      </c>
      <c r="W233" s="450" t="s">
        <v>175</v>
      </c>
      <c r="X233" s="447">
        <v>20.407605676328505</v>
      </c>
      <c r="Y233" s="447">
        <v>-0.96073067632850595</v>
      </c>
      <c r="Z233" s="452">
        <v>49.967000000000006</v>
      </c>
      <c r="AA233" s="58">
        <f t="shared" ca="1" si="15"/>
        <v>120.91</v>
      </c>
      <c r="AB233" s="453">
        <f ca="1">Table29[[#This Row],[Earnings]]-Table29[[#This Row],[4-Week Average]]</f>
        <v>3.5500000000000114</v>
      </c>
    </row>
    <row r="234" spans="1:28" x14ac:dyDescent="0.35">
      <c r="A234" s="436">
        <v>44931</v>
      </c>
      <c r="B234" s="435">
        <v>2023</v>
      </c>
      <c r="C234" s="435">
        <v>2</v>
      </c>
      <c r="D234" s="435">
        <v>2</v>
      </c>
      <c r="E234" s="435" t="s">
        <v>278</v>
      </c>
      <c r="F234" s="436" t="s">
        <v>49</v>
      </c>
      <c r="G234" s="437">
        <v>0.70833333333333226</v>
      </c>
      <c r="H234" s="436" t="s">
        <v>233</v>
      </c>
      <c r="I234" s="435">
        <v>30.5</v>
      </c>
      <c r="J234" s="436" t="s">
        <v>85</v>
      </c>
      <c r="K234" s="438">
        <v>83.98</v>
      </c>
      <c r="L234" s="439">
        <v>4.9800000000000004</v>
      </c>
      <c r="M234" s="435">
        <v>113</v>
      </c>
      <c r="N234" s="435">
        <v>10</v>
      </c>
      <c r="O234" s="438">
        <v>16.863453815261042</v>
      </c>
      <c r="P234" s="440" t="s">
        <v>393</v>
      </c>
      <c r="Q234" s="438">
        <v>8.3979999999999997</v>
      </c>
      <c r="R234" s="438">
        <v>0.74318584070796467</v>
      </c>
      <c r="S234" s="441">
        <v>11.3</v>
      </c>
      <c r="T234" s="441">
        <v>2.0080321285140559</v>
      </c>
      <c r="U234" s="239">
        <v>3</v>
      </c>
      <c r="V234" s="442">
        <v>2.0750000000000001E-2</v>
      </c>
      <c r="W234" s="441" t="s">
        <v>175</v>
      </c>
      <c r="X234" s="438">
        <v>15.15404435630213</v>
      </c>
      <c r="Y234" s="438">
        <v>1.7094094589589126</v>
      </c>
      <c r="Z234" s="443">
        <v>48.577999999999996</v>
      </c>
      <c r="AA234" s="58">
        <f t="shared" ca="1" si="15"/>
        <v>113.69</v>
      </c>
      <c r="AB234" s="453">
        <f ca="1">Table29[[#This Row],[Earnings]]-Table29[[#This Row],[4-Week Average]]</f>
        <v>-29.709999999999994</v>
      </c>
    </row>
    <row r="235" spans="1:28" x14ac:dyDescent="0.35">
      <c r="A235" s="445">
        <v>44934</v>
      </c>
      <c r="B235" s="444">
        <v>2023</v>
      </c>
      <c r="C235" s="444">
        <v>2</v>
      </c>
      <c r="D235" s="444">
        <v>2</v>
      </c>
      <c r="E235" s="444" t="s">
        <v>278</v>
      </c>
      <c r="F235" s="445" t="s">
        <v>45</v>
      </c>
      <c r="G235" s="446">
        <v>0.74999999999999889</v>
      </c>
      <c r="H235" s="445" t="s">
        <v>249</v>
      </c>
      <c r="I235" s="444">
        <v>34.1</v>
      </c>
      <c r="J235" s="445" t="s">
        <v>174</v>
      </c>
      <c r="K235" s="447">
        <v>77.3</v>
      </c>
      <c r="L235" s="448">
        <v>5.57</v>
      </c>
      <c r="M235" s="444">
        <v>114.4</v>
      </c>
      <c r="N235" s="444">
        <v>9</v>
      </c>
      <c r="O235" s="447">
        <v>13.877917414721722</v>
      </c>
      <c r="P235" s="449" t="s">
        <v>393</v>
      </c>
      <c r="Q235" s="447">
        <v>8.5888888888888886</v>
      </c>
      <c r="R235" s="447">
        <v>0.67569930069930062</v>
      </c>
      <c r="S235" s="450">
        <v>12.711111111111112</v>
      </c>
      <c r="T235" s="450">
        <v>1.6157989228007181</v>
      </c>
      <c r="U235" s="240">
        <v>2</v>
      </c>
      <c r="V235" s="451">
        <v>2.5787037037037039E-2</v>
      </c>
      <c r="W235" s="450" t="s">
        <v>176</v>
      </c>
      <c r="X235" s="447">
        <v>17.041251039326678</v>
      </c>
      <c r="Y235" s="447">
        <v>-3.1633336246049559</v>
      </c>
      <c r="Z235" s="452">
        <v>47.142888888888884</v>
      </c>
      <c r="AA235" s="58">
        <f t="shared" ca="1" si="15"/>
        <v>94.147500000000008</v>
      </c>
      <c r="AB235" s="453">
        <f ca="1">Table29[[#This Row],[Earnings]]-Table29[[#This Row],[4-Week Average]]</f>
        <v>-16.847500000000011</v>
      </c>
    </row>
    <row r="236" spans="1:28" x14ac:dyDescent="0.35">
      <c r="A236" s="436">
        <v>44935</v>
      </c>
      <c r="B236" s="435">
        <v>2023</v>
      </c>
      <c r="C236" s="435">
        <v>3</v>
      </c>
      <c r="D236" s="435">
        <v>3</v>
      </c>
      <c r="E236" s="435" t="s">
        <v>278</v>
      </c>
      <c r="F236" s="436" t="s">
        <v>46</v>
      </c>
      <c r="G236" s="437">
        <v>0.72916666666666552</v>
      </c>
      <c r="H236" s="436" t="s">
        <v>249</v>
      </c>
      <c r="I236" s="435">
        <v>27</v>
      </c>
      <c r="J236" s="436" t="s">
        <v>82</v>
      </c>
      <c r="K236" s="438">
        <v>104.72</v>
      </c>
      <c r="L236" s="439">
        <v>5.72</v>
      </c>
      <c r="M236" s="435">
        <v>111</v>
      </c>
      <c r="N236" s="435">
        <v>11</v>
      </c>
      <c r="O236" s="438">
        <v>18.307692307692307</v>
      </c>
      <c r="P236" s="440" t="s">
        <v>393</v>
      </c>
      <c r="Q236" s="438">
        <v>9.52</v>
      </c>
      <c r="R236" s="438">
        <v>0.94342342342342345</v>
      </c>
      <c r="S236" s="441">
        <v>10.090909090909092</v>
      </c>
      <c r="T236" s="441">
        <v>1.9230769230769231</v>
      </c>
      <c r="U236" s="239">
        <v>4</v>
      </c>
      <c r="V236" s="442">
        <v>2.1666666666666667E-2</v>
      </c>
      <c r="W236" s="441" t="s">
        <v>176</v>
      </c>
      <c r="X236" s="438">
        <v>20.098029868779264</v>
      </c>
      <c r="Y236" s="438">
        <v>-1.7903375610869574</v>
      </c>
      <c r="Z236" s="443">
        <v>47.495111111111115</v>
      </c>
      <c r="AA236" s="58">
        <f t="shared" ca="1" si="15"/>
        <v>97.615000000000009</v>
      </c>
      <c r="AB236" s="453">
        <f ca="1">Table29[[#This Row],[Earnings]]-Table29[[#This Row],[4-Week Average]]</f>
        <v>7.1049999999999898</v>
      </c>
    </row>
    <row r="237" spans="1:28" x14ac:dyDescent="0.35">
      <c r="A237" s="445">
        <v>44936</v>
      </c>
      <c r="B237" s="444">
        <v>2023</v>
      </c>
      <c r="C237" s="444">
        <v>3</v>
      </c>
      <c r="D237" s="444">
        <v>3</v>
      </c>
      <c r="E237" s="444" t="s">
        <v>278</v>
      </c>
      <c r="F237" s="445" t="s">
        <v>47</v>
      </c>
      <c r="G237" s="446">
        <v>0.74999999999999889</v>
      </c>
      <c r="H237" s="445" t="s">
        <v>230</v>
      </c>
      <c r="I237" s="444">
        <v>27.1</v>
      </c>
      <c r="J237" s="445" t="s">
        <v>174</v>
      </c>
      <c r="K237" s="447">
        <v>92.65</v>
      </c>
      <c r="L237" s="448">
        <v>5.5</v>
      </c>
      <c r="M237" s="444">
        <v>128</v>
      </c>
      <c r="N237" s="444">
        <v>9</v>
      </c>
      <c r="O237" s="447">
        <v>16.845454545454547</v>
      </c>
      <c r="P237" s="449">
        <v>1.5324774462179072</v>
      </c>
      <c r="Q237" s="447">
        <v>10.294444444444444</v>
      </c>
      <c r="R237" s="447">
        <v>0.72382812500000004</v>
      </c>
      <c r="S237" s="450">
        <v>14.222222222222221</v>
      </c>
      <c r="T237" s="450">
        <v>1.6363636363636365</v>
      </c>
      <c r="U237" s="240">
        <v>4</v>
      </c>
      <c r="V237" s="451">
        <v>2.5462962962962965E-2</v>
      </c>
      <c r="W237" s="450" t="s">
        <v>176</v>
      </c>
      <c r="X237" s="447">
        <v>24.309841019700176</v>
      </c>
      <c r="Y237" s="447">
        <v>-7.4643864742456287</v>
      </c>
      <c r="Z237" s="452">
        <v>47.513999999999996</v>
      </c>
      <c r="AA237" s="58">
        <f t="shared" ca="1" si="15"/>
        <v>89.662499999999994</v>
      </c>
      <c r="AB237" s="453">
        <f ca="1">Table29[[#This Row],[Earnings]]-Table29[[#This Row],[4-Week Average]]</f>
        <v>2.9875000000000114</v>
      </c>
    </row>
    <row r="238" spans="1:28" x14ac:dyDescent="0.35">
      <c r="A238" s="436">
        <v>44937</v>
      </c>
      <c r="B238" s="435">
        <v>2023</v>
      </c>
      <c r="C238" s="435">
        <v>3</v>
      </c>
      <c r="D238" s="435">
        <v>3</v>
      </c>
      <c r="E238" s="435" t="s">
        <v>278</v>
      </c>
      <c r="F238" s="436" t="s">
        <v>48</v>
      </c>
      <c r="G238" s="437">
        <v>0.74999999999999889</v>
      </c>
      <c r="H238" s="436" t="s">
        <v>233</v>
      </c>
      <c r="I238" s="435">
        <v>32.1</v>
      </c>
      <c r="J238" s="436" t="s">
        <v>82</v>
      </c>
      <c r="K238" s="438">
        <v>7.5</v>
      </c>
      <c r="L238" s="439">
        <v>0.45</v>
      </c>
      <c r="M238" s="435">
        <v>9</v>
      </c>
      <c r="N238" s="435">
        <v>1</v>
      </c>
      <c r="O238" s="438">
        <v>16.666666666666668</v>
      </c>
      <c r="P238" s="440" t="s">
        <v>393</v>
      </c>
      <c r="Q238" s="438">
        <v>7.5</v>
      </c>
      <c r="R238" s="438">
        <v>0.83333333333333337</v>
      </c>
      <c r="S238" s="441">
        <v>9</v>
      </c>
      <c r="T238" s="441">
        <v>2.2222222222222223</v>
      </c>
      <c r="U238" s="239">
        <v>1</v>
      </c>
      <c r="V238" s="442">
        <v>1.8749999999999999E-2</v>
      </c>
      <c r="W238" s="441" t="s">
        <v>176</v>
      </c>
      <c r="X238" s="438">
        <v>16.666666666666668</v>
      </c>
      <c r="Y238" s="438">
        <v>0</v>
      </c>
      <c r="Z238" s="443">
        <v>47.597333333333324</v>
      </c>
      <c r="AA238" s="58">
        <f t="shared" ca="1" si="15"/>
        <v>70.54249999999999</v>
      </c>
      <c r="AB238" s="453">
        <f ca="1">Table29[[#This Row],[Earnings]]-Table29[[#This Row],[4-Week Average]]</f>
        <v>-63.04249999999999</v>
      </c>
    </row>
    <row r="239" spans="1:28" x14ac:dyDescent="0.35">
      <c r="A239" s="445">
        <v>44938</v>
      </c>
      <c r="B239" s="444">
        <v>2023</v>
      </c>
      <c r="C239" s="444">
        <v>3</v>
      </c>
      <c r="D239" s="444">
        <v>3</v>
      </c>
      <c r="E239" s="444" t="s">
        <v>278</v>
      </c>
      <c r="F239" s="445" t="s">
        <v>49</v>
      </c>
      <c r="G239" s="446">
        <v>0.72916666666666552</v>
      </c>
      <c r="H239" s="445" t="s">
        <v>236</v>
      </c>
      <c r="I239" s="444">
        <v>51.9</v>
      </c>
      <c r="J239" s="445" t="s">
        <v>174</v>
      </c>
      <c r="K239" s="447">
        <v>79.02000000000001</v>
      </c>
      <c r="L239" s="448">
        <v>6.23</v>
      </c>
      <c r="M239" s="444">
        <v>122</v>
      </c>
      <c r="N239" s="444">
        <v>8</v>
      </c>
      <c r="O239" s="447">
        <v>12.68378812199037</v>
      </c>
      <c r="P239" s="449" t="s">
        <v>393</v>
      </c>
      <c r="Q239" s="447">
        <v>9.8775000000000013</v>
      </c>
      <c r="R239" s="447">
        <v>0.64770491803278696</v>
      </c>
      <c r="S239" s="450">
        <v>15.25</v>
      </c>
      <c r="T239" s="450">
        <v>1.2841091492776886</v>
      </c>
      <c r="U239" s="240">
        <v>3</v>
      </c>
      <c r="V239" s="451">
        <v>3.2447916666666667E-2</v>
      </c>
      <c r="W239" s="450" t="s">
        <v>176</v>
      </c>
      <c r="X239" s="447">
        <v>16.934665145332534</v>
      </c>
      <c r="Y239" s="447">
        <v>-4.2508770233421647</v>
      </c>
      <c r="Z239" s="452">
        <v>46.50277777777778</v>
      </c>
      <c r="AA239" s="58">
        <f t="shared" ca="1" si="15"/>
        <v>70.972499999999997</v>
      </c>
      <c r="AB239" s="453">
        <f ca="1">Table29[[#This Row],[Earnings]]-Table29[[#This Row],[4-Week Average]]</f>
        <v>8.0475000000000136</v>
      </c>
    </row>
    <row r="240" spans="1:28" x14ac:dyDescent="0.35">
      <c r="A240" s="436">
        <v>44939</v>
      </c>
      <c r="B240" s="435">
        <v>2023</v>
      </c>
      <c r="C240" s="435">
        <v>3</v>
      </c>
      <c r="D240" s="435">
        <v>3</v>
      </c>
      <c r="E240" s="435" t="s">
        <v>278</v>
      </c>
      <c r="F240" s="436" t="s">
        <v>50</v>
      </c>
      <c r="G240" s="437">
        <v>0.72916666666666552</v>
      </c>
      <c r="H240" s="436" t="s">
        <v>233</v>
      </c>
      <c r="I240" s="435">
        <v>27.9</v>
      </c>
      <c r="J240" s="436" t="s">
        <v>82</v>
      </c>
      <c r="K240" s="438">
        <v>208.07</v>
      </c>
      <c r="L240" s="439">
        <v>9.07</v>
      </c>
      <c r="M240" s="435">
        <v>109</v>
      </c>
      <c r="N240" s="435">
        <v>21</v>
      </c>
      <c r="O240" s="438">
        <v>22.940463065049613</v>
      </c>
      <c r="P240" s="440" t="s">
        <v>393</v>
      </c>
      <c r="Q240" s="438">
        <v>9.9080952380952372</v>
      </c>
      <c r="R240" s="438">
        <v>1.9088990825688072</v>
      </c>
      <c r="S240" s="441">
        <v>5.1904761904761907</v>
      </c>
      <c r="T240" s="441">
        <v>2.3153252480705624</v>
      </c>
      <c r="U240" s="239">
        <v>2</v>
      </c>
      <c r="V240" s="442">
        <v>1.7996031746031746E-2</v>
      </c>
      <c r="W240" s="441" t="s">
        <v>176</v>
      </c>
      <c r="X240" s="438">
        <v>20.597288205285317</v>
      </c>
      <c r="Y240" s="438">
        <v>2.3431748597642965</v>
      </c>
      <c r="Z240" s="443">
        <v>48.81466666666666</v>
      </c>
      <c r="AA240" s="58">
        <f t="shared" ca="1" si="15"/>
        <v>96.81</v>
      </c>
      <c r="AB240" s="453">
        <f ca="1">Table29[[#This Row],[Earnings]]-Table29[[#This Row],[4-Week Average]]</f>
        <v>111.25999999999999</v>
      </c>
    </row>
    <row r="241" spans="1:28" x14ac:dyDescent="0.35">
      <c r="A241" s="445">
        <v>44942</v>
      </c>
      <c r="B241" s="444">
        <v>2023</v>
      </c>
      <c r="C241" s="444">
        <v>4</v>
      </c>
      <c r="D241" s="444">
        <v>4</v>
      </c>
      <c r="E241" s="444" t="s">
        <v>278</v>
      </c>
      <c r="F241" s="445" t="s">
        <v>46</v>
      </c>
      <c r="G241" s="446">
        <v>0.70833333333333226</v>
      </c>
      <c r="H241" s="445" t="s">
        <v>233</v>
      </c>
      <c r="I241" s="444">
        <v>37.1</v>
      </c>
      <c r="J241" s="445" t="s">
        <v>174</v>
      </c>
      <c r="K241" s="447">
        <v>93.289999999999992</v>
      </c>
      <c r="L241" s="448">
        <v>6.15</v>
      </c>
      <c r="M241" s="444">
        <v>141</v>
      </c>
      <c r="N241" s="444">
        <v>10</v>
      </c>
      <c r="O241" s="447">
        <v>15.169105691056908</v>
      </c>
      <c r="P241" s="449" t="s">
        <v>393</v>
      </c>
      <c r="Q241" s="447">
        <v>9.3289999999999988</v>
      </c>
      <c r="R241" s="447">
        <v>0.66163120567375877</v>
      </c>
      <c r="S241" s="450">
        <v>14.1</v>
      </c>
      <c r="T241" s="450">
        <v>1.6260162601626016</v>
      </c>
      <c r="U241" s="240">
        <v>3</v>
      </c>
      <c r="V241" s="451">
        <v>2.5624999999999998E-2</v>
      </c>
      <c r="W241" s="450" t="s">
        <v>176</v>
      </c>
      <c r="X241" s="447">
        <v>17.658323337331733</v>
      </c>
      <c r="Y241" s="447">
        <v>-2.4892176462748257</v>
      </c>
      <c r="Z241" s="452">
        <v>49.851222222222219</v>
      </c>
      <c r="AA241" s="58">
        <f t="shared" ca="1" si="15"/>
        <v>96.97</v>
      </c>
      <c r="AB241" s="453">
        <f ca="1">Table29[[#This Row],[Earnings]]-Table29[[#This Row],[4-Week Average]]</f>
        <v>-3.6800000000000068</v>
      </c>
    </row>
    <row r="242" spans="1:28" x14ac:dyDescent="0.35">
      <c r="A242" s="436">
        <v>44945</v>
      </c>
      <c r="B242" s="435">
        <v>2023</v>
      </c>
      <c r="C242" s="435">
        <v>4</v>
      </c>
      <c r="D242" s="435">
        <v>4</v>
      </c>
      <c r="E242" s="435" t="s">
        <v>278</v>
      </c>
      <c r="F242" s="436" t="s">
        <v>49</v>
      </c>
      <c r="G242" s="437">
        <v>0.70833333333333226</v>
      </c>
      <c r="H242" s="436" t="s">
        <v>232</v>
      </c>
      <c r="I242" s="435">
        <v>26.6</v>
      </c>
      <c r="J242" s="436" t="s">
        <v>82</v>
      </c>
      <c r="K242" s="438">
        <v>129.25</v>
      </c>
      <c r="L242" s="439">
        <v>6.52</v>
      </c>
      <c r="M242" s="435">
        <v>82</v>
      </c>
      <c r="N242" s="435">
        <v>14</v>
      </c>
      <c r="O242" s="438">
        <v>19.823619631901842</v>
      </c>
      <c r="P242" s="440">
        <v>1.5911196319018401</v>
      </c>
      <c r="Q242" s="438">
        <v>9.2321428571428577</v>
      </c>
      <c r="R242" s="438">
        <v>1.5762195121951219</v>
      </c>
      <c r="S242" s="441">
        <v>5.8571428571428568</v>
      </c>
      <c r="T242" s="441">
        <v>2.147239263803681</v>
      </c>
      <c r="U242" s="239">
        <v>5</v>
      </c>
      <c r="V242" s="442">
        <v>1.9404761904761904E-2</v>
      </c>
      <c r="W242" s="441" t="s">
        <v>176</v>
      </c>
      <c r="X242" s="438">
        <v>21.955737464529733</v>
      </c>
      <c r="Y242" s="438">
        <v>-2.1321178326278911</v>
      </c>
      <c r="Z242" s="443">
        <v>51.287333333333329</v>
      </c>
      <c r="AA242" s="58">
        <f t="shared" ca="1" si="15"/>
        <v>127.4075</v>
      </c>
      <c r="AB242" s="453">
        <f ca="1">Table29[[#This Row],[Earnings]]-Table29[[#This Row],[4-Week Average]]</f>
        <v>1.8425000000000011</v>
      </c>
    </row>
    <row r="243" spans="1:28" x14ac:dyDescent="0.35">
      <c r="A243" s="445">
        <v>44947</v>
      </c>
      <c r="B243" s="444">
        <v>2023</v>
      </c>
      <c r="C243" s="444">
        <v>4</v>
      </c>
      <c r="D243" s="444">
        <v>4</v>
      </c>
      <c r="E243" s="444" t="s">
        <v>278</v>
      </c>
      <c r="F243" s="445" t="s">
        <v>51</v>
      </c>
      <c r="G243" s="446">
        <v>0.72916666666666552</v>
      </c>
      <c r="H243" s="445" t="s">
        <v>234</v>
      </c>
      <c r="I243" s="444">
        <v>29.3</v>
      </c>
      <c r="J243" s="445" t="s">
        <v>174</v>
      </c>
      <c r="K243" s="447">
        <v>148.47999999999999</v>
      </c>
      <c r="L243" s="448">
        <v>7.9</v>
      </c>
      <c r="M243" s="444">
        <v>194</v>
      </c>
      <c r="N243" s="444">
        <v>13</v>
      </c>
      <c r="O243" s="447">
        <v>18.794936708860757</v>
      </c>
      <c r="P243" s="449" t="s">
        <v>393</v>
      </c>
      <c r="Q243" s="447">
        <v>11.421538461538461</v>
      </c>
      <c r="R243" s="447">
        <v>0.76536082474226796</v>
      </c>
      <c r="S243" s="450">
        <v>14.923076923076923</v>
      </c>
      <c r="T243" s="450">
        <v>1.6455696202531644</v>
      </c>
      <c r="U243" s="240">
        <v>4</v>
      </c>
      <c r="V243" s="451">
        <v>2.5320512820512824E-2</v>
      </c>
      <c r="W243" s="450" t="s">
        <v>176</v>
      </c>
      <c r="X243" s="447">
        <v>21.782255826466173</v>
      </c>
      <c r="Y243" s="447">
        <v>-2.9873191176054164</v>
      </c>
      <c r="Z243" s="452">
        <v>52.937111111111101</v>
      </c>
      <c r="AA243" s="58">
        <f t="shared" ca="1" si="15"/>
        <v>144.77250000000001</v>
      </c>
      <c r="AB243" s="453">
        <f ca="1">Table29[[#This Row],[Earnings]]-Table29[[#This Row],[4-Week Average]]</f>
        <v>3.7074999999999818</v>
      </c>
    </row>
    <row r="244" spans="1:28" x14ac:dyDescent="0.35">
      <c r="A244" s="436">
        <v>44951</v>
      </c>
      <c r="B244" s="435">
        <v>2023</v>
      </c>
      <c r="C244" s="435">
        <v>5</v>
      </c>
      <c r="D244" s="435">
        <v>5</v>
      </c>
      <c r="E244" s="435" t="s">
        <v>278</v>
      </c>
      <c r="F244" s="436" t="s">
        <v>48</v>
      </c>
      <c r="G244" s="437">
        <v>0.72916666666666552</v>
      </c>
      <c r="H244" s="436" t="s">
        <v>232</v>
      </c>
      <c r="I244" s="435">
        <v>42</v>
      </c>
      <c r="J244" s="436" t="s">
        <v>174</v>
      </c>
      <c r="K244" s="438">
        <v>43.54</v>
      </c>
      <c r="L244" s="439">
        <v>2.52</v>
      </c>
      <c r="M244" s="435">
        <v>60</v>
      </c>
      <c r="N244" s="435">
        <v>6</v>
      </c>
      <c r="O244" s="438">
        <v>17.277777777777779</v>
      </c>
      <c r="P244" s="440" t="s">
        <v>393</v>
      </c>
      <c r="Q244" s="438">
        <v>7.2566666666666668</v>
      </c>
      <c r="R244" s="438">
        <v>0.72566666666666668</v>
      </c>
      <c r="S244" s="441">
        <v>10</v>
      </c>
      <c r="T244" s="441">
        <v>2.3809523809523809</v>
      </c>
      <c r="U244" s="239">
        <v>2</v>
      </c>
      <c r="V244" s="442">
        <v>1.7499999999999998E-2</v>
      </c>
      <c r="W244" s="441" t="s">
        <v>176</v>
      </c>
      <c r="X244" s="438">
        <v>15.690709617180207</v>
      </c>
      <c r="Y244" s="438">
        <v>1.5870681605975712</v>
      </c>
      <c r="Z244" s="443">
        <v>53.420888888888882</v>
      </c>
      <c r="AA244" s="58">
        <f t="shared" ca="1" si="15"/>
        <v>103.64</v>
      </c>
      <c r="AB244" s="453">
        <f ca="1">Table29[[#This Row],[Earnings]]-Table29[[#This Row],[4-Week Average]]</f>
        <v>-60.1</v>
      </c>
    </row>
    <row r="245" spans="1:28" x14ac:dyDescent="0.35">
      <c r="A245" s="445">
        <v>44952</v>
      </c>
      <c r="B245" s="444">
        <v>2023</v>
      </c>
      <c r="C245" s="444">
        <v>5</v>
      </c>
      <c r="D245" s="444">
        <v>5</v>
      </c>
      <c r="E245" s="444" t="s">
        <v>278</v>
      </c>
      <c r="F245" s="445" t="s">
        <v>49</v>
      </c>
      <c r="G245" s="446">
        <v>0.70833333333333226</v>
      </c>
      <c r="H245" s="445" t="s">
        <v>249</v>
      </c>
      <c r="I245" s="444">
        <v>32.4</v>
      </c>
      <c r="J245" s="445" t="s">
        <v>82</v>
      </c>
      <c r="K245" s="447">
        <v>130.32</v>
      </c>
      <c r="L245" s="448">
        <v>6.28</v>
      </c>
      <c r="M245" s="444">
        <v>83</v>
      </c>
      <c r="N245" s="444">
        <v>13</v>
      </c>
      <c r="O245" s="447">
        <v>20.751592356687897</v>
      </c>
      <c r="P245" s="449">
        <v>1.7235325407369757</v>
      </c>
      <c r="Q245" s="447">
        <v>10.024615384615384</v>
      </c>
      <c r="R245" s="447">
        <v>1.5701204819277108</v>
      </c>
      <c r="S245" s="450">
        <v>6.384615384615385</v>
      </c>
      <c r="T245" s="450">
        <v>2.0700636942675157</v>
      </c>
      <c r="U245" s="240">
        <v>4</v>
      </c>
      <c r="V245" s="451">
        <v>2.0128205128205127E-2</v>
      </c>
      <c r="W245" s="450" t="s">
        <v>176</v>
      </c>
      <c r="X245" s="447">
        <v>19.482607323854786</v>
      </c>
      <c r="Y245" s="447">
        <v>1.2689850328331111</v>
      </c>
      <c r="Z245" s="452">
        <v>54.868888888888875</v>
      </c>
      <c r="AA245" s="58">
        <f t="shared" ca="1" si="15"/>
        <v>112.89750000000001</v>
      </c>
      <c r="AB245" s="453">
        <f ca="1">Table29[[#This Row],[Earnings]]-Table29[[#This Row],[4-Week Average]]</f>
        <v>17.422499999999985</v>
      </c>
    </row>
    <row r="246" spans="1:28" x14ac:dyDescent="0.35">
      <c r="A246" s="436">
        <v>44953</v>
      </c>
      <c r="B246" s="435">
        <v>2023</v>
      </c>
      <c r="C246" s="435">
        <v>5</v>
      </c>
      <c r="D246" s="435">
        <v>5</v>
      </c>
      <c r="E246" s="435" t="s">
        <v>278</v>
      </c>
      <c r="F246" s="436" t="s">
        <v>50</v>
      </c>
      <c r="G246" s="437">
        <v>0.77083333333333215</v>
      </c>
      <c r="H246" s="436" t="s">
        <v>249</v>
      </c>
      <c r="I246" s="435">
        <v>38.9</v>
      </c>
      <c r="J246" s="436" t="s">
        <v>174</v>
      </c>
      <c r="K246" s="438">
        <v>83.08</v>
      </c>
      <c r="L246" s="439">
        <v>5.88</v>
      </c>
      <c r="M246" s="435">
        <v>116</v>
      </c>
      <c r="N246" s="435">
        <v>11</v>
      </c>
      <c r="O246" s="438">
        <v>14.129251700680273</v>
      </c>
      <c r="P246" s="440" t="s">
        <v>393</v>
      </c>
      <c r="Q246" s="438">
        <v>7.5527272727272727</v>
      </c>
      <c r="R246" s="438">
        <v>0.71620689655172409</v>
      </c>
      <c r="S246" s="441">
        <v>10.545454545454545</v>
      </c>
      <c r="T246" s="441">
        <v>1.870748299319728</v>
      </c>
      <c r="U246" s="239">
        <v>2</v>
      </c>
      <c r="V246" s="442">
        <v>2.2272727272727274E-2</v>
      </c>
      <c r="W246" s="441" t="s">
        <v>176</v>
      </c>
      <c r="X246" s="438">
        <v>15.426890001283532</v>
      </c>
      <c r="Y246" s="438">
        <v>-1.2976383006032588</v>
      </c>
      <c r="Z246" s="443">
        <v>55.791999999999987</v>
      </c>
      <c r="AA246" s="58">
        <f t="shared" ca="1" si="15"/>
        <v>101.35499999999999</v>
      </c>
      <c r="AB246" s="453">
        <f ca="1">Table29[[#This Row],[Earnings]]-Table29[[#This Row],[4-Week Average]]</f>
        <v>-18.274999999999991</v>
      </c>
    </row>
    <row r="247" spans="1:28" x14ac:dyDescent="0.35">
      <c r="A247" s="445">
        <v>44954</v>
      </c>
      <c r="B247" s="444">
        <v>2023</v>
      </c>
      <c r="C247" s="444">
        <v>5</v>
      </c>
      <c r="D247" s="444">
        <v>5</v>
      </c>
      <c r="E247" s="444" t="s">
        <v>278</v>
      </c>
      <c r="F247" s="445" t="s">
        <v>51</v>
      </c>
      <c r="G247" s="446">
        <v>0.72916666666666552</v>
      </c>
      <c r="H247" s="445" t="s">
        <v>236</v>
      </c>
      <c r="I247" s="444">
        <v>40.799999999999997</v>
      </c>
      <c r="J247" s="445" t="s">
        <v>80</v>
      </c>
      <c r="K247" s="447">
        <v>97.110000000000014</v>
      </c>
      <c r="L247" s="448">
        <v>5.33</v>
      </c>
      <c r="M247" s="444">
        <v>118</v>
      </c>
      <c r="N247" s="444">
        <v>11</v>
      </c>
      <c r="O247" s="447">
        <v>18.219512195121954</v>
      </c>
      <c r="P247" s="449">
        <v>-10.236508955587187</v>
      </c>
      <c r="Q247" s="447">
        <v>8.8281818181818199</v>
      </c>
      <c r="R247" s="447">
        <v>0.82296610169491535</v>
      </c>
      <c r="S247" s="450">
        <v>10.727272727272727</v>
      </c>
      <c r="T247" s="450">
        <v>2.0637898686679175</v>
      </c>
      <c r="U247" s="240">
        <v>4</v>
      </c>
      <c r="V247" s="451">
        <v>2.0189393939393941E-2</v>
      </c>
      <c r="W247" s="450" t="s">
        <v>175</v>
      </c>
      <c r="X247" s="447">
        <v>19.039721119304218</v>
      </c>
      <c r="Y247" s="447">
        <v>-0.8202089241822641</v>
      </c>
      <c r="Z247" s="452">
        <v>56.870999999999981</v>
      </c>
      <c r="AA247" s="58">
        <f t="shared" ca="1" si="15"/>
        <v>88.512500000000003</v>
      </c>
      <c r="AB247" s="453">
        <f ca="1">Table29[[#This Row],[Earnings]]-Table29[[#This Row],[4-Week Average]]</f>
        <v>8.5975000000000108</v>
      </c>
    </row>
    <row r="248" spans="1:28" x14ac:dyDescent="0.35">
      <c r="A248" s="436">
        <v>44957</v>
      </c>
      <c r="B248" s="435">
        <v>2023</v>
      </c>
      <c r="C248" s="435">
        <v>6</v>
      </c>
      <c r="D248" s="435">
        <v>6</v>
      </c>
      <c r="E248" s="435" t="s">
        <v>278</v>
      </c>
      <c r="F248" s="436" t="s">
        <v>47</v>
      </c>
      <c r="G248" s="437">
        <v>0.70833333333333226</v>
      </c>
      <c r="H248" s="436" t="s">
        <v>234</v>
      </c>
      <c r="I248" s="435">
        <v>19.7</v>
      </c>
      <c r="J248" s="436" t="s">
        <v>80</v>
      </c>
      <c r="K248" s="438">
        <v>198.9</v>
      </c>
      <c r="L248" s="439">
        <v>5.43</v>
      </c>
      <c r="M248" s="435">
        <v>110</v>
      </c>
      <c r="N248" s="435">
        <v>11</v>
      </c>
      <c r="O248" s="438">
        <v>36.629834254143653</v>
      </c>
      <c r="P248" s="440">
        <v>6.9876650072056172</v>
      </c>
      <c r="Q248" s="438">
        <v>18.081818181818182</v>
      </c>
      <c r="R248" s="438">
        <v>1.8081818181818183</v>
      </c>
      <c r="S248" s="441">
        <v>10</v>
      </c>
      <c r="T248" s="441">
        <v>2.0257826887661143</v>
      </c>
      <c r="U248" s="239">
        <v>2</v>
      </c>
      <c r="V248" s="442">
        <v>2.0568181818181815E-2</v>
      </c>
      <c r="W248" s="441" t="s">
        <v>176</v>
      </c>
      <c r="X248" s="438">
        <v>23.735051355259746</v>
      </c>
      <c r="Y248" s="438">
        <v>12.894782898883907</v>
      </c>
      <c r="Z248" s="443">
        <v>59.080999999999982</v>
      </c>
      <c r="AA248" s="58">
        <f t="shared" ca="1" si="15"/>
        <v>127.35249999999999</v>
      </c>
      <c r="AB248" s="453">
        <f ca="1">Table29[[#This Row],[Earnings]]-Table29[[#This Row],[4-Week Average]]</f>
        <v>71.547500000000014</v>
      </c>
    </row>
    <row r="249" spans="1:28" x14ac:dyDescent="0.35">
      <c r="A249" s="445">
        <v>44958</v>
      </c>
      <c r="B249" s="444">
        <v>2023</v>
      </c>
      <c r="C249" s="444">
        <v>6</v>
      </c>
      <c r="D249" s="444">
        <v>6</v>
      </c>
      <c r="E249" s="444" t="s">
        <v>278</v>
      </c>
      <c r="F249" s="445" t="s">
        <v>48</v>
      </c>
      <c r="G249" s="446">
        <v>0.72916666666666552</v>
      </c>
      <c r="H249" s="445" t="s">
        <v>249</v>
      </c>
      <c r="I249" s="444">
        <v>26.1</v>
      </c>
      <c r="J249" s="445" t="s">
        <v>82</v>
      </c>
      <c r="K249" s="447">
        <v>106.4</v>
      </c>
      <c r="L249" s="448">
        <v>4.47</v>
      </c>
      <c r="M249" s="444">
        <v>53</v>
      </c>
      <c r="N249" s="444">
        <v>11</v>
      </c>
      <c r="O249" s="447">
        <v>23.803131991051458</v>
      </c>
      <c r="P249" s="449">
        <v>7.1364653243847904</v>
      </c>
      <c r="Q249" s="447">
        <v>9.6727272727272737</v>
      </c>
      <c r="R249" s="447">
        <v>2.0075471698113208</v>
      </c>
      <c r="S249" s="450">
        <v>4.8181818181818183</v>
      </c>
      <c r="T249" s="450">
        <v>2.4608501118568236</v>
      </c>
      <c r="U249" s="240">
        <v>4</v>
      </c>
      <c r="V249" s="451">
        <v>1.693181818181818E-2</v>
      </c>
      <c r="W249" s="450" t="s">
        <v>176</v>
      </c>
      <c r="X249" s="447">
        <v>21.938596739633184</v>
      </c>
      <c r="Y249" s="447">
        <v>1.8645352514182747</v>
      </c>
      <c r="Z249" s="452">
        <v>60.263222222222197</v>
      </c>
      <c r="AA249" s="58">
        <f t="shared" ca="1" si="15"/>
        <v>121.3725</v>
      </c>
      <c r="AB249" s="453">
        <f ca="1">Table29[[#This Row],[Earnings]]-Table29[[#This Row],[4-Week Average]]</f>
        <v>-14.972499999999997</v>
      </c>
    </row>
    <row r="250" spans="1:28" x14ac:dyDescent="0.35">
      <c r="A250" s="436">
        <v>44964</v>
      </c>
      <c r="B250" s="435">
        <v>2023</v>
      </c>
      <c r="C250" s="435">
        <v>7</v>
      </c>
      <c r="D250" s="435">
        <v>7</v>
      </c>
      <c r="E250" s="435" t="s">
        <v>278</v>
      </c>
      <c r="F250" s="436" t="s">
        <v>47</v>
      </c>
      <c r="G250" s="437">
        <v>0.72916666666666552</v>
      </c>
      <c r="H250" s="436" t="s">
        <v>235</v>
      </c>
      <c r="I250" s="435">
        <v>39.5</v>
      </c>
      <c r="J250" s="436" t="s">
        <v>82</v>
      </c>
      <c r="K250" s="438">
        <v>126.11</v>
      </c>
      <c r="L250" s="439">
        <v>5.38</v>
      </c>
      <c r="M250" s="435">
        <v>78</v>
      </c>
      <c r="N250" s="435">
        <v>12</v>
      </c>
      <c r="O250" s="438">
        <v>23.440520446096656</v>
      </c>
      <c r="P250" s="440">
        <v>3.773853779429988</v>
      </c>
      <c r="Q250" s="438">
        <v>10.509166666666667</v>
      </c>
      <c r="R250" s="438">
        <v>1.6167948717948717</v>
      </c>
      <c r="S250" s="441">
        <v>6.5</v>
      </c>
      <c r="T250" s="441">
        <v>2.2304832713754648</v>
      </c>
      <c r="U250" s="239">
        <v>4</v>
      </c>
      <c r="V250" s="442">
        <v>1.8680555555555554E-2</v>
      </c>
      <c r="W250" s="441" t="s">
        <v>176</v>
      </c>
      <c r="X250" s="438">
        <v>27.074867409256267</v>
      </c>
      <c r="Y250" s="438">
        <v>-3.6343469631596115</v>
      </c>
      <c r="Z250" s="443">
        <v>58.670333333333303</v>
      </c>
      <c r="AA250" s="58">
        <f t="shared" ca="1" si="15"/>
        <v>132.13</v>
      </c>
      <c r="AB250" s="453">
        <f ca="1">Table29[[#This Row],[Earnings]]-Table29[[#This Row],[4-Week Average]]</f>
        <v>-6.019999999999996</v>
      </c>
    </row>
    <row r="251" spans="1:28" x14ac:dyDescent="0.35">
      <c r="A251" s="445">
        <v>44965</v>
      </c>
      <c r="B251" s="444">
        <v>2023</v>
      </c>
      <c r="C251" s="444">
        <v>7</v>
      </c>
      <c r="D251" s="444">
        <v>7</v>
      </c>
      <c r="E251" s="444" t="s">
        <v>278</v>
      </c>
      <c r="F251" s="445" t="s">
        <v>48</v>
      </c>
      <c r="G251" s="446">
        <v>0.72916666666666552</v>
      </c>
      <c r="H251" s="445" t="s">
        <v>235</v>
      </c>
      <c r="I251" s="444">
        <v>37.1</v>
      </c>
      <c r="J251" s="445" t="s">
        <v>80</v>
      </c>
      <c r="K251" s="447">
        <v>100.95</v>
      </c>
      <c r="L251" s="448">
        <v>4.2300000000000004</v>
      </c>
      <c r="M251" s="444">
        <v>102</v>
      </c>
      <c r="N251" s="444">
        <v>8</v>
      </c>
      <c r="O251" s="447">
        <v>23.865248226950353</v>
      </c>
      <c r="P251" s="449">
        <v>-9.8796157584720099</v>
      </c>
      <c r="Q251" s="447">
        <v>12.61875</v>
      </c>
      <c r="R251" s="447">
        <v>0.98970588235294121</v>
      </c>
      <c r="S251" s="450">
        <v>12.75</v>
      </c>
      <c r="T251" s="450">
        <v>1.8912529550827422</v>
      </c>
      <c r="U251" s="240">
        <v>2</v>
      </c>
      <c r="V251" s="451">
        <v>2.2031250000000002E-2</v>
      </c>
      <c r="W251" s="450" t="s">
        <v>176</v>
      </c>
      <c r="X251" s="447">
        <v>30.479921410772477</v>
      </c>
      <c r="Y251" s="447">
        <v>-6.6146731838221235</v>
      </c>
      <c r="Z251" s="452">
        <v>58.882444444444417</v>
      </c>
      <c r="AA251" s="58">
        <f t="shared" ca="1" si="15"/>
        <v>133.09</v>
      </c>
      <c r="AB251" s="453">
        <f ca="1">Table29[[#This Row],[Earnings]]-Table29[[#This Row],[4-Week Average]]</f>
        <v>-32.14</v>
      </c>
    </row>
    <row r="252" spans="1:28" x14ac:dyDescent="0.35">
      <c r="A252" s="436">
        <v>44966</v>
      </c>
      <c r="B252" s="435">
        <v>2023</v>
      </c>
      <c r="C252" s="435">
        <v>7</v>
      </c>
      <c r="D252" s="435">
        <v>7</v>
      </c>
      <c r="E252" s="435" t="s">
        <v>278</v>
      </c>
      <c r="F252" s="436" t="s">
        <v>49</v>
      </c>
      <c r="G252" s="437">
        <v>0.74999999999999889</v>
      </c>
      <c r="H252" s="436" t="s">
        <v>236</v>
      </c>
      <c r="I252" s="435">
        <v>51.4</v>
      </c>
      <c r="J252" s="436" t="s">
        <v>82</v>
      </c>
      <c r="K252" s="438">
        <v>75.209999999999994</v>
      </c>
      <c r="L252" s="439">
        <v>3.22</v>
      </c>
      <c r="M252" s="435">
        <v>49</v>
      </c>
      <c r="N252" s="435">
        <v>9</v>
      </c>
      <c r="O252" s="438">
        <v>23.357142857142854</v>
      </c>
      <c r="P252" s="440">
        <v>3.7545721942796071</v>
      </c>
      <c r="Q252" s="438">
        <v>8.3566666666666656</v>
      </c>
      <c r="R252" s="438">
        <v>1.5348979591836733</v>
      </c>
      <c r="S252" s="441">
        <v>5.4444444444444446</v>
      </c>
      <c r="T252" s="441">
        <v>2.7950310559006208</v>
      </c>
      <c r="U252" s="239">
        <v>1</v>
      </c>
      <c r="V252" s="442">
        <v>1.4907407407407409E-2</v>
      </c>
      <c r="W252" s="441" t="s">
        <v>176</v>
      </c>
      <c r="X252" s="438">
        <v>22.876360126360126</v>
      </c>
      <c r="Y252" s="438">
        <v>0.48078273078272815</v>
      </c>
      <c r="Z252" s="443">
        <v>58.180444444444412</v>
      </c>
      <c r="AA252" s="58">
        <f t="shared" ca="1" si="15"/>
        <v>102.16749999999999</v>
      </c>
      <c r="AB252" s="453">
        <f ca="1">Table29[[#This Row],[Earnings]]-Table29[[#This Row],[4-Week Average]]</f>
        <v>-26.957499999999996</v>
      </c>
    </row>
    <row r="253" spans="1:28" x14ac:dyDescent="0.35">
      <c r="A253" s="445">
        <v>44967</v>
      </c>
      <c r="B253" s="444">
        <v>2023</v>
      </c>
      <c r="C253" s="444">
        <v>7</v>
      </c>
      <c r="D253" s="444">
        <v>7</v>
      </c>
      <c r="E253" s="444" t="s">
        <v>278</v>
      </c>
      <c r="F253" s="445" t="s">
        <v>50</v>
      </c>
      <c r="G253" s="446">
        <v>0.72916666666666552</v>
      </c>
      <c r="H253" s="445" t="s">
        <v>235</v>
      </c>
      <c r="I253" s="444">
        <v>37.200000000000003</v>
      </c>
      <c r="J253" s="445" t="s">
        <v>82</v>
      </c>
      <c r="K253" s="447">
        <v>133.4</v>
      </c>
      <c r="L253" s="448">
        <v>6.45</v>
      </c>
      <c r="M253" s="444">
        <v>94</v>
      </c>
      <c r="N253" s="444">
        <v>19</v>
      </c>
      <c r="O253" s="447">
        <v>20.68217054263566</v>
      </c>
      <c r="P253" s="449">
        <v>-2.258292522413953</v>
      </c>
      <c r="Q253" s="447">
        <v>7.0210526315789474</v>
      </c>
      <c r="R253" s="447">
        <v>1.4191489361702128</v>
      </c>
      <c r="S253" s="450">
        <v>4.9473684210526319</v>
      </c>
      <c r="T253" s="450">
        <v>2.945736434108527</v>
      </c>
      <c r="U253" s="240">
        <v>3</v>
      </c>
      <c r="V253" s="451">
        <v>1.4144736842105264E-2</v>
      </c>
      <c r="W253" s="450" t="s">
        <v>176</v>
      </c>
      <c r="X253" s="447">
        <v>19.441531699889257</v>
      </c>
      <c r="Y253" s="447">
        <v>1.240638842746403</v>
      </c>
      <c r="Z253" s="452">
        <v>59.662666666666631</v>
      </c>
      <c r="AA253" s="58">
        <f t="shared" ca="1" si="15"/>
        <v>108.91749999999999</v>
      </c>
      <c r="AB253" s="453">
        <f ca="1">Table29[[#This Row],[Earnings]]-Table29[[#This Row],[4-Week Average]]</f>
        <v>24.482500000000016</v>
      </c>
    </row>
    <row r="254" spans="1:28" x14ac:dyDescent="0.35">
      <c r="A254" s="436">
        <v>44968</v>
      </c>
      <c r="B254" s="435">
        <v>2023</v>
      </c>
      <c r="C254" s="435">
        <v>7</v>
      </c>
      <c r="D254" s="435">
        <v>7</v>
      </c>
      <c r="E254" s="435" t="s">
        <v>278</v>
      </c>
      <c r="F254" s="436" t="s">
        <v>51</v>
      </c>
      <c r="G254" s="437">
        <v>0.79166666666666541</v>
      </c>
      <c r="H254" s="436" t="s">
        <v>230</v>
      </c>
      <c r="I254" s="435">
        <v>42.1</v>
      </c>
      <c r="J254" s="436" t="s">
        <v>80</v>
      </c>
      <c r="K254" s="438">
        <v>118.03</v>
      </c>
      <c r="L254" s="439">
        <v>4.13</v>
      </c>
      <c r="M254" s="435">
        <v>104</v>
      </c>
      <c r="N254" s="435">
        <v>10</v>
      </c>
      <c r="O254" s="438">
        <v>28.578692493946733</v>
      </c>
      <c r="P254" s="440">
        <v>1.4022349626859913</v>
      </c>
      <c r="Q254" s="438">
        <v>11.803000000000001</v>
      </c>
      <c r="R254" s="438">
        <v>1.1349038461538461</v>
      </c>
      <c r="S254" s="441">
        <v>10.4</v>
      </c>
      <c r="T254" s="441">
        <v>2.4213075060532687</v>
      </c>
      <c r="U254" s="239">
        <v>2</v>
      </c>
      <c r="V254" s="442">
        <v>1.7208333333333332E-2</v>
      </c>
      <c r="W254" s="441" t="s">
        <v>176</v>
      </c>
      <c r="X254" s="438">
        <v>23.598377948374907</v>
      </c>
      <c r="Y254" s="438">
        <v>4.9803145455718258</v>
      </c>
      <c r="Z254" s="443">
        <v>60.974111111111071</v>
      </c>
      <c r="AA254" s="58">
        <f t="shared" ca="1" si="15"/>
        <v>106.89750000000001</v>
      </c>
      <c r="AB254" s="453">
        <f ca="1">Table29[[#This Row],[Earnings]]-Table29[[#This Row],[4-Week Average]]</f>
        <v>11.132499999999993</v>
      </c>
    </row>
    <row r="255" spans="1:28" x14ac:dyDescent="0.35">
      <c r="A255" s="445">
        <v>44969</v>
      </c>
      <c r="B255" s="444">
        <v>2023</v>
      </c>
      <c r="C255" s="444">
        <v>7</v>
      </c>
      <c r="D255" s="444">
        <v>7</v>
      </c>
      <c r="E255" s="444" t="s">
        <v>278</v>
      </c>
      <c r="F255" s="445" t="s">
        <v>45</v>
      </c>
      <c r="G255" s="446">
        <v>0.74999999999999889</v>
      </c>
      <c r="H255" s="445" t="s">
        <v>249</v>
      </c>
      <c r="I255" s="444">
        <v>53</v>
      </c>
      <c r="J255" s="445" t="s">
        <v>82</v>
      </c>
      <c r="K255" s="447">
        <v>105.67</v>
      </c>
      <c r="L255" s="448">
        <v>4.7699999999999996</v>
      </c>
      <c r="M255" s="444">
        <v>62</v>
      </c>
      <c r="N255" s="444">
        <v>11</v>
      </c>
      <c r="O255" s="447">
        <v>22.153039832285117</v>
      </c>
      <c r="P255" s="449">
        <v>18.459422811008523</v>
      </c>
      <c r="Q255" s="447">
        <v>9.6063636363636373</v>
      </c>
      <c r="R255" s="447">
        <v>1.7043548387096774</v>
      </c>
      <c r="S255" s="450">
        <v>5.6363636363636367</v>
      </c>
      <c r="T255" s="450">
        <v>2.3060796645702308</v>
      </c>
      <c r="U255" s="240">
        <v>2</v>
      </c>
      <c r="V255" s="451">
        <v>1.8068181818181817E-2</v>
      </c>
      <c r="W255" s="450" t="s">
        <v>176</v>
      </c>
      <c r="X255" s="447">
        <v>22.500463167053098</v>
      </c>
      <c r="Y255" s="447">
        <v>-0.34742333476798137</v>
      </c>
      <c r="Z255" s="452">
        <v>62.148222222222181</v>
      </c>
      <c r="AA255" s="58">
        <f t="shared" ca="1" si="15"/>
        <v>108.0775</v>
      </c>
      <c r="AB255" s="453">
        <f ca="1">Table29[[#This Row],[Earnings]]-Table29[[#This Row],[4-Week Average]]</f>
        <v>-2.4074999999999989</v>
      </c>
    </row>
    <row r="256" spans="1:28" x14ac:dyDescent="0.35">
      <c r="A256" s="436">
        <v>44971</v>
      </c>
      <c r="B256" s="435">
        <v>2023</v>
      </c>
      <c r="C256" s="435">
        <v>8</v>
      </c>
      <c r="D256" s="435">
        <v>8</v>
      </c>
      <c r="E256" s="435" t="s">
        <v>278</v>
      </c>
      <c r="F256" s="436" t="s">
        <v>47</v>
      </c>
      <c r="G256" s="437">
        <v>0.72916666666666552</v>
      </c>
      <c r="H256" s="436" t="s">
        <v>249</v>
      </c>
      <c r="I256" s="435">
        <v>42.9</v>
      </c>
      <c r="J256" s="436" t="s">
        <v>80</v>
      </c>
      <c r="K256" s="438">
        <v>194.62</v>
      </c>
      <c r="L256" s="439">
        <v>5.03</v>
      </c>
      <c r="M256" s="435">
        <v>70.8</v>
      </c>
      <c r="N256" s="435">
        <v>14</v>
      </c>
      <c r="O256" s="438">
        <v>38.691848906560637</v>
      </c>
      <c r="P256" s="440">
        <v>7.6521466581814757</v>
      </c>
      <c r="Q256" s="438">
        <v>13.901428571428571</v>
      </c>
      <c r="R256" s="438">
        <v>2.7488700564971755</v>
      </c>
      <c r="S256" s="441">
        <v>5.0571428571428569</v>
      </c>
      <c r="T256" s="441">
        <v>2.7833001988071571</v>
      </c>
      <c r="U256" s="239">
        <v>2</v>
      </c>
      <c r="V256" s="442">
        <v>1.4970238095238097E-2</v>
      </c>
      <c r="W256" s="441" t="s">
        <v>176</v>
      </c>
      <c r="X256" s="438">
        <v>25.107199243055533</v>
      </c>
      <c r="Y256" s="438">
        <v>13.584649663505104</v>
      </c>
      <c r="Z256" s="443">
        <v>64.31066666666662</v>
      </c>
      <c r="AA256" s="58">
        <f t="shared" ca="1" si="15"/>
        <v>137.93</v>
      </c>
      <c r="AB256" s="453">
        <f ca="1">Table29[[#This Row],[Earnings]]-Table29[[#This Row],[4-Week Average]]</f>
        <v>56.69</v>
      </c>
    </row>
    <row r="257" spans="1:28" x14ac:dyDescent="0.35">
      <c r="A257" s="445">
        <v>44972</v>
      </c>
      <c r="B257" s="444">
        <v>2023</v>
      </c>
      <c r="C257" s="444">
        <v>8</v>
      </c>
      <c r="D257" s="444">
        <v>8</v>
      </c>
      <c r="E257" s="444" t="s">
        <v>278</v>
      </c>
      <c r="F257" s="445" t="s">
        <v>48</v>
      </c>
      <c r="G257" s="446">
        <v>0.72916666666666552</v>
      </c>
      <c r="H257" s="445" t="s">
        <v>236</v>
      </c>
      <c r="I257" s="444">
        <v>56.3</v>
      </c>
      <c r="J257" s="445" t="s">
        <v>80</v>
      </c>
      <c r="K257" s="447">
        <v>103.23</v>
      </c>
      <c r="L257" s="448">
        <v>4.32</v>
      </c>
      <c r="M257" s="444">
        <v>92</v>
      </c>
      <c r="N257" s="444">
        <v>11</v>
      </c>
      <c r="O257" s="447">
        <v>23.895833333333332</v>
      </c>
      <c r="P257" s="449">
        <v>-7.3791267124710309</v>
      </c>
      <c r="Q257" s="447">
        <v>9.3845454545454547</v>
      </c>
      <c r="R257" s="447">
        <v>1.1220652173913044</v>
      </c>
      <c r="S257" s="450">
        <v>8.3636363636363633</v>
      </c>
      <c r="T257" s="450">
        <v>2.5462962962962963</v>
      </c>
      <c r="U257" s="240">
        <v>3</v>
      </c>
      <c r="V257" s="451">
        <v>1.6363636363636365E-2</v>
      </c>
      <c r="W257" s="450" t="s">
        <v>176</v>
      </c>
      <c r="X257" s="447">
        <v>18.266708612975393</v>
      </c>
      <c r="Y257" s="447">
        <v>5.6291247203579395</v>
      </c>
      <c r="Z257" s="452">
        <v>64.212888888888841</v>
      </c>
      <c r="AA257" s="58">
        <f t="shared" ca="1" si="15"/>
        <v>130.38749999999999</v>
      </c>
      <c r="AB257" s="453">
        <f ca="1">Table29[[#This Row],[Earnings]]-Table29[[#This Row],[4-Week Average]]</f>
        <v>-27.157499999999985</v>
      </c>
    </row>
    <row r="258" spans="1:28" x14ac:dyDescent="0.35">
      <c r="A258" s="436">
        <v>44973</v>
      </c>
      <c r="B258" s="435">
        <v>2023</v>
      </c>
      <c r="C258" s="435">
        <v>8</v>
      </c>
      <c r="D258" s="435">
        <v>8</v>
      </c>
      <c r="E258" s="435" t="s">
        <v>278</v>
      </c>
      <c r="F258" s="436" t="s">
        <v>49</v>
      </c>
      <c r="G258" s="437">
        <v>0.74999999999999889</v>
      </c>
      <c r="H258" s="436" t="s">
        <v>233</v>
      </c>
      <c r="I258" s="435">
        <v>40</v>
      </c>
      <c r="J258" s="436" t="s">
        <v>82</v>
      </c>
      <c r="K258" s="438">
        <v>105.27000000000001</v>
      </c>
      <c r="L258" s="439">
        <v>5.12</v>
      </c>
      <c r="M258" s="435">
        <v>102</v>
      </c>
      <c r="N258" s="435">
        <v>10</v>
      </c>
      <c r="O258" s="438">
        <v>20.560546875</v>
      </c>
      <c r="P258" s="440">
        <v>1.9333163566848555E-2</v>
      </c>
      <c r="Q258" s="438">
        <v>10.527000000000001</v>
      </c>
      <c r="R258" s="438">
        <v>1.0320588235294119</v>
      </c>
      <c r="S258" s="441">
        <v>10.199999999999999</v>
      </c>
      <c r="T258" s="441">
        <v>1.953125</v>
      </c>
      <c r="U258" s="239">
        <v>3</v>
      </c>
      <c r="V258" s="442">
        <v>2.1333333333333333E-2</v>
      </c>
      <c r="W258" s="441" t="s">
        <v>176</v>
      </c>
      <c r="X258" s="438">
        <v>21.236984459688347</v>
      </c>
      <c r="Y258" s="438">
        <v>-0.67643758468834747</v>
      </c>
      <c r="Z258" s="443">
        <v>62.993888888888854</v>
      </c>
      <c r="AA258" s="58">
        <f t="shared" ca="1" si="15"/>
        <v>127.19750000000002</v>
      </c>
      <c r="AB258" s="453">
        <f ca="1">Table29[[#This Row],[Earnings]]-Table29[[#This Row],[4-Week Average]]</f>
        <v>-21.927500000000009</v>
      </c>
    </row>
    <row r="259" spans="1:28" x14ac:dyDescent="0.35">
      <c r="A259" s="445">
        <v>44974</v>
      </c>
      <c r="B259" s="444">
        <v>2023</v>
      </c>
      <c r="C259" s="444">
        <v>8</v>
      </c>
      <c r="D259" s="444">
        <v>8</v>
      </c>
      <c r="E259" s="444" t="s">
        <v>278</v>
      </c>
      <c r="F259" s="445" t="s">
        <v>50</v>
      </c>
      <c r="G259" s="446">
        <v>0.77083333333333215</v>
      </c>
      <c r="H259" s="445" t="s">
        <v>230</v>
      </c>
      <c r="I259" s="444">
        <v>27.3</v>
      </c>
      <c r="J259" s="445" t="s">
        <v>82</v>
      </c>
      <c r="K259" s="447">
        <v>107.77</v>
      </c>
      <c r="L259" s="448">
        <v>6.03</v>
      </c>
      <c r="M259" s="444">
        <v>116</v>
      </c>
      <c r="N259" s="444">
        <v>12</v>
      </c>
      <c r="O259" s="447">
        <v>17.872305140961856</v>
      </c>
      <c r="P259" s="449">
        <v>-3.9390116628807803</v>
      </c>
      <c r="Q259" s="447">
        <v>8.980833333333333</v>
      </c>
      <c r="R259" s="447">
        <v>0.92905172413793102</v>
      </c>
      <c r="S259" s="450">
        <v>9.6666666666666661</v>
      </c>
      <c r="T259" s="450">
        <v>1.9900497512437809</v>
      </c>
      <c r="U259" s="240">
        <v>4</v>
      </c>
      <c r="V259" s="451">
        <v>2.0937500000000001E-2</v>
      </c>
      <c r="W259" s="450" t="s">
        <v>176</v>
      </c>
      <c r="X259" s="447">
        <v>21.051001758415964</v>
      </c>
      <c r="Y259" s="447">
        <v>-3.1786966174541078</v>
      </c>
      <c r="Z259" s="452">
        <v>64.191333333333304</v>
      </c>
      <c r="AA259" s="58">
        <f t="shared" ca="1" si="15"/>
        <v>127.7225</v>
      </c>
      <c r="AB259" s="453">
        <f ca="1">Table29[[#This Row],[Earnings]]-Table29[[#This Row],[4-Week Average]]</f>
        <v>-19.952500000000001</v>
      </c>
    </row>
    <row r="260" spans="1:28" x14ac:dyDescent="0.35">
      <c r="A260" s="436">
        <v>44980</v>
      </c>
      <c r="B260" s="435">
        <v>2023</v>
      </c>
      <c r="C260" s="435">
        <v>9</v>
      </c>
      <c r="D260" s="435">
        <v>9</v>
      </c>
      <c r="E260" s="435" t="s">
        <v>278</v>
      </c>
      <c r="F260" s="436" t="s">
        <v>49</v>
      </c>
      <c r="G260" s="437">
        <v>0.74999999999999889</v>
      </c>
      <c r="H260" s="436" t="s">
        <v>232</v>
      </c>
      <c r="I260" s="435">
        <v>14.3</v>
      </c>
      <c r="J260" s="436" t="s">
        <v>82</v>
      </c>
      <c r="K260" s="438">
        <v>116.25</v>
      </c>
      <c r="L260" s="439">
        <v>4.17</v>
      </c>
      <c r="M260" s="435">
        <v>45.6</v>
      </c>
      <c r="N260" s="435">
        <v>12</v>
      </c>
      <c r="O260" s="438">
        <v>27.877697841726619</v>
      </c>
      <c r="P260" s="440">
        <v>7.3326174975800988</v>
      </c>
      <c r="Q260" s="438">
        <v>9.6875</v>
      </c>
      <c r="R260" s="438">
        <v>2.549342105263158</v>
      </c>
      <c r="S260" s="441">
        <v>3.8000000000000003</v>
      </c>
      <c r="T260" s="441">
        <v>2.8776978417266186</v>
      </c>
      <c r="U260" s="239">
        <v>1</v>
      </c>
      <c r="V260" s="442">
        <v>1.4479166666666666E-2</v>
      </c>
      <c r="W260" s="441" t="s">
        <v>176</v>
      </c>
      <c r="X260" s="438">
        <v>23.055098920863308</v>
      </c>
      <c r="Y260" s="438">
        <v>4.8225989208633102</v>
      </c>
      <c r="Z260" s="443">
        <v>61.512444444444434</v>
      </c>
      <c r="AA260" s="58">
        <f t="shared" ref="AA260:AA323" ca="1" si="16">AVERAGE(OFFSET(K260,-3,0,4,1))</f>
        <v>108.13</v>
      </c>
      <c r="AB260" s="453">
        <f ca="1">Table29[[#This Row],[Earnings]]-Table29[[#This Row],[4-Week Average]]</f>
        <v>8.1200000000000045</v>
      </c>
    </row>
    <row r="261" spans="1:28" x14ac:dyDescent="0.35">
      <c r="A261" s="445">
        <v>44981</v>
      </c>
      <c r="B261" s="444">
        <v>2023</v>
      </c>
      <c r="C261" s="444">
        <v>9</v>
      </c>
      <c r="D261" s="444">
        <v>9</v>
      </c>
      <c r="E261" s="444" t="s">
        <v>278</v>
      </c>
      <c r="F261" s="445" t="s">
        <v>50</v>
      </c>
      <c r="G261" s="446">
        <v>0.77083333333333215</v>
      </c>
      <c r="H261" s="445" t="s">
        <v>234</v>
      </c>
      <c r="I261" s="444">
        <v>18.399999999999999</v>
      </c>
      <c r="J261" s="445" t="s">
        <v>82</v>
      </c>
      <c r="K261" s="447">
        <v>54.75</v>
      </c>
      <c r="L261" s="448">
        <v>3.13</v>
      </c>
      <c r="M261" s="444">
        <v>58</v>
      </c>
      <c r="N261" s="444">
        <v>8</v>
      </c>
      <c r="O261" s="447">
        <v>17.492012779552716</v>
      </c>
      <c r="P261" s="449">
        <v>-3.0063001366629933</v>
      </c>
      <c r="Q261" s="447">
        <v>6.84375</v>
      </c>
      <c r="R261" s="447">
        <v>0.94396551724137934</v>
      </c>
      <c r="S261" s="450">
        <v>7.25</v>
      </c>
      <c r="T261" s="450">
        <v>2.5559105431309903</v>
      </c>
      <c r="U261" s="240">
        <v>2</v>
      </c>
      <c r="V261" s="451">
        <v>1.6302083333333332E-2</v>
      </c>
      <c r="W261" s="450" t="s">
        <v>176</v>
      </c>
      <c r="X261" s="447">
        <v>21.568295546402865</v>
      </c>
      <c r="Y261" s="447">
        <v>-4.0762827668501487</v>
      </c>
      <c r="Z261" s="452">
        <v>60.919999999999995</v>
      </c>
      <c r="AA261" s="58">
        <f t="shared" ca="1" si="16"/>
        <v>96.01</v>
      </c>
      <c r="AB261" s="453">
        <f ca="1">Table29[[#This Row],[Earnings]]-Table29[[#This Row],[4-Week Average]]</f>
        <v>-41.260000000000005</v>
      </c>
    </row>
    <row r="262" spans="1:28" x14ac:dyDescent="0.35">
      <c r="A262" s="436">
        <v>44983</v>
      </c>
      <c r="B262" s="435">
        <v>2023</v>
      </c>
      <c r="C262" s="435">
        <v>9</v>
      </c>
      <c r="D262" s="435">
        <v>9</v>
      </c>
      <c r="E262" s="435" t="s">
        <v>278</v>
      </c>
      <c r="F262" s="436" t="s">
        <v>45</v>
      </c>
      <c r="G262" s="437">
        <v>0.64583333333333237</v>
      </c>
      <c r="H262" s="436" t="s">
        <v>234</v>
      </c>
      <c r="I262" s="435">
        <v>26.8</v>
      </c>
      <c r="J262" s="436" t="s">
        <v>80</v>
      </c>
      <c r="K262" s="438">
        <v>277.88</v>
      </c>
      <c r="L262" s="439">
        <v>7.68</v>
      </c>
      <c r="M262" s="435">
        <v>128</v>
      </c>
      <c r="N262" s="435">
        <v>21</v>
      </c>
      <c r="O262" s="438">
        <v>36.182291666666664</v>
      </c>
      <c r="P262" s="440">
        <v>12.66470193004459</v>
      </c>
      <c r="Q262" s="438">
        <v>13.232380952380952</v>
      </c>
      <c r="R262" s="438">
        <v>2.1709375</v>
      </c>
      <c r="S262" s="441">
        <v>6.0952380952380949</v>
      </c>
      <c r="T262" s="441">
        <v>2.734375</v>
      </c>
      <c r="U262" s="239">
        <v>3</v>
      </c>
      <c r="V262" s="442">
        <v>1.5238095238095238E-2</v>
      </c>
      <c r="W262" s="441" t="s">
        <v>176</v>
      </c>
      <c r="X262" s="438">
        <v>27.871502575489643</v>
      </c>
      <c r="Y262" s="438">
        <v>8.3107890911770212</v>
      </c>
      <c r="Z262" s="443">
        <v>62.389444444444443</v>
      </c>
      <c r="AA262" s="58">
        <f t="shared" ca="1" si="16"/>
        <v>139.16249999999999</v>
      </c>
      <c r="AB262" s="453">
        <f ca="1">Table29[[#This Row],[Earnings]]-Table29[[#This Row],[4-Week Average]]</f>
        <v>138.7175</v>
      </c>
    </row>
    <row r="263" spans="1:28" x14ac:dyDescent="0.35">
      <c r="A263" s="445">
        <v>44985</v>
      </c>
      <c r="B263" s="444">
        <v>2023</v>
      </c>
      <c r="C263" s="444">
        <v>10</v>
      </c>
      <c r="D263" s="444">
        <v>10</v>
      </c>
      <c r="E263" s="444" t="s">
        <v>278</v>
      </c>
      <c r="F263" s="445" t="s">
        <v>47</v>
      </c>
      <c r="G263" s="446">
        <v>0.74999999999999889</v>
      </c>
      <c r="H263" s="445" t="s">
        <v>232</v>
      </c>
      <c r="I263" s="444">
        <v>38.9</v>
      </c>
      <c r="J263" s="445" t="s">
        <v>80</v>
      </c>
      <c r="K263" s="447">
        <v>125.47</v>
      </c>
      <c r="L263" s="448">
        <v>5.15</v>
      </c>
      <c r="M263" s="444">
        <v>92</v>
      </c>
      <c r="N263" s="444">
        <v>9</v>
      </c>
      <c r="O263" s="447">
        <v>24.363106796116504</v>
      </c>
      <c r="P263" s="449">
        <v>-7.9519532286262375</v>
      </c>
      <c r="Q263" s="447">
        <v>13.941111111111111</v>
      </c>
      <c r="R263" s="447">
        <v>1.3638043478260868</v>
      </c>
      <c r="S263" s="450">
        <v>10.222222222222221</v>
      </c>
      <c r="T263" s="450">
        <v>1.7475728155339805</v>
      </c>
      <c r="U263" s="240">
        <v>2</v>
      </c>
      <c r="V263" s="451">
        <v>2.3842592592592596E-2</v>
      </c>
      <c r="W263" s="450" t="s">
        <v>176</v>
      </c>
      <c r="X263" s="447">
        <v>20.677170504338861</v>
      </c>
      <c r="Y263" s="447">
        <v>3.6859362917776437</v>
      </c>
      <c r="Z263" s="452">
        <v>63.783555555555559</v>
      </c>
      <c r="AA263" s="58">
        <f t="shared" ca="1" si="16"/>
        <v>143.58750000000001</v>
      </c>
      <c r="AB263" s="453">
        <f ca="1">Table29[[#This Row],[Earnings]]-Table29[[#This Row],[4-Week Average]]</f>
        <v>-18.117500000000007</v>
      </c>
    </row>
    <row r="264" spans="1:28" x14ac:dyDescent="0.35">
      <c r="A264" s="436">
        <v>44986</v>
      </c>
      <c r="B264" s="435">
        <v>2023</v>
      </c>
      <c r="C264" s="435">
        <v>10</v>
      </c>
      <c r="D264" s="435">
        <v>10</v>
      </c>
      <c r="E264" s="435" t="s">
        <v>278</v>
      </c>
      <c r="F264" s="436" t="s">
        <v>48</v>
      </c>
      <c r="G264" s="437">
        <v>0.70833333333333226</v>
      </c>
      <c r="H264" s="436" t="s">
        <v>232</v>
      </c>
      <c r="I264" s="435">
        <v>34.4</v>
      </c>
      <c r="J264" s="436" t="s">
        <v>174</v>
      </c>
      <c r="K264" s="438">
        <v>75.75</v>
      </c>
      <c r="L264" s="439">
        <v>4.3499999999999996</v>
      </c>
      <c r="M264" s="435">
        <v>96</v>
      </c>
      <c r="N264" s="435">
        <v>8</v>
      </c>
      <c r="O264" s="438">
        <v>17.413793103448278</v>
      </c>
      <c r="P264" s="440">
        <v>0.13601532567049901</v>
      </c>
      <c r="Q264" s="438">
        <v>9.46875</v>
      </c>
      <c r="R264" s="438">
        <v>0.7890625</v>
      </c>
      <c r="S264" s="441">
        <v>12</v>
      </c>
      <c r="T264" s="441">
        <v>1.8390804597701151</v>
      </c>
      <c r="U264" s="239">
        <v>2</v>
      </c>
      <c r="V264" s="442">
        <v>2.2656249999999999E-2</v>
      </c>
      <c r="W264" s="441" t="s">
        <v>176</v>
      </c>
      <c r="X264" s="438">
        <v>17.413793103448278</v>
      </c>
      <c r="Y264" s="438">
        <v>0</v>
      </c>
      <c r="Z264" s="443">
        <v>63.804444444444464</v>
      </c>
      <c r="AA264" s="58">
        <f t="shared" ca="1" si="16"/>
        <v>133.46250000000001</v>
      </c>
      <c r="AB264" s="453">
        <f ca="1">Table29[[#This Row],[Earnings]]-Table29[[#This Row],[4-Week Average]]</f>
        <v>-57.712500000000006</v>
      </c>
    </row>
    <row r="265" spans="1:28" x14ac:dyDescent="0.35">
      <c r="A265" s="445">
        <v>44988</v>
      </c>
      <c r="B265" s="444">
        <v>2023</v>
      </c>
      <c r="C265" s="444">
        <v>10</v>
      </c>
      <c r="D265" s="444">
        <v>10</v>
      </c>
      <c r="E265" s="444" t="s">
        <v>278</v>
      </c>
      <c r="F265" s="445" t="s">
        <v>50</v>
      </c>
      <c r="G265" s="446">
        <v>0.70833333333333226</v>
      </c>
      <c r="H265" s="445" t="s">
        <v>232</v>
      </c>
      <c r="I265" s="444">
        <v>29.3</v>
      </c>
      <c r="J265" s="445" t="s">
        <v>82</v>
      </c>
      <c r="K265" s="447">
        <v>40.93</v>
      </c>
      <c r="L265" s="448">
        <v>1.17</v>
      </c>
      <c r="M265" s="444">
        <v>22</v>
      </c>
      <c r="N265" s="444">
        <v>3</v>
      </c>
      <c r="O265" s="447">
        <v>34.982905982905983</v>
      </c>
      <c r="P265" s="449">
        <v>15.23616810085602</v>
      </c>
      <c r="Q265" s="447">
        <v>13.643333333333333</v>
      </c>
      <c r="R265" s="447">
        <v>1.8604545454545454</v>
      </c>
      <c r="S265" s="450">
        <v>7.333333333333333</v>
      </c>
      <c r="T265" s="450">
        <v>2.5641025641025643</v>
      </c>
      <c r="U265" s="240">
        <v>2</v>
      </c>
      <c r="V265" s="451">
        <v>1.6249999999999997E-2</v>
      </c>
      <c r="W265" s="450" t="s">
        <v>176</v>
      </c>
      <c r="X265" s="447">
        <v>33.891452991452994</v>
      </c>
      <c r="Y265" s="447">
        <v>1.0914529914529894</v>
      </c>
      <c r="Z265" s="452">
        <v>62.380555555555567</v>
      </c>
      <c r="AA265" s="58">
        <f t="shared" ca="1" si="16"/>
        <v>130.00749999999999</v>
      </c>
      <c r="AB265" s="453">
        <f ca="1">Table29[[#This Row],[Earnings]]-Table29[[#This Row],[4-Week Average]]</f>
        <v>-89.077499999999986</v>
      </c>
    </row>
    <row r="266" spans="1:28" x14ac:dyDescent="0.35">
      <c r="A266" s="436">
        <v>44989</v>
      </c>
      <c r="B266" s="435">
        <v>2023</v>
      </c>
      <c r="C266" s="435">
        <v>10</v>
      </c>
      <c r="D266" s="435">
        <v>10</v>
      </c>
      <c r="E266" s="435" t="s">
        <v>278</v>
      </c>
      <c r="F266" s="436" t="s">
        <v>51</v>
      </c>
      <c r="G266" s="437">
        <v>0.56249999999999911</v>
      </c>
      <c r="H266" s="436" t="s">
        <v>235</v>
      </c>
      <c r="I266" s="435">
        <v>35.9</v>
      </c>
      <c r="J266" s="436" t="s">
        <v>80</v>
      </c>
      <c r="K266" s="438">
        <v>156.65</v>
      </c>
      <c r="L266" s="439">
        <v>5.72</v>
      </c>
      <c r="M266" s="435">
        <v>124</v>
      </c>
      <c r="N266" s="435">
        <v>7</v>
      </c>
      <c r="O266" s="438">
        <v>27.38636363636364</v>
      </c>
      <c r="P266" s="440">
        <v>5.4102220360011444E-2</v>
      </c>
      <c r="Q266" s="438">
        <v>22.37857142857143</v>
      </c>
      <c r="R266" s="438">
        <v>1.2633064516129033</v>
      </c>
      <c r="S266" s="441">
        <v>17.714285714285715</v>
      </c>
      <c r="T266" s="441">
        <v>1.2237762237762237</v>
      </c>
      <c r="U266" s="239">
        <v>2</v>
      </c>
      <c r="V266" s="442">
        <v>3.4047619047619042E-2</v>
      </c>
      <c r="W266" s="441" t="s">
        <v>176</v>
      </c>
      <c r="X266" s="438">
        <v>30.543878208019763</v>
      </c>
      <c r="Y266" s="438">
        <v>-3.1575145716561224</v>
      </c>
      <c r="Z266" s="443">
        <v>64.121111111111119</v>
      </c>
      <c r="AA266" s="58">
        <f t="shared" ca="1" si="16"/>
        <v>99.7</v>
      </c>
      <c r="AB266" s="453">
        <f ca="1">Table29[[#This Row],[Earnings]]-Table29[[#This Row],[4-Week Average]]</f>
        <v>56.95</v>
      </c>
    </row>
    <row r="267" spans="1:28" x14ac:dyDescent="0.35">
      <c r="A267" s="445">
        <v>44992</v>
      </c>
      <c r="B267" s="444">
        <v>2023</v>
      </c>
      <c r="C267" s="444">
        <v>11</v>
      </c>
      <c r="D267" s="444">
        <v>11</v>
      </c>
      <c r="E267" s="444" t="s">
        <v>278</v>
      </c>
      <c r="F267" s="445" t="s">
        <v>47</v>
      </c>
      <c r="G267" s="446">
        <v>0.74999999999999889</v>
      </c>
      <c r="H267" s="445" t="s">
        <v>236</v>
      </c>
      <c r="I267" s="444">
        <v>39.9</v>
      </c>
      <c r="J267" s="445" t="s">
        <v>80</v>
      </c>
      <c r="K267" s="447">
        <v>68</v>
      </c>
      <c r="L267" s="448">
        <v>4.22</v>
      </c>
      <c r="M267" s="444">
        <v>78</v>
      </c>
      <c r="N267" s="444">
        <v>8</v>
      </c>
      <c r="O267" s="447">
        <v>16.113744075829384</v>
      </c>
      <c r="P267" s="449">
        <v>-15.06532263053818</v>
      </c>
      <c r="Q267" s="447">
        <v>8.5</v>
      </c>
      <c r="R267" s="447">
        <v>0.87179487179487181</v>
      </c>
      <c r="S267" s="450">
        <v>9.75</v>
      </c>
      <c r="T267" s="450">
        <v>1.8957345971563981</v>
      </c>
      <c r="U267" s="240">
        <v>1</v>
      </c>
      <c r="V267" s="451">
        <v>2.1979166666666664E-2</v>
      </c>
      <c r="W267" s="450" t="s">
        <v>176</v>
      </c>
      <c r="X267" s="447">
        <v>32.476525217105447</v>
      </c>
      <c r="Y267" s="447">
        <v>-16.362781141276063</v>
      </c>
      <c r="Z267" s="452">
        <v>62.244888888888902</v>
      </c>
      <c r="AA267" s="58">
        <f t="shared" ca="1" si="16"/>
        <v>85.33250000000001</v>
      </c>
      <c r="AB267" s="453">
        <f ca="1">Table29[[#This Row],[Earnings]]-Table29[[#This Row],[4-Week Average]]</f>
        <v>-17.33250000000001</v>
      </c>
    </row>
    <row r="268" spans="1:28" x14ac:dyDescent="0.35">
      <c r="A268" s="436">
        <v>44994</v>
      </c>
      <c r="B268" s="435">
        <v>2023</v>
      </c>
      <c r="C268" s="435">
        <v>11</v>
      </c>
      <c r="D268" s="435">
        <v>11</v>
      </c>
      <c r="E268" s="435" t="s">
        <v>278</v>
      </c>
      <c r="F268" s="436" t="s">
        <v>49</v>
      </c>
      <c r="G268" s="437">
        <v>0.70833333333333226</v>
      </c>
      <c r="H268" s="436" t="s">
        <v>230</v>
      </c>
      <c r="I268" s="435">
        <v>44.3</v>
      </c>
      <c r="J268" s="436" t="s">
        <v>85</v>
      </c>
      <c r="K268" s="438">
        <v>58.83</v>
      </c>
      <c r="L268" s="439">
        <v>2.4300000000000002</v>
      </c>
      <c r="M268" s="435">
        <v>59.2</v>
      </c>
      <c r="N268" s="435">
        <v>5</v>
      </c>
      <c r="O268" s="438">
        <v>24.209876543209873</v>
      </c>
      <c r="P268" s="440">
        <v>7.3464227279488306</v>
      </c>
      <c r="Q268" s="438">
        <v>11.766</v>
      </c>
      <c r="R268" s="438">
        <v>0.99374999999999991</v>
      </c>
      <c r="S268" s="441">
        <v>11.84</v>
      </c>
      <c r="T268" s="441">
        <v>2.0576131687242798</v>
      </c>
      <c r="U268" s="239">
        <v>2</v>
      </c>
      <c r="V268" s="442">
        <v>2.0250000000000001E-2</v>
      </c>
      <c r="W268" s="441" t="s">
        <v>176</v>
      </c>
      <c r="X268" s="438">
        <v>21.339386458777209</v>
      </c>
      <c r="Y268" s="438">
        <v>2.8704900844326637</v>
      </c>
      <c r="Z268" s="443">
        <v>60.243444444444464</v>
      </c>
      <c r="AA268" s="58">
        <f t="shared" ca="1" si="16"/>
        <v>81.102500000000006</v>
      </c>
      <c r="AB268" s="453">
        <f ca="1">Table29[[#This Row],[Earnings]]-Table29[[#This Row],[4-Week Average]]</f>
        <v>-22.272500000000008</v>
      </c>
    </row>
    <row r="269" spans="1:28" x14ac:dyDescent="0.35">
      <c r="A269" s="445">
        <v>44995</v>
      </c>
      <c r="B269" s="444">
        <v>2023</v>
      </c>
      <c r="C269" s="444">
        <v>11</v>
      </c>
      <c r="D269" s="444">
        <v>11</v>
      </c>
      <c r="E269" s="444" t="s">
        <v>278</v>
      </c>
      <c r="F269" s="445" t="s">
        <v>50</v>
      </c>
      <c r="G269" s="446">
        <v>0.77083333333333215</v>
      </c>
      <c r="H269" s="445" t="s">
        <v>234</v>
      </c>
      <c r="I269" s="444">
        <v>38.299999999999997</v>
      </c>
      <c r="J269" s="445" t="s">
        <v>82</v>
      </c>
      <c r="K269" s="447">
        <v>64.08</v>
      </c>
      <c r="L269" s="448">
        <v>3.63</v>
      </c>
      <c r="M269" s="444">
        <v>49</v>
      </c>
      <c r="N269" s="444">
        <v>9</v>
      </c>
      <c r="O269" s="447">
        <v>17.652892561983471</v>
      </c>
      <c r="P269" s="449">
        <v>-5.1410789402376942</v>
      </c>
      <c r="Q269" s="447">
        <v>7.12</v>
      </c>
      <c r="R269" s="447">
        <v>1.3077551020408162</v>
      </c>
      <c r="S269" s="450">
        <v>5.4444444444444446</v>
      </c>
      <c r="T269" s="450">
        <v>2.4793388429752068</v>
      </c>
      <c r="U269" s="240">
        <v>2</v>
      </c>
      <c r="V269" s="451">
        <v>1.6805555555555556E-2</v>
      </c>
      <c r="W269" s="450" t="s">
        <v>176</v>
      </c>
      <c r="X269" s="447">
        <v>19.241188905138749</v>
      </c>
      <c r="Y269" s="447">
        <v>-1.5882963431552781</v>
      </c>
      <c r="Z269" s="452">
        <v>60.95544444444446</v>
      </c>
      <c r="AA269" s="58">
        <f t="shared" ca="1" si="16"/>
        <v>86.89</v>
      </c>
      <c r="AB269" s="453">
        <f ca="1">Table29[[#This Row],[Earnings]]-Table29[[#This Row],[4-Week Average]]</f>
        <v>-22.810000000000002</v>
      </c>
    </row>
    <row r="270" spans="1:28" x14ac:dyDescent="0.35">
      <c r="A270" s="436">
        <v>44996</v>
      </c>
      <c r="B270" s="435">
        <v>2023</v>
      </c>
      <c r="C270" s="435">
        <v>11</v>
      </c>
      <c r="D270" s="435">
        <v>11</v>
      </c>
      <c r="E270" s="435" t="s">
        <v>278</v>
      </c>
      <c r="F270" s="436" t="s">
        <v>51</v>
      </c>
      <c r="G270" s="437">
        <v>0.70833333333333226</v>
      </c>
      <c r="H270" s="436" t="s">
        <v>236</v>
      </c>
      <c r="I270" s="435">
        <v>45</v>
      </c>
      <c r="J270" s="436" t="s">
        <v>80</v>
      </c>
      <c r="K270" s="438">
        <v>122.45</v>
      </c>
      <c r="L270" s="439">
        <v>6.2</v>
      </c>
      <c r="M270" s="435">
        <v>112</v>
      </c>
      <c r="N270" s="435">
        <v>11</v>
      </c>
      <c r="O270" s="438">
        <v>19.75</v>
      </c>
      <c r="P270" s="440">
        <v>-7.5876716380396303</v>
      </c>
      <c r="Q270" s="438">
        <v>11.131818181818183</v>
      </c>
      <c r="R270" s="438">
        <v>1.0933035714285715</v>
      </c>
      <c r="S270" s="441">
        <v>10.181818181818182</v>
      </c>
      <c r="T270" s="441">
        <v>1.7741935483870968</v>
      </c>
      <c r="U270" s="239">
        <v>3</v>
      </c>
      <c r="V270" s="442">
        <v>2.3484848484848483E-2</v>
      </c>
      <c r="W270" s="441" t="s">
        <v>176</v>
      </c>
      <c r="X270" s="438">
        <v>24.294742211193824</v>
      </c>
      <c r="Y270" s="438">
        <v>-4.5447422111938245</v>
      </c>
      <c r="Z270" s="443">
        <v>61.747888888888902</v>
      </c>
      <c r="AA270" s="58">
        <f t="shared" ca="1" si="16"/>
        <v>78.34</v>
      </c>
      <c r="AB270" s="453">
        <f ca="1">Table29[[#This Row],[Earnings]]-Table29[[#This Row],[4-Week Average]]</f>
        <v>44.11</v>
      </c>
    </row>
    <row r="271" spans="1:28" x14ac:dyDescent="0.35">
      <c r="A271" s="445">
        <v>44999</v>
      </c>
      <c r="B271" s="444">
        <v>2023</v>
      </c>
      <c r="C271" s="444">
        <v>12</v>
      </c>
      <c r="D271" s="444">
        <v>12</v>
      </c>
      <c r="E271" s="444" t="s">
        <v>278</v>
      </c>
      <c r="F271" s="445" t="s">
        <v>47</v>
      </c>
      <c r="G271" s="446">
        <v>0.72916666666666552</v>
      </c>
      <c r="H271" s="445" t="s">
        <v>232</v>
      </c>
      <c r="I271" s="444">
        <v>28.4</v>
      </c>
      <c r="J271" s="445" t="s">
        <v>80</v>
      </c>
      <c r="K271" s="447">
        <v>60.42</v>
      </c>
      <c r="L271" s="448">
        <v>3.02</v>
      </c>
      <c r="M271" s="444">
        <v>75</v>
      </c>
      <c r="N271" s="444">
        <v>3</v>
      </c>
      <c r="O271" s="447">
        <v>20.006622516556291</v>
      </c>
      <c r="P271" s="449">
        <v>-9.2892788609939991</v>
      </c>
      <c r="Q271" s="447">
        <v>20.14</v>
      </c>
      <c r="R271" s="447">
        <v>0.80559999999999998</v>
      </c>
      <c r="S271" s="450">
        <v>25</v>
      </c>
      <c r="T271" s="450">
        <v>0.99337748344370858</v>
      </c>
      <c r="U271" s="240">
        <v>2</v>
      </c>
      <c r="V271" s="451">
        <v>4.1944444444444444E-2</v>
      </c>
      <c r="W271" s="450" t="s">
        <v>176</v>
      </c>
      <c r="X271" s="447">
        <v>25.204699111738062</v>
      </c>
      <c r="Y271" s="447">
        <v>-5.1980765951817709</v>
      </c>
      <c r="Z271" s="452">
        <v>59.374111111111119</v>
      </c>
      <c r="AA271" s="58">
        <f t="shared" ca="1" si="16"/>
        <v>76.445000000000007</v>
      </c>
      <c r="AB271" s="453">
        <f ca="1">Table29[[#This Row],[Earnings]]-Table29[[#This Row],[4-Week Average]]</f>
        <v>-16.025000000000006</v>
      </c>
    </row>
    <row r="272" spans="1:28" x14ac:dyDescent="0.35">
      <c r="A272" s="436">
        <v>45000</v>
      </c>
      <c r="B272" s="435">
        <v>2023</v>
      </c>
      <c r="C272" s="435">
        <v>12</v>
      </c>
      <c r="D272" s="435">
        <v>12</v>
      </c>
      <c r="E272" s="435" t="s">
        <v>278</v>
      </c>
      <c r="F272" s="436" t="s">
        <v>48</v>
      </c>
      <c r="G272" s="437">
        <v>0.74999999999999889</v>
      </c>
      <c r="H272" s="436" t="s">
        <v>230</v>
      </c>
      <c r="I272" s="435">
        <v>42.5</v>
      </c>
      <c r="J272" s="436" t="s">
        <v>82</v>
      </c>
      <c r="K272" s="438">
        <v>85.960000000000008</v>
      </c>
      <c r="L272" s="439">
        <v>4.1500000000000004</v>
      </c>
      <c r="M272" s="435">
        <v>73</v>
      </c>
      <c r="N272" s="435">
        <v>13</v>
      </c>
      <c r="O272" s="438">
        <v>20.713253012048192</v>
      </c>
      <c r="P272" s="440">
        <v>0.47835368318912685</v>
      </c>
      <c r="Q272" s="438">
        <v>6.6123076923076933</v>
      </c>
      <c r="R272" s="438">
        <v>1.1775342465753427</v>
      </c>
      <c r="S272" s="441">
        <v>5.615384615384615</v>
      </c>
      <c r="T272" s="441">
        <v>3.1325301204819276</v>
      </c>
      <c r="U272" s="239">
        <v>4</v>
      </c>
      <c r="V272" s="442">
        <v>1.3301282051282053E-2</v>
      </c>
      <c r="W272" s="441" t="s">
        <v>176</v>
      </c>
      <c r="X272" s="438">
        <v>26.505470302261681</v>
      </c>
      <c r="Y272" s="438">
        <v>-5.7922172902134896</v>
      </c>
      <c r="Z272" s="443">
        <v>58.498222222222225</v>
      </c>
      <c r="AA272" s="58">
        <f t="shared" ca="1" si="16"/>
        <v>83.227499999999992</v>
      </c>
      <c r="AB272" s="453">
        <f ca="1">Table29[[#This Row],[Earnings]]-Table29[[#This Row],[4-Week Average]]</f>
        <v>2.7325000000000159</v>
      </c>
    </row>
    <row r="273" spans="1:28" x14ac:dyDescent="0.35">
      <c r="A273" s="445">
        <v>45001</v>
      </c>
      <c r="B273" s="444">
        <v>2023</v>
      </c>
      <c r="C273" s="444">
        <v>12</v>
      </c>
      <c r="D273" s="444">
        <v>12</v>
      </c>
      <c r="E273" s="444" t="s">
        <v>278</v>
      </c>
      <c r="F273" s="445" t="s">
        <v>49</v>
      </c>
      <c r="G273" s="446">
        <v>0.72916666666666552</v>
      </c>
      <c r="H273" s="445" t="s">
        <v>236</v>
      </c>
      <c r="I273" s="444">
        <v>39.9</v>
      </c>
      <c r="J273" s="445" t="s">
        <v>80</v>
      </c>
      <c r="K273" s="447">
        <v>70.19</v>
      </c>
      <c r="L273" s="448">
        <v>5.12</v>
      </c>
      <c r="M273" s="444">
        <v>116.7</v>
      </c>
      <c r="N273" s="444">
        <v>4</v>
      </c>
      <c r="O273" s="447">
        <v>13.708984375</v>
      </c>
      <c r="P273" s="449">
        <v>-6.6970915959773798</v>
      </c>
      <c r="Q273" s="447">
        <v>17.547499999999999</v>
      </c>
      <c r="R273" s="447">
        <v>0.60145672664952865</v>
      </c>
      <c r="S273" s="450">
        <v>29.175000000000001</v>
      </c>
      <c r="T273" s="450">
        <v>0.78125</v>
      </c>
      <c r="U273" s="240">
        <v>2</v>
      </c>
      <c r="V273" s="451">
        <v>5.3333333333333337E-2</v>
      </c>
      <c r="W273" s="450" t="s">
        <v>176</v>
      </c>
      <c r="X273" s="447">
        <v>13.708984375</v>
      </c>
      <c r="Y273" s="447">
        <v>0</v>
      </c>
      <c r="Z273" s="452">
        <v>57.767777777777773</v>
      </c>
      <c r="AA273" s="58">
        <f t="shared" ca="1" si="16"/>
        <v>84.75500000000001</v>
      </c>
      <c r="AB273" s="453">
        <f ca="1">Table29[[#This Row],[Earnings]]-Table29[[#This Row],[4-Week Average]]</f>
        <v>-14.565000000000012</v>
      </c>
    </row>
    <row r="274" spans="1:28" x14ac:dyDescent="0.35">
      <c r="A274" s="436">
        <v>45002</v>
      </c>
      <c r="B274" s="435">
        <v>2023</v>
      </c>
      <c r="C274" s="435">
        <v>12</v>
      </c>
      <c r="D274" s="435">
        <v>12</v>
      </c>
      <c r="E274" s="435" t="s">
        <v>278</v>
      </c>
      <c r="F274" s="436" t="s">
        <v>50</v>
      </c>
      <c r="G274" s="437">
        <v>0.72916666666666552</v>
      </c>
      <c r="H274" s="436" t="s">
        <v>235</v>
      </c>
      <c r="I274" s="435">
        <v>49.1</v>
      </c>
      <c r="J274" s="436" t="s">
        <v>82</v>
      </c>
      <c r="K274" s="438">
        <v>51.5</v>
      </c>
      <c r="L274" s="439">
        <v>3.85</v>
      </c>
      <c r="M274" s="435">
        <v>54</v>
      </c>
      <c r="N274" s="435">
        <v>8</v>
      </c>
      <c r="O274" s="438">
        <v>13.376623376623376</v>
      </c>
      <c r="P274" s="440">
        <v>-8.5605016355581736</v>
      </c>
      <c r="Q274" s="438">
        <v>6.4375</v>
      </c>
      <c r="R274" s="438">
        <v>0.95370370370370372</v>
      </c>
      <c r="S274" s="441">
        <v>6.75</v>
      </c>
      <c r="T274" s="441">
        <v>2.0779220779220777</v>
      </c>
      <c r="U274" s="239">
        <v>1</v>
      </c>
      <c r="V274" s="442">
        <v>2.0052083333333335E-2</v>
      </c>
      <c r="W274" s="441" t="s">
        <v>176</v>
      </c>
      <c r="X274" s="438">
        <v>24.852884451271549</v>
      </c>
      <c r="Y274" s="438">
        <v>-11.476261074648173</v>
      </c>
      <c r="Z274" s="443">
        <v>58.195444444444448</v>
      </c>
      <c r="AA274" s="58">
        <f t="shared" ca="1" si="16"/>
        <v>67.017499999999998</v>
      </c>
      <c r="AB274" s="453">
        <f ca="1">Table29[[#This Row],[Earnings]]-Table29[[#This Row],[4-Week Average]]</f>
        <v>-15.517499999999998</v>
      </c>
    </row>
    <row r="275" spans="1:28" x14ac:dyDescent="0.35">
      <c r="A275" s="445">
        <v>45003</v>
      </c>
      <c r="B275" s="444">
        <v>2023</v>
      </c>
      <c r="C275" s="444">
        <v>12</v>
      </c>
      <c r="D275" s="444">
        <v>12</v>
      </c>
      <c r="E275" s="444" t="s">
        <v>278</v>
      </c>
      <c r="F275" s="445" t="s">
        <v>51</v>
      </c>
      <c r="G275" s="446">
        <v>0.74999999999999889</v>
      </c>
      <c r="H275" s="445" t="s">
        <v>234</v>
      </c>
      <c r="I275" s="444">
        <v>31.3</v>
      </c>
      <c r="J275" s="445" t="s">
        <v>80</v>
      </c>
      <c r="K275" s="447">
        <v>94.91</v>
      </c>
      <c r="L275" s="448">
        <v>6.23</v>
      </c>
      <c r="M275" s="444">
        <v>145</v>
      </c>
      <c r="N275" s="444">
        <v>9</v>
      </c>
      <c r="O275" s="447">
        <v>15.234349919743176</v>
      </c>
      <c r="P275" s="449">
        <v>-11.413533387565581</v>
      </c>
      <c r="Q275" s="447">
        <v>10.545555555555556</v>
      </c>
      <c r="R275" s="447">
        <v>0.65455172413793106</v>
      </c>
      <c r="S275" s="450">
        <v>16.111111111111111</v>
      </c>
      <c r="T275" s="450">
        <v>1.4446227929373996</v>
      </c>
      <c r="U275" s="240">
        <v>3</v>
      </c>
      <c r="V275" s="451">
        <v>2.8842592592592597E-2</v>
      </c>
      <c r="W275" s="450" t="s">
        <v>176</v>
      </c>
      <c r="X275" s="447">
        <v>21.037978186413866</v>
      </c>
      <c r="Y275" s="447">
        <v>-5.8036282666706906</v>
      </c>
      <c r="Z275" s="452">
        <v>57.603999999999999</v>
      </c>
      <c r="AA275" s="58">
        <f t="shared" ca="1" si="16"/>
        <v>75.64</v>
      </c>
      <c r="AB275" s="453">
        <f ca="1">Table29[[#This Row],[Earnings]]-Table29[[#This Row],[4-Week Average]]</f>
        <v>19.269999999999996</v>
      </c>
    </row>
    <row r="276" spans="1:28" x14ac:dyDescent="0.35">
      <c r="A276" s="436">
        <v>45008</v>
      </c>
      <c r="B276" s="435">
        <v>2023</v>
      </c>
      <c r="C276" s="435">
        <v>13</v>
      </c>
      <c r="D276" s="435">
        <v>13</v>
      </c>
      <c r="E276" s="435" t="s">
        <v>278</v>
      </c>
      <c r="F276" s="436" t="s">
        <v>49</v>
      </c>
      <c r="G276" s="437">
        <v>0.79166666666666541</v>
      </c>
      <c r="H276" s="436" t="s">
        <v>236</v>
      </c>
      <c r="I276" s="435">
        <v>38.9</v>
      </c>
      <c r="J276" s="436" t="s">
        <v>85</v>
      </c>
      <c r="K276" s="438">
        <v>98.240000000000009</v>
      </c>
      <c r="L276" s="439">
        <v>4.97</v>
      </c>
      <c r="M276" s="435">
        <v>61</v>
      </c>
      <c r="N276" s="435">
        <v>10</v>
      </c>
      <c r="O276" s="438">
        <v>19.766599597585515</v>
      </c>
      <c r="P276" s="440">
        <v>-0.77006558164994132</v>
      </c>
      <c r="Q276" s="438">
        <v>9.8240000000000016</v>
      </c>
      <c r="R276" s="438">
        <v>1.6104918032786886</v>
      </c>
      <c r="S276" s="441">
        <v>6.1</v>
      </c>
      <c r="T276" s="441">
        <v>2.0120724346076462</v>
      </c>
      <c r="U276" s="239">
        <v>2</v>
      </c>
      <c r="V276" s="442">
        <v>2.0708333333333332E-2</v>
      </c>
      <c r="W276" s="441" t="s">
        <v>176</v>
      </c>
      <c r="X276" s="438">
        <v>21.815117980610939</v>
      </c>
      <c r="Y276" s="438">
        <v>-2.0485183830254243</v>
      </c>
      <c r="Z276" s="443">
        <v>56.960444444444441</v>
      </c>
      <c r="AA276" s="58">
        <f t="shared" ca="1" si="16"/>
        <v>78.710000000000008</v>
      </c>
      <c r="AB276" s="453">
        <f ca="1">Table29[[#This Row],[Earnings]]-Table29[[#This Row],[4-Week Average]]</f>
        <v>19.53</v>
      </c>
    </row>
    <row r="277" spans="1:28" x14ac:dyDescent="0.35">
      <c r="A277" s="445">
        <v>45009</v>
      </c>
      <c r="B277" s="444">
        <v>2023</v>
      </c>
      <c r="C277" s="444">
        <v>13</v>
      </c>
      <c r="D277" s="444">
        <v>13</v>
      </c>
      <c r="E277" s="444" t="s">
        <v>278</v>
      </c>
      <c r="F277" s="445" t="s">
        <v>50</v>
      </c>
      <c r="G277" s="446">
        <v>0.79166666666666541</v>
      </c>
      <c r="H277" s="445" t="s">
        <v>234</v>
      </c>
      <c r="I277" s="444">
        <v>33.5</v>
      </c>
      <c r="J277" s="445" t="s">
        <v>80</v>
      </c>
      <c r="K277" s="447">
        <v>65.75</v>
      </c>
      <c r="L277" s="448">
        <v>3.18</v>
      </c>
      <c r="M277" s="444">
        <v>51</v>
      </c>
      <c r="N277" s="444">
        <v>8</v>
      </c>
      <c r="O277" s="447">
        <v>20.676100628930815</v>
      </c>
      <c r="P277" s="449">
        <v>1.8607419933135567</v>
      </c>
      <c r="Q277" s="447">
        <v>8.21875</v>
      </c>
      <c r="R277" s="447">
        <v>1.2892156862745099</v>
      </c>
      <c r="S277" s="450">
        <v>6.375</v>
      </c>
      <c r="T277" s="450">
        <v>2.5157232704402515</v>
      </c>
      <c r="U277" s="240">
        <v>2</v>
      </c>
      <c r="V277" s="451">
        <v>1.6562500000000001E-2</v>
      </c>
      <c r="W277" s="450" t="s">
        <v>176</v>
      </c>
      <c r="X277" s="447">
        <v>21.587544461558959</v>
      </c>
      <c r="Y277" s="447">
        <v>-0.91144383262814443</v>
      </c>
      <c r="Z277" s="452">
        <v>57.690999999999995</v>
      </c>
      <c r="AA277" s="58">
        <f t="shared" ca="1" si="16"/>
        <v>77.599999999999994</v>
      </c>
      <c r="AB277" s="453">
        <f ca="1">Table29[[#This Row],[Earnings]]-Table29[[#This Row],[4-Week Average]]</f>
        <v>-11.849999999999994</v>
      </c>
    </row>
    <row r="278" spans="1:28" x14ac:dyDescent="0.35">
      <c r="A278" s="436">
        <v>45010</v>
      </c>
      <c r="B278" s="435">
        <v>2023</v>
      </c>
      <c r="C278" s="435">
        <v>13</v>
      </c>
      <c r="D278" s="435">
        <v>13</v>
      </c>
      <c r="E278" s="435" t="s">
        <v>278</v>
      </c>
      <c r="F278" s="436" t="s">
        <v>51</v>
      </c>
      <c r="G278" s="437">
        <v>0.79166666666666541</v>
      </c>
      <c r="H278" s="436" t="s">
        <v>235</v>
      </c>
      <c r="I278" s="435">
        <v>41.9</v>
      </c>
      <c r="J278" s="436" t="s">
        <v>80</v>
      </c>
      <c r="K278" s="438">
        <v>116.67</v>
      </c>
      <c r="L278" s="439">
        <v>4.03</v>
      </c>
      <c r="M278" s="435">
        <v>81</v>
      </c>
      <c r="N278" s="435">
        <v>8</v>
      </c>
      <c r="O278" s="438">
        <v>28.950372208436722</v>
      </c>
      <c r="P278" s="440">
        <v>3.253616683425097</v>
      </c>
      <c r="Q278" s="438">
        <v>14.58375</v>
      </c>
      <c r="R278" s="438">
        <v>1.4403703703703703</v>
      </c>
      <c r="S278" s="441">
        <v>10.125</v>
      </c>
      <c r="T278" s="441">
        <v>1.9851116625310172</v>
      </c>
      <c r="U278" s="239">
        <v>2</v>
      </c>
      <c r="V278" s="442">
        <v>2.0989583333333336E-2</v>
      </c>
      <c r="W278" s="441" t="s">
        <v>176</v>
      </c>
      <c r="X278" s="438">
        <v>30.297774755848877</v>
      </c>
      <c r="Y278" s="438">
        <v>-1.3474025474121554</v>
      </c>
      <c r="Z278" s="443">
        <v>58.987333333333332</v>
      </c>
      <c r="AA278" s="58">
        <f t="shared" ca="1" si="16"/>
        <v>93.892499999999998</v>
      </c>
      <c r="AB278" s="453">
        <f ca="1">Table29[[#This Row],[Earnings]]-Table29[[#This Row],[4-Week Average]]</f>
        <v>22.777500000000003</v>
      </c>
    </row>
    <row r="279" spans="1:28" x14ac:dyDescent="0.35">
      <c r="A279" s="445">
        <v>45011</v>
      </c>
      <c r="B279" s="444">
        <v>2023</v>
      </c>
      <c r="C279" s="444">
        <v>13</v>
      </c>
      <c r="D279" s="444">
        <v>13</v>
      </c>
      <c r="E279" s="444" t="s">
        <v>278</v>
      </c>
      <c r="F279" s="445" t="s">
        <v>45</v>
      </c>
      <c r="G279" s="446">
        <v>0.77083333333333215</v>
      </c>
      <c r="H279" s="445" t="s">
        <v>249</v>
      </c>
      <c r="I279" s="444">
        <v>52.3</v>
      </c>
      <c r="J279" s="445" t="s">
        <v>85</v>
      </c>
      <c r="K279" s="447">
        <v>114.53</v>
      </c>
      <c r="L279" s="448">
        <v>4.5999999999999996</v>
      </c>
      <c r="M279" s="444">
        <v>77</v>
      </c>
      <c r="N279" s="444">
        <v>10</v>
      </c>
      <c r="O279" s="447">
        <v>24.897826086956524</v>
      </c>
      <c r="P279" s="449">
        <v>9.9769476976902247</v>
      </c>
      <c r="Q279" s="447">
        <v>11.452999999999999</v>
      </c>
      <c r="R279" s="447">
        <v>1.4874025974025975</v>
      </c>
      <c r="S279" s="450">
        <v>7.7</v>
      </c>
      <c r="T279" s="450">
        <v>2.1739130434782612</v>
      </c>
      <c r="U279" s="240">
        <v>3</v>
      </c>
      <c r="V279" s="451">
        <v>1.9166666666666665E-2</v>
      </c>
      <c r="W279" s="450" t="s">
        <v>176</v>
      </c>
      <c r="X279" s="447">
        <v>24.684581833287179</v>
      </c>
      <c r="Y279" s="447">
        <v>0.21324425366934463</v>
      </c>
      <c r="Z279" s="452">
        <v>60.259888888888881</v>
      </c>
      <c r="AA279" s="58">
        <f t="shared" ca="1" si="16"/>
        <v>98.797500000000014</v>
      </c>
      <c r="AB279" s="453">
        <f ca="1">Table29[[#This Row],[Earnings]]-Table29[[#This Row],[4-Week Average]]</f>
        <v>15.732499999999987</v>
      </c>
    </row>
    <row r="280" spans="1:28" x14ac:dyDescent="0.35">
      <c r="A280" s="436">
        <v>45014</v>
      </c>
      <c r="B280" s="435">
        <v>2023</v>
      </c>
      <c r="C280" s="435">
        <v>14</v>
      </c>
      <c r="D280" s="435">
        <v>1</v>
      </c>
      <c r="E280" s="435" t="s">
        <v>287</v>
      </c>
      <c r="F280" s="436" t="s">
        <v>48</v>
      </c>
      <c r="G280" s="437">
        <v>0.72916666666666552</v>
      </c>
      <c r="H280" s="436" t="s">
        <v>235</v>
      </c>
      <c r="I280" s="435">
        <v>33</v>
      </c>
      <c r="J280" s="436" t="s">
        <v>85</v>
      </c>
      <c r="K280" s="438">
        <v>66.98</v>
      </c>
      <c r="L280" s="439">
        <v>4.7300000000000004</v>
      </c>
      <c r="M280" s="435">
        <v>71.8</v>
      </c>
      <c r="N280" s="435">
        <v>10</v>
      </c>
      <c r="O280" s="438">
        <v>14.160676532769555</v>
      </c>
      <c r="P280" s="440">
        <v>-7.5472182040725482</v>
      </c>
      <c r="Q280" s="438">
        <v>6.6980000000000004</v>
      </c>
      <c r="R280" s="438">
        <v>0.93286908077994435</v>
      </c>
      <c r="S280" s="441">
        <v>7.18</v>
      </c>
      <c r="T280" s="441">
        <v>2.1141649048625792</v>
      </c>
      <c r="U280" s="239">
        <v>3</v>
      </c>
      <c r="V280" s="442">
        <v>1.9708333333333335E-2</v>
      </c>
      <c r="W280" s="441" t="s">
        <v>176</v>
      </c>
      <c r="X280" s="438">
        <v>15.580338266384778</v>
      </c>
      <c r="Y280" s="438">
        <v>-1.4196617336152233</v>
      </c>
      <c r="Z280" s="443">
        <v>59.1522222222222</v>
      </c>
      <c r="AA280" s="58">
        <f t="shared" ca="1" si="16"/>
        <v>90.982500000000016</v>
      </c>
      <c r="AB280" s="453">
        <f ca="1">Table29[[#This Row],[Earnings]]-Table29[[#This Row],[4-Week Average]]</f>
        <v>-24.002500000000012</v>
      </c>
    </row>
    <row r="281" spans="1:28" x14ac:dyDescent="0.35">
      <c r="A281" s="445">
        <v>45015</v>
      </c>
      <c r="B281" s="444">
        <v>2023</v>
      </c>
      <c r="C281" s="444">
        <v>14</v>
      </c>
      <c r="D281" s="444">
        <v>1</v>
      </c>
      <c r="E281" s="444" t="s">
        <v>287</v>
      </c>
      <c r="F281" s="445" t="s">
        <v>49</v>
      </c>
      <c r="G281" s="446">
        <v>0.74999999999999889</v>
      </c>
      <c r="H281" s="445" t="s">
        <v>234</v>
      </c>
      <c r="I281" s="444">
        <v>38.6</v>
      </c>
      <c r="J281" s="445" t="s">
        <v>82</v>
      </c>
      <c r="K281" s="447">
        <v>103.39</v>
      </c>
      <c r="L281" s="448">
        <v>4.92</v>
      </c>
      <c r="M281" s="444">
        <v>80</v>
      </c>
      <c r="N281" s="444">
        <v>11</v>
      </c>
      <c r="O281" s="447">
        <v>21.014227642276424</v>
      </c>
      <c r="P281" s="449">
        <v>3.244996873045654</v>
      </c>
      <c r="Q281" s="447">
        <v>9.3990909090909085</v>
      </c>
      <c r="R281" s="447">
        <v>1.2923750000000001</v>
      </c>
      <c r="S281" s="450">
        <v>7.2727272727272725</v>
      </c>
      <c r="T281" s="450">
        <v>2.2357723577235773</v>
      </c>
      <c r="U281" s="240">
        <v>3</v>
      </c>
      <c r="V281" s="451">
        <v>1.8636363636363635E-2</v>
      </c>
      <c r="W281" s="450" t="s">
        <v>176</v>
      </c>
      <c r="X281" s="447">
        <v>20.685685249709643</v>
      </c>
      <c r="Y281" s="447">
        <v>0.32854239256678142</v>
      </c>
      <c r="Z281" s="452">
        <v>59.046999999999983</v>
      </c>
      <c r="AA281" s="58">
        <f t="shared" ca="1" si="16"/>
        <v>100.3925</v>
      </c>
      <c r="AB281" s="453">
        <f ca="1">Table29[[#This Row],[Earnings]]-Table29[[#This Row],[4-Week Average]]</f>
        <v>2.9975000000000023</v>
      </c>
    </row>
    <row r="282" spans="1:28" x14ac:dyDescent="0.35">
      <c r="A282" s="436">
        <v>45016</v>
      </c>
      <c r="B282" s="435">
        <v>2023</v>
      </c>
      <c r="C282" s="435">
        <v>14</v>
      </c>
      <c r="D282" s="435">
        <v>1</v>
      </c>
      <c r="E282" s="435" t="s">
        <v>287</v>
      </c>
      <c r="F282" s="436" t="s">
        <v>50</v>
      </c>
      <c r="G282" s="437">
        <v>0.72916666666666552</v>
      </c>
      <c r="H282" s="436" t="s">
        <v>235</v>
      </c>
      <c r="I282" s="435">
        <v>42.3</v>
      </c>
      <c r="J282" s="436" t="s">
        <v>85</v>
      </c>
      <c r="K282" s="438">
        <v>206.46000000000004</v>
      </c>
      <c r="L282" s="439">
        <v>8.9499999999999993</v>
      </c>
      <c r="M282" s="435">
        <v>166</v>
      </c>
      <c r="N282" s="435">
        <v>18</v>
      </c>
      <c r="O282" s="438">
        <v>23.068156424581012</v>
      </c>
      <c r="P282" s="440">
        <v>1.0542767708746723</v>
      </c>
      <c r="Q282" s="438">
        <v>11.470000000000002</v>
      </c>
      <c r="R282" s="438">
        <v>1.2437349397590363</v>
      </c>
      <c r="S282" s="441">
        <v>9.2222222222222214</v>
      </c>
      <c r="T282" s="441">
        <v>2.011173184357542</v>
      </c>
      <c r="U282" s="239">
        <v>4</v>
      </c>
      <c r="V282" s="442">
        <v>2.071759259259259E-2</v>
      </c>
      <c r="W282" s="441" t="s">
        <v>176</v>
      </c>
      <c r="X282" s="438">
        <v>30.149780691629349</v>
      </c>
      <c r="Y282" s="438">
        <v>-7.0816242670483369</v>
      </c>
      <c r="Z282" s="443">
        <v>61.340999999999987</v>
      </c>
      <c r="AA282" s="58">
        <f t="shared" ca="1" si="16"/>
        <v>122.84</v>
      </c>
      <c r="AB282" s="453">
        <f ca="1">Table29[[#This Row],[Earnings]]-Table29[[#This Row],[4-Week Average]]</f>
        <v>83.620000000000033</v>
      </c>
    </row>
    <row r="283" spans="1:28" x14ac:dyDescent="0.35">
      <c r="A283" s="445">
        <v>45017</v>
      </c>
      <c r="B283" s="444">
        <v>2023</v>
      </c>
      <c r="C283" s="444">
        <v>14</v>
      </c>
      <c r="D283" s="444">
        <v>1</v>
      </c>
      <c r="E283" s="444" t="s">
        <v>287</v>
      </c>
      <c r="F283" s="445" t="s">
        <v>51</v>
      </c>
      <c r="G283" s="446">
        <v>0.77083333333333215</v>
      </c>
      <c r="H283" s="445" t="s">
        <v>249</v>
      </c>
      <c r="I283" s="444">
        <v>37.799999999999997</v>
      </c>
      <c r="J283" s="445" t="s">
        <v>85</v>
      </c>
      <c r="K283" s="447">
        <v>78.900000000000006</v>
      </c>
      <c r="L283" s="448">
        <v>4.58</v>
      </c>
      <c r="M283" s="444">
        <v>81</v>
      </c>
      <c r="N283" s="444">
        <v>10</v>
      </c>
      <c r="O283" s="447">
        <v>17.227074235807862</v>
      </c>
      <c r="P283" s="449">
        <v>-1.4571916372080089</v>
      </c>
      <c r="Q283" s="447">
        <v>7.8900000000000006</v>
      </c>
      <c r="R283" s="447">
        <v>0.97407407407407409</v>
      </c>
      <c r="S283" s="450">
        <v>8.1</v>
      </c>
      <c r="T283" s="450">
        <v>2.1834061135371177</v>
      </c>
      <c r="U283" s="240">
        <v>3</v>
      </c>
      <c r="V283" s="451">
        <v>1.9083333333333334E-2</v>
      </c>
      <c r="W283" s="450" t="s">
        <v>176</v>
      </c>
      <c r="X283" s="447">
        <v>21.691133638317044</v>
      </c>
      <c r="Y283" s="447">
        <v>-4.4640594025091822</v>
      </c>
      <c r="Z283" s="452">
        <v>60.490222222222208</v>
      </c>
      <c r="AA283" s="58">
        <f t="shared" ca="1" si="16"/>
        <v>113.9325</v>
      </c>
      <c r="AB283" s="453">
        <f ca="1">Table29[[#This Row],[Earnings]]-Table29[[#This Row],[4-Week Average]]</f>
        <v>-35.032499999999999</v>
      </c>
    </row>
    <row r="284" spans="1:28" x14ac:dyDescent="0.35">
      <c r="A284" s="436">
        <v>45020</v>
      </c>
      <c r="B284" s="435">
        <v>2023</v>
      </c>
      <c r="C284" s="435">
        <v>15</v>
      </c>
      <c r="D284" s="435">
        <v>2</v>
      </c>
      <c r="E284" s="435" t="s">
        <v>287</v>
      </c>
      <c r="F284" s="436" t="s">
        <v>47</v>
      </c>
      <c r="G284" s="437">
        <v>0.72916666666666552</v>
      </c>
      <c r="H284" s="436" t="s">
        <v>233</v>
      </c>
      <c r="I284" s="435">
        <v>43.8</v>
      </c>
      <c r="J284" s="436" t="s">
        <v>80</v>
      </c>
      <c r="K284" s="438">
        <v>25.5</v>
      </c>
      <c r="L284" s="439">
        <v>1.9</v>
      </c>
      <c r="M284" s="435">
        <v>36.4</v>
      </c>
      <c r="N284" s="435">
        <v>3</v>
      </c>
      <c r="O284" s="438">
        <v>13.421052631578949</v>
      </c>
      <c r="P284" s="440">
        <v>-9.9697503562828587</v>
      </c>
      <c r="Q284" s="438">
        <v>8.5</v>
      </c>
      <c r="R284" s="438">
        <v>0.70054945054945061</v>
      </c>
      <c r="S284" s="441">
        <v>12.133333333333333</v>
      </c>
      <c r="T284" s="441">
        <v>1.5789473684210527</v>
      </c>
      <c r="U284" s="239">
        <v>1</v>
      </c>
      <c r="V284" s="442">
        <v>2.6388888888888889E-2</v>
      </c>
      <c r="W284" s="441" t="s">
        <v>176</v>
      </c>
      <c r="X284" s="438">
        <v>21.082970919354722</v>
      </c>
      <c r="Y284" s="438">
        <v>-7.661918287775773</v>
      </c>
      <c r="Z284" s="443">
        <v>58.381222222222206</v>
      </c>
      <c r="AA284" s="58">
        <f t="shared" ca="1" si="16"/>
        <v>103.5625</v>
      </c>
      <c r="AB284" s="453">
        <f ca="1">Table29[[#This Row],[Earnings]]-Table29[[#This Row],[4-Week Average]]</f>
        <v>-78.0625</v>
      </c>
    </row>
    <row r="285" spans="1:28" x14ac:dyDescent="0.35">
      <c r="A285" s="445">
        <v>45029</v>
      </c>
      <c r="B285" s="444">
        <v>2023</v>
      </c>
      <c r="C285" s="444">
        <v>16</v>
      </c>
      <c r="D285" s="444">
        <v>3</v>
      </c>
      <c r="E285" s="444" t="s">
        <v>287</v>
      </c>
      <c r="F285" s="445" t="s">
        <v>49</v>
      </c>
      <c r="G285" s="446">
        <v>0.74999999999999889</v>
      </c>
      <c r="H285" s="445" t="s">
        <v>230</v>
      </c>
      <c r="I285" s="444">
        <v>78.400000000000006</v>
      </c>
      <c r="J285" s="445" t="s">
        <v>80</v>
      </c>
      <c r="K285" s="447">
        <v>104.67</v>
      </c>
      <c r="L285" s="448">
        <v>4.3</v>
      </c>
      <c r="M285" s="444">
        <v>105.8</v>
      </c>
      <c r="N285" s="444">
        <v>8</v>
      </c>
      <c r="O285" s="447">
        <v>24.34186046511628</v>
      </c>
      <c r="P285" s="449">
        <v>0.21512320590909439</v>
      </c>
      <c r="Q285" s="447">
        <v>13.08375</v>
      </c>
      <c r="R285" s="447">
        <v>0.98931947069943293</v>
      </c>
      <c r="S285" s="450">
        <v>13.225</v>
      </c>
      <c r="T285" s="450">
        <v>1.8604651162790697</v>
      </c>
      <c r="U285" s="240">
        <v>4</v>
      </c>
      <c r="V285" s="451">
        <v>2.2395833333333334E-2</v>
      </c>
      <c r="W285" s="450" t="s">
        <v>176</v>
      </c>
      <c r="X285" s="447">
        <v>20.870675779631931</v>
      </c>
      <c r="Y285" s="447">
        <v>3.4711846854843493</v>
      </c>
      <c r="Z285" s="452">
        <v>52.285999999999987</v>
      </c>
      <c r="AA285" s="58">
        <f t="shared" ca="1" si="16"/>
        <v>103.88250000000001</v>
      </c>
      <c r="AB285" s="453">
        <f ca="1">Table29[[#This Row],[Earnings]]-Table29[[#This Row],[4-Week Average]]</f>
        <v>0.78749999999999432</v>
      </c>
    </row>
    <row r="286" spans="1:28" x14ac:dyDescent="0.35">
      <c r="A286" s="436">
        <v>45031</v>
      </c>
      <c r="B286" s="435">
        <v>2023</v>
      </c>
      <c r="C286" s="435">
        <v>16</v>
      </c>
      <c r="D286" s="435">
        <v>3</v>
      </c>
      <c r="E286" s="435" t="s">
        <v>287</v>
      </c>
      <c r="F286" s="436" t="s">
        <v>51</v>
      </c>
      <c r="G286" s="437">
        <v>0.68749999999999889</v>
      </c>
      <c r="H286" s="436" t="s">
        <v>236</v>
      </c>
      <c r="I286" s="435">
        <v>66</v>
      </c>
      <c r="J286" s="436" t="s">
        <v>80</v>
      </c>
      <c r="K286" s="438">
        <v>131.49</v>
      </c>
      <c r="L286" s="439">
        <v>5.62</v>
      </c>
      <c r="M286" s="435">
        <v>101</v>
      </c>
      <c r="N286" s="435">
        <v>13</v>
      </c>
      <c r="O286" s="438">
        <v>23.396797153024913</v>
      </c>
      <c r="P286" s="440">
        <v>-4.1090104413442319</v>
      </c>
      <c r="Q286" s="438">
        <v>10.114615384615385</v>
      </c>
      <c r="R286" s="438">
        <v>1.3018811881188119</v>
      </c>
      <c r="S286" s="441">
        <v>7.7692307692307692</v>
      </c>
      <c r="T286" s="441">
        <v>2.3131672597864767</v>
      </c>
      <c r="U286" s="239">
        <v>4</v>
      </c>
      <c r="V286" s="442">
        <v>1.8012820512820514E-2</v>
      </c>
      <c r="W286" s="441" t="s">
        <v>176</v>
      </c>
      <c r="X286" s="438">
        <v>24.77708469395462</v>
      </c>
      <c r="Y286" s="438">
        <v>-1.3802875409297073</v>
      </c>
      <c r="Z286" s="443">
        <v>53.746999999999986</v>
      </c>
      <c r="AA286" s="58">
        <f t="shared" ca="1" si="16"/>
        <v>85.14</v>
      </c>
      <c r="AB286" s="453">
        <f ca="1">Table29[[#This Row],[Earnings]]-Table29[[#This Row],[4-Week Average]]</f>
        <v>46.350000000000009</v>
      </c>
    </row>
    <row r="287" spans="1:28" x14ac:dyDescent="0.35">
      <c r="A287" s="445">
        <v>45035</v>
      </c>
      <c r="B287" s="444">
        <v>2023</v>
      </c>
      <c r="C287" s="444">
        <v>17</v>
      </c>
      <c r="D287" s="444">
        <v>4</v>
      </c>
      <c r="E287" s="444" t="s">
        <v>287</v>
      </c>
      <c r="F287" s="445" t="s">
        <v>48</v>
      </c>
      <c r="G287" s="446">
        <v>0.72916666666666552</v>
      </c>
      <c r="H287" s="445" t="s">
        <v>249</v>
      </c>
      <c r="I287" s="444">
        <v>54.3</v>
      </c>
      <c r="J287" s="445" t="s">
        <v>80</v>
      </c>
      <c r="K287" s="447">
        <v>91.19</v>
      </c>
      <c r="L287" s="448">
        <v>4.8499999999999996</v>
      </c>
      <c r="M287" s="444">
        <v>110.8</v>
      </c>
      <c r="N287" s="444">
        <v>10</v>
      </c>
      <c r="O287" s="447">
        <v>18.802061855670104</v>
      </c>
      <c r="P287" s="449">
        <v>-12.163715183827865</v>
      </c>
      <c r="Q287" s="447">
        <v>9.1189999999999998</v>
      </c>
      <c r="R287" s="447">
        <v>0.82301444043321303</v>
      </c>
      <c r="S287" s="450">
        <v>11.08</v>
      </c>
      <c r="T287" s="450">
        <v>2.061855670103093</v>
      </c>
      <c r="U287" s="240">
        <v>2</v>
      </c>
      <c r="V287" s="451">
        <v>2.0208333333333332E-2</v>
      </c>
      <c r="W287" s="450" t="s">
        <v>176</v>
      </c>
      <c r="X287" s="447">
        <v>23.221856443782517</v>
      </c>
      <c r="Y287" s="447">
        <v>-4.4197945881124134</v>
      </c>
      <c r="Z287" s="452">
        <v>52.287555555555535</v>
      </c>
      <c r="AA287" s="58">
        <f t="shared" ca="1" si="16"/>
        <v>88.212500000000006</v>
      </c>
      <c r="AB287" s="453">
        <f ca="1">Table29[[#This Row],[Earnings]]-Table29[[#This Row],[4-Week Average]]</f>
        <v>2.977499999999992</v>
      </c>
    </row>
    <row r="288" spans="1:28" x14ac:dyDescent="0.35">
      <c r="A288" s="436">
        <v>45036</v>
      </c>
      <c r="B288" s="435">
        <v>2023</v>
      </c>
      <c r="C288" s="435">
        <v>17</v>
      </c>
      <c r="D288" s="435">
        <v>4</v>
      </c>
      <c r="E288" s="435" t="s">
        <v>287</v>
      </c>
      <c r="F288" s="436" t="s">
        <v>49</v>
      </c>
      <c r="G288" s="437">
        <v>0.72916666666666552</v>
      </c>
      <c r="H288" s="436" t="s">
        <v>249</v>
      </c>
      <c r="I288" s="435">
        <v>53.7</v>
      </c>
      <c r="J288" s="436" t="s">
        <v>80</v>
      </c>
      <c r="K288" s="438">
        <v>134.42000000000002</v>
      </c>
      <c r="L288" s="439">
        <v>5.6</v>
      </c>
      <c r="M288" s="435">
        <v>128</v>
      </c>
      <c r="N288" s="435">
        <v>14</v>
      </c>
      <c r="O288" s="438">
        <v>24.003571428571433</v>
      </c>
      <c r="P288" s="440">
        <v>-0.15389771719419088</v>
      </c>
      <c r="Q288" s="438">
        <v>9.6014285714285723</v>
      </c>
      <c r="R288" s="438">
        <v>1.0501562500000001</v>
      </c>
      <c r="S288" s="441">
        <v>9.1428571428571423</v>
      </c>
      <c r="T288" s="441">
        <v>2.5</v>
      </c>
      <c r="U288" s="239">
        <v>3</v>
      </c>
      <c r="V288" s="442">
        <v>1.6666666666666666E-2</v>
      </c>
      <c r="W288" s="441" t="s">
        <v>176</v>
      </c>
      <c r="X288" s="438">
        <v>20.958704774337935</v>
      </c>
      <c r="Y288" s="438">
        <v>3.0448666542334983</v>
      </c>
      <c r="Z288" s="443">
        <v>53.781111111111095</v>
      </c>
      <c r="AA288" s="58">
        <f t="shared" ca="1" si="16"/>
        <v>115.44250000000001</v>
      </c>
      <c r="AB288" s="453">
        <f ca="1">Table29[[#This Row],[Earnings]]-Table29[[#This Row],[4-Week Average]]</f>
        <v>18.977500000000006</v>
      </c>
    </row>
    <row r="289" spans="1:28" x14ac:dyDescent="0.35">
      <c r="A289" s="445">
        <v>45037</v>
      </c>
      <c r="B289" s="444">
        <v>2023</v>
      </c>
      <c r="C289" s="444">
        <v>17</v>
      </c>
      <c r="D289" s="444">
        <v>4</v>
      </c>
      <c r="E289" s="444" t="s">
        <v>287</v>
      </c>
      <c r="F289" s="445" t="s">
        <v>50</v>
      </c>
      <c r="G289" s="446">
        <v>0.77083333333333215</v>
      </c>
      <c r="H289" s="445" t="s">
        <v>249</v>
      </c>
      <c r="I289" s="444">
        <v>53.2</v>
      </c>
      <c r="J289" s="445" t="s">
        <v>80</v>
      </c>
      <c r="K289" s="447">
        <v>76.42</v>
      </c>
      <c r="L289" s="448">
        <v>2.8</v>
      </c>
      <c r="M289" s="444">
        <v>65</v>
      </c>
      <c r="N289" s="444">
        <v>7</v>
      </c>
      <c r="O289" s="447">
        <v>27.292857142857144</v>
      </c>
      <c r="P289" s="449">
        <v>-0.32396825396825335</v>
      </c>
      <c r="Q289" s="447">
        <v>10.917142857142858</v>
      </c>
      <c r="R289" s="447">
        <v>1.1756923076923078</v>
      </c>
      <c r="S289" s="450">
        <v>9.2857142857142865</v>
      </c>
      <c r="T289" s="450">
        <v>2.5</v>
      </c>
      <c r="U289" s="240">
        <v>2</v>
      </c>
      <c r="V289" s="451">
        <v>1.6666666666666666E-2</v>
      </c>
      <c r="W289" s="450" t="s">
        <v>176</v>
      </c>
      <c r="X289" s="447">
        <v>22.467344216099097</v>
      </c>
      <c r="Y289" s="447">
        <v>4.8255129267580479</v>
      </c>
      <c r="Z289" s="452">
        <v>52.98044444444443</v>
      </c>
      <c r="AA289" s="58">
        <f t="shared" ca="1" si="16"/>
        <v>108.38000000000001</v>
      </c>
      <c r="AB289" s="453">
        <f ca="1">Table29[[#This Row],[Earnings]]-Table29[[#This Row],[4-Week Average]]</f>
        <v>-31.960000000000008</v>
      </c>
    </row>
    <row r="290" spans="1:28" x14ac:dyDescent="0.35">
      <c r="A290" s="436">
        <v>45038</v>
      </c>
      <c r="B290" s="435">
        <v>2023</v>
      </c>
      <c r="C290" s="435">
        <v>17</v>
      </c>
      <c r="D290" s="435">
        <v>4</v>
      </c>
      <c r="E290" s="435" t="s">
        <v>287</v>
      </c>
      <c r="F290" s="436" t="s">
        <v>51</v>
      </c>
      <c r="G290" s="437">
        <v>0.66666666666666563</v>
      </c>
      <c r="H290" s="436" t="s">
        <v>236</v>
      </c>
      <c r="I290" s="435">
        <v>52.3</v>
      </c>
      <c r="J290" s="436" t="s">
        <v>80</v>
      </c>
      <c r="K290" s="438">
        <v>161</v>
      </c>
      <c r="L290" s="439">
        <v>6.2</v>
      </c>
      <c r="M290" s="435">
        <v>138</v>
      </c>
      <c r="N290" s="435">
        <v>15</v>
      </c>
      <c r="O290" s="438">
        <v>25.967741935483872</v>
      </c>
      <c r="P290" s="440">
        <v>-0.95106416726466847</v>
      </c>
      <c r="Q290" s="438">
        <v>10.733333333333333</v>
      </c>
      <c r="R290" s="438">
        <v>1.1666666666666667</v>
      </c>
      <c r="S290" s="441">
        <v>9.1999999999999993</v>
      </c>
      <c r="T290" s="441">
        <v>2.4193548387096775</v>
      </c>
      <c r="U290" s="239">
        <v>4</v>
      </c>
      <c r="V290" s="442">
        <v>1.7222222222222222E-2</v>
      </c>
      <c r="W290" s="441" t="s">
        <v>176</v>
      </c>
      <c r="X290" s="438">
        <v>23.513308240547271</v>
      </c>
      <c r="Y290" s="438">
        <v>2.4544336949366006</v>
      </c>
      <c r="Z290" s="443">
        <v>54.769333333333321</v>
      </c>
      <c r="AA290" s="58">
        <f t="shared" ca="1" si="16"/>
        <v>115.75750000000001</v>
      </c>
      <c r="AB290" s="453">
        <f ca="1">Table29[[#This Row],[Earnings]]-Table29[[#This Row],[4-Week Average]]</f>
        <v>45.242499999999993</v>
      </c>
    </row>
    <row r="291" spans="1:28" x14ac:dyDescent="0.35">
      <c r="A291" s="445">
        <v>45039</v>
      </c>
      <c r="B291" s="444">
        <v>2023</v>
      </c>
      <c r="C291" s="444">
        <v>17</v>
      </c>
      <c r="D291" s="444">
        <v>4</v>
      </c>
      <c r="E291" s="444" t="s">
        <v>287</v>
      </c>
      <c r="F291" s="445" t="s">
        <v>45</v>
      </c>
      <c r="G291" s="446">
        <v>0.74999999999999889</v>
      </c>
      <c r="H291" s="445" t="s">
        <v>236</v>
      </c>
      <c r="I291" s="444">
        <v>42.4</v>
      </c>
      <c r="J291" s="445" t="s">
        <v>174</v>
      </c>
      <c r="K291" s="447">
        <v>99.08</v>
      </c>
      <c r="L291" s="448">
        <v>4.3</v>
      </c>
      <c r="M291" s="444">
        <v>82</v>
      </c>
      <c r="N291" s="444">
        <v>9</v>
      </c>
      <c r="O291" s="447">
        <v>23.041860465116279</v>
      </c>
      <c r="P291" s="449" t="s">
        <v>393</v>
      </c>
      <c r="Q291" s="447">
        <v>11.008888888888889</v>
      </c>
      <c r="R291" s="447">
        <v>1.2082926829268292</v>
      </c>
      <c r="S291" s="450">
        <v>9.1111111111111107</v>
      </c>
      <c r="T291" s="450">
        <v>2.0930232558139537</v>
      </c>
      <c r="U291" s="240">
        <v>3</v>
      </c>
      <c r="V291" s="451">
        <v>1.9907407407407405E-2</v>
      </c>
      <c r="W291" s="450" t="s">
        <v>176</v>
      </c>
      <c r="X291" s="447">
        <v>18.958528045340856</v>
      </c>
      <c r="Y291" s="447">
        <v>4.0833324197754237</v>
      </c>
      <c r="Z291" s="452">
        <v>55.87022222222221</v>
      </c>
      <c r="AA291" s="58">
        <f t="shared" ca="1" si="16"/>
        <v>117.73</v>
      </c>
      <c r="AB291" s="453">
        <f ca="1">Table29[[#This Row],[Earnings]]-Table29[[#This Row],[4-Week Average]]</f>
        <v>-18.650000000000006</v>
      </c>
    </row>
    <row r="292" spans="1:28" x14ac:dyDescent="0.35">
      <c r="A292" s="436">
        <v>45042</v>
      </c>
      <c r="B292" s="435">
        <v>2023</v>
      </c>
      <c r="C292" s="435">
        <v>18</v>
      </c>
      <c r="D292" s="435">
        <v>5</v>
      </c>
      <c r="E292" s="435" t="s">
        <v>287</v>
      </c>
      <c r="F292" s="436" t="s">
        <v>48</v>
      </c>
      <c r="G292" s="437">
        <v>0.72916666666666552</v>
      </c>
      <c r="H292" s="436" t="s">
        <v>236</v>
      </c>
      <c r="I292" s="435">
        <v>55.1</v>
      </c>
      <c r="J292" s="436" t="s">
        <v>85</v>
      </c>
      <c r="K292" s="438">
        <v>121.06</v>
      </c>
      <c r="L292" s="439">
        <v>4.97</v>
      </c>
      <c r="M292" s="435">
        <v>100</v>
      </c>
      <c r="N292" s="435">
        <v>12</v>
      </c>
      <c r="O292" s="438">
        <v>24.358148893360163</v>
      </c>
      <c r="P292" s="440">
        <v>6.4238632585543343</v>
      </c>
      <c r="Q292" s="438">
        <v>10.088333333333333</v>
      </c>
      <c r="R292" s="438">
        <v>1.2106000000000001</v>
      </c>
      <c r="S292" s="441">
        <v>8.3333333333333339</v>
      </c>
      <c r="T292" s="441">
        <v>2.4144869215291753</v>
      </c>
      <c r="U292" s="239">
        <v>4</v>
      </c>
      <c r="V292" s="442">
        <v>1.7256944444444443E-2</v>
      </c>
      <c r="W292" s="441" t="s">
        <v>176</v>
      </c>
      <c r="X292" s="438">
        <v>22.335389870360405</v>
      </c>
      <c r="Y292" s="438">
        <v>2.0227590229997574</v>
      </c>
      <c r="Z292" s="443">
        <v>55.283555555555552</v>
      </c>
      <c r="AA292" s="58">
        <f t="shared" ca="1" si="16"/>
        <v>114.39</v>
      </c>
      <c r="AB292" s="453">
        <f ca="1">Table29[[#This Row],[Earnings]]-Table29[[#This Row],[4-Week Average]]</f>
        <v>6.6700000000000017</v>
      </c>
    </row>
    <row r="293" spans="1:28" x14ac:dyDescent="0.35">
      <c r="A293" s="445">
        <v>45043</v>
      </c>
      <c r="B293" s="444">
        <v>2023</v>
      </c>
      <c r="C293" s="444">
        <v>18</v>
      </c>
      <c r="D293" s="444">
        <v>5</v>
      </c>
      <c r="E293" s="444" t="s">
        <v>287</v>
      </c>
      <c r="F293" s="445" t="s">
        <v>49</v>
      </c>
      <c r="G293" s="446">
        <v>0.74999999999999889</v>
      </c>
      <c r="H293" s="445" t="s">
        <v>230</v>
      </c>
      <c r="I293" s="444">
        <v>62.7</v>
      </c>
      <c r="J293" s="445" t="s">
        <v>174</v>
      </c>
      <c r="K293" s="447">
        <v>42.45</v>
      </c>
      <c r="L293" s="448">
        <v>3.12</v>
      </c>
      <c r="M293" s="444">
        <v>78</v>
      </c>
      <c r="N293" s="444">
        <v>4</v>
      </c>
      <c r="O293" s="447">
        <v>13.605769230769232</v>
      </c>
      <c r="P293" s="449" t="s">
        <v>393</v>
      </c>
      <c r="Q293" s="447">
        <v>10.612500000000001</v>
      </c>
      <c r="R293" s="447">
        <v>0.5442307692307693</v>
      </c>
      <c r="S293" s="450">
        <v>19.5</v>
      </c>
      <c r="T293" s="450">
        <v>1.2820512820512819</v>
      </c>
      <c r="U293" s="240">
        <v>2</v>
      </c>
      <c r="V293" s="451">
        <v>3.2500000000000001E-2</v>
      </c>
      <c r="W293" s="450" t="s">
        <v>176</v>
      </c>
      <c r="X293" s="447">
        <v>19.452916652940207</v>
      </c>
      <c r="Y293" s="447">
        <v>-5.8471474221709752</v>
      </c>
      <c r="Z293" s="452">
        <v>54.832111111111104</v>
      </c>
      <c r="AA293" s="58">
        <f t="shared" ca="1" si="16"/>
        <v>105.89749999999999</v>
      </c>
      <c r="AB293" s="453">
        <f ca="1">Table29[[#This Row],[Earnings]]-Table29[[#This Row],[4-Week Average]]</f>
        <v>-63.447499999999991</v>
      </c>
    </row>
    <row r="294" spans="1:28" x14ac:dyDescent="0.35">
      <c r="A294" s="436">
        <v>45044</v>
      </c>
      <c r="B294" s="435">
        <v>2023</v>
      </c>
      <c r="C294" s="435">
        <v>18</v>
      </c>
      <c r="D294" s="435">
        <v>5</v>
      </c>
      <c r="E294" s="435" t="s">
        <v>287</v>
      </c>
      <c r="F294" s="436" t="s">
        <v>50</v>
      </c>
      <c r="G294" s="437">
        <v>0.74999999999999889</v>
      </c>
      <c r="H294" s="436" t="s">
        <v>249</v>
      </c>
      <c r="I294" s="435">
        <v>57.2</v>
      </c>
      <c r="J294" s="436" t="s">
        <v>80</v>
      </c>
      <c r="K294" s="438">
        <v>116.42</v>
      </c>
      <c r="L294" s="439">
        <v>3.43</v>
      </c>
      <c r="M294" s="435">
        <v>63</v>
      </c>
      <c r="N294" s="435">
        <v>9</v>
      </c>
      <c r="O294" s="438">
        <v>33.941690962099123</v>
      </c>
      <c r="P294" s="440">
        <v>6.4328549832631445</v>
      </c>
      <c r="Q294" s="438">
        <v>12.935555555555556</v>
      </c>
      <c r="R294" s="438">
        <v>1.847936507936508</v>
      </c>
      <c r="S294" s="441">
        <v>7</v>
      </c>
      <c r="T294" s="441">
        <v>2.6239067055393583</v>
      </c>
      <c r="U294" s="239">
        <v>3</v>
      </c>
      <c r="V294" s="442">
        <v>1.5879629629629629E-2</v>
      </c>
      <c r="W294" s="441" t="s">
        <v>176</v>
      </c>
      <c r="X294" s="438">
        <v>28.304790435178003</v>
      </c>
      <c r="Y294" s="438">
        <v>5.6369005269211208</v>
      </c>
      <c r="Z294" s="443">
        <v>55.046666666666667</v>
      </c>
      <c r="AA294" s="58">
        <f t="shared" ca="1" si="16"/>
        <v>94.752499999999998</v>
      </c>
      <c r="AB294" s="453">
        <f ca="1">Table29[[#This Row],[Earnings]]-Table29[[#This Row],[4-Week Average]]</f>
        <v>21.667500000000004</v>
      </c>
    </row>
    <row r="295" spans="1:28" x14ac:dyDescent="0.35">
      <c r="A295" s="445">
        <v>45045</v>
      </c>
      <c r="B295" s="444">
        <v>2023</v>
      </c>
      <c r="C295" s="444">
        <v>18</v>
      </c>
      <c r="D295" s="444">
        <v>5</v>
      </c>
      <c r="E295" s="444" t="s">
        <v>287</v>
      </c>
      <c r="F295" s="445" t="s">
        <v>51</v>
      </c>
      <c r="G295" s="446">
        <v>0.74999999999999889</v>
      </c>
      <c r="H295" s="445" t="s">
        <v>236</v>
      </c>
      <c r="I295" s="444">
        <v>45.5</v>
      </c>
      <c r="J295" s="445" t="s">
        <v>80</v>
      </c>
      <c r="K295" s="447">
        <v>37.67</v>
      </c>
      <c r="L295" s="448">
        <v>1.1299999999999999</v>
      </c>
      <c r="M295" s="444">
        <v>26</v>
      </c>
      <c r="N295" s="444">
        <v>3</v>
      </c>
      <c r="O295" s="447">
        <v>33.336283185840713</v>
      </c>
      <c r="P295" s="449">
        <v>6.5363601040002557</v>
      </c>
      <c r="Q295" s="447">
        <v>12.556666666666667</v>
      </c>
      <c r="R295" s="447">
        <v>1.4488461538461539</v>
      </c>
      <c r="S295" s="450">
        <v>8.6666666666666661</v>
      </c>
      <c r="T295" s="450">
        <v>2.6548672566371683</v>
      </c>
      <c r="U295" s="240">
        <v>2</v>
      </c>
      <c r="V295" s="451">
        <v>1.5694444444444445E-2</v>
      </c>
      <c r="W295" s="450" t="s">
        <v>176</v>
      </c>
      <c r="X295" s="447">
        <v>25.165112615762578</v>
      </c>
      <c r="Y295" s="447">
        <v>8.1711705700781359</v>
      </c>
      <c r="Z295" s="452">
        <v>55.465222222222224</v>
      </c>
      <c r="AA295" s="58">
        <f t="shared" ca="1" si="16"/>
        <v>79.400000000000006</v>
      </c>
      <c r="AB295" s="453">
        <f ca="1">Table29[[#This Row],[Earnings]]-Table29[[#This Row],[4-Week Average]]</f>
        <v>-41.730000000000004</v>
      </c>
    </row>
    <row r="296" spans="1:28" x14ac:dyDescent="0.35">
      <c r="A296" s="436">
        <v>45046</v>
      </c>
      <c r="B296" s="435">
        <v>2023</v>
      </c>
      <c r="C296" s="435">
        <v>18</v>
      </c>
      <c r="D296" s="435">
        <v>5</v>
      </c>
      <c r="E296" s="435" t="s">
        <v>287</v>
      </c>
      <c r="F296" s="436" t="s">
        <v>45</v>
      </c>
      <c r="G296" s="437">
        <v>0.72916666666666552</v>
      </c>
      <c r="H296" s="436" t="s">
        <v>236</v>
      </c>
      <c r="I296" s="435">
        <v>61.9</v>
      </c>
      <c r="J296" s="436" t="s">
        <v>174</v>
      </c>
      <c r="K296" s="438">
        <v>67.78</v>
      </c>
      <c r="L296" s="439">
        <v>4.32</v>
      </c>
      <c r="M296" s="435">
        <v>90</v>
      </c>
      <c r="N296" s="435">
        <v>8</v>
      </c>
      <c r="O296" s="438">
        <v>15.689814814814815</v>
      </c>
      <c r="P296" s="440">
        <v>-7.3520456503014646</v>
      </c>
      <c r="Q296" s="438">
        <v>8.4725000000000001</v>
      </c>
      <c r="R296" s="438">
        <v>0.75311111111111118</v>
      </c>
      <c r="S296" s="441">
        <v>11.25</v>
      </c>
      <c r="T296" s="441">
        <v>1.8518518518518516</v>
      </c>
      <c r="U296" s="239">
        <v>3</v>
      </c>
      <c r="V296" s="442">
        <v>2.2500000000000003E-2</v>
      </c>
      <c r="W296" s="441" t="s">
        <v>176</v>
      </c>
      <c r="X296" s="438">
        <v>19.246597619330164</v>
      </c>
      <c r="Y296" s="438">
        <v>-3.5567828045153487</v>
      </c>
      <c r="Z296" s="443">
        <v>56.218333333333327</v>
      </c>
      <c r="AA296" s="58">
        <f t="shared" ca="1" si="16"/>
        <v>66.080000000000013</v>
      </c>
      <c r="AB296" s="453">
        <f ca="1">Table29[[#This Row],[Earnings]]-Table29[[#This Row],[4-Week Average]]</f>
        <v>1.6999999999999886</v>
      </c>
    </row>
    <row r="297" spans="1:28" x14ac:dyDescent="0.35">
      <c r="A297" s="445">
        <v>45048</v>
      </c>
      <c r="B297" s="444">
        <v>2023</v>
      </c>
      <c r="C297" s="444">
        <v>19</v>
      </c>
      <c r="D297" s="444">
        <v>6</v>
      </c>
      <c r="E297" s="444" t="s">
        <v>287</v>
      </c>
      <c r="F297" s="445" t="s">
        <v>47</v>
      </c>
      <c r="G297" s="446">
        <v>0.72916666666666552</v>
      </c>
      <c r="H297" s="445" t="s">
        <v>236</v>
      </c>
      <c r="I297" s="444">
        <v>40.9</v>
      </c>
      <c r="J297" s="445" t="s">
        <v>174</v>
      </c>
      <c r="K297" s="447">
        <v>80.819999999999993</v>
      </c>
      <c r="L297" s="448">
        <v>5.28</v>
      </c>
      <c r="M297" s="444">
        <v>130.5</v>
      </c>
      <c r="N297" s="444">
        <v>9</v>
      </c>
      <c r="O297" s="447">
        <v>15.30681818181818</v>
      </c>
      <c r="P297" s="449" t="s">
        <v>393</v>
      </c>
      <c r="Q297" s="447">
        <v>8.9799999999999986</v>
      </c>
      <c r="R297" s="447">
        <v>0.61931034482758618</v>
      </c>
      <c r="S297" s="450">
        <v>14.5</v>
      </c>
      <c r="T297" s="450">
        <v>1.7045454545454544</v>
      </c>
      <c r="U297" s="240">
        <v>2</v>
      </c>
      <c r="V297" s="451">
        <v>2.4444444444444446E-2</v>
      </c>
      <c r="W297" s="450" t="s">
        <v>176</v>
      </c>
      <c r="X297" s="447">
        <v>18.163573021829258</v>
      </c>
      <c r="Y297" s="447">
        <v>-2.856754840011078</v>
      </c>
      <c r="Z297" s="452">
        <v>53.7241111111111</v>
      </c>
      <c r="AA297" s="58">
        <f t="shared" ca="1" si="16"/>
        <v>75.672499999999999</v>
      </c>
      <c r="AB297" s="453">
        <f ca="1">Table29[[#This Row],[Earnings]]-Table29[[#This Row],[4-Week Average]]</f>
        <v>5.1474999999999937</v>
      </c>
    </row>
    <row r="298" spans="1:28" x14ac:dyDescent="0.35">
      <c r="A298" s="436">
        <v>45049</v>
      </c>
      <c r="B298" s="435">
        <v>2023</v>
      </c>
      <c r="C298" s="435">
        <v>19</v>
      </c>
      <c r="D298" s="435">
        <v>6</v>
      </c>
      <c r="E298" s="435" t="s">
        <v>287</v>
      </c>
      <c r="F298" s="436" t="s">
        <v>48</v>
      </c>
      <c r="G298" s="437">
        <v>0.72916666666666552</v>
      </c>
      <c r="H298" s="436" t="s">
        <v>236</v>
      </c>
      <c r="I298" s="435">
        <v>50.6</v>
      </c>
      <c r="J298" s="436" t="s">
        <v>85</v>
      </c>
      <c r="K298" s="438">
        <v>109.32</v>
      </c>
      <c r="L298" s="439">
        <v>5.63</v>
      </c>
      <c r="M298" s="435">
        <v>93</v>
      </c>
      <c r="N298" s="435">
        <v>16</v>
      </c>
      <c r="O298" s="438">
        <v>19.417406749555948</v>
      </c>
      <c r="P298" s="440">
        <v>-0.65816663810132425</v>
      </c>
      <c r="Q298" s="438">
        <v>6.8324999999999996</v>
      </c>
      <c r="R298" s="438">
        <v>1.1754838709677418</v>
      </c>
      <c r="S298" s="441">
        <v>5.8125</v>
      </c>
      <c r="T298" s="441">
        <v>2.8419182948490231</v>
      </c>
      <c r="U298" s="239">
        <v>3</v>
      </c>
      <c r="V298" s="442">
        <v>1.4661458333333334E-2</v>
      </c>
      <c r="W298" s="441" t="s">
        <v>176</v>
      </c>
      <c r="X298" s="438">
        <v>24.426643904418047</v>
      </c>
      <c r="Y298" s="438">
        <v>-5.0092371548620989</v>
      </c>
      <c r="Z298" s="443">
        <v>54.938777777777766</v>
      </c>
      <c r="AA298" s="58">
        <f t="shared" ca="1" si="16"/>
        <v>73.897499999999994</v>
      </c>
      <c r="AB298" s="453">
        <f ca="1">Table29[[#This Row],[Earnings]]-Table29[[#This Row],[4-Week Average]]</f>
        <v>35.422499999999999</v>
      </c>
    </row>
    <row r="299" spans="1:28" x14ac:dyDescent="0.35">
      <c r="A299" s="445">
        <v>45050</v>
      </c>
      <c r="B299" s="444">
        <v>2023</v>
      </c>
      <c r="C299" s="444">
        <v>19</v>
      </c>
      <c r="D299" s="444">
        <v>6</v>
      </c>
      <c r="E299" s="444" t="s">
        <v>287</v>
      </c>
      <c r="F299" s="445" t="s">
        <v>49</v>
      </c>
      <c r="G299" s="446">
        <v>0.74999999999999889</v>
      </c>
      <c r="H299" s="445" t="s">
        <v>236</v>
      </c>
      <c r="I299" s="444">
        <v>63.4</v>
      </c>
      <c r="J299" s="445" t="s">
        <v>80</v>
      </c>
      <c r="K299" s="447">
        <v>69.290000000000006</v>
      </c>
      <c r="L299" s="448">
        <v>3.32</v>
      </c>
      <c r="M299" s="444">
        <v>63</v>
      </c>
      <c r="N299" s="444">
        <v>8</v>
      </c>
      <c r="O299" s="447">
        <v>20.870481927710845</v>
      </c>
      <c r="P299" s="449">
        <v>-3.2677500034055065</v>
      </c>
      <c r="Q299" s="447">
        <v>8.6612500000000008</v>
      </c>
      <c r="R299" s="447">
        <v>1.0998412698412698</v>
      </c>
      <c r="S299" s="450">
        <v>7.875</v>
      </c>
      <c r="T299" s="450">
        <v>2.4096385542168677</v>
      </c>
      <c r="U299" s="240">
        <v>2</v>
      </c>
      <c r="V299" s="451">
        <v>1.7291666666666667E-2</v>
      </c>
      <c r="W299" s="450" t="s">
        <v>176</v>
      </c>
      <c r="X299" s="447">
        <v>21.385404996263951</v>
      </c>
      <c r="Y299" s="447">
        <v>-0.51492306855310588</v>
      </c>
      <c r="Z299" s="452">
        <v>55.708666666666652</v>
      </c>
      <c r="AA299" s="58">
        <f t="shared" ca="1" si="16"/>
        <v>81.802499999999995</v>
      </c>
      <c r="AB299" s="453">
        <f ca="1">Table29[[#This Row],[Earnings]]-Table29[[#This Row],[4-Week Average]]</f>
        <v>-12.512499999999989</v>
      </c>
    </row>
    <row r="300" spans="1:28" x14ac:dyDescent="0.35">
      <c r="A300" s="436">
        <v>45051</v>
      </c>
      <c r="B300" s="435">
        <v>2023</v>
      </c>
      <c r="C300" s="435">
        <v>19</v>
      </c>
      <c r="D300" s="435">
        <v>6</v>
      </c>
      <c r="E300" s="435" t="s">
        <v>287</v>
      </c>
      <c r="F300" s="436" t="s">
        <v>50</v>
      </c>
      <c r="G300" s="437">
        <v>0.74999999999999889</v>
      </c>
      <c r="H300" s="436" t="s">
        <v>230</v>
      </c>
      <c r="I300" s="435">
        <v>74.7</v>
      </c>
      <c r="J300" s="436" t="s">
        <v>85</v>
      </c>
      <c r="K300" s="438">
        <v>154.94</v>
      </c>
      <c r="L300" s="439">
        <v>7.35</v>
      </c>
      <c r="M300" s="435">
        <v>155</v>
      </c>
      <c r="N300" s="435">
        <v>15</v>
      </c>
      <c r="O300" s="438">
        <v>21.080272108843538</v>
      </c>
      <c r="P300" s="440">
        <v>-1.0653921412221372</v>
      </c>
      <c r="Q300" s="438">
        <v>10.329333333333333</v>
      </c>
      <c r="R300" s="438">
        <v>0.99961290322580643</v>
      </c>
      <c r="S300" s="441">
        <v>10.333333333333334</v>
      </c>
      <c r="T300" s="441">
        <v>2.0408163265306123</v>
      </c>
      <c r="U300" s="239">
        <v>2</v>
      </c>
      <c r="V300" s="442">
        <v>2.0416666666666666E-2</v>
      </c>
      <c r="W300" s="441" t="s">
        <v>176</v>
      </c>
      <c r="X300" s="438">
        <v>18.133995703544574</v>
      </c>
      <c r="Y300" s="438">
        <v>2.9462764052989634</v>
      </c>
      <c r="Z300" s="443">
        <v>57.430222222222206</v>
      </c>
      <c r="AA300" s="58">
        <f t="shared" ca="1" si="16"/>
        <v>103.5925</v>
      </c>
      <c r="AB300" s="453">
        <f ca="1">Table29[[#This Row],[Earnings]]-Table29[[#This Row],[4-Week Average]]</f>
        <v>51.347499999999997</v>
      </c>
    </row>
    <row r="301" spans="1:28" x14ac:dyDescent="0.35">
      <c r="A301" s="445">
        <v>45053</v>
      </c>
      <c r="B301" s="444">
        <v>2023</v>
      </c>
      <c r="C301" s="444">
        <v>19</v>
      </c>
      <c r="D301" s="444">
        <v>6</v>
      </c>
      <c r="E301" s="444" t="s">
        <v>287</v>
      </c>
      <c r="F301" s="445" t="s">
        <v>45</v>
      </c>
      <c r="G301" s="446">
        <v>0.70833333333333226</v>
      </c>
      <c r="H301" s="445" t="s">
        <v>230</v>
      </c>
      <c r="I301" s="444">
        <v>66.8</v>
      </c>
      <c r="J301" s="445" t="s">
        <v>85</v>
      </c>
      <c r="K301" s="447">
        <v>73.87</v>
      </c>
      <c r="L301" s="448">
        <v>3.93</v>
      </c>
      <c r="M301" s="444">
        <v>75</v>
      </c>
      <c r="N301" s="444">
        <v>7</v>
      </c>
      <c r="O301" s="447">
        <v>18.796437659033078</v>
      </c>
      <c r="P301" s="449">
        <v>-7.3329492717138152</v>
      </c>
      <c r="Q301" s="447">
        <v>10.552857142857144</v>
      </c>
      <c r="R301" s="447">
        <v>0.98493333333333344</v>
      </c>
      <c r="S301" s="450">
        <v>10.714285714285714</v>
      </c>
      <c r="T301" s="450">
        <v>1.7811704834605597</v>
      </c>
      <c r="U301" s="240">
        <v>2</v>
      </c>
      <c r="V301" s="451">
        <v>2.3392857142857146E-2</v>
      </c>
      <c r="W301" s="450" t="s">
        <v>176</v>
      </c>
      <c r="X301" s="447">
        <v>22.364407354106703</v>
      </c>
      <c r="Y301" s="447">
        <v>-3.567969695073625</v>
      </c>
      <c r="Z301" s="452">
        <v>58.250999999999983</v>
      </c>
      <c r="AA301" s="58">
        <f t="shared" ca="1" si="16"/>
        <v>101.855</v>
      </c>
      <c r="AB301" s="453">
        <f ca="1">Table29[[#This Row],[Earnings]]-Table29[[#This Row],[4-Week Average]]</f>
        <v>-27.984999999999999</v>
      </c>
    </row>
    <row r="302" spans="1:28" x14ac:dyDescent="0.35">
      <c r="A302" s="436">
        <v>45056</v>
      </c>
      <c r="B302" s="435">
        <v>2023</v>
      </c>
      <c r="C302" s="435">
        <v>20</v>
      </c>
      <c r="D302" s="435">
        <v>7</v>
      </c>
      <c r="E302" s="435" t="s">
        <v>287</v>
      </c>
      <c r="F302" s="436" t="s">
        <v>48</v>
      </c>
      <c r="G302" s="437">
        <v>0.70833333333333226</v>
      </c>
      <c r="H302" s="436" t="s">
        <v>230</v>
      </c>
      <c r="I302" s="435">
        <v>78.7</v>
      </c>
      <c r="J302" s="436" t="s">
        <v>80</v>
      </c>
      <c r="K302" s="438">
        <v>79.960000000000008</v>
      </c>
      <c r="L302" s="439">
        <v>4.43</v>
      </c>
      <c r="M302" s="435">
        <v>111</v>
      </c>
      <c r="N302" s="435">
        <v>6</v>
      </c>
      <c r="O302" s="438">
        <v>18.049661399548537</v>
      </c>
      <c r="P302" s="440">
        <v>-9.8751868439924664</v>
      </c>
      <c r="Q302" s="438">
        <v>13.326666666666668</v>
      </c>
      <c r="R302" s="438">
        <v>0.72036036036036044</v>
      </c>
      <c r="S302" s="441">
        <v>18.5</v>
      </c>
      <c r="T302" s="441">
        <v>1.3544018058690745</v>
      </c>
      <c r="U302" s="239">
        <v>2</v>
      </c>
      <c r="V302" s="442">
        <v>3.0763888888888886E-2</v>
      </c>
      <c r="W302" s="441" t="s">
        <v>176</v>
      </c>
      <c r="X302" s="438">
        <v>24.268423200414826</v>
      </c>
      <c r="Y302" s="438">
        <v>-6.2187618008662895</v>
      </c>
      <c r="Z302" s="443">
        <v>55.780888888888875</v>
      </c>
      <c r="AA302" s="58">
        <f t="shared" ca="1" si="16"/>
        <v>94.515000000000015</v>
      </c>
      <c r="AB302" s="453">
        <f ca="1">Table29[[#This Row],[Earnings]]-Table29[[#This Row],[4-Week Average]]</f>
        <v>-14.555000000000007</v>
      </c>
    </row>
    <row r="303" spans="1:28" x14ac:dyDescent="0.35">
      <c r="A303" s="445">
        <v>45058</v>
      </c>
      <c r="B303" s="444">
        <v>2023</v>
      </c>
      <c r="C303" s="444">
        <v>20</v>
      </c>
      <c r="D303" s="444">
        <v>7</v>
      </c>
      <c r="E303" s="444" t="s">
        <v>287</v>
      </c>
      <c r="F303" s="445" t="s">
        <v>50</v>
      </c>
      <c r="G303" s="446">
        <v>0.74999999999999889</v>
      </c>
      <c r="H303" s="445" t="s">
        <v>230</v>
      </c>
      <c r="I303" s="444">
        <v>70.099999999999994</v>
      </c>
      <c r="J303" s="445" t="s">
        <v>80</v>
      </c>
      <c r="K303" s="447">
        <v>127.80000000000001</v>
      </c>
      <c r="L303" s="448">
        <v>6.35</v>
      </c>
      <c r="M303" s="444">
        <v>147</v>
      </c>
      <c r="N303" s="444">
        <v>13</v>
      </c>
      <c r="O303" s="447">
        <v>20.125984251968507</v>
      </c>
      <c r="P303" s="449">
        <v>-8.9910654726832568</v>
      </c>
      <c r="Q303" s="447">
        <v>9.8307692307692314</v>
      </c>
      <c r="R303" s="447">
        <v>0.86938775510204092</v>
      </c>
      <c r="S303" s="450">
        <v>11.307692307692308</v>
      </c>
      <c r="T303" s="450">
        <v>2.0472440944881889</v>
      </c>
      <c r="U303" s="240">
        <v>3</v>
      </c>
      <c r="V303" s="451">
        <v>2.0352564102564103E-2</v>
      </c>
      <c r="W303" s="450" t="s">
        <v>175</v>
      </c>
      <c r="X303" s="447">
        <v>26.162300455424486</v>
      </c>
      <c r="Y303" s="447">
        <v>-6.0363162034559785</v>
      </c>
      <c r="Z303" s="452">
        <v>54.407222222222217</v>
      </c>
      <c r="AA303" s="58">
        <f t="shared" ca="1" si="16"/>
        <v>109.1425</v>
      </c>
      <c r="AB303" s="453">
        <f ca="1">Table29[[#This Row],[Earnings]]-Table29[[#This Row],[4-Week Average]]</f>
        <v>18.657500000000013</v>
      </c>
    </row>
    <row r="304" spans="1:28" x14ac:dyDescent="0.35">
      <c r="A304" s="436">
        <v>45064</v>
      </c>
      <c r="B304" s="435">
        <v>2023</v>
      </c>
      <c r="C304" s="435">
        <v>21</v>
      </c>
      <c r="D304" s="435">
        <v>8</v>
      </c>
      <c r="E304" s="435" t="s">
        <v>287</v>
      </c>
      <c r="F304" s="436" t="s">
        <v>49</v>
      </c>
      <c r="G304" s="437">
        <v>0.74999999999999889</v>
      </c>
      <c r="H304" s="436" t="s">
        <v>230</v>
      </c>
      <c r="I304" s="435">
        <v>62.4</v>
      </c>
      <c r="J304" s="436" t="s">
        <v>85</v>
      </c>
      <c r="K304" s="438">
        <v>59.27</v>
      </c>
      <c r="L304" s="439">
        <v>3.7</v>
      </c>
      <c r="M304" s="435">
        <v>87</v>
      </c>
      <c r="N304" s="435">
        <v>7</v>
      </c>
      <c r="O304" s="438">
        <v>16.018918918918921</v>
      </c>
      <c r="P304" s="440">
        <v>-1.6640373405079245</v>
      </c>
      <c r="Q304" s="438">
        <v>8.4671428571428571</v>
      </c>
      <c r="R304" s="438">
        <v>0.68126436781609201</v>
      </c>
      <c r="S304" s="441">
        <v>12.428571428571429</v>
      </c>
      <c r="T304" s="441">
        <v>1.8918918918918919</v>
      </c>
      <c r="U304" s="239">
        <v>3</v>
      </c>
      <c r="V304" s="442">
        <v>2.2023809523809525E-2</v>
      </c>
      <c r="W304" s="441" t="s">
        <v>176</v>
      </c>
      <c r="X304" s="438">
        <v>19.770465325238188</v>
      </c>
      <c r="Y304" s="438">
        <v>-3.7515464063192674</v>
      </c>
      <c r="Z304" s="443">
        <v>48.215111111111128</v>
      </c>
      <c r="AA304" s="58">
        <f t="shared" ca="1" si="16"/>
        <v>85.224999999999994</v>
      </c>
      <c r="AB304" s="453">
        <f ca="1">Table29[[#This Row],[Earnings]]-Table29[[#This Row],[4-Week Average]]</f>
        <v>-25.954999999999991</v>
      </c>
    </row>
    <row r="305" spans="1:28" x14ac:dyDescent="0.35">
      <c r="A305" s="445">
        <v>45067</v>
      </c>
      <c r="B305" s="444">
        <v>2023</v>
      </c>
      <c r="C305" s="444">
        <v>21</v>
      </c>
      <c r="D305" s="444">
        <v>8</v>
      </c>
      <c r="E305" s="444" t="s">
        <v>287</v>
      </c>
      <c r="F305" s="445" t="s">
        <v>45</v>
      </c>
      <c r="G305" s="446">
        <v>0.70833333333333226</v>
      </c>
      <c r="H305" s="445" t="s">
        <v>230</v>
      </c>
      <c r="I305" s="444">
        <v>64.5</v>
      </c>
      <c r="J305" s="445" t="s">
        <v>85</v>
      </c>
      <c r="K305" s="447">
        <v>19.8</v>
      </c>
      <c r="L305" s="448">
        <v>2.2799999999999998</v>
      </c>
      <c r="M305" s="444">
        <v>46.9</v>
      </c>
      <c r="N305" s="444">
        <v>3</v>
      </c>
      <c r="O305" s="447">
        <v>8.6842105263157912</v>
      </c>
      <c r="P305" s="449">
        <v>-15.978586550088338</v>
      </c>
      <c r="Q305" s="447">
        <v>6.6000000000000005</v>
      </c>
      <c r="R305" s="447">
        <v>0.42217484008528788</v>
      </c>
      <c r="S305" s="450">
        <v>15.633333333333333</v>
      </c>
      <c r="T305" s="450">
        <v>1.3157894736842106</v>
      </c>
      <c r="U305" s="240">
        <v>1</v>
      </c>
      <c r="V305" s="451">
        <v>3.1666666666666662E-2</v>
      </c>
      <c r="W305" s="450" t="s">
        <v>176</v>
      </c>
      <c r="X305" s="447">
        <v>18.720893141945773</v>
      </c>
      <c r="Y305" s="447">
        <v>-10.036682615629982</v>
      </c>
      <c r="Z305" s="452">
        <v>48.435111111111127</v>
      </c>
      <c r="AA305" s="58">
        <f t="shared" ca="1" si="16"/>
        <v>71.70750000000001</v>
      </c>
      <c r="AB305" s="453">
        <f ca="1">Table29[[#This Row],[Earnings]]-Table29[[#This Row],[4-Week Average]]</f>
        <v>-51.907500000000013</v>
      </c>
    </row>
    <row r="306" spans="1:28" x14ac:dyDescent="0.35">
      <c r="A306" s="436">
        <v>45068</v>
      </c>
      <c r="B306" s="435">
        <v>2023</v>
      </c>
      <c r="C306" s="435">
        <v>22</v>
      </c>
      <c r="D306" s="435">
        <v>9</v>
      </c>
      <c r="E306" s="435" t="s">
        <v>287</v>
      </c>
      <c r="F306" s="436" t="s">
        <v>46</v>
      </c>
      <c r="G306" s="437">
        <v>0.72916666666666552</v>
      </c>
      <c r="H306" s="436" t="s">
        <v>230</v>
      </c>
      <c r="I306" s="435">
        <v>63.1</v>
      </c>
      <c r="J306" s="436" t="s">
        <v>174</v>
      </c>
      <c r="K306" s="438">
        <v>90.36</v>
      </c>
      <c r="L306" s="439">
        <v>4.4000000000000004</v>
      </c>
      <c r="M306" s="435">
        <v>106</v>
      </c>
      <c r="N306" s="435">
        <v>8</v>
      </c>
      <c r="O306" s="438">
        <v>20.536363636363635</v>
      </c>
      <c r="P306" s="440" t="s">
        <v>393</v>
      </c>
      <c r="Q306" s="438">
        <v>11.295</v>
      </c>
      <c r="R306" s="438">
        <v>0.85245283018867923</v>
      </c>
      <c r="S306" s="441">
        <v>13.25</v>
      </c>
      <c r="T306" s="441">
        <v>1.8181818181818181</v>
      </c>
      <c r="U306" s="239">
        <v>3</v>
      </c>
      <c r="V306" s="442">
        <v>2.2916666666666669E-2</v>
      </c>
      <c r="W306" s="441" t="s">
        <v>176</v>
      </c>
      <c r="X306" s="438">
        <v>18.734097495073303</v>
      </c>
      <c r="Y306" s="438">
        <v>1.8022661412903318</v>
      </c>
      <c r="Z306" s="443">
        <v>49.439111111111124</v>
      </c>
      <c r="AA306" s="58">
        <f t="shared" ca="1" si="16"/>
        <v>74.307500000000005</v>
      </c>
      <c r="AB306" s="453">
        <f ca="1">Table29[[#This Row],[Earnings]]-Table29[[#This Row],[4-Week Average]]</f>
        <v>16.052499999999995</v>
      </c>
    </row>
    <row r="307" spans="1:28" x14ac:dyDescent="0.35">
      <c r="A307" s="445">
        <v>45070</v>
      </c>
      <c r="B307" s="444">
        <v>2023</v>
      </c>
      <c r="C307" s="444">
        <v>22</v>
      </c>
      <c r="D307" s="444">
        <v>9</v>
      </c>
      <c r="E307" s="444" t="s">
        <v>287</v>
      </c>
      <c r="F307" s="445" t="s">
        <v>48</v>
      </c>
      <c r="G307" s="446">
        <v>0.72916666666666552</v>
      </c>
      <c r="H307" s="445" t="s">
        <v>236</v>
      </c>
      <c r="I307" s="444">
        <v>62.1</v>
      </c>
      <c r="J307" s="445" t="s">
        <v>85</v>
      </c>
      <c r="K307" s="447">
        <v>100.25999999999999</v>
      </c>
      <c r="L307" s="448">
        <v>4.63</v>
      </c>
      <c r="M307" s="444">
        <v>92</v>
      </c>
      <c r="N307" s="444">
        <v>11</v>
      </c>
      <c r="O307" s="447">
        <v>21.654427645788335</v>
      </c>
      <c r="P307" s="449">
        <v>1.7433959176563931</v>
      </c>
      <c r="Q307" s="447">
        <v>9.1145454545454534</v>
      </c>
      <c r="R307" s="447">
        <v>1.0897826086956521</v>
      </c>
      <c r="S307" s="450">
        <v>8.3636363636363633</v>
      </c>
      <c r="T307" s="450">
        <v>2.3758099352051838</v>
      </c>
      <c r="U307" s="240">
        <v>3</v>
      </c>
      <c r="V307" s="451">
        <v>1.7537878787878786E-2</v>
      </c>
      <c r="W307" s="450" t="s">
        <v>176</v>
      </c>
      <c r="X307" s="447">
        <v>21.882177824775361</v>
      </c>
      <c r="Y307" s="447">
        <v>-0.22775017898702643</v>
      </c>
      <c r="Z307" s="452">
        <v>49.261444444444464</v>
      </c>
      <c r="AA307" s="58">
        <f t="shared" ca="1" si="16"/>
        <v>67.422499999999999</v>
      </c>
      <c r="AB307" s="453">
        <f ca="1">Table29[[#This Row],[Earnings]]-Table29[[#This Row],[4-Week Average]]</f>
        <v>32.837499999999991</v>
      </c>
    </row>
    <row r="308" spans="1:28" x14ac:dyDescent="0.35">
      <c r="A308" s="436">
        <v>45072</v>
      </c>
      <c r="B308" s="435">
        <v>2023</v>
      </c>
      <c r="C308" s="435">
        <v>22</v>
      </c>
      <c r="D308" s="435">
        <v>9</v>
      </c>
      <c r="E308" s="435" t="s">
        <v>287</v>
      </c>
      <c r="F308" s="436" t="s">
        <v>50</v>
      </c>
      <c r="G308" s="437">
        <v>0.45833333333333259</v>
      </c>
      <c r="H308" s="436" t="s">
        <v>230</v>
      </c>
      <c r="I308" s="435">
        <v>79.900000000000006</v>
      </c>
      <c r="J308" s="436" t="s">
        <v>80</v>
      </c>
      <c r="K308" s="438">
        <v>182.65</v>
      </c>
      <c r="L308" s="439">
        <v>7.85</v>
      </c>
      <c r="M308" s="435">
        <v>167</v>
      </c>
      <c r="N308" s="435">
        <v>15</v>
      </c>
      <c r="O308" s="438">
        <v>23.267515923566879</v>
      </c>
      <c r="P308" s="440">
        <v>-4.051320706548232</v>
      </c>
      <c r="Q308" s="438">
        <v>12.176666666666668</v>
      </c>
      <c r="R308" s="438">
        <v>1.0937125748502994</v>
      </c>
      <c r="S308" s="441">
        <v>11.133333333333333</v>
      </c>
      <c r="T308" s="441">
        <v>1.910828025477707</v>
      </c>
      <c r="U308" s="239">
        <v>3</v>
      </c>
      <c r="V308" s="442">
        <v>2.1805555555555554E-2</v>
      </c>
      <c r="W308" s="441" t="s">
        <v>175</v>
      </c>
      <c r="X308" s="438">
        <v>22.313396922264502</v>
      </c>
      <c r="Y308" s="438">
        <v>0.95411900130237726</v>
      </c>
      <c r="Z308" s="443">
        <v>50.682555555555567</v>
      </c>
      <c r="AA308" s="58">
        <f t="shared" ca="1" si="16"/>
        <v>98.267499999999998</v>
      </c>
      <c r="AB308" s="453">
        <f ca="1">Table29[[#This Row],[Earnings]]-Table29[[#This Row],[4-Week Average]]</f>
        <v>84.382500000000007</v>
      </c>
    </row>
    <row r="309" spans="1:28" x14ac:dyDescent="0.35">
      <c r="A309" s="445">
        <v>45077</v>
      </c>
      <c r="B309" s="444">
        <v>2023</v>
      </c>
      <c r="C309" s="444">
        <v>23</v>
      </c>
      <c r="D309" s="444">
        <v>10</v>
      </c>
      <c r="E309" s="444" t="s">
        <v>287</v>
      </c>
      <c r="F309" s="445" t="s">
        <v>48</v>
      </c>
      <c r="G309" s="446">
        <v>0.72916666666666552</v>
      </c>
      <c r="H309" s="445" t="s">
        <v>236</v>
      </c>
      <c r="I309" s="444">
        <v>87.4</v>
      </c>
      <c r="J309" s="445" t="s">
        <v>85</v>
      </c>
      <c r="K309" s="447">
        <v>52.38</v>
      </c>
      <c r="L309" s="448">
        <v>3.97</v>
      </c>
      <c r="M309" s="444">
        <v>81</v>
      </c>
      <c r="N309" s="444">
        <v>5</v>
      </c>
      <c r="O309" s="447">
        <v>13.193954659949622</v>
      </c>
      <c r="P309" s="449">
        <v>-7.0657562517135979</v>
      </c>
      <c r="Q309" s="447">
        <v>10.476000000000001</v>
      </c>
      <c r="R309" s="447">
        <v>0.64666666666666672</v>
      </c>
      <c r="S309" s="450">
        <v>16.2</v>
      </c>
      <c r="T309" s="450">
        <v>1.2594458438287153</v>
      </c>
      <c r="U309" s="240">
        <v>1</v>
      </c>
      <c r="V309" s="451">
        <v>3.3083333333333333E-2</v>
      </c>
      <c r="W309" s="450" t="s">
        <v>176</v>
      </c>
      <c r="X309" s="447">
        <v>18.692679503627101</v>
      </c>
      <c r="Y309" s="447">
        <v>-5.4987248436774792</v>
      </c>
      <c r="Z309" s="452">
        <v>45.94122222222223</v>
      </c>
      <c r="AA309" s="58">
        <f t="shared" ca="1" si="16"/>
        <v>106.41249999999999</v>
      </c>
      <c r="AB309" s="453">
        <f ca="1">Table29[[#This Row],[Earnings]]-Table29[[#This Row],[4-Week Average]]</f>
        <v>-54.032499999999992</v>
      </c>
    </row>
    <row r="310" spans="1:28" x14ac:dyDescent="0.35">
      <c r="A310" s="436">
        <v>45078</v>
      </c>
      <c r="B310" s="435">
        <v>2023</v>
      </c>
      <c r="C310" s="435">
        <v>23</v>
      </c>
      <c r="D310" s="435">
        <v>10</v>
      </c>
      <c r="E310" s="435" t="s">
        <v>287</v>
      </c>
      <c r="F310" s="436" t="s">
        <v>49</v>
      </c>
      <c r="G310" s="437">
        <v>0.72916666666666552</v>
      </c>
      <c r="H310" s="436" t="s">
        <v>236</v>
      </c>
      <c r="I310" s="435">
        <v>85</v>
      </c>
      <c r="J310" s="436" t="s">
        <v>80</v>
      </c>
      <c r="K310" s="438">
        <v>108</v>
      </c>
      <c r="L310" s="439">
        <v>4.87</v>
      </c>
      <c r="M310" s="435">
        <v>64</v>
      </c>
      <c r="N310" s="435">
        <v>13</v>
      </c>
      <c r="O310" s="438">
        <v>22.17659137577002</v>
      </c>
      <c r="P310" s="440">
        <v>-1.5985572216346071</v>
      </c>
      <c r="Q310" s="438">
        <v>8.3076923076923084</v>
      </c>
      <c r="R310" s="438">
        <v>1.6875</v>
      </c>
      <c r="S310" s="441">
        <v>4.9230769230769234</v>
      </c>
      <c r="T310" s="441">
        <v>2.6694045174537986</v>
      </c>
      <c r="U310" s="239">
        <v>1</v>
      </c>
      <c r="V310" s="442">
        <v>1.560897435897436E-2</v>
      </c>
      <c r="W310" s="441" t="s">
        <v>176</v>
      </c>
      <c r="X310" s="438">
        <v>27.094757647407121</v>
      </c>
      <c r="Y310" s="438">
        <v>-4.9181662716371015</v>
      </c>
      <c r="Z310" s="443">
        <v>46.686444444444454</v>
      </c>
      <c r="AA310" s="58">
        <f t="shared" ca="1" si="16"/>
        <v>110.82249999999999</v>
      </c>
      <c r="AB310" s="453">
        <f ca="1">Table29[[#This Row],[Earnings]]-Table29[[#This Row],[4-Week Average]]</f>
        <v>-2.8224999999999909</v>
      </c>
    </row>
    <row r="311" spans="1:28" x14ac:dyDescent="0.35">
      <c r="A311" s="445">
        <v>45079</v>
      </c>
      <c r="B311" s="444">
        <v>2023</v>
      </c>
      <c r="C311" s="444">
        <v>23</v>
      </c>
      <c r="D311" s="444">
        <v>10</v>
      </c>
      <c r="E311" s="444" t="s">
        <v>287</v>
      </c>
      <c r="F311" s="445" t="s">
        <v>50</v>
      </c>
      <c r="G311" s="446">
        <v>0.72916666666666552</v>
      </c>
      <c r="H311" s="445" t="s">
        <v>236</v>
      </c>
      <c r="I311" s="444">
        <v>46</v>
      </c>
      <c r="J311" s="445" t="s">
        <v>80</v>
      </c>
      <c r="K311" s="447">
        <v>113.58</v>
      </c>
      <c r="L311" s="448">
        <v>5.08</v>
      </c>
      <c r="M311" s="444">
        <v>118</v>
      </c>
      <c r="N311" s="444">
        <v>9</v>
      </c>
      <c r="O311" s="447">
        <v>22.358267716535433</v>
      </c>
      <c r="P311" s="449">
        <v>-4.2853487958216405</v>
      </c>
      <c r="Q311" s="447">
        <v>12.62</v>
      </c>
      <c r="R311" s="447">
        <v>0.96254237288135591</v>
      </c>
      <c r="S311" s="450">
        <v>13.111111111111111</v>
      </c>
      <c r="T311" s="450">
        <v>1.7716535433070866</v>
      </c>
      <c r="U311" s="240">
        <v>2</v>
      </c>
      <c r="V311" s="451">
        <v>2.3518518518518518E-2</v>
      </c>
      <c r="W311" s="450" t="s">
        <v>176</v>
      </c>
      <c r="X311" s="447">
        <v>20.101809097414456</v>
      </c>
      <c r="Y311" s="447">
        <v>2.256458619120977</v>
      </c>
      <c r="Z311" s="452">
        <v>46.20788888888891</v>
      </c>
      <c r="AA311" s="58">
        <f t="shared" ca="1" si="16"/>
        <v>114.15249999999999</v>
      </c>
      <c r="AB311" s="453">
        <f ca="1">Table29[[#This Row],[Earnings]]-Table29[[#This Row],[4-Week Average]]</f>
        <v>-0.57249999999999091</v>
      </c>
    </row>
    <row r="312" spans="1:28" x14ac:dyDescent="0.35">
      <c r="A312" s="436">
        <v>45086</v>
      </c>
      <c r="B312" s="435">
        <v>2023</v>
      </c>
      <c r="C312" s="435">
        <v>24</v>
      </c>
      <c r="D312" s="435">
        <v>11</v>
      </c>
      <c r="E312" s="435" t="s">
        <v>287</v>
      </c>
      <c r="F312" s="436" t="s">
        <v>50</v>
      </c>
      <c r="G312" s="437">
        <v>0.72916666666666552</v>
      </c>
      <c r="H312" s="436" t="s">
        <v>231</v>
      </c>
      <c r="I312" s="435">
        <v>62</v>
      </c>
      <c r="J312" s="436" t="s">
        <v>80</v>
      </c>
      <c r="K312" s="438">
        <v>112.88</v>
      </c>
      <c r="L312" s="439">
        <v>5.43</v>
      </c>
      <c r="M312" s="435">
        <v>112</v>
      </c>
      <c r="N312" s="435">
        <v>10</v>
      </c>
      <c r="O312" s="438">
        <v>20.788213627992633</v>
      </c>
      <c r="P312" s="440">
        <v>-5.2432101992470663</v>
      </c>
      <c r="Q312" s="438">
        <v>11.288</v>
      </c>
      <c r="R312" s="438">
        <v>1.0078571428571428</v>
      </c>
      <c r="S312" s="441">
        <v>11.2</v>
      </c>
      <c r="T312" s="441">
        <v>1.8416206261510131</v>
      </c>
      <c r="U312" s="239">
        <v>3</v>
      </c>
      <c r="V312" s="442">
        <v>2.2624999999999996E-2</v>
      </c>
      <c r="W312" s="441" t="s">
        <v>175</v>
      </c>
      <c r="X312" s="438">
        <v>23.104506448136657</v>
      </c>
      <c r="Y312" s="438">
        <v>-2.3162928201440245</v>
      </c>
      <c r="Z312" s="443">
        <v>43.980333333333355</v>
      </c>
      <c r="AA312" s="58">
        <f t="shared" ca="1" si="16"/>
        <v>96.71</v>
      </c>
      <c r="AB312" s="453">
        <f ca="1">Table29[[#This Row],[Earnings]]-Table29[[#This Row],[4-Week Average]]</f>
        <v>16.170000000000002</v>
      </c>
    </row>
    <row r="313" spans="1:28" x14ac:dyDescent="0.35">
      <c r="A313" s="445">
        <v>45087</v>
      </c>
      <c r="B313" s="444">
        <v>2023</v>
      </c>
      <c r="C313" s="444">
        <v>24</v>
      </c>
      <c r="D313" s="444">
        <v>11</v>
      </c>
      <c r="E313" s="444" t="s">
        <v>287</v>
      </c>
      <c r="F313" s="445" t="s">
        <v>51</v>
      </c>
      <c r="G313" s="446">
        <v>0.72916666666666552</v>
      </c>
      <c r="H313" s="445" t="s">
        <v>249</v>
      </c>
      <c r="I313" s="444">
        <v>64</v>
      </c>
      <c r="J313" s="445" t="s">
        <v>80</v>
      </c>
      <c r="K313" s="447">
        <v>118.8</v>
      </c>
      <c r="L313" s="448">
        <v>4.2</v>
      </c>
      <c r="M313" s="444">
        <v>81</v>
      </c>
      <c r="N313" s="444">
        <v>14</v>
      </c>
      <c r="O313" s="447">
        <v>28.285714285714285</v>
      </c>
      <c r="P313" s="449">
        <v>0.75952897009602083</v>
      </c>
      <c r="Q313" s="447">
        <v>8.4857142857142858</v>
      </c>
      <c r="R313" s="447">
        <v>1.4666666666666666</v>
      </c>
      <c r="S313" s="450">
        <v>5.7857142857142856</v>
      </c>
      <c r="T313" s="450">
        <v>3.333333333333333</v>
      </c>
      <c r="U313" s="240">
        <v>3</v>
      </c>
      <c r="V313" s="451">
        <v>1.2499999999999999E-2</v>
      </c>
      <c r="W313" s="450" t="s">
        <v>176</v>
      </c>
      <c r="X313" s="447">
        <v>22.337827564977648</v>
      </c>
      <c r="Y313" s="447">
        <v>5.947886720736637</v>
      </c>
      <c r="Z313" s="452">
        <v>45.300333333333356</v>
      </c>
      <c r="AA313" s="58">
        <f t="shared" ca="1" si="16"/>
        <v>113.315</v>
      </c>
      <c r="AB313" s="453">
        <f ca="1">Table29[[#This Row],[Earnings]]-Table29[[#This Row],[4-Week Average]]</f>
        <v>5.4849999999999994</v>
      </c>
    </row>
    <row r="314" spans="1:28" x14ac:dyDescent="0.35">
      <c r="A314" s="436">
        <v>45097</v>
      </c>
      <c r="B314" s="435">
        <v>2023</v>
      </c>
      <c r="C314" s="435">
        <v>26</v>
      </c>
      <c r="D314" s="435">
        <v>13</v>
      </c>
      <c r="E314" s="435" t="s">
        <v>287</v>
      </c>
      <c r="F314" s="436" t="s">
        <v>47</v>
      </c>
      <c r="G314" s="437">
        <v>0.70833333333333226</v>
      </c>
      <c r="H314" s="436" t="s">
        <v>249</v>
      </c>
      <c r="I314" s="435">
        <v>69</v>
      </c>
      <c r="J314" s="436" t="s">
        <v>174</v>
      </c>
      <c r="K314" s="438">
        <v>105.32</v>
      </c>
      <c r="L314" s="439">
        <v>5.45</v>
      </c>
      <c r="M314" s="435">
        <v>120</v>
      </c>
      <c r="N314" s="435">
        <v>10</v>
      </c>
      <c r="O314" s="438">
        <v>19.324770642201834</v>
      </c>
      <c r="P314" s="440">
        <v>4.0179524603836541</v>
      </c>
      <c r="Q314" s="438">
        <v>10.532</v>
      </c>
      <c r="R314" s="438">
        <v>0.8776666666666666</v>
      </c>
      <c r="S314" s="441">
        <v>12</v>
      </c>
      <c r="T314" s="441">
        <v>1.8348623853211008</v>
      </c>
      <c r="U314" s="239">
        <v>4</v>
      </c>
      <c r="V314" s="442">
        <v>2.2708333333333334E-2</v>
      </c>
      <c r="W314" s="441" t="s">
        <v>176</v>
      </c>
      <c r="X314" s="438">
        <v>20.492635020175374</v>
      </c>
      <c r="Y314" s="438">
        <v>-1.1678643779735403</v>
      </c>
      <c r="Z314" s="443">
        <v>42.437444444444466</v>
      </c>
      <c r="AA314" s="58">
        <f t="shared" ca="1" si="16"/>
        <v>112.645</v>
      </c>
      <c r="AB314" s="453">
        <f ca="1">Table29[[#This Row],[Earnings]]-Table29[[#This Row],[4-Week Average]]</f>
        <v>-7.3250000000000028</v>
      </c>
    </row>
    <row r="315" spans="1:28" x14ac:dyDescent="0.35">
      <c r="A315" s="445">
        <v>45098</v>
      </c>
      <c r="B315" s="444">
        <v>2023</v>
      </c>
      <c r="C315" s="444">
        <v>26</v>
      </c>
      <c r="D315" s="444">
        <v>13</v>
      </c>
      <c r="E315" s="444" t="s">
        <v>287</v>
      </c>
      <c r="F315" s="445" t="s">
        <v>48</v>
      </c>
      <c r="G315" s="446">
        <v>0.77083333333333215</v>
      </c>
      <c r="H315" s="445" t="s">
        <v>231</v>
      </c>
      <c r="I315" s="444">
        <v>78</v>
      </c>
      <c r="J315" s="445" t="s">
        <v>85</v>
      </c>
      <c r="K315" s="447">
        <v>61.18</v>
      </c>
      <c r="L315" s="448">
        <v>4.07</v>
      </c>
      <c r="M315" s="444">
        <v>93</v>
      </c>
      <c r="N315" s="444">
        <v>7</v>
      </c>
      <c r="O315" s="447">
        <v>15.031941031941031</v>
      </c>
      <c r="P315" s="449">
        <v>-4.050143837769923</v>
      </c>
      <c r="Q315" s="447">
        <v>8.74</v>
      </c>
      <c r="R315" s="447">
        <v>0.65784946236559139</v>
      </c>
      <c r="S315" s="450">
        <v>13.285714285714286</v>
      </c>
      <c r="T315" s="450">
        <v>1.7199017199017197</v>
      </c>
      <c r="U315" s="240">
        <v>2</v>
      </c>
      <c r="V315" s="451">
        <v>2.4226190476190481E-2</v>
      </c>
      <c r="W315" s="450" t="s">
        <v>176</v>
      </c>
      <c r="X315" s="447">
        <v>14.873473218905231</v>
      </c>
      <c r="Y315" s="447">
        <v>0.15846781303580038</v>
      </c>
      <c r="Z315" s="452">
        <v>42.025666666666673</v>
      </c>
      <c r="AA315" s="58">
        <f t="shared" ca="1" si="16"/>
        <v>99.545000000000002</v>
      </c>
      <c r="AB315" s="453">
        <f ca="1">Table29[[#This Row],[Earnings]]-Table29[[#This Row],[4-Week Average]]</f>
        <v>-38.365000000000002</v>
      </c>
    </row>
    <row r="316" spans="1:28" x14ac:dyDescent="0.35">
      <c r="A316" s="436">
        <v>45100</v>
      </c>
      <c r="B316" s="435">
        <v>2023</v>
      </c>
      <c r="C316" s="435">
        <v>26</v>
      </c>
      <c r="D316" s="435">
        <v>13</v>
      </c>
      <c r="E316" s="435" t="s">
        <v>287</v>
      </c>
      <c r="F316" s="436" t="s">
        <v>50</v>
      </c>
      <c r="G316" s="437">
        <v>0.70833333333333226</v>
      </c>
      <c r="H316" s="436" t="s">
        <v>236</v>
      </c>
      <c r="I316" s="435">
        <v>78</v>
      </c>
      <c r="J316" s="436" t="s">
        <v>174</v>
      </c>
      <c r="K316" s="438">
        <v>109.46000000000001</v>
      </c>
      <c r="L316" s="439">
        <v>5.07</v>
      </c>
      <c r="M316" s="435">
        <v>114</v>
      </c>
      <c r="N316" s="435">
        <v>8</v>
      </c>
      <c r="O316" s="438">
        <v>21.589743589743591</v>
      </c>
      <c r="P316" s="440" t="s">
        <v>393</v>
      </c>
      <c r="Q316" s="438">
        <v>13.682500000000001</v>
      </c>
      <c r="R316" s="438">
        <v>0.96017543859649135</v>
      </c>
      <c r="S316" s="441">
        <v>14.25</v>
      </c>
      <c r="T316" s="441">
        <v>1.5779092702169624</v>
      </c>
      <c r="U316" s="239">
        <v>3</v>
      </c>
      <c r="V316" s="442">
        <v>2.6406250000000003E-2</v>
      </c>
      <c r="W316" s="441" t="s">
        <v>176</v>
      </c>
      <c r="X316" s="438">
        <v>26.982702895536416</v>
      </c>
      <c r="Y316" s="438">
        <v>-5.3929593057928251</v>
      </c>
      <c r="Z316" s="443">
        <v>41.215000000000011</v>
      </c>
      <c r="AA316" s="58">
        <f t="shared" ca="1" si="16"/>
        <v>98.69</v>
      </c>
      <c r="AB316" s="453">
        <f ca="1">Table29[[#This Row],[Earnings]]-Table29[[#This Row],[4-Week Average]]</f>
        <v>10.77000000000001</v>
      </c>
    </row>
    <row r="317" spans="1:28" x14ac:dyDescent="0.35">
      <c r="A317" s="445">
        <v>45112</v>
      </c>
      <c r="B317" s="444">
        <v>2023</v>
      </c>
      <c r="C317" s="444">
        <v>28</v>
      </c>
      <c r="D317" s="444">
        <v>2</v>
      </c>
      <c r="E317" s="444" t="s">
        <v>305</v>
      </c>
      <c r="F317" s="445" t="s">
        <v>48</v>
      </c>
      <c r="G317" s="446">
        <v>0.72916666666666552</v>
      </c>
      <c r="H317" s="445" t="s">
        <v>242</v>
      </c>
      <c r="I317" s="444">
        <v>77</v>
      </c>
      <c r="J317" s="445" t="s">
        <v>85</v>
      </c>
      <c r="K317" s="447">
        <v>120.53999999999999</v>
      </c>
      <c r="L317" s="448">
        <v>5.93</v>
      </c>
      <c r="M317" s="444">
        <v>109</v>
      </c>
      <c r="N317" s="444">
        <v>13</v>
      </c>
      <c r="O317" s="447">
        <v>20.327150084317033</v>
      </c>
      <c r="P317" s="449">
        <v>-3.4540894635271044</v>
      </c>
      <c r="Q317" s="447">
        <v>9.2723076923076917</v>
      </c>
      <c r="R317" s="447">
        <v>1.1058715596330275</v>
      </c>
      <c r="S317" s="450">
        <v>8.384615384615385</v>
      </c>
      <c r="T317" s="450">
        <v>2.1922428330522767</v>
      </c>
      <c r="U317" s="240">
        <v>3</v>
      </c>
      <c r="V317" s="451">
        <v>1.9006410256410255E-2</v>
      </c>
      <c r="W317" s="450" t="s">
        <v>176</v>
      </c>
      <c r="X317" s="447">
        <v>20.380241708825185</v>
      </c>
      <c r="Y317" s="447">
        <v>-5.309162450815208E-2</v>
      </c>
      <c r="Z317" s="452">
        <v>35.934777777777782</v>
      </c>
      <c r="AA317" s="58">
        <f t="shared" ca="1" si="16"/>
        <v>99.125</v>
      </c>
      <c r="AB317" s="453">
        <f ca="1">Table29[[#This Row],[Earnings]]-Table29[[#This Row],[4-Week Average]]</f>
        <v>21.414999999999992</v>
      </c>
    </row>
    <row r="318" spans="1:28" x14ac:dyDescent="0.35">
      <c r="A318" s="436">
        <v>45114</v>
      </c>
      <c r="B318" s="435">
        <v>2023</v>
      </c>
      <c r="C318" s="435">
        <v>28</v>
      </c>
      <c r="D318" s="435">
        <v>2</v>
      </c>
      <c r="E318" s="435" t="s">
        <v>305</v>
      </c>
      <c r="F318" s="436" t="s">
        <v>50</v>
      </c>
      <c r="G318" s="437">
        <v>0.72916666666666552</v>
      </c>
      <c r="H318" s="436" t="s">
        <v>242</v>
      </c>
      <c r="I318" s="435">
        <v>72</v>
      </c>
      <c r="J318" s="436" t="s">
        <v>85</v>
      </c>
      <c r="K318" s="438">
        <v>175.13</v>
      </c>
      <c r="L318" s="439">
        <v>7.85</v>
      </c>
      <c r="M318" s="435">
        <v>140.80000000000001</v>
      </c>
      <c r="N318" s="435">
        <v>11</v>
      </c>
      <c r="O318" s="438">
        <v>22.309554140127389</v>
      </c>
      <c r="P318" s="440">
        <v>-0.15579725560331781</v>
      </c>
      <c r="Q318" s="438">
        <v>15.92090909090909</v>
      </c>
      <c r="R318" s="438">
        <v>1.2438210227272726</v>
      </c>
      <c r="S318" s="441">
        <v>12.8</v>
      </c>
      <c r="T318" s="441">
        <v>1.4012738853503186</v>
      </c>
      <c r="U318" s="239">
        <v>2</v>
      </c>
      <c r="V318" s="442">
        <v>2.9734848484848486E-2</v>
      </c>
      <c r="W318" s="441" t="s">
        <v>176</v>
      </c>
      <c r="X318" s="438">
        <v>19.758050348801941</v>
      </c>
      <c r="Y318" s="438">
        <v>2.5515037913254481</v>
      </c>
      <c r="Z318" s="443">
        <v>37.880666666666677</v>
      </c>
      <c r="AA318" s="58">
        <f t="shared" ca="1" si="16"/>
        <v>116.5775</v>
      </c>
      <c r="AB318" s="453">
        <f ca="1">Table29[[#This Row],[Earnings]]-Table29[[#This Row],[4-Week Average]]</f>
        <v>58.552499999999995</v>
      </c>
    </row>
    <row r="319" spans="1:28" x14ac:dyDescent="0.35">
      <c r="A319" s="445">
        <v>45115</v>
      </c>
      <c r="B319" s="444">
        <v>2023</v>
      </c>
      <c r="C319" s="444">
        <v>28</v>
      </c>
      <c r="D319" s="444">
        <v>2</v>
      </c>
      <c r="E319" s="444" t="s">
        <v>305</v>
      </c>
      <c r="F319" s="445" t="s">
        <v>51</v>
      </c>
      <c r="G319" s="446">
        <v>0.72916666666666552</v>
      </c>
      <c r="H319" s="445" t="s">
        <v>242</v>
      </c>
      <c r="I319" s="444">
        <v>69</v>
      </c>
      <c r="J319" s="445" t="s">
        <v>174</v>
      </c>
      <c r="K319" s="447">
        <v>97.22999999999999</v>
      </c>
      <c r="L319" s="448">
        <v>5.38</v>
      </c>
      <c r="M319" s="444">
        <v>116</v>
      </c>
      <c r="N319" s="444">
        <v>12</v>
      </c>
      <c r="O319" s="447">
        <v>18.072490706319702</v>
      </c>
      <c r="P319" s="449" t="s">
        <v>393</v>
      </c>
      <c r="Q319" s="447">
        <v>8.1024999999999991</v>
      </c>
      <c r="R319" s="447">
        <v>0.83818965517241373</v>
      </c>
      <c r="S319" s="450">
        <v>9.6666666666666661</v>
      </c>
      <c r="T319" s="450">
        <v>2.2304832713754648</v>
      </c>
      <c r="U319" s="240">
        <v>3</v>
      </c>
      <c r="V319" s="451">
        <v>1.8680555555555554E-2</v>
      </c>
      <c r="W319" s="450" t="s">
        <v>176</v>
      </c>
      <c r="X319" s="447">
        <v>18.072490706319702</v>
      </c>
      <c r="Y319" s="447">
        <v>0</v>
      </c>
      <c r="Z319" s="452">
        <v>38.961000000000006</v>
      </c>
      <c r="AA319" s="58">
        <f t="shared" ca="1" si="16"/>
        <v>125.59</v>
      </c>
      <c r="AB319" s="453">
        <f ca="1">Table29[[#This Row],[Earnings]]-Table29[[#This Row],[4-Week Average]]</f>
        <v>-28.360000000000014</v>
      </c>
    </row>
    <row r="320" spans="1:28" x14ac:dyDescent="0.35">
      <c r="A320" s="436">
        <v>45116</v>
      </c>
      <c r="B320" s="435">
        <v>2023</v>
      </c>
      <c r="C320" s="435">
        <v>28</v>
      </c>
      <c r="D320" s="435">
        <v>2</v>
      </c>
      <c r="E320" s="435" t="s">
        <v>305</v>
      </c>
      <c r="F320" s="436" t="s">
        <v>45</v>
      </c>
      <c r="G320" s="437">
        <v>0.72916666666666552</v>
      </c>
      <c r="H320" s="436" t="s">
        <v>243</v>
      </c>
      <c r="I320" s="435">
        <v>72</v>
      </c>
      <c r="J320" s="436" t="s">
        <v>82</v>
      </c>
      <c r="K320" s="438">
        <v>86.87</v>
      </c>
      <c r="L320" s="439">
        <v>4.95</v>
      </c>
      <c r="M320" s="435">
        <v>81</v>
      </c>
      <c r="N320" s="435">
        <v>11</v>
      </c>
      <c r="O320" s="438">
        <v>17.549494949494949</v>
      </c>
      <c r="P320" s="440">
        <v>-6.6101824698598897</v>
      </c>
      <c r="Q320" s="438">
        <v>7.8972727272727274</v>
      </c>
      <c r="R320" s="438">
        <v>1.0724691358024692</v>
      </c>
      <c r="S320" s="441">
        <v>7.3636363636363633</v>
      </c>
      <c r="T320" s="441">
        <v>2.2222222222222223</v>
      </c>
      <c r="U320" s="239">
        <v>4</v>
      </c>
      <c r="V320" s="442">
        <v>1.8749999999999999E-2</v>
      </c>
      <c r="W320" s="441" t="s">
        <v>176</v>
      </c>
      <c r="X320" s="438">
        <v>17.549494949494949</v>
      </c>
      <c r="Y320" s="438">
        <v>0</v>
      </c>
      <c r="Z320" s="443">
        <v>39.926222222222229</v>
      </c>
      <c r="AA320" s="58">
        <f t="shared" ca="1" si="16"/>
        <v>119.9425</v>
      </c>
      <c r="AB320" s="453">
        <f ca="1">Table29[[#This Row],[Earnings]]-Table29[[#This Row],[4-Week Average]]</f>
        <v>-33.072499999999991</v>
      </c>
    </row>
    <row r="321" spans="1:28" x14ac:dyDescent="0.35">
      <c r="A321" s="445">
        <v>45118</v>
      </c>
      <c r="B321" s="444">
        <v>2023</v>
      </c>
      <c r="C321" s="444">
        <v>29</v>
      </c>
      <c r="D321" s="444">
        <v>3</v>
      </c>
      <c r="E321" s="444" t="s">
        <v>305</v>
      </c>
      <c r="F321" s="445" t="s">
        <v>47</v>
      </c>
      <c r="G321" s="446">
        <v>0.72916666666666552</v>
      </c>
      <c r="H321" s="445" t="s">
        <v>230</v>
      </c>
      <c r="I321" s="444">
        <v>82</v>
      </c>
      <c r="J321" s="445" t="s">
        <v>85</v>
      </c>
      <c r="K321" s="447">
        <v>112.93</v>
      </c>
      <c r="L321" s="448">
        <v>5.98</v>
      </c>
      <c r="M321" s="444">
        <v>115</v>
      </c>
      <c r="N321" s="444">
        <v>12</v>
      </c>
      <c r="O321" s="447">
        <v>18.884615384615383</v>
      </c>
      <c r="P321" s="449">
        <v>-4.3735664217759869</v>
      </c>
      <c r="Q321" s="447">
        <v>9.4108333333333345</v>
      </c>
      <c r="R321" s="447">
        <v>0.9820000000000001</v>
      </c>
      <c r="S321" s="450">
        <v>9.5833333333333339</v>
      </c>
      <c r="T321" s="450">
        <v>2.0066889632107023</v>
      </c>
      <c r="U321" s="240">
        <v>3</v>
      </c>
      <c r="V321" s="451">
        <v>2.0763888888888891E-2</v>
      </c>
      <c r="W321" s="450" t="s">
        <v>176</v>
      </c>
      <c r="X321" s="447">
        <v>21.063307692307692</v>
      </c>
      <c r="Y321" s="447">
        <v>-2.1786923076923088</v>
      </c>
      <c r="Z321" s="452">
        <v>41.181000000000004</v>
      </c>
      <c r="AA321" s="58">
        <f t="shared" ca="1" si="16"/>
        <v>118.04</v>
      </c>
      <c r="AB321" s="453">
        <f ca="1">Table29[[#This Row],[Earnings]]-Table29[[#This Row],[4-Week Average]]</f>
        <v>-5.1099999999999994</v>
      </c>
    </row>
    <row r="322" spans="1:28" x14ac:dyDescent="0.35">
      <c r="A322" s="436">
        <v>45119</v>
      </c>
      <c r="B322" s="435">
        <v>2023</v>
      </c>
      <c r="C322" s="435">
        <v>29</v>
      </c>
      <c r="D322" s="435">
        <v>3</v>
      </c>
      <c r="E322" s="435" t="s">
        <v>305</v>
      </c>
      <c r="F322" s="436" t="s">
        <v>48</v>
      </c>
      <c r="G322" s="437">
        <v>0.72916666666666552</v>
      </c>
      <c r="H322" s="436" t="s">
        <v>242</v>
      </c>
      <c r="I322" s="435">
        <v>75</v>
      </c>
      <c r="J322" s="436" t="s">
        <v>85</v>
      </c>
      <c r="K322" s="438">
        <v>103.98</v>
      </c>
      <c r="L322" s="439">
        <v>5.6</v>
      </c>
      <c r="M322" s="435">
        <v>129</v>
      </c>
      <c r="N322" s="435">
        <v>12</v>
      </c>
      <c r="O322" s="438">
        <v>18.567857142857143</v>
      </c>
      <c r="P322" s="440">
        <v>-4.6377008277324769</v>
      </c>
      <c r="Q322" s="438">
        <v>8.6650000000000009</v>
      </c>
      <c r="R322" s="438">
        <v>0.80604651162790697</v>
      </c>
      <c r="S322" s="441">
        <v>10.75</v>
      </c>
      <c r="T322" s="441">
        <v>2.1428571428571428</v>
      </c>
      <c r="U322" s="239">
        <v>3</v>
      </c>
      <c r="V322" s="442">
        <v>1.9444444444444441E-2</v>
      </c>
      <c r="W322" s="441" t="s">
        <v>176</v>
      </c>
      <c r="X322" s="438">
        <v>21.177052197860014</v>
      </c>
      <c r="Y322" s="438">
        <v>-2.6091950550028713</v>
      </c>
      <c r="Z322" s="443">
        <v>41.173333333333332</v>
      </c>
      <c r="AA322" s="58">
        <f t="shared" ca="1" si="16"/>
        <v>100.2525</v>
      </c>
      <c r="AB322" s="453">
        <f ca="1">Table29[[#This Row],[Earnings]]-Table29[[#This Row],[4-Week Average]]</f>
        <v>3.7275000000000063</v>
      </c>
    </row>
    <row r="323" spans="1:28" x14ac:dyDescent="0.35">
      <c r="A323" s="445">
        <v>45120</v>
      </c>
      <c r="B323" s="444">
        <v>2023</v>
      </c>
      <c r="C323" s="444">
        <v>29</v>
      </c>
      <c r="D323" s="444">
        <v>3</v>
      </c>
      <c r="E323" s="444" t="s">
        <v>305</v>
      </c>
      <c r="F323" s="445" t="s">
        <v>49</v>
      </c>
      <c r="G323" s="446">
        <v>0.72916666666666552</v>
      </c>
      <c r="H323" s="445" t="s">
        <v>242</v>
      </c>
      <c r="I323" s="444">
        <v>79</v>
      </c>
      <c r="J323" s="445" t="s">
        <v>174</v>
      </c>
      <c r="K323" s="447">
        <v>64.75</v>
      </c>
      <c r="L323" s="448">
        <v>5.05</v>
      </c>
      <c r="M323" s="444">
        <v>117</v>
      </c>
      <c r="N323" s="444">
        <v>8</v>
      </c>
      <c r="O323" s="447">
        <v>12.821782178217822</v>
      </c>
      <c r="P323" s="449" t="s">
        <v>393</v>
      </c>
      <c r="Q323" s="447">
        <v>8.09375</v>
      </c>
      <c r="R323" s="447">
        <v>0.55341880341880345</v>
      </c>
      <c r="S323" s="450">
        <v>14.625</v>
      </c>
      <c r="T323" s="450">
        <v>1.5841584158415842</v>
      </c>
      <c r="U323" s="240">
        <v>1</v>
      </c>
      <c r="V323" s="451">
        <v>2.6302083333333334E-2</v>
      </c>
      <c r="W323" s="450" t="s">
        <v>176</v>
      </c>
      <c r="X323" s="447">
        <v>17.497399025616847</v>
      </c>
      <c r="Y323" s="447">
        <v>-4.6756168473990254</v>
      </c>
      <c r="Z323" s="452">
        <v>41.892777777777773</v>
      </c>
      <c r="AA323" s="58">
        <f t="shared" ca="1" si="16"/>
        <v>92.132500000000007</v>
      </c>
      <c r="AB323" s="453">
        <f ca="1">Table29[[#This Row],[Earnings]]-Table29[[#This Row],[4-Week Average]]</f>
        <v>-27.382500000000007</v>
      </c>
    </row>
    <row r="324" spans="1:28" x14ac:dyDescent="0.35">
      <c r="A324" s="436">
        <v>45121</v>
      </c>
      <c r="B324" s="435">
        <v>2023</v>
      </c>
      <c r="C324" s="435">
        <v>29</v>
      </c>
      <c r="D324" s="435">
        <v>3</v>
      </c>
      <c r="E324" s="435" t="s">
        <v>305</v>
      </c>
      <c r="F324" s="436" t="s">
        <v>50</v>
      </c>
      <c r="G324" s="437">
        <v>0.72916666666666552</v>
      </c>
      <c r="H324" s="436" t="s">
        <v>249</v>
      </c>
      <c r="I324" s="435">
        <v>73</v>
      </c>
      <c r="J324" s="436" t="s">
        <v>85</v>
      </c>
      <c r="K324" s="438">
        <v>113.83</v>
      </c>
      <c r="L324" s="439">
        <v>6.6</v>
      </c>
      <c r="M324" s="435">
        <v>147.19999999999999</v>
      </c>
      <c r="N324" s="435">
        <v>13</v>
      </c>
      <c r="O324" s="438">
        <v>17.246969696969696</v>
      </c>
      <c r="P324" s="440">
        <v>-5.1794323848601813</v>
      </c>
      <c r="Q324" s="438">
        <v>8.7561538461538468</v>
      </c>
      <c r="R324" s="438">
        <v>0.77330163043478262</v>
      </c>
      <c r="S324" s="441">
        <v>11.323076923076922</v>
      </c>
      <c r="T324" s="441">
        <v>1.9696969696969697</v>
      </c>
      <c r="U324" s="239">
        <v>3</v>
      </c>
      <c r="V324" s="442">
        <v>2.1153846153846152E-2</v>
      </c>
      <c r="W324" s="441" t="s">
        <v>176</v>
      </c>
      <c r="X324" s="438">
        <v>19.277372919603788</v>
      </c>
      <c r="Y324" s="438">
        <v>-2.0304032226340922</v>
      </c>
      <c r="Z324" s="443">
        <v>41.696555555555555</v>
      </c>
      <c r="AA324" s="58">
        <f t="shared" ref="AA324:AA387" ca="1" si="17">AVERAGE(OFFSET(K324,-3,0,4,1))</f>
        <v>98.872500000000002</v>
      </c>
      <c r="AB324" s="453">
        <f ca="1">Table29[[#This Row],[Earnings]]-Table29[[#This Row],[4-Week Average]]</f>
        <v>14.957499999999996</v>
      </c>
    </row>
    <row r="325" spans="1:28" x14ac:dyDescent="0.35">
      <c r="A325" s="445">
        <v>45122</v>
      </c>
      <c r="B325" s="444">
        <v>2023</v>
      </c>
      <c r="C325" s="444">
        <v>29</v>
      </c>
      <c r="D325" s="444">
        <v>3</v>
      </c>
      <c r="E325" s="444" t="s">
        <v>305</v>
      </c>
      <c r="F325" s="445" t="s">
        <v>51</v>
      </c>
      <c r="G325" s="446">
        <v>0.52083333333333248</v>
      </c>
      <c r="H325" s="445" t="s">
        <v>243</v>
      </c>
      <c r="I325" s="444">
        <v>78</v>
      </c>
      <c r="J325" s="445" t="s">
        <v>82</v>
      </c>
      <c r="K325" s="447">
        <v>123.79</v>
      </c>
      <c r="L325" s="448">
        <v>6.95</v>
      </c>
      <c r="M325" s="444">
        <v>95</v>
      </c>
      <c r="N325" s="444">
        <v>16</v>
      </c>
      <c r="O325" s="447">
        <v>17.811510791366906</v>
      </c>
      <c r="P325" s="449">
        <v>-5.0185271848673203</v>
      </c>
      <c r="Q325" s="447">
        <v>7.7368750000000004</v>
      </c>
      <c r="R325" s="447">
        <v>1.3030526315789475</v>
      </c>
      <c r="S325" s="450">
        <v>5.9375</v>
      </c>
      <c r="T325" s="450">
        <v>2.3021582733812949</v>
      </c>
      <c r="U325" s="240">
        <v>2</v>
      </c>
      <c r="V325" s="451">
        <v>1.8098958333333335E-2</v>
      </c>
      <c r="W325" s="450" t="s">
        <v>176</v>
      </c>
      <c r="X325" s="447">
        <v>20.038561698743642</v>
      </c>
      <c r="Y325" s="447">
        <v>-2.2270509073767357</v>
      </c>
      <c r="Z325" s="452">
        <v>43.072000000000003</v>
      </c>
      <c r="AA325" s="58">
        <f t="shared" ca="1" si="17"/>
        <v>101.58750000000001</v>
      </c>
      <c r="AB325" s="453">
        <f ca="1">Table29[[#This Row],[Earnings]]-Table29[[#This Row],[4-Week Average]]</f>
        <v>22.202500000000001</v>
      </c>
    </row>
    <row r="326" spans="1:28" x14ac:dyDescent="0.35">
      <c r="A326" s="436">
        <v>45123</v>
      </c>
      <c r="B326" s="435">
        <v>2023</v>
      </c>
      <c r="C326" s="435">
        <v>29</v>
      </c>
      <c r="D326" s="435">
        <v>3</v>
      </c>
      <c r="E326" s="435" t="s">
        <v>305</v>
      </c>
      <c r="F326" s="436" t="s">
        <v>45</v>
      </c>
      <c r="G326" s="437">
        <v>0.624999999999999</v>
      </c>
      <c r="H326" s="436" t="s">
        <v>236</v>
      </c>
      <c r="I326" s="435">
        <v>75</v>
      </c>
      <c r="J326" s="436" t="s">
        <v>80</v>
      </c>
      <c r="K326" s="438">
        <v>58.629999999999995</v>
      </c>
      <c r="L326" s="439">
        <v>2.65</v>
      </c>
      <c r="M326" s="435">
        <v>62</v>
      </c>
      <c r="N326" s="435">
        <v>5</v>
      </c>
      <c r="O326" s="438">
        <v>22.124528301886791</v>
      </c>
      <c r="P326" s="440">
        <v>-1.8184114271305916</v>
      </c>
      <c r="Q326" s="438">
        <v>11.725999999999999</v>
      </c>
      <c r="R326" s="438">
        <v>0.9456451612903225</v>
      </c>
      <c r="S326" s="441">
        <v>12.4</v>
      </c>
      <c r="T326" s="441">
        <v>1.8867924528301887</v>
      </c>
      <c r="U326" s="239">
        <v>3</v>
      </c>
      <c r="V326" s="442">
        <v>2.2083333333333333E-2</v>
      </c>
      <c r="W326" s="441" t="s">
        <v>176</v>
      </c>
      <c r="X326" s="438">
        <v>22.124528301886791</v>
      </c>
      <c r="Y326" s="438">
        <v>0</v>
      </c>
      <c r="Z326" s="443">
        <v>43.723444444444446</v>
      </c>
      <c r="AA326" s="58">
        <f t="shared" ca="1" si="17"/>
        <v>90.25</v>
      </c>
      <c r="AB326" s="453">
        <f ca="1">Table29[[#This Row],[Earnings]]-Table29[[#This Row],[4-Week Average]]</f>
        <v>-31.620000000000005</v>
      </c>
    </row>
    <row r="327" spans="1:28" x14ac:dyDescent="0.35">
      <c r="A327" s="445">
        <v>45124</v>
      </c>
      <c r="B327" s="444">
        <v>2023</v>
      </c>
      <c r="C327" s="444">
        <v>30</v>
      </c>
      <c r="D327" s="444">
        <v>4</v>
      </c>
      <c r="E327" s="444" t="s">
        <v>305</v>
      </c>
      <c r="F327" s="445" t="s">
        <v>46</v>
      </c>
      <c r="G327" s="446">
        <v>0.72916666666666552</v>
      </c>
      <c r="H327" s="445" t="s">
        <v>242</v>
      </c>
      <c r="I327" s="444">
        <v>81</v>
      </c>
      <c r="J327" s="445" t="s">
        <v>85</v>
      </c>
      <c r="K327" s="447">
        <v>163.4</v>
      </c>
      <c r="L327" s="448">
        <v>7.18</v>
      </c>
      <c r="M327" s="444">
        <v>156.1</v>
      </c>
      <c r="N327" s="444">
        <v>14</v>
      </c>
      <c r="O327" s="447">
        <v>22.757660167130922</v>
      </c>
      <c r="P327" s="449">
        <v>1.100977402786711</v>
      </c>
      <c r="Q327" s="447">
        <v>11.671428571428573</v>
      </c>
      <c r="R327" s="447">
        <v>1.0467648942985266</v>
      </c>
      <c r="S327" s="450">
        <v>11.15</v>
      </c>
      <c r="T327" s="450">
        <v>1.9498607242339834</v>
      </c>
      <c r="U327" s="240">
        <v>3</v>
      </c>
      <c r="V327" s="451">
        <v>2.1369047619047617E-2</v>
      </c>
      <c r="W327" s="450" t="s">
        <v>176</v>
      </c>
      <c r="X327" s="447">
        <v>21.493139294091776</v>
      </c>
      <c r="Y327" s="447">
        <v>1.264520873039146</v>
      </c>
      <c r="Z327" s="452">
        <v>45.539000000000001</v>
      </c>
      <c r="AA327" s="58">
        <f t="shared" ca="1" si="17"/>
        <v>114.91249999999999</v>
      </c>
      <c r="AB327" s="453">
        <f ca="1">Table29[[#This Row],[Earnings]]-Table29[[#This Row],[4-Week Average]]</f>
        <v>48.487500000000011</v>
      </c>
    </row>
    <row r="328" spans="1:28" x14ac:dyDescent="0.35">
      <c r="A328" s="436">
        <v>45125</v>
      </c>
      <c r="B328" s="435">
        <v>2023</v>
      </c>
      <c r="C328" s="435">
        <v>30</v>
      </c>
      <c r="D328" s="435">
        <v>4</v>
      </c>
      <c r="E328" s="435" t="s">
        <v>305</v>
      </c>
      <c r="F328" s="436" t="s">
        <v>47</v>
      </c>
      <c r="G328" s="437">
        <v>0.72916666666666552</v>
      </c>
      <c r="H328" s="436" t="s">
        <v>230</v>
      </c>
      <c r="I328" s="435">
        <v>73</v>
      </c>
      <c r="J328" s="436" t="s">
        <v>85</v>
      </c>
      <c r="K328" s="438">
        <v>115.79</v>
      </c>
      <c r="L328" s="439">
        <v>5.88</v>
      </c>
      <c r="M328" s="435">
        <v>123</v>
      </c>
      <c r="N328" s="435">
        <v>9</v>
      </c>
      <c r="O328" s="438">
        <v>19.692176870748302</v>
      </c>
      <c r="P328" s="440">
        <v>-2.6912916512878731</v>
      </c>
      <c r="Q328" s="438">
        <v>12.865555555555556</v>
      </c>
      <c r="R328" s="438">
        <v>0.94138211382113823</v>
      </c>
      <c r="S328" s="441">
        <v>13.666666666666666</v>
      </c>
      <c r="T328" s="441">
        <v>1.5306122448979591</v>
      </c>
      <c r="U328" s="239">
        <v>3</v>
      </c>
      <c r="V328" s="442">
        <v>2.7222222222222221E-2</v>
      </c>
      <c r="W328" s="441" t="s">
        <v>176</v>
      </c>
      <c r="X328" s="438">
        <v>19.176198587306246</v>
      </c>
      <c r="Y328" s="438">
        <v>0.5159782834420561</v>
      </c>
      <c r="Z328" s="443">
        <v>45.812333333333342</v>
      </c>
      <c r="AA328" s="58">
        <f t="shared" ca="1" si="17"/>
        <v>115.40250000000002</v>
      </c>
      <c r="AB328" s="453">
        <f ca="1">Table29[[#This Row],[Earnings]]-Table29[[#This Row],[4-Week Average]]</f>
        <v>0.38749999999998863</v>
      </c>
    </row>
    <row r="329" spans="1:28" x14ac:dyDescent="0.35">
      <c r="A329" s="445">
        <v>45129</v>
      </c>
      <c r="B329" s="444">
        <v>2023</v>
      </c>
      <c r="C329" s="444">
        <v>30</v>
      </c>
      <c r="D329" s="444">
        <v>4</v>
      </c>
      <c r="E329" s="444" t="s">
        <v>305</v>
      </c>
      <c r="F329" s="445" t="s">
        <v>51</v>
      </c>
      <c r="G329" s="446">
        <v>0.58333333333333237</v>
      </c>
      <c r="H329" s="445" t="s">
        <v>243</v>
      </c>
      <c r="I329" s="444">
        <v>75</v>
      </c>
      <c r="J329" s="445" t="s">
        <v>82</v>
      </c>
      <c r="K329" s="447">
        <v>193.75</v>
      </c>
      <c r="L329" s="448">
        <v>8.92</v>
      </c>
      <c r="M329" s="444">
        <v>171</v>
      </c>
      <c r="N329" s="444">
        <v>19</v>
      </c>
      <c r="O329" s="447">
        <v>21.720852017937219</v>
      </c>
      <c r="P329" s="449">
        <v>0.56365643665876419</v>
      </c>
      <c r="Q329" s="447">
        <v>10.197368421052632</v>
      </c>
      <c r="R329" s="447">
        <v>1.1330409356725146</v>
      </c>
      <c r="S329" s="450">
        <v>9</v>
      </c>
      <c r="T329" s="450">
        <v>2.1300448430493275</v>
      </c>
      <c r="U329" s="240">
        <v>5</v>
      </c>
      <c r="V329" s="451">
        <v>1.9561403508771929E-2</v>
      </c>
      <c r="W329" s="450" t="s">
        <v>176</v>
      </c>
      <c r="X329" s="447">
        <v>18.936657968408081</v>
      </c>
      <c r="Y329" s="447">
        <v>2.7841940495291375</v>
      </c>
      <c r="Z329" s="452">
        <v>42.73266666666666</v>
      </c>
      <c r="AA329" s="58">
        <f t="shared" ca="1" si="17"/>
        <v>132.89249999999998</v>
      </c>
      <c r="AB329" s="453">
        <f ca="1">Table29[[#This Row],[Earnings]]-Table29[[#This Row],[4-Week Average]]</f>
        <v>60.857500000000016</v>
      </c>
    </row>
    <row r="330" spans="1:28" x14ac:dyDescent="0.35">
      <c r="A330" s="436">
        <v>45131</v>
      </c>
      <c r="B330" s="435">
        <v>2023</v>
      </c>
      <c r="C330" s="435">
        <v>31</v>
      </c>
      <c r="D330" s="435">
        <v>5</v>
      </c>
      <c r="E330" s="435" t="s">
        <v>305</v>
      </c>
      <c r="F330" s="436" t="s">
        <v>46</v>
      </c>
      <c r="G330" s="437">
        <v>0.70833333333333226</v>
      </c>
      <c r="H330" s="436" t="s">
        <v>230</v>
      </c>
      <c r="I330" s="435">
        <v>79</v>
      </c>
      <c r="J330" s="436" t="s">
        <v>85</v>
      </c>
      <c r="K330" s="438">
        <v>50.69</v>
      </c>
      <c r="L330" s="439">
        <v>3.43</v>
      </c>
      <c r="M330" s="435">
        <v>78.8</v>
      </c>
      <c r="N330" s="435">
        <v>6</v>
      </c>
      <c r="O330" s="438">
        <v>14.778425655976674</v>
      </c>
      <c r="P330" s="440">
        <v>-7.0617533421653196</v>
      </c>
      <c r="Q330" s="438">
        <v>8.4483333333333324</v>
      </c>
      <c r="R330" s="438">
        <v>0.64327411167512694</v>
      </c>
      <c r="S330" s="441">
        <v>13.133333333333333</v>
      </c>
      <c r="T330" s="441">
        <v>1.749271137026239</v>
      </c>
      <c r="U330" s="239">
        <v>2</v>
      </c>
      <c r="V330" s="442">
        <v>2.3819444444444445E-2</v>
      </c>
      <c r="W330" s="441" t="s">
        <v>176</v>
      </c>
      <c r="X330" s="438">
        <v>21.130380645893315</v>
      </c>
      <c r="Y330" s="438">
        <v>-6.3519549899166403</v>
      </c>
      <c r="Z330" s="443">
        <v>43.295888888888882</v>
      </c>
      <c r="AA330" s="58">
        <f t="shared" ca="1" si="17"/>
        <v>130.9075</v>
      </c>
      <c r="AB330" s="453">
        <f ca="1">Table29[[#This Row],[Earnings]]-Table29[[#This Row],[4-Week Average]]</f>
        <v>-80.217500000000001</v>
      </c>
    </row>
    <row r="331" spans="1:28" x14ac:dyDescent="0.35">
      <c r="A331" s="445">
        <v>45136</v>
      </c>
      <c r="B331" s="444">
        <v>2023</v>
      </c>
      <c r="C331" s="444">
        <v>31</v>
      </c>
      <c r="D331" s="444">
        <v>5</v>
      </c>
      <c r="E331" s="444" t="s">
        <v>305</v>
      </c>
      <c r="F331" s="445" t="s">
        <v>51</v>
      </c>
      <c r="G331" s="446">
        <v>0.60416666666666574</v>
      </c>
      <c r="H331" s="445" t="s">
        <v>236</v>
      </c>
      <c r="I331" s="444">
        <v>64</v>
      </c>
      <c r="J331" s="445" t="s">
        <v>82</v>
      </c>
      <c r="K331" s="447">
        <v>198.07999999999998</v>
      </c>
      <c r="L331" s="448">
        <v>8.57</v>
      </c>
      <c r="M331" s="444">
        <v>116</v>
      </c>
      <c r="N331" s="444">
        <v>19</v>
      </c>
      <c r="O331" s="447">
        <v>23.113185530921818</v>
      </c>
      <c r="P331" s="449">
        <v>1.8150758404786735</v>
      </c>
      <c r="Q331" s="447">
        <v>10.425263157894737</v>
      </c>
      <c r="R331" s="447">
        <v>1.7075862068965515</v>
      </c>
      <c r="S331" s="450">
        <v>6.1052631578947372</v>
      </c>
      <c r="T331" s="450">
        <v>2.2170361726954493</v>
      </c>
      <c r="U331" s="240">
        <v>4</v>
      </c>
      <c r="V331" s="451">
        <v>1.8793859649122807E-2</v>
      </c>
      <c r="W331" s="450" t="s">
        <v>176</v>
      </c>
      <c r="X331" s="447">
        <v>22.885934984497997</v>
      </c>
      <c r="Y331" s="447">
        <v>0.22725054642382148</v>
      </c>
      <c r="Z331" s="452">
        <v>41.214777777777776</v>
      </c>
      <c r="AA331" s="58">
        <f t="shared" ca="1" si="17"/>
        <v>139.57749999999999</v>
      </c>
      <c r="AB331" s="453">
        <f ca="1">Table29[[#This Row],[Earnings]]-Table29[[#This Row],[4-Week Average]]</f>
        <v>58.502499999999998</v>
      </c>
    </row>
    <row r="332" spans="1:28" x14ac:dyDescent="0.35">
      <c r="A332" s="436">
        <v>45138</v>
      </c>
      <c r="B332" s="435">
        <v>2023</v>
      </c>
      <c r="C332" s="435">
        <v>32</v>
      </c>
      <c r="D332" s="435">
        <v>6</v>
      </c>
      <c r="E332" s="435" t="s">
        <v>305</v>
      </c>
      <c r="F332" s="436" t="s">
        <v>46</v>
      </c>
      <c r="G332" s="437">
        <v>0.70833333333333226</v>
      </c>
      <c r="H332" s="436" t="s">
        <v>242</v>
      </c>
      <c r="I332" s="435">
        <v>68</v>
      </c>
      <c r="J332" s="436" t="s">
        <v>85</v>
      </c>
      <c r="K332" s="438">
        <v>104.9</v>
      </c>
      <c r="L332" s="439">
        <v>5.53</v>
      </c>
      <c r="M332" s="435">
        <v>113</v>
      </c>
      <c r="N332" s="435">
        <v>9</v>
      </c>
      <c r="O332" s="438">
        <v>18.969258589511753</v>
      </c>
      <c r="P332" s="440">
        <v>-1.8620985026066208</v>
      </c>
      <c r="Q332" s="438">
        <v>11.655555555555557</v>
      </c>
      <c r="R332" s="438">
        <v>0.92831858407079648</v>
      </c>
      <c r="S332" s="441">
        <v>12.555555555555555</v>
      </c>
      <c r="T332" s="441">
        <v>1.6274864376130198</v>
      </c>
      <c r="U332" s="239">
        <v>3</v>
      </c>
      <c r="V332" s="442">
        <v>2.5601851851851851E-2</v>
      </c>
      <c r="W332" s="441" t="s">
        <v>176</v>
      </c>
      <c r="X332" s="438">
        <v>21.616253226379811</v>
      </c>
      <c r="Y332" s="438">
        <v>-2.6469946368680581</v>
      </c>
      <c r="Z332" s="443">
        <v>41.48233333333333</v>
      </c>
      <c r="AA332" s="58">
        <f t="shared" ca="1" si="17"/>
        <v>136.85499999999999</v>
      </c>
      <c r="AB332" s="453">
        <f ca="1">Table29[[#This Row],[Earnings]]-Table29[[#This Row],[4-Week Average]]</f>
        <v>-31.954999999999984</v>
      </c>
    </row>
    <row r="333" spans="1:28" x14ac:dyDescent="0.35">
      <c r="A333" s="445">
        <v>45140</v>
      </c>
      <c r="B333" s="444">
        <v>2023</v>
      </c>
      <c r="C333" s="444">
        <v>32</v>
      </c>
      <c r="D333" s="444">
        <v>6</v>
      </c>
      <c r="E333" s="444" t="s">
        <v>305</v>
      </c>
      <c r="F333" s="445" t="s">
        <v>48</v>
      </c>
      <c r="G333" s="446">
        <v>0.74999999999999889</v>
      </c>
      <c r="H333" s="445" t="s">
        <v>230</v>
      </c>
      <c r="I333" s="444">
        <v>72</v>
      </c>
      <c r="J333" s="445" t="s">
        <v>174</v>
      </c>
      <c r="K333" s="447">
        <v>66.69</v>
      </c>
      <c r="L333" s="448">
        <v>4.45</v>
      </c>
      <c r="M333" s="444">
        <v>109</v>
      </c>
      <c r="N333" s="444">
        <v>8</v>
      </c>
      <c r="O333" s="447">
        <v>14.986516853932583</v>
      </c>
      <c r="P333" s="449" t="s">
        <v>393</v>
      </c>
      <c r="Q333" s="447">
        <v>8.3362499999999997</v>
      </c>
      <c r="R333" s="447">
        <v>0.61183486238532103</v>
      </c>
      <c r="S333" s="450">
        <v>13.625</v>
      </c>
      <c r="T333" s="450">
        <v>1.797752808988764</v>
      </c>
      <c r="U333" s="240">
        <v>3</v>
      </c>
      <c r="V333" s="451">
        <v>2.3177083333333334E-2</v>
      </c>
      <c r="W333" s="450" t="s">
        <v>176</v>
      </c>
      <c r="X333" s="447">
        <v>15.763025868826759</v>
      </c>
      <c r="Y333" s="447">
        <v>-0.77650901489417556</v>
      </c>
      <c r="Z333" s="452">
        <v>40.238777777777777</v>
      </c>
      <c r="AA333" s="58">
        <f t="shared" ca="1" si="17"/>
        <v>105.08999999999999</v>
      </c>
      <c r="AB333" s="453">
        <f ca="1">Table29[[#This Row],[Earnings]]-Table29[[#This Row],[4-Week Average]]</f>
        <v>-38.399999999999991</v>
      </c>
    </row>
    <row r="334" spans="1:28" x14ac:dyDescent="0.35">
      <c r="A334" s="436">
        <v>45142</v>
      </c>
      <c r="B334" s="435">
        <v>2023</v>
      </c>
      <c r="C334" s="435">
        <v>32</v>
      </c>
      <c r="D334" s="435">
        <v>6</v>
      </c>
      <c r="E334" s="435" t="s">
        <v>305</v>
      </c>
      <c r="F334" s="436" t="s">
        <v>50</v>
      </c>
      <c r="G334" s="437">
        <v>0.72916666666666552</v>
      </c>
      <c r="H334" s="436" t="s">
        <v>245</v>
      </c>
      <c r="I334" s="435">
        <v>66</v>
      </c>
      <c r="J334" s="436" t="s">
        <v>80</v>
      </c>
      <c r="K334" s="438">
        <v>73.69</v>
      </c>
      <c r="L334" s="439">
        <v>4.28</v>
      </c>
      <c r="M334" s="435">
        <v>85</v>
      </c>
      <c r="N334" s="435">
        <v>11</v>
      </c>
      <c r="O334" s="438">
        <v>17.217289719626166</v>
      </c>
      <c r="P334" s="440">
        <v>-7.2013983655264369</v>
      </c>
      <c r="Q334" s="438">
        <v>6.6990909090909092</v>
      </c>
      <c r="R334" s="438">
        <v>0.86694117647058822</v>
      </c>
      <c r="S334" s="441">
        <v>7.7272727272727275</v>
      </c>
      <c r="T334" s="441">
        <v>2.570093457943925</v>
      </c>
      <c r="U334" s="239">
        <v>1</v>
      </c>
      <c r="V334" s="442">
        <v>1.6212121212121212E-2</v>
      </c>
      <c r="W334" s="441" t="s">
        <v>176</v>
      </c>
      <c r="X334" s="438">
        <v>17.967106899099438</v>
      </c>
      <c r="Y334" s="438">
        <v>-0.74981717947327198</v>
      </c>
      <c r="Z334" s="443">
        <v>39.335999999999999</v>
      </c>
      <c r="AA334" s="58">
        <f t="shared" ca="1" si="17"/>
        <v>110.84</v>
      </c>
      <c r="AB334" s="453">
        <f ca="1">Table29[[#This Row],[Earnings]]-Table29[[#This Row],[4-Week Average]]</f>
        <v>-37.150000000000006</v>
      </c>
    </row>
    <row r="335" spans="1:28" x14ac:dyDescent="0.35">
      <c r="A335" s="445">
        <v>45143</v>
      </c>
      <c r="B335" s="444">
        <v>2023</v>
      </c>
      <c r="C335" s="444">
        <v>32</v>
      </c>
      <c r="D335" s="444">
        <v>6</v>
      </c>
      <c r="E335" s="444" t="s">
        <v>305</v>
      </c>
      <c r="F335" s="445" t="s">
        <v>51</v>
      </c>
      <c r="G335" s="446">
        <v>0.66666666666666563</v>
      </c>
      <c r="H335" s="445" t="s">
        <v>230</v>
      </c>
      <c r="I335" s="444">
        <v>73</v>
      </c>
      <c r="J335" s="445" t="s">
        <v>82</v>
      </c>
      <c r="K335" s="447">
        <v>191.78</v>
      </c>
      <c r="L335" s="448">
        <v>9.2200000000000006</v>
      </c>
      <c r="M335" s="444">
        <v>162</v>
      </c>
      <c r="N335" s="444">
        <v>18</v>
      </c>
      <c r="O335" s="447">
        <v>20.800433839479393</v>
      </c>
      <c r="P335" s="449">
        <v>-0.86069101905948742</v>
      </c>
      <c r="Q335" s="447">
        <v>10.654444444444444</v>
      </c>
      <c r="R335" s="447">
        <v>1.1838271604938271</v>
      </c>
      <c r="S335" s="450">
        <v>9</v>
      </c>
      <c r="T335" s="450">
        <v>1.9522776572668112</v>
      </c>
      <c r="U335" s="240">
        <v>3</v>
      </c>
      <c r="V335" s="451">
        <v>2.1342592592592594E-2</v>
      </c>
      <c r="W335" s="450" t="s">
        <v>176</v>
      </c>
      <c r="X335" s="447">
        <v>19.537625371175935</v>
      </c>
      <c r="Y335" s="447">
        <v>1.2628084683034579</v>
      </c>
      <c r="Z335" s="452">
        <v>40.646111111111111</v>
      </c>
      <c r="AA335" s="58">
        <f t="shared" ca="1" si="17"/>
        <v>109.265</v>
      </c>
      <c r="AB335" s="453">
        <f ca="1">Table29[[#This Row],[Earnings]]-Table29[[#This Row],[4-Week Average]]</f>
        <v>82.515000000000001</v>
      </c>
    </row>
    <row r="336" spans="1:28" x14ac:dyDescent="0.35">
      <c r="A336" s="436">
        <v>45144</v>
      </c>
      <c r="B336" s="435">
        <v>2023</v>
      </c>
      <c r="C336" s="435">
        <v>32</v>
      </c>
      <c r="D336" s="435">
        <v>6</v>
      </c>
      <c r="E336" s="435" t="s">
        <v>305</v>
      </c>
      <c r="F336" s="436" t="s">
        <v>45</v>
      </c>
      <c r="G336" s="437">
        <v>0.66666666666666563</v>
      </c>
      <c r="H336" s="436" t="s">
        <v>230</v>
      </c>
      <c r="I336" s="435">
        <v>79</v>
      </c>
      <c r="J336" s="436" t="s">
        <v>82</v>
      </c>
      <c r="K336" s="438">
        <v>78.960000000000008</v>
      </c>
      <c r="L336" s="439">
        <v>4.05</v>
      </c>
      <c r="M336" s="435">
        <v>68</v>
      </c>
      <c r="N336" s="435">
        <v>7</v>
      </c>
      <c r="O336" s="438">
        <v>19.4962962962963</v>
      </c>
      <c r="P336" s="440">
        <v>-1.3582898881285956</v>
      </c>
      <c r="Q336" s="438">
        <v>11.280000000000001</v>
      </c>
      <c r="R336" s="438">
        <v>1.1611764705882355</v>
      </c>
      <c r="S336" s="441">
        <v>9.7142857142857135</v>
      </c>
      <c r="T336" s="441">
        <v>1.7283950617283952</v>
      </c>
      <c r="U336" s="239">
        <v>3</v>
      </c>
      <c r="V336" s="442">
        <v>2.4107142857142855E-2</v>
      </c>
      <c r="W336" s="441" t="s">
        <v>176</v>
      </c>
      <c r="X336" s="438">
        <v>22.915748241573912</v>
      </c>
      <c r="Y336" s="438">
        <v>-3.4194519452776113</v>
      </c>
      <c r="Z336" s="443">
        <v>41.523444444444443</v>
      </c>
      <c r="AA336" s="58">
        <f t="shared" ca="1" si="17"/>
        <v>102.78</v>
      </c>
      <c r="AB336" s="453">
        <f ca="1">Table29[[#This Row],[Earnings]]-Table29[[#This Row],[4-Week Average]]</f>
        <v>-23.819999999999993</v>
      </c>
    </row>
    <row r="337" spans="1:28" x14ac:dyDescent="0.35">
      <c r="A337" s="445">
        <v>45145</v>
      </c>
      <c r="B337" s="444">
        <v>2023</v>
      </c>
      <c r="C337" s="444">
        <v>33</v>
      </c>
      <c r="D337" s="444">
        <v>7</v>
      </c>
      <c r="E337" s="444" t="s">
        <v>305</v>
      </c>
      <c r="F337" s="445" t="s">
        <v>46</v>
      </c>
      <c r="G337" s="446">
        <v>0.70833333333333226</v>
      </c>
      <c r="H337" s="445" t="s">
        <v>230</v>
      </c>
      <c r="I337" s="444">
        <v>70</v>
      </c>
      <c r="J337" s="445" t="s">
        <v>174</v>
      </c>
      <c r="K337" s="447">
        <v>85.910000000000011</v>
      </c>
      <c r="L337" s="448">
        <v>5.48</v>
      </c>
      <c r="M337" s="444">
        <v>132</v>
      </c>
      <c r="N337" s="444">
        <v>9</v>
      </c>
      <c r="O337" s="447">
        <v>15.677007299270073</v>
      </c>
      <c r="P337" s="449" t="s">
        <v>393</v>
      </c>
      <c r="Q337" s="447">
        <v>9.5455555555555573</v>
      </c>
      <c r="R337" s="447">
        <v>0.65083333333333337</v>
      </c>
      <c r="S337" s="450">
        <v>14.666666666666666</v>
      </c>
      <c r="T337" s="450">
        <v>1.6423357664233575</v>
      </c>
      <c r="U337" s="240">
        <v>2</v>
      </c>
      <c r="V337" s="451">
        <v>2.5370370370370373E-2</v>
      </c>
      <c r="W337" s="450" t="s">
        <v>175</v>
      </c>
      <c r="X337" s="447">
        <v>15.658282216918668</v>
      </c>
      <c r="Y337" s="447">
        <v>1.8725082351405575E-2</v>
      </c>
      <c r="Z337" s="452">
        <v>42.478000000000002</v>
      </c>
      <c r="AA337" s="58">
        <f t="shared" ca="1" si="17"/>
        <v>107.58500000000002</v>
      </c>
      <c r="AB337" s="453">
        <f ca="1">Table29[[#This Row],[Earnings]]-Table29[[#This Row],[4-Week Average]]</f>
        <v>-21.675000000000011</v>
      </c>
    </row>
    <row r="338" spans="1:28" x14ac:dyDescent="0.35">
      <c r="A338" s="436">
        <v>45146</v>
      </c>
      <c r="B338" s="435">
        <v>2023</v>
      </c>
      <c r="C338" s="435">
        <v>33</v>
      </c>
      <c r="D338" s="435">
        <v>7</v>
      </c>
      <c r="E338" s="435" t="s">
        <v>305</v>
      </c>
      <c r="F338" s="436" t="s">
        <v>47</v>
      </c>
      <c r="G338" s="437">
        <v>0.70833333333333226</v>
      </c>
      <c r="H338" s="436" t="s">
        <v>236</v>
      </c>
      <c r="I338" s="435">
        <v>68</v>
      </c>
      <c r="J338" s="436" t="s">
        <v>80</v>
      </c>
      <c r="K338" s="438">
        <v>106.41999999999999</v>
      </c>
      <c r="L338" s="439">
        <v>4.97</v>
      </c>
      <c r="M338" s="435">
        <v>124</v>
      </c>
      <c r="N338" s="435">
        <v>9</v>
      </c>
      <c r="O338" s="438">
        <v>21.412474849094565</v>
      </c>
      <c r="P338" s="440">
        <v>-1.1269720567917965</v>
      </c>
      <c r="Q338" s="438">
        <v>11.824444444444444</v>
      </c>
      <c r="R338" s="438">
        <v>0.85822580645161284</v>
      </c>
      <c r="S338" s="441">
        <v>13.777777777777779</v>
      </c>
      <c r="T338" s="441">
        <v>1.8108651911468814</v>
      </c>
      <c r="U338" s="239">
        <v>3</v>
      </c>
      <c r="V338" s="442">
        <v>2.3009259259259257E-2</v>
      </c>
      <c r="W338" s="441" t="s">
        <v>176</v>
      </c>
      <c r="X338" s="438">
        <v>17.127735570511192</v>
      </c>
      <c r="Y338" s="438">
        <v>4.2847392785833733</v>
      </c>
      <c r="Z338" s="443">
        <v>42.771999999999998</v>
      </c>
      <c r="AA338" s="58">
        <f t="shared" ca="1" si="17"/>
        <v>115.76750000000001</v>
      </c>
      <c r="AB338" s="453">
        <f ca="1">Table29[[#This Row],[Earnings]]-Table29[[#This Row],[4-Week Average]]</f>
        <v>-9.347500000000025</v>
      </c>
    </row>
    <row r="339" spans="1:28" x14ac:dyDescent="0.35">
      <c r="A339" s="445">
        <v>45148</v>
      </c>
      <c r="B339" s="444">
        <v>2023</v>
      </c>
      <c r="C339" s="444">
        <v>33</v>
      </c>
      <c r="D339" s="444">
        <v>7</v>
      </c>
      <c r="E339" s="444" t="s">
        <v>305</v>
      </c>
      <c r="F339" s="445" t="s">
        <v>49</v>
      </c>
      <c r="G339" s="446">
        <v>0.77083333333333215</v>
      </c>
      <c r="H339" s="445" t="s">
        <v>231</v>
      </c>
      <c r="I339" s="444">
        <v>73</v>
      </c>
      <c r="J339" s="445" t="s">
        <v>85</v>
      </c>
      <c r="K339" s="447">
        <v>57.32</v>
      </c>
      <c r="L339" s="448">
        <v>2.92</v>
      </c>
      <c r="M339" s="444">
        <v>69</v>
      </c>
      <c r="N339" s="444">
        <v>5</v>
      </c>
      <c r="O339" s="447">
        <v>19.63013698630137</v>
      </c>
      <c r="P339" s="449">
        <v>-2.3585751349107511</v>
      </c>
      <c r="Q339" s="447">
        <v>11.464</v>
      </c>
      <c r="R339" s="447">
        <v>0.83072463768115945</v>
      </c>
      <c r="S339" s="450">
        <v>13.8</v>
      </c>
      <c r="T339" s="450">
        <v>1.7123287671232876</v>
      </c>
      <c r="U339" s="240">
        <v>2</v>
      </c>
      <c r="V339" s="451">
        <v>2.4333333333333332E-2</v>
      </c>
      <c r="W339" s="450" t="s">
        <v>176</v>
      </c>
      <c r="X339" s="447">
        <v>17.47428262633742</v>
      </c>
      <c r="Y339" s="447">
        <v>2.1558543599639499</v>
      </c>
      <c r="Z339" s="452">
        <v>41.988888888888901</v>
      </c>
      <c r="AA339" s="58">
        <f t="shared" ca="1" si="17"/>
        <v>82.152499999999989</v>
      </c>
      <c r="AB339" s="453">
        <f ca="1">Table29[[#This Row],[Earnings]]-Table29[[#This Row],[4-Week Average]]</f>
        <v>-24.832499999999989</v>
      </c>
    </row>
    <row r="340" spans="1:28" x14ac:dyDescent="0.35">
      <c r="A340" s="436">
        <v>45149</v>
      </c>
      <c r="B340" s="435">
        <v>2023</v>
      </c>
      <c r="C340" s="435">
        <v>33</v>
      </c>
      <c r="D340" s="435">
        <v>7</v>
      </c>
      <c r="E340" s="435" t="s">
        <v>305</v>
      </c>
      <c r="F340" s="436" t="s">
        <v>50</v>
      </c>
      <c r="G340" s="437">
        <v>0.72916666666666552</v>
      </c>
      <c r="H340" s="436" t="s">
        <v>230</v>
      </c>
      <c r="I340" s="435">
        <v>73</v>
      </c>
      <c r="J340" s="436" t="s">
        <v>80</v>
      </c>
      <c r="K340" s="438">
        <v>51.76</v>
      </c>
      <c r="L340" s="439">
        <v>3.27</v>
      </c>
      <c r="M340" s="435">
        <v>67</v>
      </c>
      <c r="N340" s="435">
        <v>5</v>
      </c>
      <c r="O340" s="438">
        <v>15.82874617737003</v>
      </c>
      <c r="P340" s="440">
        <v>-7.3897088468615006</v>
      </c>
      <c r="Q340" s="438">
        <v>10.352</v>
      </c>
      <c r="R340" s="438">
        <v>0.77253731343283583</v>
      </c>
      <c r="S340" s="441">
        <v>13.4</v>
      </c>
      <c r="T340" s="441">
        <v>1.5290519877675841</v>
      </c>
      <c r="U340" s="239">
        <v>2</v>
      </c>
      <c r="V340" s="442">
        <v>2.725E-2</v>
      </c>
      <c r="W340" s="441" t="s">
        <v>175</v>
      </c>
      <c r="X340" s="438">
        <v>19.306427700229733</v>
      </c>
      <c r="Y340" s="438">
        <v>-3.4776815228597027</v>
      </c>
      <c r="Z340" s="443">
        <v>42.564000000000014</v>
      </c>
      <c r="AA340" s="58">
        <f t="shared" ca="1" si="17"/>
        <v>75.352499999999992</v>
      </c>
      <c r="AB340" s="453">
        <f ca="1">Table29[[#This Row],[Earnings]]-Table29[[#This Row],[4-Week Average]]</f>
        <v>-23.592499999999994</v>
      </c>
    </row>
    <row r="341" spans="1:28" x14ac:dyDescent="0.35">
      <c r="A341" s="445">
        <v>45154</v>
      </c>
      <c r="B341" s="444">
        <v>2023</v>
      </c>
      <c r="C341" s="444">
        <v>34</v>
      </c>
      <c r="D341" s="444">
        <v>8</v>
      </c>
      <c r="E341" s="444" t="s">
        <v>305</v>
      </c>
      <c r="F341" s="445" t="s">
        <v>48</v>
      </c>
      <c r="G341" s="446">
        <v>0.72916666666666552</v>
      </c>
      <c r="H341" s="445" t="s">
        <v>231</v>
      </c>
      <c r="I341" s="444">
        <v>66</v>
      </c>
      <c r="J341" s="445" t="s">
        <v>85</v>
      </c>
      <c r="K341" s="447">
        <v>131.44</v>
      </c>
      <c r="L341" s="448">
        <v>5.57</v>
      </c>
      <c r="M341" s="444">
        <v>95</v>
      </c>
      <c r="N341" s="444">
        <v>14</v>
      </c>
      <c r="O341" s="447">
        <v>23.597845601436266</v>
      </c>
      <c r="P341" s="449">
        <v>1.0548163205227148</v>
      </c>
      <c r="Q341" s="447">
        <v>9.3885714285714279</v>
      </c>
      <c r="R341" s="447">
        <v>1.383578947368421</v>
      </c>
      <c r="S341" s="450">
        <v>6.7857142857142856</v>
      </c>
      <c r="T341" s="450">
        <v>2.5134649910233393</v>
      </c>
      <c r="U341" s="240">
        <v>2</v>
      </c>
      <c r="V341" s="451">
        <v>1.6577380952380951E-2</v>
      </c>
      <c r="W341" s="450" t="s">
        <v>176</v>
      </c>
      <c r="X341" s="447">
        <v>23.323781261793304</v>
      </c>
      <c r="Y341" s="447">
        <v>0.27406433964296184</v>
      </c>
      <c r="Z341" s="452">
        <v>43.365888888888904</v>
      </c>
      <c r="AA341" s="58">
        <f t="shared" ca="1" si="17"/>
        <v>86.734999999999985</v>
      </c>
      <c r="AB341" s="453">
        <f ca="1">Table29[[#This Row],[Earnings]]-Table29[[#This Row],[4-Week Average]]</f>
        <v>44.705000000000013</v>
      </c>
    </row>
    <row r="342" spans="1:28" x14ac:dyDescent="0.35">
      <c r="A342" s="436">
        <v>45155</v>
      </c>
      <c r="B342" s="435">
        <v>2023</v>
      </c>
      <c r="C342" s="435">
        <v>34</v>
      </c>
      <c r="D342" s="435">
        <v>8</v>
      </c>
      <c r="E342" s="435" t="s">
        <v>305</v>
      </c>
      <c r="F342" s="436" t="s">
        <v>49</v>
      </c>
      <c r="G342" s="437">
        <v>0.77083333333333215</v>
      </c>
      <c r="H342" s="436" t="s">
        <v>231</v>
      </c>
      <c r="I342" s="435">
        <v>66</v>
      </c>
      <c r="J342" s="436" t="s">
        <v>85</v>
      </c>
      <c r="K342" s="438">
        <v>97.8</v>
      </c>
      <c r="L342" s="439">
        <v>4.0199999999999996</v>
      </c>
      <c r="M342" s="435">
        <v>88</v>
      </c>
      <c r="N342" s="435">
        <v>11</v>
      </c>
      <c r="O342" s="438">
        <v>24.328358208955226</v>
      </c>
      <c r="P342" s="440">
        <v>2.9292898714707931</v>
      </c>
      <c r="Q342" s="438">
        <v>8.8909090909090907</v>
      </c>
      <c r="R342" s="438">
        <v>1.1113636363636363</v>
      </c>
      <c r="S342" s="441">
        <v>8</v>
      </c>
      <c r="T342" s="441">
        <v>2.7363184079601992</v>
      </c>
      <c r="U342" s="239">
        <v>2</v>
      </c>
      <c r="V342" s="442">
        <v>1.5227272727272726E-2</v>
      </c>
      <c r="W342" s="441" t="s">
        <v>175</v>
      </c>
      <c r="X342" s="438">
        <v>20.801092160105405</v>
      </c>
      <c r="Y342" s="438">
        <v>3.5272660488498211</v>
      </c>
      <c r="Z342" s="443">
        <v>44.45255555555557</v>
      </c>
      <c r="AA342" s="58">
        <f t="shared" ca="1" si="17"/>
        <v>84.58</v>
      </c>
      <c r="AB342" s="453">
        <f ca="1">Table29[[#This Row],[Earnings]]-Table29[[#This Row],[4-Week Average]]</f>
        <v>13.219999999999999</v>
      </c>
    </row>
    <row r="343" spans="1:28" x14ac:dyDescent="0.35">
      <c r="A343" s="445">
        <v>45156</v>
      </c>
      <c r="B343" s="444">
        <v>2023</v>
      </c>
      <c r="C343" s="444">
        <v>34</v>
      </c>
      <c r="D343" s="444">
        <v>8</v>
      </c>
      <c r="E343" s="444" t="s">
        <v>305</v>
      </c>
      <c r="F343" s="445" t="s">
        <v>50</v>
      </c>
      <c r="G343" s="446">
        <v>0.70833333333333226</v>
      </c>
      <c r="H343" s="445" t="s">
        <v>231</v>
      </c>
      <c r="I343" s="444">
        <v>70</v>
      </c>
      <c r="J343" s="445" t="s">
        <v>174</v>
      </c>
      <c r="K343" s="447">
        <v>110.04999999999998</v>
      </c>
      <c r="L343" s="448">
        <v>5.6</v>
      </c>
      <c r="M343" s="444">
        <v>133</v>
      </c>
      <c r="N343" s="444">
        <v>12</v>
      </c>
      <c r="O343" s="447">
        <v>19.651785714285712</v>
      </c>
      <c r="P343" s="449" t="s">
        <v>393</v>
      </c>
      <c r="Q343" s="447">
        <v>9.1708333333333325</v>
      </c>
      <c r="R343" s="447">
        <v>0.82744360902255631</v>
      </c>
      <c r="S343" s="450">
        <v>11.083333333333334</v>
      </c>
      <c r="T343" s="450">
        <v>2.1428571428571428</v>
      </c>
      <c r="U343" s="240">
        <v>4</v>
      </c>
      <c r="V343" s="451">
        <v>1.9444444444444441E-2</v>
      </c>
      <c r="W343" s="450" t="s">
        <v>175</v>
      </c>
      <c r="X343" s="447">
        <v>25.991327331647295</v>
      </c>
      <c r="Y343" s="447">
        <v>-6.3395416173615828</v>
      </c>
      <c r="Z343" s="452">
        <v>45.675333333333349</v>
      </c>
      <c r="AA343" s="58">
        <f t="shared" ca="1" si="17"/>
        <v>97.762499999999989</v>
      </c>
      <c r="AB343" s="453">
        <f ca="1">Table29[[#This Row],[Earnings]]-Table29[[#This Row],[4-Week Average]]</f>
        <v>12.287499999999994</v>
      </c>
    </row>
    <row r="344" spans="1:28" x14ac:dyDescent="0.35">
      <c r="A344" s="436">
        <v>45157</v>
      </c>
      <c r="B344" s="435">
        <v>2023</v>
      </c>
      <c r="C344" s="435">
        <v>34</v>
      </c>
      <c r="D344" s="435">
        <v>8</v>
      </c>
      <c r="E344" s="435" t="s">
        <v>305</v>
      </c>
      <c r="F344" s="436" t="s">
        <v>51</v>
      </c>
      <c r="G344" s="437">
        <v>0.70833333333333226</v>
      </c>
      <c r="H344" s="436" t="s">
        <v>231</v>
      </c>
      <c r="I344" s="435">
        <v>68</v>
      </c>
      <c r="J344" s="436" t="s">
        <v>82</v>
      </c>
      <c r="K344" s="438">
        <v>104.25</v>
      </c>
      <c r="L344" s="439">
        <v>5.37</v>
      </c>
      <c r="M344" s="435">
        <v>64</v>
      </c>
      <c r="N344" s="435">
        <v>15</v>
      </c>
      <c r="O344" s="438">
        <v>19.41340782122905</v>
      </c>
      <c r="P344" s="440">
        <v>-2.1042685341332472</v>
      </c>
      <c r="Q344" s="438">
        <v>6.95</v>
      </c>
      <c r="R344" s="438">
        <v>1.62890625</v>
      </c>
      <c r="S344" s="441">
        <v>4.2666666666666666</v>
      </c>
      <c r="T344" s="441">
        <v>2.7932960893854748</v>
      </c>
      <c r="U344" s="239">
        <v>2</v>
      </c>
      <c r="V344" s="442">
        <v>1.4916666666666667E-2</v>
      </c>
      <c r="W344" s="441" t="s">
        <v>175</v>
      </c>
      <c r="X344" s="438">
        <v>19.755357688810538</v>
      </c>
      <c r="Y344" s="438">
        <v>-0.34194986758148715</v>
      </c>
      <c r="Z344" s="443">
        <v>46.613666666666681</v>
      </c>
      <c r="AA344" s="58">
        <f t="shared" ca="1" si="17"/>
        <v>110.88499999999999</v>
      </c>
      <c r="AB344" s="453">
        <f ca="1">Table29[[#This Row],[Earnings]]-Table29[[#This Row],[4-Week Average]]</f>
        <v>-6.6349999999999909</v>
      </c>
    </row>
    <row r="345" spans="1:28" x14ac:dyDescent="0.35">
      <c r="A345" s="445">
        <v>45158</v>
      </c>
      <c r="B345" s="444">
        <v>2023</v>
      </c>
      <c r="C345" s="444">
        <v>34</v>
      </c>
      <c r="D345" s="444">
        <v>8</v>
      </c>
      <c r="E345" s="444" t="s">
        <v>305</v>
      </c>
      <c r="F345" s="445" t="s">
        <v>45</v>
      </c>
      <c r="G345" s="446">
        <v>0.70833333333333226</v>
      </c>
      <c r="H345" s="445" t="s">
        <v>230</v>
      </c>
      <c r="I345" s="444">
        <v>79</v>
      </c>
      <c r="J345" s="445" t="s">
        <v>82</v>
      </c>
      <c r="K345" s="447">
        <v>20.39</v>
      </c>
      <c r="L345" s="448">
        <v>1.38</v>
      </c>
      <c r="M345" s="444">
        <v>29</v>
      </c>
      <c r="N345" s="444">
        <v>2</v>
      </c>
      <c r="O345" s="447">
        <v>14.775362318840582</v>
      </c>
      <c r="P345" s="449">
        <v>-5.6264605695414502</v>
      </c>
      <c r="Q345" s="447">
        <v>10.195</v>
      </c>
      <c r="R345" s="447">
        <v>0.70310344827586213</v>
      </c>
      <c r="S345" s="450">
        <v>14.5</v>
      </c>
      <c r="T345" s="450">
        <v>1.4492753623188408</v>
      </c>
      <c r="U345" s="240">
        <v>1</v>
      </c>
      <c r="V345" s="451">
        <v>2.8749999999999998E-2</v>
      </c>
      <c r="W345" s="450" t="s">
        <v>175</v>
      </c>
      <c r="X345" s="447">
        <v>20.818424402663531</v>
      </c>
      <c r="Y345" s="447">
        <v>-6.0430620838229494</v>
      </c>
      <c r="Z345" s="452">
        <v>45.836222222222233</v>
      </c>
      <c r="AA345" s="58">
        <f t="shared" ca="1" si="17"/>
        <v>83.122499999999988</v>
      </c>
      <c r="AB345" s="453">
        <f ca="1">Table29[[#This Row],[Earnings]]-Table29[[#This Row],[4-Week Average]]</f>
        <v>-62.732499999999987</v>
      </c>
    </row>
    <row r="346" spans="1:28" x14ac:dyDescent="0.35">
      <c r="A346" s="436">
        <v>45161</v>
      </c>
      <c r="B346" s="435">
        <v>2023</v>
      </c>
      <c r="C346" s="435">
        <v>35</v>
      </c>
      <c r="D346" s="435">
        <v>9</v>
      </c>
      <c r="E346" s="435" t="s">
        <v>305</v>
      </c>
      <c r="F346" s="436" t="s">
        <v>48</v>
      </c>
      <c r="G346" s="437">
        <v>0.74999999999999889</v>
      </c>
      <c r="H346" s="436" t="s">
        <v>230</v>
      </c>
      <c r="I346" s="435">
        <v>73</v>
      </c>
      <c r="J346" s="436" t="s">
        <v>80</v>
      </c>
      <c r="K346" s="438">
        <v>82.61</v>
      </c>
      <c r="L346" s="439">
        <v>4.0199999999999996</v>
      </c>
      <c r="M346" s="435">
        <v>104</v>
      </c>
      <c r="N346" s="435">
        <v>8</v>
      </c>
      <c r="O346" s="438">
        <v>20.549751243781095</v>
      </c>
      <c r="P346" s="440">
        <v>0.11641791044775829</v>
      </c>
      <c r="Q346" s="438">
        <v>10.32625</v>
      </c>
      <c r="R346" s="438">
        <v>0.7943269230769231</v>
      </c>
      <c r="S346" s="441">
        <v>13</v>
      </c>
      <c r="T346" s="441">
        <v>1.9900497512437814</v>
      </c>
      <c r="U346" s="239">
        <v>1</v>
      </c>
      <c r="V346" s="442">
        <v>2.0937499999999998E-2</v>
      </c>
      <c r="W346" s="441" t="s">
        <v>175</v>
      </c>
      <c r="X346" s="438">
        <v>24.84553283501565</v>
      </c>
      <c r="Y346" s="438">
        <v>-4.2957815912345545</v>
      </c>
      <c r="Z346" s="443">
        <v>45.640111111111118</v>
      </c>
      <c r="AA346" s="58">
        <f t="shared" ca="1" si="17"/>
        <v>79.325000000000003</v>
      </c>
      <c r="AB346" s="453">
        <f ca="1">Table29[[#This Row],[Earnings]]-Table29[[#This Row],[4-Week Average]]</f>
        <v>3.2849999999999966</v>
      </c>
    </row>
    <row r="347" spans="1:28" x14ac:dyDescent="0.35">
      <c r="A347" s="445">
        <v>45162</v>
      </c>
      <c r="B347" s="444">
        <v>2023</v>
      </c>
      <c r="C347" s="444">
        <v>35</v>
      </c>
      <c r="D347" s="444">
        <v>9</v>
      </c>
      <c r="E347" s="444" t="s">
        <v>305</v>
      </c>
      <c r="F347" s="445" t="s">
        <v>49</v>
      </c>
      <c r="G347" s="446">
        <v>0.72916666666666552</v>
      </c>
      <c r="H347" s="445" t="s">
        <v>231</v>
      </c>
      <c r="I347" s="444">
        <v>68</v>
      </c>
      <c r="J347" s="445" t="s">
        <v>85</v>
      </c>
      <c r="K347" s="447">
        <v>55.68</v>
      </c>
      <c r="L347" s="448">
        <v>3.25</v>
      </c>
      <c r="M347" s="444">
        <v>67</v>
      </c>
      <c r="N347" s="444">
        <v>6</v>
      </c>
      <c r="O347" s="447">
        <v>17.132307692307691</v>
      </c>
      <c r="P347" s="449">
        <v>-4.8526186194708991</v>
      </c>
      <c r="Q347" s="447">
        <v>9.2799999999999994</v>
      </c>
      <c r="R347" s="447">
        <v>0.83104477611940297</v>
      </c>
      <c r="S347" s="450">
        <v>11.166666666666666</v>
      </c>
      <c r="T347" s="450">
        <v>1.8461538461538463</v>
      </c>
      <c r="U347" s="240">
        <v>3</v>
      </c>
      <c r="V347" s="451">
        <v>2.2569444444444444E-2</v>
      </c>
      <c r="W347" s="450" t="s">
        <v>176</v>
      </c>
      <c r="X347" s="447">
        <v>18.697475216463797</v>
      </c>
      <c r="Y347" s="447">
        <v>-1.5651675241561058</v>
      </c>
      <c r="Z347" s="452">
        <v>44.229333333333344</v>
      </c>
      <c r="AA347" s="58">
        <f t="shared" ca="1" si="17"/>
        <v>65.732500000000002</v>
      </c>
      <c r="AB347" s="453">
        <f ca="1">Table29[[#This Row],[Earnings]]-Table29[[#This Row],[4-Week Average]]</f>
        <v>-10.052500000000002</v>
      </c>
    </row>
    <row r="348" spans="1:28" x14ac:dyDescent="0.35">
      <c r="A348" s="436">
        <v>45163</v>
      </c>
      <c r="B348" s="435">
        <v>2023</v>
      </c>
      <c r="C348" s="435">
        <v>35</v>
      </c>
      <c r="D348" s="435">
        <v>9</v>
      </c>
      <c r="E348" s="435" t="s">
        <v>305</v>
      </c>
      <c r="F348" s="436" t="s">
        <v>50</v>
      </c>
      <c r="G348" s="437">
        <v>0.70833333333333226</v>
      </c>
      <c r="H348" s="436" t="s">
        <v>236</v>
      </c>
      <c r="I348" s="435">
        <v>66</v>
      </c>
      <c r="J348" s="436" t="s">
        <v>80</v>
      </c>
      <c r="K348" s="438">
        <v>173.74</v>
      </c>
      <c r="L348" s="439">
        <v>7.03</v>
      </c>
      <c r="M348" s="435">
        <v>117</v>
      </c>
      <c r="N348" s="435">
        <v>13</v>
      </c>
      <c r="O348" s="438">
        <v>24.714082503556188</v>
      </c>
      <c r="P348" s="440">
        <v>2.5513001717334447</v>
      </c>
      <c r="Q348" s="438">
        <v>13.364615384615385</v>
      </c>
      <c r="R348" s="438">
        <v>1.4849572649572651</v>
      </c>
      <c r="S348" s="441">
        <v>9</v>
      </c>
      <c r="T348" s="441">
        <v>1.8492176386913228</v>
      </c>
      <c r="U348" s="239">
        <v>5</v>
      </c>
      <c r="V348" s="442">
        <v>2.2532051282051282E-2</v>
      </c>
      <c r="W348" s="441" t="s">
        <v>176</v>
      </c>
      <c r="X348" s="438">
        <v>23.151453859227949</v>
      </c>
      <c r="Y348" s="438">
        <v>1.5626286443282389</v>
      </c>
      <c r="Z348" s="443">
        <v>46.159777777777791</v>
      </c>
      <c r="AA348" s="58">
        <f t="shared" ca="1" si="17"/>
        <v>83.105000000000004</v>
      </c>
      <c r="AB348" s="453">
        <f ca="1">Table29[[#This Row],[Earnings]]-Table29[[#This Row],[4-Week Average]]</f>
        <v>90.635000000000005</v>
      </c>
    </row>
    <row r="349" spans="1:28" x14ac:dyDescent="0.35">
      <c r="A349" s="445">
        <v>45164</v>
      </c>
      <c r="B349" s="444">
        <v>2023</v>
      </c>
      <c r="C349" s="444">
        <v>35</v>
      </c>
      <c r="D349" s="444">
        <v>9</v>
      </c>
      <c r="E349" s="444" t="s">
        <v>305</v>
      </c>
      <c r="F349" s="445" t="s">
        <v>51</v>
      </c>
      <c r="G349" s="446">
        <v>0.64583333333333237</v>
      </c>
      <c r="H349" s="445" t="s">
        <v>243</v>
      </c>
      <c r="I349" s="444">
        <v>72</v>
      </c>
      <c r="J349" s="445" t="s">
        <v>85</v>
      </c>
      <c r="K349" s="447">
        <v>149.58000000000001</v>
      </c>
      <c r="L349" s="448">
        <v>8.0299999999999994</v>
      </c>
      <c r="M349" s="444">
        <v>181</v>
      </c>
      <c r="N349" s="444">
        <v>16</v>
      </c>
      <c r="O349" s="447">
        <v>18.627646326276466</v>
      </c>
      <c r="P349" s="449">
        <v>-2.3352568995299841</v>
      </c>
      <c r="Q349" s="447">
        <v>9.3487500000000008</v>
      </c>
      <c r="R349" s="447">
        <v>0.82640883977900559</v>
      </c>
      <c r="S349" s="450">
        <v>11.3125</v>
      </c>
      <c r="T349" s="450">
        <v>1.9925280199252804</v>
      </c>
      <c r="U349" s="240">
        <v>5</v>
      </c>
      <c r="V349" s="451">
        <v>2.0911458333333331E-2</v>
      </c>
      <c r="W349" s="450" t="s">
        <v>176</v>
      </c>
      <c r="X349" s="447">
        <v>18.425763461645694</v>
      </c>
      <c r="Y349" s="447">
        <v>0.20188286463077176</v>
      </c>
      <c r="Z349" s="452">
        <v>47.82177777777779</v>
      </c>
      <c r="AA349" s="58">
        <f t="shared" ca="1" si="17"/>
        <v>115.4025</v>
      </c>
      <c r="AB349" s="453">
        <f ca="1">Table29[[#This Row],[Earnings]]-Table29[[#This Row],[4-Week Average]]</f>
        <v>34.177500000000009</v>
      </c>
    </row>
    <row r="350" spans="1:28" x14ac:dyDescent="0.35">
      <c r="A350" s="436">
        <v>45167</v>
      </c>
      <c r="B350" s="435">
        <v>2023</v>
      </c>
      <c r="C350" s="435">
        <v>36</v>
      </c>
      <c r="D350" s="435">
        <v>10</v>
      </c>
      <c r="E350" s="435" t="s">
        <v>305</v>
      </c>
      <c r="F350" s="436" t="s">
        <v>47</v>
      </c>
      <c r="G350" s="437">
        <v>0.70833333333333226</v>
      </c>
      <c r="H350" s="436" t="s">
        <v>249</v>
      </c>
      <c r="I350" s="435">
        <v>72</v>
      </c>
      <c r="J350" s="436" t="s">
        <v>80</v>
      </c>
      <c r="K350" s="438">
        <v>80.94</v>
      </c>
      <c r="L350" s="439">
        <v>3.82</v>
      </c>
      <c r="M350" s="435">
        <v>71</v>
      </c>
      <c r="N350" s="435">
        <v>12</v>
      </c>
      <c r="O350" s="438">
        <v>21.188481675392669</v>
      </c>
      <c r="P350" s="440">
        <v>-1.0692222162957421</v>
      </c>
      <c r="Q350" s="438">
        <v>6.7450000000000001</v>
      </c>
      <c r="R350" s="438">
        <v>1.1399999999999999</v>
      </c>
      <c r="S350" s="441">
        <v>5.916666666666667</v>
      </c>
      <c r="T350" s="441">
        <v>3.1413612565445028</v>
      </c>
      <c r="U350" s="239">
        <v>3</v>
      </c>
      <c r="V350" s="442">
        <v>1.3263888888888888E-2</v>
      </c>
      <c r="W350" s="441" t="s">
        <v>176</v>
      </c>
      <c r="X350" s="438">
        <v>21.303026797475862</v>
      </c>
      <c r="Y350" s="438">
        <v>-0.11454512208319301</v>
      </c>
      <c r="Z350" s="443">
        <v>48.139111111111113</v>
      </c>
      <c r="AA350" s="58">
        <f t="shared" ca="1" si="17"/>
        <v>114.985</v>
      </c>
      <c r="AB350" s="453">
        <f ca="1">Table29[[#This Row],[Earnings]]-Table29[[#This Row],[4-Week Average]]</f>
        <v>-34.045000000000002</v>
      </c>
    </row>
    <row r="351" spans="1:28" x14ac:dyDescent="0.35">
      <c r="A351" s="445">
        <v>45168</v>
      </c>
      <c r="B351" s="444">
        <v>2023</v>
      </c>
      <c r="C351" s="444">
        <v>36</v>
      </c>
      <c r="D351" s="444">
        <v>10</v>
      </c>
      <c r="E351" s="444" t="s">
        <v>305</v>
      </c>
      <c r="F351" s="445" t="s">
        <v>48</v>
      </c>
      <c r="G351" s="446">
        <v>0.72916666666666552</v>
      </c>
      <c r="H351" s="445" t="s">
        <v>242</v>
      </c>
      <c r="I351" s="444">
        <v>72</v>
      </c>
      <c r="J351" s="445" t="s">
        <v>85</v>
      </c>
      <c r="K351" s="447">
        <v>106.1</v>
      </c>
      <c r="L351" s="448">
        <v>5.17</v>
      </c>
      <c r="M351" s="444">
        <v>98</v>
      </c>
      <c r="N351" s="444">
        <v>10</v>
      </c>
      <c r="O351" s="447">
        <v>20.522243713733076</v>
      </c>
      <c r="P351" s="449">
        <v>-2.1526376072458149</v>
      </c>
      <c r="Q351" s="447">
        <v>10.61</v>
      </c>
      <c r="R351" s="447">
        <v>1.0826530612244898</v>
      </c>
      <c r="S351" s="450">
        <v>9.8000000000000007</v>
      </c>
      <c r="T351" s="450">
        <v>1.9342359767891684</v>
      </c>
      <c r="U351" s="240">
        <v>3</v>
      </c>
      <c r="V351" s="451">
        <v>2.1541666666666667E-2</v>
      </c>
      <c r="W351" s="450" t="s">
        <v>176</v>
      </c>
      <c r="X351" s="447">
        <v>25.564780393451905</v>
      </c>
      <c r="Y351" s="447">
        <v>-5.0425366797188289</v>
      </c>
      <c r="Z351" s="452">
        <v>48.118000000000009</v>
      </c>
      <c r="AA351" s="58">
        <f t="shared" ca="1" si="17"/>
        <v>127.59</v>
      </c>
      <c r="AB351" s="453">
        <f ca="1">Table29[[#This Row],[Earnings]]-Table29[[#This Row],[4-Week Average]]</f>
        <v>-21.490000000000009</v>
      </c>
    </row>
    <row r="352" spans="1:28" x14ac:dyDescent="0.35">
      <c r="A352" s="436">
        <v>45169</v>
      </c>
      <c r="B352" s="435">
        <v>2023</v>
      </c>
      <c r="C352" s="435">
        <v>36</v>
      </c>
      <c r="D352" s="435">
        <v>10</v>
      </c>
      <c r="E352" s="435" t="s">
        <v>305</v>
      </c>
      <c r="F352" s="436" t="s">
        <v>49</v>
      </c>
      <c r="G352" s="437">
        <v>0.70833333333333226</v>
      </c>
      <c r="H352" s="436" t="s">
        <v>230</v>
      </c>
      <c r="I352" s="435">
        <v>64</v>
      </c>
      <c r="J352" s="436" t="s">
        <v>85</v>
      </c>
      <c r="K352" s="438">
        <v>152.05000000000001</v>
      </c>
      <c r="L352" s="439">
        <v>7.45</v>
      </c>
      <c r="M352" s="435">
        <v>111</v>
      </c>
      <c r="N352" s="435">
        <v>15</v>
      </c>
      <c r="O352" s="438">
        <v>20.409395973154364</v>
      </c>
      <c r="P352" s="440">
        <v>-0.76676056871241016</v>
      </c>
      <c r="Q352" s="438">
        <v>10.136666666666667</v>
      </c>
      <c r="R352" s="438">
        <v>1.3698198198198199</v>
      </c>
      <c r="S352" s="441">
        <v>7.4</v>
      </c>
      <c r="T352" s="441">
        <v>2.0134228187919461</v>
      </c>
      <c r="U352" s="239">
        <v>3</v>
      </c>
      <c r="V352" s="442">
        <v>2.0694444444444446E-2</v>
      </c>
      <c r="W352" s="441" t="s">
        <v>176</v>
      </c>
      <c r="X352" s="438">
        <v>19.513187856973243</v>
      </c>
      <c r="Y352" s="438">
        <v>0.89620811618112128</v>
      </c>
      <c r="Z352" s="443">
        <v>48.545444444444456</v>
      </c>
      <c r="AA352" s="58">
        <f t="shared" ca="1" si="17"/>
        <v>122.1675</v>
      </c>
      <c r="AB352" s="453">
        <f ca="1">Table29[[#This Row],[Earnings]]-Table29[[#This Row],[4-Week Average]]</f>
        <v>29.882500000000007</v>
      </c>
    </row>
    <row r="353" spans="1:28" x14ac:dyDescent="0.35">
      <c r="A353" s="445">
        <v>45170</v>
      </c>
      <c r="B353" s="444">
        <v>2023</v>
      </c>
      <c r="C353" s="444">
        <v>36</v>
      </c>
      <c r="D353" s="444">
        <v>10</v>
      </c>
      <c r="E353" s="444" t="s">
        <v>305</v>
      </c>
      <c r="F353" s="445" t="s">
        <v>50</v>
      </c>
      <c r="G353" s="446">
        <v>0.66666666666666563</v>
      </c>
      <c r="H353" s="445" t="s">
        <v>230</v>
      </c>
      <c r="I353" s="444">
        <v>73</v>
      </c>
      <c r="J353" s="445" t="s">
        <v>82</v>
      </c>
      <c r="K353" s="447">
        <v>63.02</v>
      </c>
      <c r="L353" s="448">
        <v>3.87</v>
      </c>
      <c r="M353" s="444">
        <v>75</v>
      </c>
      <c r="N353" s="444">
        <v>8</v>
      </c>
      <c r="O353" s="447">
        <v>16.284237726098191</v>
      </c>
      <c r="P353" s="449">
        <v>-8.3513178294573649</v>
      </c>
      <c r="Q353" s="447">
        <v>7.8775000000000004</v>
      </c>
      <c r="R353" s="447">
        <v>0.84026666666666672</v>
      </c>
      <c r="S353" s="450">
        <v>9.375</v>
      </c>
      <c r="T353" s="450">
        <v>2.0671834625322996</v>
      </c>
      <c r="U353" s="240">
        <v>2</v>
      </c>
      <c r="V353" s="451">
        <v>2.0156250000000001E-2</v>
      </c>
      <c r="W353" s="450" t="s">
        <v>175</v>
      </c>
      <c r="X353" s="447">
        <v>21.674707341206283</v>
      </c>
      <c r="Y353" s="447">
        <v>-5.390469615108092</v>
      </c>
      <c r="Z353" s="452">
        <v>49.245666666666686</v>
      </c>
      <c r="AA353" s="58">
        <f t="shared" ca="1" si="17"/>
        <v>100.5275</v>
      </c>
      <c r="AB353" s="453">
        <f ca="1">Table29[[#This Row],[Earnings]]-Table29[[#This Row],[4-Week Average]]</f>
        <v>-37.5075</v>
      </c>
    </row>
    <row r="354" spans="1:28" x14ac:dyDescent="0.35">
      <c r="A354" s="436">
        <v>45171</v>
      </c>
      <c r="B354" s="435">
        <v>2023</v>
      </c>
      <c r="C354" s="435">
        <v>36</v>
      </c>
      <c r="D354" s="435">
        <v>10</v>
      </c>
      <c r="E354" s="435" t="s">
        <v>305</v>
      </c>
      <c r="F354" s="436" t="s">
        <v>51</v>
      </c>
      <c r="G354" s="437">
        <v>0.66666666666666563</v>
      </c>
      <c r="H354" s="436" t="s">
        <v>230</v>
      </c>
      <c r="I354" s="435">
        <v>70</v>
      </c>
      <c r="J354" s="436" t="s">
        <v>80</v>
      </c>
      <c r="K354" s="438">
        <v>173.91</v>
      </c>
      <c r="L354" s="439">
        <v>7.38</v>
      </c>
      <c r="M354" s="435">
        <v>177</v>
      </c>
      <c r="N354" s="435">
        <v>18</v>
      </c>
      <c r="O354" s="438">
        <v>23.565040650406505</v>
      </c>
      <c r="P354" s="440">
        <v>5.1562768415837716</v>
      </c>
      <c r="Q354" s="438">
        <v>9.6616666666666671</v>
      </c>
      <c r="R354" s="438">
        <v>0.98254237288135593</v>
      </c>
      <c r="S354" s="441">
        <v>9.8333333333333339</v>
      </c>
      <c r="T354" s="441">
        <v>2.4390243902439024</v>
      </c>
      <c r="U354" s="239">
        <v>6</v>
      </c>
      <c r="V354" s="442">
        <v>1.7083333333333332E-2</v>
      </c>
      <c r="W354" s="441" t="s">
        <v>175</v>
      </c>
      <c r="X354" s="438">
        <v>21.809743590106308</v>
      </c>
      <c r="Y354" s="438">
        <v>1.7552970603001974</v>
      </c>
      <c r="Z354" s="443">
        <v>51.178000000000011</v>
      </c>
      <c r="AA354" s="58">
        <f t="shared" ca="1" si="17"/>
        <v>123.76999999999998</v>
      </c>
      <c r="AB354" s="453">
        <f ca="1">Table29[[#This Row],[Earnings]]-Table29[[#This Row],[4-Week Average]]</f>
        <v>50.140000000000015</v>
      </c>
    </row>
    <row r="355" spans="1:28" x14ac:dyDescent="0.35">
      <c r="A355" s="445">
        <v>45175</v>
      </c>
      <c r="B355" s="444">
        <v>2023</v>
      </c>
      <c r="C355" s="444">
        <v>37</v>
      </c>
      <c r="D355" s="444">
        <v>11</v>
      </c>
      <c r="E355" s="444" t="s">
        <v>305</v>
      </c>
      <c r="F355" s="445" t="s">
        <v>48</v>
      </c>
      <c r="G355" s="446">
        <v>0.70833333333333226</v>
      </c>
      <c r="H355" s="445" t="s">
        <v>242</v>
      </c>
      <c r="I355" s="444">
        <v>81</v>
      </c>
      <c r="J355" s="445" t="s">
        <v>80</v>
      </c>
      <c r="K355" s="447">
        <v>145.09</v>
      </c>
      <c r="L355" s="448">
        <v>4.75</v>
      </c>
      <c r="M355" s="444">
        <v>119</v>
      </c>
      <c r="N355" s="444">
        <v>10</v>
      </c>
      <c r="O355" s="447">
        <v>30.545263157894738</v>
      </c>
      <c r="P355" s="449">
        <v>10.053720869337521</v>
      </c>
      <c r="Q355" s="447">
        <v>14.509</v>
      </c>
      <c r="R355" s="447">
        <v>1.2192436974789915</v>
      </c>
      <c r="S355" s="450">
        <v>11.9</v>
      </c>
      <c r="T355" s="450">
        <v>2.1052631578947367</v>
      </c>
      <c r="U355" s="240">
        <v>3</v>
      </c>
      <c r="V355" s="451">
        <v>1.9791666666666666E-2</v>
      </c>
      <c r="W355" s="450" t="s">
        <v>176</v>
      </c>
      <c r="X355" s="447">
        <v>17.244530305697353</v>
      </c>
      <c r="Y355" s="447">
        <v>13.300732852197385</v>
      </c>
      <c r="Z355" s="452">
        <v>52.790111111111131</v>
      </c>
      <c r="AA355" s="58">
        <f t="shared" ca="1" si="17"/>
        <v>133.51750000000001</v>
      </c>
      <c r="AB355" s="453">
        <f ca="1">Table29[[#This Row],[Earnings]]-Table29[[#This Row],[4-Week Average]]</f>
        <v>11.572499999999991</v>
      </c>
    </row>
    <row r="356" spans="1:28" x14ac:dyDescent="0.35">
      <c r="A356" s="436">
        <v>45176</v>
      </c>
      <c r="B356" s="435">
        <v>2023</v>
      </c>
      <c r="C356" s="435">
        <v>37</v>
      </c>
      <c r="D356" s="435">
        <v>11</v>
      </c>
      <c r="E356" s="435" t="s">
        <v>305</v>
      </c>
      <c r="F356" s="436" t="s">
        <v>49</v>
      </c>
      <c r="G356" s="437">
        <v>0.70833333333333226</v>
      </c>
      <c r="H356" s="436" t="s">
        <v>242</v>
      </c>
      <c r="I356" s="435">
        <v>75</v>
      </c>
      <c r="J356" s="436" t="s">
        <v>85</v>
      </c>
      <c r="K356" s="438">
        <v>134.89999999999998</v>
      </c>
      <c r="L356" s="439">
        <v>5.38</v>
      </c>
      <c r="M356" s="435">
        <v>107</v>
      </c>
      <c r="N356" s="435">
        <v>13</v>
      </c>
      <c r="O356" s="438">
        <v>25.07434944237918</v>
      </c>
      <c r="P356" s="440">
        <v>4.0077301246141772</v>
      </c>
      <c r="Q356" s="438">
        <v>10.376923076923076</v>
      </c>
      <c r="R356" s="438">
        <v>1.2607476635514017</v>
      </c>
      <c r="S356" s="441">
        <v>8.2307692307692299</v>
      </c>
      <c r="T356" s="441">
        <v>2.4163568773234201</v>
      </c>
      <c r="U356" s="239">
        <v>2</v>
      </c>
      <c r="V356" s="442">
        <v>1.7243589743589745E-2</v>
      </c>
      <c r="W356" s="441" t="s">
        <v>176</v>
      </c>
      <c r="X356" s="438">
        <v>23.619788035045261</v>
      </c>
      <c r="Y356" s="438">
        <v>1.4545614073339195</v>
      </c>
      <c r="Z356" s="443">
        <v>53.034777777777791</v>
      </c>
      <c r="AA356" s="58">
        <f t="shared" ca="1" si="17"/>
        <v>129.22999999999999</v>
      </c>
      <c r="AB356" s="453">
        <f ca="1">Table29[[#This Row],[Earnings]]-Table29[[#This Row],[4-Week Average]]</f>
        <v>5.6699999999999875</v>
      </c>
    </row>
    <row r="357" spans="1:28" x14ac:dyDescent="0.35">
      <c r="A357" s="445">
        <v>45177</v>
      </c>
      <c r="B357" s="444">
        <v>2023</v>
      </c>
      <c r="C357" s="444">
        <v>37</v>
      </c>
      <c r="D357" s="444">
        <v>11</v>
      </c>
      <c r="E357" s="444" t="s">
        <v>305</v>
      </c>
      <c r="F357" s="445" t="s">
        <v>50</v>
      </c>
      <c r="G357" s="446">
        <v>0.74999999999999889</v>
      </c>
      <c r="H357" s="445" t="s">
        <v>245</v>
      </c>
      <c r="I357" s="444">
        <v>79</v>
      </c>
      <c r="J357" s="445" t="s">
        <v>80</v>
      </c>
      <c r="K357" s="447">
        <v>140.01999999999998</v>
      </c>
      <c r="L357" s="448">
        <v>5.2</v>
      </c>
      <c r="M357" s="444">
        <v>84</v>
      </c>
      <c r="N357" s="444">
        <v>11</v>
      </c>
      <c r="O357" s="447">
        <v>26.926923076923071</v>
      </c>
      <c r="P357" s="449">
        <v>4.4452282236336451</v>
      </c>
      <c r="Q357" s="447">
        <v>12.729090909090907</v>
      </c>
      <c r="R357" s="447">
        <v>1.6669047619047617</v>
      </c>
      <c r="S357" s="450">
        <v>7.6363636363636367</v>
      </c>
      <c r="T357" s="450">
        <v>2.1153846153846154</v>
      </c>
      <c r="U357" s="240">
        <v>2</v>
      </c>
      <c r="V357" s="451">
        <v>1.9696969696969695E-2</v>
      </c>
      <c r="W357" s="450" t="s">
        <v>176</v>
      </c>
      <c r="X357" s="447">
        <v>29.0777208364416</v>
      </c>
      <c r="Y357" s="447">
        <v>-2.1507977595185288</v>
      </c>
      <c r="Z357" s="452">
        <v>53.270555555555561</v>
      </c>
      <c r="AA357" s="58">
        <f t="shared" ca="1" si="17"/>
        <v>148.47999999999999</v>
      </c>
      <c r="AB357" s="453">
        <f ca="1">Table29[[#This Row],[Earnings]]-Table29[[#This Row],[4-Week Average]]</f>
        <v>-8.460000000000008</v>
      </c>
    </row>
    <row r="358" spans="1:28" x14ac:dyDescent="0.35">
      <c r="A358" s="436">
        <v>45179</v>
      </c>
      <c r="B358" s="435">
        <v>2023</v>
      </c>
      <c r="C358" s="435">
        <v>37</v>
      </c>
      <c r="D358" s="435">
        <v>11</v>
      </c>
      <c r="E358" s="435" t="s">
        <v>305</v>
      </c>
      <c r="F358" s="436" t="s">
        <v>45</v>
      </c>
      <c r="G358" s="437">
        <v>0.74999999999999889</v>
      </c>
      <c r="H358" s="436" t="s">
        <v>242</v>
      </c>
      <c r="I358" s="435">
        <v>64</v>
      </c>
      <c r="J358" s="436" t="s">
        <v>85</v>
      </c>
      <c r="K358" s="438">
        <v>115.17999999999999</v>
      </c>
      <c r="L358" s="439">
        <v>4.6500000000000004</v>
      </c>
      <c r="M358" s="435">
        <v>111</v>
      </c>
      <c r="N358" s="435">
        <v>8</v>
      </c>
      <c r="O358" s="438">
        <v>24.769892473118276</v>
      </c>
      <c r="P358" s="440" t="s">
        <v>393</v>
      </c>
      <c r="Q358" s="438">
        <v>14.397499999999999</v>
      </c>
      <c r="R358" s="438">
        <v>1.0376576576576575</v>
      </c>
      <c r="S358" s="441">
        <v>13.875</v>
      </c>
      <c r="T358" s="441">
        <v>1.7204301075268815</v>
      </c>
      <c r="U358" s="239">
        <v>2</v>
      </c>
      <c r="V358" s="442">
        <v>2.4218750000000001E-2</v>
      </c>
      <c r="W358" s="441" t="s">
        <v>176</v>
      </c>
      <c r="X358" s="438">
        <v>27.402916490585525</v>
      </c>
      <c r="Y358" s="438">
        <v>-2.6330240174672497</v>
      </c>
      <c r="Z358" s="443">
        <v>54.550333333333342</v>
      </c>
      <c r="AA358" s="58">
        <f t="shared" ca="1" si="17"/>
        <v>133.79749999999999</v>
      </c>
      <c r="AB358" s="453">
        <f ca="1">Table29[[#This Row],[Earnings]]-Table29[[#This Row],[4-Week Average]]</f>
        <v>-18.617499999999993</v>
      </c>
    </row>
    <row r="359" spans="1:28" x14ac:dyDescent="0.35">
      <c r="A359" s="445">
        <v>45180</v>
      </c>
      <c r="B359" s="444">
        <v>2023</v>
      </c>
      <c r="C359" s="444">
        <v>38</v>
      </c>
      <c r="D359" s="444">
        <v>12</v>
      </c>
      <c r="E359" s="444" t="s">
        <v>305</v>
      </c>
      <c r="F359" s="445" t="s">
        <v>46</v>
      </c>
      <c r="G359" s="446">
        <v>0.72916666666666552</v>
      </c>
      <c r="H359" s="445" t="s">
        <v>236</v>
      </c>
      <c r="I359" s="444">
        <v>72</v>
      </c>
      <c r="J359" s="445" t="s">
        <v>80</v>
      </c>
      <c r="K359" s="447">
        <v>116.56</v>
      </c>
      <c r="L359" s="448">
        <v>4.58</v>
      </c>
      <c r="M359" s="444">
        <v>124</v>
      </c>
      <c r="N359" s="444">
        <v>10</v>
      </c>
      <c r="O359" s="447">
        <v>25.449781659388645</v>
      </c>
      <c r="P359" s="449">
        <v>12.222576774721075</v>
      </c>
      <c r="Q359" s="447">
        <v>11.656000000000001</v>
      </c>
      <c r="R359" s="447">
        <v>0.94000000000000006</v>
      </c>
      <c r="S359" s="450">
        <v>12.4</v>
      </c>
      <c r="T359" s="450">
        <v>2.1834061135371177</v>
      </c>
      <c r="U359" s="240">
        <v>3</v>
      </c>
      <c r="V359" s="451">
        <v>1.9083333333333334E-2</v>
      </c>
      <c r="W359" s="450" t="s">
        <v>176</v>
      </c>
      <c r="X359" s="447">
        <v>20.419818365926204</v>
      </c>
      <c r="Y359" s="447">
        <v>5.0299632934624405</v>
      </c>
      <c r="Z359" s="452">
        <v>55.845444444444453</v>
      </c>
      <c r="AA359" s="58">
        <f t="shared" ca="1" si="17"/>
        <v>126.66499999999999</v>
      </c>
      <c r="AB359" s="453">
        <f ca="1">Table29[[#This Row],[Earnings]]-Table29[[#This Row],[4-Week Average]]</f>
        <v>-10.10499999999999</v>
      </c>
    </row>
    <row r="360" spans="1:28" x14ac:dyDescent="0.35">
      <c r="A360" s="436">
        <v>45182</v>
      </c>
      <c r="B360" s="435">
        <v>2023</v>
      </c>
      <c r="C360" s="435">
        <v>38</v>
      </c>
      <c r="D360" s="435">
        <v>12</v>
      </c>
      <c r="E360" s="435" t="s">
        <v>305</v>
      </c>
      <c r="F360" s="436" t="s">
        <v>48</v>
      </c>
      <c r="G360" s="437">
        <v>0.72916666666666552</v>
      </c>
      <c r="H360" s="436" t="s">
        <v>231</v>
      </c>
      <c r="I360" s="435">
        <v>70</v>
      </c>
      <c r="J360" s="436" t="s">
        <v>80</v>
      </c>
      <c r="K360" s="438">
        <v>90</v>
      </c>
      <c r="L360" s="439">
        <v>3.55</v>
      </c>
      <c r="M360" s="435">
        <v>79</v>
      </c>
      <c r="N360" s="435">
        <v>8</v>
      </c>
      <c r="O360" s="438">
        <v>25.35211267605634</v>
      </c>
      <c r="P360" s="440">
        <v>1.5093300977199533</v>
      </c>
      <c r="Q360" s="438">
        <v>11.25</v>
      </c>
      <c r="R360" s="438">
        <v>1.139240506329114</v>
      </c>
      <c r="S360" s="441">
        <v>9.875</v>
      </c>
      <c r="T360" s="441">
        <v>2.2535211267605635</v>
      </c>
      <c r="U360" s="239">
        <v>1</v>
      </c>
      <c r="V360" s="442">
        <v>1.8489583333333334E-2</v>
      </c>
      <c r="W360" s="441" t="s">
        <v>176</v>
      </c>
      <c r="X360" s="438">
        <v>25.35211267605634</v>
      </c>
      <c r="Y360" s="438">
        <v>0</v>
      </c>
      <c r="Z360" s="443">
        <v>56.845444444444453</v>
      </c>
      <c r="AA360" s="58">
        <f t="shared" ca="1" si="17"/>
        <v>115.44</v>
      </c>
      <c r="AB360" s="453">
        <f ca="1">Table29[[#This Row],[Earnings]]-Table29[[#This Row],[4-Week Average]]</f>
        <v>-25.439999999999998</v>
      </c>
    </row>
    <row r="361" spans="1:28" x14ac:dyDescent="0.35">
      <c r="A361" s="445">
        <v>45183</v>
      </c>
      <c r="B361" s="444">
        <v>2023</v>
      </c>
      <c r="C361" s="444">
        <v>38</v>
      </c>
      <c r="D361" s="444">
        <v>12</v>
      </c>
      <c r="E361" s="444" t="s">
        <v>305</v>
      </c>
      <c r="F361" s="445" t="s">
        <v>49</v>
      </c>
      <c r="G361" s="446">
        <v>0.74999999999999889</v>
      </c>
      <c r="H361" s="445" t="s">
        <v>230</v>
      </c>
      <c r="I361" s="444">
        <v>66</v>
      </c>
      <c r="J361" s="445" t="s">
        <v>80</v>
      </c>
      <c r="K361" s="447">
        <v>21.98</v>
      </c>
      <c r="L361" s="448">
        <v>0.9</v>
      </c>
      <c r="M361" s="444">
        <v>22</v>
      </c>
      <c r="N361" s="444">
        <v>1</v>
      </c>
      <c r="O361" s="447">
        <v>24.422222222222221</v>
      </c>
      <c r="P361" s="449">
        <v>7.9833532457188348</v>
      </c>
      <c r="Q361" s="447">
        <v>21.98</v>
      </c>
      <c r="R361" s="447">
        <v>0.99909090909090914</v>
      </c>
      <c r="S361" s="450">
        <v>22</v>
      </c>
      <c r="T361" s="450">
        <v>1.1111111111111112</v>
      </c>
      <c r="U361" s="240">
        <v>1</v>
      </c>
      <c r="V361" s="451">
        <v>3.7499999999999999E-2</v>
      </c>
      <c r="W361" s="450" t="s">
        <v>176</v>
      </c>
      <c r="X361" s="447">
        <v>18.367485192811206</v>
      </c>
      <c r="Y361" s="447">
        <v>6.0547370294110152</v>
      </c>
      <c r="Z361" s="452">
        <v>57.089666666666673</v>
      </c>
      <c r="AA361" s="58">
        <f t="shared" ca="1" si="17"/>
        <v>85.93</v>
      </c>
      <c r="AB361" s="453">
        <f ca="1">Table29[[#This Row],[Earnings]]-Table29[[#This Row],[4-Week Average]]</f>
        <v>-63.95</v>
      </c>
    </row>
    <row r="362" spans="1:28" x14ac:dyDescent="0.35">
      <c r="A362" s="436">
        <v>45185</v>
      </c>
      <c r="B362" s="435">
        <v>2023</v>
      </c>
      <c r="C362" s="435">
        <v>38</v>
      </c>
      <c r="D362" s="435">
        <v>12</v>
      </c>
      <c r="E362" s="435" t="s">
        <v>305</v>
      </c>
      <c r="F362" s="436" t="s">
        <v>51</v>
      </c>
      <c r="G362" s="437">
        <v>0.64583333333333237</v>
      </c>
      <c r="H362" s="436" t="s">
        <v>236</v>
      </c>
      <c r="I362" s="435">
        <v>66</v>
      </c>
      <c r="J362" s="436" t="s">
        <v>80</v>
      </c>
      <c r="K362" s="438">
        <v>104.97000000000001</v>
      </c>
      <c r="L362" s="439">
        <v>5.17</v>
      </c>
      <c r="M362" s="435">
        <v>109</v>
      </c>
      <c r="N362" s="435">
        <v>10</v>
      </c>
      <c r="O362" s="438">
        <v>20.303675048355903</v>
      </c>
      <c r="P362" s="440">
        <v>1.250376634335197</v>
      </c>
      <c r="Q362" s="438">
        <v>10.497000000000002</v>
      </c>
      <c r="R362" s="438">
        <v>0.96302752293577998</v>
      </c>
      <c r="S362" s="441">
        <v>10.9</v>
      </c>
      <c r="T362" s="441">
        <v>1.9342359767891684</v>
      </c>
      <c r="U362" s="239">
        <v>4</v>
      </c>
      <c r="V362" s="442">
        <v>2.1541666666666667E-2</v>
      </c>
      <c r="W362" s="441" t="s">
        <v>175</v>
      </c>
      <c r="X362" s="438">
        <v>20.303675048355903</v>
      </c>
      <c r="Y362" s="438">
        <v>0</v>
      </c>
      <c r="Z362" s="443">
        <v>58.256000000000007</v>
      </c>
      <c r="AA362" s="58">
        <f t="shared" ca="1" si="17"/>
        <v>83.377499999999998</v>
      </c>
      <c r="AB362" s="453">
        <f ca="1">Table29[[#This Row],[Earnings]]-Table29[[#This Row],[4-Week Average]]</f>
        <v>21.592500000000015</v>
      </c>
    </row>
    <row r="363" spans="1:28" x14ac:dyDescent="0.35">
      <c r="A363" s="445">
        <v>45188</v>
      </c>
      <c r="B363" s="444">
        <v>2023</v>
      </c>
      <c r="C363" s="444">
        <v>39</v>
      </c>
      <c r="D363" s="444">
        <v>13</v>
      </c>
      <c r="E363" s="444" t="s">
        <v>305</v>
      </c>
      <c r="F363" s="445" t="s">
        <v>47</v>
      </c>
      <c r="G363" s="446">
        <v>0.72916666666666552</v>
      </c>
      <c r="H363" s="445" t="s">
        <v>230</v>
      </c>
      <c r="I363" s="444">
        <v>63</v>
      </c>
      <c r="J363" s="445" t="s">
        <v>174</v>
      </c>
      <c r="K363" s="447">
        <v>54.95</v>
      </c>
      <c r="L363" s="448">
        <v>3.72</v>
      </c>
      <c r="M363" s="444">
        <v>87</v>
      </c>
      <c r="N363" s="444">
        <v>6</v>
      </c>
      <c r="O363" s="447">
        <v>14.771505376344086</v>
      </c>
      <c r="P363" s="449" t="s">
        <v>393</v>
      </c>
      <c r="Q363" s="447">
        <v>9.1583333333333332</v>
      </c>
      <c r="R363" s="447">
        <v>0.63160919540229887</v>
      </c>
      <c r="S363" s="450">
        <v>14.5</v>
      </c>
      <c r="T363" s="450">
        <v>1.6129032258064515</v>
      </c>
      <c r="U363" s="240">
        <v>2</v>
      </c>
      <c r="V363" s="451">
        <v>2.5833333333333333E-2</v>
      </c>
      <c r="W363" s="450" t="s">
        <v>176</v>
      </c>
      <c r="X363" s="447">
        <v>19.765191567522344</v>
      </c>
      <c r="Y363" s="447">
        <v>-4.9936861911782575</v>
      </c>
      <c r="Z363" s="452">
        <v>57.016555555555584</v>
      </c>
      <c r="AA363" s="58">
        <f t="shared" ca="1" si="17"/>
        <v>67.975000000000009</v>
      </c>
      <c r="AB363" s="453">
        <f ca="1">Table29[[#This Row],[Earnings]]-Table29[[#This Row],[4-Week Average]]</f>
        <v>-13.025000000000006</v>
      </c>
    </row>
    <row r="364" spans="1:28" x14ac:dyDescent="0.35">
      <c r="A364" s="436">
        <v>45190</v>
      </c>
      <c r="B364" s="435">
        <v>2023</v>
      </c>
      <c r="C364" s="435">
        <v>39</v>
      </c>
      <c r="D364" s="435">
        <v>13</v>
      </c>
      <c r="E364" s="435" t="s">
        <v>305</v>
      </c>
      <c r="F364" s="436" t="s">
        <v>49</v>
      </c>
      <c r="G364" s="437">
        <v>0.72916666666666552</v>
      </c>
      <c r="H364" s="436" t="s">
        <v>249</v>
      </c>
      <c r="I364" s="435">
        <v>63</v>
      </c>
      <c r="J364" s="436" t="s">
        <v>85</v>
      </c>
      <c r="K364" s="438">
        <v>46.19</v>
      </c>
      <c r="L364" s="439">
        <v>2.5499999999999998</v>
      </c>
      <c r="M364" s="435">
        <v>71</v>
      </c>
      <c r="N364" s="435">
        <v>5</v>
      </c>
      <c r="O364" s="438">
        <v>18.113725490196078</v>
      </c>
      <c r="P364" s="440">
        <v>-3.4538600931456962</v>
      </c>
      <c r="Q364" s="438">
        <v>9.2379999999999995</v>
      </c>
      <c r="R364" s="438">
        <v>0.65056338028169014</v>
      </c>
      <c r="S364" s="441">
        <v>14.2</v>
      </c>
      <c r="T364" s="441">
        <v>1.9607843137254903</v>
      </c>
      <c r="U364" s="239">
        <v>1</v>
      </c>
      <c r="V364" s="442">
        <v>2.1250000000000002E-2</v>
      </c>
      <c r="W364" s="441" t="s">
        <v>176</v>
      </c>
      <c r="X364" s="438">
        <v>18.113725490196078</v>
      </c>
      <c r="Y364" s="438">
        <v>0</v>
      </c>
      <c r="Z364" s="443">
        <v>56.313555555555567</v>
      </c>
      <c r="AA364" s="58">
        <f t="shared" ca="1" si="17"/>
        <v>57.022500000000008</v>
      </c>
      <c r="AB364" s="453">
        <f ca="1">Table29[[#This Row],[Earnings]]-Table29[[#This Row],[4-Week Average]]</f>
        <v>-10.83250000000001</v>
      </c>
    </row>
    <row r="365" spans="1:28" x14ac:dyDescent="0.35">
      <c r="A365" s="445">
        <v>45191</v>
      </c>
      <c r="B365" s="444">
        <v>2023</v>
      </c>
      <c r="C365" s="444">
        <v>39</v>
      </c>
      <c r="D365" s="444">
        <v>13</v>
      </c>
      <c r="E365" s="444" t="s">
        <v>305</v>
      </c>
      <c r="F365" s="445" t="s">
        <v>50</v>
      </c>
      <c r="G365" s="446">
        <v>0.70833333333333226</v>
      </c>
      <c r="H365" s="445" t="s">
        <v>230</v>
      </c>
      <c r="I365" s="444">
        <v>59</v>
      </c>
      <c r="J365" s="445" t="s">
        <v>80</v>
      </c>
      <c r="K365" s="447">
        <v>11.5</v>
      </c>
      <c r="L365" s="448">
        <v>0.63</v>
      </c>
      <c r="M365" s="444">
        <v>14</v>
      </c>
      <c r="N365" s="444">
        <v>1</v>
      </c>
      <c r="O365" s="447">
        <v>18.253968253968253</v>
      </c>
      <c r="P365" s="449">
        <v>-4.7216408463915762</v>
      </c>
      <c r="Q365" s="447">
        <v>11.5</v>
      </c>
      <c r="R365" s="447">
        <v>0.8214285714285714</v>
      </c>
      <c r="S365" s="450">
        <v>14</v>
      </c>
      <c r="T365" s="450">
        <v>1.5873015873015872</v>
      </c>
      <c r="U365" s="240">
        <v>1</v>
      </c>
      <c r="V365" s="451">
        <v>2.6249999999999999E-2</v>
      </c>
      <c r="W365" s="450" t="s">
        <v>176</v>
      </c>
      <c r="X365" s="447">
        <v>28.280506125405878</v>
      </c>
      <c r="Y365" s="447">
        <v>-10.026537871437625</v>
      </c>
      <c r="Z365" s="452">
        <v>56.441333333333347</v>
      </c>
      <c r="AA365" s="58">
        <f t="shared" ca="1" si="17"/>
        <v>54.402500000000003</v>
      </c>
      <c r="AB365" s="453">
        <f ca="1">Table29[[#This Row],[Earnings]]-Table29[[#This Row],[4-Week Average]]</f>
        <v>-42.902500000000003</v>
      </c>
    </row>
    <row r="366" spans="1:28" x14ac:dyDescent="0.35">
      <c r="A366" s="436">
        <v>45192</v>
      </c>
      <c r="B366" s="435">
        <v>2023</v>
      </c>
      <c r="C366" s="435">
        <v>39</v>
      </c>
      <c r="D366" s="435">
        <v>13</v>
      </c>
      <c r="E366" s="435" t="s">
        <v>305</v>
      </c>
      <c r="F366" s="436" t="s">
        <v>51</v>
      </c>
      <c r="G366" s="437">
        <v>0.66666666666666563</v>
      </c>
      <c r="H366" s="436" t="s">
        <v>230</v>
      </c>
      <c r="I366" s="435">
        <v>57</v>
      </c>
      <c r="J366" s="436" t="s">
        <v>82</v>
      </c>
      <c r="K366" s="438">
        <v>213.76000000000002</v>
      </c>
      <c r="L366" s="439">
        <v>9.42</v>
      </c>
      <c r="M366" s="435">
        <v>126</v>
      </c>
      <c r="N366" s="435">
        <v>26</v>
      </c>
      <c r="O366" s="438">
        <v>22.692144373673038</v>
      </c>
      <c r="P366" s="440">
        <v>1.4750778089012044</v>
      </c>
      <c r="Q366" s="438">
        <v>8.2215384615384615</v>
      </c>
      <c r="R366" s="438">
        <v>1.6965079365079367</v>
      </c>
      <c r="S366" s="441">
        <v>4.8461538461538458</v>
      </c>
      <c r="T366" s="441">
        <v>2.7600849256900211</v>
      </c>
      <c r="U366" s="239">
        <v>5</v>
      </c>
      <c r="V366" s="442">
        <v>1.5096153846153848E-2</v>
      </c>
      <c r="W366" s="441" t="s">
        <v>176</v>
      </c>
      <c r="X366" s="438">
        <v>23.633743419713227</v>
      </c>
      <c r="Y366" s="438">
        <v>-0.94159904604018863</v>
      </c>
      <c r="Z366" s="443">
        <v>58.816444444444457</v>
      </c>
      <c r="AA366" s="58">
        <f t="shared" ca="1" si="17"/>
        <v>81.600000000000009</v>
      </c>
      <c r="AB366" s="453">
        <f ca="1">Table29[[#This Row],[Earnings]]-Table29[[#This Row],[4-Week Average]]</f>
        <v>132.16000000000003</v>
      </c>
    </row>
    <row r="367" spans="1:28" x14ac:dyDescent="0.35">
      <c r="A367" s="445">
        <v>45194</v>
      </c>
      <c r="B367" s="444">
        <v>2023</v>
      </c>
      <c r="C367" s="444">
        <v>40</v>
      </c>
      <c r="D367" s="444">
        <v>1</v>
      </c>
      <c r="E367" s="444" t="s">
        <v>327</v>
      </c>
      <c r="F367" s="445" t="s">
        <v>46</v>
      </c>
      <c r="G367" s="446">
        <v>0.74999999999999889</v>
      </c>
      <c r="H367" s="445" t="s">
        <v>230</v>
      </c>
      <c r="I367" s="444">
        <v>59</v>
      </c>
      <c r="J367" s="445" t="s">
        <v>80</v>
      </c>
      <c r="K367" s="447">
        <v>70.97</v>
      </c>
      <c r="L367" s="448">
        <v>2.92</v>
      </c>
      <c r="M367" s="444">
        <v>75</v>
      </c>
      <c r="N367" s="444">
        <v>5</v>
      </c>
      <c r="O367" s="447">
        <v>24.304794520547944</v>
      </c>
      <c r="P367" s="449">
        <v>1.160148428415436</v>
      </c>
      <c r="Q367" s="447">
        <v>14.193999999999999</v>
      </c>
      <c r="R367" s="447">
        <v>0.9462666666666667</v>
      </c>
      <c r="S367" s="450">
        <v>15</v>
      </c>
      <c r="T367" s="450">
        <v>1.7123287671232876</v>
      </c>
      <c r="U367" s="240">
        <v>2</v>
      </c>
      <c r="V367" s="451">
        <v>2.4333333333333332E-2</v>
      </c>
      <c r="W367" s="450" t="s">
        <v>176</v>
      </c>
      <c r="X367" s="447">
        <v>22.463410793300739</v>
      </c>
      <c r="Y367" s="447">
        <v>1.8413837272472051</v>
      </c>
      <c r="Z367" s="452">
        <v>59.605000000000018</v>
      </c>
      <c r="AA367" s="58">
        <f t="shared" ca="1" si="17"/>
        <v>85.605000000000018</v>
      </c>
      <c r="AB367" s="453">
        <f ca="1">Table29[[#This Row],[Earnings]]-Table29[[#This Row],[4-Week Average]]</f>
        <v>-14.635000000000019</v>
      </c>
    </row>
    <row r="368" spans="1:28" x14ac:dyDescent="0.35">
      <c r="A368" s="436">
        <v>45195</v>
      </c>
      <c r="B368" s="435">
        <v>2023</v>
      </c>
      <c r="C368" s="435">
        <v>40</v>
      </c>
      <c r="D368" s="435">
        <v>1</v>
      </c>
      <c r="E368" s="435" t="s">
        <v>327</v>
      </c>
      <c r="F368" s="436" t="s">
        <v>47</v>
      </c>
      <c r="G368" s="437">
        <v>0.77083333333333215</v>
      </c>
      <c r="H368" s="436" t="s">
        <v>230</v>
      </c>
      <c r="I368" s="435">
        <v>61</v>
      </c>
      <c r="J368" s="436" t="s">
        <v>82</v>
      </c>
      <c r="K368" s="438">
        <v>60.169999999999995</v>
      </c>
      <c r="L368" s="439">
        <v>3.5</v>
      </c>
      <c r="M368" s="435">
        <v>63</v>
      </c>
      <c r="N368" s="435">
        <v>8</v>
      </c>
      <c r="O368" s="438">
        <v>17.19142857142857</v>
      </c>
      <c r="P368" s="440">
        <v>-0.64387745917449024</v>
      </c>
      <c r="Q368" s="438">
        <v>7.5212499999999993</v>
      </c>
      <c r="R368" s="438">
        <v>0.95507936507936497</v>
      </c>
      <c r="S368" s="441">
        <v>7.875</v>
      </c>
      <c r="T368" s="441">
        <v>2.2857142857142856</v>
      </c>
      <c r="U368" s="239">
        <v>3</v>
      </c>
      <c r="V368" s="442">
        <v>1.8229166666666668E-2</v>
      </c>
      <c r="W368" s="441" t="s">
        <v>175</v>
      </c>
      <c r="X368" s="438">
        <v>16.531874791874795</v>
      </c>
      <c r="Y368" s="438">
        <v>0.65955377955377514</v>
      </c>
      <c r="Z368" s="443">
        <v>60.273555555555575</v>
      </c>
      <c r="AA368" s="58">
        <f t="shared" ca="1" si="17"/>
        <v>89.100000000000009</v>
      </c>
      <c r="AB368" s="453">
        <f ca="1">Table29[[#This Row],[Earnings]]-Table29[[#This Row],[4-Week Average]]</f>
        <v>-28.930000000000014</v>
      </c>
    </row>
    <row r="369" spans="1:28" x14ac:dyDescent="0.35">
      <c r="A369" s="445">
        <v>45196</v>
      </c>
      <c r="B369" s="444">
        <v>2023</v>
      </c>
      <c r="C369" s="444">
        <v>40</v>
      </c>
      <c r="D369" s="444">
        <v>1</v>
      </c>
      <c r="E369" s="444" t="s">
        <v>327</v>
      </c>
      <c r="F369" s="445" t="s">
        <v>48</v>
      </c>
      <c r="G369" s="446">
        <v>0.70833333333333226</v>
      </c>
      <c r="H369" s="445" t="s">
        <v>230</v>
      </c>
      <c r="I369" s="444">
        <v>63</v>
      </c>
      <c r="J369" s="445" t="s">
        <v>80</v>
      </c>
      <c r="K369" s="447">
        <v>61.66</v>
      </c>
      <c r="L369" s="448">
        <v>3.18</v>
      </c>
      <c r="M369" s="444">
        <v>81</v>
      </c>
      <c r="N369" s="444">
        <v>7</v>
      </c>
      <c r="O369" s="447">
        <v>19.389937106918236</v>
      </c>
      <c r="P369" s="449">
        <v>-2.7673745742684446</v>
      </c>
      <c r="Q369" s="447">
        <v>8.8085714285714278</v>
      </c>
      <c r="R369" s="447">
        <v>0.76123456790123456</v>
      </c>
      <c r="S369" s="450">
        <v>11.571428571428571</v>
      </c>
      <c r="T369" s="450">
        <v>2.2012578616352201</v>
      </c>
      <c r="U369" s="240">
        <v>2</v>
      </c>
      <c r="V369" s="451">
        <v>1.892857142857143E-2</v>
      </c>
      <c r="W369" s="450" t="s">
        <v>175</v>
      </c>
      <c r="X369" s="447">
        <v>19.389937106918236</v>
      </c>
      <c r="Y369" s="447">
        <v>0</v>
      </c>
      <c r="Z369" s="452">
        <v>60.958666666666687</v>
      </c>
      <c r="AA369" s="58">
        <f t="shared" ca="1" si="17"/>
        <v>101.64000000000001</v>
      </c>
      <c r="AB369" s="453">
        <f ca="1">Table29[[#This Row],[Earnings]]-Table29[[#This Row],[4-Week Average]]</f>
        <v>-39.980000000000018</v>
      </c>
    </row>
    <row r="370" spans="1:28" x14ac:dyDescent="0.35">
      <c r="A370" s="436">
        <v>45197</v>
      </c>
      <c r="B370" s="435">
        <v>2023</v>
      </c>
      <c r="C370" s="435">
        <v>40</v>
      </c>
      <c r="D370" s="435">
        <v>1</v>
      </c>
      <c r="E370" s="435" t="s">
        <v>327</v>
      </c>
      <c r="F370" s="436" t="s">
        <v>49</v>
      </c>
      <c r="G370" s="437">
        <v>0.72916666666666552</v>
      </c>
      <c r="H370" s="436" t="s">
        <v>249</v>
      </c>
      <c r="I370" s="435">
        <v>55</v>
      </c>
      <c r="J370" s="436" t="s">
        <v>85</v>
      </c>
      <c r="K370" s="438">
        <v>24.990000000000002</v>
      </c>
      <c r="L370" s="439">
        <v>1.25</v>
      </c>
      <c r="M370" s="435">
        <v>48</v>
      </c>
      <c r="N370" s="435">
        <v>2</v>
      </c>
      <c r="O370" s="438">
        <v>19.992000000000001</v>
      </c>
      <c r="P370" s="440">
        <v>4.9434654002713714</v>
      </c>
      <c r="Q370" s="438">
        <v>12.495000000000001</v>
      </c>
      <c r="R370" s="438">
        <v>0.520625</v>
      </c>
      <c r="S370" s="441">
        <v>24</v>
      </c>
      <c r="T370" s="441">
        <v>1.6</v>
      </c>
      <c r="U370" s="239">
        <v>2</v>
      </c>
      <c r="V370" s="442">
        <v>2.6041666666666668E-2</v>
      </c>
      <c r="W370" s="441" t="s">
        <v>176</v>
      </c>
      <c r="X370" s="438">
        <v>17.60271641791045</v>
      </c>
      <c r="Y370" s="438">
        <v>2.3892835820895506</v>
      </c>
      <c r="Z370" s="443">
        <v>61.236333333333349</v>
      </c>
      <c r="AA370" s="58">
        <f t="shared" ca="1" si="17"/>
        <v>54.447499999999998</v>
      </c>
      <c r="AB370" s="453">
        <f ca="1">Table29[[#This Row],[Earnings]]-Table29[[#This Row],[4-Week Average]]</f>
        <v>-29.457499999999996</v>
      </c>
    </row>
    <row r="371" spans="1:28" x14ac:dyDescent="0.35">
      <c r="A371" s="445">
        <v>45198</v>
      </c>
      <c r="B371" s="444">
        <v>2023</v>
      </c>
      <c r="C371" s="444">
        <v>40</v>
      </c>
      <c r="D371" s="444">
        <v>1</v>
      </c>
      <c r="E371" s="444" t="s">
        <v>327</v>
      </c>
      <c r="F371" s="445" t="s">
        <v>50</v>
      </c>
      <c r="G371" s="446">
        <v>0.74999999999999889</v>
      </c>
      <c r="H371" s="445" t="s">
        <v>249</v>
      </c>
      <c r="I371" s="444">
        <v>61</v>
      </c>
      <c r="J371" s="445" t="s">
        <v>80</v>
      </c>
      <c r="K371" s="447">
        <v>156.98000000000002</v>
      </c>
      <c r="L371" s="448">
        <v>6.72</v>
      </c>
      <c r="M371" s="444">
        <v>145</v>
      </c>
      <c r="N371" s="444">
        <v>14</v>
      </c>
      <c r="O371" s="447">
        <v>23.360119047619051</v>
      </c>
      <c r="P371" s="449">
        <v>4.7351413609455051E-2</v>
      </c>
      <c r="Q371" s="447">
        <v>11.212857142857144</v>
      </c>
      <c r="R371" s="447">
        <v>1.0826206896551724</v>
      </c>
      <c r="S371" s="450">
        <v>10.357142857142858</v>
      </c>
      <c r="T371" s="450">
        <v>2.0833333333333335</v>
      </c>
      <c r="U371" s="240">
        <v>4</v>
      </c>
      <c r="V371" s="451">
        <v>0.02</v>
      </c>
      <c r="W371" s="450" t="s">
        <v>175</v>
      </c>
      <c r="X371" s="447">
        <v>19.047300903119872</v>
      </c>
      <c r="Y371" s="447">
        <v>4.3128181444991789</v>
      </c>
      <c r="Z371" s="452">
        <v>62.980555555555576</v>
      </c>
      <c r="AA371" s="58">
        <f t="shared" ca="1" si="17"/>
        <v>75.95</v>
      </c>
      <c r="AB371" s="453">
        <f ca="1">Table29[[#This Row],[Earnings]]-Table29[[#This Row],[4-Week Average]]</f>
        <v>81.030000000000015</v>
      </c>
    </row>
    <row r="372" spans="1:28" x14ac:dyDescent="0.35">
      <c r="A372" s="436">
        <v>45201</v>
      </c>
      <c r="B372" s="435">
        <v>2023</v>
      </c>
      <c r="C372" s="435">
        <v>41</v>
      </c>
      <c r="D372" s="435">
        <v>2</v>
      </c>
      <c r="E372" s="435" t="s">
        <v>327</v>
      </c>
      <c r="F372" s="436" t="s">
        <v>46</v>
      </c>
      <c r="G372" s="437">
        <v>0.72916666666666552</v>
      </c>
      <c r="H372" s="436" t="s">
        <v>230</v>
      </c>
      <c r="I372" s="435">
        <v>64</v>
      </c>
      <c r="J372" s="436" t="s">
        <v>82</v>
      </c>
      <c r="K372" s="438">
        <v>77.8</v>
      </c>
      <c r="L372" s="439">
        <v>5.22</v>
      </c>
      <c r="M372" s="435">
        <v>106</v>
      </c>
      <c r="N372" s="435">
        <v>10</v>
      </c>
      <c r="O372" s="438">
        <v>14.904214559386974</v>
      </c>
      <c r="P372" s="440">
        <v>-9.2482497880732115</v>
      </c>
      <c r="Q372" s="438">
        <v>7.7799999999999994</v>
      </c>
      <c r="R372" s="438">
        <v>0.73396226415094334</v>
      </c>
      <c r="S372" s="441">
        <v>10.6</v>
      </c>
      <c r="T372" s="441">
        <v>1.9157088122605366</v>
      </c>
      <c r="U372" s="239">
        <v>3</v>
      </c>
      <c r="V372" s="442">
        <v>2.1750000000000002E-2</v>
      </c>
      <c r="W372" s="441" t="s">
        <v>175</v>
      </c>
      <c r="X372" s="438">
        <v>25.660106415887583</v>
      </c>
      <c r="Y372" s="438">
        <v>-10.755891856500609</v>
      </c>
      <c r="Z372" s="443">
        <v>63.84500000000002</v>
      </c>
      <c r="AA372" s="58">
        <f t="shared" ca="1" si="17"/>
        <v>80.357500000000002</v>
      </c>
      <c r="AB372" s="453">
        <f ca="1">Table29[[#This Row],[Earnings]]-Table29[[#This Row],[4-Week Average]]</f>
        <v>-2.5575000000000045</v>
      </c>
    </row>
    <row r="373" spans="1:28" x14ac:dyDescent="0.35">
      <c r="A373" s="445">
        <v>45204</v>
      </c>
      <c r="B373" s="444">
        <v>2023</v>
      </c>
      <c r="C373" s="444">
        <v>41</v>
      </c>
      <c r="D373" s="444">
        <v>2</v>
      </c>
      <c r="E373" s="444" t="s">
        <v>327</v>
      </c>
      <c r="F373" s="445" t="s">
        <v>49</v>
      </c>
      <c r="G373" s="446">
        <v>0.74999999999999889</v>
      </c>
      <c r="H373" s="445" t="s">
        <v>231</v>
      </c>
      <c r="I373" s="444">
        <v>63</v>
      </c>
      <c r="J373" s="445" t="s">
        <v>80</v>
      </c>
      <c r="K373" s="447">
        <v>94.3</v>
      </c>
      <c r="L373" s="448">
        <v>4.08</v>
      </c>
      <c r="M373" s="444">
        <v>88</v>
      </c>
      <c r="N373" s="444">
        <v>9</v>
      </c>
      <c r="O373" s="447">
        <v>23.112745098039216</v>
      </c>
      <c r="P373" s="449">
        <v>2.2461636023387292</v>
      </c>
      <c r="Q373" s="447">
        <v>10.477777777777778</v>
      </c>
      <c r="R373" s="447">
        <v>1.071590909090909</v>
      </c>
      <c r="S373" s="450">
        <v>9.7777777777777786</v>
      </c>
      <c r="T373" s="450">
        <v>2.2058823529411766</v>
      </c>
      <c r="U373" s="240">
        <v>2</v>
      </c>
      <c r="V373" s="451">
        <v>1.8888888888888889E-2</v>
      </c>
      <c r="W373" s="450" t="s">
        <v>176</v>
      </c>
      <c r="X373" s="447">
        <v>25.855566097406705</v>
      </c>
      <c r="Y373" s="447">
        <v>-2.7428209993674884</v>
      </c>
      <c r="Z373" s="452">
        <v>61.607555555555578</v>
      </c>
      <c r="AA373" s="58">
        <f t="shared" ca="1" si="17"/>
        <v>88.517500000000013</v>
      </c>
      <c r="AB373" s="453">
        <f ca="1">Table29[[#This Row],[Earnings]]-Table29[[#This Row],[4-Week Average]]</f>
        <v>5.7824999999999847</v>
      </c>
    </row>
    <row r="374" spans="1:28" x14ac:dyDescent="0.35">
      <c r="A374" s="436">
        <v>45205</v>
      </c>
      <c r="B374" s="435">
        <v>2023</v>
      </c>
      <c r="C374" s="435">
        <v>41</v>
      </c>
      <c r="D374" s="435">
        <v>2</v>
      </c>
      <c r="E374" s="435" t="s">
        <v>327</v>
      </c>
      <c r="F374" s="436" t="s">
        <v>50</v>
      </c>
      <c r="G374" s="437">
        <v>0.72916666666666552</v>
      </c>
      <c r="H374" s="436" t="s">
        <v>249</v>
      </c>
      <c r="I374" s="435">
        <v>63</v>
      </c>
      <c r="J374" s="436" t="s">
        <v>80</v>
      </c>
      <c r="K374" s="438">
        <v>47.39</v>
      </c>
      <c r="L374" s="439">
        <v>1.8</v>
      </c>
      <c r="M374" s="435">
        <v>35</v>
      </c>
      <c r="N374" s="435">
        <v>5</v>
      </c>
      <c r="O374" s="438">
        <v>26.327777777777776</v>
      </c>
      <c r="P374" s="440">
        <v>3.0107054698036855</v>
      </c>
      <c r="Q374" s="438">
        <v>9.4779999999999998</v>
      </c>
      <c r="R374" s="438">
        <v>1.3540000000000001</v>
      </c>
      <c r="S374" s="441">
        <v>7</v>
      </c>
      <c r="T374" s="441">
        <v>2.7777777777777777</v>
      </c>
      <c r="U374" s="239">
        <v>1</v>
      </c>
      <c r="V374" s="442">
        <v>1.4999999999999999E-2</v>
      </c>
      <c r="W374" s="441" t="s">
        <v>175</v>
      </c>
      <c r="X374" s="438">
        <v>26.913230994152045</v>
      </c>
      <c r="Y374" s="438">
        <v>-0.58545321637426895</v>
      </c>
      <c r="Z374" s="443">
        <v>61.05377777777781</v>
      </c>
      <c r="AA374" s="58">
        <f t="shared" ca="1" si="17"/>
        <v>94.117500000000007</v>
      </c>
      <c r="AB374" s="453">
        <f ca="1">Table29[[#This Row],[Earnings]]-Table29[[#This Row],[4-Week Average]]</f>
        <v>-46.727500000000006</v>
      </c>
    </row>
    <row r="375" spans="1:28" x14ac:dyDescent="0.35">
      <c r="A375" s="445">
        <v>45208</v>
      </c>
      <c r="B375" s="444">
        <v>2023</v>
      </c>
      <c r="C375" s="444">
        <v>42</v>
      </c>
      <c r="D375" s="444">
        <v>3</v>
      </c>
      <c r="E375" s="444" t="s">
        <v>327</v>
      </c>
      <c r="F375" s="445" t="s">
        <v>46</v>
      </c>
      <c r="G375" s="446">
        <v>0.72916666666666552</v>
      </c>
      <c r="H375" s="445" t="s">
        <v>230</v>
      </c>
      <c r="I375" s="444">
        <v>52</v>
      </c>
      <c r="J375" s="445" t="s">
        <v>80</v>
      </c>
      <c r="K375" s="447">
        <v>121.93</v>
      </c>
      <c r="L375" s="448">
        <v>4.37</v>
      </c>
      <c r="M375" s="444">
        <v>69</v>
      </c>
      <c r="N375" s="444">
        <v>10</v>
      </c>
      <c r="O375" s="447">
        <v>27.901601830663616</v>
      </c>
      <c r="P375" s="449">
        <v>4.52492605284802</v>
      </c>
      <c r="Q375" s="447">
        <v>12.193000000000001</v>
      </c>
      <c r="R375" s="447">
        <v>1.7671014492753625</v>
      </c>
      <c r="S375" s="450">
        <v>6.9</v>
      </c>
      <c r="T375" s="450">
        <v>2.2883295194508007</v>
      </c>
      <c r="U375" s="240">
        <v>2</v>
      </c>
      <c r="V375" s="451">
        <v>1.8208333333333333E-2</v>
      </c>
      <c r="W375" s="450" t="s">
        <v>176</v>
      </c>
      <c r="X375" s="447">
        <v>25.366113653699468</v>
      </c>
      <c r="Y375" s="447">
        <v>2.5354881769641473</v>
      </c>
      <c r="Z375" s="452">
        <v>60.18855555555556</v>
      </c>
      <c r="AA375" s="58">
        <f t="shared" ca="1" si="17"/>
        <v>85.355000000000004</v>
      </c>
      <c r="AB375" s="453">
        <f ca="1">Table29[[#This Row],[Earnings]]-Table29[[#This Row],[4-Week Average]]</f>
        <v>36.575000000000003</v>
      </c>
    </row>
    <row r="376" spans="1:28" x14ac:dyDescent="0.35">
      <c r="A376" s="436">
        <v>45209</v>
      </c>
      <c r="B376" s="435">
        <v>2023</v>
      </c>
      <c r="C376" s="435">
        <v>42</v>
      </c>
      <c r="D376" s="435">
        <v>3</v>
      </c>
      <c r="E376" s="435" t="s">
        <v>327</v>
      </c>
      <c r="F376" s="436" t="s">
        <v>47</v>
      </c>
      <c r="G376" s="437">
        <v>0.72916666666666552</v>
      </c>
      <c r="H376" s="436" t="s">
        <v>231</v>
      </c>
      <c r="I376" s="435">
        <v>55</v>
      </c>
      <c r="J376" s="436" t="s">
        <v>80</v>
      </c>
      <c r="K376" s="438">
        <v>62.44</v>
      </c>
      <c r="L376" s="439">
        <v>3.87</v>
      </c>
      <c r="M376" s="435">
        <v>48</v>
      </c>
      <c r="N376" s="435">
        <v>7</v>
      </c>
      <c r="O376" s="438">
        <v>16.134366925064597</v>
      </c>
      <c r="P376" s="440">
        <v>-8.627220181784601</v>
      </c>
      <c r="Q376" s="438">
        <v>8.92</v>
      </c>
      <c r="R376" s="438">
        <v>1.3008333333333333</v>
      </c>
      <c r="S376" s="441">
        <v>6.8571428571428568</v>
      </c>
      <c r="T376" s="441">
        <v>1.8087855297157622</v>
      </c>
      <c r="U376" s="239">
        <v>2</v>
      </c>
      <c r="V376" s="442">
        <v>2.3035714285714284E-2</v>
      </c>
      <c r="W376" s="441" t="s">
        <v>176</v>
      </c>
      <c r="X376" s="438">
        <v>11.682034947680814</v>
      </c>
      <c r="Y376" s="438">
        <v>4.4523319773837837</v>
      </c>
      <c r="Z376" s="443">
        <v>59.727000000000004</v>
      </c>
      <c r="AA376" s="58">
        <f t="shared" ca="1" si="17"/>
        <v>81.515000000000001</v>
      </c>
      <c r="AB376" s="453">
        <f ca="1">Table29[[#This Row],[Earnings]]-Table29[[#This Row],[4-Week Average]]</f>
        <v>-19.075000000000003</v>
      </c>
    </row>
    <row r="377" spans="1:28" x14ac:dyDescent="0.35">
      <c r="A377" s="445">
        <v>45212</v>
      </c>
      <c r="B377" s="444">
        <v>2023</v>
      </c>
      <c r="C377" s="444">
        <v>42</v>
      </c>
      <c r="D377" s="444">
        <v>3</v>
      </c>
      <c r="E377" s="444" t="s">
        <v>327</v>
      </c>
      <c r="F377" s="445" t="s">
        <v>50</v>
      </c>
      <c r="G377" s="446">
        <v>0.72916666666666552</v>
      </c>
      <c r="H377" s="445" t="s">
        <v>230</v>
      </c>
      <c r="I377" s="444">
        <v>54</v>
      </c>
      <c r="J377" s="445" t="s">
        <v>174</v>
      </c>
      <c r="K377" s="447">
        <v>135.33000000000001</v>
      </c>
      <c r="L377" s="448">
        <v>5.67</v>
      </c>
      <c r="M377" s="444">
        <v>127</v>
      </c>
      <c r="N377" s="444">
        <v>11</v>
      </c>
      <c r="O377" s="447">
        <v>23.867724867724871</v>
      </c>
      <c r="P377" s="449" t="s">
        <v>393</v>
      </c>
      <c r="Q377" s="447">
        <v>12.302727272727275</v>
      </c>
      <c r="R377" s="447">
        <v>1.0655905511811024</v>
      </c>
      <c r="S377" s="450">
        <v>11.545454545454545</v>
      </c>
      <c r="T377" s="450">
        <v>1.9400352733686068</v>
      </c>
      <c r="U377" s="240">
        <v>1</v>
      </c>
      <c r="V377" s="451">
        <v>2.147727272727273E-2</v>
      </c>
      <c r="W377" s="450" t="s">
        <v>175</v>
      </c>
      <c r="X377" s="447">
        <v>25.250395053825475</v>
      </c>
      <c r="Y377" s="447">
        <v>-1.3826701861006043</v>
      </c>
      <c r="Z377" s="452">
        <v>57.870999999999995</v>
      </c>
      <c r="AA377" s="58">
        <f t="shared" ca="1" si="17"/>
        <v>91.772500000000008</v>
      </c>
      <c r="AB377" s="453">
        <f ca="1">Table29[[#This Row],[Earnings]]-Table29[[#This Row],[4-Week Average]]</f>
        <v>43.557500000000005</v>
      </c>
    </row>
    <row r="378" spans="1:28" x14ac:dyDescent="0.35">
      <c r="A378" s="436">
        <v>45214</v>
      </c>
      <c r="B378" s="435">
        <v>2023</v>
      </c>
      <c r="C378" s="435">
        <v>42</v>
      </c>
      <c r="D378" s="435">
        <v>3</v>
      </c>
      <c r="E378" s="435" t="s">
        <v>327</v>
      </c>
      <c r="F378" s="436" t="s">
        <v>45</v>
      </c>
      <c r="G378" s="437">
        <v>0.74999999999999889</v>
      </c>
      <c r="H378" s="436" t="s">
        <v>231</v>
      </c>
      <c r="I378" s="435">
        <v>54</v>
      </c>
      <c r="J378" s="436" t="s">
        <v>80</v>
      </c>
      <c r="K378" s="438">
        <v>50.75</v>
      </c>
      <c r="L378" s="439">
        <v>1.68</v>
      </c>
      <c r="M378" s="435">
        <v>33</v>
      </c>
      <c r="N378" s="435">
        <v>4</v>
      </c>
      <c r="O378" s="438">
        <v>30.208333333333336</v>
      </c>
      <c r="P378" s="440">
        <v>11.569742505883813</v>
      </c>
      <c r="Q378" s="438">
        <v>12.6875</v>
      </c>
      <c r="R378" s="438">
        <v>1.5378787878787878</v>
      </c>
      <c r="S378" s="441">
        <v>8.25</v>
      </c>
      <c r="T378" s="441">
        <v>2.3809523809523809</v>
      </c>
      <c r="U378" s="239">
        <v>1</v>
      </c>
      <c r="V378" s="442">
        <v>1.7499999999999998E-2</v>
      </c>
      <c r="W378" s="441" t="s">
        <v>176</v>
      </c>
      <c r="X378" s="438">
        <v>25.972257118927978</v>
      </c>
      <c r="Y378" s="438">
        <v>4.2360762144053581</v>
      </c>
      <c r="Z378" s="443">
        <v>55.967888888888893</v>
      </c>
      <c r="AA378" s="58">
        <f t="shared" ca="1" si="17"/>
        <v>92.612500000000011</v>
      </c>
      <c r="AB378" s="453">
        <f ca="1">Table29[[#This Row],[Earnings]]-Table29[[#This Row],[4-Week Average]]</f>
        <v>-41.862500000000011</v>
      </c>
    </row>
    <row r="379" spans="1:28" x14ac:dyDescent="0.35">
      <c r="A379" s="445">
        <v>45216</v>
      </c>
      <c r="B379" s="444">
        <v>2023</v>
      </c>
      <c r="C379" s="444">
        <v>43</v>
      </c>
      <c r="D379" s="444">
        <v>4</v>
      </c>
      <c r="E379" s="444" t="s">
        <v>327</v>
      </c>
      <c r="F379" s="445" t="s">
        <v>47</v>
      </c>
      <c r="G379" s="446">
        <v>0.72916666666666552</v>
      </c>
      <c r="H379" s="445" t="s">
        <v>231</v>
      </c>
      <c r="I379" s="444">
        <v>52</v>
      </c>
      <c r="J379" s="445" t="s">
        <v>85</v>
      </c>
      <c r="K379" s="447">
        <v>126.25</v>
      </c>
      <c r="L379" s="448">
        <v>5.42</v>
      </c>
      <c r="M379" s="444">
        <v>92</v>
      </c>
      <c r="N379" s="444">
        <v>15</v>
      </c>
      <c r="O379" s="447">
        <v>23.293357933579337</v>
      </c>
      <c r="P379" s="449">
        <v>4.7757215699429736</v>
      </c>
      <c r="Q379" s="447">
        <v>8.4166666666666661</v>
      </c>
      <c r="R379" s="447">
        <v>1.3722826086956521</v>
      </c>
      <c r="S379" s="450">
        <v>6.1333333333333337</v>
      </c>
      <c r="T379" s="450">
        <v>2.7675276752767526</v>
      </c>
      <c r="U379" s="240">
        <v>1</v>
      </c>
      <c r="V379" s="451">
        <v>1.5055555555555556E-2</v>
      </c>
      <c r="W379" s="450" t="s">
        <v>176</v>
      </c>
      <c r="X379" s="447">
        <v>22.723602043712745</v>
      </c>
      <c r="Y379" s="447">
        <v>0.56975588986659176</v>
      </c>
      <c r="Z379" s="452">
        <v>56.084111111111106</v>
      </c>
      <c r="AA379" s="58">
        <f t="shared" ca="1" si="17"/>
        <v>93.692499999999995</v>
      </c>
      <c r="AB379" s="453">
        <f ca="1">Table29[[#This Row],[Earnings]]-Table29[[#This Row],[4-Week Average]]</f>
        <v>32.557500000000005</v>
      </c>
    </row>
    <row r="380" spans="1:28" x14ac:dyDescent="0.35">
      <c r="A380" s="436">
        <v>45217</v>
      </c>
      <c r="B380" s="435">
        <v>2023</v>
      </c>
      <c r="C380" s="435">
        <v>43</v>
      </c>
      <c r="D380" s="435">
        <v>4</v>
      </c>
      <c r="E380" s="435" t="s">
        <v>327</v>
      </c>
      <c r="F380" s="436" t="s">
        <v>48</v>
      </c>
      <c r="G380" s="437">
        <v>0.74999999999999889</v>
      </c>
      <c r="H380" s="436" t="s">
        <v>231</v>
      </c>
      <c r="I380" s="435">
        <v>54</v>
      </c>
      <c r="J380" s="436" t="s">
        <v>80</v>
      </c>
      <c r="K380" s="438">
        <v>115.52000000000001</v>
      </c>
      <c r="L380" s="439">
        <v>4.5</v>
      </c>
      <c r="M380" s="435">
        <v>111</v>
      </c>
      <c r="N380" s="435">
        <v>9</v>
      </c>
      <c r="O380" s="438">
        <v>25.671111111111113</v>
      </c>
      <c r="P380" s="440">
        <v>3.9750285256358424</v>
      </c>
      <c r="Q380" s="438">
        <v>12.835555555555556</v>
      </c>
      <c r="R380" s="438">
        <v>1.0407207207207207</v>
      </c>
      <c r="S380" s="441">
        <v>12.333333333333334</v>
      </c>
      <c r="T380" s="441">
        <v>2</v>
      </c>
      <c r="U380" s="239">
        <v>4</v>
      </c>
      <c r="V380" s="442">
        <v>2.0833333333333332E-2</v>
      </c>
      <c r="W380" s="441" t="s">
        <v>176</v>
      </c>
      <c r="X380" s="438">
        <v>25.671111111111113</v>
      </c>
      <c r="Y380" s="438">
        <v>0</v>
      </c>
      <c r="Z380" s="443">
        <v>57.367666666666665</v>
      </c>
      <c r="AA380" s="58">
        <f t="shared" ca="1" si="17"/>
        <v>106.96250000000001</v>
      </c>
      <c r="AB380" s="453">
        <f ca="1">Table29[[#This Row],[Earnings]]-Table29[[#This Row],[4-Week Average]]</f>
        <v>8.5575000000000045</v>
      </c>
    </row>
    <row r="381" spans="1:28" x14ac:dyDescent="0.35">
      <c r="A381" s="445">
        <v>45222</v>
      </c>
      <c r="B381" s="444">
        <v>2023</v>
      </c>
      <c r="C381" s="444">
        <v>44</v>
      </c>
      <c r="D381" s="444">
        <v>5</v>
      </c>
      <c r="E381" s="444" t="s">
        <v>327</v>
      </c>
      <c r="F381" s="445" t="s">
        <v>46</v>
      </c>
      <c r="G381" s="446">
        <v>0.74999999999999889</v>
      </c>
      <c r="H381" s="445" t="s">
        <v>249</v>
      </c>
      <c r="I381" s="444">
        <v>48</v>
      </c>
      <c r="J381" s="445" t="s">
        <v>80</v>
      </c>
      <c r="K381" s="447">
        <v>93.95</v>
      </c>
      <c r="L381" s="448">
        <v>3.28</v>
      </c>
      <c r="M381" s="444">
        <v>54</v>
      </c>
      <c r="N381" s="444">
        <v>9</v>
      </c>
      <c r="O381" s="447">
        <v>28.64329268292683</v>
      </c>
      <c r="P381" s="449">
        <v>4.5124625629699011</v>
      </c>
      <c r="Q381" s="447">
        <v>10.43888888888889</v>
      </c>
      <c r="R381" s="447">
        <v>1.7398148148148149</v>
      </c>
      <c r="S381" s="450">
        <v>6</v>
      </c>
      <c r="T381" s="450">
        <v>2.7439024390243905</v>
      </c>
      <c r="U381" s="240">
        <v>3</v>
      </c>
      <c r="V381" s="451">
        <v>1.5185185185185184E-2</v>
      </c>
      <c r="W381" s="450" t="s">
        <v>176</v>
      </c>
      <c r="X381" s="447">
        <v>23.506606168174361</v>
      </c>
      <c r="Y381" s="447">
        <v>5.1366865147524692</v>
      </c>
      <c r="Z381" s="452">
        <v>55.695555555555558</v>
      </c>
      <c r="AA381" s="58">
        <f t="shared" ca="1" si="17"/>
        <v>96.617499999999993</v>
      </c>
      <c r="AB381" s="453">
        <f ca="1">Table29[[#This Row],[Earnings]]-Table29[[#This Row],[4-Week Average]]</f>
        <v>-2.6674999999999898</v>
      </c>
    </row>
    <row r="382" spans="1:28" x14ac:dyDescent="0.35">
      <c r="A382" s="436">
        <v>45223</v>
      </c>
      <c r="B382" s="435">
        <v>2023</v>
      </c>
      <c r="C382" s="435">
        <v>44</v>
      </c>
      <c r="D382" s="435">
        <v>5</v>
      </c>
      <c r="E382" s="435" t="s">
        <v>327</v>
      </c>
      <c r="F382" s="436" t="s">
        <v>47</v>
      </c>
      <c r="G382" s="437">
        <v>0.74999999999999889</v>
      </c>
      <c r="H382" s="436" t="s">
        <v>231</v>
      </c>
      <c r="I382" s="435">
        <v>50</v>
      </c>
      <c r="J382" s="436" t="s">
        <v>80</v>
      </c>
      <c r="K382" s="438">
        <v>89.179999999999993</v>
      </c>
      <c r="L382" s="439">
        <v>3.33</v>
      </c>
      <c r="M382" s="435">
        <v>64</v>
      </c>
      <c r="N382" s="435">
        <v>10</v>
      </c>
      <c r="O382" s="438">
        <v>26.780780780780777</v>
      </c>
      <c r="P382" s="440">
        <v>3.7446377102884973</v>
      </c>
      <c r="Q382" s="438">
        <v>8.9179999999999993</v>
      </c>
      <c r="R382" s="438">
        <v>1.3934374999999999</v>
      </c>
      <c r="S382" s="441">
        <v>6.4</v>
      </c>
      <c r="T382" s="441">
        <v>3.0030030030030028</v>
      </c>
      <c r="U382" s="239">
        <v>2</v>
      </c>
      <c r="V382" s="442">
        <v>1.3875E-2</v>
      </c>
      <c r="W382" s="441" t="s">
        <v>176</v>
      </c>
      <c r="X382" s="438">
        <v>19.568101233763883</v>
      </c>
      <c r="Y382" s="438">
        <v>7.2126795470168936</v>
      </c>
      <c r="Z382" s="443">
        <v>56.686444444444454</v>
      </c>
      <c r="AA382" s="58">
        <f t="shared" ca="1" si="17"/>
        <v>106.22500000000001</v>
      </c>
      <c r="AB382" s="453">
        <f ca="1">Table29[[#This Row],[Earnings]]-Table29[[#This Row],[4-Week Average]]</f>
        <v>-17.045000000000016</v>
      </c>
    </row>
    <row r="383" spans="1:28" x14ac:dyDescent="0.35">
      <c r="A383" s="445">
        <v>45224</v>
      </c>
      <c r="B383" s="444">
        <v>2023</v>
      </c>
      <c r="C383" s="444">
        <v>44</v>
      </c>
      <c r="D383" s="444">
        <v>5</v>
      </c>
      <c r="E383" s="444" t="s">
        <v>327</v>
      </c>
      <c r="F383" s="445" t="s">
        <v>48</v>
      </c>
      <c r="G383" s="446">
        <v>0.70833333333333226</v>
      </c>
      <c r="H383" s="445" t="s">
        <v>230</v>
      </c>
      <c r="I383" s="444">
        <v>61</v>
      </c>
      <c r="J383" s="445" t="s">
        <v>174</v>
      </c>
      <c r="K383" s="447">
        <v>50.75</v>
      </c>
      <c r="L383" s="448">
        <v>3.52</v>
      </c>
      <c r="M383" s="444">
        <v>94</v>
      </c>
      <c r="N383" s="444">
        <v>6</v>
      </c>
      <c r="O383" s="447">
        <v>14.417613636363637</v>
      </c>
      <c r="P383" s="449" t="s">
        <v>393</v>
      </c>
      <c r="Q383" s="447">
        <v>8.4583333333333339</v>
      </c>
      <c r="R383" s="447">
        <v>0.53989361702127658</v>
      </c>
      <c r="S383" s="450">
        <v>15.666666666666666</v>
      </c>
      <c r="T383" s="450">
        <v>1.7045454545454546</v>
      </c>
      <c r="U383" s="240">
        <v>1</v>
      </c>
      <c r="V383" s="451">
        <v>2.4444444444444446E-2</v>
      </c>
      <c r="W383" s="450" t="s">
        <v>176</v>
      </c>
      <c r="X383" s="447">
        <v>21.823234678878336</v>
      </c>
      <c r="Y383" s="447">
        <v>-7.4056210425146993</v>
      </c>
      <c r="Z383" s="452">
        <v>57.250333333333337</v>
      </c>
      <c r="AA383" s="58">
        <f t="shared" ca="1" si="17"/>
        <v>87.350000000000009</v>
      </c>
      <c r="AB383" s="453">
        <f ca="1">Table29[[#This Row],[Earnings]]-Table29[[#This Row],[4-Week Average]]</f>
        <v>-36.600000000000009</v>
      </c>
    </row>
    <row r="384" spans="1:28" x14ac:dyDescent="0.35">
      <c r="A384" s="436">
        <v>45227</v>
      </c>
      <c r="B384" s="435">
        <v>2023</v>
      </c>
      <c r="C384" s="435">
        <v>44</v>
      </c>
      <c r="D384" s="435">
        <v>5</v>
      </c>
      <c r="E384" s="435" t="s">
        <v>327</v>
      </c>
      <c r="F384" s="436" t="s">
        <v>51</v>
      </c>
      <c r="G384" s="437">
        <v>0.64583333333333237</v>
      </c>
      <c r="H384" s="436" t="s">
        <v>230</v>
      </c>
      <c r="I384" s="435">
        <v>66</v>
      </c>
      <c r="J384" s="436" t="s">
        <v>80</v>
      </c>
      <c r="K384" s="438">
        <v>147.19999999999999</v>
      </c>
      <c r="L384" s="439">
        <v>6.63</v>
      </c>
      <c r="M384" s="435">
        <v>126</v>
      </c>
      <c r="N384" s="435">
        <v>10</v>
      </c>
      <c r="O384" s="438">
        <v>22.202111613876319</v>
      </c>
      <c r="P384" s="440">
        <v>5.1783020900667935</v>
      </c>
      <c r="Q384" s="438">
        <v>14.719999999999999</v>
      </c>
      <c r="R384" s="438">
        <v>1.1682539682539681</v>
      </c>
      <c r="S384" s="441">
        <v>12.6</v>
      </c>
      <c r="T384" s="441">
        <v>1.5082956259426847</v>
      </c>
      <c r="U384" s="239">
        <v>5</v>
      </c>
      <c r="V384" s="442">
        <v>2.7625E-2</v>
      </c>
      <c r="W384" s="441" t="s">
        <v>176</v>
      </c>
      <c r="X384" s="438">
        <v>19.066135172017525</v>
      </c>
      <c r="Y384" s="438">
        <v>3.1359764418587943</v>
      </c>
      <c r="Z384" s="443">
        <v>56.684999999999995</v>
      </c>
      <c r="AA384" s="58">
        <f t="shared" ca="1" si="17"/>
        <v>95.27</v>
      </c>
      <c r="AB384" s="453">
        <f ca="1">Table29[[#This Row],[Earnings]]-Table29[[#This Row],[4-Week Average]]</f>
        <v>51.929999999999993</v>
      </c>
    </row>
    <row r="385" spans="1:28" x14ac:dyDescent="0.35">
      <c r="A385" s="445">
        <v>45228</v>
      </c>
      <c r="B385" s="444">
        <v>2023</v>
      </c>
      <c r="C385" s="444">
        <v>44</v>
      </c>
      <c r="D385" s="444">
        <v>5</v>
      </c>
      <c r="E385" s="444" t="s">
        <v>327</v>
      </c>
      <c r="F385" s="445" t="s">
        <v>45</v>
      </c>
      <c r="G385" s="446">
        <v>0.624999999999999</v>
      </c>
      <c r="H385" s="445" t="s">
        <v>231</v>
      </c>
      <c r="I385" s="444">
        <v>45</v>
      </c>
      <c r="J385" s="445" t="s">
        <v>80</v>
      </c>
      <c r="K385" s="447">
        <v>163.95999999999998</v>
      </c>
      <c r="L385" s="448">
        <v>5.33</v>
      </c>
      <c r="M385" s="444">
        <v>126</v>
      </c>
      <c r="N385" s="444">
        <v>12</v>
      </c>
      <c r="O385" s="447">
        <v>30.761726078799246</v>
      </c>
      <c r="P385" s="449">
        <v>9.8091867501729624</v>
      </c>
      <c r="Q385" s="447">
        <v>13.663333333333332</v>
      </c>
      <c r="R385" s="447">
        <v>1.3012698412698411</v>
      </c>
      <c r="S385" s="450">
        <v>10.5</v>
      </c>
      <c r="T385" s="450">
        <v>2.2514071294559099</v>
      </c>
      <c r="U385" s="240">
        <v>3</v>
      </c>
      <c r="V385" s="451">
        <v>1.8506944444444444E-2</v>
      </c>
      <c r="W385" s="450" t="s">
        <v>176</v>
      </c>
      <c r="X385" s="447">
        <v>29.695708063869443</v>
      </c>
      <c r="Y385" s="447">
        <v>1.0660180149298029</v>
      </c>
      <c r="Z385" s="452">
        <v>57.341222222222214</v>
      </c>
      <c r="AA385" s="58">
        <f t="shared" ca="1" si="17"/>
        <v>112.77249999999999</v>
      </c>
      <c r="AB385" s="453">
        <f ca="1">Table29[[#This Row],[Earnings]]-Table29[[#This Row],[4-Week Average]]</f>
        <v>51.187499999999986</v>
      </c>
    </row>
    <row r="386" spans="1:28" x14ac:dyDescent="0.35">
      <c r="A386" s="436">
        <v>45229</v>
      </c>
      <c r="B386" s="435">
        <v>2023</v>
      </c>
      <c r="C386" s="435">
        <v>45</v>
      </c>
      <c r="D386" s="435">
        <v>6</v>
      </c>
      <c r="E386" s="435" t="s">
        <v>327</v>
      </c>
      <c r="F386" s="436" t="s">
        <v>46</v>
      </c>
      <c r="G386" s="437">
        <v>0.77083333333333215</v>
      </c>
      <c r="H386" s="436" t="s">
        <v>231</v>
      </c>
      <c r="I386" s="435">
        <v>36</v>
      </c>
      <c r="J386" s="436" t="s">
        <v>80</v>
      </c>
      <c r="K386" s="438">
        <v>128.74</v>
      </c>
      <c r="L386" s="439">
        <v>4.4800000000000004</v>
      </c>
      <c r="M386" s="435">
        <v>98</v>
      </c>
      <c r="N386" s="435">
        <v>10</v>
      </c>
      <c r="O386" s="438">
        <v>28.736607142857142</v>
      </c>
      <c r="P386" s="440">
        <v>3.9611395139045094</v>
      </c>
      <c r="Q386" s="438">
        <v>12.874000000000001</v>
      </c>
      <c r="R386" s="438">
        <v>1.3136734693877552</v>
      </c>
      <c r="S386" s="441">
        <v>9.8000000000000007</v>
      </c>
      <c r="T386" s="441">
        <v>2.2321428571428568</v>
      </c>
      <c r="U386" s="239">
        <v>1</v>
      </c>
      <c r="V386" s="442">
        <v>1.8666666666666668E-2</v>
      </c>
      <c r="W386" s="441" t="s">
        <v>176</v>
      </c>
      <c r="X386" s="438">
        <v>26.266434412550069</v>
      </c>
      <c r="Y386" s="438">
        <v>2.4701727303070733</v>
      </c>
      <c r="Z386" s="443">
        <v>58.771666666666654</v>
      </c>
      <c r="AA386" s="58">
        <f t="shared" ca="1" si="17"/>
        <v>122.66249999999999</v>
      </c>
      <c r="AB386" s="453">
        <f ca="1">Table29[[#This Row],[Earnings]]-Table29[[#This Row],[4-Week Average]]</f>
        <v>6.0775000000000148</v>
      </c>
    </row>
    <row r="387" spans="1:28" x14ac:dyDescent="0.35">
      <c r="A387" s="445">
        <v>45230</v>
      </c>
      <c r="B387" s="444">
        <v>2023</v>
      </c>
      <c r="C387" s="444">
        <v>45</v>
      </c>
      <c r="D387" s="444">
        <v>6</v>
      </c>
      <c r="E387" s="444" t="s">
        <v>327</v>
      </c>
      <c r="F387" s="445" t="s">
        <v>47</v>
      </c>
      <c r="G387" s="446">
        <v>0.74999999999999889</v>
      </c>
      <c r="H387" s="445" t="s">
        <v>231</v>
      </c>
      <c r="I387" s="444">
        <v>36</v>
      </c>
      <c r="J387" s="445" t="s">
        <v>80</v>
      </c>
      <c r="K387" s="447">
        <v>93.91</v>
      </c>
      <c r="L387" s="448">
        <v>3.97</v>
      </c>
      <c r="M387" s="444">
        <v>88</v>
      </c>
      <c r="N387" s="444">
        <v>10</v>
      </c>
      <c r="O387" s="447">
        <v>23.65491183879093</v>
      </c>
      <c r="P387" s="449">
        <v>-5.3375167494316145E-3</v>
      </c>
      <c r="Q387" s="447">
        <v>9.391</v>
      </c>
      <c r="R387" s="447">
        <v>1.0671590909090909</v>
      </c>
      <c r="S387" s="450">
        <v>8.8000000000000007</v>
      </c>
      <c r="T387" s="450">
        <v>2.5188916876574305</v>
      </c>
      <c r="U387" s="240">
        <v>2</v>
      </c>
      <c r="V387" s="451">
        <v>1.6541666666666666E-2</v>
      </c>
      <c r="W387" s="450" t="s">
        <v>175</v>
      </c>
      <c r="X387" s="447">
        <v>26.085332217138063</v>
      </c>
      <c r="Y387" s="447">
        <v>-2.430420378347133</v>
      </c>
      <c r="Z387" s="452">
        <v>59.074111111111101</v>
      </c>
      <c r="AA387" s="58">
        <f t="shared" ca="1" si="17"/>
        <v>133.45249999999999</v>
      </c>
      <c r="AB387" s="453">
        <f ca="1">Table29[[#This Row],[Earnings]]-Table29[[#This Row],[4-Week Average]]</f>
        <v>-39.54249999999999</v>
      </c>
    </row>
    <row r="388" spans="1:28" x14ac:dyDescent="0.35">
      <c r="A388" s="436">
        <v>45231</v>
      </c>
      <c r="B388" s="435">
        <v>2023</v>
      </c>
      <c r="C388" s="435">
        <v>45</v>
      </c>
      <c r="D388" s="435">
        <v>6</v>
      </c>
      <c r="E388" s="435" t="s">
        <v>327</v>
      </c>
      <c r="F388" s="436" t="s">
        <v>48</v>
      </c>
      <c r="G388" s="437">
        <v>0.72916666666666552</v>
      </c>
      <c r="H388" s="436" t="s">
        <v>230</v>
      </c>
      <c r="I388" s="435">
        <v>36</v>
      </c>
      <c r="J388" s="436" t="s">
        <v>80</v>
      </c>
      <c r="K388" s="438">
        <v>99.39</v>
      </c>
      <c r="L388" s="439">
        <v>4.12</v>
      </c>
      <c r="M388" s="435">
        <v>99</v>
      </c>
      <c r="N388" s="435">
        <v>10</v>
      </c>
      <c r="O388" s="438">
        <v>24.123786407766989</v>
      </c>
      <c r="P388" s="440">
        <v>1.8598426043437399</v>
      </c>
      <c r="Q388" s="438">
        <v>9.9390000000000001</v>
      </c>
      <c r="R388" s="438">
        <v>1.0039393939393939</v>
      </c>
      <c r="S388" s="441">
        <v>9.9</v>
      </c>
      <c r="T388" s="441">
        <v>2.4271844660194173</v>
      </c>
      <c r="U388" s="239">
        <v>2</v>
      </c>
      <c r="V388" s="442">
        <v>1.7166666666666667E-2</v>
      </c>
      <c r="W388" s="441" t="s">
        <v>175</v>
      </c>
      <c r="X388" s="438">
        <v>24.123786407766989</v>
      </c>
      <c r="Y388" s="438">
        <v>0</v>
      </c>
      <c r="Z388" s="443">
        <v>60.178444444444438</v>
      </c>
      <c r="AA388" s="58">
        <f t="shared" ref="AA388:AA451" ca="1" si="18">AVERAGE(OFFSET(K388,-3,0,4,1))</f>
        <v>121.5</v>
      </c>
      <c r="AB388" s="453">
        <f ca="1">Table29[[#This Row],[Earnings]]-Table29[[#This Row],[4-Week Average]]</f>
        <v>-22.11</v>
      </c>
    </row>
    <row r="389" spans="1:28" x14ac:dyDescent="0.35">
      <c r="A389" s="445">
        <v>45233</v>
      </c>
      <c r="B389" s="444">
        <v>2023</v>
      </c>
      <c r="C389" s="444">
        <v>45</v>
      </c>
      <c r="D389" s="444">
        <v>6</v>
      </c>
      <c r="E389" s="444" t="s">
        <v>327</v>
      </c>
      <c r="F389" s="445" t="s">
        <v>50</v>
      </c>
      <c r="G389" s="446">
        <v>0.77083333333333215</v>
      </c>
      <c r="H389" s="445" t="s">
        <v>230</v>
      </c>
      <c r="I389" s="444">
        <v>48</v>
      </c>
      <c r="J389" s="445" t="s">
        <v>80</v>
      </c>
      <c r="K389" s="447">
        <v>116.17</v>
      </c>
      <c r="L389" s="448">
        <v>4.67</v>
      </c>
      <c r="M389" s="444">
        <v>119</v>
      </c>
      <c r="N389" s="444">
        <v>9</v>
      </c>
      <c r="O389" s="447">
        <v>24.875802997858674</v>
      </c>
      <c r="P389" s="449">
        <v>1.3078385674009425</v>
      </c>
      <c r="Q389" s="447">
        <v>12.907777777777778</v>
      </c>
      <c r="R389" s="447">
        <v>0.97621848739495798</v>
      </c>
      <c r="S389" s="450">
        <v>13.222222222222221</v>
      </c>
      <c r="T389" s="450">
        <v>1.9271948608137046</v>
      </c>
      <c r="U389" s="240">
        <v>2</v>
      </c>
      <c r="V389" s="451">
        <v>2.162037037037037E-2</v>
      </c>
      <c r="W389" s="450" t="s">
        <v>176</v>
      </c>
      <c r="X389" s="447">
        <v>23.946852747537971</v>
      </c>
      <c r="Y389" s="447">
        <v>0.92895025032070322</v>
      </c>
      <c r="Z389" s="452">
        <v>58.519555555555549</v>
      </c>
      <c r="AA389" s="58">
        <f t="shared" ca="1" si="18"/>
        <v>109.55250000000001</v>
      </c>
      <c r="AB389" s="453">
        <f ca="1">Table29[[#This Row],[Earnings]]-Table29[[#This Row],[4-Week Average]]</f>
        <v>6.6174999999999926</v>
      </c>
    </row>
    <row r="390" spans="1:28" x14ac:dyDescent="0.35">
      <c r="A390" s="436">
        <v>45236</v>
      </c>
      <c r="B390" s="435">
        <v>2023</v>
      </c>
      <c r="C390" s="435">
        <v>46</v>
      </c>
      <c r="D390" s="435">
        <v>7</v>
      </c>
      <c r="E390" s="435" t="s">
        <v>327</v>
      </c>
      <c r="F390" s="436" t="s">
        <v>46</v>
      </c>
      <c r="G390" s="437">
        <v>0.72916666666666552</v>
      </c>
      <c r="H390" s="436" t="s">
        <v>231</v>
      </c>
      <c r="I390" s="435">
        <v>39</v>
      </c>
      <c r="J390" s="436" t="s">
        <v>80</v>
      </c>
      <c r="K390" s="438">
        <v>98.53</v>
      </c>
      <c r="L390" s="439">
        <v>4.03</v>
      </c>
      <c r="M390" s="435">
        <v>103</v>
      </c>
      <c r="N390" s="435">
        <v>8</v>
      </c>
      <c r="O390" s="438">
        <v>24.449131513647643</v>
      </c>
      <c r="P390" s="440">
        <v>-0.8214785545430523</v>
      </c>
      <c r="Q390" s="438">
        <v>12.31625</v>
      </c>
      <c r="R390" s="438">
        <v>0.95660194174757285</v>
      </c>
      <c r="S390" s="441">
        <v>12.875</v>
      </c>
      <c r="T390" s="441">
        <v>1.9851116625310172</v>
      </c>
      <c r="U390" s="239">
        <v>2</v>
      </c>
      <c r="V390" s="442">
        <v>2.0989583333333336E-2</v>
      </c>
      <c r="W390" s="441" t="s">
        <v>176</v>
      </c>
      <c r="X390" s="438">
        <v>24.609907387766043</v>
      </c>
      <c r="Y390" s="438">
        <v>-0.1607758741184</v>
      </c>
      <c r="Z390" s="443">
        <v>56.599999999999987</v>
      </c>
      <c r="AA390" s="58">
        <f t="shared" ca="1" si="18"/>
        <v>102</v>
      </c>
      <c r="AB390" s="453">
        <f ca="1">Table29[[#This Row],[Earnings]]-Table29[[#This Row],[4-Week Average]]</f>
        <v>-3.4699999999999989</v>
      </c>
    </row>
    <row r="391" spans="1:28" x14ac:dyDescent="0.35">
      <c r="A391" s="445">
        <v>45238</v>
      </c>
      <c r="B391" s="444">
        <v>2023</v>
      </c>
      <c r="C391" s="444">
        <v>46</v>
      </c>
      <c r="D391" s="444">
        <v>7</v>
      </c>
      <c r="E391" s="444" t="s">
        <v>327</v>
      </c>
      <c r="F391" s="445" t="s">
        <v>48</v>
      </c>
      <c r="G391" s="446">
        <v>0.74999999999999889</v>
      </c>
      <c r="H391" s="445" t="s">
        <v>230</v>
      </c>
      <c r="I391" s="444">
        <v>34</v>
      </c>
      <c r="J391" s="445" t="s">
        <v>80</v>
      </c>
      <c r="K391" s="447">
        <v>107.86000000000001</v>
      </c>
      <c r="L391" s="448">
        <v>5.18</v>
      </c>
      <c r="M391" s="444">
        <v>128</v>
      </c>
      <c r="N391" s="444">
        <v>9</v>
      </c>
      <c r="O391" s="447">
        <v>20.822393822393828</v>
      </c>
      <c r="P391" s="449">
        <v>-1.6740303065723907</v>
      </c>
      <c r="Q391" s="447">
        <v>11.984444444444446</v>
      </c>
      <c r="R391" s="447">
        <v>0.84265625000000011</v>
      </c>
      <c r="S391" s="450">
        <v>14.222222222222221</v>
      </c>
      <c r="T391" s="450">
        <v>1.7374517374517375</v>
      </c>
      <c r="U391" s="240">
        <v>2</v>
      </c>
      <c r="V391" s="451">
        <v>2.3981481481481479E-2</v>
      </c>
      <c r="W391" s="450" t="s">
        <v>175</v>
      </c>
      <c r="X391" s="447">
        <v>14.047487233777559</v>
      </c>
      <c r="Y391" s="447">
        <v>6.7749065886162683</v>
      </c>
      <c r="Z391" s="452">
        <v>57.161555555555537</v>
      </c>
      <c r="AA391" s="58">
        <f t="shared" ca="1" si="18"/>
        <v>105.48750000000001</v>
      </c>
      <c r="AB391" s="453">
        <f ca="1">Table29[[#This Row],[Earnings]]-Table29[[#This Row],[4-Week Average]]</f>
        <v>2.3725000000000023</v>
      </c>
    </row>
    <row r="392" spans="1:28" x14ac:dyDescent="0.35">
      <c r="A392" s="436">
        <v>45240</v>
      </c>
      <c r="B392" s="435">
        <v>2023</v>
      </c>
      <c r="C392" s="435">
        <v>46</v>
      </c>
      <c r="D392" s="435">
        <v>7</v>
      </c>
      <c r="E392" s="435" t="s">
        <v>327</v>
      </c>
      <c r="F392" s="436" t="s">
        <v>50</v>
      </c>
      <c r="G392" s="437">
        <v>0.72916666666666552</v>
      </c>
      <c r="H392" s="436" t="s">
        <v>231</v>
      </c>
      <c r="I392" s="435">
        <v>43</v>
      </c>
      <c r="J392" s="436" t="s">
        <v>82</v>
      </c>
      <c r="K392" s="438">
        <v>138.36000000000001</v>
      </c>
      <c r="L392" s="439">
        <v>6.3</v>
      </c>
      <c r="M392" s="435">
        <v>117</v>
      </c>
      <c r="N392" s="435">
        <v>15</v>
      </c>
      <c r="O392" s="438">
        <v>21.961904761904766</v>
      </c>
      <c r="P392" s="440">
        <v>-1.5961597542242671</v>
      </c>
      <c r="Q392" s="438">
        <v>9.2240000000000002</v>
      </c>
      <c r="R392" s="438">
        <v>1.1825641025641027</v>
      </c>
      <c r="S392" s="441">
        <v>7.8</v>
      </c>
      <c r="T392" s="441">
        <v>2.3809523809523809</v>
      </c>
      <c r="U392" s="239">
        <v>2</v>
      </c>
      <c r="V392" s="442">
        <v>1.7499999999999998E-2</v>
      </c>
      <c r="W392" s="441" t="s">
        <v>175</v>
      </c>
      <c r="X392" s="438">
        <v>22.483122528976669</v>
      </c>
      <c r="Y392" s="438">
        <v>-0.52121776707190293</v>
      </c>
      <c r="Z392" s="443">
        <v>58.123777777777754</v>
      </c>
      <c r="AA392" s="58">
        <f t="shared" ca="1" si="18"/>
        <v>115.23</v>
      </c>
      <c r="AB392" s="453">
        <f ca="1">Table29[[#This Row],[Earnings]]-Table29[[#This Row],[4-Week Average]]</f>
        <v>23.13000000000001</v>
      </c>
    </row>
    <row r="393" spans="1:28" x14ac:dyDescent="0.35">
      <c r="A393" s="445">
        <v>45241</v>
      </c>
      <c r="B393" s="444">
        <v>2023</v>
      </c>
      <c r="C393" s="444">
        <v>46</v>
      </c>
      <c r="D393" s="444">
        <v>7</v>
      </c>
      <c r="E393" s="444" t="s">
        <v>327</v>
      </c>
      <c r="F393" s="445" t="s">
        <v>51</v>
      </c>
      <c r="G393" s="446">
        <v>0.72916666666666552</v>
      </c>
      <c r="H393" s="445" t="s">
        <v>249</v>
      </c>
      <c r="I393" s="444">
        <v>32</v>
      </c>
      <c r="J393" s="445" t="s">
        <v>85</v>
      </c>
      <c r="K393" s="447">
        <v>113.5</v>
      </c>
      <c r="L393" s="448">
        <v>5.42</v>
      </c>
      <c r="M393" s="444">
        <v>110</v>
      </c>
      <c r="N393" s="444">
        <v>13</v>
      </c>
      <c r="O393" s="447">
        <v>20.940959409594097</v>
      </c>
      <c r="P393" s="449">
        <v>-3.445997112145033</v>
      </c>
      <c r="Q393" s="447">
        <v>8.7307692307692299</v>
      </c>
      <c r="R393" s="447">
        <v>1.0318181818181817</v>
      </c>
      <c r="S393" s="450">
        <v>8.4615384615384617</v>
      </c>
      <c r="T393" s="450">
        <v>2.3985239852398523</v>
      </c>
      <c r="U393" s="240">
        <v>2</v>
      </c>
      <c r="V393" s="451">
        <v>1.7371794871794872E-2</v>
      </c>
      <c r="W393" s="450" t="s">
        <v>176</v>
      </c>
      <c r="X393" s="447">
        <v>21.362979704797048</v>
      </c>
      <c r="Y393" s="447">
        <v>-0.4220202952029517</v>
      </c>
      <c r="Z393" s="452">
        <v>59.38488888888886</v>
      </c>
      <c r="AA393" s="58">
        <f t="shared" ca="1" si="18"/>
        <v>114.5625</v>
      </c>
      <c r="AB393" s="453">
        <f ca="1">Table29[[#This Row],[Earnings]]-Table29[[#This Row],[4-Week Average]]</f>
        <v>-1.0625</v>
      </c>
    </row>
    <row r="394" spans="1:28" x14ac:dyDescent="0.35">
      <c r="A394" s="436">
        <v>45242</v>
      </c>
      <c r="B394" s="435">
        <v>2023</v>
      </c>
      <c r="C394" s="435">
        <v>46</v>
      </c>
      <c r="D394" s="435">
        <v>7</v>
      </c>
      <c r="E394" s="435" t="s">
        <v>327</v>
      </c>
      <c r="F394" s="436" t="s">
        <v>45</v>
      </c>
      <c r="G394" s="437">
        <v>0.64583333333333237</v>
      </c>
      <c r="H394" s="436" t="s">
        <v>230</v>
      </c>
      <c r="I394" s="435">
        <v>28</v>
      </c>
      <c r="J394" s="436" t="s">
        <v>80</v>
      </c>
      <c r="K394" s="438">
        <v>159.19</v>
      </c>
      <c r="L394" s="439">
        <v>6.2</v>
      </c>
      <c r="M394" s="435">
        <v>119</v>
      </c>
      <c r="N394" s="435">
        <v>16</v>
      </c>
      <c r="O394" s="438">
        <v>25.675806451612903</v>
      </c>
      <c r="P394" s="440">
        <v>3.0884026646244571</v>
      </c>
      <c r="Q394" s="438">
        <v>9.9493749999999999</v>
      </c>
      <c r="R394" s="438">
        <v>1.3377310924369747</v>
      </c>
      <c r="S394" s="441">
        <v>7.4375</v>
      </c>
      <c r="T394" s="441">
        <v>2.5806451612903225</v>
      </c>
      <c r="U394" s="239">
        <v>2</v>
      </c>
      <c r="V394" s="442">
        <v>1.6145833333333335E-2</v>
      </c>
      <c r="W394" s="441" t="s">
        <v>175</v>
      </c>
      <c r="X394" s="438">
        <v>23.50977822580645</v>
      </c>
      <c r="Y394" s="438">
        <v>2.1660282258064534</v>
      </c>
      <c r="Z394" s="443">
        <v>61.153666666666638</v>
      </c>
      <c r="AA394" s="58">
        <f t="shared" ca="1" si="18"/>
        <v>129.72750000000002</v>
      </c>
      <c r="AB394" s="453">
        <f ca="1">Table29[[#This Row],[Earnings]]-Table29[[#This Row],[4-Week Average]]</f>
        <v>29.462499999999977</v>
      </c>
    </row>
    <row r="395" spans="1:28" x14ac:dyDescent="0.35">
      <c r="A395" s="445">
        <v>45243</v>
      </c>
      <c r="B395" s="444">
        <v>2023</v>
      </c>
      <c r="C395" s="444">
        <v>47</v>
      </c>
      <c r="D395" s="444">
        <v>8</v>
      </c>
      <c r="E395" s="444" t="s">
        <v>327</v>
      </c>
      <c r="F395" s="445" t="s">
        <v>46</v>
      </c>
      <c r="G395" s="446">
        <v>0.70833333333333226</v>
      </c>
      <c r="H395" s="445" t="s">
        <v>249</v>
      </c>
      <c r="I395" s="444">
        <v>30</v>
      </c>
      <c r="J395" s="445" t="s">
        <v>174</v>
      </c>
      <c r="K395" s="447">
        <v>144.07</v>
      </c>
      <c r="L395" s="448">
        <v>5.07</v>
      </c>
      <c r="M395" s="444">
        <v>115</v>
      </c>
      <c r="N395" s="444">
        <v>10</v>
      </c>
      <c r="O395" s="447">
        <v>28.416173570019723</v>
      </c>
      <c r="P395" s="449" t="s">
        <v>393</v>
      </c>
      <c r="Q395" s="447">
        <v>14.407</v>
      </c>
      <c r="R395" s="447">
        <v>1.2527826086956522</v>
      </c>
      <c r="S395" s="450">
        <v>11.5</v>
      </c>
      <c r="T395" s="450">
        <v>1.972386587771203</v>
      </c>
      <c r="U395" s="240">
        <v>3</v>
      </c>
      <c r="V395" s="451">
        <v>2.1125000000000001E-2</v>
      </c>
      <c r="W395" s="450" t="s">
        <v>176</v>
      </c>
      <c r="X395" s="447">
        <v>23.549802521868241</v>
      </c>
      <c r="Y395" s="447">
        <v>4.8663710481514819</v>
      </c>
      <c r="Z395" s="452">
        <v>62.75444444444441</v>
      </c>
      <c r="AA395" s="58">
        <f t="shared" ca="1" si="18"/>
        <v>138.78</v>
      </c>
      <c r="AB395" s="453">
        <f ca="1">Table29[[#This Row],[Earnings]]-Table29[[#This Row],[4-Week Average]]</f>
        <v>5.289999999999992</v>
      </c>
    </row>
    <row r="396" spans="1:28" x14ac:dyDescent="0.35">
      <c r="A396" s="436">
        <v>45244</v>
      </c>
      <c r="B396" s="435">
        <v>2023</v>
      </c>
      <c r="C396" s="435">
        <v>47</v>
      </c>
      <c r="D396" s="435">
        <v>8</v>
      </c>
      <c r="E396" s="435" t="s">
        <v>327</v>
      </c>
      <c r="F396" s="436" t="s">
        <v>47</v>
      </c>
      <c r="G396" s="437">
        <v>0.72916666666666552</v>
      </c>
      <c r="H396" s="436" t="s">
        <v>230</v>
      </c>
      <c r="I396" s="435">
        <v>36</v>
      </c>
      <c r="J396" s="436" t="s">
        <v>80</v>
      </c>
      <c r="K396" s="438">
        <v>81.62</v>
      </c>
      <c r="L396" s="439">
        <v>3.57</v>
      </c>
      <c r="M396" s="435">
        <v>65.3</v>
      </c>
      <c r="N396" s="435">
        <v>8</v>
      </c>
      <c r="O396" s="438">
        <v>22.86274509803922</v>
      </c>
      <c r="P396" s="440">
        <v>-0.79674175510836776</v>
      </c>
      <c r="Q396" s="438">
        <v>10.202500000000001</v>
      </c>
      <c r="R396" s="438">
        <v>1.2499234303215927</v>
      </c>
      <c r="S396" s="441">
        <v>8.1624999999999996</v>
      </c>
      <c r="T396" s="441">
        <v>2.2408963585434174</v>
      </c>
      <c r="U396" s="239">
        <v>2</v>
      </c>
      <c r="V396" s="442">
        <v>1.8593749999999999E-2</v>
      </c>
      <c r="W396" s="441" t="s">
        <v>175</v>
      </c>
      <c r="X396" s="438">
        <v>20.185372549019611</v>
      </c>
      <c r="Y396" s="438">
        <v>2.6773725490196085</v>
      </c>
      <c r="Z396" s="443">
        <v>62.200888888888855</v>
      </c>
      <c r="AA396" s="58">
        <f t="shared" ca="1" si="18"/>
        <v>124.595</v>
      </c>
      <c r="AB396" s="453">
        <f ca="1">Table29[[#This Row],[Earnings]]-Table29[[#This Row],[4-Week Average]]</f>
        <v>-42.974999999999994</v>
      </c>
    </row>
    <row r="397" spans="1:28" x14ac:dyDescent="0.35">
      <c r="A397" s="445">
        <v>45246</v>
      </c>
      <c r="B397" s="444">
        <v>2023</v>
      </c>
      <c r="C397" s="444">
        <v>47</v>
      </c>
      <c r="D397" s="444">
        <v>8</v>
      </c>
      <c r="E397" s="444" t="s">
        <v>327</v>
      </c>
      <c r="F397" s="445" t="s">
        <v>49</v>
      </c>
      <c r="G397" s="446">
        <v>0.70833333333333226</v>
      </c>
      <c r="H397" s="445" t="s">
        <v>230</v>
      </c>
      <c r="I397" s="444">
        <v>39</v>
      </c>
      <c r="J397" s="445" t="s">
        <v>82</v>
      </c>
      <c r="K397" s="447">
        <v>27.400000000000002</v>
      </c>
      <c r="L397" s="448">
        <v>2.15</v>
      </c>
      <c r="M397" s="444">
        <v>22</v>
      </c>
      <c r="N397" s="444">
        <v>5</v>
      </c>
      <c r="O397" s="447">
        <v>12.744186046511629</v>
      </c>
      <c r="P397" s="449" t="s">
        <v>393</v>
      </c>
      <c r="Q397" s="447">
        <v>5.48</v>
      </c>
      <c r="R397" s="447">
        <v>1.2454545454545456</v>
      </c>
      <c r="S397" s="450">
        <v>4.4000000000000004</v>
      </c>
      <c r="T397" s="450">
        <v>2.3255813953488373</v>
      </c>
      <c r="U397" s="240">
        <v>2</v>
      </c>
      <c r="V397" s="451">
        <v>1.7916666666666668E-2</v>
      </c>
      <c r="W397" s="450" t="s">
        <v>175</v>
      </c>
      <c r="X397" s="447">
        <v>15.912805605247465</v>
      </c>
      <c r="Y397" s="447">
        <v>-3.1686195587358359</v>
      </c>
      <c r="Z397" s="452">
        <v>60.195888888888859</v>
      </c>
      <c r="AA397" s="58">
        <f t="shared" ca="1" si="18"/>
        <v>103.07</v>
      </c>
      <c r="AB397" s="453">
        <f ca="1">Table29[[#This Row],[Earnings]]-Table29[[#This Row],[4-Week Average]]</f>
        <v>-75.669999999999987</v>
      </c>
    </row>
    <row r="398" spans="1:28" x14ac:dyDescent="0.35">
      <c r="A398" s="436">
        <v>45247</v>
      </c>
      <c r="B398" s="435">
        <v>2023</v>
      </c>
      <c r="C398" s="435">
        <v>47</v>
      </c>
      <c r="D398" s="435">
        <v>8</v>
      </c>
      <c r="E398" s="435" t="s">
        <v>327</v>
      </c>
      <c r="F398" s="436" t="s">
        <v>50</v>
      </c>
      <c r="G398" s="437">
        <v>0.72916666666666552</v>
      </c>
      <c r="H398" s="436" t="s">
        <v>231</v>
      </c>
      <c r="I398" s="435">
        <v>55</v>
      </c>
      <c r="J398" s="436" t="s">
        <v>80</v>
      </c>
      <c r="K398" s="438">
        <v>16.77</v>
      </c>
      <c r="L398" s="439">
        <v>0.87</v>
      </c>
      <c r="M398" s="435">
        <v>17</v>
      </c>
      <c r="N398" s="435">
        <v>2</v>
      </c>
      <c r="O398" s="438">
        <v>19.275862068965516</v>
      </c>
      <c r="P398" s="440">
        <v>-4.3927053282153636</v>
      </c>
      <c r="Q398" s="438">
        <v>8.3849999999999998</v>
      </c>
      <c r="R398" s="438">
        <v>0.9864705882352941</v>
      </c>
      <c r="S398" s="441">
        <v>8.5</v>
      </c>
      <c r="T398" s="441">
        <v>2.2988505747126435</v>
      </c>
      <c r="U398" s="239">
        <v>1</v>
      </c>
      <c r="V398" s="442">
        <v>1.8124999999999999E-2</v>
      </c>
      <c r="W398" s="441" t="s">
        <v>176</v>
      </c>
      <c r="X398" s="438">
        <v>24.067695029985224</v>
      </c>
      <c r="Y398" s="438">
        <v>-4.7918329610197077</v>
      </c>
      <c r="Z398" s="443">
        <v>59.223888888888865</v>
      </c>
      <c r="AA398" s="58">
        <f t="shared" ca="1" si="18"/>
        <v>67.465000000000003</v>
      </c>
      <c r="AB398" s="453">
        <f ca="1">Table29[[#This Row],[Earnings]]-Table29[[#This Row],[4-Week Average]]</f>
        <v>-50.695000000000007</v>
      </c>
    </row>
    <row r="399" spans="1:28" x14ac:dyDescent="0.35">
      <c r="A399" s="445">
        <v>45250</v>
      </c>
      <c r="B399" s="444">
        <v>2023</v>
      </c>
      <c r="C399" s="444">
        <v>48</v>
      </c>
      <c r="D399" s="444">
        <v>9</v>
      </c>
      <c r="E399" s="444" t="s">
        <v>327</v>
      </c>
      <c r="F399" s="445" t="s">
        <v>46</v>
      </c>
      <c r="G399" s="446">
        <v>0.72916666666666552</v>
      </c>
      <c r="H399" s="445" t="s">
        <v>230</v>
      </c>
      <c r="I399" s="444">
        <v>28</v>
      </c>
      <c r="J399" s="445" t="s">
        <v>174</v>
      </c>
      <c r="K399" s="447">
        <v>113.41</v>
      </c>
      <c r="L399" s="448">
        <v>5.05</v>
      </c>
      <c r="M399" s="444">
        <v>137</v>
      </c>
      <c r="N399" s="444">
        <v>10</v>
      </c>
      <c r="O399" s="447">
        <v>22.457425742574259</v>
      </c>
      <c r="P399" s="449">
        <v>-5.9587478274454639</v>
      </c>
      <c r="Q399" s="447">
        <v>11.340999999999999</v>
      </c>
      <c r="R399" s="447">
        <v>0.82781021897810214</v>
      </c>
      <c r="S399" s="450">
        <v>13.7</v>
      </c>
      <c r="T399" s="450">
        <v>1.9801980198019802</v>
      </c>
      <c r="U399" s="240">
        <v>2</v>
      </c>
      <c r="V399" s="451">
        <v>2.1041666666666667E-2</v>
      </c>
      <c r="W399" s="450" t="s">
        <v>175</v>
      </c>
      <c r="X399" s="447">
        <v>22.7536390170972</v>
      </c>
      <c r="Y399" s="447">
        <v>-0.29621327452294111</v>
      </c>
      <c r="Z399" s="452">
        <v>60.257444444444417</v>
      </c>
      <c r="AA399" s="58">
        <f t="shared" ca="1" si="18"/>
        <v>59.8</v>
      </c>
      <c r="AB399" s="453">
        <f ca="1">Table29[[#This Row],[Earnings]]-Table29[[#This Row],[4-Week Average]]</f>
        <v>53.61</v>
      </c>
    </row>
    <row r="400" spans="1:28" x14ac:dyDescent="0.35">
      <c r="A400" s="436">
        <v>45251</v>
      </c>
      <c r="B400" s="435">
        <v>2023</v>
      </c>
      <c r="C400" s="435">
        <v>48</v>
      </c>
      <c r="D400" s="435">
        <v>9</v>
      </c>
      <c r="E400" s="435" t="s">
        <v>327</v>
      </c>
      <c r="F400" s="436" t="s">
        <v>47</v>
      </c>
      <c r="G400" s="437">
        <v>0.74999999999999889</v>
      </c>
      <c r="H400" s="436" t="s">
        <v>231</v>
      </c>
      <c r="I400" s="435">
        <v>30</v>
      </c>
      <c r="J400" s="436" t="s">
        <v>82</v>
      </c>
      <c r="K400" s="438">
        <v>73.5</v>
      </c>
      <c r="L400" s="439">
        <v>4.0199999999999996</v>
      </c>
      <c r="M400" s="435">
        <v>71</v>
      </c>
      <c r="N400" s="435">
        <v>9</v>
      </c>
      <c r="O400" s="438">
        <v>18.28358208955224</v>
      </c>
      <c r="P400" s="440">
        <v>0.66290187867400974</v>
      </c>
      <c r="Q400" s="438">
        <v>8.1666666666666661</v>
      </c>
      <c r="R400" s="438">
        <v>1.0352112676056338</v>
      </c>
      <c r="S400" s="441">
        <v>7.8888888888888893</v>
      </c>
      <c r="T400" s="441">
        <v>2.238805970149254</v>
      </c>
      <c r="U400" s="239">
        <v>2</v>
      </c>
      <c r="V400" s="442">
        <v>1.861111111111111E-2</v>
      </c>
      <c r="W400" s="441" t="s">
        <v>175</v>
      </c>
      <c r="X400" s="438">
        <v>18.28358208955224</v>
      </c>
      <c r="Y400" s="438">
        <v>0</v>
      </c>
      <c r="Z400" s="443">
        <v>60.156222222222198</v>
      </c>
      <c r="AA400" s="58">
        <f t="shared" ca="1" si="18"/>
        <v>57.769999999999996</v>
      </c>
      <c r="AB400" s="453">
        <f ca="1">Table29[[#This Row],[Earnings]]-Table29[[#This Row],[4-Week Average]]</f>
        <v>15.730000000000004</v>
      </c>
    </row>
    <row r="401" spans="1:28" x14ac:dyDescent="0.35">
      <c r="A401" s="445">
        <v>45252</v>
      </c>
      <c r="B401" s="444">
        <v>2023</v>
      </c>
      <c r="C401" s="444">
        <v>48</v>
      </c>
      <c r="D401" s="444">
        <v>9</v>
      </c>
      <c r="E401" s="444" t="s">
        <v>327</v>
      </c>
      <c r="F401" s="445" t="s">
        <v>48</v>
      </c>
      <c r="G401" s="446">
        <v>0.70833333333333226</v>
      </c>
      <c r="H401" s="445" t="s">
        <v>236</v>
      </c>
      <c r="I401" s="444">
        <v>37</v>
      </c>
      <c r="J401" s="445" t="s">
        <v>80</v>
      </c>
      <c r="K401" s="447">
        <v>32.18</v>
      </c>
      <c r="L401" s="448">
        <v>1.83</v>
      </c>
      <c r="M401" s="444">
        <v>38</v>
      </c>
      <c r="N401" s="444">
        <v>3</v>
      </c>
      <c r="O401" s="447">
        <v>17.584699453551913</v>
      </c>
      <c r="P401" s="449">
        <v>-4.7257213080173734</v>
      </c>
      <c r="Q401" s="447">
        <v>10.726666666666667</v>
      </c>
      <c r="R401" s="447">
        <v>0.84684210526315784</v>
      </c>
      <c r="S401" s="450">
        <v>12.666666666666666</v>
      </c>
      <c r="T401" s="450">
        <v>1.639344262295082</v>
      </c>
      <c r="U401" s="240">
        <v>1</v>
      </c>
      <c r="V401" s="451">
        <v>2.5416666666666667E-2</v>
      </c>
      <c r="W401" s="450" t="s">
        <v>176</v>
      </c>
      <c r="X401" s="447">
        <v>21.611061995023647</v>
      </c>
      <c r="Y401" s="447">
        <v>-4.0263625414717339</v>
      </c>
      <c r="Z401" s="452">
        <v>59.895111111111085</v>
      </c>
      <c r="AA401" s="58">
        <f t="shared" ca="1" si="18"/>
        <v>58.965000000000003</v>
      </c>
      <c r="AB401" s="453">
        <f ca="1">Table29[[#This Row],[Earnings]]-Table29[[#This Row],[4-Week Average]]</f>
        <v>-26.785000000000004</v>
      </c>
    </row>
    <row r="402" spans="1:28" x14ac:dyDescent="0.35">
      <c r="A402" s="436">
        <v>45254</v>
      </c>
      <c r="B402" s="435">
        <v>2023</v>
      </c>
      <c r="C402" s="435">
        <v>48</v>
      </c>
      <c r="D402" s="435">
        <v>9</v>
      </c>
      <c r="E402" s="435" t="s">
        <v>327</v>
      </c>
      <c r="F402" s="436" t="s">
        <v>50</v>
      </c>
      <c r="G402" s="437">
        <v>0.72916666666666552</v>
      </c>
      <c r="H402" s="436" t="s">
        <v>230</v>
      </c>
      <c r="I402" s="435">
        <v>25</v>
      </c>
      <c r="J402" s="436" t="s">
        <v>80</v>
      </c>
      <c r="K402" s="438">
        <v>178.75</v>
      </c>
      <c r="L402" s="439">
        <v>6.55</v>
      </c>
      <c r="M402" s="435">
        <v>158</v>
      </c>
      <c r="N402" s="435">
        <v>15</v>
      </c>
      <c r="O402" s="438">
        <v>27.290076335877863</v>
      </c>
      <c r="P402" s="440">
        <v>3.9352736049980805</v>
      </c>
      <c r="Q402" s="438">
        <v>11.916666666666666</v>
      </c>
      <c r="R402" s="438">
        <v>1.1313291139240507</v>
      </c>
      <c r="S402" s="441">
        <v>10.533333333333333</v>
      </c>
      <c r="T402" s="441">
        <v>2.2900763358778629</v>
      </c>
      <c r="U402" s="239">
        <v>3</v>
      </c>
      <c r="V402" s="442">
        <v>1.8194444444444444E-2</v>
      </c>
      <c r="W402" s="441" t="s">
        <v>176</v>
      </c>
      <c r="X402" s="438">
        <v>22.935551190780895</v>
      </c>
      <c r="Y402" s="438">
        <v>4.354525145096968</v>
      </c>
      <c r="Z402" s="443">
        <v>58.288777777777767</v>
      </c>
      <c r="AA402" s="58">
        <f t="shared" ca="1" si="18"/>
        <v>99.460000000000008</v>
      </c>
      <c r="AB402" s="453">
        <f ca="1">Table29[[#This Row],[Earnings]]-Table29[[#This Row],[4-Week Average]]</f>
        <v>79.289999999999992</v>
      </c>
    </row>
    <row r="403" spans="1:28" x14ac:dyDescent="0.35">
      <c r="A403" s="445">
        <v>45257</v>
      </c>
      <c r="B403" s="444">
        <v>2023</v>
      </c>
      <c r="C403" s="444">
        <v>49</v>
      </c>
      <c r="D403" s="444">
        <v>10</v>
      </c>
      <c r="E403" s="444" t="s">
        <v>327</v>
      </c>
      <c r="F403" s="445" t="s">
        <v>46</v>
      </c>
      <c r="G403" s="446">
        <v>0.72916666666666552</v>
      </c>
      <c r="H403" s="445" t="s">
        <v>231</v>
      </c>
      <c r="I403" s="444">
        <v>43</v>
      </c>
      <c r="J403" s="445" t="s">
        <v>80</v>
      </c>
      <c r="K403" s="447">
        <v>112.21000000000001</v>
      </c>
      <c r="L403" s="448">
        <v>4.13</v>
      </c>
      <c r="M403" s="444">
        <v>108</v>
      </c>
      <c r="N403" s="444">
        <v>9</v>
      </c>
      <c r="O403" s="447">
        <v>27.16949152542373</v>
      </c>
      <c r="P403" s="449">
        <v>1.9901568521822632</v>
      </c>
      <c r="Q403" s="447">
        <v>12.467777777777778</v>
      </c>
      <c r="R403" s="447">
        <v>1.0389814814814815</v>
      </c>
      <c r="S403" s="450">
        <v>12</v>
      </c>
      <c r="T403" s="450">
        <v>2.179176755447942</v>
      </c>
      <c r="U403" s="240">
        <v>3</v>
      </c>
      <c r="V403" s="451">
        <v>1.9120370370370371E-2</v>
      </c>
      <c r="W403" s="450" t="s">
        <v>176</v>
      </c>
      <c r="X403" s="447">
        <v>21.442841149708883</v>
      </c>
      <c r="Y403" s="447">
        <v>5.726650375714847</v>
      </c>
      <c r="Z403" s="452">
        <v>58.636222222222216</v>
      </c>
      <c r="AA403" s="58">
        <f t="shared" ca="1" si="18"/>
        <v>99.16</v>
      </c>
      <c r="AB403" s="453">
        <f ca="1">Table29[[#This Row],[Earnings]]-Table29[[#This Row],[4-Week Average]]</f>
        <v>13.050000000000011</v>
      </c>
    </row>
    <row r="404" spans="1:28" x14ac:dyDescent="0.35">
      <c r="A404" s="436">
        <v>45258</v>
      </c>
      <c r="B404" s="435">
        <v>2023</v>
      </c>
      <c r="C404" s="435">
        <v>49</v>
      </c>
      <c r="D404" s="435">
        <v>10</v>
      </c>
      <c r="E404" s="435" t="s">
        <v>327</v>
      </c>
      <c r="F404" s="436" t="s">
        <v>47</v>
      </c>
      <c r="G404" s="437">
        <v>0.70833333333333226</v>
      </c>
      <c r="H404" s="436" t="s">
        <v>230</v>
      </c>
      <c r="I404" s="435">
        <v>30</v>
      </c>
      <c r="J404" s="436" t="s">
        <v>80</v>
      </c>
      <c r="K404" s="438">
        <v>153.41</v>
      </c>
      <c r="L404" s="439">
        <v>4.97</v>
      </c>
      <c r="M404" s="435">
        <v>142</v>
      </c>
      <c r="N404" s="435">
        <v>8</v>
      </c>
      <c r="O404" s="438">
        <v>30.867203219315897</v>
      </c>
      <c r="P404" s="440">
        <v>7.3073090855568559</v>
      </c>
      <c r="Q404" s="438">
        <v>19.17625</v>
      </c>
      <c r="R404" s="438">
        <v>1.0803521126760562</v>
      </c>
      <c r="S404" s="441">
        <v>17.75</v>
      </c>
      <c r="T404" s="441">
        <v>1.6096579476861168</v>
      </c>
      <c r="U404" s="239">
        <v>2</v>
      </c>
      <c r="V404" s="442">
        <v>2.5885416666666664E-2</v>
      </c>
      <c r="W404" s="441" t="s">
        <v>176</v>
      </c>
      <c r="X404" s="438">
        <v>26.00270730071486</v>
      </c>
      <c r="Y404" s="438">
        <v>4.8644959186010368</v>
      </c>
      <c r="Z404" s="443">
        <v>59.161888888888875</v>
      </c>
      <c r="AA404" s="58">
        <f t="shared" ca="1" si="18"/>
        <v>119.13749999999999</v>
      </c>
      <c r="AB404" s="453">
        <f ca="1">Table29[[#This Row],[Earnings]]-Table29[[#This Row],[4-Week Average]]</f>
        <v>34.272500000000008</v>
      </c>
    </row>
    <row r="405" spans="1:28" x14ac:dyDescent="0.35">
      <c r="A405" s="445">
        <v>45260</v>
      </c>
      <c r="B405" s="444">
        <v>2023</v>
      </c>
      <c r="C405" s="444">
        <v>49</v>
      </c>
      <c r="D405" s="444">
        <v>10</v>
      </c>
      <c r="E405" s="444" t="s">
        <v>327</v>
      </c>
      <c r="F405" s="445" t="s">
        <v>49</v>
      </c>
      <c r="G405" s="446">
        <v>0.70833333333333226</v>
      </c>
      <c r="H405" s="445" t="s">
        <v>249</v>
      </c>
      <c r="I405" s="444">
        <v>37</v>
      </c>
      <c r="J405" s="445" t="s">
        <v>85</v>
      </c>
      <c r="K405" s="447">
        <v>68.13</v>
      </c>
      <c r="L405" s="448">
        <v>4.0199999999999996</v>
      </c>
      <c r="M405" s="444">
        <v>99</v>
      </c>
      <c r="N405" s="444">
        <v>8</v>
      </c>
      <c r="O405" s="447">
        <v>16.947761194029852</v>
      </c>
      <c r="P405" s="449">
        <v>0.25140479421076734</v>
      </c>
      <c r="Q405" s="447">
        <v>8.5162499999999994</v>
      </c>
      <c r="R405" s="447">
        <v>0.68818181818181812</v>
      </c>
      <c r="S405" s="450">
        <v>12.375</v>
      </c>
      <c r="T405" s="450">
        <v>1.9900497512437814</v>
      </c>
      <c r="U405" s="240">
        <v>2</v>
      </c>
      <c r="V405" s="451">
        <v>2.0937499999999998E-2</v>
      </c>
      <c r="W405" s="450" t="s">
        <v>175</v>
      </c>
      <c r="X405" s="447">
        <v>15.442748521543226</v>
      </c>
      <c r="Y405" s="447">
        <v>1.5050126724866253</v>
      </c>
      <c r="Z405" s="452">
        <v>57.529222222222216</v>
      </c>
      <c r="AA405" s="58">
        <f t="shared" ca="1" si="18"/>
        <v>128.125</v>
      </c>
      <c r="AB405" s="453">
        <f ca="1">Table29[[#This Row],[Earnings]]-Table29[[#This Row],[4-Week Average]]</f>
        <v>-59.995000000000005</v>
      </c>
    </row>
    <row r="406" spans="1:28" x14ac:dyDescent="0.35">
      <c r="A406" s="436">
        <v>45266</v>
      </c>
      <c r="B406" s="435">
        <v>2023</v>
      </c>
      <c r="C406" s="435">
        <v>50</v>
      </c>
      <c r="D406" s="435">
        <v>11</v>
      </c>
      <c r="E406" s="435" t="s">
        <v>327</v>
      </c>
      <c r="F406" s="436" t="s">
        <v>48</v>
      </c>
      <c r="G406" s="437">
        <v>0.70833333333333226</v>
      </c>
      <c r="H406" s="436" t="s">
        <v>230</v>
      </c>
      <c r="I406" s="435">
        <v>21</v>
      </c>
      <c r="J406" s="436" t="s">
        <v>85</v>
      </c>
      <c r="K406" s="438">
        <v>76.150000000000006</v>
      </c>
      <c r="L406" s="439">
        <v>3.85</v>
      </c>
      <c r="M406" s="435">
        <v>80</v>
      </c>
      <c r="N406" s="435">
        <v>7</v>
      </c>
      <c r="O406" s="438">
        <v>19.779220779220779</v>
      </c>
      <c r="P406" s="440">
        <v>7.1913724820071572</v>
      </c>
      <c r="Q406" s="438">
        <v>10.87857142857143</v>
      </c>
      <c r="R406" s="438">
        <v>0.95187500000000003</v>
      </c>
      <c r="S406" s="441">
        <v>11.428571428571429</v>
      </c>
      <c r="T406" s="441">
        <v>1.8181818181818181</v>
      </c>
      <c r="U406" s="239">
        <v>2</v>
      </c>
      <c r="V406" s="442">
        <v>2.2916666666666669E-2</v>
      </c>
      <c r="W406" s="441" t="s">
        <v>175</v>
      </c>
      <c r="X406" s="438">
        <v>28.248499278499281</v>
      </c>
      <c r="Y406" s="438">
        <v>-8.4692784992785022</v>
      </c>
      <c r="Z406" s="443">
        <v>53.332000000000001</v>
      </c>
      <c r="AA406" s="58">
        <f t="shared" ca="1" si="18"/>
        <v>102.47499999999999</v>
      </c>
      <c r="AB406" s="453">
        <f ca="1">Table29[[#This Row],[Earnings]]-Table29[[#This Row],[4-Week Average]]</f>
        <v>-26.324999999999989</v>
      </c>
    </row>
    <row r="407" spans="1:28" x14ac:dyDescent="0.35">
      <c r="A407" s="445">
        <v>45267</v>
      </c>
      <c r="B407" s="444">
        <v>2023</v>
      </c>
      <c r="C407" s="444">
        <v>50</v>
      </c>
      <c r="D407" s="444">
        <v>11</v>
      </c>
      <c r="E407" s="444" t="s">
        <v>327</v>
      </c>
      <c r="F407" s="445" t="s">
        <v>49</v>
      </c>
      <c r="G407" s="446">
        <v>0.72916666666666552</v>
      </c>
      <c r="H407" s="445" t="s">
        <v>230</v>
      </c>
      <c r="I407" s="444">
        <v>16</v>
      </c>
      <c r="J407" s="445" t="s">
        <v>80</v>
      </c>
      <c r="K407" s="447">
        <v>112.88</v>
      </c>
      <c r="L407" s="448">
        <v>4.25</v>
      </c>
      <c r="M407" s="444">
        <v>102</v>
      </c>
      <c r="N407" s="444">
        <v>9</v>
      </c>
      <c r="O407" s="447">
        <v>26.56</v>
      </c>
      <c r="P407" s="449">
        <v>5.319057903909723</v>
      </c>
      <c r="Q407" s="447">
        <v>12.542222222222222</v>
      </c>
      <c r="R407" s="447">
        <v>1.1066666666666667</v>
      </c>
      <c r="S407" s="450">
        <v>11.333333333333334</v>
      </c>
      <c r="T407" s="450">
        <v>2.1176470588235294</v>
      </c>
      <c r="U407" s="240">
        <v>2</v>
      </c>
      <c r="V407" s="451">
        <v>1.9675925925925927E-2</v>
      </c>
      <c r="W407" s="450" t="s">
        <v>176</v>
      </c>
      <c r="X407" s="447">
        <v>19.011640461215933</v>
      </c>
      <c r="Y407" s="447">
        <v>7.5483595387840658</v>
      </c>
      <c r="Z407" s="452">
        <v>53.030444444444434</v>
      </c>
      <c r="AA407" s="58">
        <f t="shared" ca="1" si="18"/>
        <v>102.6425</v>
      </c>
      <c r="AB407" s="453">
        <f ca="1">Table29[[#This Row],[Earnings]]-Table29[[#This Row],[4-Week Average]]</f>
        <v>10.237499999999997</v>
      </c>
    </row>
    <row r="408" spans="1:28" x14ac:dyDescent="0.35">
      <c r="A408" s="436">
        <v>45268</v>
      </c>
      <c r="B408" s="435">
        <v>2023</v>
      </c>
      <c r="C408" s="435">
        <v>50</v>
      </c>
      <c r="D408" s="435">
        <v>11</v>
      </c>
      <c r="E408" s="435" t="s">
        <v>327</v>
      </c>
      <c r="F408" s="436" t="s">
        <v>50</v>
      </c>
      <c r="G408" s="437">
        <v>0.72916666666666552</v>
      </c>
      <c r="H408" s="436" t="s">
        <v>249</v>
      </c>
      <c r="I408" s="435">
        <v>27</v>
      </c>
      <c r="J408" s="436" t="s">
        <v>85</v>
      </c>
      <c r="K408" s="438">
        <v>54.339999999999996</v>
      </c>
      <c r="L408" s="439">
        <v>3.08</v>
      </c>
      <c r="M408" s="435">
        <v>74</v>
      </c>
      <c r="N408" s="435">
        <v>6</v>
      </c>
      <c r="O408" s="438">
        <v>17.642857142857142</v>
      </c>
      <c r="P408" s="440">
        <v>-0.45611859070409366</v>
      </c>
      <c r="Q408" s="438">
        <v>9.0566666666666666</v>
      </c>
      <c r="R408" s="438">
        <v>0.73432432432432426</v>
      </c>
      <c r="S408" s="441">
        <v>12.333333333333334</v>
      </c>
      <c r="T408" s="441">
        <v>1.948051948051948</v>
      </c>
      <c r="U408" s="239">
        <v>2</v>
      </c>
      <c r="V408" s="442">
        <v>2.1388888888888888E-2</v>
      </c>
      <c r="W408" s="441" t="s">
        <v>176</v>
      </c>
      <c r="X408" s="438">
        <v>22.408214068869807</v>
      </c>
      <c r="Y408" s="438">
        <v>-4.7653569260126645</v>
      </c>
      <c r="Z408" s="443">
        <v>53.634222222222213</v>
      </c>
      <c r="AA408" s="58">
        <f t="shared" ca="1" si="18"/>
        <v>77.874999999999986</v>
      </c>
      <c r="AB408" s="453">
        <f ca="1">Table29[[#This Row],[Earnings]]-Table29[[#This Row],[4-Week Average]]</f>
        <v>-23.534999999999989</v>
      </c>
    </row>
    <row r="409" spans="1:28" x14ac:dyDescent="0.35">
      <c r="A409" s="445">
        <v>45269</v>
      </c>
      <c r="B409" s="444">
        <v>2023</v>
      </c>
      <c r="C409" s="444">
        <v>50</v>
      </c>
      <c r="D409" s="444">
        <v>11</v>
      </c>
      <c r="E409" s="444" t="s">
        <v>327</v>
      </c>
      <c r="F409" s="445" t="s">
        <v>51</v>
      </c>
      <c r="G409" s="446">
        <v>0.72916666666666552</v>
      </c>
      <c r="H409" s="445" t="s">
        <v>249</v>
      </c>
      <c r="I409" s="444">
        <v>34</v>
      </c>
      <c r="J409" s="445" t="s">
        <v>82</v>
      </c>
      <c r="K409" s="447">
        <v>38.44</v>
      </c>
      <c r="L409" s="448">
        <v>2.25</v>
      </c>
      <c r="M409" s="444">
        <v>36</v>
      </c>
      <c r="N409" s="444">
        <v>7</v>
      </c>
      <c r="O409" s="447">
        <v>17.084444444444443</v>
      </c>
      <c r="P409" s="449">
        <v>-6.7276500627727422</v>
      </c>
      <c r="Q409" s="447">
        <v>5.4914285714285711</v>
      </c>
      <c r="R409" s="447">
        <v>1.0677777777777777</v>
      </c>
      <c r="S409" s="450">
        <v>5.1428571428571432</v>
      </c>
      <c r="T409" s="450">
        <v>3.1111111111111112</v>
      </c>
      <c r="U409" s="240">
        <v>1</v>
      </c>
      <c r="V409" s="451">
        <v>1.3392857142857144E-2</v>
      </c>
      <c r="W409" s="450" t="s">
        <v>175</v>
      </c>
      <c r="X409" s="447">
        <v>17.084444444444443</v>
      </c>
      <c r="Y409" s="447">
        <v>0</v>
      </c>
      <c r="Z409" s="452">
        <v>52.781555555555556</v>
      </c>
      <c r="AA409" s="58">
        <f t="shared" ca="1" si="18"/>
        <v>70.452500000000001</v>
      </c>
      <c r="AB409" s="453">
        <f ca="1">Table29[[#This Row],[Earnings]]-Table29[[#This Row],[4-Week Average]]</f>
        <v>-32.012500000000003</v>
      </c>
    </row>
    <row r="410" spans="1:28" x14ac:dyDescent="0.35">
      <c r="A410" s="436">
        <v>45274</v>
      </c>
      <c r="B410" s="435">
        <v>2023</v>
      </c>
      <c r="C410" s="435">
        <v>51</v>
      </c>
      <c r="D410" s="435">
        <v>12</v>
      </c>
      <c r="E410" s="435" t="s">
        <v>327</v>
      </c>
      <c r="F410" s="436" t="s">
        <v>49</v>
      </c>
      <c r="G410" s="437">
        <v>0.70833333333333226</v>
      </c>
      <c r="H410" s="436" t="s">
        <v>249</v>
      </c>
      <c r="I410" s="435">
        <v>28</v>
      </c>
      <c r="J410" s="436" t="s">
        <v>80</v>
      </c>
      <c r="K410" s="438">
        <v>166.66</v>
      </c>
      <c r="L410" s="439">
        <v>6.25</v>
      </c>
      <c r="M410" s="435">
        <v>144</v>
      </c>
      <c r="N410" s="435">
        <v>12</v>
      </c>
      <c r="O410" s="438">
        <v>26.665599999999998</v>
      </c>
      <c r="P410" s="440">
        <v>4.6647924890654764</v>
      </c>
      <c r="Q410" s="438">
        <v>13.888333333333334</v>
      </c>
      <c r="R410" s="438">
        <v>1.1573611111111111</v>
      </c>
      <c r="S410" s="441">
        <v>12</v>
      </c>
      <c r="T410" s="441">
        <v>1.92</v>
      </c>
      <c r="U410" s="239">
        <v>4</v>
      </c>
      <c r="V410" s="442">
        <v>2.1701388888888892E-2</v>
      </c>
      <c r="W410" s="441" t="s">
        <v>176</v>
      </c>
      <c r="X410" s="438">
        <v>22.64296949152542</v>
      </c>
      <c r="Y410" s="438">
        <v>4.0226305084745775</v>
      </c>
      <c r="Z410" s="443">
        <v>52.094000000000001</v>
      </c>
      <c r="AA410" s="58">
        <f t="shared" ca="1" si="18"/>
        <v>93.08</v>
      </c>
      <c r="AB410" s="453">
        <f ca="1">Table29[[#This Row],[Earnings]]-Table29[[#This Row],[4-Week Average]]</f>
        <v>73.58</v>
      </c>
    </row>
    <row r="411" spans="1:28" x14ac:dyDescent="0.35">
      <c r="A411" s="445">
        <v>45276</v>
      </c>
      <c r="B411" s="444">
        <v>2023</v>
      </c>
      <c r="C411" s="444">
        <v>51</v>
      </c>
      <c r="D411" s="444">
        <v>12</v>
      </c>
      <c r="E411" s="444" t="s">
        <v>327</v>
      </c>
      <c r="F411" s="445" t="s">
        <v>51</v>
      </c>
      <c r="G411" s="446">
        <v>0.72916666666666552</v>
      </c>
      <c r="H411" s="445" t="s">
        <v>230</v>
      </c>
      <c r="I411" s="444">
        <v>34</v>
      </c>
      <c r="J411" s="445" t="s">
        <v>174</v>
      </c>
      <c r="K411" s="447">
        <v>64.72</v>
      </c>
      <c r="L411" s="448">
        <v>3.13</v>
      </c>
      <c r="M411" s="444">
        <v>65</v>
      </c>
      <c r="N411" s="444">
        <v>6</v>
      </c>
      <c r="O411" s="447">
        <v>20.677316293929714</v>
      </c>
      <c r="P411" s="449">
        <v>-0.10537601376259431</v>
      </c>
      <c r="Q411" s="447">
        <v>10.786666666666667</v>
      </c>
      <c r="R411" s="447">
        <v>0.99569230769230765</v>
      </c>
      <c r="S411" s="450">
        <v>10.833333333333334</v>
      </c>
      <c r="T411" s="450">
        <v>1.9169329073482428</v>
      </c>
      <c r="U411" s="240">
        <v>2</v>
      </c>
      <c r="V411" s="451">
        <v>2.1736111111111109E-2</v>
      </c>
      <c r="W411" s="450" t="s">
        <v>175</v>
      </c>
      <c r="X411" s="447">
        <v>19.249617051074445</v>
      </c>
      <c r="Y411" s="447">
        <v>1.4276992428552688</v>
      </c>
      <c r="Z411" s="452">
        <v>51.646777777777771</v>
      </c>
      <c r="AA411" s="58">
        <f t="shared" ca="1" si="18"/>
        <v>81.039999999999992</v>
      </c>
      <c r="AB411" s="453">
        <f ca="1">Table29[[#This Row],[Earnings]]-Table29[[#This Row],[4-Week Average]]</f>
        <v>-16.319999999999993</v>
      </c>
    </row>
    <row r="412" spans="1:28" x14ac:dyDescent="0.35">
      <c r="A412" s="436">
        <v>45278</v>
      </c>
      <c r="B412" s="435">
        <v>2022</v>
      </c>
      <c r="C412" s="435">
        <v>52</v>
      </c>
      <c r="D412" s="435">
        <v>13</v>
      </c>
      <c r="E412" s="435" t="s">
        <v>327</v>
      </c>
      <c r="F412" s="436" t="s">
        <v>46</v>
      </c>
      <c r="G412" s="437">
        <v>0.74999999999999889</v>
      </c>
      <c r="H412" s="436" t="s">
        <v>245</v>
      </c>
      <c r="I412" s="435">
        <v>52</v>
      </c>
      <c r="J412" s="436" t="s">
        <v>80</v>
      </c>
      <c r="K412" s="438">
        <v>87.759999999999991</v>
      </c>
      <c r="L412" s="439">
        <v>4.3499999999999996</v>
      </c>
      <c r="M412" s="435">
        <v>65</v>
      </c>
      <c r="N412" s="435">
        <v>8</v>
      </c>
      <c r="O412" s="438">
        <v>20.174712643678159</v>
      </c>
      <c r="P412" s="440">
        <v>-5.2036377147815323</v>
      </c>
      <c r="Q412" s="438">
        <v>10.969999999999999</v>
      </c>
      <c r="R412" s="438">
        <v>1.350153846153846</v>
      </c>
      <c r="S412" s="441">
        <v>8.125</v>
      </c>
      <c r="T412" s="441">
        <v>1.8390804597701151</v>
      </c>
      <c r="U412" s="239">
        <v>3</v>
      </c>
      <c r="V412" s="442">
        <v>2.2656249999999999E-2</v>
      </c>
      <c r="W412" s="441" t="s">
        <v>175</v>
      </c>
      <c r="X412" s="438">
        <v>20.087356321839081</v>
      </c>
      <c r="Y412" s="438">
        <v>8.7356321839077822E-2</v>
      </c>
      <c r="Z412" s="443">
        <v>52.01133333333334</v>
      </c>
      <c r="AA412" s="58">
        <f t="shared" ca="1" si="18"/>
        <v>89.394999999999996</v>
      </c>
      <c r="AB412" s="453">
        <f ca="1">Table29[[#This Row],[Earnings]]-Table29[[#This Row],[4-Week Average]]</f>
        <v>-1.6350000000000051</v>
      </c>
    </row>
    <row r="413" spans="1:28" x14ac:dyDescent="0.35">
      <c r="A413" s="445">
        <v>45282</v>
      </c>
      <c r="B413" s="444">
        <v>2022</v>
      </c>
      <c r="C413" s="444">
        <v>52</v>
      </c>
      <c r="D413" s="444">
        <v>13</v>
      </c>
      <c r="E413" s="444" t="s">
        <v>327</v>
      </c>
      <c r="F413" s="445" t="s">
        <v>50</v>
      </c>
      <c r="G413" s="446">
        <v>0.74999999999999889</v>
      </c>
      <c r="H413" s="445" t="s">
        <v>230</v>
      </c>
      <c r="I413" s="444">
        <v>25</v>
      </c>
      <c r="J413" s="445" t="s">
        <v>80</v>
      </c>
      <c r="K413" s="447">
        <v>123.04</v>
      </c>
      <c r="L413" s="448">
        <v>4.9000000000000004</v>
      </c>
      <c r="M413" s="444">
        <v>92</v>
      </c>
      <c r="N413" s="444">
        <v>10</v>
      </c>
      <c r="O413" s="447">
        <v>25.110204081632652</v>
      </c>
      <c r="P413" s="449">
        <v>1.4930497770863305</v>
      </c>
      <c r="Q413" s="447">
        <v>12.304</v>
      </c>
      <c r="R413" s="447">
        <v>1.337391304347826</v>
      </c>
      <c r="S413" s="450">
        <v>9.1999999999999993</v>
      </c>
      <c r="T413" s="450">
        <v>2.0408163265306123</v>
      </c>
      <c r="U413" s="240">
        <v>3</v>
      </c>
      <c r="V413" s="451">
        <v>2.041666666666667E-2</v>
      </c>
      <c r="W413" s="450" t="s">
        <v>176</v>
      </c>
      <c r="X413" s="447">
        <v>25.110204081632652</v>
      </c>
      <c r="Y413" s="447">
        <v>0</v>
      </c>
      <c r="Z413" s="452">
        <v>50.362333333333353</v>
      </c>
      <c r="AA413" s="58">
        <f t="shared" ca="1" si="18"/>
        <v>110.545</v>
      </c>
      <c r="AB413" s="453">
        <f ca="1">Table29[[#This Row],[Earnings]]-Table29[[#This Row],[4-Week Average]]</f>
        <v>12.495000000000005</v>
      </c>
    </row>
    <row r="414" spans="1:28" x14ac:dyDescent="0.35">
      <c r="A414" s="436">
        <v>45283</v>
      </c>
      <c r="B414" s="435">
        <v>2022</v>
      </c>
      <c r="C414" s="435">
        <v>52</v>
      </c>
      <c r="D414" s="435">
        <v>13</v>
      </c>
      <c r="E414" s="435" t="s">
        <v>327</v>
      </c>
      <c r="F414" s="436" t="s">
        <v>51</v>
      </c>
      <c r="G414" s="437">
        <v>0.74999999999999889</v>
      </c>
      <c r="H414" s="436" t="s">
        <v>249</v>
      </c>
      <c r="I414" s="435">
        <v>32</v>
      </c>
      <c r="J414" s="436" t="s">
        <v>80</v>
      </c>
      <c r="K414" s="438">
        <v>83.1</v>
      </c>
      <c r="L414" s="439">
        <v>3.82</v>
      </c>
      <c r="M414" s="435">
        <v>75</v>
      </c>
      <c r="N414" s="435">
        <v>7</v>
      </c>
      <c r="O414" s="438">
        <v>21.753926701570681</v>
      </c>
      <c r="P414" s="440">
        <v>2.1409661327277583</v>
      </c>
      <c r="Q414" s="438">
        <v>11.87142857142857</v>
      </c>
      <c r="R414" s="438">
        <v>1.1079999999999999</v>
      </c>
      <c r="S414" s="441">
        <v>10.714285714285714</v>
      </c>
      <c r="T414" s="441">
        <v>1.8324607329842932</v>
      </c>
      <c r="U414" s="239">
        <v>2</v>
      </c>
      <c r="V414" s="442">
        <v>2.2738095238095238E-2</v>
      </c>
      <c r="W414" s="441" t="s">
        <v>175</v>
      </c>
      <c r="X414" s="438">
        <v>21.753926701570681</v>
      </c>
      <c r="Y414" s="438">
        <v>0</v>
      </c>
      <c r="Z414" s="443">
        <v>51.285666666666685</v>
      </c>
      <c r="AA414" s="58">
        <f t="shared" ca="1" si="18"/>
        <v>89.655000000000001</v>
      </c>
      <c r="AB414" s="453">
        <f ca="1">Table29[[#This Row],[Earnings]]-Table29[[#This Row],[4-Week Average]]</f>
        <v>-6.5550000000000068</v>
      </c>
    </row>
    <row r="415" spans="1:28" x14ac:dyDescent="0.35">
      <c r="A415" s="445">
        <v>45284</v>
      </c>
      <c r="B415" s="444">
        <v>2022</v>
      </c>
      <c r="C415" s="444">
        <v>52</v>
      </c>
      <c r="D415" s="444">
        <v>13</v>
      </c>
      <c r="E415" s="444" t="s">
        <v>327</v>
      </c>
      <c r="F415" s="445" t="s">
        <v>45</v>
      </c>
      <c r="G415" s="446">
        <v>0.624999999999999</v>
      </c>
      <c r="H415" s="445" t="s">
        <v>231</v>
      </c>
      <c r="I415" s="444">
        <v>43</v>
      </c>
      <c r="J415" s="445" t="s">
        <v>80</v>
      </c>
      <c r="K415" s="447">
        <v>26.08</v>
      </c>
      <c r="L415" s="448">
        <v>1.43</v>
      </c>
      <c r="M415" s="444">
        <v>30</v>
      </c>
      <c r="N415" s="444">
        <v>2</v>
      </c>
      <c r="O415" s="447">
        <v>18.237762237762237</v>
      </c>
      <c r="P415" s="449">
        <v>-4.7908419298868488</v>
      </c>
      <c r="Q415" s="447">
        <v>13.04</v>
      </c>
      <c r="R415" s="447">
        <v>0.86933333333333329</v>
      </c>
      <c r="S415" s="450">
        <v>15</v>
      </c>
      <c r="T415" s="450">
        <v>1.3986013986013988</v>
      </c>
      <c r="U415" s="240">
        <v>2</v>
      </c>
      <c r="V415" s="451">
        <v>2.9791666666666664E-2</v>
      </c>
      <c r="W415" s="450" t="s">
        <v>176</v>
      </c>
      <c r="X415" s="447">
        <v>18.237762237762237</v>
      </c>
      <c r="Y415" s="447">
        <v>0</v>
      </c>
      <c r="Z415" s="452">
        <v>50.786888888888917</v>
      </c>
      <c r="AA415" s="58">
        <f t="shared" ca="1" si="18"/>
        <v>79.99499999999999</v>
      </c>
      <c r="AB415" s="453">
        <f ca="1">Table29[[#This Row],[Earnings]]-Table29[[#This Row],[4-Week Average]]</f>
        <v>-53.914999999999992</v>
      </c>
    </row>
    <row r="416" spans="1:28" x14ac:dyDescent="0.35">
      <c r="A416" s="436">
        <v>45287</v>
      </c>
      <c r="B416" s="435">
        <v>2023</v>
      </c>
      <c r="C416" s="435">
        <v>1</v>
      </c>
      <c r="D416" s="435">
        <v>1</v>
      </c>
      <c r="E416" s="435" t="s">
        <v>278</v>
      </c>
      <c r="F416" s="436" t="s">
        <v>48</v>
      </c>
      <c r="G416" s="437">
        <v>0.72916666666666552</v>
      </c>
      <c r="H416" s="436" t="s">
        <v>276</v>
      </c>
      <c r="I416" s="435">
        <v>39</v>
      </c>
      <c r="J416" s="436" t="s">
        <v>80</v>
      </c>
      <c r="K416" s="438">
        <v>99.559999999999988</v>
      </c>
      <c r="L416" s="439">
        <v>4.25</v>
      </c>
      <c r="M416" s="435">
        <v>80</v>
      </c>
      <c r="N416" s="435">
        <v>8</v>
      </c>
      <c r="O416" s="438">
        <v>23.425882352941173</v>
      </c>
      <c r="P416" s="440">
        <v>-6.3732523503689862</v>
      </c>
      <c r="Q416" s="438">
        <v>12.444999999999999</v>
      </c>
      <c r="R416" s="438">
        <v>1.2444999999999999</v>
      </c>
      <c r="S416" s="441">
        <v>10</v>
      </c>
      <c r="T416" s="441">
        <v>1.8823529411764706</v>
      </c>
      <c r="U416" s="239">
        <v>3</v>
      </c>
      <c r="V416" s="442">
        <v>2.2135416666666668E-2</v>
      </c>
      <c r="W416" s="441" t="s">
        <v>176</v>
      </c>
      <c r="X416" s="438">
        <v>24.079876660341554</v>
      </c>
      <c r="Y416" s="438">
        <v>-0.65399430740038156</v>
      </c>
      <c r="Z416" s="443">
        <v>50.261777777777802</v>
      </c>
      <c r="AA416" s="58">
        <f t="shared" ca="1" si="18"/>
        <v>82.944999999999993</v>
      </c>
      <c r="AB416" s="453">
        <f ca="1">Table29[[#This Row],[Earnings]]-Table29[[#This Row],[4-Week Average]]</f>
        <v>16.614999999999995</v>
      </c>
    </row>
    <row r="417" spans="1:28" x14ac:dyDescent="0.35">
      <c r="A417" s="445">
        <v>45289</v>
      </c>
      <c r="B417" s="444">
        <v>2023</v>
      </c>
      <c r="C417" s="444">
        <v>1</v>
      </c>
      <c r="D417" s="444">
        <v>1</v>
      </c>
      <c r="E417" s="444" t="s">
        <v>278</v>
      </c>
      <c r="F417" s="445" t="s">
        <v>50</v>
      </c>
      <c r="G417" s="446">
        <v>0.72916666666666552</v>
      </c>
      <c r="H417" s="445" t="s">
        <v>276</v>
      </c>
      <c r="I417" s="444">
        <v>36</v>
      </c>
      <c r="J417" s="445" t="s">
        <v>80</v>
      </c>
      <c r="K417" s="447">
        <v>178.29</v>
      </c>
      <c r="L417" s="448">
        <v>6.8</v>
      </c>
      <c r="M417" s="444">
        <v>150</v>
      </c>
      <c r="N417" s="444">
        <v>14</v>
      </c>
      <c r="O417" s="447">
        <v>26.219117647058823</v>
      </c>
      <c r="P417" s="449">
        <v>7.0316106127788558</v>
      </c>
      <c r="Q417" s="447">
        <v>12.734999999999999</v>
      </c>
      <c r="R417" s="447">
        <v>1.1885999999999999</v>
      </c>
      <c r="S417" s="450">
        <v>10.714285714285714</v>
      </c>
      <c r="T417" s="450">
        <v>2.0588235294117649</v>
      </c>
      <c r="U417" s="240">
        <v>4</v>
      </c>
      <c r="V417" s="451">
        <v>2.0238095238095239E-2</v>
      </c>
      <c r="W417" s="450" t="s">
        <v>176</v>
      </c>
      <c r="X417" s="447">
        <v>19.988788031661809</v>
      </c>
      <c r="Y417" s="447">
        <v>6.2303296153970145</v>
      </c>
      <c r="Z417" s="452">
        <v>50.498555555555562</v>
      </c>
      <c r="AA417" s="58">
        <f t="shared" ca="1" si="18"/>
        <v>96.757499999999993</v>
      </c>
      <c r="AB417" s="453">
        <f ca="1">Table29[[#This Row],[Earnings]]-Table29[[#This Row],[4-Week Average]]</f>
        <v>81.532499999999999</v>
      </c>
    </row>
    <row r="418" spans="1:28" x14ac:dyDescent="0.35">
      <c r="A418" s="436">
        <v>45292</v>
      </c>
      <c r="B418" s="435">
        <v>2024</v>
      </c>
      <c r="C418" s="435">
        <v>1</v>
      </c>
      <c r="D418" s="435">
        <v>1</v>
      </c>
      <c r="E418" s="435" t="s">
        <v>278</v>
      </c>
      <c r="F418" s="436" t="s">
        <v>46</v>
      </c>
      <c r="G418" s="437">
        <v>0.77083333333333215</v>
      </c>
      <c r="H418" s="436" t="s">
        <v>231</v>
      </c>
      <c r="I418" s="435">
        <v>27</v>
      </c>
      <c r="J418" s="436" t="s">
        <v>85</v>
      </c>
      <c r="K418" s="438">
        <v>62</v>
      </c>
      <c r="L418" s="439">
        <v>3.35</v>
      </c>
      <c r="M418" s="435">
        <v>83</v>
      </c>
      <c r="N418" s="435">
        <v>7</v>
      </c>
      <c r="O418" s="438">
        <v>18.507462686567163</v>
      </c>
      <c r="P418" s="440">
        <v>6.9493231516834406</v>
      </c>
      <c r="Q418" s="438">
        <v>8.8571428571428577</v>
      </c>
      <c r="R418" s="438">
        <v>0.74698795180722888</v>
      </c>
      <c r="S418" s="441">
        <v>11.857142857142858</v>
      </c>
      <c r="T418" s="441">
        <v>2.08955223880597</v>
      </c>
      <c r="U418" s="239">
        <v>3</v>
      </c>
      <c r="V418" s="442">
        <v>1.9940476190476192E-2</v>
      </c>
      <c r="W418" s="441" t="s">
        <v>176</v>
      </c>
      <c r="X418" s="438">
        <v>22.603731343283581</v>
      </c>
      <c r="Y418" s="438">
        <v>-4.0962686567164184</v>
      </c>
      <c r="Z418" s="443">
        <v>50.323000000000008</v>
      </c>
      <c r="AA418" s="58">
        <f t="shared" ca="1" si="18"/>
        <v>91.482499999999987</v>
      </c>
      <c r="AB418" s="453">
        <f ca="1">Table29[[#This Row],[Earnings]]-Table29[[#This Row],[4-Week Average]]</f>
        <v>-29.482499999999987</v>
      </c>
    </row>
    <row r="419" spans="1:28" x14ac:dyDescent="0.35">
      <c r="A419" s="445">
        <v>45293</v>
      </c>
      <c r="B419" s="444">
        <v>2024</v>
      </c>
      <c r="C419" s="444">
        <v>1</v>
      </c>
      <c r="D419" s="444">
        <v>1</v>
      </c>
      <c r="E419" s="444" t="s">
        <v>278</v>
      </c>
      <c r="F419" s="445" t="s">
        <v>47</v>
      </c>
      <c r="G419" s="446">
        <v>0.70833333333333226</v>
      </c>
      <c r="H419" s="445" t="s">
        <v>230</v>
      </c>
      <c r="I419" s="444">
        <v>28</v>
      </c>
      <c r="J419" s="445" t="s">
        <v>85</v>
      </c>
      <c r="K419" s="447">
        <v>83.03</v>
      </c>
      <c r="L419" s="448">
        <v>3.55</v>
      </c>
      <c r="M419" s="444">
        <v>91</v>
      </c>
      <c r="N419" s="444">
        <v>7</v>
      </c>
      <c r="O419" s="447">
        <v>23.388732394366198</v>
      </c>
      <c r="P419" s="449">
        <v>12.548463937990359</v>
      </c>
      <c r="Q419" s="447">
        <v>11.861428571428572</v>
      </c>
      <c r="R419" s="447">
        <v>0.91241758241758242</v>
      </c>
      <c r="S419" s="450">
        <v>13</v>
      </c>
      <c r="T419" s="450">
        <v>1.971830985915493</v>
      </c>
      <c r="U419" s="240">
        <v>2</v>
      </c>
      <c r="V419" s="451">
        <v>2.1130952380952379E-2</v>
      </c>
      <c r="W419" s="450" t="s">
        <v>176</v>
      </c>
      <c r="X419" s="447">
        <v>19.350854746801417</v>
      </c>
      <c r="Y419" s="447">
        <v>4.0378776475647804</v>
      </c>
      <c r="Z419" s="452">
        <v>51.245555555555562</v>
      </c>
      <c r="AA419" s="58">
        <f t="shared" ca="1" si="18"/>
        <v>105.72</v>
      </c>
      <c r="AB419" s="453">
        <f ca="1">Table29[[#This Row],[Earnings]]-Table29[[#This Row],[4-Week Average]]</f>
        <v>-22.689999999999998</v>
      </c>
    </row>
    <row r="420" spans="1:28" x14ac:dyDescent="0.35">
      <c r="A420" s="436">
        <v>45294</v>
      </c>
      <c r="B420" s="435">
        <v>2024</v>
      </c>
      <c r="C420" s="435">
        <v>1</v>
      </c>
      <c r="D420" s="435">
        <v>1</v>
      </c>
      <c r="E420" s="435" t="s">
        <v>278</v>
      </c>
      <c r="F420" s="436" t="s">
        <v>48</v>
      </c>
      <c r="G420" s="437">
        <v>0.70833333333333226</v>
      </c>
      <c r="H420" s="436" t="s">
        <v>231</v>
      </c>
      <c r="I420" s="435">
        <v>34</v>
      </c>
      <c r="J420" s="436" t="s">
        <v>80</v>
      </c>
      <c r="K420" s="438">
        <v>92.01</v>
      </c>
      <c r="L420" s="439">
        <v>3.72</v>
      </c>
      <c r="M420" s="435">
        <v>58</v>
      </c>
      <c r="N420" s="435">
        <v>9</v>
      </c>
      <c r="O420" s="438">
        <v>24.733870967741936</v>
      </c>
      <c r="P420" s="440">
        <v>-4.0030550105067242</v>
      </c>
      <c r="Q420" s="438">
        <v>10.223333333333334</v>
      </c>
      <c r="R420" s="438">
        <v>1.5863793103448276</v>
      </c>
      <c r="S420" s="441">
        <v>6.4444444444444446</v>
      </c>
      <c r="T420" s="441">
        <v>2.4193548387096775</v>
      </c>
      <c r="U420" s="239">
        <v>2</v>
      </c>
      <c r="V420" s="442">
        <v>1.7222222222222222E-2</v>
      </c>
      <c r="W420" s="441" t="s">
        <v>176</v>
      </c>
      <c r="X420" s="438">
        <v>24.079876660341554</v>
      </c>
      <c r="Y420" s="438">
        <v>0.65399430740038156</v>
      </c>
      <c r="Z420" s="443">
        <v>51.220111111111116</v>
      </c>
      <c r="AA420" s="58">
        <f t="shared" ca="1" si="18"/>
        <v>103.8325</v>
      </c>
      <c r="AB420" s="453">
        <f ca="1">Table29[[#This Row],[Earnings]]-Table29[[#This Row],[4-Week Average]]</f>
        <v>-11.822499999999991</v>
      </c>
    </row>
    <row r="421" spans="1:28" x14ac:dyDescent="0.35">
      <c r="A421" s="445">
        <v>45296</v>
      </c>
      <c r="B421" s="444">
        <v>2024</v>
      </c>
      <c r="C421" s="444">
        <v>1</v>
      </c>
      <c r="D421" s="444">
        <v>1</v>
      </c>
      <c r="E421" s="444" t="s">
        <v>278</v>
      </c>
      <c r="F421" s="445" t="s">
        <v>50</v>
      </c>
      <c r="G421" s="446">
        <v>0.79166666666666541</v>
      </c>
      <c r="H421" s="445" t="s">
        <v>230</v>
      </c>
      <c r="I421" s="444">
        <v>25</v>
      </c>
      <c r="J421" s="445" t="s">
        <v>80</v>
      </c>
      <c r="K421" s="447">
        <v>44</v>
      </c>
      <c r="L421" s="448">
        <v>2.63</v>
      </c>
      <c r="M421" s="444">
        <v>57</v>
      </c>
      <c r="N421" s="444">
        <v>4</v>
      </c>
      <c r="O421" s="447">
        <v>16.730038022813687</v>
      </c>
      <c r="P421" s="449">
        <v>-3.6294041135960917</v>
      </c>
      <c r="Q421" s="447">
        <v>11</v>
      </c>
      <c r="R421" s="447">
        <v>0.77192982456140347</v>
      </c>
      <c r="S421" s="450">
        <v>14.25</v>
      </c>
      <c r="T421" s="450">
        <v>1.5209125475285172</v>
      </c>
      <c r="U421" s="240">
        <v>1</v>
      </c>
      <c r="V421" s="451">
        <v>2.7395833333333331E-2</v>
      </c>
      <c r="W421" s="450" t="s">
        <v>176</v>
      </c>
      <c r="X421" s="447">
        <v>19.988788031661809</v>
      </c>
      <c r="Y421" s="447">
        <v>-3.2587500088481214</v>
      </c>
      <c r="Z421" s="452">
        <v>51.182444444444442</v>
      </c>
      <c r="AA421" s="58">
        <f t="shared" ca="1" si="18"/>
        <v>70.260000000000005</v>
      </c>
      <c r="AB421" s="453">
        <f ca="1">Table29[[#This Row],[Earnings]]-Table29[[#This Row],[4-Week Average]]</f>
        <v>-26.260000000000005</v>
      </c>
    </row>
    <row r="422" spans="1:28" x14ac:dyDescent="0.35">
      <c r="A422" s="436">
        <v>45297</v>
      </c>
      <c r="B422" s="435">
        <v>2024</v>
      </c>
      <c r="C422" s="435">
        <v>1</v>
      </c>
      <c r="D422" s="435">
        <v>1</v>
      </c>
      <c r="E422" s="435" t="s">
        <v>278</v>
      </c>
      <c r="F422" s="436" t="s">
        <v>51</v>
      </c>
      <c r="G422" s="437">
        <v>0.64583333333333237</v>
      </c>
      <c r="H422" s="436" t="s">
        <v>231</v>
      </c>
      <c r="I422" s="435">
        <v>25</v>
      </c>
      <c r="J422" s="436" t="s">
        <v>85</v>
      </c>
      <c r="K422" s="438">
        <v>135.41</v>
      </c>
      <c r="L422" s="439">
        <v>5.32</v>
      </c>
      <c r="M422" s="435">
        <v>122</v>
      </c>
      <c r="N422" s="435">
        <v>10</v>
      </c>
      <c r="O422" s="438">
        <v>25.453007518796991</v>
      </c>
      <c r="P422" s="440">
        <v>9.8697141954661589</v>
      </c>
      <c r="Q422" s="438">
        <v>13.541</v>
      </c>
      <c r="R422" s="438">
        <v>1.1099180327868852</v>
      </c>
      <c r="S422" s="441">
        <v>12.2</v>
      </c>
      <c r="T422" s="441">
        <v>1.8796992481203008</v>
      </c>
      <c r="U422" s="239">
        <v>4</v>
      </c>
      <c r="V422" s="442">
        <v>2.2166666666666668E-2</v>
      </c>
      <c r="W422" s="441" t="s">
        <v>175</v>
      </c>
      <c r="X422" s="438">
        <v>21.29747150133398</v>
      </c>
      <c r="Y422" s="438">
        <v>4.1555360174630103</v>
      </c>
      <c r="Z422" s="443">
        <v>52.686999999999998</v>
      </c>
      <c r="AA422" s="58">
        <f t="shared" ca="1" si="18"/>
        <v>88.612500000000011</v>
      </c>
      <c r="AB422" s="453">
        <f ca="1">Table29[[#This Row],[Earnings]]-Table29[[#This Row],[4-Week Average]]</f>
        <v>46.797499999999985</v>
      </c>
    </row>
    <row r="423" spans="1:28" x14ac:dyDescent="0.35">
      <c r="A423" s="445">
        <v>45298</v>
      </c>
      <c r="B423" s="444">
        <v>2024</v>
      </c>
      <c r="C423" s="444">
        <v>1</v>
      </c>
      <c r="D423" s="444">
        <v>1</v>
      </c>
      <c r="E423" s="444" t="s">
        <v>278</v>
      </c>
      <c r="F423" s="445" t="s">
        <v>45</v>
      </c>
      <c r="G423" s="446">
        <v>0.52083333333333248</v>
      </c>
      <c r="H423" s="445" t="s">
        <v>232</v>
      </c>
      <c r="I423" s="444">
        <v>19</v>
      </c>
      <c r="J423" s="445" t="s">
        <v>80</v>
      </c>
      <c r="K423" s="447">
        <v>92.73</v>
      </c>
      <c r="L423" s="448">
        <v>3.9</v>
      </c>
      <c r="M423" s="444">
        <v>72</v>
      </c>
      <c r="N423" s="444">
        <v>7</v>
      </c>
      <c r="O423" s="447">
        <v>23.776923076923079</v>
      </c>
      <c r="P423" s="449">
        <v>-2.2736070457079158</v>
      </c>
      <c r="Q423" s="447">
        <v>13.247142857142858</v>
      </c>
      <c r="R423" s="447">
        <v>1.2879166666666668</v>
      </c>
      <c r="S423" s="450">
        <v>10.285714285714286</v>
      </c>
      <c r="T423" s="450">
        <v>1.7948717948717949</v>
      </c>
      <c r="U423" s="240">
        <v>2</v>
      </c>
      <c r="V423" s="451">
        <v>2.3214285714285715E-2</v>
      </c>
      <c r="W423" s="450" t="s">
        <v>176</v>
      </c>
      <c r="X423" s="447">
        <v>22.85733102789024</v>
      </c>
      <c r="Y423" s="447">
        <v>0.91959204903283975</v>
      </c>
      <c r="Z423" s="452">
        <v>52.362555555555545</v>
      </c>
      <c r="AA423" s="58">
        <f t="shared" ca="1" si="18"/>
        <v>91.037499999999994</v>
      </c>
      <c r="AB423" s="453">
        <f ca="1">Table29[[#This Row],[Earnings]]-Table29[[#This Row],[4-Week Average]]</f>
        <v>1.6925000000000097</v>
      </c>
    </row>
    <row r="424" spans="1:28" x14ac:dyDescent="0.35">
      <c r="A424" s="436">
        <v>45299</v>
      </c>
      <c r="B424" s="435">
        <v>2024</v>
      </c>
      <c r="C424" s="435">
        <v>2</v>
      </c>
      <c r="D424" s="435">
        <v>2</v>
      </c>
      <c r="E424" s="435" t="s">
        <v>278</v>
      </c>
      <c r="F424" s="436" t="s">
        <v>46</v>
      </c>
      <c r="G424" s="437">
        <v>0.72916666666666552</v>
      </c>
      <c r="H424" s="436" t="s">
        <v>230</v>
      </c>
      <c r="I424" s="435">
        <v>27</v>
      </c>
      <c r="J424" s="436" t="s">
        <v>80</v>
      </c>
      <c r="K424" s="438">
        <v>76.84</v>
      </c>
      <c r="L424" s="439">
        <v>2.9</v>
      </c>
      <c r="M424" s="435">
        <v>64</v>
      </c>
      <c r="N424" s="435">
        <v>6</v>
      </c>
      <c r="O424" s="438">
        <v>26.496551724137934</v>
      </c>
      <c r="P424" s="440">
        <v>0.44798277807112186</v>
      </c>
      <c r="Q424" s="438">
        <v>12.806666666666667</v>
      </c>
      <c r="R424" s="438">
        <v>1.2006250000000001</v>
      </c>
      <c r="S424" s="441">
        <v>10.666666666666666</v>
      </c>
      <c r="T424" s="441">
        <v>2.0689655172413794</v>
      </c>
      <c r="U424" s="239">
        <v>3</v>
      </c>
      <c r="V424" s="442">
        <v>2.013888888888889E-2</v>
      </c>
      <c r="W424" s="441" t="s">
        <v>175</v>
      </c>
      <c r="X424" s="438">
        <v>26.496551724137934</v>
      </c>
      <c r="Y424" s="438">
        <v>0</v>
      </c>
      <c r="Z424" s="443">
        <v>52.522555555555556</v>
      </c>
      <c r="AA424" s="58">
        <f t="shared" ca="1" si="18"/>
        <v>87.245000000000005</v>
      </c>
      <c r="AB424" s="453">
        <f ca="1">Table29[[#This Row],[Earnings]]-Table29[[#This Row],[4-Week Average]]</f>
        <v>-10.405000000000001</v>
      </c>
    </row>
    <row r="425" spans="1:28" x14ac:dyDescent="0.35">
      <c r="A425" s="445">
        <v>45300</v>
      </c>
      <c r="B425" s="444">
        <v>2024</v>
      </c>
      <c r="C425" s="444">
        <v>2</v>
      </c>
      <c r="D425" s="444">
        <v>2</v>
      </c>
      <c r="E425" s="444" t="s">
        <v>278</v>
      </c>
      <c r="F425" s="445" t="s">
        <v>47</v>
      </c>
      <c r="G425" s="446">
        <v>0.72916666666666552</v>
      </c>
      <c r="H425" s="445" t="s">
        <v>234</v>
      </c>
      <c r="I425" s="444">
        <v>34</v>
      </c>
      <c r="J425" s="445" t="s">
        <v>80</v>
      </c>
      <c r="K425" s="447">
        <v>66.290000000000006</v>
      </c>
      <c r="L425" s="448">
        <v>2.95</v>
      </c>
      <c r="M425" s="444">
        <v>78</v>
      </c>
      <c r="N425" s="444">
        <v>5</v>
      </c>
      <c r="O425" s="447">
        <v>22.471186440677968</v>
      </c>
      <c r="P425" s="449">
        <v>-5.7925728412063222</v>
      </c>
      <c r="Q425" s="447">
        <v>13.258000000000001</v>
      </c>
      <c r="R425" s="447">
        <v>0.84987179487179498</v>
      </c>
      <c r="S425" s="450">
        <v>15.6</v>
      </c>
      <c r="T425" s="450">
        <v>1.6949152542372881</v>
      </c>
      <c r="U425" s="240">
        <v>2</v>
      </c>
      <c r="V425" s="451">
        <v>2.4583333333333336E-2</v>
      </c>
      <c r="W425" s="450" t="s">
        <v>175</v>
      </c>
      <c r="X425" s="447">
        <v>19.135593220338983</v>
      </c>
      <c r="Y425" s="447">
        <v>3.3355932203389855</v>
      </c>
      <c r="Z425" s="452">
        <v>53.25911111111111</v>
      </c>
      <c r="AA425" s="58">
        <f t="shared" ca="1" si="18"/>
        <v>92.81750000000001</v>
      </c>
      <c r="AB425" s="453">
        <f ca="1">Table29[[#This Row],[Earnings]]-Table29[[#This Row],[4-Week Average]]</f>
        <v>-26.527500000000003</v>
      </c>
    </row>
    <row r="426" spans="1:28" x14ac:dyDescent="0.35">
      <c r="A426" s="436">
        <v>45301</v>
      </c>
      <c r="B426" s="435">
        <v>2024</v>
      </c>
      <c r="C426" s="435">
        <v>2</v>
      </c>
      <c r="D426" s="435">
        <v>2</v>
      </c>
      <c r="E426" s="435" t="s">
        <v>278</v>
      </c>
      <c r="F426" s="436" t="s">
        <v>48</v>
      </c>
      <c r="G426" s="437">
        <v>0.74999999999999889</v>
      </c>
      <c r="H426" s="436" t="s">
        <v>249</v>
      </c>
      <c r="I426" s="435">
        <v>39</v>
      </c>
      <c r="J426" s="436" t="s">
        <v>80</v>
      </c>
      <c r="K426" s="438">
        <v>19.37</v>
      </c>
      <c r="L426" s="439">
        <v>0.75</v>
      </c>
      <c r="M426" s="435">
        <v>9</v>
      </c>
      <c r="N426" s="435">
        <v>2</v>
      </c>
      <c r="O426" s="438">
        <v>25.826666666666668</v>
      </c>
      <c r="P426" s="440">
        <v>-2.338394310081032</v>
      </c>
      <c r="Q426" s="438">
        <v>9.6850000000000005</v>
      </c>
      <c r="R426" s="438">
        <v>2.1522222222222225</v>
      </c>
      <c r="S426" s="441">
        <v>4.5</v>
      </c>
      <c r="T426" s="441">
        <v>2.6666666666666665</v>
      </c>
      <c r="U426" s="239">
        <v>1</v>
      </c>
      <c r="V426" s="442">
        <v>1.5625E-2</v>
      </c>
      <c r="W426" s="441" t="s">
        <v>175</v>
      </c>
      <c r="X426" s="438">
        <v>20.407605676328505</v>
      </c>
      <c r="Y426" s="438">
        <v>5.4190609903381635</v>
      </c>
      <c r="Z426" s="443">
        <v>53.474333333333327</v>
      </c>
      <c r="AA426" s="58">
        <f t="shared" ca="1" si="18"/>
        <v>63.807500000000005</v>
      </c>
      <c r="AB426" s="453">
        <f ca="1">Table29[[#This Row],[Earnings]]-Table29[[#This Row],[4-Week Average]]</f>
        <v>-44.4375</v>
      </c>
    </row>
    <row r="427" spans="1:28" x14ac:dyDescent="0.35">
      <c r="A427" s="445">
        <v>45302</v>
      </c>
      <c r="B427" s="444">
        <v>2024</v>
      </c>
      <c r="C427" s="444">
        <v>2</v>
      </c>
      <c r="D427" s="444">
        <v>2</v>
      </c>
      <c r="E427" s="444" t="s">
        <v>278</v>
      </c>
      <c r="F427" s="445" t="s">
        <v>49</v>
      </c>
      <c r="G427" s="446">
        <v>0.72916666666666552</v>
      </c>
      <c r="H427" s="445" t="s">
        <v>231</v>
      </c>
      <c r="I427" s="444">
        <v>36</v>
      </c>
      <c r="J427" s="445" t="s">
        <v>174</v>
      </c>
      <c r="K427" s="447">
        <v>72.16</v>
      </c>
      <c r="L427" s="448">
        <v>3.27</v>
      </c>
      <c r="M427" s="444">
        <v>77</v>
      </c>
      <c r="N427" s="444">
        <v>5</v>
      </c>
      <c r="O427" s="447">
        <v>22.067278287461772</v>
      </c>
      <c r="P427" s="449">
        <v>9.383490165471402</v>
      </c>
      <c r="Q427" s="447">
        <v>14.431999999999999</v>
      </c>
      <c r="R427" s="447">
        <v>0.93714285714285706</v>
      </c>
      <c r="S427" s="450">
        <v>15.4</v>
      </c>
      <c r="T427" s="450">
        <v>1.5290519877675841</v>
      </c>
      <c r="U427" s="240">
        <v>2</v>
      </c>
      <c r="V427" s="451">
        <v>2.725E-2</v>
      </c>
      <c r="W427" s="450" t="s">
        <v>176</v>
      </c>
      <c r="X427" s="447">
        <v>15.15404435630213</v>
      </c>
      <c r="Y427" s="447">
        <v>6.9132339311596418</v>
      </c>
      <c r="Z427" s="452">
        <v>52.772444444444439</v>
      </c>
      <c r="AA427" s="58">
        <f t="shared" ca="1" si="18"/>
        <v>58.664999999999999</v>
      </c>
      <c r="AB427" s="453">
        <f ca="1">Table29[[#This Row],[Earnings]]-Table29[[#This Row],[4-Week Average]]</f>
        <v>13.494999999999997</v>
      </c>
    </row>
    <row r="428" spans="1:28" x14ac:dyDescent="0.35">
      <c r="A428" s="436">
        <v>45304</v>
      </c>
      <c r="B428" s="435">
        <v>2024</v>
      </c>
      <c r="C428" s="435">
        <v>2</v>
      </c>
      <c r="D428" s="435">
        <v>2</v>
      </c>
      <c r="E428" s="435" t="s">
        <v>278</v>
      </c>
      <c r="F428" s="436" t="s">
        <v>51</v>
      </c>
      <c r="G428" s="437">
        <v>0.70833333333333226</v>
      </c>
      <c r="H428" s="436" t="s">
        <v>230</v>
      </c>
      <c r="I428" s="435">
        <v>28</v>
      </c>
      <c r="J428" s="436" t="s">
        <v>82</v>
      </c>
      <c r="K428" s="438">
        <v>56.12</v>
      </c>
      <c r="L428" s="439">
        <v>2.1</v>
      </c>
      <c r="M428" s="435">
        <v>46</v>
      </c>
      <c r="N428" s="435">
        <v>6</v>
      </c>
      <c r="O428" s="438">
        <v>26.723809523809521</v>
      </c>
      <c r="P428" s="440">
        <v>10.252737294469355</v>
      </c>
      <c r="Q428" s="438">
        <v>9.3533333333333335</v>
      </c>
      <c r="R428" s="438">
        <v>1.22</v>
      </c>
      <c r="S428" s="441">
        <v>7.666666666666667</v>
      </c>
      <c r="T428" s="441">
        <v>2.8571428571428572</v>
      </c>
      <c r="U428" s="239">
        <v>1</v>
      </c>
      <c r="V428" s="442">
        <v>1.4583333333333335E-2</v>
      </c>
      <c r="W428" s="441" t="s">
        <v>175</v>
      </c>
      <c r="X428" s="438">
        <v>24.347155499367886</v>
      </c>
      <c r="Y428" s="438">
        <v>2.3766540244416348</v>
      </c>
      <c r="Z428" s="443">
        <v>52.832111111111097</v>
      </c>
      <c r="AA428" s="58">
        <f t="shared" ca="1" si="18"/>
        <v>53.484999999999999</v>
      </c>
      <c r="AB428" s="453">
        <f ca="1">Table29[[#This Row],[Earnings]]-Table29[[#This Row],[4-Week Average]]</f>
        <v>2.634999999999998</v>
      </c>
    </row>
    <row r="429" spans="1:28" x14ac:dyDescent="0.35">
      <c r="A429" s="445">
        <v>45305</v>
      </c>
      <c r="B429" s="444">
        <v>2024</v>
      </c>
      <c r="C429" s="444">
        <v>2</v>
      </c>
      <c r="D429" s="444">
        <v>2</v>
      </c>
      <c r="E429" s="444" t="s">
        <v>278</v>
      </c>
      <c r="F429" s="445" t="s">
        <v>45</v>
      </c>
      <c r="G429" s="446">
        <v>0.72916666666666552</v>
      </c>
      <c r="H429" s="445" t="s">
        <v>230</v>
      </c>
      <c r="I429" s="444">
        <v>30</v>
      </c>
      <c r="J429" s="445" t="s">
        <v>80</v>
      </c>
      <c r="K429" s="447">
        <v>85.51</v>
      </c>
      <c r="L429" s="448">
        <v>3.1</v>
      </c>
      <c r="M429" s="444">
        <v>81</v>
      </c>
      <c r="N429" s="444">
        <v>7</v>
      </c>
      <c r="O429" s="447">
        <v>27.583870967741937</v>
      </c>
      <c r="P429" s="449">
        <v>1.9122753527289298</v>
      </c>
      <c r="Q429" s="447">
        <v>12.215714285714286</v>
      </c>
      <c r="R429" s="447">
        <v>1.0556790123456792</v>
      </c>
      <c r="S429" s="450">
        <v>11.571428571428571</v>
      </c>
      <c r="T429" s="450">
        <v>2.258064516129032</v>
      </c>
      <c r="U429" s="240">
        <v>3</v>
      </c>
      <c r="V429" s="451">
        <v>1.8452380952380953E-2</v>
      </c>
      <c r="W429" s="450" t="s">
        <v>175</v>
      </c>
      <c r="X429" s="447">
        <v>17.041251039326678</v>
      </c>
      <c r="Y429" s="447">
        <v>10.54261992841526</v>
      </c>
      <c r="Z429" s="452">
        <v>53.782222222222209</v>
      </c>
      <c r="AA429" s="58">
        <f t="shared" ca="1" si="18"/>
        <v>58.290000000000006</v>
      </c>
      <c r="AB429" s="453">
        <f ca="1">Table29[[#This Row],[Earnings]]-Table29[[#This Row],[4-Week Average]]</f>
        <v>27.22</v>
      </c>
    </row>
    <row r="430" spans="1:28" x14ac:dyDescent="0.35">
      <c r="A430" s="436">
        <v>45306</v>
      </c>
      <c r="B430" s="435">
        <v>2024</v>
      </c>
      <c r="C430" s="435">
        <v>3</v>
      </c>
      <c r="D430" s="435">
        <v>3</v>
      </c>
      <c r="E430" s="435" t="s">
        <v>278</v>
      </c>
      <c r="F430" s="436" t="s">
        <v>46</v>
      </c>
      <c r="G430" s="437">
        <v>0.72916666666666552</v>
      </c>
      <c r="H430" s="436" t="s">
        <v>230</v>
      </c>
      <c r="I430" s="435">
        <v>25</v>
      </c>
      <c r="J430" s="436" t="s">
        <v>80</v>
      </c>
      <c r="K430" s="438">
        <v>82.2</v>
      </c>
      <c r="L430" s="439">
        <v>3.57</v>
      </c>
      <c r="M430" s="435">
        <v>86</v>
      </c>
      <c r="N430" s="435">
        <v>8</v>
      </c>
      <c r="O430" s="438">
        <v>23.025210084033617</v>
      </c>
      <c r="P430" s="440">
        <v>-3.0681571398403058</v>
      </c>
      <c r="Q430" s="438">
        <v>10.275</v>
      </c>
      <c r="R430" s="438">
        <v>0.95581395348837217</v>
      </c>
      <c r="S430" s="441">
        <v>10.75</v>
      </c>
      <c r="T430" s="441">
        <v>2.2408963585434174</v>
      </c>
      <c r="U430" s="239">
        <v>4</v>
      </c>
      <c r="V430" s="442">
        <v>1.8593749999999999E-2</v>
      </c>
      <c r="W430" s="441" t="s">
        <v>175</v>
      </c>
      <c r="X430" s="438">
        <v>20.098029868779264</v>
      </c>
      <c r="Y430" s="438">
        <v>2.9271802152543529</v>
      </c>
      <c r="Z430" s="443">
        <v>53.292777777777765</v>
      </c>
      <c r="AA430" s="58">
        <f t="shared" ca="1" si="18"/>
        <v>73.997500000000002</v>
      </c>
      <c r="AB430" s="453">
        <f ca="1">Table29[[#This Row],[Earnings]]-Table29[[#This Row],[4-Week Average]]</f>
        <v>8.2025000000000006</v>
      </c>
    </row>
    <row r="431" spans="1:28" x14ac:dyDescent="0.35">
      <c r="A431" s="445">
        <v>45307</v>
      </c>
      <c r="B431" s="444">
        <v>2024</v>
      </c>
      <c r="C431" s="444">
        <v>3</v>
      </c>
      <c r="D431" s="444">
        <v>3</v>
      </c>
      <c r="E431" s="444" t="s">
        <v>278</v>
      </c>
      <c r="F431" s="445" t="s">
        <v>47</v>
      </c>
      <c r="G431" s="446">
        <v>0.70833333333333226</v>
      </c>
      <c r="H431" s="445" t="s">
        <v>232</v>
      </c>
      <c r="I431" s="444">
        <v>27</v>
      </c>
      <c r="J431" s="445" t="s">
        <v>80</v>
      </c>
      <c r="K431" s="447">
        <v>177.49</v>
      </c>
      <c r="L431" s="448">
        <v>4.97</v>
      </c>
      <c r="M431" s="444">
        <v>117</v>
      </c>
      <c r="N431" s="444">
        <v>9</v>
      </c>
      <c r="O431" s="447">
        <v>35.712273641851112</v>
      </c>
      <c r="P431" s="449">
        <v>8.0277716440874549</v>
      </c>
      <c r="Q431" s="447">
        <v>19.721111111111114</v>
      </c>
      <c r="R431" s="447">
        <v>1.517008547008547</v>
      </c>
      <c r="S431" s="450">
        <v>13</v>
      </c>
      <c r="T431" s="450">
        <v>1.8108651911468814</v>
      </c>
      <c r="U431" s="240">
        <v>3</v>
      </c>
      <c r="V431" s="451">
        <v>2.3009259259259257E-2</v>
      </c>
      <c r="W431" s="450" t="s">
        <v>176</v>
      </c>
      <c r="X431" s="447">
        <v>24.309841019700176</v>
      </c>
      <c r="Y431" s="447">
        <v>11.402432622150936</v>
      </c>
      <c r="Z431" s="452">
        <v>53.981333333333332</v>
      </c>
      <c r="AA431" s="58">
        <f t="shared" ca="1" si="18"/>
        <v>100.33</v>
      </c>
      <c r="AB431" s="453">
        <f ca="1">Table29[[#This Row],[Earnings]]-Table29[[#This Row],[4-Week Average]]</f>
        <v>77.160000000000011</v>
      </c>
    </row>
    <row r="432" spans="1:28" x14ac:dyDescent="0.35">
      <c r="A432" s="436">
        <v>45311</v>
      </c>
      <c r="B432" s="435">
        <v>2024</v>
      </c>
      <c r="C432" s="435">
        <v>3</v>
      </c>
      <c r="D432" s="435">
        <v>3</v>
      </c>
      <c r="E432" s="435" t="s">
        <v>278</v>
      </c>
      <c r="F432" s="436" t="s">
        <v>51</v>
      </c>
      <c r="G432" s="437">
        <v>0.70833333333333226</v>
      </c>
      <c r="H432" s="436" t="s">
        <v>234</v>
      </c>
      <c r="I432" s="435">
        <v>16</v>
      </c>
      <c r="J432" s="436" t="s">
        <v>80</v>
      </c>
      <c r="K432" s="438">
        <v>97.4</v>
      </c>
      <c r="L432" s="439">
        <v>5.08</v>
      </c>
      <c r="M432" s="435">
        <v>134</v>
      </c>
      <c r="N432" s="435">
        <v>12</v>
      </c>
      <c r="O432" s="438">
        <v>19.173228346456693</v>
      </c>
      <c r="P432" s="440">
        <v>-6.7738053849722455</v>
      </c>
      <c r="Q432" s="438">
        <v>8.1166666666666671</v>
      </c>
      <c r="R432" s="438">
        <v>0.72686567164179106</v>
      </c>
      <c r="S432" s="441">
        <v>11.166666666666666</v>
      </c>
      <c r="T432" s="441">
        <v>2.3622047244094486</v>
      </c>
      <c r="U432" s="239">
        <v>3</v>
      </c>
      <c r="V432" s="442">
        <v>1.7638888888888888E-2</v>
      </c>
      <c r="W432" s="441" t="s">
        <v>175</v>
      </c>
      <c r="X432" s="438">
        <v>19.264398626308076</v>
      </c>
      <c r="Y432" s="438">
        <v>-9.1170279851382929E-2</v>
      </c>
      <c r="Z432" s="443">
        <v>55.063555555555546</v>
      </c>
      <c r="AA432" s="58">
        <f t="shared" ca="1" si="18"/>
        <v>110.65</v>
      </c>
      <c r="AB432" s="453">
        <f ca="1">Table29[[#This Row],[Earnings]]-Table29[[#This Row],[4-Week Average]]</f>
        <v>-13.25</v>
      </c>
    </row>
    <row r="433" spans="1:28" x14ac:dyDescent="0.35">
      <c r="A433" s="445">
        <v>45313</v>
      </c>
      <c r="B433" s="444">
        <v>2024</v>
      </c>
      <c r="C433" s="444">
        <v>4</v>
      </c>
      <c r="D433" s="444">
        <v>4</v>
      </c>
      <c r="E433" s="444" t="s">
        <v>278</v>
      </c>
      <c r="F433" s="445" t="s">
        <v>46</v>
      </c>
      <c r="G433" s="446">
        <v>0.72916666666666552</v>
      </c>
      <c r="H433" s="445" t="s">
        <v>249</v>
      </c>
      <c r="I433" s="444">
        <v>34</v>
      </c>
      <c r="J433" s="445" t="s">
        <v>80</v>
      </c>
      <c r="K433" s="447">
        <v>98.320000000000007</v>
      </c>
      <c r="L433" s="448">
        <v>4.88</v>
      </c>
      <c r="M433" s="444">
        <v>116</v>
      </c>
      <c r="N433" s="444">
        <v>9</v>
      </c>
      <c r="O433" s="447">
        <v>20.147540983606561</v>
      </c>
      <c r="P433" s="449">
        <v>-5.6669028639182457</v>
      </c>
      <c r="Q433" s="447">
        <v>10.924444444444445</v>
      </c>
      <c r="R433" s="447">
        <v>0.84758620689655184</v>
      </c>
      <c r="S433" s="450">
        <v>12.888888888888889</v>
      </c>
      <c r="T433" s="450">
        <v>1.8442622950819672</v>
      </c>
      <c r="U433" s="240">
        <v>5</v>
      </c>
      <c r="V433" s="451">
        <v>2.2592592592592591E-2</v>
      </c>
      <c r="W433" s="450" t="s">
        <v>175</v>
      </c>
      <c r="X433" s="447">
        <v>17.658323337331733</v>
      </c>
      <c r="Y433" s="447">
        <v>2.4892176462748274</v>
      </c>
      <c r="Z433" s="452">
        <v>54.121222222222208</v>
      </c>
      <c r="AA433" s="58">
        <f t="shared" ca="1" si="18"/>
        <v>113.85250000000001</v>
      </c>
      <c r="AB433" s="453">
        <f ca="1">Table29[[#This Row],[Earnings]]-Table29[[#This Row],[4-Week Average]]</f>
        <v>-15.532499999999999</v>
      </c>
    </row>
    <row r="434" spans="1:28" x14ac:dyDescent="0.35">
      <c r="A434" s="436">
        <v>45314</v>
      </c>
      <c r="B434" s="435">
        <v>2024</v>
      </c>
      <c r="C434" s="435">
        <v>4</v>
      </c>
      <c r="D434" s="435">
        <v>4</v>
      </c>
      <c r="E434" s="435" t="s">
        <v>278</v>
      </c>
      <c r="F434" s="436" t="s">
        <v>47</v>
      </c>
      <c r="G434" s="437">
        <v>0.72916666666666552</v>
      </c>
      <c r="H434" s="436" t="s">
        <v>230</v>
      </c>
      <c r="I434" s="435">
        <v>28</v>
      </c>
      <c r="J434" s="436" t="s">
        <v>80</v>
      </c>
      <c r="K434" s="438">
        <v>42.34</v>
      </c>
      <c r="L434" s="439">
        <v>2.27</v>
      </c>
      <c r="M434" s="435">
        <v>69</v>
      </c>
      <c r="N434" s="435">
        <v>5</v>
      </c>
      <c r="O434" s="438">
        <v>18.651982378854626</v>
      </c>
      <c r="P434" s="440">
        <v>-9.7623170410988038</v>
      </c>
      <c r="Q434" s="438">
        <v>8.468</v>
      </c>
      <c r="R434" s="438">
        <v>0.6136231884057971</v>
      </c>
      <c r="S434" s="441">
        <v>13.8</v>
      </c>
      <c r="T434" s="441">
        <v>2.2026431718061672</v>
      </c>
      <c r="U434" s="239">
        <v>2</v>
      </c>
      <c r="V434" s="442">
        <v>1.8916666666666668E-2</v>
      </c>
      <c r="W434" s="441" t="s">
        <v>175</v>
      </c>
      <c r="X434" s="438">
        <v>17.237755895309665</v>
      </c>
      <c r="Y434" s="438">
        <v>1.4142264835449616</v>
      </c>
      <c r="Z434" s="443">
        <v>54.027777777777764</v>
      </c>
      <c r="AA434" s="58">
        <f t="shared" ca="1" si="18"/>
        <v>103.88749999999999</v>
      </c>
      <c r="AB434" s="453">
        <f ca="1">Table29[[#This Row],[Earnings]]-Table29[[#This Row],[4-Week Average]]</f>
        <v>-61.547499999999985</v>
      </c>
    </row>
    <row r="435" spans="1:28" x14ac:dyDescent="0.35">
      <c r="A435" s="445">
        <v>45316</v>
      </c>
      <c r="B435" s="444">
        <v>2024</v>
      </c>
      <c r="C435" s="444">
        <v>4</v>
      </c>
      <c r="D435" s="444">
        <v>4</v>
      </c>
      <c r="E435" s="444" t="s">
        <v>278</v>
      </c>
      <c r="F435" s="445" t="s">
        <v>49</v>
      </c>
      <c r="G435" s="446">
        <v>0.72916666666666552</v>
      </c>
      <c r="H435" s="445" t="s">
        <v>231</v>
      </c>
      <c r="I435" s="444">
        <v>37</v>
      </c>
      <c r="J435" s="445" t="s">
        <v>80</v>
      </c>
      <c r="K435" s="447">
        <v>93.22</v>
      </c>
      <c r="L435" s="448">
        <v>3.87</v>
      </c>
      <c r="M435" s="444">
        <v>77</v>
      </c>
      <c r="N435" s="444">
        <v>6</v>
      </c>
      <c r="O435" s="447">
        <v>24.087855297157621</v>
      </c>
      <c r="P435" s="449">
        <v>5.356052225174583</v>
      </c>
      <c r="Q435" s="447">
        <v>15.536666666666667</v>
      </c>
      <c r="R435" s="447">
        <v>1.2106493506493505</v>
      </c>
      <c r="S435" s="450">
        <v>12.833333333333334</v>
      </c>
      <c r="T435" s="450">
        <v>1.5503875968992247</v>
      </c>
      <c r="U435" s="240">
        <v>3</v>
      </c>
      <c r="V435" s="451">
        <v>2.6875E-2</v>
      </c>
      <c r="W435" s="450" t="s">
        <v>176</v>
      </c>
      <c r="X435" s="447">
        <v>21.955737464529733</v>
      </c>
      <c r="Y435" s="447">
        <v>2.1321178326278876</v>
      </c>
      <c r="Z435" s="452">
        <v>55.063555555555546</v>
      </c>
      <c r="AA435" s="58">
        <f t="shared" ca="1" si="18"/>
        <v>82.820000000000007</v>
      </c>
      <c r="AB435" s="453">
        <f ca="1">Table29[[#This Row],[Earnings]]-Table29[[#This Row],[4-Week Average]]</f>
        <v>10.399999999999991</v>
      </c>
    </row>
    <row r="436" spans="1:28" x14ac:dyDescent="0.35">
      <c r="A436" s="436">
        <v>45317</v>
      </c>
      <c r="B436" s="435">
        <v>2024</v>
      </c>
      <c r="C436" s="435">
        <v>4</v>
      </c>
      <c r="D436" s="435">
        <v>4</v>
      </c>
      <c r="E436" s="435" t="s">
        <v>278</v>
      </c>
      <c r="F436" s="436" t="s">
        <v>50</v>
      </c>
      <c r="G436" s="437">
        <v>0.72916666666666552</v>
      </c>
      <c r="H436" s="436" t="s">
        <v>231</v>
      </c>
      <c r="I436" s="435">
        <v>34</v>
      </c>
      <c r="J436" s="436" t="s">
        <v>82</v>
      </c>
      <c r="K436" s="438">
        <v>96.81</v>
      </c>
      <c r="L436" s="439">
        <v>5.43</v>
      </c>
      <c r="M436" s="435">
        <v>116</v>
      </c>
      <c r="N436" s="435">
        <v>12</v>
      </c>
      <c r="O436" s="438">
        <v>17.828729281767956</v>
      </c>
      <c r="P436" s="440">
        <v>-2.885466925333855</v>
      </c>
      <c r="Q436" s="438">
        <v>8.0675000000000008</v>
      </c>
      <c r="R436" s="438">
        <v>0.83456896551724136</v>
      </c>
      <c r="S436" s="441">
        <v>9.6666666666666661</v>
      </c>
      <c r="T436" s="441">
        <v>2.2099447513812156</v>
      </c>
      <c r="U436" s="239">
        <v>4</v>
      </c>
      <c r="V436" s="442">
        <v>1.8854166666666665E-2</v>
      </c>
      <c r="W436" s="441" t="s">
        <v>175</v>
      </c>
      <c r="X436" s="438">
        <v>16.768241380446604</v>
      </c>
      <c r="Y436" s="438">
        <v>1.060487901321352</v>
      </c>
      <c r="Z436" s="443">
        <v>54.503666666666668</v>
      </c>
      <c r="AA436" s="58">
        <f t="shared" ca="1" si="18"/>
        <v>82.672500000000014</v>
      </c>
      <c r="AB436" s="453">
        <f ca="1">Table29[[#This Row],[Earnings]]-Table29[[#This Row],[4-Week Average]]</f>
        <v>14.137499999999989</v>
      </c>
    </row>
    <row r="437" spans="1:28" x14ac:dyDescent="0.35">
      <c r="A437" s="445">
        <v>45318</v>
      </c>
      <c r="B437" s="444">
        <v>2024</v>
      </c>
      <c r="C437" s="444">
        <v>4</v>
      </c>
      <c r="D437" s="444">
        <v>4</v>
      </c>
      <c r="E437" s="444" t="s">
        <v>278</v>
      </c>
      <c r="F437" s="445" t="s">
        <v>51</v>
      </c>
      <c r="G437" s="446">
        <v>0.68749999999999889</v>
      </c>
      <c r="H437" s="445" t="s">
        <v>231</v>
      </c>
      <c r="I437" s="444">
        <v>34</v>
      </c>
      <c r="J437" s="445" t="s">
        <v>80</v>
      </c>
      <c r="K437" s="447">
        <v>110.72</v>
      </c>
      <c r="L437" s="448">
        <v>4.47</v>
      </c>
      <c r="M437" s="444">
        <v>126</v>
      </c>
      <c r="N437" s="444">
        <v>8</v>
      </c>
      <c r="O437" s="447">
        <v>24.769574944071589</v>
      </c>
      <c r="P437" s="449">
        <v>-0.69361554557361771</v>
      </c>
      <c r="Q437" s="447">
        <v>13.84</v>
      </c>
      <c r="R437" s="447">
        <v>0.87873015873015869</v>
      </c>
      <c r="S437" s="450">
        <v>15.75</v>
      </c>
      <c r="T437" s="450">
        <v>1.789709172259508</v>
      </c>
      <c r="U437" s="240">
        <v>2</v>
      </c>
      <c r="V437" s="451">
        <v>2.328125E-2</v>
      </c>
      <c r="W437" s="450" t="s">
        <v>176</v>
      </c>
      <c r="X437" s="447">
        <v>21.782255826466173</v>
      </c>
      <c r="Y437" s="447">
        <v>2.9873191176054164</v>
      </c>
      <c r="Z437" s="452">
        <v>53.912111111111116</v>
      </c>
      <c r="AA437" s="58">
        <f t="shared" ca="1" si="18"/>
        <v>85.772500000000008</v>
      </c>
      <c r="AB437" s="453">
        <f ca="1">Table29[[#This Row],[Earnings]]-Table29[[#This Row],[4-Week Average]]</f>
        <v>24.947499999999991</v>
      </c>
    </row>
    <row r="438" spans="1:28" x14ac:dyDescent="0.35">
      <c r="A438" s="436">
        <v>45321</v>
      </c>
      <c r="B438" s="435">
        <v>2024</v>
      </c>
      <c r="C438" s="435">
        <v>5</v>
      </c>
      <c r="D438" s="435">
        <v>5</v>
      </c>
      <c r="E438" s="435" t="s">
        <v>278</v>
      </c>
      <c r="F438" s="436" t="s">
        <v>47</v>
      </c>
      <c r="G438" s="437">
        <v>0.77083333333333215</v>
      </c>
      <c r="H438" s="436" t="s">
        <v>230</v>
      </c>
      <c r="I438" s="435">
        <v>13</v>
      </c>
      <c r="J438" s="436" t="s">
        <v>80</v>
      </c>
      <c r="K438" s="438">
        <v>171.26999999999998</v>
      </c>
      <c r="L438" s="439">
        <v>4.75</v>
      </c>
      <c r="M438" s="435">
        <v>128</v>
      </c>
      <c r="N438" s="435">
        <v>10</v>
      </c>
      <c r="O438" s="438">
        <v>36.056842105263151</v>
      </c>
      <c r="P438" s="440">
        <v>8.4560691054012871</v>
      </c>
      <c r="Q438" s="438">
        <v>17.126999999999999</v>
      </c>
      <c r="R438" s="438">
        <v>1.3380468749999999</v>
      </c>
      <c r="S438" s="441">
        <v>12.8</v>
      </c>
      <c r="T438" s="441">
        <v>2.1052631578947367</v>
      </c>
      <c r="U438" s="239">
        <v>3</v>
      </c>
      <c r="V438" s="442">
        <v>1.9791666666666666E-2</v>
      </c>
      <c r="W438" s="441" t="s">
        <v>176</v>
      </c>
      <c r="X438" s="438">
        <v>27.034416256468504</v>
      </c>
      <c r="Y438" s="438">
        <v>9.0224258487946472</v>
      </c>
      <c r="Z438" s="443">
        <v>52.236888888888906</v>
      </c>
      <c r="AA438" s="58">
        <f t="shared" ca="1" si="18"/>
        <v>118.005</v>
      </c>
      <c r="AB438" s="453">
        <f ca="1">Table29[[#This Row],[Earnings]]-Table29[[#This Row],[4-Week Average]]</f>
        <v>53.264999999999986</v>
      </c>
    </row>
    <row r="439" spans="1:28" x14ac:dyDescent="0.35">
      <c r="A439" s="445">
        <v>45322</v>
      </c>
      <c r="B439" s="444">
        <v>2024</v>
      </c>
      <c r="C439" s="444">
        <v>5</v>
      </c>
      <c r="D439" s="444">
        <v>5</v>
      </c>
      <c r="E439" s="444" t="s">
        <v>278</v>
      </c>
      <c r="F439" s="445" t="s">
        <v>48</v>
      </c>
      <c r="G439" s="446">
        <v>0.72916666666666552</v>
      </c>
      <c r="H439" s="445" t="s">
        <v>231</v>
      </c>
      <c r="I439" s="444">
        <v>27</v>
      </c>
      <c r="J439" s="445" t="s">
        <v>174</v>
      </c>
      <c r="K439" s="447">
        <v>50.35</v>
      </c>
      <c r="L439" s="448">
        <v>3.57</v>
      </c>
      <c r="M439" s="444">
        <v>96</v>
      </c>
      <c r="N439" s="444">
        <v>6</v>
      </c>
      <c r="O439" s="447">
        <v>14.103641456582634</v>
      </c>
      <c r="P439" s="449">
        <v>-3.2421439840303936</v>
      </c>
      <c r="Q439" s="447">
        <v>8.3916666666666675</v>
      </c>
      <c r="R439" s="447">
        <v>0.52447916666666672</v>
      </c>
      <c r="S439" s="450">
        <v>16</v>
      </c>
      <c r="T439" s="450">
        <v>1.680672268907563</v>
      </c>
      <c r="U439" s="240">
        <v>3</v>
      </c>
      <c r="V439" s="451">
        <v>2.4791666666666667E-2</v>
      </c>
      <c r="W439" s="450" t="s">
        <v>175</v>
      </c>
      <c r="X439" s="447">
        <v>15.690709617180207</v>
      </c>
      <c r="Y439" s="447">
        <v>-1.5870681605975729</v>
      </c>
      <c r="Z439" s="452">
        <v>52.796333333333351</v>
      </c>
      <c r="AA439" s="58">
        <f t="shared" ca="1" si="18"/>
        <v>107.28749999999999</v>
      </c>
      <c r="AB439" s="453">
        <f ca="1">Table29[[#This Row],[Earnings]]-Table29[[#This Row],[4-Week Average]]</f>
        <v>-56.937499999999993</v>
      </c>
    </row>
    <row r="440" spans="1:28" x14ac:dyDescent="0.35">
      <c r="A440" s="436">
        <v>45323</v>
      </c>
      <c r="B440" s="435">
        <v>2024</v>
      </c>
      <c r="C440" s="435">
        <v>5</v>
      </c>
      <c r="D440" s="435">
        <v>5</v>
      </c>
      <c r="E440" s="435" t="s">
        <v>278</v>
      </c>
      <c r="F440" s="436" t="s">
        <v>49</v>
      </c>
      <c r="G440" s="437">
        <v>0.72916666666666552</v>
      </c>
      <c r="H440" s="436" t="s">
        <v>234</v>
      </c>
      <c r="I440" s="435">
        <v>34</v>
      </c>
      <c r="J440" s="436" t="s">
        <v>82</v>
      </c>
      <c r="K440" s="438">
        <v>58.83</v>
      </c>
      <c r="L440" s="439">
        <v>3.23</v>
      </c>
      <c r="M440" s="435">
        <v>71</v>
      </c>
      <c r="N440" s="435">
        <v>9</v>
      </c>
      <c r="O440" s="438">
        <v>18.213622291021672</v>
      </c>
      <c r="P440" s="440">
        <v>-3.5535609693881973</v>
      </c>
      <c r="Q440" s="438">
        <v>6.5366666666666662</v>
      </c>
      <c r="R440" s="438">
        <v>0.82859154929577461</v>
      </c>
      <c r="S440" s="441">
        <v>7.8888888888888893</v>
      </c>
      <c r="T440" s="441">
        <v>2.7863777089783284</v>
      </c>
      <c r="U440" s="239">
        <v>2</v>
      </c>
      <c r="V440" s="442">
        <v>1.4953703703703703E-2</v>
      </c>
      <c r="W440" s="441" t="s">
        <v>175</v>
      </c>
      <c r="X440" s="438">
        <v>19.482607323854786</v>
      </c>
      <c r="Y440" s="438">
        <v>-1.2689850328331147</v>
      </c>
      <c r="Z440" s="443">
        <v>52.15922222222224</v>
      </c>
      <c r="AA440" s="58">
        <f t="shared" ca="1" si="18"/>
        <v>97.792500000000004</v>
      </c>
      <c r="AB440" s="453">
        <f ca="1">Table29[[#This Row],[Earnings]]-Table29[[#This Row],[4-Week Average]]</f>
        <v>-38.962500000000006</v>
      </c>
    </row>
    <row r="441" spans="1:28" x14ac:dyDescent="0.35">
      <c r="A441" s="445">
        <v>45324</v>
      </c>
      <c r="B441" s="444">
        <v>2024</v>
      </c>
      <c r="C441" s="444">
        <v>5</v>
      </c>
      <c r="D441" s="444">
        <v>5</v>
      </c>
      <c r="E441" s="444" t="s">
        <v>278</v>
      </c>
      <c r="F441" s="445" t="s">
        <v>50</v>
      </c>
      <c r="G441" s="446">
        <v>0.74999999999999889</v>
      </c>
      <c r="H441" s="445" t="s">
        <v>231</v>
      </c>
      <c r="I441" s="444">
        <v>36</v>
      </c>
      <c r="J441" s="445" t="s">
        <v>82</v>
      </c>
      <c r="K441" s="447">
        <v>88.64</v>
      </c>
      <c r="L441" s="448">
        <v>5.3</v>
      </c>
      <c r="M441" s="444">
        <v>89</v>
      </c>
      <c r="N441" s="444">
        <v>12</v>
      </c>
      <c r="O441" s="447">
        <v>16.724528301886792</v>
      </c>
      <c r="P441" s="449">
        <v>-3.6289845395482843</v>
      </c>
      <c r="Q441" s="447">
        <v>7.3866666666666667</v>
      </c>
      <c r="R441" s="447">
        <v>0.99595505617977531</v>
      </c>
      <c r="S441" s="450">
        <v>7.416666666666667</v>
      </c>
      <c r="T441" s="450">
        <v>2.2641509433962264</v>
      </c>
      <c r="U441" s="240">
        <v>4</v>
      </c>
      <c r="V441" s="451">
        <v>1.8402777777777778E-2</v>
      </c>
      <c r="W441" s="450" t="s">
        <v>175</v>
      </c>
      <c r="X441" s="447">
        <v>15.426890001283532</v>
      </c>
      <c r="Y441" s="447">
        <v>1.2976383006032606</v>
      </c>
      <c r="Z441" s="452">
        <v>53.144111111111137</v>
      </c>
      <c r="AA441" s="58">
        <f t="shared" ca="1" si="18"/>
        <v>92.272499999999994</v>
      </c>
      <c r="AB441" s="453">
        <f ca="1">Table29[[#This Row],[Earnings]]-Table29[[#This Row],[4-Week Average]]</f>
        <v>-3.6324999999999932</v>
      </c>
    </row>
    <row r="442" spans="1:28" x14ac:dyDescent="0.35">
      <c r="A442" s="436">
        <v>45327</v>
      </c>
      <c r="B442" s="435">
        <v>2024</v>
      </c>
      <c r="C442" s="435">
        <v>6</v>
      </c>
      <c r="D442" s="435">
        <v>6</v>
      </c>
      <c r="E442" s="435" t="s">
        <v>278</v>
      </c>
      <c r="F442" s="436" t="s">
        <v>46</v>
      </c>
      <c r="G442" s="437">
        <v>0.72916666666666552</v>
      </c>
      <c r="H442" s="436" t="s">
        <v>231</v>
      </c>
      <c r="I442" s="435">
        <v>30</v>
      </c>
      <c r="J442" s="436" t="s">
        <v>82</v>
      </c>
      <c r="K442" s="438">
        <v>39.82</v>
      </c>
      <c r="L442" s="439">
        <v>2.3199999999999998</v>
      </c>
      <c r="M442" s="435">
        <v>36</v>
      </c>
      <c r="N442" s="435">
        <v>5</v>
      </c>
      <c r="O442" s="438">
        <v>17.163793103448278</v>
      </c>
      <c r="P442" s="440">
        <v>-1.143899204244029</v>
      </c>
      <c r="Q442" s="438">
        <v>7.9640000000000004</v>
      </c>
      <c r="R442" s="438">
        <v>1.106111111111111</v>
      </c>
      <c r="S442" s="441">
        <v>7.2</v>
      </c>
      <c r="T442" s="441">
        <v>2.1551724137931036</v>
      </c>
      <c r="U442" s="239">
        <v>1</v>
      </c>
      <c r="V442" s="442">
        <v>1.9333333333333331E-2</v>
      </c>
      <c r="W442" s="441" t="s">
        <v>175</v>
      </c>
      <c r="X442" s="438">
        <v>16.370667853439272</v>
      </c>
      <c r="Y442" s="438">
        <v>0.79312525000900536</v>
      </c>
      <c r="Z442" s="443">
        <v>52.491777777777791</v>
      </c>
      <c r="AA442" s="58">
        <f t="shared" ca="1" si="18"/>
        <v>59.41</v>
      </c>
      <c r="AB442" s="453">
        <f ca="1">Table29[[#This Row],[Earnings]]-Table29[[#This Row],[4-Week Average]]</f>
        <v>-19.589999999999996</v>
      </c>
    </row>
    <row r="443" spans="1:28" x14ac:dyDescent="0.35">
      <c r="A443" s="445">
        <v>45329</v>
      </c>
      <c r="B443" s="444">
        <v>2024</v>
      </c>
      <c r="C443" s="444">
        <v>6</v>
      </c>
      <c r="D443" s="444">
        <v>6</v>
      </c>
      <c r="E443" s="444" t="s">
        <v>278</v>
      </c>
      <c r="F443" s="445" t="s">
        <v>48</v>
      </c>
      <c r="G443" s="446">
        <v>0.72916666666666552</v>
      </c>
      <c r="H443" s="445" t="s">
        <v>230</v>
      </c>
      <c r="I443" s="444">
        <v>32</v>
      </c>
      <c r="J443" s="445" t="s">
        <v>80</v>
      </c>
      <c r="K443" s="447">
        <v>54.54</v>
      </c>
      <c r="L443" s="448">
        <v>2.37</v>
      </c>
      <c r="M443" s="444">
        <v>52</v>
      </c>
      <c r="N443" s="444">
        <v>5</v>
      </c>
      <c r="O443" s="447">
        <v>23.0126582278481</v>
      </c>
      <c r="P443" s="449">
        <v>-4.8601034601394701</v>
      </c>
      <c r="Q443" s="447">
        <v>10.907999999999999</v>
      </c>
      <c r="R443" s="447">
        <v>1.0488461538461538</v>
      </c>
      <c r="S443" s="450">
        <v>10.4</v>
      </c>
      <c r="T443" s="450">
        <v>2.109704641350211</v>
      </c>
      <c r="U443" s="240">
        <v>1</v>
      </c>
      <c r="V443" s="451">
        <v>1.975E-2</v>
      </c>
      <c r="W443" s="450" t="s">
        <v>175</v>
      </c>
      <c r="X443" s="447">
        <v>21.938596739633184</v>
      </c>
      <c r="Y443" s="447">
        <v>1.074061488214916</v>
      </c>
      <c r="Z443" s="452">
        <v>51.899333333333338</v>
      </c>
      <c r="AA443" s="58">
        <f t="shared" ca="1" si="18"/>
        <v>60.457499999999996</v>
      </c>
      <c r="AB443" s="453">
        <f ca="1">Table29[[#This Row],[Earnings]]-Table29[[#This Row],[4-Week Average]]</f>
        <v>-5.9174999999999969</v>
      </c>
    </row>
    <row r="444" spans="1:28" x14ac:dyDescent="0.35">
      <c r="A444" s="436">
        <v>45330</v>
      </c>
      <c r="B444" s="435">
        <v>2024</v>
      </c>
      <c r="C444" s="435">
        <v>6</v>
      </c>
      <c r="D444" s="435">
        <v>6</v>
      </c>
      <c r="E444" s="435" t="s">
        <v>278</v>
      </c>
      <c r="F444" s="436" t="s">
        <v>49</v>
      </c>
      <c r="G444" s="437">
        <v>0.70833333333333226</v>
      </c>
      <c r="H444" s="436" t="s">
        <v>230</v>
      </c>
      <c r="I444" s="435">
        <v>36</v>
      </c>
      <c r="J444" s="436" t="s">
        <v>82</v>
      </c>
      <c r="K444" s="438">
        <v>118.72999999999999</v>
      </c>
      <c r="L444" s="439">
        <v>5.45</v>
      </c>
      <c r="M444" s="435">
        <v>104</v>
      </c>
      <c r="N444" s="435">
        <v>13</v>
      </c>
      <c r="O444" s="438">
        <v>21.785321100917429</v>
      </c>
      <c r="P444" s="440">
        <v>0.52578940756301762</v>
      </c>
      <c r="Q444" s="438">
        <v>9.1330769230769224</v>
      </c>
      <c r="R444" s="438">
        <v>1.1416346153846153</v>
      </c>
      <c r="S444" s="441">
        <v>8</v>
      </c>
      <c r="T444" s="441">
        <v>2.3853211009174311</v>
      </c>
      <c r="U444" s="239">
        <v>3</v>
      </c>
      <c r="V444" s="442">
        <v>1.7467948717948718E-2</v>
      </c>
      <c r="W444" s="441" t="s">
        <v>176</v>
      </c>
      <c r="X444" s="438">
        <v>20.232614280015955</v>
      </c>
      <c r="Y444" s="438">
        <v>1.5527068209014736</v>
      </c>
      <c r="Z444" s="443">
        <v>51.681222222222218</v>
      </c>
      <c r="AA444" s="58">
        <f t="shared" ca="1" si="18"/>
        <v>75.432500000000005</v>
      </c>
      <c r="AB444" s="453">
        <f ca="1">Table29[[#This Row],[Earnings]]-Table29[[#This Row],[4-Week Average]]</f>
        <v>43.297499999999985</v>
      </c>
    </row>
    <row r="445" spans="1:28" x14ac:dyDescent="0.35">
      <c r="A445" s="445">
        <v>45331</v>
      </c>
      <c r="B445" s="444">
        <v>2024</v>
      </c>
      <c r="C445" s="444">
        <v>6</v>
      </c>
      <c r="D445" s="444">
        <v>6</v>
      </c>
      <c r="E445" s="444" t="s">
        <v>278</v>
      </c>
      <c r="F445" s="445" t="s">
        <v>50</v>
      </c>
      <c r="G445" s="446">
        <v>0.74999999999999889</v>
      </c>
      <c r="H445" s="445" t="s">
        <v>249</v>
      </c>
      <c r="I445" s="444">
        <v>36</v>
      </c>
      <c r="J445" s="445" t="s">
        <v>82</v>
      </c>
      <c r="K445" s="447">
        <v>120.59</v>
      </c>
      <c r="L445" s="448">
        <v>5.83</v>
      </c>
      <c r="M445" s="444">
        <v>117</v>
      </c>
      <c r="N445" s="444">
        <v>13</v>
      </c>
      <c r="O445" s="447">
        <v>20.684391080617495</v>
      </c>
      <c r="P445" s="449">
        <v>0.73409874357667348</v>
      </c>
      <c r="Q445" s="447">
        <v>9.2761538461538464</v>
      </c>
      <c r="R445" s="447">
        <v>1.0306837606837607</v>
      </c>
      <c r="S445" s="450">
        <v>9</v>
      </c>
      <c r="T445" s="450">
        <v>2.229845626072041</v>
      </c>
      <c r="U445" s="240">
        <v>3</v>
      </c>
      <c r="V445" s="451">
        <v>1.8685897435897436E-2</v>
      </c>
      <c r="W445" s="450" t="s">
        <v>176</v>
      </c>
      <c r="X445" s="447">
        <v>16.078306651419858</v>
      </c>
      <c r="Y445" s="447">
        <v>4.6060844291976366</v>
      </c>
      <c r="Z445" s="452">
        <v>51.76</v>
      </c>
      <c r="AA445" s="58">
        <f t="shared" ca="1" si="18"/>
        <v>83.419999999999987</v>
      </c>
      <c r="AB445" s="453">
        <f ca="1">Table29[[#This Row],[Earnings]]-Table29[[#This Row],[4-Week Average]]</f>
        <v>37.170000000000016</v>
      </c>
    </row>
    <row r="446" spans="1:28" x14ac:dyDescent="0.35">
      <c r="A446" s="436">
        <v>45332</v>
      </c>
      <c r="B446" s="435">
        <v>2024</v>
      </c>
      <c r="C446" s="435">
        <v>6</v>
      </c>
      <c r="D446" s="435">
        <v>6</v>
      </c>
      <c r="E446" s="435" t="s">
        <v>278</v>
      </c>
      <c r="F446" s="436" t="s">
        <v>51</v>
      </c>
      <c r="G446" s="437">
        <v>0.74999999999999889</v>
      </c>
      <c r="H446" s="436" t="s">
        <v>230</v>
      </c>
      <c r="I446" s="435">
        <v>43</v>
      </c>
      <c r="J446" s="436" t="s">
        <v>80</v>
      </c>
      <c r="K446" s="438">
        <v>69.02</v>
      </c>
      <c r="L446" s="439">
        <v>3.13</v>
      </c>
      <c r="M446" s="435">
        <v>62</v>
      </c>
      <c r="N446" s="435">
        <v>8</v>
      </c>
      <c r="O446" s="438">
        <v>22.051118210862619</v>
      </c>
      <c r="P446" s="440">
        <v>-3.3658312424110122</v>
      </c>
      <c r="Q446" s="438">
        <v>8.6274999999999995</v>
      </c>
      <c r="R446" s="438">
        <v>1.1132258064516127</v>
      </c>
      <c r="S446" s="441">
        <v>7.75</v>
      </c>
      <c r="T446" s="441">
        <v>2.5559105431309903</v>
      </c>
      <c r="U446" s="239">
        <v>2</v>
      </c>
      <c r="V446" s="442">
        <v>1.6302083333333332E-2</v>
      </c>
      <c r="W446" s="441" t="s">
        <v>176</v>
      </c>
      <c r="X446" s="438">
        <v>22.051118210862619</v>
      </c>
      <c r="Y446" s="438">
        <v>0</v>
      </c>
      <c r="Z446" s="443">
        <v>50.758111111111106</v>
      </c>
      <c r="AA446" s="58">
        <f t="shared" ca="1" si="18"/>
        <v>90.72</v>
      </c>
      <c r="AB446" s="453">
        <f ca="1">Table29[[#This Row],[Earnings]]-Table29[[#This Row],[4-Week Average]]</f>
        <v>-21.700000000000003</v>
      </c>
    </row>
    <row r="447" spans="1:28" x14ac:dyDescent="0.35">
      <c r="A447" s="445">
        <v>45335</v>
      </c>
      <c r="B447" s="444">
        <v>2024</v>
      </c>
      <c r="C447" s="444">
        <v>7</v>
      </c>
      <c r="D447" s="444">
        <v>7</v>
      </c>
      <c r="E447" s="444" t="s">
        <v>278</v>
      </c>
      <c r="F447" s="445" t="s">
        <v>47</v>
      </c>
      <c r="G447" s="446">
        <v>0.72916666666666552</v>
      </c>
      <c r="H447" s="445" t="s">
        <v>230</v>
      </c>
      <c r="I447" s="444">
        <v>30</v>
      </c>
      <c r="J447" s="445" t="s">
        <v>80</v>
      </c>
      <c r="K447" s="447">
        <v>100.53999999999999</v>
      </c>
      <c r="L447" s="448">
        <v>4.1500000000000004</v>
      </c>
      <c r="M447" s="444">
        <v>92</v>
      </c>
      <c r="N447" s="444">
        <v>10</v>
      </c>
      <c r="O447" s="447">
        <v>24.226506024096381</v>
      </c>
      <c r="P447" s="449">
        <v>-4.0247338300271238</v>
      </c>
      <c r="Q447" s="447">
        <v>10.053999999999998</v>
      </c>
      <c r="R447" s="447">
        <v>1.0928260869565216</v>
      </c>
      <c r="S447" s="450">
        <v>9.1999999999999993</v>
      </c>
      <c r="T447" s="450">
        <v>2.4096385542168672</v>
      </c>
      <c r="U447" s="240">
        <v>3</v>
      </c>
      <c r="V447" s="451">
        <v>1.7291666666666667E-2</v>
      </c>
      <c r="W447" s="450" t="s">
        <v>176</v>
      </c>
      <c r="X447" s="447">
        <v>27.074867409256267</v>
      </c>
      <c r="Y447" s="447">
        <v>-2.8483613851598868</v>
      </c>
      <c r="Z447" s="452">
        <v>49.367555555555555</v>
      </c>
      <c r="AA447" s="58">
        <f t="shared" ca="1" si="18"/>
        <v>102.22</v>
      </c>
      <c r="AB447" s="453">
        <f ca="1">Table29[[#This Row],[Earnings]]-Table29[[#This Row],[4-Week Average]]</f>
        <v>-1.6800000000000068</v>
      </c>
    </row>
    <row r="448" spans="1:28" x14ac:dyDescent="0.35">
      <c r="A448" s="436">
        <v>45336</v>
      </c>
      <c r="B448" s="435">
        <v>2024</v>
      </c>
      <c r="C448" s="435">
        <v>7</v>
      </c>
      <c r="D448" s="435">
        <v>7</v>
      </c>
      <c r="E448" s="435" t="s">
        <v>278</v>
      </c>
      <c r="F448" s="436" t="s">
        <v>48</v>
      </c>
      <c r="G448" s="437">
        <v>0.72916666666666552</v>
      </c>
      <c r="H448" s="436" t="s">
        <v>230</v>
      </c>
      <c r="I448" s="435">
        <v>21</v>
      </c>
      <c r="J448" s="436" t="s">
        <v>80</v>
      </c>
      <c r="K448" s="438">
        <v>192.15</v>
      </c>
      <c r="L448" s="439">
        <v>5.18</v>
      </c>
      <c r="M448" s="435">
        <v>90</v>
      </c>
      <c r="N448" s="435">
        <v>14</v>
      </c>
      <c r="O448" s="438">
        <v>37.094594594594597</v>
      </c>
      <c r="P448" s="440">
        <v>9.7618444021780775</v>
      </c>
      <c r="Q448" s="438">
        <v>13.725</v>
      </c>
      <c r="R448" s="438">
        <v>2.1350000000000002</v>
      </c>
      <c r="S448" s="441">
        <v>6.4285714285714288</v>
      </c>
      <c r="T448" s="441">
        <v>2.7027027027027026</v>
      </c>
      <c r="U448" s="239">
        <v>3</v>
      </c>
      <c r="V448" s="442">
        <v>1.5416666666666667E-2</v>
      </c>
      <c r="W448" s="441" t="s">
        <v>176</v>
      </c>
      <c r="X448" s="438">
        <v>30.479921410772477</v>
      </c>
      <c r="Y448" s="438">
        <v>6.61467318382212</v>
      </c>
      <c r="Z448" s="443">
        <v>51.19811111111111</v>
      </c>
      <c r="AA448" s="58">
        <f t="shared" ca="1" si="18"/>
        <v>120.57499999999999</v>
      </c>
      <c r="AB448" s="453">
        <f ca="1">Table29[[#This Row],[Earnings]]-Table29[[#This Row],[4-Week Average]]</f>
        <v>71.575000000000017</v>
      </c>
    </row>
    <row r="449" spans="1:28" x14ac:dyDescent="0.35">
      <c r="A449" s="445">
        <v>45338</v>
      </c>
      <c r="B449" s="444">
        <v>2024</v>
      </c>
      <c r="C449" s="444">
        <v>7</v>
      </c>
      <c r="D449" s="444">
        <v>7</v>
      </c>
      <c r="E449" s="444" t="s">
        <v>278</v>
      </c>
      <c r="F449" s="445" t="s">
        <v>50</v>
      </c>
      <c r="G449" s="446">
        <v>0.72916666666666552</v>
      </c>
      <c r="H449" s="445" t="s">
        <v>230</v>
      </c>
      <c r="I449" s="444">
        <v>25</v>
      </c>
      <c r="J449" s="445" t="s">
        <v>82</v>
      </c>
      <c r="K449" s="447">
        <v>81.539999999999992</v>
      </c>
      <c r="L449" s="448">
        <v>4.4800000000000004</v>
      </c>
      <c r="M449" s="444">
        <v>51</v>
      </c>
      <c r="N449" s="444">
        <v>15</v>
      </c>
      <c r="O449" s="447">
        <v>18.200892857142854</v>
      </c>
      <c r="P449" s="449">
        <v>-1.8228093542556358</v>
      </c>
      <c r="Q449" s="447">
        <v>5.4359999999999991</v>
      </c>
      <c r="R449" s="447">
        <v>1.5988235294117645</v>
      </c>
      <c r="S449" s="450">
        <v>3.4</v>
      </c>
      <c r="T449" s="450">
        <v>3.3482142857142856</v>
      </c>
      <c r="U449" s="240">
        <v>4</v>
      </c>
      <c r="V449" s="451">
        <v>1.2444444444444445E-2</v>
      </c>
      <c r="W449" s="450" t="s">
        <v>176</v>
      </c>
      <c r="X449" s="447">
        <v>19.441531699889257</v>
      </c>
      <c r="Y449" s="447">
        <v>-1.240638842746403</v>
      </c>
      <c r="Z449" s="452">
        <v>51.917777777777772</v>
      </c>
      <c r="AA449" s="58">
        <f t="shared" ca="1" si="18"/>
        <v>110.8125</v>
      </c>
      <c r="AB449" s="453">
        <f ca="1">Table29[[#This Row],[Earnings]]-Table29[[#This Row],[4-Week Average]]</f>
        <v>-29.272500000000008</v>
      </c>
    </row>
    <row r="450" spans="1:28" x14ac:dyDescent="0.35">
      <c r="A450" s="436">
        <v>45339</v>
      </c>
      <c r="B450" s="435">
        <v>2024</v>
      </c>
      <c r="C450" s="435">
        <v>7</v>
      </c>
      <c r="D450" s="435">
        <v>7</v>
      </c>
      <c r="E450" s="435" t="s">
        <v>278</v>
      </c>
      <c r="F450" s="436" t="s">
        <v>51</v>
      </c>
      <c r="G450" s="437">
        <v>0.79166666666666541</v>
      </c>
      <c r="H450" s="436" t="s">
        <v>280</v>
      </c>
      <c r="I450" s="435">
        <v>21</v>
      </c>
      <c r="J450" s="436" t="s">
        <v>80</v>
      </c>
      <c r="K450" s="438">
        <v>132.19</v>
      </c>
      <c r="L450" s="439">
        <v>4.88</v>
      </c>
      <c r="M450" s="435">
        <v>120</v>
      </c>
      <c r="N450" s="435">
        <v>11</v>
      </c>
      <c r="O450" s="438">
        <v>27.08811475409836</v>
      </c>
      <c r="P450" s="440">
        <v>1.8815297534754158</v>
      </c>
      <c r="Q450" s="438">
        <v>12.017272727272728</v>
      </c>
      <c r="R450" s="438">
        <v>1.1015833333333334</v>
      </c>
      <c r="S450" s="441">
        <v>10.909090909090908</v>
      </c>
      <c r="T450" s="441">
        <v>2.2540983606557377</v>
      </c>
      <c r="U450" s="239">
        <v>3</v>
      </c>
      <c r="V450" s="442">
        <v>1.8484848484848482E-2</v>
      </c>
      <c r="W450" s="441" t="s">
        <v>176</v>
      </c>
      <c r="X450" s="438">
        <v>23.598377948374907</v>
      </c>
      <c r="Y450" s="438">
        <v>3.489736805723453</v>
      </c>
      <c r="Z450" s="443">
        <v>53.386555555555546</v>
      </c>
      <c r="AA450" s="58">
        <f t="shared" ca="1" si="18"/>
        <v>126.605</v>
      </c>
      <c r="AB450" s="453">
        <f ca="1">Table29[[#This Row],[Earnings]]-Table29[[#This Row],[4-Week Average]]</f>
        <v>5.5849999999999937</v>
      </c>
    </row>
    <row r="451" spans="1:28" x14ac:dyDescent="0.35">
      <c r="A451" s="445">
        <v>45340</v>
      </c>
      <c r="B451" s="444">
        <v>2024</v>
      </c>
      <c r="C451" s="444">
        <v>7</v>
      </c>
      <c r="D451" s="444">
        <v>7</v>
      </c>
      <c r="E451" s="444" t="s">
        <v>278</v>
      </c>
      <c r="F451" s="445" t="s">
        <v>45</v>
      </c>
      <c r="G451" s="446">
        <v>0.54166666666666585</v>
      </c>
      <c r="H451" s="445" t="s">
        <v>281</v>
      </c>
      <c r="I451" s="444">
        <v>30</v>
      </c>
      <c r="J451" s="445" t="s">
        <v>174</v>
      </c>
      <c r="K451" s="447">
        <v>52.45</v>
      </c>
      <c r="L451" s="448">
        <v>3.02</v>
      </c>
      <c r="M451" s="444">
        <v>83</v>
      </c>
      <c r="N451" s="444">
        <v>6</v>
      </c>
      <c r="O451" s="447">
        <v>17.367549668874172</v>
      </c>
      <c r="P451" s="449">
        <v>3.4896322541524505</v>
      </c>
      <c r="Q451" s="447">
        <v>8.7416666666666671</v>
      </c>
      <c r="R451" s="447">
        <v>0.63192771084337351</v>
      </c>
      <c r="S451" s="450">
        <v>13.833333333333334</v>
      </c>
      <c r="T451" s="450">
        <v>1.9867549668874172</v>
      </c>
      <c r="U451" s="240">
        <v>1</v>
      </c>
      <c r="V451" s="451">
        <v>2.0972222222222222E-2</v>
      </c>
      <c r="W451" s="450" t="s">
        <v>175</v>
      </c>
      <c r="X451" s="447">
        <v>22.500463167053098</v>
      </c>
      <c r="Y451" s="447">
        <v>-5.1329134981789259</v>
      </c>
      <c r="Z451" s="452">
        <v>52.709222222222209</v>
      </c>
      <c r="AA451" s="58">
        <f t="shared" ca="1" si="18"/>
        <v>114.5825</v>
      </c>
      <c r="AB451" s="453">
        <f ca="1">Table29[[#This Row],[Earnings]]-Table29[[#This Row],[4-Week Average]]</f>
        <v>-62.132499999999993</v>
      </c>
    </row>
    <row r="452" spans="1:28" x14ac:dyDescent="0.35">
      <c r="A452" s="436">
        <v>45341</v>
      </c>
      <c r="B452" s="435">
        <v>2024</v>
      </c>
      <c r="C452" s="435">
        <v>8</v>
      </c>
      <c r="D452" s="435">
        <v>8</v>
      </c>
      <c r="E452" s="435" t="s">
        <v>278</v>
      </c>
      <c r="F452" s="436" t="s">
        <v>46</v>
      </c>
      <c r="G452" s="437">
        <v>0.72916666666666552</v>
      </c>
      <c r="H452" s="436" t="s">
        <v>230</v>
      </c>
      <c r="I452" s="435">
        <v>19</v>
      </c>
      <c r="J452" s="436" t="s">
        <v>80</v>
      </c>
      <c r="K452" s="438">
        <v>112.49000000000001</v>
      </c>
      <c r="L452" s="439">
        <v>4.18</v>
      </c>
      <c r="M452" s="435">
        <v>98</v>
      </c>
      <c r="N452" s="435">
        <v>10</v>
      </c>
      <c r="O452" s="438">
        <v>26.911483253588521</v>
      </c>
      <c r="P452" s="440">
        <v>1.5692813113902346</v>
      </c>
      <c r="Q452" s="438">
        <v>11.249000000000001</v>
      </c>
      <c r="R452" s="438">
        <v>1.1478571428571429</v>
      </c>
      <c r="S452" s="441">
        <v>9.8000000000000007</v>
      </c>
      <c r="T452" s="441">
        <v>2.3923444976076556</v>
      </c>
      <c r="U452" s="239">
        <v>3</v>
      </c>
      <c r="V452" s="442">
        <v>1.7416666666666667E-2</v>
      </c>
      <c r="W452" s="441" t="s">
        <v>176</v>
      </c>
      <c r="X452" s="438">
        <v>27.049491626794261</v>
      </c>
      <c r="Y452" s="438">
        <v>-0.13800837320573933</v>
      </c>
      <c r="Z452" s="443">
        <v>53.142444444444429</v>
      </c>
      <c r="AA452" s="58">
        <f t="shared" ref="AA452:AA515" ca="1" si="19">AVERAGE(OFFSET(K452,-3,0,4,1))</f>
        <v>94.667500000000004</v>
      </c>
      <c r="AB452" s="453">
        <f ca="1">Table29[[#This Row],[Earnings]]-Table29[[#This Row],[4-Week Average]]</f>
        <v>17.822500000000005</v>
      </c>
    </row>
    <row r="453" spans="1:28" x14ac:dyDescent="0.35">
      <c r="A453" s="445">
        <v>45342</v>
      </c>
      <c r="B453" s="444">
        <v>2024</v>
      </c>
      <c r="C453" s="444">
        <v>8</v>
      </c>
      <c r="D453" s="444">
        <v>8</v>
      </c>
      <c r="E453" s="444" t="s">
        <v>278</v>
      </c>
      <c r="F453" s="445" t="s">
        <v>47</v>
      </c>
      <c r="G453" s="446">
        <v>0.72916666666666552</v>
      </c>
      <c r="H453" s="445" t="s">
        <v>230</v>
      </c>
      <c r="I453" s="444">
        <v>27</v>
      </c>
      <c r="J453" s="445" t="s">
        <v>82</v>
      </c>
      <c r="K453" s="447">
        <v>39.32</v>
      </c>
      <c r="L453" s="448">
        <v>2.4500000000000002</v>
      </c>
      <c r="M453" s="444">
        <v>45</v>
      </c>
      <c r="N453" s="444">
        <v>6</v>
      </c>
      <c r="O453" s="447">
        <v>16.048979591836734</v>
      </c>
      <c r="P453" s="449">
        <v>-5.5046139645449301</v>
      </c>
      <c r="Q453" s="447">
        <v>6.5533333333333337</v>
      </c>
      <c r="R453" s="447">
        <v>0.87377777777777776</v>
      </c>
      <c r="S453" s="450">
        <v>7.5</v>
      </c>
      <c r="T453" s="450">
        <v>2.4489795918367343</v>
      </c>
      <c r="U453" s="240">
        <v>2</v>
      </c>
      <c r="V453" s="451">
        <v>1.7013888888888891E-2</v>
      </c>
      <c r="W453" s="450" t="s">
        <v>175</v>
      </c>
      <c r="X453" s="447">
        <v>25.107199243055533</v>
      </c>
      <c r="Y453" s="447">
        <v>-9.0582196512187991</v>
      </c>
      <c r="Z453" s="452">
        <v>53.22177777777776</v>
      </c>
      <c r="AA453" s="58">
        <f t="shared" ca="1" si="19"/>
        <v>84.112499999999997</v>
      </c>
      <c r="AB453" s="453">
        <f ca="1">Table29[[#This Row],[Earnings]]-Table29[[#This Row],[4-Week Average]]</f>
        <v>-44.792499999999997</v>
      </c>
    </row>
    <row r="454" spans="1:28" x14ac:dyDescent="0.35">
      <c r="A454" s="436">
        <v>45343</v>
      </c>
      <c r="B454" s="435">
        <v>2024</v>
      </c>
      <c r="C454" s="435">
        <v>8</v>
      </c>
      <c r="D454" s="435">
        <v>8</v>
      </c>
      <c r="E454" s="435" t="s">
        <v>278</v>
      </c>
      <c r="F454" s="436" t="s">
        <v>48</v>
      </c>
      <c r="G454" s="437">
        <v>0.72916666666666552</v>
      </c>
      <c r="H454" s="436" t="s">
        <v>230</v>
      </c>
      <c r="I454" s="435">
        <v>30</v>
      </c>
      <c r="J454" s="436" t="s">
        <v>82</v>
      </c>
      <c r="K454" s="438">
        <v>37.660000000000004</v>
      </c>
      <c r="L454" s="439">
        <v>2.98</v>
      </c>
      <c r="M454" s="435">
        <v>66</v>
      </c>
      <c r="N454" s="435">
        <v>5</v>
      </c>
      <c r="O454" s="438">
        <v>12.637583892617451</v>
      </c>
      <c r="P454" s="440">
        <v>-7.7567666639713213</v>
      </c>
      <c r="Q454" s="438">
        <v>7.5320000000000009</v>
      </c>
      <c r="R454" s="438">
        <v>0.57060606060606067</v>
      </c>
      <c r="S454" s="441">
        <v>13.2</v>
      </c>
      <c r="T454" s="441">
        <v>1.6778523489932886</v>
      </c>
      <c r="U454" s="239">
        <v>2</v>
      </c>
      <c r="V454" s="442">
        <v>2.4833333333333332E-2</v>
      </c>
      <c r="W454" s="441" t="s">
        <v>175</v>
      </c>
      <c r="X454" s="438">
        <v>18.266708612975393</v>
      </c>
      <c r="Y454" s="438">
        <v>-5.6291247203579413</v>
      </c>
      <c r="Z454" s="443">
        <v>53.640222222222199</v>
      </c>
      <c r="AA454" s="58">
        <f t="shared" ca="1" si="19"/>
        <v>60.48</v>
      </c>
      <c r="AB454" s="453">
        <f ca="1">Table29[[#This Row],[Earnings]]-Table29[[#This Row],[4-Week Average]]</f>
        <v>-22.819999999999993</v>
      </c>
    </row>
    <row r="455" spans="1:28" x14ac:dyDescent="0.35">
      <c r="A455" s="445">
        <v>45344</v>
      </c>
      <c r="B455" s="444">
        <v>2024</v>
      </c>
      <c r="C455" s="444">
        <v>8</v>
      </c>
      <c r="D455" s="444">
        <v>8</v>
      </c>
      <c r="E455" s="444" t="s">
        <v>278</v>
      </c>
      <c r="F455" s="445" t="s">
        <v>49</v>
      </c>
      <c r="G455" s="446">
        <v>0.72916666666666552</v>
      </c>
      <c r="H455" s="445" t="s">
        <v>231</v>
      </c>
      <c r="I455" s="444">
        <v>32</v>
      </c>
      <c r="J455" s="445" t="s">
        <v>82</v>
      </c>
      <c r="K455" s="447">
        <v>105.34</v>
      </c>
      <c r="L455" s="448">
        <v>4.58</v>
      </c>
      <c r="M455" s="444">
        <v>68</v>
      </c>
      <c r="N455" s="444">
        <v>10</v>
      </c>
      <c r="O455" s="447">
        <v>23</v>
      </c>
      <c r="P455" s="449">
        <v>1.6747446307002107</v>
      </c>
      <c r="Q455" s="447">
        <v>10.534000000000001</v>
      </c>
      <c r="R455" s="447">
        <v>1.5491176470588235</v>
      </c>
      <c r="S455" s="450">
        <v>6.8</v>
      </c>
      <c r="T455" s="450">
        <v>2.1834061135371177</v>
      </c>
      <c r="U455" s="240">
        <v>4</v>
      </c>
      <c r="V455" s="451">
        <v>1.9083333333333334E-2</v>
      </c>
      <c r="W455" s="450" t="s">
        <v>176</v>
      </c>
      <c r="X455" s="447">
        <v>21.236984459688347</v>
      </c>
      <c r="Y455" s="447">
        <v>1.7630155403116525</v>
      </c>
      <c r="Z455" s="452">
        <v>52.824555555555534</v>
      </c>
      <c r="AA455" s="58">
        <f t="shared" ca="1" si="19"/>
        <v>73.702500000000001</v>
      </c>
      <c r="AB455" s="453">
        <f ca="1">Table29[[#This Row],[Earnings]]-Table29[[#This Row],[4-Week Average]]</f>
        <v>31.637500000000003</v>
      </c>
    </row>
    <row r="456" spans="1:28" x14ac:dyDescent="0.35">
      <c r="A456" s="436">
        <v>45346</v>
      </c>
      <c r="B456" s="435">
        <v>2024</v>
      </c>
      <c r="C456" s="435">
        <v>8</v>
      </c>
      <c r="D456" s="435">
        <v>8</v>
      </c>
      <c r="E456" s="435" t="s">
        <v>278</v>
      </c>
      <c r="F456" s="436" t="s">
        <v>51</v>
      </c>
      <c r="G456" s="437">
        <v>0.70833333333333226</v>
      </c>
      <c r="H456" s="436" t="s">
        <v>230</v>
      </c>
      <c r="I456" s="435">
        <v>18</v>
      </c>
      <c r="J456" s="436" t="s">
        <v>80</v>
      </c>
      <c r="K456" s="438">
        <v>106.38</v>
      </c>
      <c r="L456" s="439">
        <v>3.25</v>
      </c>
      <c r="M456" s="435">
        <v>74</v>
      </c>
      <c r="N456" s="435">
        <v>10</v>
      </c>
      <c r="O456" s="438">
        <v>32.732307692307693</v>
      </c>
      <c r="P456" s="440">
        <v>7.4150444708920773</v>
      </c>
      <c r="Q456" s="438">
        <v>10.638</v>
      </c>
      <c r="R456" s="438">
        <v>1.4375675675675674</v>
      </c>
      <c r="S456" s="441">
        <v>7.4</v>
      </c>
      <c r="T456" s="441">
        <v>3.0769230769230771</v>
      </c>
      <c r="U456" s="239">
        <v>3</v>
      </c>
      <c r="V456" s="442">
        <v>1.3541666666666667E-2</v>
      </c>
      <c r="W456" s="441" t="s">
        <v>176</v>
      </c>
      <c r="X456" s="438">
        <v>25.977928442696818</v>
      </c>
      <c r="Y456" s="438">
        <v>6.7543792496108743</v>
      </c>
      <c r="Z456" s="443">
        <v>54.006555555555536</v>
      </c>
      <c r="AA456" s="58">
        <f t="shared" ca="1" si="19"/>
        <v>72.174999999999997</v>
      </c>
      <c r="AB456" s="453">
        <f ca="1">Table29[[#This Row],[Earnings]]-Table29[[#This Row],[4-Week Average]]</f>
        <v>34.204999999999998</v>
      </c>
    </row>
    <row r="457" spans="1:28" x14ac:dyDescent="0.35">
      <c r="A457" s="445">
        <v>45349</v>
      </c>
      <c r="B457" s="444">
        <v>2024</v>
      </c>
      <c r="C457" s="444">
        <v>9</v>
      </c>
      <c r="D457" s="444">
        <v>9</v>
      </c>
      <c r="E457" s="444" t="s">
        <v>278</v>
      </c>
      <c r="F457" s="445" t="s">
        <v>47</v>
      </c>
      <c r="G457" s="446">
        <v>0.74999999999999889</v>
      </c>
      <c r="H457" s="445" t="s">
        <v>276</v>
      </c>
      <c r="I457" s="444">
        <v>43</v>
      </c>
      <c r="J457" s="445" t="s">
        <v>80</v>
      </c>
      <c r="K457" s="447">
        <v>124.55</v>
      </c>
      <c r="L457" s="448">
        <v>4.12</v>
      </c>
      <c r="M457" s="444">
        <v>89</v>
      </c>
      <c r="N457" s="444">
        <v>10</v>
      </c>
      <c r="O457" s="447">
        <v>30.230582524271842</v>
      </c>
      <c r="P457" s="449">
        <v>2.2668236580074215</v>
      </c>
      <c r="Q457" s="447">
        <v>12.455</v>
      </c>
      <c r="R457" s="447">
        <v>1.399438202247191</v>
      </c>
      <c r="S457" s="450">
        <v>8.9</v>
      </c>
      <c r="T457" s="450">
        <v>2.4271844660194173</v>
      </c>
      <c r="U457" s="240">
        <v>2</v>
      </c>
      <c r="V457" s="451">
        <v>1.7166666666666667E-2</v>
      </c>
      <c r="W457" s="450" t="s">
        <v>176</v>
      </c>
      <c r="X457" s="447">
        <v>30.230582524271842</v>
      </c>
      <c r="Y457" s="447">
        <v>0</v>
      </c>
      <c r="Z457" s="452">
        <v>52.439111111111096</v>
      </c>
      <c r="AA457" s="58">
        <f t="shared" ca="1" si="19"/>
        <v>93.482500000000002</v>
      </c>
      <c r="AB457" s="453">
        <f ca="1">Table29[[#This Row],[Earnings]]-Table29[[#This Row],[4-Week Average]]</f>
        <v>31.067499999999995</v>
      </c>
    </row>
    <row r="458" spans="1:28" x14ac:dyDescent="0.35">
      <c r="A458" s="436">
        <v>45350</v>
      </c>
      <c r="B458" s="435">
        <v>2024</v>
      </c>
      <c r="C458" s="435">
        <v>9</v>
      </c>
      <c r="D458" s="435">
        <v>9</v>
      </c>
      <c r="E458" s="435" t="s">
        <v>278</v>
      </c>
      <c r="F458" s="436" t="s">
        <v>48</v>
      </c>
      <c r="G458" s="437">
        <v>0.74999999999999889</v>
      </c>
      <c r="H458" s="436" t="s">
        <v>236</v>
      </c>
      <c r="I458" s="435">
        <v>50</v>
      </c>
      <c r="J458" s="436" t="s">
        <v>80</v>
      </c>
      <c r="K458" s="438">
        <v>72.38</v>
      </c>
      <c r="L458" s="439">
        <v>3.08</v>
      </c>
      <c r="M458" s="435">
        <v>62</v>
      </c>
      <c r="N458" s="435">
        <v>8</v>
      </c>
      <c r="O458" s="438">
        <v>23.499999999999996</v>
      </c>
      <c r="P458" s="440">
        <v>-4.8089346326343296</v>
      </c>
      <c r="Q458" s="438">
        <v>9.0474999999999994</v>
      </c>
      <c r="R458" s="438">
        <v>1.1674193548387095</v>
      </c>
      <c r="S458" s="441">
        <v>7.75</v>
      </c>
      <c r="T458" s="441">
        <v>2.5974025974025974</v>
      </c>
      <c r="U458" s="239">
        <v>3</v>
      </c>
      <c r="V458" s="442">
        <v>1.6041666666666666E-2</v>
      </c>
      <c r="W458" s="441" t="s">
        <v>176</v>
      </c>
      <c r="X458" s="438">
        <v>24.066190476190474</v>
      </c>
      <c r="Y458" s="438">
        <v>-0.56619047619047791</v>
      </c>
      <c r="Z458" s="443">
        <v>52.486333333333327</v>
      </c>
      <c r="AA458" s="58">
        <f t="shared" ca="1" si="19"/>
        <v>102.16249999999999</v>
      </c>
      <c r="AB458" s="453">
        <f ca="1">Table29[[#This Row],[Earnings]]-Table29[[#This Row],[4-Week Average]]</f>
        <v>-29.782499999999999</v>
      </c>
    </row>
    <row r="459" spans="1:28" x14ac:dyDescent="0.35">
      <c r="A459" s="445">
        <v>45352</v>
      </c>
      <c r="B459" s="444">
        <v>2024</v>
      </c>
      <c r="C459" s="444">
        <v>9</v>
      </c>
      <c r="D459" s="444">
        <v>9</v>
      </c>
      <c r="E459" s="444" t="s">
        <v>278</v>
      </c>
      <c r="F459" s="445" t="s">
        <v>50</v>
      </c>
      <c r="G459" s="446">
        <v>0.72916666666666552</v>
      </c>
      <c r="H459" s="445" t="s">
        <v>230</v>
      </c>
      <c r="I459" s="444">
        <v>32</v>
      </c>
      <c r="J459" s="445" t="s">
        <v>80</v>
      </c>
      <c r="K459" s="447">
        <v>85.14</v>
      </c>
      <c r="L459" s="448">
        <v>3.32</v>
      </c>
      <c r="M459" s="444">
        <v>75</v>
      </c>
      <c r="N459" s="444">
        <v>6</v>
      </c>
      <c r="O459" s="447">
        <v>25.644578313253014</v>
      </c>
      <c r="P459" s="449">
        <v>5.8036224787855346</v>
      </c>
      <c r="Q459" s="447">
        <v>14.19</v>
      </c>
      <c r="R459" s="447">
        <v>1.1352</v>
      </c>
      <c r="S459" s="450">
        <v>12.5</v>
      </c>
      <c r="T459" s="450">
        <v>1.8072289156626506</v>
      </c>
      <c r="U459" s="240">
        <v>1</v>
      </c>
      <c r="V459" s="451">
        <v>2.3055555555555555E-2</v>
      </c>
      <c r="W459" s="450" t="s">
        <v>176</v>
      </c>
      <c r="X459" s="447">
        <v>21.568295546402865</v>
      </c>
      <c r="Y459" s="447">
        <v>4.0762827668501487</v>
      </c>
      <c r="Z459" s="452">
        <v>53.432333333333332</v>
      </c>
      <c r="AA459" s="58">
        <f t="shared" ca="1" si="19"/>
        <v>97.112499999999997</v>
      </c>
      <c r="AB459" s="453">
        <f ca="1">Table29[[#This Row],[Earnings]]-Table29[[#This Row],[4-Week Average]]</f>
        <v>-11.972499999999997</v>
      </c>
    </row>
    <row r="460" spans="1:28" x14ac:dyDescent="0.35">
      <c r="A460" s="436">
        <v>45353</v>
      </c>
      <c r="B460" s="435">
        <v>2024</v>
      </c>
      <c r="C460" s="435">
        <v>9</v>
      </c>
      <c r="D460" s="435">
        <v>9</v>
      </c>
      <c r="E460" s="435" t="s">
        <v>278</v>
      </c>
      <c r="F460" s="436" t="s">
        <v>51</v>
      </c>
      <c r="G460" s="437">
        <v>0.74999999999999889</v>
      </c>
      <c r="H460" s="436" t="s">
        <v>236</v>
      </c>
      <c r="I460" s="435">
        <v>41</v>
      </c>
      <c r="J460" s="436" t="s">
        <v>80</v>
      </c>
      <c r="K460" s="438">
        <v>129.13999999999999</v>
      </c>
      <c r="L460" s="439">
        <v>4.4800000000000004</v>
      </c>
      <c r="M460" s="435">
        <v>100</v>
      </c>
      <c r="N460" s="435">
        <v>9</v>
      </c>
      <c r="O460" s="438">
        <v>28.825892857142851</v>
      </c>
      <c r="P460" s="440">
        <v>3.096682720677677</v>
      </c>
      <c r="Q460" s="438">
        <v>14.348888888888887</v>
      </c>
      <c r="R460" s="438">
        <v>1.2913999999999999</v>
      </c>
      <c r="S460" s="441">
        <v>11.111111111111111</v>
      </c>
      <c r="T460" s="441">
        <v>2.0089285714285712</v>
      </c>
      <c r="U460" s="239">
        <v>4</v>
      </c>
      <c r="V460" s="442">
        <v>2.0740740740740744E-2</v>
      </c>
      <c r="W460" s="441" t="s">
        <v>176</v>
      </c>
      <c r="X460" s="438">
        <v>23.647241099883558</v>
      </c>
      <c r="Y460" s="438">
        <v>5.1786517572592921</v>
      </c>
      <c r="Z460" s="443">
        <v>54.867222222222225</v>
      </c>
      <c r="AA460" s="58">
        <f t="shared" ca="1" si="19"/>
        <v>102.80249999999999</v>
      </c>
      <c r="AB460" s="453">
        <f ca="1">Table29[[#This Row],[Earnings]]-Table29[[#This Row],[4-Week Average]]</f>
        <v>26.337499999999991</v>
      </c>
    </row>
    <row r="461" spans="1:28" x14ac:dyDescent="0.35">
      <c r="A461" s="445">
        <v>45354</v>
      </c>
      <c r="B461" s="444">
        <v>2024</v>
      </c>
      <c r="C461" s="444">
        <v>9</v>
      </c>
      <c r="D461" s="444">
        <v>9</v>
      </c>
      <c r="E461" s="444" t="s">
        <v>278</v>
      </c>
      <c r="F461" s="445" t="s">
        <v>45</v>
      </c>
      <c r="G461" s="446">
        <v>0.70833333333333226</v>
      </c>
      <c r="H461" s="445" t="s">
        <v>236</v>
      </c>
      <c r="I461" s="444">
        <v>37</v>
      </c>
      <c r="J461" s="445" t="s">
        <v>82</v>
      </c>
      <c r="K461" s="447">
        <v>79.36</v>
      </c>
      <c r="L461" s="448">
        <v>3.77</v>
      </c>
      <c r="M461" s="444">
        <v>66</v>
      </c>
      <c r="N461" s="444">
        <v>9</v>
      </c>
      <c r="O461" s="447">
        <v>21.050397877984086</v>
      </c>
      <c r="P461" s="449">
        <v>8.12706945120323</v>
      </c>
      <c r="Q461" s="447">
        <v>8.8177777777777777</v>
      </c>
      <c r="R461" s="447">
        <v>1.2024242424242424</v>
      </c>
      <c r="S461" s="450">
        <v>7.333333333333333</v>
      </c>
      <c r="T461" s="450">
        <v>2.3872679045092839</v>
      </c>
      <c r="U461" s="240">
        <v>2</v>
      </c>
      <c r="V461" s="451">
        <v>1.7453703703703704E-2</v>
      </c>
      <c r="W461" s="450" t="s">
        <v>176</v>
      </c>
      <c r="X461" s="447">
        <v>27.871502575489643</v>
      </c>
      <c r="Y461" s="447">
        <v>-6.8211046975055574</v>
      </c>
      <c r="Z461" s="452">
        <v>55.748999999999995</v>
      </c>
      <c r="AA461" s="58">
        <f t="shared" ca="1" si="19"/>
        <v>91.504999999999995</v>
      </c>
      <c r="AB461" s="453">
        <f ca="1">Table29[[#This Row],[Earnings]]-Table29[[#This Row],[4-Week Average]]</f>
        <v>-12.144999999999996</v>
      </c>
    </row>
    <row r="462" spans="1:28" x14ac:dyDescent="0.35">
      <c r="A462" s="436">
        <v>45356</v>
      </c>
      <c r="B462" s="435">
        <v>2024</v>
      </c>
      <c r="C462" s="435">
        <v>10</v>
      </c>
      <c r="D462" s="435">
        <v>10</v>
      </c>
      <c r="E462" s="435" t="s">
        <v>278</v>
      </c>
      <c r="F462" s="436" t="s">
        <v>47</v>
      </c>
      <c r="G462" s="437">
        <v>0.72916666666666552</v>
      </c>
      <c r="H462" s="436" t="s">
        <v>236</v>
      </c>
      <c r="I462" s="435">
        <v>39</v>
      </c>
      <c r="J462" s="436" t="s">
        <v>80</v>
      </c>
      <c r="K462" s="438">
        <v>65.319999999999993</v>
      </c>
      <c r="L462" s="439">
        <v>3.45</v>
      </c>
      <c r="M462" s="435">
        <v>80</v>
      </c>
      <c r="N462" s="435">
        <v>8</v>
      </c>
      <c r="O462" s="438">
        <v>18.93333333333333</v>
      </c>
      <c r="P462" s="440">
        <v>-9.1815471101315858</v>
      </c>
      <c r="Q462" s="438">
        <v>8.1649999999999991</v>
      </c>
      <c r="R462" s="438">
        <v>0.81649999999999989</v>
      </c>
      <c r="S462" s="441">
        <v>10</v>
      </c>
      <c r="T462" s="441">
        <v>2.318840579710145</v>
      </c>
      <c r="U462" s="239">
        <v>3</v>
      </c>
      <c r="V462" s="442">
        <v>1.7968750000000002E-2</v>
      </c>
      <c r="W462" s="441" t="s">
        <v>176</v>
      </c>
      <c r="X462" s="438">
        <v>20.677170504338861</v>
      </c>
      <c r="Y462" s="438">
        <v>-1.7438371710055307</v>
      </c>
      <c r="Z462" s="443">
        <v>55.628666666666668</v>
      </c>
      <c r="AA462" s="58">
        <f t="shared" ca="1" si="19"/>
        <v>89.74</v>
      </c>
      <c r="AB462" s="453">
        <f ca="1">Table29[[#This Row],[Earnings]]-Table29[[#This Row],[4-Week Average]]</f>
        <v>-24.42</v>
      </c>
    </row>
    <row r="463" spans="1:28" x14ac:dyDescent="0.35">
      <c r="A463" s="445">
        <v>45360</v>
      </c>
      <c r="B463" s="444">
        <v>2024</v>
      </c>
      <c r="C463" s="444">
        <v>10</v>
      </c>
      <c r="D463" s="444">
        <v>10</v>
      </c>
      <c r="E463" s="444" t="s">
        <v>278</v>
      </c>
      <c r="F463" s="445" t="s">
        <v>51</v>
      </c>
      <c r="G463" s="446">
        <v>0.54166666666666585</v>
      </c>
      <c r="H463" s="445" t="s">
        <v>231</v>
      </c>
      <c r="I463" s="444">
        <v>37</v>
      </c>
      <c r="J463" s="445" t="s">
        <v>80</v>
      </c>
      <c r="K463" s="447">
        <v>221.82</v>
      </c>
      <c r="L463" s="448">
        <v>7.55</v>
      </c>
      <c r="M463" s="444">
        <v>192</v>
      </c>
      <c r="N463" s="444">
        <v>17</v>
      </c>
      <c r="O463" s="447">
        <v>29.380132450331125</v>
      </c>
      <c r="P463" s="449">
        <v>3.4879390127776517</v>
      </c>
      <c r="Q463" s="447">
        <v>13.048235294117646</v>
      </c>
      <c r="R463" s="447">
        <v>1.1553125</v>
      </c>
      <c r="S463" s="450">
        <v>11.294117647058824</v>
      </c>
      <c r="T463" s="450">
        <v>2.2516556291390728</v>
      </c>
      <c r="U463" s="240">
        <v>5</v>
      </c>
      <c r="V463" s="451">
        <v>1.8504901960784314E-2</v>
      </c>
      <c r="W463" s="450" t="s">
        <v>176</v>
      </c>
      <c r="X463" s="447">
        <v>30.543878208019763</v>
      </c>
      <c r="Y463" s="447">
        <v>-1.1637457576886376</v>
      </c>
      <c r="Z463" s="452">
        <v>55.80822222222222</v>
      </c>
      <c r="AA463" s="58">
        <f t="shared" ca="1" si="19"/>
        <v>123.91</v>
      </c>
      <c r="AB463" s="453">
        <f ca="1">Table29[[#This Row],[Earnings]]-Table29[[#This Row],[4-Week Average]]</f>
        <v>97.91</v>
      </c>
    </row>
    <row r="464" spans="1:28" x14ac:dyDescent="0.35">
      <c r="A464" s="436">
        <v>45362</v>
      </c>
      <c r="B464" s="435">
        <v>2024</v>
      </c>
      <c r="C464" s="435">
        <v>11</v>
      </c>
      <c r="D464" s="435">
        <v>11</v>
      </c>
      <c r="E464" s="435" t="s">
        <v>278</v>
      </c>
      <c r="F464" s="436" t="s">
        <v>46</v>
      </c>
      <c r="G464" s="437">
        <v>0.72916666666666552</v>
      </c>
      <c r="H464" s="436" t="s">
        <v>249</v>
      </c>
      <c r="I464" s="435">
        <v>36</v>
      </c>
      <c r="J464" s="436" t="s">
        <v>80</v>
      </c>
      <c r="K464" s="438">
        <v>96.69</v>
      </c>
      <c r="L464" s="439">
        <v>4.03</v>
      </c>
      <c r="M464" s="435">
        <v>81</v>
      </c>
      <c r="N464" s="435">
        <v>10</v>
      </c>
      <c r="O464" s="438">
        <v>23.992555831265506</v>
      </c>
      <c r="P464" s="440">
        <v>-1.4703600579628002</v>
      </c>
      <c r="Q464" s="438">
        <v>9.6690000000000005</v>
      </c>
      <c r="R464" s="438">
        <v>1.1937037037037037</v>
      </c>
      <c r="S464" s="441">
        <v>8.1</v>
      </c>
      <c r="T464" s="441">
        <v>2.4813895781637716</v>
      </c>
      <c r="U464" s="239">
        <v>2</v>
      </c>
      <c r="V464" s="442">
        <v>1.6791666666666667E-2</v>
      </c>
      <c r="W464" s="441" t="s">
        <v>176</v>
      </c>
      <c r="X464" s="438">
        <v>26.303037502761384</v>
      </c>
      <c r="Y464" s="438">
        <v>-2.3104816714958787</v>
      </c>
      <c r="Z464" s="443">
        <v>56.882555555555548</v>
      </c>
      <c r="AA464" s="58">
        <f t="shared" ca="1" si="19"/>
        <v>115.7975</v>
      </c>
      <c r="AB464" s="453">
        <f ca="1">Table29[[#This Row],[Earnings]]-Table29[[#This Row],[4-Week Average]]</f>
        <v>-19.107500000000002</v>
      </c>
    </row>
    <row r="465" spans="1:28" x14ac:dyDescent="0.35">
      <c r="A465" s="445">
        <v>45364</v>
      </c>
      <c r="B465" s="444">
        <v>2024</v>
      </c>
      <c r="C465" s="444">
        <v>11</v>
      </c>
      <c r="D465" s="444">
        <v>11</v>
      </c>
      <c r="E465" s="444" t="s">
        <v>278</v>
      </c>
      <c r="F465" s="445" t="s">
        <v>48</v>
      </c>
      <c r="G465" s="446">
        <v>0.72916666666666552</v>
      </c>
      <c r="H465" s="445" t="s">
        <v>231</v>
      </c>
      <c r="I465" s="444">
        <v>52</v>
      </c>
      <c r="J465" s="445" t="s">
        <v>80</v>
      </c>
      <c r="K465" s="447">
        <v>114.52</v>
      </c>
      <c r="L465" s="448">
        <v>4.2300000000000004</v>
      </c>
      <c r="M465" s="444">
        <v>69</v>
      </c>
      <c r="N465" s="444">
        <v>9</v>
      </c>
      <c r="O465" s="447">
        <v>27.073286052009454</v>
      </c>
      <c r="P465" s="449">
        <v>-0.79847270493084466</v>
      </c>
      <c r="Q465" s="447">
        <v>12.724444444444444</v>
      </c>
      <c r="R465" s="447">
        <v>1.6597101449275362</v>
      </c>
      <c r="S465" s="450">
        <v>7.666666666666667</v>
      </c>
      <c r="T465" s="450">
        <v>2.1276595744680851</v>
      </c>
      <c r="U465" s="240">
        <v>3</v>
      </c>
      <c r="V465" s="451">
        <v>1.9583333333333335E-2</v>
      </c>
      <c r="W465" s="450" t="s">
        <v>176</v>
      </c>
      <c r="X465" s="447">
        <v>24.713285343418189</v>
      </c>
      <c r="Y465" s="447">
        <v>2.3600007085912651</v>
      </c>
      <c r="Z465" s="452">
        <v>56.30322222222221</v>
      </c>
      <c r="AA465" s="58">
        <f t="shared" ca="1" si="19"/>
        <v>124.58749999999999</v>
      </c>
      <c r="AB465" s="453">
        <f ca="1">Table29[[#This Row],[Earnings]]-Table29[[#This Row],[4-Week Average]]</f>
        <v>-10.067499999999995</v>
      </c>
    </row>
    <row r="466" spans="1:28" x14ac:dyDescent="0.35">
      <c r="A466" s="436">
        <v>45365</v>
      </c>
      <c r="B466" s="435">
        <v>2024</v>
      </c>
      <c r="C466" s="435">
        <v>11</v>
      </c>
      <c r="D466" s="435">
        <v>11</v>
      </c>
      <c r="E466" s="435" t="s">
        <v>278</v>
      </c>
      <c r="F466" s="436" t="s">
        <v>49</v>
      </c>
      <c r="G466" s="437">
        <v>0.72916666666666552</v>
      </c>
      <c r="H466" s="436" t="s">
        <v>249</v>
      </c>
      <c r="I466" s="435">
        <v>41</v>
      </c>
      <c r="J466" s="436" t="s">
        <v>85</v>
      </c>
      <c r="K466" s="438">
        <v>76</v>
      </c>
      <c r="L466" s="439">
        <v>4.1500000000000004</v>
      </c>
      <c r="M466" s="435">
        <v>109.8</v>
      </c>
      <c r="N466" s="435">
        <v>6</v>
      </c>
      <c r="O466" s="438">
        <v>18.31325301204819</v>
      </c>
      <c r="P466" s="440">
        <v>-1.9667236399706169</v>
      </c>
      <c r="Q466" s="438">
        <v>12.666666666666666</v>
      </c>
      <c r="R466" s="438">
        <v>0.69216757741347912</v>
      </c>
      <c r="S466" s="441">
        <v>18.3</v>
      </c>
      <c r="T466" s="441">
        <v>1.4457831325301203</v>
      </c>
      <c r="U466" s="239">
        <v>3</v>
      </c>
      <c r="V466" s="442">
        <v>2.881944444444445E-2</v>
      </c>
      <c r="W466" s="441" t="s">
        <v>176</v>
      </c>
      <c r="X466" s="438">
        <v>21.339386458777209</v>
      </c>
      <c r="Y466" s="438">
        <v>-3.0261334467290197</v>
      </c>
      <c r="Z466" s="443">
        <v>57.147666666666659</v>
      </c>
      <c r="AA466" s="58">
        <f t="shared" ca="1" si="19"/>
        <v>127.25749999999999</v>
      </c>
      <c r="AB466" s="453">
        <f ca="1">Table29[[#This Row],[Earnings]]-Table29[[#This Row],[4-Week Average]]</f>
        <v>-51.257499999999993</v>
      </c>
    </row>
    <row r="467" spans="1:28" x14ac:dyDescent="0.35">
      <c r="A467" s="445">
        <v>45366</v>
      </c>
      <c r="B467" s="444">
        <v>2024</v>
      </c>
      <c r="C467" s="444">
        <v>11</v>
      </c>
      <c r="D467" s="444">
        <v>11</v>
      </c>
      <c r="E467" s="444" t="s">
        <v>278</v>
      </c>
      <c r="F467" s="445" t="s">
        <v>50</v>
      </c>
      <c r="G467" s="446">
        <v>0.72916666666666552</v>
      </c>
      <c r="H467" s="445" t="s">
        <v>231</v>
      </c>
      <c r="I467" s="444">
        <v>37</v>
      </c>
      <c r="J467" s="445" t="s">
        <v>82</v>
      </c>
      <c r="K467" s="447">
        <v>91.05</v>
      </c>
      <c r="L467" s="448">
        <v>3.77</v>
      </c>
      <c r="M467" s="444">
        <v>59</v>
      </c>
      <c r="N467" s="444">
        <v>12</v>
      </c>
      <c r="O467" s="447">
        <v>24.151193633952253</v>
      </c>
      <c r="P467" s="449">
        <v>4.2932013638497288</v>
      </c>
      <c r="Q467" s="447">
        <v>7.5874999999999995</v>
      </c>
      <c r="R467" s="447">
        <v>1.5432203389830508</v>
      </c>
      <c r="S467" s="450">
        <v>4.916666666666667</v>
      </c>
      <c r="T467" s="450">
        <v>3.183023872679045</v>
      </c>
      <c r="U467" s="240">
        <v>4</v>
      </c>
      <c r="V467" s="451">
        <v>1.3090277777777777E-2</v>
      </c>
      <c r="W467" s="450" t="s">
        <v>176</v>
      </c>
      <c r="X467" s="447">
        <v>19.241188905138749</v>
      </c>
      <c r="Y467" s="447">
        <v>4.9100047288135045</v>
      </c>
      <c r="Z467" s="452">
        <v>57.440222222222211</v>
      </c>
      <c r="AA467" s="58">
        <f t="shared" ca="1" si="19"/>
        <v>94.564999999999998</v>
      </c>
      <c r="AB467" s="453">
        <f ca="1">Table29[[#This Row],[Earnings]]-Table29[[#This Row],[4-Week Average]]</f>
        <v>-3.5150000000000006</v>
      </c>
    </row>
    <row r="468" spans="1:28" x14ac:dyDescent="0.35">
      <c r="A468" s="436">
        <v>45367</v>
      </c>
      <c r="B468" s="435">
        <v>2024</v>
      </c>
      <c r="C468" s="435">
        <v>11</v>
      </c>
      <c r="D468" s="435">
        <v>11</v>
      </c>
      <c r="E468" s="435" t="s">
        <v>278</v>
      </c>
      <c r="F468" s="436" t="s">
        <v>51</v>
      </c>
      <c r="G468" s="437">
        <v>0.60416666666666574</v>
      </c>
      <c r="H468" s="436" t="s">
        <v>285</v>
      </c>
      <c r="I468" s="435">
        <v>52</v>
      </c>
      <c r="J468" s="436" t="s">
        <v>80</v>
      </c>
      <c r="K468" s="438">
        <v>84.15</v>
      </c>
      <c r="L468" s="439">
        <v>4.03</v>
      </c>
      <c r="M468" s="435">
        <v>94</v>
      </c>
      <c r="N468" s="435">
        <v>6</v>
      </c>
      <c r="O468" s="438">
        <v>20.88089330024814</v>
      </c>
      <c r="P468" s="440">
        <v>-5.1856970879442166</v>
      </c>
      <c r="Q468" s="438">
        <v>14.025</v>
      </c>
      <c r="R468" s="438">
        <v>0.89521276595744692</v>
      </c>
      <c r="S468" s="441">
        <v>15.666666666666666</v>
      </c>
      <c r="T468" s="441">
        <v>1.4888337468982629</v>
      </c>
      <c r="U468" s="239">
        <v>2</v>
      </c>
      <c r="V468" s="442">
        <v>2.7986111111111114E-2</v>
      </c>
      <c r="W468" s="441" t="s">
        <v>176</v>
      </c>
      <c r="X468" s="438">
        <v>24.294742211193824</v>
      </c>
      <c r="Y468" s="438">
        <v>-3.4138489109456849</v>
      </c>
      <c r="Z468" s="443">
        <v>58.375222222222206</v>
      </c>
      <c r="AA468" s="58">
        <f t="shared" ca="1" si="19"/>
        <v>91.43</v>
      </c>
      <c r="AB468" s="453">
        <f ca="1">Table29[[#This Row],[Earnings]]-Table29[[#This Row],[4-Week Average]]</f>
        <v>-7.2800000000000011</v>
      </c>
    </row>
    <row r="469" spans="1:28" x14ac:dyDescent="0.35">
      <c r="A469" s="445">
        <v>45370</v>
      </c>
      <c r="B469" s="444">
        <v>2024</v>
      </c>
      <c r="C469" s="444">
        <v>12</v>
      </c>
      <c r="D469" s="444">
        <v>12</v>
      </c>
      <c r="E469" s="444" t="s">
        <v>278</v>
      </c>
      <c r="F469" s="445" t="s">
        <v>47</v>
      </c>
      <c r="G469" s="446">
        <v>0.77083333333333215</v>
      </c>
      <c r="H469" s="445" t="s">
        <v>230</v>
      </c>
      <c r="I469" s="444">
        <v>36</v>
      </c>
      <c r="J469" s="445" t="s">
        <v>80</v>
      </c>
      <c r="K469" s="447">
        <v>114.44</v>
      </c>
      <c r="L469" s="448">
        <v>3.38</v>
      </c>
      <c r="M469" s="444">
        <v>79</v>
      </c>
      <c r="N469" s="444">
        <v>8</v>
      </c>
      <c r="O469" s="447">
        <v>33.857988165680474</v>
      </c>
      <c r="P469" s="449">
        <v>6.316954416598783</v>
      </c>
      <c r="Q469" s="447">
        <v>14.305</v>
      </c>
      <c r="R469" s="447">
        <v>1.4486075949367088</v>
      </c>
      <c r="S469" s="450">
        <v>9.875</v>
      </c>
      <c r="T469" s="450">
        <v>2.3668639053254439</v>
      </c>
      <c r="U469" s="240">
        <v>1</v>
      </c>
      <c r="V469" s="451">
        <v>1.7604166666666667E-2</v>
      </c>
      <c r="W469" s="450" t="s">
        <v>176</v>
      </c>
      <c r="X469" s="447">
        <v>25.204699111738062</v>
      </c>
      <c r="Y469" s="447">
        <v>8.6532890539424123</v>
      </c>
      <c r="Z469" s="452">
        <v>58.671666666666653</v>
      </c>
      <c r="AA469" s="58">
        <f t="shared" ca="1" si="19"/>
        <v>91.41</v>
      </c>
      <c r="AB469" s="453">
        <f ca="1">Table29[[#This Row],[Earnings]]-Table29[[#This Row],[4-Week Average]]</f>
        <v>23.03</v>
      </c>
    </row>
    <row r="470" spans="1:28" x14ac:dyDescent="0.35">
      <c r="A470" s="436">
        <v>45376</v>
      </c>
      <c r="B470" s="435">
        <v>2024</v>
      </c>
      <c r="C470" s="435">
        <v>13</v>
      </c>
      <c r="D470" s="435">
        <v>13</v>
      </c>
      <c r="E470" s="435" t="s">
        <v>278</v>
      </c>
      <c r="F470" s="436" t="s">
        <v>46</v>
      </c>
      <c r="G470" s="437">
        <v>0.77083333333333215</v>
      </c>
      <c r="H470" s="436" t="s">
        <v>230</v>
      </c>
      <c r="I470" s="435">
        <v>37</v>
      </c>
      <c r="J470" s="436" t="s">
        <v>80</v>
      </c>
      <c r="K470" s="438">
        <v>101.97999999999999</v>
      </c>
      <c r="L470" s="439">
        <v>3.25</v>
      </c>
      <c r="M470" s="435">
        <v>71</v>
      </c>
      <c r="N470" s="435">
        <v>6</v>
      </c>
      <c r="O470" s="438">
        <v>31.378461538461536</v>
      </c>
      <c r="P470" s="440">
        <v>6.0205713676591444</v>
      </c>
      <c r="Q470" s="438">
        <v>16.996666666666666</v>
      </c>
      <c r="R470" s="438">
        <v>1.4363380281690139</v>
      </c>
      <c r="S470" s="441">
        <v>11.833333333333334</v>
      </c>
      <c r="T470" s="441">
        <v>1.8461538461538463</v>
      </c>
      <c r="U470" s="239">
        <v>3</v>
      </c>
      <c r="V470" s="442">
        <v>2.2569444444444444E-2</v>
      </c>
      <c r="W470" s="441" t="s">
        <v>175</v>
      </c>
      <c r="X470" s="438">
        <v>28.889867756914999</v>
      </c>
      <c r="Y470" s="438">
        <v>2.4885937815465375</v>
      </c>
      <c r="Z470" s="443">
        <v>57.224555555555547</v>
      </c>
      <c r="AA470" s="58">
        <f t="shared" ca="1" si="19"/>
        <v>97.905000000000001</v>
      </c>
      <c r="AB470" s="453">
        <f ca="1">Table29[[#This Row],[Earnings]]-Table29[[#This Row],[4-Week Average]]</f>
        <v>4.0749999999999886</v>
      </c>
    </row>
    <row r="471" spans="1:28" x14ac:dyDescent="0.35">
      <c r="A471" s="445">
        <v>45377</v>
      </c>
      <c r="B471" s="444">
        <v>2024</v>
      </c>
      <c r="C471" s="444">
        <v>13</v>
      </c>
      <c r="D471" s="444">
        <v>13</v>
      </c>
      <c r="E471" s="444" t="s">
        <v>278</v>
      </c>
      <c r="F471" s="445" t="s">
        <v>47</v>
      </c>
      <c r="G471" s="446">
        <v>0.72916666666666552</v>
      </c>
      <c r="H471" s="445" t="s">
        <v>276</v>
      </c>
      <c r="I471" s="444">
        <v>37</v>
      </c>
      <c r="J471" s="445" t="s">
        <v>80</v>
      </c>
      <c r="K471" s="447">
        <v>69.17</v>
      </c>
      <c r="L471" s="448">
        <v>2.75</v>
      </c>
      <c r="M471" s="444">
        <v>51</v>
      </c>
      <c r="N471" s="444">
        <v>7</v>
      </c>
      <c r="O471" s="447">
        <v>25.152727272727272</v>
      </c>
      <c r="P471" s="449">
        <v>-2.7598920302719954</v>
      </c>
      <c r="Q471" s="447">
        <v>9.8814285714285717</v>
      </c>
      <c r="R471" s="447">
        <v>1.3562745098039215</v>
      </c>
      <c r="S471" s="450">
        <v>7.2857142857142856</v>
      </c>
      <c r="T471" s="450">
        <v>2.5454545454545454</v>
      </c>
      <c r="U471" s="240">
        <v>1</v>
      </c>
      <c r="V471" s="451">
        <v>1.636904761904762E-2</v>
      </c>
      <c r="W471" s="450" t="s">
        <v>176</v>
      </c>
      <c r="X471" s="447">
        <v>23.049833024118737</v>
      </c>
      <c r="Y471" s="447">
        <v>2.1028942486085356</v>
      </c>
      <c r="Z471" s="452">
        <v>56.886888888888876</v>
      </c>
      <c r="AA471" s="58">
        <f t="shared" ca="1" si="19"/>
        <v>92.435000000000002</v>
      </c>
      <c r="AB471" s="453">
        <f ca="1">Table29[[#This Row],[Earnings]]-Table29[[#This Row],[4-Week Average]]</f>
        <v>-23.265000000000001</v>
      </c>
    </row>
    <row r="472" spans="1:28" x14ac:dyDescent="0.35">
      <c r="A472" s="436">
        <v>45378</v>
      </c>
      <c r="B472" s="435">
        <v>2024</v>
      </c>
      <c r="C472" s="435">
        <v>13</v>
      </c>
      <c r="D472" s="435">
        <v>13</v>
      </c>
      <c r="E472" s="435" t="s">
        <v>278</v>
      </c>
      <c r="F472" s="436" t="s">
        <v>48</v>
      </c>
      <c r="G472" s="437">
        <v>0.74999999999999889</v>
      </c>
      <c r="H472" s="436" t="s">
        <v>236</v>
      </c>
      <c r="I472" s="435">
        <v>46</v>
      </c>
      <c r="J472" s="436" t="s">
        <v>80</v>
      </c>
      <c r="K472" s="438">
        <v>126.36</v>
      </c>
      <c r="L472" s="439">
        <v>3.32</v>
      </c>
      <c r="M472" s="435">
        <v>77</v>
      </c>
      <c r="N472" s="435">
        <v>7</v>
      </c>
      <c r="O472" s="438">
        <v>38.060240963855421</v>
      </c>
      <c r="P472" s="440">
        <v>10.255021598992695</v>
      </c>
      <c r="Q472" s="438">
        <v>18.05142857142857</v>
      </c>
      <c r="R472" s="438">
        <v>1.6410389610389611</v>
      </c>
      <c r="S472" s="441">
        <v>11</v>
      </c>
      <c r="T472" s="441">
        <v>2.1084337349397591</v>
      </c>
      <c r="U472" s="239">
        <v>2</v>
      </c>
      <c r="V472" s="442">
        <v>1.9761904761904762E-2</v>
      </c>
      <c r="W472" s="441" t="s">
        <v>176</v>
      </c>
      <c r="X472" s="438">
        <v>36.45127432808156</v>
      </c>
      <c r="Y472" s="438">
        <v>1.6089666357738608</v>
      </c>
      <c r="Z472" s="443">
        <v>58.290888888888873</v>
      </c>
      <c r="AA472" s="58">
        <f t="shared" ca="1" si="19"/>
        <v>102.9875</v>
      </c>
      <c r="AB472" s="453">
        <f ca="1">Table29[[#This Row],[Earnings]]-Table29[[#This Row],[4-Week Average]]</f>
        <v>23.372500000000002</v>
      </c>
    </row>
    <row r="473" spans="1:28" x14ac:dyDescent="0.35">
      <c r="A473" s="445">
        <v>45380</v>
      </c>
      <c r="B473" s="444">
        <v>2024</v>
      </c>
      <c r="C473" s="444">
        <v>13</v>
      </c>
      <c r="D473" s="444">
        <v>13</v>
      </c>
      <c r="E473" s="444" t="s">
        <v>278</v>
      </c>
      <c r="F473" s="445" t="s">
        <v>50</v>
      </c>
      <c r="G473" s="446">
        <v>0.74999999999999889</v>
      </c>
      <c r="H473" s="445" t="s">
        <v>231</v>
      </c>
      <c r="I473" s="444">
        <v>45</v>
      </c>
      <c r="J473" s="445" t="s">
        <v>85</v>
      </c>
      <c r="K473" s="447">
        <v>155.94</v>
      </c>
      <c r="L473" s="448">
        <v>5.23</v>
      </c>
      <c r="M473" s="444">
        <v>136</v>
      </c>
      <c r="N473" s="444">
        <v>9</v>
      </c>
      <c r="O473" s="447">
        <v>29.81644359464627</v>
      </c>
      <c r="P473" s="449">
        <v>6.9539337400022667</v>
      </c>
      <c r="Q473" s="447">
        <v>17.326666666666668</v>
      </c>
      <c r="R473" s="447">
        <v>1.1466176470588234</v>
      </c>
      <c r="S473" s="450">
        <v>15.111111111111111</v>
      </c>
      <c r="T473" s="450">
        <v>1.7208413001912044</v>
      </c>
      <c r="U473" s="240">
        <v>1</v>
      </c>
      <c r="V473" s="451">
        <v>2.4212962962962964E-2</v>
      </c>
      <c r="W473" s="450" t="s">
        <v>176</v>
      </c>
      <c r="X473" s="447">
        <v>21.587544461558959</v>
      </c>
      <c r="Y473" s="447">
        <v>8.2288991330873102</v>
      </c>
      <c r="Z473" s="452">
        <v>58.042555555555545</v>
      </c>
      <c r="AA473" s="58">
        <f t="shared" ca="1" si="19"/>
        <v>113.3625</v>
      </c>
      <c r="AB473" s="453">
        <f ca="1">Table29[[#This Row],[Earnings]]-Table29[[#This Row],[4-Week Average]]</f>
        <v>42.577500000000001</v>
      </c>
    </row>
    <row r="474" spans="1:28" x14ac:dyDescent="0.35">
      <c r="A474" s="436">
        <v>45383</v>
      </c>
      <c r="B474" s="435">
        <v>2024</v>
      </c>
      <c r="C474" s="435">
        <v>14</v>
      </c>
      <c r="D474" s="435">
        <v>1</v>
      </c>
      <c r="E474" s="435" t="s">
        <v>287</v>
      </c>
      <c r="F474" s="436" t="s">
        <v>46</v>
      </c>
      <c r="G474" s="437">
        <v>0.72916666666666552</v>
      </c>
      <c r="H474" s="436" t="s">
        <v>249</v>
      </c>
      <c r="I474" s="435">
        <v>48</v>
      </c>
      <c r="J474" s="436" t="s">
        <v>82</v>
      </c>
      <c r="K474" s="438">
        <v>68.83</v>
      </c>
      <c r="L474" s="439">
        <v>4.53</v>
      </c>
      <c r="M474" s="435">
        <v>87</v>
      </c>
      <c r="N474" s="435">
        <v>7</v>
      </c>
      <c r="O474" s="438">
        <v>15.194260485651213</v>
      </c>
      <c r="P474" s="440">
        <v>5.294260485651213</v>
      </c>
      <c r="Q474" s="438">
        <v>9.8328571428571419</v>
      </c>
      <c r="R474" s="438">
        <v>0.79114942528735632</v>
      </c>
      <c r="S474" s="441">
        <v>12.428571428571429</v>
      </c>
      <c r="T474" s="441">
        <v>1.5452538631346577</v>
      </c>
      <c r="U474" s="239">
        <v>2</v>
      </c>
      <c r="V474" s="442">
        <v>2.6964285714285715E-2</v>
      </c>
      <c r="W474" s="441" t="s">
        <v>176</v>
      </c>
      <c r="X474" s="438">
        <v>15.194260485651213</v>
      </c>
      <c r="Y474" s="438">
        <v>0</v>
      </c>
      <c r="Z474" s="443">
        <v>57.195888888888867</v>
      </c>
      <c r="AA474" s="58">
        <f t="shared" ca="1" si="19"/>
        <v>105.075</v>
      </c>
      <c r="AB474" s="453">
        <f ca="1">Table29[[#This Row],[Earnings]]-Table29[[#This Row],[4-Week Average]]</f>
        <v>-36.245000000000005</v>
      </c>
    </row>
    <row r="475" spans="1:28" x14ac:dyDescent="0.35">
      <c r="A475" s="445">
        <v>45384</v>
      </c>
      <c r="B475" s="444">
        <v>2024</v>
      </c>
      <c r="C475" s="444">
        <v>14</v>
      </c>
      <c r="D475" s="444">
        <v>1</v>
      </c>
      <c r="E475" s="444" t="s">
        <v>287</v>
      </c>
      <c r="F475" s="445" t="s">
        <v>47</v>
      </c>
      <c r="G475" s="446">
        <v>0.74999999999999889</v>
      </c>
      <c r="H475" s="445" t="s">
        <v>230</v>
      </c>
      <c r="I475" s="444">
        <v>46</v>
      </c>
      <c r="J475" s="445" t="s">
        <v>80</v>
      </c>
      <c r="K475" s="447">
        <v>81.7</v>
      </c>
      <c r="L475" s="448">
        <v>3.9</v>
      </c>
      <c r="M475" s="444">
        <v>52</v>
      </c>
      <c r="N475" s="444">
        <v>12</v>
      </c>
      <c r="O475" s="447">
        <v>20.948717948717949</v>
      </c>
      <c r="P475" s="449">
        <v>5.0352549926856227E-2</v>
      </c>
      <c r="Q475" s="447">
        <v>6.8083333333333336</v>
      </c>
      <c r="R475" s="447">
        <v>1.5711538461538461</v>
      </c>
      <c r="S475" s="450">
        <v>4.333333333333333</v>
      </c>
      <c r="T475" s="450">
        <v>3.0769230769230771</v>
      </c>
      <c r="U475" s="240">
        <v>3</v>
      </c>
      <c r="V475" s="451">
        <v>1.3541666666666667E-2</v>
      </c>
      <c r="W475" s="450" t="s">
        <v>176</v>
      </c>
      <c r="X475" s="447">
        <v>27.133182503770737</v>
      </c>
      <c r="Y475" s="447">
        <v>-6.1844645550527879</v>
      </c>
      <c r="Z475" s="452">
        <v>57.081333333333319</v>
      </c>
      <c r="AA475" s="58">
        <f t="shared" ca="1" si="19"/>
        <v>108.2075</v>
      </c>
      <c r="AB475" s="453">
        <f ca="1">Table29[[#This Row],[Earnings]]-Table29[[#This Row],[4-Week Average]]</f>
        <v>-26.507499999999993</v>
      </c>
    </row>
    <row r="476" spans="1:28" x14ac:dyDescent="0.35">
      <c r="A476" s="436">
        <v>45385</v>
      </c>
      <c r="B476" s="435">
        <v>2024</v>
      </c>
      <c r="C476" s="435">
        <v>14</v>
      </c>
      <c r="D476" s="435">
        <v>1</v>
      </c>
      <c r="E476" s="435" t="s">
        <v>287</v>
      </c>
      <c r="F476" s="436" t="s">
        <v>48</v>
      </c>
      <c r="G476" s="437">
        <v>0.79166666666666541</v>
      </c>
      <c r="H476" s="436" t="s">
        <v>232</v>
      </c>
      <c r="I476" s="435">
        <v>39</v>
      </c>
      <c r="J476" s="436" t="s">
        <v>82</v>
      </c>
      <c r="K476" s="438">
        <v>38.25</v>
      </c>
      <c r="L476" s="439">
        <v>2.25</v>
      </c>
      <c r="M476" s="435">
        <v>28</v>
      </c>
      <c r="N476" s="435">
        <v>5</v>
      </c>
      <c r="O476" s="438">
        <v>17</v>
      </c>
      <c r="P476" s="440">
        <v>-0.11365947555749045</v>
      </c>
      <c r="Q476" s="438">
        <v>7.65</v>
      </c>
      <c r="R476" s="438">
        <v>1.3660714285714286</v>
      </c>
      <c r="S476" s="441">
        <v>5.6</v>
      </c>
      <c r="T476" s="441">
        <v>2.2222222222222223</v>
      </c>
      <c r="U476" s="239">
        <v>2</v>
      </c>
      <c r="V476" s="442">
        <v>1.8749999999999999E-2</v>
      </c>
      <c r="W476" s="441" t="s">
        <v>176</v>
      </c>
      <c r="X476" s="438">
        <v>15.580338266384778</v>
      </c>
      <c r="Y476" s="438">
        <v>1.4196617336152215</v>
      </c>
      <c r="Z476" s="443">
        <v>57.506333333333323</v>
      </c>
      <c r="AA476" s="58">
        <f t="shared" ca="1" si="19"/>
        <v>86.179999999999993</v>
      </c>
      <c r="AB476" s="453">
        <f ca="1">Table29[[#This Row],[Earnings]]-Table29[[#This Row],[4-Week Average]]</f>
        <v>-47.929999999999993</v>
      </c>
    </row>
    <row r="477" spans="1:28" x14ac:dyDescent="0.35">
      <c r="A477" s="445">
        <v>45387</v>
      </c>
      <c r="B477" s="444">
        <v>2024</v>
      </c>
      <c r="C477" s="444">
        <v>14</v>
      </c>
      <c r="D477" s="444">
        <v>1</v>
      </c>
      <c r="E477" s="444" t="s">
        <v>287</v>
      </c>
      <c r="F477" s="445" t="s">
        <v>50</v>
      </c>
      <c r="G477" s="446">
        <v>0.74999999999999889</v>
      </c>
      <c r="H477" s="445" t="s">
        <v>285</v>
      </c>
      <c r="I477" s="444">
        <v>37</v>
      </c>
      <c r="J477" s="445" t="s">
        <v>80</v>
      </c>
      <c r="K477" s="447">
        <v>225.25</v>
      </c>
      <c r="L477" s="448">
        <v>6.05</v>
      </c>
      <c r="M477" s="444">
        <v>141</v>
      </c>
      <c r="N477" s="444">
        <v>14</v>
      </c>
      <c r="O477" s="447">
        <v>37.231404958677686</v>
      </c>
      <c r="P477" s="449">
        <v>11.855382406343871</v>
      </c>
      <c r="Q477" s="447">
        <v>16.089285714285715</v>
      </c>
      <c r="R477" s="447">
        <v>1.5975177304964538</v>
      </c>
      <c r="S477" s="450">
        <v>10.071428571428571</v>
      </c>
      <c r="T477" s="450">
        <v>2.3140495867768598</v>
      </c>
      <c r="U477" s="240">
        <v>1</v>
      </c>
      <c r="V477" s="451">
        <v>1.8005952380952379E-2</v>
      </c>
      <c r="W477" s="450" t="s">
        <v>176</v>
      </c>
      <c r="X477" s="447">
        <v>30.149780691629349</v>
      </c>
      <c r="Y477" s="447">
        <v>7.0816242670483369</v>
      </c>
      <c r="Z477" s="452">
        <v>58.015666666666654</v>
      </c>
      <c r="AA477" s="58">
        <f t="shared" ca="1" si="19"/>
        <v>103.50749999999999</v>
      </c>
      <c r="AB477" s="453">
        <f ca="1">Table29[[#This Row],[Earnings]]-Table29[[#This Row],[4-Week Average]]</f>
        <v>121.74250000000001</v>
      </c>
    </row>
    <row r="478" spans="1:28" x14ac:dyDescent="0.35">
      <c r="A478" s="436">
        <v>45388</v>
      </c>
      <c r="B478" s="435">
        <v>2024</v>
      </c>
      <c r="C478" s="435">
        <v>14</v>
      </c>
      <c r="D478" s="435">
        <v>1</v>
      </c>
      <c r="E478" s="435" t="s">
        <v>287</v>
      </c>
      <c r="F478" s="436" t="s">
        <v>51</v>
      </c>
      <c r="G478" s="437">
        <v>0.72916666666666552</v>
      </c>
      <c r="H478" s="436" t="s">
        <v>231</v>
      </c>
      <c r="I478" s="435">
        <v>37</v>
      </c>
      <c r="J478" s="436" t="s">
        <v>82</v>
      </c>
      <c r="K478" s="438">
        <v>65.900000000000006</v>
      </c>
      <c r="L478" s="439">
        <v>3.6</v>
      </c>
      <c r="M478" s="435">
        <v>55</v>
      </c>
      <c r="N478" s="435">
        <v>8</v>
      </c>
      <c r="O478" s="438">
        <v>18.305555555555557</v>
      </c>
      <c r="P478" s="440">
        <v>-3.2073239510858116</v>
      </c>
      <c r="Q478" s="438">
        <v>8.2375000000000007</v>
      </c>
      <c r="R478" s="438">
        <v>1.1981818181818182</v>
      </c>
      <c r="S478" s="441">
        <v>6.875</v>
      </c>
      <c r="T478" s="441">
        <v>2.2222222222222223</v>
      </c>
      <c r="U478" s="239">
        <v>3</v>
      </c>
      <c r="V478" s="442">
        <v>1.8749999999999999E-2</v>
      </c>
      <c r="W478" s="441" t="s">
        <v>176</v>
      </c>
      <c r="X478" s="438">
        <v>21.691133638317044</v>
      </c>
      <c r="Y478" s="438">
        <v>-3.3855780827614872</v>
      </c>
      <c r="Z478" s="443">
        <v>57.717555555555535</v>
      </c>
      <c r="AA478" s="58">
        <f t="shared" ca="1" si="19"/>
        <v>102.77500000000001</v>
      </c>
      <c r="AB478" s="453">
        <f ca="1">Table29[[#This Row],[Earnings]]-Table29[[#This Row],[4-Week Average]]</f>
        <v>-36.875</v>
      </c>
    </row>
    <row r="479" spans="1:28" x14ac:dyDescent="0.35">
      <c r="A479" s="445">
        <v>45390</v>
      </c>
      <c r="B479" s="444">
        <v>2024</v>
      </c>
      <c r="C479" s="444">
        <v>15</v>
      </c>
      <c r="D479" s="444">
        <v>2</v>
      </c>
      <c r="E479" s="444" t="s">
        <v>287</v>
      </c>
      <c r="F479" s="445" t="s">
        <v>46</v>
      </c>
      <c r="G479" s="446">
        <v>0.72916666666666552</v>
      </c>
      <c r="H479" s="445" t="s">
        <v>249</v>
      </c>
      <c r="I479" s="444">
        <v>45</v>
      </c>
      <c r="J479" s="445" t="s">
        <v>85</v>
      </c>
      <c r="K479" s="447">
        <v>89.75</v>
      </c>
      <c r="L479" s="448">
        <v>4.42</v>
      </c>
      <c r="M479" s="444">
        <v>102</v>
      </c>
      <c r="N479" s="444">
        <v>8</v>
      </c>
      <c r="O479" s="447">
        <v>20.305429864253394</v>
      </c>
      <c r="P479" s="449">
        <v>1.1124474081130415</v>
      </c>
      <c r="Q479" s="447">
        <v>11.21875</v>
      </c>
      <c r="R479" s="447">
        <v>0.87990196078431371</v>
      </c>
      <c r="S479" s="450">
        <v>12.75</v>
      </c>
      <c r="T479" s="450">
        <v>1.8099547511312217</v>
      </c>
      <c r="U479" s="240">
        <v>3</v>
      </c>
      <c r="V479" s="451">
        <v>2.3020833333333334E-2</v>
      </c>
      <c r="W479" s="450" t="s">
        <v>176</v>
      </c>
      <c r="X479" s="447">
        <v>22.041942574403119</v>
      </c>
      <c r="Y479" s="447">
        <v>-1.7365127101497251</v>
      </c>
      <c r="Z479" s="452">
        <v>57.124444444444435</v>
      </c>
      <c r="AA479" s="58">
        <f t="shared" ca="1" si="19"/>
        <v>104.78749999999999</v>
      </c>
      <c r="AB479" s="453">
        <f ca="1">Table29[[#This Row],[Earnings]]-Table29[[#This Row],[4-Week Average]]</f>
        <v>-15.037499999999994</v>
      </c>
    </row>
    <row r="480" spans="1:28" x14ac:dyDescent="0.35">
      <c r="A480" s="436">
        <v>45391</v>
      </c>
      <c r="B480" s="435">
        <v>2024</v>
      </c>
      <c r="C480" s="435">
        <v>15</v>
      </c>
      <c r="D480" s="435">
        <v>2</v>
      </c>
      <c r="E480" s="435" t="s">
        <v>287</v>
      </c>
      <c r="F480" s="436" t="s">
        <v>47</v>
      </c>
      <c r="G480" s="437">
        <v>0.74999999999999889</v>
      </c>
      <c r="H480" s="436" t="s">
        <v>230</v>
      </c>
      <c r="I480" s="435">
        <v>52</v>
      </c>
      <c r="J480" s="436" t="s">
        <v>80</v>
      </c>
      <c r="K480" s="438">
        <v>105.11</v>
      </c>
      <c r="L480" s="439">
        <v>3.98</v>
      </c>
      <c r="M480" s="435">
        <v>113</v>
      </c>
      <c r="N480" s="435">
        <v>9</v>
      </c>
      <c r="O480" s="438">
        <v>26.409547738693469</v>
      </c>
      <c r="P480" s="440">
        <v>5.5011118299170043</v>
      </c>
      <c r="Q480" s="438">
        <v>11.678888888888888</v>
      </c>
      <c r="R480" s="438">
        <v>0.9301769911504425</v>
      </c>
      <c r="S480" s="441">
        <v>12.555555555555555</v>
      </c>
      <c r="T480" s="441">
        <v>2.2613065326633164</v>
      </c>
      <c r="U480" s="239">
        <v>4</v>
      </c>
      <c r="V480" s="442">
        <v>1.8425925925925925E-2</v>
      </c>
      <c r="W480" s="441" t="s">
        <v>176</v>
      </c>
      <c r="X480" s="438">
        <v>21.082970919354722</v>
      </c>
      <c r="Y480" s="438">
        <v>5.3265768193387473</v>
      </c>
      <c r="Z480" s="443">
        <v>58.077111111111094</v>
      </c>
      <c r="AA480" s="58">
        <f t="shared" ca="1" si="19"/>
        <v>121.5025</v>
      </c>
      <c r="AB480" s="453">
        <f ca="1">Table29[[#This Row],[Earnings]]-Table29[[#This Row],[4-Week Average]]</f>
        <v>-16.392499999999998</v>
      </c>
    </row>
    <row r="481" spans="1:28" x14ac:dyDescent="0.35">
      <c r="A481" s="445">
        <v>45394</v>
      </c>
      <c r="B481" s="444">
        <v>2024</v>
      </c>
      <c r="C481" s="444">
        <v>15</v>
      </c>
      <c r="D481" s="444">
        <v>2</v>
      </c>
      <c r="E481" s="444" t="s">
        <v>287</v>
      </c>
      <c r="F481" s="445" t="s">
        <v>50</v>
      </c>
      <c r="G481" s="446">
        <v>0.72916666666666552</v>
      </c>
      <c r="H481" s="445" t="s">
        <v>276</v>
      </c>
      <c r="I481" s="444">
        <v>54</v>
      </c>
      <c r="J481" s="445" t="s">
        <v>80</v>
      </c>
      <c r="K481" s="447">
        <v>178</v>
      </c>
      <c r="L481" s="448">
        <v>7.7</v>
      </c>
      <c r="M481" s="444">
        <v>163</v>
      </c>
      <c r="N481" s="444">
        <v>14</v>
      </c>
      <c r="O481" s="447">
        <v>23.116883116883116</v>
      </c>
      <c r="P481" s="449">
        <v>-3.5764041472666825</v>
      </c>
      <c r="Q481" s="447">
        <v>12.714285714285714</v>
      </c>
      <c r="R481" s="447">
        <v>1.0920245398773005</v>
      </c>
      <c r="S481" s="450">
        <v>11.642857142857142</v>
      </c>
      <c r="T481" s="450">
        <v>1.8181818181818181</v>
      </c>
      <c r="U481" s="240">
        <v>3</v>
      </c>
      <c r="V481" s="451">
        <v>2.2916666666666669E-2</v>
      </c>
      <c r="W481" s="450" t="s">
        <v>176</v>
      </c>
      <c r="X481" s="447">
        <v>19.73987012987013</v>
      </c>
      <c r="Y481" s="447">
        <v>3.3770129870129857</v>
      </c>
      <c r="Z481" s="452">
        <v>58.629555555555541</v>
      </c>
      <c r="AA481" s="58">
        <f t="shared" ca="1" si="19"/>
        <v>109.69</v>
      </c>
      <c r="AB481" s="453">
        <f ca="1">Table29[[#This Row],[Earnings]]-Table29[[#This Row],[4-Week Average]]</f>
        <v>68.31</v>
      </c>
    </row>
    <row r="482" spans="1:28" x14ac:dyDescent="0.35">
      <c r="A482" s="436">
        <v>45395</v>
      </c>
      <c r="B482" s="435">
        <v>2024</v>
      </c>
      <c r="C482" s="435">
        <v>15</v>
      </c>
      <c r="D482" s="435">
        <v>2</v>
      </c>
      <c r="E482" s="435" t="s">
        <v>287</v>
      </c>
      <c r="F482" s="436" t="s">
        <v>51</v>
      </c>
      <c r="G482" s="437">
        <v>0.74999999999999889</v>
      </c>
      <c r="H482" s="436" t="s">
        <v>231</v>
      </c>
      <c r="I482" s="435">
        <v>48</v>
      </c>
      <c r="J482" s="436" t="s">
        <v>174</v>
      </c>
      <c r="K482" s="438">
        <v>74.75</v>
      </c>
      <c r="L482" s="439">
        <v>3.42</v>
      </c>
      <c r="M482" s="435">
        <v>83</v>
      </c>
      <c r="N482" s="435">
        <v>13</v>
      </c>
      <c r="O482" s="438">
        <v>21.85672514619883</v>
      </c>
      <c r="P482" s="440" t="s">
        <v>393</v>
      </c>
      <c r="Q482" s="438">
        <v>5.75</v>
      </c>
      <c r="R482" s="438">
        <v>0.9006024096385542</v>
      </c>
      <c r="S482" s="441">
        <v>6.384615384615385</v>
      </c>
      <c r="T482" s="441">
        <v>3.801169590643275</v>
      </c>
      <c r="U482" s="239">
        <v>5</v>
      </c>
      <c r="V482" s="442">
        <v>1.0961538461538462E-2</v>
      </c>
      <c r="W482" s="441" t="s">
        <v>176</v>
      </c>
      <c r="X482" s="438">
        <v>27.152961642707922</v>
      </c>
      <c r="Y482" s="438">
        <v>-5.296236496509092</v>
      </c>
      <c r="Z482" s="443">
        <v>58.51</v>
      </c>
      <c r="AA482" s="58">
        <f t="shared" ca="1" si="19"/>
        <v>111.9025</v>
      </c>
      <c r="AB482" s="453">
        <f ca="1">Table29[[#This Row],[Earnings]]-Table29[[#This Row],[4-Week Average]]</f>
        <v>-37.152500000000003</v>
      </c>
    </row>
    <row r="483" spans="1:28" x14ac:dyDescent="0.35">
      <c r="A483" s="445">
        <v>45398</v>
      </c>
      <c r="B483" s="444">
        <v>2024</v>
      </c>
      <c r="C483" s="444">
        <v>16</v>
      </c>
      <c r="D483" s="444">
        <v>3</v>
      </c>
      <c r="E483" s="444" t="s">
        <v>287</v>
      </c>
      <c r="F483" s="445" t="s">
        <v>47</v>
      </c>
      <c r="G483" s="446">
        <v>0.74999999999999889</v>
      </c>
      <c r="H483" s="445" t="s">
        <v>231</v>
      </c>
      <c r="I483" s="444">
        <v>54</v>
      </c>
      <c r="J483" s="445" t="s">
        <v>80</v>
      </c>
      <c r="K483" s="447">
        <v>91.28</v>
      </c>
      <c r="L483" s="448">
        <v>5.75</v>
      </c>
      <c r="M483" s="444">
        <v>126</v>
      </c>
      <c r="N483" s="444">
        <v>8</v>
      </c>
      <c r="O483" s="447">
        <v>15.874782608695652</v>
      </c>
      <c r="P483" s="449">
        <v>-5.9505052717336486</v>
      </c>
      <c r="Q483" s="447">
        <v>11.41</v>
      </c>
      <c r="R483" s="447">
        <v>0.72444444444444445</v>
      </c>
      <c r="S483" s="450">
        <v>15.75</v>
      </c>
      <c r="T483" s="450">
        <v>1.3913043478260869</v>
      </c>
      <c r="U483" s="240">
        <v>3</v>
      </c>
      <c r="V483" s="451">
        <v>2.9947916666666668E-2</v>
      </c>
      <c r="W483" s="450" t="s">
        <v>176</v>
      </c>
      <c r="X483" s="447">
        <v>15.874782608695652</v>
      </c>
      <c r="Y483" s="447">
        <v>0</v>
      </c>
      <c r="Z483" s="452">
        <v>56.638777777777783</v>
      </c>
      <c r="AA483" s="58">
        <f t="shared" ca="1" si="19"/>
        <v>112.285</v>
      </c>
      <c r="AB483" s="453">
        <f ca="1">Table29[[#This Row],[Earnings]]-Table29[[#This Row],[4-Week Average]]</f>
        <v>-21.004999999999995</v>
      </c>
    </row>
    <row r="484" spans="1:28" x14ac:dyDescent="0.35">
      <c r="A484" s="436">
        <v>45399</v>
      </c>
      <c r="B484" s="435">
        <v>2024</v>
      </c>
      <c r="C484" s="435">
        <v>16</v>
      </c>
      <c r="D484" s="435">
        <v>3</v>
      </c>
      <c r="E484" s="435" t="s">
        <v>287</v>
      </c>
      <c r="F484" s="436" t="s">
        <v>48</v>
      </c>
      <c r="G484" s="437">
        <v>0.72916666666666552</v>
      </c>
      <c r="H484" s="436" t="s">
        <v>230</v>
      </c>
      <c r="I484" s="435">
        <v>54</v>
      </c>
      <c r="J484" s="436" t="s">
        <v>174</v>
      </c>
      <c r="K484" s="438">
        <v>50.44</v>
      </c>
      <c r="L484" s="439">
        <v>3.42</v>
      </c>
      <c r="M484" s="435">
        <v>93</v>
      </c>
      <c r="N484" s="435">
        <v>4</v>
      </c>
      <c r="O484" s="438">
        <v>14.748538011695906</v>
      </c>
      <c r="P484" s="440" t="s">
        <v>393</v>
      </c>
      <c r="Q484" s="438">
        <v>12.61</v>
      </c>
      <c r="R484" s="438">
        <v>0.54236559139784946</v>
      </c>
      <c r="S484" s="441">
        <v>23.25</v>
      </c>
      <c r="T484" s="441">
        <v>1.1695906432748537</v>
      </c>
      <c r="U484" s="239">
        <v>3</v>
      </c>
      <c r="V484" s="442">
        <v>3.5624999999999997E-2</v>
      </c>
      <c r="W484" s="441" t="s">
        <v>176</v>
      </c>
      <c r="X484" s="438">
        <v>18.663094763423707</v>
      </c>
      <c r="Y484" s="438">
        <v>-3.914556751727801</v>
      </c>
      <c r="Z484" s="443">
        <v>57.199222222222225</v>
      </c>
      <c r="AA484" s="58">
        <f t="shared" ca="1" si="19"/>
        <v>98.617499999999993</v>
      </c>
      <c r="AB484" s="453">
        <f ca="1">Table29[[#This Row],[Earnings]]-Table29[[#This Row],[4-Week Average]]</f>
        <v>-48.177499999999995</v>
      </c>
    </row>
    <row r="485" spans="1:28" x14ac:dyDescent="0.35">
      <c r="A485" s="445">
        <v>45401</v>
      </c>
      <c r="B485" s="444">
        <v>2024</v>
      </c>
      <c r="C485" s="444">
        <v>16</v>
      </c>
      <c r="D485" s="444">
        <v>3</v>
      </c>
      <c r="E485" s="444" t="s">
        <v>287</v>
      </c>
      <c r="F485" s="445" t="s">
        <v>50</v>
      </c>
      <c r="G485" s="446">
        <v>0.72916666666666552</v>
      </c>
      <c r="H485" s="445" t="s">
        <v>231</v>
      </c>
      <c r="I485" s="444">
        <v>48</v>
      </c>
      <c r="J485" s="445" t="s">
        <v>80</v>
      </c>
      <c r="K485" s="447">
        <v>74.75</v>
      </c>
      <c r="L485" s="448">
        <v>4.0199999999999996</v>
      </c>
      <c r="M485" s="444">
        <v>75</v>
      </c>
      <c r="N485" s="444">
        <v>6</v>
      </c>
      <c r="O485" s="447">
        <v>18.594527363184081</v>
      </c>
      <c r="P485" s="449">
        <v>-7.7411194862390502</v>
      </c>
      <c r="Q485" s="447">
        <v>12.458333333333334</v>
      </c>
      <c r="R485" s="447">
        <v>0.9966666666666667</v>
      </c>
      <c r="S485" s="450">
        <v>12.5</v>
      </c>
      <c r="T485" s="450">
        <v>1.4925373134328359</v>
      </c>
      <c r="U485" s="240">
        <v>1</v>
      </c>
      <c r="V485" s="451">
        <v>2.7916666666666663E-2</v>
      </c>
      <c r="W485" s="450" t="s">
        <v>176</v>
      </c>
      <c r="X485" s="447">
        <v>19.08828752450929</v>
      </c>
      <c r="Y485" s="447">
        <v>-0.49376016132520917</v>
      </c>
      <c r="Z485" s="452">
        <v>56.947555555555553</v>
      </c>
      <c r="AA485" s="58">
        <f t="shared" ca="1" si="19"/>
        <v>72.805000000000007</v>
      </c>
      <c r="AB485" s="453">
        <f ca="1">Table29[[#This Row],[Earnings]]-Table29[[#This Row],[4-Week Average]]</f>
        <v>1.9449999999999932</v>
      </c>
    </row>
    <row r="486" spans="1:28" x14ac:dyDescent="0.35">
      <c r="A486" s="436">
        <v>45402</v>
      </c>
      <c r="B486" s="435">
        <v>2024</v>
      </c>
      <c r="C486" s="435">
        <v>16</v>
      </c>
      <c r="D486" s="435">
        <v>3</v>
      </c>
      <c r="E486" s="435" t="s">
        <v>287</v>
      </c>
      <c r="F486" s="436" t="s">
        <v>51</v>
      </c>
      <c r="G486" s="437">
        <v>0.70833333333333226</v>
      </c>
      <c r="H486" s="436" t="s">
        <v>231</v>
      </c>
      <c r="I486" s="435">
        <v>50</v>
      </c>
      <c r="J486" s="436" t="s">
        <v>80</v>
      </c>
      <c r="K486" s="438">
        <v>104.72</v>
      </c>
      <c r="L486" s="439">
        <v>5.28</v>
      </c>
      <c r="M486" s="435">
        <v>102</v>
      </c>
      <c r="N486" s="435">
        <v>10</v>
      </c>
      <c r="O486" s="438">
        <v>19.833333333333332</v>
      </c>
      <c r="P486" s="440">
        <v>-7.7688048792945317</v>
      </c>
      <c r="Q486" s="438">
        <v>10.472</v>
      </c>
      <c r="R486" s="438">
        <v>1.0266666666666666</v>
      </c>
      <c r="S486" s="441">
        <v>10.199999999999999</v>
      </c>
      <c r="T486" s="441">
        <v>1.8939393939393938</v>
      </c>
      <c r="U486" s="239">
        <v>4</v>
      </c>
      <c r="V486" s="442">
        <v>2.2000000000000002E-2</v>
      </c>
      <c r="W486" s="441" t="s">
        <v>176</v>
      </c>
      <c r="X486" s="438">
        <v>24.77708469395462</v>
      </c>
      <c r="Y486" s="438">
        <v>-4.9437513606212882</v>
      </c>
      <c r="Z486" s="443">
        <v>58.111111111111114</v>
      </c>
      <c r="AA486" s="58">
        <f t="shared" ca="1" si="19"/>
        <v>80.297499999999999</v>
      </c>
      <c r="AB486" s="453">
        <f ca="1">Table29[[#This Row],[Earnings]]-Table29[[#This Row],[4-Week Average]]</f>
        <v>24.422499999999999</v>
      </c>
    </row>
    <row r="487" spans="1:28" x14ac:dyDescent="0.35">
      <c r="A487" s="445">
        <v>45403</v>
      </c>
      <c r="B487" s="444">
        <v>2024</v>
      </c>
      <c r="C487" s="444">
        <v>16</v>
      </c>
      <c r="D487" s="444">
        <v>3</v>
      </c>
      <c r="E487" s="444" t="s">
        <v>287</v>
      </c>
      <c r="F487" s="445" t="s">
        <v>45</v>
      </c>
      <c r="G487" s="446">
        <v>0.70833333333333226</v>
      </c>
      <c r="H487" s="445" t="s">
        <v>230</v>
      </c>
      <c r="I487" s="444">
        <v>50</v>
      </c>
      <c r="J487" s="445" t="s">
        <v>80</v>
      </c>
      <c r="K487" s="447">
        <v>128.66</v>
      </c>
      <c r="L487" s="448">
        <v>4.8499999999999996</v>
      </c>
      <c r="M487" s="444">
        <v>111</v>
      </c>
      <c r="N487" s="444">
        <v>10</v>
      </c>
      <c r="O487" s="447">
        <v>26.527835051546393</v>
      </c>
      <c r="P487" s="449">
        <v>9.8812185101930083</v>
      </c>
      <c r="Q487" s="447">
        <v>12.866</v>
      </c>
      <c r="R487" s="447">
        <v>1.159099099099099</v>
      </c>
      <c r="S487" s="450">
        <v>11.1</v>
      </c>
      <c r="T487" s="450">
        <v>2.061855670103093</v>
      </c>
      <c r="U487" s="240">
        <v>3</v>
      </c>
      <c r="V487" s="451">
        <v>2.0208333333333332E-2</v>
      </c>
      <c r="W487" s="450" t="s">
        <v>176</v>
      </c>
      <c r="X487" s="447">
        <v>21.420832419390219</v>
      </c>
      <c r="Y487" s="447">
        <v>5.1070026321561741</v>
      </c>
      <c r="Z487" s="452">
        <v>58.448222222222221</v>
      </c>
      <c r="AA487" s="58">
        <f t="shared" ca="1" si="19"/>
        <v>89.642499999999998</v>
      </c>
      <c r="AB487" s="453">
        <f ca="1">Table29[[#This Row],[Earnings]]-Table29[[#This Row],[4-Week Average]]</f>
        <v>39.017499999999998</v>
      </c>
    </row>
    <row r="488" spans="1:28" x14ac:dyDescent="0.35">
      <c r="A488" s="436">
        <v>45404</v>
      </c>
      <c r="B488" s="435">
        <v>2024</v>
      </c>
      <c r="C488" s="435">
        <v>17</v>
      </c>
      <c r="D488" s="435">
        <v>4</v>
      </c>
      <c r="E488" s="435" t="s">
        <v>287</v>
      </c>
      <c r="F488" s="436" t="s">
        <v>46</v>
      </c>
      <c r="G488" s="437">
        <v>0.77083333333333215</v>
      </c>
      <c r="H488" s="436" t="s">
        <v>230</v>
      </c>
      <c r="I488" s="435">
        <v>48</v>
      </c>
      <c r="J488" s="436" t="s">
        <v>80</v>
      </c>
      <c r="K488" s="438">
        <v>57</v>
      </c>
      <c r="L488" s="439">
        <v>3.22</v>
      </c>
      <c r="M488" s="435">
        <v>60</v>
      </c>
      <c r="N488" s="435">
        <v>9</v>
      </c>
      <c r="O488" s="438">
        <v>17.701863354037265</v>
      </c>
      <c r="P488" s="440">
        <v>-1.6822669891699462</v>
      </c>
      <c r="Q488" s="438">
        <v>6.333333333333333</v>
      </c>
      <c r="R488" s="438">
        <v>0.95</v>
      </c>
      <c r="S488" s="441">
        <v>6.666666666666667</v>
      </c>
      <c r="T488" s="441">
        <v>2.7950310559006208</v>
      </c>
      <c r="U488" s="239">
        <v>2</v>
      </c>
      <c r="V488" s="442">
        <v>1.4907407407407409E-2</v>
      </c>
      <c r="W488" s="441" t="s">
        <v>176</v>
      </c>
      <c r="X488" s="438">
        <v>19.811569974890972</v>
      </c>
      <c r="Y488" s="438">
        <v>-2.1097066208537072</v>
      </c>
      <c r="Z488" s="443">
        <v>58.611111111111114</v>
      </c>
      <c r="AA488" s="58">
        <f t="shared" ca="1" si="19"/>
        <v>91.282499999999999</v>
      </c>
      <c r="AB488" s="453">
        <f ca="1">Table29[[#This Row],[Earnings]]-Table29[[#This Row],[4-Week Average]]</f>
        <v>-34.282499999999999</v>
      </c>
    </row>
    <row r="489" spans="1:28" x14ac:dyDescent="0.35">
      <c r="A489" s="445">
        <v>45405</v>
      </c>
      <c r="B489" s="444">
        <v>2024</v>
      </c>
      <c r="C489" s="444">
        <v>17</v>
      </c>
      <c r="D489" s="444">
        <v>4</v>
      </c>
      <c r="E489" s="444" t="s">
        <v>287</v>
      </c>
      <c r="F489" s="445" t="s">
        <v>47</v>
      </c>
      <c r="G489" s="446">
        <v>0.77083333333333215</v>
      </c>
      <c r="H489" s="445" t="s">
        <v>230</v>
      </c>
      <c r="I489" s="444">
        <v>50</v>
      </c>
      <c r="J489" s="445" t="s">
        <v>82</v>
      </c>
      <c r="K489" s="447">
        <v>72.8</v>
      </c>
      <c r="L489" s="448">
        <v>4.2</v>
      </c>
      <c r="M489" s="444">
        <v>81</v>
      </c>
      <c r="N489" s="444">
        <v>11</v>
      </c>
      <c r="O489" s="447">
        <v>17.333333333333332</v>
      </c>
      <c r="P489" s="449">
        <v>1.4958333333333336</v>
      </c>
      <c r="Q489" s="447">
        <v>6.6181818181818182</v>
      </c>
      <c r="R489" s="447">
        <v>0.89876543209876536</v>
      </c>
      <c r="S489" s="450">
        <v>7.3636363636363633</v>
      </c>
      <c r="T489" s="450">
        <v>2.6190476190476191</v>
      </c>
      <c r="U489" s="240">
        <v>3</v>
      </c>
      <c r="V489" s="451">
        <v>1.5909090909090911E-2</v>
      </c>
      <c r="W489" s="450" t="s">
        <v>176</v>
      </c>
      <c r="X489" s="447">
        <v>16.253252032520326</v>
      </c>
      <c r="Y489" s="447">
        <v>1.0800813008130064</v>
      </c>
      <c r="Z489" s="452">
        <v>59.42</v>
      </c>
      <c r="AA489" s="58">
        <f t="shared" ca="1" si="19"/>
        <v>90.795000000000002</v>
      </c>
      <c r="AB489" s="453">
        <f ca="1">Table29[[#This Row],[Earnings]]-Table29[[#This Row],[4-Week Average]]</f>
        <v>-17.995000000000005</v>
      </c>
    </row>
    <row r="490" spans="1:28" x14ac:dyDescent="0.35">
      <c r="A490" s="436">
        <v>45407</v>
      </c>
      <c r="B490" s="435">
        <v>2024</v>
      </c>
      <c r="C490" s="435">
        <v>17</v>
      </c>
      <c r="D490" s="435">
        <v>4</v>
      </c>
      <c r="E490" s="435" t="s">
        <v>287</v>
      </c>
      <c r="F490" s="436" t="s">
        <v>49</v>
      </c>
      <c r="G490" s="437">
        <v>0.74999999999999889</v>
      </c>
      <c r="H490" s="436" t="s">
        <v>230</v>
      </c>
      <c r="I490" s="435">
        <v>48</v>
      </c>
      <c r="J490" s="436" t="s">
        <v>82</v>
      </c>
      <c r="K490" s="438">
        <v>68.61</v>
      </c>
      <c r="L490" s="439">
        <v>3.83</v>
      </c>
      <c r="M490" s="435">
        <v>85</v>
      </c>
      <c r="N490" s="435">
        <v>6</v>
      </c>
      <c r="O490" s="438">
        <v>17.913838120104437</v>
      </c>
      <c r="P490" s="440">
        <v>-0.93705827347488579</v>
      </c>
      <c r="Q490" s="438">
        <v>11.435</v>
      </c>
      <c r="R490" s="438">
        <v>0.80717647058823527</v>
      </c>
      <c r="S490" s="441">
        <v>14.166666666666666</v>
      </c>
      <c r="T490" s="441">
        <v>1.566579634464752</v>
      </c>
      <c r="U490" s="239">
        <v>2</v>
      </c>
      <c r="V490" s="442">
        <v>2.659722222222222E-2</v>
      </c>
      <c r="W490" s="441" t="s">
        <v>176</v>
      </c>
      <c r="X490" s="438">
        <v>20.958704774337935</v>
      </c>
      <c r="Y490" s="438">
        <v>-3.0448666542334983</v>
      </c>
      <c r="Z490" s="443">
        <v>58.070888888888881</v>
      </c>
      <c r="AA490" s="58">
        <f t="shared" ca="1" si="19"/>
        <v>81.767499999999998</v>
      </c>
      <c r="AB490" s="453">
        <f ca="1">Table29[[#This Row],[Earnings]]-Table29[[#This Row],[4-Week Average]]</f>
        <v>-13.157499999999999</v>
      </c>
    </row>
    <row r="491" spans="1:28" x14ac:dyDescent="0.35">
      <c r="A491" s="445">
        <v>45408</v>
      </c>
      <c r="B491" s="444">
        <v>2024</v>
      </c>
      <c r="C491" s="444">
        <v>17</v>
      </c>
      <c r="D491" s="444">
        <v>4</v>
      </c>
      <c r="E491" s="444" t="s">
        <v>287</v>
      </c>
      <c r="F491" s="445" t="s">
        <v>50</v>
      </c>
      <c r="G491" s="446">
        <v>0.72916666666666552</v>
      </c>
      <c r="H491" s="445" t="s">
        <v>230</v>
      </c>
      <c r="I491" s="444">
        <v>55</v>
      </c>
      <c r="J491" s="445" t="s">
        <v>80</v>
      </c>
      <c r="K491" s="447">
        <v>120.7</v>
      </c>
      <c r="L491" s="448">
        <v>5.08</v>
      </c>
      <c r="M491" s="444">
        <v>109</v>
      </c>
      <c r="N491" s="444">
        <v>14</v>
      </c>
      <c r="O491" s="447">
        <v>23.759842519685041</v>
      </c>
      <c r="P491" s="449">
        <v>-1.8720661946254467</v>
      </c>
      <c r="Q491" s="447">
        <v>8.6214285714285719</v>
      </c>
      <c r="R491" s="447">
        <v>1.1073394495412845</v>
      </c>
      <c r="S491" s="450">
        <v>7.7857142857142856</v>
      </c>
      <c r="T491" s="450">
        <v>2.7559055118110236</v>
      </c>
      <c r="U491" s="240">
        <v>4</v>
      </c>
      <c r="V491" s="451">
        <v>1.511904761904762E-2</v>
      </c>
      <c r="W491" s="450" t="s">
        <v>176</v>
      </c>
      <c r="X491" s="447">
        <v>22.467344216099097</v>
      </c>
      <c r="Y491" s="447">
        <v>1.2924983035859441</v>
      </c>
      <c r="Z491" s="452">
        <v>58.181777777777775</v>
      </c>
      <c r="AA491" s="58">
        <f t="shared" ca="1" si="19"/>
        <v>79.777500000000003</v>
      </c>
      <c r="AB491" s="453">
        <f ca="1">Table29[[#This Row],[Earnings]]-Table29[[#This Row],[4-Week Average]]</f>
        <v>40.922499999999999</v>
      </c>
    </row>
    <row r="492" spans="1:28" x14ac:dyDescent="0.35">
      <c r="A492" s="436">
        <v>45409</v>
      </c>
      <c r="B492" s="435">
        <v>2024</v>
      </c>
      <c r="C492" s="435">
        <v>17</v>
      </c>
      <c r="D492" s="435">
        <v>4</v>
      </c>
      <c r="E492" s="435" t="s">
        <v>287</v>
      </c>
      <c r="F492" s="436" t="s">
        <v>51</v>
      </c>
      <c r="G492" s="437">
        <v>0.72916666666666552</v>
      </c>
      <c r="H492" s="436" t="s">
        <v>230</v>
      </c>
      <c r="I492" s="435">
        <v>54</v>
      </c>
      <c r="J492" s="436" t="s">
        <v>80</v>
      </c>
      <c r="K492" s="438">
        <v>121.16</v>
      </c>
      <c r="L492" s="439">
        <v>4.9000000000000004</v>
      </c>
      <c r="M492" s="435">
        <v>116</v>
      </c>
      <c r="N492" s="435">
        <v>12</v>
      </c>
      <c r="O492" s="438">
        <v>24.726530612244897</v>
      </c>
      <c r="P492" s="440">
        <v>-2.1693526113561887</v>
      </c>
      <c r="Q492" s="438">
        <v>10.096666666666666</v>
      </c>
      <c r="R492" s="438">
        <v>1.0444827586206897</v>
      </c>
      <c r="S492" s="441">
        <v>9.6666666666666661</v>
      </c>
      <c r="T492" s="441">
        <v>2.4489795918367343</v>
      </c>
      <c r="U492" s="239">
        <v>4</v>
      </c>
      <c r="V492" s="442">
        <v>1.7013888888888891E-2</v>
      </c>
      <c r="W492" s="441" t="s">
        <v>176</v>
      </c>
      <c r="X492" s="438">
        <v>23.513308240547271</v>
      </c>
      <c r="Y492" s="438">
        <v>1.2132223716976256</v>
      </c>
      <c r="Z492" s="443">
        <v>59.527999999999992</v>
      </c>
      <c r="AA492" s="58">
        <f t="shared" ca="1" si="19"/>
        <v>95.817499999999995</v>
      </c>
      <c r="AB492" s="453">
        <f ca="1">Table29[[#This Row],[Earnings]]-Table29[[#This Row],[4-Week Average]]</f>
        <v>25.342500000000001</v>
      </c>
    </row>
    <row r="493" spans="1:28" x14ac:dyDescent="0.35">
      <c r="A493" s="445">
        <v>45410</v>
      </c>
      <c r="B493" s="444">
        <v>2024</v>
      </c>
      <c r="C493" s="444">
        <v>17</v>
      </c>
      <c r="D493" s="444">
        <v>4</v>
      </c>
      <c r="E493" s="444" t="s">
        <v>287</v>
      </c>
      <c r="F493" s="445" t="s">
        <v>45</v>
      </c>
      <c r="G493" s="446">
        <v>0.72916666666666552</v>
      </c>
      <c r="H493" s="445" t="s">
        <v>285</v>
      </c>
      <c r="I493" s="444">
        <v>52</v>
      </c>
      <c r="J493" s="445" t="s">
        <v>174</v>
      </c>
      <c r="K493" s="447">
        <v>51.269999999999996</v>
      </c>
      <c r="L493" s="448">
        <v>3.75</v>
      </c>
      <c r="M493" s="444">
        <v>90</v>
      </c>
      <c r="N493" s="444">
        <v>7</v>
      </c>
      <c r="O493" s="447">
        <v>13.671999999999999</v>
      </c>
      <c r="P493" s="449">
        <v>-5.6938376399655493</v>
      </c>
      <c r="Q493" s="447">
        <v>7.3242857142857138</v>
      </c>
      <c r="R493" s="447">
        <v>0.56966666666666665</v>
      </c>
      <c r="S493" s="450">
        <v>12.857142857142858</v>
      </c>
      <c r="T493" s="450">
        <v>1.8666666666666667</v>
      </c>
      <c r="U493" s="240">
        <v>3</v>
      </c>
      <c r="V493" s="451">
        <v>2.2321428571428572E-2</v>
      </c>
      <c r="W493" s="450" t="s">
        <v>176</v>
      </c>
      <c r="X493" s="447">
        <v>18.958528045340856</v>
      </c>
      <c r="Y493" s="447">
        <v>-5.286528045340857</v>
      </c>
      <c r="Z493" s="452">
        <v>60.097666666666669</v>
      </c>
      <c r="AA493" s="58">
        <f t="shared" ca="1" si="19"/>
        <v>90.435000000000002</v>
      </c>
      <c r="AB493" s="453">
        <f ca="1">Table29[[#This Row],[Earnings]]-Table29[[#This Row],[4-Week Average]]</f>
        <v>-39.165000000000006</v>
      </c>
    </row>
    <row r="494" spans="1:28" x14ac:dyDescent="0.35">
      <c r="A494" s="436">
        <v>45412</v>
      </c>
      <c r="B494" s="435">
        <v>2024</v>
      </c>
      <c r="C494" s="435">
        <v>18</v>
      </c>
      <c r="D494" s="435">
        <v>5</v>
      </c>
      <c r="E494" s="435" t="s">
        <v>287</v>
      </c>
      <c r="F494" s="436" t="s">
        <v>47</v>
      </c>
      <c r="G494" s="437">
        <v>0.74999999999999889</v>
      </c>
      <c r="H494" s="436" t="s">
        <v>236</v>
      </c>
      <c r="I494" s="435">
        <v>48</v>
      </c>
      <c r="J494" s="436" t="s">
        <v>80</v>
      </c>
      <c r="K494" s="438">
        <v>84.6</v>
      </c>
      <c r="L494" s="439">
        <v>4.03</v>
      </c>
      <c r="M494" s="435">
        <v>99</v>
      </c>
      <c r="N494" s="435">
        <v>10</v>
      </c>
      <c r="O494" s="438">
        <v>20.992555831265506</v>
      </c>
      <c r="P494" s="440">
        <v>1.7340132512440931E-2</v>
      </c>
      <c r="Q494" s="438">
        <v>8.4599999999999991</v>
      </c>
      <c r="R494" s="438">
        <v>0.8545454545454545</v>
      </c>
      <c r="S494" s="441">
        <v>9.9</v>
      </c>
      <c r="T494" s="441">
        <v>2.4813895781637716</v>
      </c>
      <c r="U494" s="239">
        <v>4</v>
      </c>
      <c r="V494" s="442">
        <v>1.6791666666666667E-2</v>
      </c>
      <c r="W494" s="441" t="s">
        <v>176</v>
      </c>
      <c r="X494" s="438">
        <v>21.091386611284925</v>
      </c>
      <c r="Y494" s="438">
        <v>-9.8830780019419251E-2</v>
      </c>
      <c r="Z494" s="443">
        <v>58.57522222222223</v>
      </c>
      <c r="AA494" s="58">
        <f t="shared" ca="1" si="19"/>
        <v>94.432500000000005</v>
      </c>
      <c r="AB494" s="453">
        <f ca="1">Table29[[#This Row],[Earnings]]-Table29[[#This Row],[4-Week Average]]</f>
        <v>-9.8325000000000102</v>
      </c>
    </row>
    <row r="495" spans="1:28" x14ac:dyDescent="0.35">
      <c r="A495" s="445">
        <v>45413</v>
      </c>
      <c r="B495" s="444">
        <v>2024</v>
      </c>
      <c r="C495" s="444">
        <v>18</v>
      </c>
      <c r="D495" s="444">
        <v>5</v>
      </c>
      <c r="E495" s="444" t="s">
        <v>287</v>
      </c>
      <c r="F495" s="445" t="s">
        <v>48</v>
      </c>
      <c r="G495" s="446">
        <v>0.72916666666666552</v>
      </c>
      <c r="H495" s="445" t="s">
        <v>230</v>
      </c>
      <c r="I495" s="444">
        <v>54</v>
      </c>
      <c r="J495" s="445" t="s">
        <v>80</v>
      </c>
      <c r="K495" s="447">
        <v>115.41</v>
      </c>
      <c r="L495" s="448">
        <v>5.3</v>
      </c>
      <c r="M495" s="444">
        <v>91</v>
      </c>
      <c r="N495" s="444">
        <v>12</v>
      </c>
      <c r="O495" s="447">
        <v>21.775471698113208</v>
      </c>
      <c r="P495" s="449">
        <v>-4.1743391766292994</v>
      </c>
      <c r="Q495" s="447">
        <v>9.6174999999999997</v>
      </c>
      <c r="R495" s="447">
        <v>1.2682417582417582</v>
      </c>
      <c r="S495" s="450">
        <v>7.583333333333333</v>
      </c>
      <c r="T495" s="450">
        <v>2.2641509433962264</v>
      </c>
      <c r="U495" s="240">
        <v>4</v>
      </c>
      <c r="V495" s="451">
        <v>1.8402777777777778E-2</v>
      </c>
      <c r="W495" s="450" t="s">
        <v>176</v>
      </c>
      <c r="X495" s="447">
        <v>22.335389870360405</v>
      </c>
      <c r="Y495" s="447">
        <v>-0.55991817224719753</v>
      </c>
      <c r="Z495" s="452">
        <v>59.203888888888891</v>
      </c>
      <c r="AA495" s="58">
        <f t="shared" ca="1" si="19"/>
        <v>93.109999999999985</v>
      </c>
      <c r="AB495" s="453">
        <f ca="1">Table29[[#This Row],[Earnings]]-Table29[[#This Row],[4-Week Average]]</f>
        <v>22.300000000000011</v>
      </c>
    </row>
    <row r="496" spans="1:28" x14ac:dyDescent="0.35">
      <c r="A496" s="436">
        <v>45414</v>
      </c>
      <c r="B496" s="435">
        <v>2024</v>
      </c>
      <c r="C496" s="435">
        <v>18</v>
      </c>
      <c r="D496" s="435">
        <v>5</v>
      </c>
      <c r="E496" s="435" t="s">
        <v>287</v>
      </c>
      <c r="F496" s="436" t="s">
        <v>49</v>
      </c>
      <c r="G496" s="437">
        <v>0.72916666666666552</v>
      </c>
      <c r="H496" s="436" t="s">
        <v>231</v>
      </c>
      <c r="I496" s="435">
        <v>48</v>
      </c>
      <c r="J496" s="436" t="s">
        <v>174</v>
      </c>
      <c r="K496" s="438">
        <v>107.63</v>
      </c>
      <c r="L496" s="439">
        <v>5</v>
      </c>
      <c r="M496" s="435">
        <v>119</v>
      </c>
      <c r="N496" s="435">
        <v>13</v>
      </c>
      <c r="O496" s="438">
        <v>21.526</v>
      </c>
      <c r="P496" s="440">
        <v>7.9202307692307681</v>
      </c>
      <c r="Q496" s="438">
        <v>8.2792307692307681</v>
      </c>
      <c r="R496" s="438">
        <v>0.90445378151260503</v>
      </c>
      <c r="S496" s="441">
        <v>9.1538461538461533</v>
      </c>
      <c r="T496" s="441">
        <v>2.6</v>
      </c>
      <c r="U496" s="239">
        <v>3</v>
      </c>
      <c r="V496" s="442">
        <v>1.6025641025641028E-2</v>
      </c>
      <c r="W496" s="441" t="s">
        <v>176</v>
      </c>
      <c r="X496" s="438">
        <v>19.452916652940207</v>
      </c>
      <c r="Y496" s="438">
        <v>2.0730833470597929</v>
      </c>
      <c r="Z496" s="443">
        <v>59.414888888888889</v>
      </c>
      <c r="AA496" s="58">
        <f t="shared" ca="1" si="19"/>
        <v>89.727499999999992</v>
      </c>
      <c r="AB496" s="453">
        <f ca="1">Table29[[#This Row],[Earnings]]-Table29[[#This Row],[4-Week Average]]</f>
        <v>17.902500000000003</v>
      </c>
    </row>
    <row r="497" spans="1:28" x14ac:dyDescent="0.35">
      <c r="A497" s="445">
        <v>45415</v>
      </c>
      <c r="B497" s="444">
        <v>2024</v>
      </c>
      <c r="C497" s="444">
        <v>18</v>
      </c>
      <c r="D497" s="444">
        <v>5</v>
      </c>
      <c r="E497" s="444" t="s">
        <v>287</v>
      </c>
      <c r="F497" s="445" t="s">
        <v>50</v>
      </c>
      <c r="G497" s="446">
        <v>0.74999999999999889</v>
      </c>
      <c r="H497" s="445" t="s">
        <v>230</v>
      </c>
      <c r="I497" s="444">
        <v>63</v>
      </c>
      <c r="J497" s="445" t="s">
        <v>82</v>
      </c>
      <c r="K497" s="447">
        <v>123.54</v>
      </c>
      <c r="L497" s="448">
        <v>5.45</v>
      </c>
      <c r="M497" s="444">
        <v>91</v>
      </c>
      <c r="N497" s="444">
        <v>15</v>
      </c>
      <c r="O497" s="447">
        <v>22.667889908256882</v>
      </c>
      <c r="P497" s="449">
        <v>4.9258065749235485</v>
      </c>
      <c r="Q497" s="447">
        <v>8.2360000000000007</v>
      </c>
      <c r="R497" s="447">
        <v>1.3575824175824176</v>
      </c>
      <c r="S497" s="450">
        <v>6.0666666666666664</v>
      </c>
      <c r="T497" s="450">
        <v>2.7522935779816513</v>
      </c>
      <c r="U497" s="240">
        <v>3</v>
      </c>
      <c r="V497" s="451">
        <v>1.5138888888888889E-2</v>
      </c>
      <c r="W497" s="450" t="s">
        <v>176</v>
      </c>
      <c r="X497" s="447">
        <v>28.304790435178003</v>
      </c>
      <c r="Y497" s="447">
        <v>-5.6369005269211208</v>
      </c>
      <c r="Z497" s="452">
        <v>60.787555555555556</v>
      </c>
      <c r="AA497" s="58">
        <f t="shared" ca="1" si="19"/>
        <v>107.795</v>
      </c>
      <c r="AB497" s="453">
        <f ca="1">Table29[[#This Row],[Earnings]]-Table29[[#This Row],[4-Week Average]]</f>
        <v>15.745000000000005</v>
      </c>
    </row>
    <row r="498" spans="1:28" x14ac:dyDescent="0.35">
      <c r="A498" s="436">
        <v>45416</v>
      </c>
      <c r="B498" s="435">
        <v>2024</v>
      </c>
      <c r="C498" s="435">
        <v>18</v>
      </c>
      <c r="D498" s="435">
        <v>5</v>
      </c>
      <c r="E498" s="435" t="s">
        <v>287</v>
      </c>
      <c r="F498" s="436" t="s">
        <v>51</v>
      </c>
      <c r="G498" s="437">
        <v>0.79166666666666541</v>
      </c>
      <c r="H498" s="436" t="s">
        <v>231</v>
      </c>
      <c r="I498" s="435">
        <v>54</v>
      </c>
      <c r="J498" s="436" t="s">
        <v>80</v>
      </c>
      <c r="K498" s="438">
        <v>73.050000000000011</v>
      </c>
      <c r="L498" s="439">
        <v>3.63</v>
      </c>
      <c r="M498" s="435">
        <v>103</v>
      </c>
      <c r="N498" s="435">
        <v>8</v>
      </c>
      <c r="O498" s="438">
        <v>20.123966942148765</v>
      </c>
      <c r="P498" s="440">
        <v>-6.591136897172639</v>
      </c>
      <c r="Q498" s="438">
        <v>9.1312500000000014</v>
      </c>
      <c r="R498" s="438">
        <v>0.70922330097087394</v>
      </c>
      <c r="S498" s="441">
        <v>12.875</v>
      </c>
      <c r="T498" s="441">
        <v>2.2038567493112948</v>
      </c>
      <c r="U498" s="239">
        <v>2</v>
      </c>
      <c r="V498" s="442">
        <v>1.8906249999999999E-2</v>
      </c>
      <c r="W498" s="441" t="s">
        <v>175</v>
      </c>
      <c r="X498" s="438">
        <v>25.165112615762578</v>
      </c>
      <c r="Y498" s="438">
        <v>-5.0411456736138121</v>
      </c>
      <c r="Z498" s="443">
        <v>61.599222222222224</v>
      </c>
      <c r="AA498" s="58">
        <f t="shared" ca="1" si="19"/>
        <v>104.9075</v>
      </c>
      <c r="AB498" s="453">
        <f ca="1">Table29[[#This Row],[Earnings]]-Table29[[#This Row],[4-Week Average]]</f>
        <v>-31.857499999999987</v>
      </c>
    </row>
    <row r="499" spans="1:28" x14ac:dyDescent="0.35">
      <c r="A499" s="445">
        <v>45417</v>
      </c>
      <c r="B499" s="444">
        <v>2024</v>
      </c>
      <c r="C499" s="444">
        <v>18</v>
      </c>
      <c r="D499" s="444">
        <v>5</v>
      </c>
      <c r="E499" s="444" t="s">
        <v>287</v>
      </c>
      <c r="F499" s="445" t="s">
        <v>45</v>
      </c>
      <c r="G499" s="446">
        <v>0.74999999999999889</v>
      </c>
      <c r="H499" s="445" t="s">
        <v>236</v>
      </c>
      <c r="I499" s="444">
        <v>46</v>
      </c>
      <c r="J499" s="445" t="s">
        <v>80</v>
      </c>
      <c r="K499" s="447">
        <v>141.63</v>
      </c>
      <c r="L499" s="448">
        <v>4.97</v>
      </c>
      <c r="M499" s="444">
        <v>88</v>
      </c>
      <c r="N499" s="444">
        <v>10</v>
      </c>
      <c r="O499" s="447">
        <v>28.496981891348089</v>
      </c>
      <c r="P499" s="449">
        <v>8.5566258465970328</v>
      </c>
      <c r="Q499" s="447">
        <v>14.163</v>
      </c>
      <c r="R499" s="447">
        <v>1.6094318181818181</v>
      </c>
      <c r="S499" s="450">
        <v>8.8000000000000007</v>
      </c>
      <c r="T499" s="450">
        <v>2.0120724346076462</v>
      </c>
      <c r="U499" s="240">
        <v>3</v>
      </c>
      <c r="V499" s="451">
        <v>2.0708333333333332E-2</v>
      </c>
      <c r="W499" s="450" t="s">
        <v>176</v>
      </c>
      <c r="X499" s="447">
        <v>19.246597619330164</v>
      </c>
      <c r="Y499" s="447">
        <v>9.250384272017925</v>
      </c>
      <c r="Z499" s="452">
        <v>62.730444444444451</v>
      </c>
      <c r="AA499" s="58">
        <f t="shared" ca="1" si="19"/>
        <v>111.46250000000001</v>
      </c>
      <c r="AB499" s="453">
        <f ca="1">Table29[[#This Row],[Earnings]]-Table29[[#This Row],[4-Week Average]]</f>
        <v>30.16749999999999</v>
      </c>
    </row>
    <row r="500" spans="1:28" x14ac:dyDescent="0.35">
      <c r="A500" s="436">
        <v>45418</v>
      </c>
      <c r="B500" s="435">
        <v>2024</v>
      </c>
      <c r="C500" s="435">
        <v>19</v>
      </c>
      <c r="D500" s="435">
        <v>6</v>
      </c>
      <c r="E500" s="435" t="s">
        <v>287</v>
      </c>
      <c r="F500" s="436" t="s">
        <v>46</v>
      </c>
      <c r="G500" s="437">
        <v>0.74999999999999889</v>
      </c>
      <c r="H500" s="436" t="s">
        <v>230</v>
      </c>
      <c r="I500" s="435">
        <v>66</v>
      </c>
      <c r="J500" s="436" t="s">
        <v>80</v>
      </c>
      <c r="K500" s="438">
        <v>133.05000000000001</v>
      </c>
      <c r="L500" s="439">
        <v>5.22</v>
      </c>
      <c r="M500" s="435">
        <v>114</v>
      </c>
      <c r="N500" s="435">
        <v>13</v>
      </c>
      <c r="O500" s="438">
        <v>25.488505747126439</v>
      </c>
      <c r="P500" s="440">
        <v>6.4408288017532165</v>
      </c>
      <c r="Q500" s="438">
        <v>10.234615384615385</v>
      </c>
      <c r="R500" s="438">
        <v>1.1671052631578949</v>
      </c>
      <c r="S500" s="441">
        <v>8.7692307692307701</v>
      </c>
      <c r="T500" s="441">
        <v>2.4904214559386975</v>
      </c>
      <c r="U500" s="239">
        <v>3</v>
      </c>
      <c r="V500" s="442">
        <v>1.673076923076923E-2</v>
      </c>
      <c r="W500" s="441" t="s">
        <v>176</v>
      </c>
      <c r="X500" s="438">
        <v>22.295360168593202</v>
      </c>
      <c r="Y500" s="438">
        <v>3.1931455785332368</v>
      </c>
      <c r="Z500" s="443">
        <v>64.208777777777783</v>
      </c>
      <c r="AA500" s="58">
        <f t="shared" ca="1" si="19"/>
        <v>117.81750000000001</v>
      </c>
      <c r="AB500" s="453">
        <f ca="1">Table29[[#This Row],[Earnings]]-Table29[[#This Row],[4-Week Average]]</f>
        <v>15.232500000000002</v>
      </c>
    </row>
    <row r="501" spans="1:28" x14ac:dyDescent="0.35">
      <c r="A501" s="445">
        <v>45419</v>
      </c>
      <c r="B501" s="444">
        <v>2024</v>
      </c>
      <c r="C501" s="444">
        <v>19</v>
      </c>
      <c r="D501" s="444">
        <v>6</v>
      </c>
      <c r="E501" s="444" t="s">
        <v>287</v>
      </c>
      <c r="F501" s="445" t="s">
        <v>47</v>
      </c>
      <c r="G501" s="446">
        <v>0.72916666666666552</v>
      </c>
      <c r="H501" s="445" t="s">
        <v>230</v>
      </c>
      <c r="I501" s="444">
        <v>61</v>
      </c>
      <c r="J501" s="445" t="s">
        <v>85</v>
      </c>
      <c r="K501" s="447">
        <v>75.02</v>
      </c>
      <c r="L501" s="448">
        <v>3.73</v>
      </c>
      <c r="M501" s="444">
        <v>104</v>
      </c>
      <c r="N501" s="444">
        <v>7</v>
      </c>
      <c r="O501" s="447">
        <v>20.112600536193028</v>
      </c>
      <c r="P501" s="449" t="s">
        <v>393</v>
      </c>
      <c r="Q501" s="447">
        <v>10.717142857142857</v>
      </c>
      <c r="R501" s="447">
        <v>0.72134615384615386</v>
      </c>
      <c r="S501" s="450">
        <v>14.857142857142858</v>
      </c>
      <c r="T501" s="450">
        <v>1.8766756032171581</v>
      </c>
      <c r="U501" s="240">
        <v>3</v>
      </c>
      <c r="V501" s="451">
        <v>2.2202380952380949E-2</v>
      </c>
      <c r="W501" s="450" t="s">
        <v>176</v>
      </c>
      <c r="X501" s="447">
        <v>18.163573021829258</v>
      </c>
      <c r="Y501" s="447">
        <v>1.9490275143637703</v>
      </c>
      <c r="Z501" s="452">
        <v>64.436333333333351</v>
      </c>
      <c r="AA501" s="58">
        <f t="shared" ca="1" si="19"/>
        <v>105.6875</v>
      </c>
      <c r="AB501" s="453">
        <f ca="1">Table29[[#This Row],[Earnings]]-Table29[[#This Row],[4-Week Average]]</f>
        <v>-30.667500000000004</v>
      </c>
    </row>
    <row r="502" spans="1:28" x14ac:dyDescent="0.35">
      <c r="A502" s="436">
        <v>45421</v>
      </c>
      <c r="B502" s="435">
        <v>2024</v>
      </c>
      <c r="C502" s="435">
        <v>19</v>
      </c>
      <c r="D502" s="435">
        <v>6</v>
      </c>
      <c r="E502" s="435" t="s">
        <v>287</v>
      </c>
      <c r="F502" s="436" t="s">
        <v>49</v>
      </c>
      <c r="G502" s="437">
        <v>0.77083333333333215</v>
      </c>
      <c r="H502" s="436" t="s">
        <v>230</v>
      </c>
      <c r="I502" s="435">
        <v>52</v>
      </c>
      <c r="J502" s="436" t="s">
        <v>80</v>
      </c>
      <c r="K502" s="438">
        <v>91.550000000000011</v>
      </c>
      <c r="L502" s="439">
        <v>4.2</v>
      </c>
      <c r="M502" s="435">
        <v>78</v>
      </c>
      <c r="N502" s="435">
        <v>8</v>
      </c>
      <c r="O502" s="438">
        <v>21.797619047619051</v>
      </c>
      <c r="P502" s="440">
        <v>-1.8176738276221158</v>
      </c>
      <c r="Q502" s="438">
        <v>11.443750000000001</v>
      </c>
      <c r="R502" s="438">
        <v>1.1737179487179488</v>
      </c>
      <c r="S502" s="441">
        <v>9.75</v>
      </c>
      <c r="T502" s="441">
        <v>1.9047619047619047</v>
      </c>
      <c r="U502" s="239">
        <v>3</v>
      </c>
      <c r="V502" s="442">
        <v>2.1875000000000002E-2</v>
      </c>
      <c r="W502" s="441" t="s">
        <v>176</v>
      </c>
      <c r="X502" s="438">
        <v>21.385404996263951</v>
      </c>
      <c r="Y502" s="438">
        <v>0.41221405135510025</v>
      </c>
      <c r="Z502" s="443">
        <v>62.794444444444466</v>
      </c>
      <c r="AA502" s="58">
        <f t="shared" ca="1" si="19"/>
        <v>110.3125</v>
      </c>
      <c r="AB502" s="453">
        <f ca="1">Table29[[#This Row],[Earnings]]-Table29[[#This Row],[4-Week Average]]</f>
        <v>-18.762499999999989</v>
      </c>
    </row>
    <row r="503" spans="1:28" x14ac:dyDescent="0.35">
      <c r="A503" s="445">
        <v>45425</v>
      </c>
      <c r="B503" s="444">
        <v>2024</v>
      </c>
      <c r="C503" s="444">
        <v>20</v>
      </c>
      <c r="D503" s="444">
        <v>7</v>
      </c>
      <c r="E503" s="444" t="s">
        <v>287</v>
      </c>
      <c r="F503" s="445" t="s">
        <v>46</v>
      </c>
      <c r="G503" s="446">
        <v>0.72916666666666552</v>
      </c>
      <c r="H503" s="445" t="s">
        <v>230</v>
      </c>
      <c r="I503" s="444">
        <v>59</v>
      </c>
      <c r="J503" s="445" t="s">
        <v>80</v>
      </c>
      <c r="K503" s="447">
        <v>143.83000000000001</v>
      </c>
      <c r="L503" s="448">
        <v>5.32</v>
      </c>
      <c r="M503" s="444">
        <v>115</v>
      </c>
      <c r="N503" s="444">
        <v>13</v>
      </c>
      <c r="O503" s="447">
        <v>27.035714285714288</v>
      </c>
      <c r="P503" s="449">
        <v>6.9145658733821946</v>
      </c>
      <c r="Q503" s="447">
        <v>11.063846153846155</v>
      </c>
      <c r="R503" s="447">
        <v>1.2506956521739132</v>
      </c>
      <c r="S503" s="450">
        <v>8.8461538461538467</v>
      </c>
      <c r="T503" s="450">
        <v>2.4436090225563909</v>
      </c>
      <c r="U503" s="240">
        <v>2</v>
      </c>
      <c r="V503" s="451">
        <v>1.7051282051282052E-2</v>
      </c>
      <c r="W503" s="450" t="s">
        <v>176</v>
      </c>
      <c r="X503" s="447">
        <v>24.725669642857142</v>
      </c>
      <c r="Y503" s="447">
        <v>2.3100446428571466</v>
      </c>
      <c r="Z503" s="452">
        <v>62.508555555555567</v>
      </c>
      <c r="AA503" s="58">
        <f t="shared" ca="1" si="19"/>
        <v>110.86250000000001</v>
      </c>
      <c r="AB503" s="453">
        <f ca="1">Table29[[#This Row],[Earnings]]-Table29[[#This Row],[4-Week Average]]</f>
        <v>32.967500000000001</v>
      </c>
    </row>
    <row r="504" spans="1:28" x14ac:dyDescent="0.35">
      <c r="A504" s="436">
        <v>45426</v>
      </c>
      <c r="B504" s="435">
        <v>2024</v>
      </c>
      <c r="C504" s="435">
        <v>20</v>
      </c>
      <c r="D504" s="435">
        <v>7</v>
      </c>
      <c r="E504" s="435" t="s">
        <v>287</v>
      </c>
      <c r="F504" s="436" t="s">
        <v>47</v>
      </c>
      <c r="G504" s="437">
        <v>0.72916666666666552</v>
      </c>
      <c r="H504" s="436" t="s">
        <v>285</v>
      </c>
      <c r="I504" s="435">
        <v>64</v>
      </c>
      <c r="J504" s="436" t="s">
        <v>80</v>
      </c>
      <c r="K504" s="438">
        <v>142.47999999999999</v>
      </c>
      <c r="L504" s="439">
        <v>6.35</v>
      </c>
      <c r="M504" s="435">
        <v>130</v>
      </c>
      <c r="N504" s="435">
        <v>16</v>
      </c>
      <c r="O504" s="438">
        <v>22.437795275590553</v>
      </c>
      <c r="P504" s="440">
        <v>1.4604120602734341</v>
      </c>
      <c r="Q504" s="438">
        <v>8.9049999999999994</v>
      </c>
      <c r="R504" s="438">
        <v>1.0959999999999999</v>
      </c>
      <c r="S504" s="441">
        <v>8.125</v>
      </c>
      <c r="T504" s="441">
        <v>2.5196850393700787</v>
      </c>
      <c r="U504" s="239">
        <v>3</v>
      </c>
      <c r="V504" s="442">
        <v>1.6536458333333334E-2</v>
      </c>
      <c r="W504" s="441" t="s">
        <v>176</v>
      </c>
      <c r="X504" s="438">
        <v>24.50145834419704</v>
      </c>
      <c r="Y504" s="438">
        <v>-2.0636630686064876</v>
      </c>
      <c r="Z504" s="443">
        <v>61.956666666666678</v>
      </c>
      <c r="AA504" s="58">
        <f t="shared" ca="1" si="19"/>
        <v>113.22</v>
      </c>
      <c r="AB504" s="453">
        <f ca="1">Table29[[#This Row],[Earnings]]-Table29[[#This Row],[4-Week Average]]</f>
        <v>29.259999999999991</v>
      </c>
    </row>
    <row r="505" spans="1:28" x14ac:dyDescent="0.35">
      <c r="A505" s="445">
        <v>45427</v>
      </c>
      <c r="B505" s="444">
        <v>2024</v>
      </c>
      <c r="C505" s="444">
        <v>20</v>
      </c>
      <c r="D505" s="444">
        <v>7</v>
      </c>
      <c r="E505" s="444" t="s">
        <v>287</v>
      </c>
      <c r="F505" s="445" t="s">
        <v>48</v>
      </c>
      <c r="G505" s="446">
        <v>0.77083333333333215</v>
      </c>
      <c r="H505" s="445" t="s">
        <v>249</v>
      </c>
      <c r="I505" s="444">
        <v>66</v>
      </c>
      <c r="J505" s="445" t="s">
        <v>80</v>
      </c>
      <c r="K505" s="447">
        <v>125.15</v>
      </c>
      <c r="L505" s="448">
        <v>5.35</v>
      </c>
      <c r="M505" s="444">
        <v>105</v>
      </c>
      <c r="N505" s="444">
        <v>15</v>
      </c>
      <c r="O505" s="447">
        <v>23.392523364485985</v>
      </c>
      <c r="P505" s="449">
        <v>-1.8615643141516358</v>
      </c>
      <c r="Q505" s="447">
        <v>8.3433333333333337</v>
      </c>
      <c r="R505" s="447">
        <v>1.191904761904762</v>
      </c>
      <c r="S505" s="450">
        <v>7</v>
      </c>
      <c r="T505" s="450">
        <v>2.8037383177570097</v>
      </c>
      <c r="U505" s="240">
        <v>3</v>
      </c>
      <c r="V505" s="451">
        <v>1.486111111111111E-2</v>
      </c>
      <c r="W505" s="450" t="s">
        <v>176</v>
      </c>
      <c r="X505" s="447">
        <v>24.268423200414826</v>
      </c>
      <c r="Y505" s="447">
        <v>-0.87589983592884124</v>
      </c>
      <c r="Z505" s="452">
        <v>63.347222222222236</v>
      </c>
      <c r="AA505" s="58">
        <f t="shared" ca="1" si="19"/>
        <v>125.7525</v>
      </c>
      <c r="AB505" s="453">
        <f ca="1">Table29[[#This Row],[Earnings]]-Table29[[#This Row],[4-Week Average]]</f>
        <v>-0.60249999999999204</v>
      </c>
    </row>
    <row r="506" spans="1:28" x14ac:dyDescent="0.35">
      <c r="A506" s="436">
        <v>45428</v>
      </c>
      <c r="B506" s="435">
        <v>2024</v>
      </c>
      <c r="C506" s="435">
        <v>20</v>
      </c>
      <c r="D506" s="435">
        <v>7</v>
      </c>
      <c r="E506" s="435" t="s">
        <v>287</v>
      </c>
      <c r="F506" s="436" t="s">
        <v>49</v>
      </c>
      <c r="G506" s="437">
        <v>0.72916666666666552</v>
      </c>
      <c r="H506" s="436" t="s">
        <v>230</v>
      </c>
      <c r="I506" s="435">
        <v>70</v>
      </c>
      <c r="J506" s="436" t="s">
        <v>80</v>
      </c>
      <c r="K506" s="438">
        <v>129.67000000000002</v>
      </c>
      <c r="L506" s="439">
        <v>5.62</v>
      </c>
      <c r="M506" s="435">
        <v>155</v>
      </c>
      <c r="N506" s="435">
        <v>11</v>
      </c>
      <c r="O506" s="438">
        <v>23.072953736654807</v>
      </c>
      <c r="P506" s="440">
        <v>-0.37709606334798806</v>
      </c>
      <c r="Q506" s="438">
        <v>11.788181818181819</v>
      </c>
      <c r="R506" s="438">
        <v>0.83658064516129038</v>
      </c>
      <c r="S506" s="441">
        <v>14.090909090909092</v>
      </c>
      <c r="T506" s="441">
        <v>1.9572953736654803</v>
      </c>
      <c r="U506" s="239">
        <v>4</v>
      </c>
      <c r="V506" s="442">
        <v>2.1287878787878786E-2</v>
      </c>
      <c r="W506" s="441" t="s">
        <v>176</v>
      </c>
      <c r="X506" s="438">
        <v>19.305707637558172</v>
      </c>
      <c r="Y506" s="438">
        <v>3.767246099096635</v>
      </c>
      <c r="Z506" s="443">
        <v>63.882000000000012</v>
      </c>
      <c r="AA506" s="58">
        <f t="shared" ca="1" si="19"/>
        <v>135.28250000000003</v>
      </c>
      <c r="AB506" s="453">
        <f ca="1">Table29[[#This Row],[Earnings]]-Table29[[#This Row],[4-Week Average]]</f>
        <v>-5.6125000000000114</v>
      </c>
    </row>
    <row r="507" spans="1:28" x14ac:dyDescent="0.35">
      <c r="A507" s="445">
        <v>45429</v>
      </c>
      <c r="B507" s="444">
        <v>2024</v>
      </c>
      <c r="C507" s="444">
        <v>20</v>
      </c>
      <c r="D507" s="444">
        <v>7</v>
      </c>
      <c r="E507" s="444" t="s">
        <v>287</v>
      </c>
      <c r="F507" s="445" t="s">
        <v>50</v>
      </c>
      <c r="G507" s="446">
        <v>0.74999999999999889</v>
      </c>
      <c r="H507" s="445" t="s">
        <v>249</v>
      </c>
      <c r="I507" s="444">
        <v>57</v>
      </c>
      <c r="J507" s="445" t="s">
        <v>85</v>
      </c>
      <c r="K507" s="447">
        <v>151.49</v>
      </c>
      <c r="L507" s="448">
        <v>6.28</v>
      </c>
      <c r="M507" s="444">
        <v>121</v>
      </c>
      <c r="N507" s="444">
        <v>17</v>
      </c>
      <c r="O507" s="447">
        <v>24.122611464968152</v>
      </c>
      <c r="P507" s="449">
        <v>2.095324119482715</v>
      </c>
      <c r="Q507" s="447">
        <v>8.9111764705882361</v>
      </c>
      <c r="R507" s="447">
        <v>1.2519834710743802</v>
      </c>
      <c r="S507" s="450">
        <v>7.117647058823529</v>
      </c>
      <c r="T507" s="450">
        <v>2.7070063694267517</v>
      </c>
      <c r="U507" s="240">
        <v>3</v>
      </c>
      <c r="V507" s="451">
        <v>1.53921568627451E-2</v>
      </c>
      <c r="W507" s="450" t="s">
        <v>176</v>
      </c>
      <c r="X507" s="447">
        <v>26.162300455424486</v>
      </c>
      <c r="Y507" s="447">
        <v>-2.0396889904563338</v>
      </c>
      <c r="Z507" s="452">
        <v>64.096444444444444</v>
      </c>
      <c r="AA507" s="58">
        <f t="shared" ca="1" si="19"/>
        <v>137.19749999999999</v>
      </c>
      <c r="AB507" s="453">
        <f ca="1">Table29[[#This Row],[Earnings]]-Table29[[#This Row],[4-Week Average]]</f>
        <v>14.292500000000018</v>
      </c>
    </row>
    <row r="508" spans="1:28" x14ac:dyDescent="0.35">
      <c r="A508" s="436">
        <v>45432</v>
      </c>
      <c r="B508" s="435">
        <v>2024</v>
      </c>
      <c r="C508" s="435">
        <v>21</v>
      </c>
      <c r="D508" s="435">
        <v>8</v>
      </c>
      <c r="E508" s="435" t="s">
        <v>287</v>
      </c>
      <c r="F508" s="436" t="s">
        <v>46</v>
      </c>
      <c r="G508" s="437">
        <v>0.60416666666666574</v>
      </c>
      <c r="H508" s="436" t="s">
        <v>281</v>
      </c>
      <c r="I508" s="435">
        <v>73</v>
      </c>
      <c r="J508" s="436" t="s">
        <v>80</v>
      </c>
      <c r="K508" s="438">
        <v>22</v>
      </c>
      <c r="L508" s="439">
        <v>1.58</v>
      </c>
      <c r="M508" s="435">
        <v>31</v>
      </c>
      <c r="N508" s="435">
        <v>4</v>
      </c>
      <c r="O508" s="438">
        <v>13.924050632911392</v>
      </c>
      <c r="P508" s="440">
        <v>-7.184892904189585</v>
      </c>
      <c r="Q508" s="438">
        <v>5.5</v>
      </c>
      <c r="R508" s="438">
        <v>0.70967741935483875</v>
      </c>
      <c r="S508" s="441">
        <v>7.75</v>
      </c>
      <c r="T508" s="441">
        <v>2.5316455696202529</v>
      </c>
      <c r="U508" s="239">
        <v>1</v>
      </c>
      <c r="V508" s="442">
        <v>1.6458333333333335E-2</v>
      </c>
      <c r="W508" s="441" t="s">
        <v>176</v>
      </c>
      <c r="X508" s="438">
        <v>15.443940210072718</v>
      </c>
      <c r="Y508" s="438">
        <v>-1.5198895771613259</v>
      </c>
      <c r="Z508" s="443">
        <v>62.071333333333335</v>
      </c>
      <c r="AA508" s="58">
        <f t="shared" ca="1" si="19"/>
        <v>107.07750000000001</v>
      </c>
      <c r="AB508" s="453">
        <f ca="1">Table29[[#This Row],[Earnings]]-Table29[[#This Row],[4-Week Average]]</f>
        <v>-85.077500000000015</v>
      </c>
    </row>
    <row r="509" spans="1:28" x14ac:dyDescent="0.35">
      <c r="A509" s="445">
        <v>45434</v>
      </c>
      <c r="B509" s="444">
        <v>2024</v>
      </c>
      <c r="C509" s="444">
        <v>21</v>
      </c>
      <c r="D509" s="444">
        <v>8</v>
      </c>
      <c r="E509" s="444" t="s">
        <v>287</v>
      </c>
      <c r="F509" s="445" t="s">
        <v>48</v>
      </c>
      <c r="G509" s="446">
        <v>0.77083333333333215</v>
      </c>
      <c r="H509" s="445" t="s">
        <v>249</v>
      </c>
      <c r="I509" s="444">
        <v>79</v>
      </c>
      <c r="J509" s="445" t="s">
        <v>80</v>
      </c>
      <c r="K509" s="447">
        <v>105.4</v>
      </c>
      <c r="L509" s="448">
        <v>5.22</v>
      </c>
      <c r="M509" s="444">
        <v>158</v>
      </c>
      <c r="N509" s="444">
        <v>9</v>
      </c>
      <c r="O509" s="447">
        <v>20.191570881226056</v>
      </c>
      <c r="P509" s="449">
        <v>-4.7965790382470459</v>
      </c>
      <c r="Q509" s="447">
        <v>11.711111111111112</v>
      </c>
      <c r="R509" s="447">
        <v>0.66708860759493671</v>
      </c>
      <c r="S509" s="450">
        <v>17.555555555555557</v>
      </c>
      <c r="T509" s="450">
        <v>1.7241379310344829</v>
      </c>
      <c r="U509" s="240">
        <v>3</v>
      </c>
      <c r="V509" s="451">
        <v>2.4166666666666666E-2</v>
      </c>
      <c r="W509" s="450" t="s">
        <v>176</v>
      </c>
      <c r="X509" s="447">
        <v>18.639610141808248</v>
      </c>
      <c r="Y509" s="447">
        <v>1.5519607394178081</v>
      </c>
      <c r="Z509" s="452">
        <v>61.653555555555549</v>
      </c>
      <c r="AA509" s="58">
        <f t="shared" ca="1" si="19"/>
        <v>102.14000000000001</v>
      </c>
      <c r="AB509" s="453">
        <f ca="1">Table29[[#This Row],[Earnings]]-Table29[[#This Row],[4-Week Average]]</f>
        <v>3.2599999999999909</v>
      </c>
    </row>
    <row r="510" spans="1:28" x14ac:dyDescent="0.35">
      <c r="A510" s="436">
        <v>45435</v>
      </c>
      <c r="B510" s="435">
        <v>2024</v>
      </c>
      <c r="C510" s="435">
        <v>21</v>
      </c>
      <c r="D510" s="435">
        <v>8</v>
      </c>
      <c r="E510" s="435" t="s">
        <v>287</v>
      </c>
      <c r="F510" s="436" t="s">
        <v>49</v>
      </c>
      <c r="G510" s="437">
        <v>0.72916666666666552</v>
      </c>
      <c r="H510" s="436" t="s">
        <v>230</v>
      </c>
      <c r="I510" s="435">
        <v>72</v>
      </c>
      <c r="J510" s="436" t="s">
        <v>80</v>
      </c>
      <c r="K510" s="438">
        <v>72.94</v>
      </c>
      <c r="L510" s="439">
        <v>3.67</v>
      </c>
      <c r="M510" s="435">
        <v>77</v>
      </c>
      <c r="N510" s="435">
        <v>10</v>
      </c>
      <c r="O510" s="438">
        <v>19.87465940054496</v>
      </c>
      <c r="P510" s="440">
        <v>-3.5439657275121697</v>
      </c>
      <c r="Q510" s="438">
        <v>7.2939999999999996</v>
      </c>
      <c r="R510" s="438">
        <v>0.94727272727272727</v>
      </c>
      <c r="S510" s="441">
        <v>7.7</v>
      </c>
      <c r="T510" s="441">
        <v>2.7247956403269757</v>
      </c>
      <c r="U510" s="239">
        <v>1</v>
      </c>
      <c r="V510" s="442">
        <v>1.5291666666666667E-2</v>
      </c>
      <c r="W510" s="441" t="s">
        <v>176</v>
      </c>
      <c r="X510" s="438">
        <v>19.770465325238188</v>
      </c>
      <c r="Y510" s="438">
        <v>0.10419407530677205</v>
      </c>
      <c r="Z510" s="443">
        <v>62.463999999999992</v>
      </c>
      <c r="AA510" s="58">
        <f t="shared" ca="1" si="19"/>
        <v>87.957499999999996</v>
      </c>
      <c r="AB510" s="453">
        <f ca="1">Table29[[#This Row],[Earnings]]-Table29[[#This Row],[4-Week Average]]</f>
        <v>-15.017499999999998</v>
      </c>
    </row>
    <row r="511" spans="1:28" x14ac:dyDescent="0.35">
      <c r="A511" s="445">
        <v>45436</v>
      </c>
      <c r="B511" s="444">
        <v>2024</v>
      </c>
      <c r="C511" s="444">
        <v>21</v>
      </c>
      <c r="D511" s="444">
        <v>8</v>
      </c>
      <c r="E511" s="444" t="s">
        <v>287</v>
      </c>
      <c r="F511" s="445" t="s">
        <v>50</v>
      </c>
      <c r="G511" s="446">
        <v>0.72916666666666552</v>
      </c>
      <c r="H511" s="445" t="s">
        <v>230</v>
      </c>
      <c r="I511" s="444">
        <v>73</v>
      </c>
      <c r="J511" s="445" t="s">
        <v>80</v>
      </c>
      <c r="K511" s="447">
        <v>72.19</v>
      </c>
      <c r="L511" s="448">
        <v>4.45</v>
      </c>
      <c r="M511" s="444">
        <v>111</v>
      </c>
      <c r="N511" s="444">
        <v>8</v>
      </c>
      <c r="O511" s="447">
        <v>16.222471910112358</v>
      </c>
      <c r="P511" s="449">
        <v>-9.2534312879793426</v>
      </c>
      <c r="Q511" s="447">
        <v>9.0237499999999997</v>
      </c>
      <c r="R511" s="447">
        <v>0.65036036036036038</v>
      </c>
      <c r="S511" s="450">
        <v>13.875</v>
      </c>
      <c r="T511" s="450">
        <v>1.797752808988764</v>
      </c>
      <c r="U511" s="240">
        <v>4</v>
      </c>
      <c r="V511" s="451">
        <v>2.3177083333333334E-2</v>
      </c>
      <c r="W511" s="450" t="s">
        <v>176</v>
      </c>
      <c r="X511" s="447">
        <v>16.333148531440958</v>
      </c>
      <c r="Y511" s="447">
        <v>-0.11067662132860079</v>
      </c>
      <c r="Z511" s="452">
        <v>62.084111111111099</v>
      </c>
      <c r="AA511" s="58">
        <f t="shared" ca="1" si="19"/>
        <v>68.132499999999993</v>
      </c>
      <c r="AB511" s="453">
        <f ca="1">Table29[[#This Row],[Earnings]]-Table29[[#This Row],[4-Week Average]]</f>
        <v>4.0575000000000045</v>
      </c>
    </row>
    <row r="512" spans="1:28" x14ac:dyDescent="0.35">
      <c r="A512" s="436">
        <v>45439</v>
      </c>
      <c r="B512" s="435">
        <v>2024</v>
      </c>
      <c r="C512" s="435">
        <v>22</v>
      </c>
      <c r="D512" s="435">
        <v>9</v>
      </c>
      <c r="E512" s="435" t="s">
        <v>287</v>
      </c>
      <c r="F512" s="436" t="s">
        <v>46</v>
      </c>
      <c r="G512" s="437">
        <v>0.70833333333333226</v>
      </c>
      <c r="H512" s="436" t="s">
        <v>249</v>
      </c>
      <c r="I512" s="435">
        <v>75</v>
      </c>
      <c r="J512" s="436" t="s">
        <v>174</v>
      </c>
      <c r="K512" s="438">
        <v>93.49</v>
      </c>
      <c r="L512" s="439">
        <v>6.37</v>
      </c>
      <c r="M512" s="435">
        <v>172</v>
      </c>
      <c r="N512" s="435">
        <v>10</v>
      </c>
      <c r="O512" s="438">
        <v>14.676609105180532</v>
      </c>
      <c r="P512" s="440">
        <v>-5.8597545311831034</v>
      </c>
      <c r="Q512" s="438">
        <v>9.3490000000000002</v>
      </c>
      <c r="R512" s="438">
        <v>0.5435465116279069</v>
      </c>
      <c r="S512" s="441">
        <v>17.2</v>
      </c>
      <c r="T512" s="441">
        <v>1.5698587127158556</v>
      </c>
      <c r="U512" s="239">
        <v>4</v>
      </c>
      <c r="V512" s="442">
        <v>2.6541666666666668E-2</v>
      </c>
      <c r="W512" s="441" t="s">
        <v>175</v>
      </c>
      <c r="X512" s="438">
        <v>18.734097495073303</v>
      </c>
      <c r="Y512" s="438">
        <v>-4.0574883898927716</v>
      </c>
      <c r="Z512" s="443">
        <v>61.738999999999983</v>
      </c>
      <c r="AA512" s="58">
        <f t="shared" ca="1" si="19"/>
        <v>86.004999999999995</v>
      </c>
      <c r="AB512" s="453">
        <f ca="1">Table29[[#This Row],[Earnings]]-Table29[[#This Row],[4-Week Average]]</f>
        <v>7.4849999999999994</v>
      </c>
    </row>
    <row r="513" spans="1:28" x14ac:dyDescent="0.35">
      <c r="A513" s="445">
        <v>45440</v>
      </c>
      <c r="B513" s="444">
        <v>2024</v>
      </c>
      <c r="C513" s="444">
        <v>22</v>
      </c>
      <c r="D513" s="444">
        <v>9</v>
      </c>
      <c r="E513" s="444" t="s">
        <v>287</v>
      </c>
      <c r="F513" s="445" t="s">
        <v>47</v>
      </c>
      <c r="G513" s="446">
        <v>0.70833333333333226</v>
      </c>
      <c r="H513" s="445" t="s">
        <v>249</v>
      </c>
      <c r="I513" s="444">
        <v>75</v>
      </c>
      <c r="J513" s="445" t="s">
        <v>80</v>
      </c>
      <c r="K513" s="447">
        <v>121.22</v>
      </c>
      <c r="L513" s="448">
        <v>6.1</v>
      </c>
      <c r="M513" s="444">
        <v>164</v>
      </c>
      <c r="N513" s="444">
        <v>11</v>
      </c>
      <c r="O513" s="447">
        <v>19.872131147540983</v>
      </c>
      <c r="P513" s="449">
        <v>-1.2675200744731825</v>
      </c>
      <c r="Q513" s="447">
        <v>11.02</v>
      </c>
      <c r="R513" s="447">
        <v>0.73914634146341462</v>
      </c>
      <c r="S513" s="450">
        <v>14.909090909090908</v>
      </c>
      <c r="T513" s="450">
        <v>1.8032786885245902</v>
      </c>
      <c r="U513" s="240">
        <v>5</v>
      </c>
      <c r="V513" s="451">
        <v>2.3106060606060606E-2</v>
      </c>
      <c r="W513" s="450" t="s">
        <v>176</v>
      </c>
      <c r="X513" s="447">
        <v>20.188057605643003</v>
      </c>
      <c r="Y513" s="447">
        <v>-0.31592645810201958</v>
      </c>
      <c r="Z513" s="452">
        <v>62.281666666666652</v>
      </c>
      <c r="AA513" s="58">
        <f t="shared" ca="1" si="19"/>
        <v>89.960000000000008</v>
      </c>
      <c r="AB513" s="453">
        <f ca="1">Table29[[#This Row],[Earnings]]-Table29[[#This Row],[4-Week Average]]</f>
        <v>31.259999999999991</v>
      </c>
    </row>
    <row r="514" spans="1:28" x14ac:dyDescent="0.35">
      <c r="A514" s="436">
        <v>45441</v>
      </c>
      <c r="B514" s="435">
        <v>2024</v>
      </c>
      <c r="C514" s="435">
        <v>22</v>
      </c>
      <c r="D514" s="435">
        <v>9</v>
      </c>
      <c r="E514" s="435" t="s">
        <v>287</v>
      </c>
      <c r="F514" s="436" t="s">
        <v>48</v>
      </c>
      <c r="G514" s="437">
        <v>0.74999999999999889</v>
      </c>
      <c r="H514" s="436" t="s">
        <v>230</v>
      </c>
      <c r="I514" s="435">
        <v>72</v>
      </c>
      <c r="J514" s="436" t="s">
        <v>80</v>
      </c>
      <c r="K514" s="438">
        <v>48.230000000000004</v>
      </c>
      <c r="L514" s="439">
        <v>2.97</v>
      </c>
      <c r="M514" s="435">
        <v>58</v>
      </c>
      <c r="N514" s="435">
        <v>7</v>
      </c>
      <c r="O514" s="438">
        <v>16.239057239057239</v>
      </c>
      <c r="P514" s="440">
        <v>-8.1495203006349826</v>
      </c>
      <c r="Q514" s="438">
        <v>6.8900000000000006</v>
      </c>
      <c r="R514" s="438">
        <v>0.8315517241379311</v>
      </c>
      <c r="S514" s="441">
        <v>8.2857142857142865</v>
      </c>
      <c r="T514" s="441">
        <v>2.3569023569023568</v>
      </c>
      <c r="U514" s="239">
        <v>2</v>
      </c>
      <c r="V514" s="442">
        <v>1.7678571428571429E-2</v>
      </c>
      <c r="W514" s="441" t="s">
        <v>176</v>
      </c>
      <c r="X514" s="438">
        <v>21.882177824775361</v>
      </c>
      <c r="Y514" s="438">
        <v>-5.6431205857181226</v>
      </c>
      <c r="Z514" s="443">
        <v>62.817555555555536</v>
      </c>
      <c r="AA514" s="58">
        <f t="shared" ca="1" si="19"/>
        <v>83.782499999999999</v>
      </c>
      <c r="AB514" s="453">
        <f ca="1">Table29[[#This Row],[Earnings]]-Table29[[#This Row],[4-Week Average]]</f>
        <v>-35.552499999999995</v>
      </c>
    </row>
    <row r="515" spans="1:28" x14ac:dyDescent="0.35">
      <c r="A515" s="445">
        <v>45442</v>
      </c>
      <c r="B515" s="444">
        <v>2024</v>
      </c>
      <c r="C515" s="444">
        <v>22</v>
      </c>
      <c r="D515" s="444">
        <v>9</v>
      </c>
      <c r="E515" s="444" t="s">
        <v>287</v>
      </c>
      <c r="F515" s="445" t="s">
        <v>49</v>
      </c>
      <c r="G515" s="446">
        <v>0.74999999999999889</v>
      </c>
      <c r="H515" s="445" t="s">
        <v>281</v>
      </c>
      <c r="I515" s="444">
        <v>64</v>
      </c>
      <c r="J515" s="445" t="s">
        <v>80</v>
      </c>
      <c r="K515" s="447">
        <v>155.93000000000004</v>
      </c>
      <c r="L515" s="448">
        <v>5.53</v>
      </c>
      <c r="M515" s="444">
        <v>127</v>
      </c>
      <c r="N515" s="444">
        <v>11</v>
      </c>
      <c r="O515" s="447">
        <v>28.197106690777581</v>
      </c>
      <c r="P515" s="449">
        <v>5.0510943109906208</v>
      </c>
      <c r="Q515" s="447">
        <v>14.175454545454549</v>
      </c>
      <c r="R515" s="447">
        <v>1.2277952755905515</v>
      </c>
      <c r="S515" s="450">
        <v>11.545454545454545</v>
      </c>
      <c r="T515" s="450">
        <v>1.9891500904159132</v>
      </c>
      <c r="U515" s="240">
        <v>4</v>
      </c>
      <c r="V515" s="451">
        <v>2.09469696969697E-2</v>
      </c>
      <c r="W515" s="450" t="s">
        <v>176</v>
      </c>
      <c r="X515" s="447">
        <v>23.93154089725601</v>
      </c>
      <c r="Y515" s="447">
        <v>4.2655657935215707</v>
      </c>
      <c r="Z515" s="452">
        <v>63.604111111111088</v>
      </c>
      <c r="AA515" s="58">
        <f t="shared" ca="1" si="19"/>
        <v>104.7175</v>
      </c>
      <c r="AB515" s="453">
        <f ca="1">Table29[[#This Row],[Earnings]]-Table29[[#This Row],[4-Week Average]]</f>
        <v>51.212500000000034</v>
      </c>
    </row>
    <row r="516" spans="1:28" x14ac:dyDescent="0.35">
      <c r="A516" s="436">
        <v>45443</v>
      </c>
      <c r="B516" s="435">
        <v>2024</v>
      </c>
      <c r="C516" s="435">
        <v>22</v>
      </c>
      <c r="D516" s="435">
        <v>9</v>
      </c>
      <c r="E516" s="435" t="s">
        <v>287</v>
      </c>
      <c r="F516" s="436" t="s">
        <v>50</v>
      </c>
      <c r="G516" s="437">
        <v>0.74999999999999889</v>
      </c>
      <c r="H516" s="436" t="s">
        <v>230</v>
      </c>
      <c r="I516" s="435">
        <v>70</v>
      </c>
      <c r="J516" s="436" t="s">
        <v>80</v>
      </c>
      <c r="K516" s="438">
        <v>131.13</v>
      </c>
      <c r="L516" s="439">
        <v>5.9</v>
      </c>
      <c r="M516" s="435">
        <v>126</v>
      </c>
      <c r="N516" s="435">
        <v>13</v>
      </c>
      <c r="O516" s="438">
        <v>22.225423728813556</v>
      </c>
      <c r="P516" s="440">
        <v>-2.5386770625105015</v>
      </c>
      <c r="Q516" s="438">
        <v>10.086923076923076</v>
      </c>
      <c r="R516" s="438">
        <v>1.0407142857142857</v>
      </c>
      <c r="S516" s="441">
        <v>9.6923076923076916</v>
      </c>
      <c r="T516" s="441">
        <v>2.2033898305084745</v>
      </c>
      <c r="U516" s="239">
        <v>3</v>
      </c>
      <c r="V516" s="442">
        <v>1.8910256410256412E-2</v>
      </c>
      <c r="W516" s="441" t="s">
        <v>176</v>
      </c>
      <c r="X516" s="438">
        <v>22.313396922264502</v>
      </c>
      <c r="Y516" s="438">
        <v>-8.7973193450945786E-2</v>
      </c>
      <c r="Z516" s="443">
        <v>63.626222222222211</v>
      </c>
      <c r="AA516" s="58">
        <f t="shared" ref="AA516:AA579" ca="1" si="20">AVERAGE(OFFSET(K516,-3,0,4,1))</f>
        <v>114.1275</v>
      </c>
      <c r="AB516" s="453">
        <f ca="1">Table29[[#This Row],[Earnings]]-Table29[[#This Row],[4-Week Average]]</f>
        <v>17.002499999999998</v>
      </c>
    </row>
    <row r="517" spans="1:28" x14ac:dyDescent="0.35">
      <c r="A517" s="445">
        <v>45444</v>
      </c>
      <c r="B517" s="444">
        <v>2024</v>
      </c>
      <c r="C517" s="444">
        <v>22</v>
      </c>
      <c r="D517" s="444">
        <v>9</v>
      </c>
      <c r="E517" s="444" t="s">
        <v>287</v>
      </c>
      <c r="F517" s="445" t="s">
        <v>51</v>
      </c>
      <c r="G517" s="446">
        <v>0.66666666666666563</v>
      </c>
      <c r="H517" s="445" t="s">
        <v>249</v>
      </c>
      <c r="I517" s="444">
        <v>63</v>
      </c>
      <c r="J517" s="445" t="s">
        <v>85</v>
      </c>
      <c r="K517" s="447">
        <v>152.71999999999997</v>
      </c>
      <c r="L517" s="448">
        <v>5.05</v>
      </c>
      <c r="M517" s="444">
        <v>142</v>
      </c>
      <c r="N517" s="444">
        <v>8</v>
      </c>
      <c r="O517" s="447">
        <v>30.241584158415836</v>
      </c>
      <c r="P517" s="449">
        <v>11.921616194701969</v>
      </c>
      <c r="Q517" s="447">
        <v>19.089999999999996</v>
      </c>
      <c r="R517" s="447">
        <v>1.0754929577464787</v>
      </c>
      <c r="S517" s="450">
        <v>17.75</v>
      </c>
      <c r="T517" s="450">
        <v>1.5841584158415842</v>
      </c>
      <c r="U517" s="240">
        <v>2</v>
      </c>
      <c r="V517" s="451">
        <v>2.6302083333333334E-2</v>
      </c>
      <c r="W517" s="450" t="s">
        <v>176</v>
      </c>
      <c r="X517" s="447">
        <v>26.586309320587226</v>
      </c>
      <c r="Y517" s="447">
        <v>3.6552748378286104</v>
      </c>
      <c r="Z517" s="452">
        <v>64.441333333333304</v>
      </c>
      <c r="AA517" s="58">
        <f t="shared" ca="1" si="20"/>
        <v>122.0025</v>
      </c>
      <c r="AB517" s="453">
        <f ca="1">Table29[[#This Row],[Earnings]]-Table29[[#This Row],[4-Week Average]]</f>
        <v>30.717499999999973</v>
      </c>
    </row>
    <row r="518" spans="1:28" x14ac:dyDescent="0.35">
      <c r="A518" s="436">
        <v>45445</v>
      </c>
      <c r="B518" s="435">
        <v>2024</v>
      </c>
      <c r="C518" s="435">
        <v>22</v>
      </c>
      <c r="D518" s="435">
        <v>9</v>
      </c>
      <c r="E518" s="435" t="s">
        <v>287</v>
      </c>
      <c r="F518" s="436" t="s">
        <v>45</v>
      </c>
      <c r="G518" s="437">
        <v>0.74999999999999889</v>
      </c>
      <c r="H518" s="436" t="s">
        <v>230</v>
      </c>
      <c r="I518" s="435">
        <v>77</v>
      </c>
      <c r="J518" s="436" t="s">
        <v>82</v>
      </c>
      <c r="K518" s="438">
        <v>94.56</v>
      </c>
      <c r="L518" s="439">
        <v>5.25</v>
      </c>
      <c r="M518" s="435">
        <v>93</v>
      </c>
      <c r="N518" s="435">
        <v>12</v>
      </c>
      <c r="O518" s="438">
        <v>18.011428571428571</v>
      </c>
      <c r="P518" s="440">
        <v>1.7509022556390974</v>
      </c>
      <c r="Q518" s="438">
        <v>7.88</v>
      </c>
      <c r="R518" s="438">
        <v>1.0167741935483872</v>
      </c>
      <c r="S518" s="441">
        <v>7.75</v>
      </c>
      <c r="T518" s="441">
        <v>2.2857142857142856</v>
      </c>
      <c r="U518" s="239">
        <v>2</v>
      </c>
      <c r="V518" s="442">
        <v>1.8229166666666668E-2</v>
      </c>
      <c r="W518" s="441" t="s">
        <v>176</v>
      </c>
      <c r="X518" s="438">
        <v>18.334880952380949</v>
      </c>
      <c r="Y518" s="438">
        <v>-0.3234523809523786</v>
      </c>
      <c r="Z518" s="443">
        <v>65.491999999999976</v>
      </c>
      <c r="AA518" s="58">
        <f t="shared" ca="1" si="20"/>
        <v>133.58500000000001</v>
      </c>
      <c r="AB518" s="453">
        <f ca="1">Table29[[#This Row],[Earnings]]-Table29[[#This Row],[4-Week Average]]</f>
        <v>-39.025000000000006</v>
      </c>
    </row>
    <row r="519" spans="1:28" x14ac:dyDescent="0.35">
      <c r="A519" s="445">
        <v>45446</v>
      </c>
      <c r="B519" s="444">
        <v>2024</v>
      </c>
      <c r="C519" s="444">
        <v>23</v>
      </c>
      <c r="D519" s="444">
        <v>10</v>
      </c>
      <c r="E519" s="444" t="s">
        <v>287</v>
      </c>
      <c r="F519" s="445" t="s">
        <v>46</v>
      </c>
      <c r="G519" s="446">
        <v>0.72916666666666552</v>
      </c>
      <c r="H519" s="445" t="s">
        <v>230</v>
      </c>
      <c r="I519" s="444">
        <v>70</v>
      </c>
      <c r="J519" s="445" t="s">
        <v>80</v>
      </c>
      <c r="K519" s="447">
        <v>96</v>
      </c>
      <c r="L519" s="448">
        <v>5.33</v>
      </c>
      <c r="M519" s="444">
        <v>139</v>
      </c>
      <c r="N519" s="444">
        <v>10</v>
      </c>
      <c r="O519" s="447">
        <v>18.011257035647279</v>
      </c>
      <c r="P519" s="449">
        <v>-2.1995748884299999</v>
      </c>
      <c r="Q519" s="447">
        <v>9.6</v>
      </c>
      <c r="R519" s="447">
        <v>0.69064748201438853</v>
      </c>
      <c r="S519" s="450">
        <v>13.9</v>
      </c>
      <c r="T519" s="450">
        <v>1.876172607879925</v>
      </c>
      <c r="U519" s="240">
        <v>1</v>
      </c>
      <c r="V519" s="451">
        <v>2.2208333333333333E-2</v>
      </c>
      <c r="W519" s="450" t="s">
        <v>176</v>
      </c>
      <c r="X519" s="447">
        <v>22.182309988289532</v>
      </c>
      <c r="Y519" s="447">
        <v>-4.1710529526422526</v>
      </c>
      <c r="Z519" s="452">
        <v>65.832888888888874</v>
      </c>
      <c r="AA519" s="58">
        <f t="shared" ca="1" si="20"/>
        <v>118.60249999999999</v>
      </c>
      <c r="AB519" s="453">
        <f ca="1">Table29[[#This Row],[Earnings]]-Table29[[#This Row],[4-Week Average]]</f>
        <v>-22.602499999999992</v>
      </c>
    </row>
    <row r="520" spans="1:28" x14ac:dyDescent="0.35">
      <c r="A520" s="436">
        <v>45447</v>
      </c>
      <c r="B520" s="435">
        <v>2024</v>
      </c>
      <c r="C520" s="435">
        <v>23</v>
      </c>
      <c r="D520" s="435">
        <v>10</v>
      </c>
      <c r="E520" s="435" t="s">
        <v>287</v>
      </c>
      <c r="F520" s="436" t="s">
        <v>47</v>
      </c>
      <c r="G520" s="437">
        <v>0.72916666666666552</v>
      </c>
      <c r="H520" s="436" t="s">
        <v>230</v>
      </c>
      <c r="I520" s="435">
        <v>70</v>
      </c>
      <c r="J520" s="436" t="s">
        <v>80</v>
      </c>
      <c r="K520" s="438">
        <v>104.53999999999999</v>
      </c>
      <c r="L520" s="439">
        <v>4.2300000000000004</v>
      </c>
      <c r="M520" s="435">
        <v>120</v>
      </c>
      <c r="N520" s="435">
        <v>10</v>
      </c>
      <c r="O520" s="438">
        <v>24.71394799054373</v>
      </c>
      <c r="P520" s="440">
        <v>3.7010487759768793</v>
      </c>
      <c r="Q520" s="438">
        <v>10.453999999999999</v>
      </c>
      <c r="R520" s="438">
        <v>0.87116666666666664</v>
      </c>
      <c r="S520" s="441">
        <v>12</v>
      </c>
      <c r="T520" s="441">
        <v>2.3640661938534278</v>
      </c>
      <c r="U520" s="239">
        <v>2</v>
      </c>
      <c r="V520" s="442">
        <v>1.7625000000000002E-2</v>
      </c>
      <c r="W520" s="441" t="s">
        <v>176</v>
      </c>
      <c r="X520" s="438">
        <v>25.132141780506764</v>
      </c>
      <c r="Y520" s="438">
        <v>-0.41819378996303413</v>
      </c>
      <c r="Z520" s="443">
        <v>66.99444444444444</v>
      </c>
      <c r="AA520" s="58">
        <f t="shared" ca="1" si="20"/>
        <v>111.95499999999998</v>
      </c>
      <c r="AB520" s="453">
        <f ca="1">Table29[[#This Row],[Earnings]]-Table29[[#This Row],[4-Week Average]]</f>
        <v>-7.414999999999992</v>
      </c>
    </row>
    <row r="521" spans="1:28" x14ac:dyDescent="0.35">
      <c r="A521" s="445">
        <v>45448</v>
      </c>
      <c r="B521" s="444">
        <v>2024</v>
      </c>
      <c r="C521" s="444">
        <v>23</v>
      </c>
      <c r="D521" s="444">
        <v>10</v>
      </c>
      <c r="E521" s="444" t="s">
        <v>287</v>
      </c>
      <c r="F521" s="445" t="s">
        <v>48</v>
      </c>
      <c r="G521" s="446">
        <v>0.72916666666666552</v>
      </c>
      <c r="H521" s="445" t="s">
        <v>249</v>
      </c>
      <c r="I521" s="444">
        <v>70</v>
      </c>
      <c r="J521" s="445" t="s">
        <v>85</v>
      </c>
      <c r="K521" s="447">
        <v>113.09</v>
      </c>
      <c r="L521" s="448">
        <v>5.6</v>
      </c>
      <c r="M521" s="444">
        <v>121</v>
      </c>
      <c r="N521" s="444">
        <v>13</v>
      </c>
      <c r="O521" s="447">
        <v>20.19464285714286</v>
      </c>
      <c r="P521" s="449">
        <v>1.69114996425618</v>
      </c>
      <c r="Q521" s="447">
        <v>8.6992307692307698</v>
      </c>
      <c r="R521" s="447">
        <v>0.93462809917355372</v>
      </c>
      <c r="S521" s="450">
        <v>9.3076923076923084</v>
      </c>
      <c r="T521" s="450">
        <v>2.3214285714285716</v>
      </c>
      <c r="U521" s="240">
        <v>3</v>
      </c>
      <c r="V521" s="451">
        <v>1.7948717948717947E-2</v>
      </c>
      <c r="W521" s="450" t="s">
        <v>176</v>
      </c>
      <c r="X521" s="447">
        <v>18.692679503627101</v>
      </c>
      <c r="Y521" s="447">
        <v>1.5019633535157588</v>
      </c>
      <c r="Z521" s="452">
        <v>68.250999999999991</v>
      </c>
      <c r="AA521" s="58">
        <f t="shared" ca="1" si="20"/>
        <v>102.04750000000001</v>
      </c>
      <c r="AB521" s="453">
        <f ca="1">Table29[[#This Row],[Earnings]]-Table29[[#This Row],[4-Week Average]]</f>
        <v>11.04249999999999</v>
      </c>
    </row>
    <row r="522" spans="1:28" x14ac:dyDescent="0.35">
      <c r="A522" s="436">
        <v>45449</v>
      </c>
      <c r="B522" s="435">
        <v>2024</v>
      </c>
      <c r="C522" s="435">
        <v>23</v>
      </c>
      <c r="D522" s="435">
        <v>10</v>
      </c>
      <c r="E522" s="435" t="s">
        <v>287</v>
      </c>
      <c r="F522" s="436" t="s">
        <v>49</v>
      </c>
      <c r="G522" s="437">
        <v>0.70833333333333226</v>
      </c>
      <c r="H522" s="436" t="s">
        <v>276</v>
      </c>
      <c r="I522" s="435">
        <v>59</v>
      </c>
      <c r="J522" s="436" t="s">
        <v>85</v>
      </c>
      <c r="K522" s="438">
        <v>139.02000000000001</v>
      </c>
      <c r="L522" s="439">
        <v>6.13</v>
      </c>
      <c r="M522" s="435">
        <v>119</v>
      </c>
      <c r="N522" s="435">
        <v>10</v>
      </c>
      <c r="O522" s="438">
        <v>22.678629690048943</v>
      </c>
      <c r="P522" s="440">
        <v>5.5503525441247383</v>
      </c>
      <c r="Q522" s="438">
        <v>13.902000000000001</v>
      </c>
      <c r="R522" s="438">
        <v>1.168235294117647</v>
      </c>
      <c r="S522" s="441">
        <v>11.9</v>
      </c>
      <c r="T522" s="441">
        <v>1.6313213703099512</v>
      </c>
      <c r="U522" s="239">
        <v>1</v>
      </c>
      <c r="V522" s="442">
        <v>2.5541666666666667E-2</v>
      </c>
      <c r="W522" s="441" t="s">
        <v>176</v>
      </c>
      <c r="X522" s="438">
        <v>27.094757647407121</v>
      </c>
      <c r="Y522" s="438">
        <v>-4.416127957358178</v>
      </c>
      <c r="Z522" s="443">
        <v>69.795666666666662</v>
      </c>
      <c r="AA522" s="58">
        <f t="shared" ca="1" si="20"/>
        <v>113.16249999999999</v>
      </c>
      <c r="AB522" s="453">
        <f ca="1">Table29[[#This Row],[Earnings]]-Table29[[#This Row],[4-Week Average]]</f>
        <v>25.857500000000016</v>
      </c>
    </row>
    <row r="523" spans="1:28" x14ac:dyDescent="0.35">
      <c r="A523" s="445">
        <v>45450</v>
      </c>
      <c r="B523" s="444">
        <v>2024</v>
      </c>
      <c r="C523" s="444">
        <v>23</v>
      </c>
      <c r="D523" s="444">
        <v>10</v>
      </c>
      <c r="E523" s="444" t="s">
        <v>287</v>
      </c>
      <c r="F523" s="445" t="s">
        <v>50</v>
      </c>
      <c r="G523" s="446">
        <v>0.74999999999999889</v>
      </c>
      <c r="H523" s="445" t="s">
        <v>249</v>
      </c>
      <c r="I523" s="444">
        <v>64</v>
      </c>
      <c r="J523" s="445" t="s">
        <v>80</v>
      </c>
      <c r="K523" s="447">
        <v>143.56</v>
      </c>
      <c r="L523" s="448">
        <v>6.08</v>
      </c>
      <c r="M523" s="444">
        <v>165</v>
      </c>
      <c r="N523" s="444">
        <v>13</v>
      </c>
      <c r="O523" s="447">
        <v>23.611842105263158</v>
      </c>
      <c r="P523" s="449">
        <v>-0.97092461016729104</v>
      </c>
      <c r="Q523" s="447">
        <v>11.043076923076923</v>
      </c>
      <c r="R523" s="447">
        <v>0.87006060606060609</v>
      </c>
      <c r="S523" s="450">
        <v>12.692307692307692</v>
      </c>
      <c r="T523" s="450">
        <v>2.138157894736842</v>
      </c>
      <c r="U523" s="240">
        <v>2</v>
      </c>
      <c r="V523" s="451">
        <v>1.9487179487179488E-2</v>
      </c>
      <c r="W523" s="450" t="s">
        <v>176</v>
      </c>
      <c r="X523" s="447">
        <v>20.101809097414456</v>
      </c>
      <c r="Y523" s="447">
        <v>3.5100330078487012</v>
      </c>
      <c r="Z523" s="452">
        <v>68.926111111111112</v>
      </c>
      <c r="AA523" s="58">
        <f t="shared" ca="1" si="20"/>
        <v>125.05249999999999</v>
      </c>
      <c r="AB523" s="453">
        <f ca="1">Table29[[#This Row],[Earnings]]-Table29[[#This Row],[4-Week Average]]</f>
        <v>18.507500000000007</v>
      </c>
    </row>
    <row r="524" spans="1:28" x14ac:dyDescent="0.35">
      <c r="A524" s="436">
        <v>45451</v>
      </c>
      <c r="B524" s="435">
        <v>2024</v>
      </c>
      <c r="C524" s="435">
        <v>23</v>
      </c>
      <c r="D524" s="435">
        <v>10</v>
      </c>
      <c r="E524" s="435" t="s">
        <v>287</v>
      </c>
      <c r="F524" s="436" t="s">
        <v>51</v>
      </c>
      <c r="G524" s="437">
        <v>0.60416666666666574</v>
      </c>
      <c r="H524" s="436" t="s">
        <v>230</v>
      </c>
      <c r="I524" s="435">
        <v>66</v>
      </c>
      <c r="J524" s="436" t="s">
        <v>80</v>
      </c>
      <c r="K524" s="438">
        <v>136.09</v>
      </c>
      <c r="L524" s="439">
        <v>7.35</v>
      </c>
      <c r="M524" s="435">
        <v>153</v>
      </c>
      <c r="N524" s="435">
        <v>17</v>
      </c>
      <c r="O524" s="438">
        <v>18.515646258503402</v>
      </c>
      <c r="P524" s="440">
        <v>-7.6924470502662601</v>
      </c>
      <c r="Q524" s="438">
        <v>8.0052941176470593</v>
      </c>
      <c r="R524" s="438">
        <v>0.88947712418300651</v>
      </c>
      <c r="S524" s="441">
        <v>9</v>
      </c>
      <c r="T524" s="441">
        <v>2.3129251700680271</v>
      </c>
      <c r="U524" s="239">
        <v>4</v>
      </c>
      <c r="V524" s="442">
        <v>1.801470588235294E-2</v>
      </c>
      <c r="W524" s="441" t="s">
        <v>175</v>
      </c>
      <c r="X524" s="438">
        <v>20.809749427409155</v>
      </c>
      <c r="Y524" s="438">
        <v>-2.2941031689057532</v>
      </c>
      <c r="Z524" s="443">
        <v>70.438222222222223</v>
      </c>
      <c r="AA524" s="58">
        <f t="shared" ca="1" si="20"/>
        <v>132.94</v>
      </c>
      <c r="AB524" s="453">
        <f ca="1">Table29[[#This Row],[Earnings]]-Table29[[#This Row],[4-Week Average]]</f>
        <v>3.1500000000000057</v>
      </c>
    </row>
    <row r="525" spans="1:28" x14ac:dyDescent="0.35">
      <c r="A525" s="445">
        <v>45452</v>
      </c>
      <c r="B525" s="444">
        <v>2024</v>
      </c>
      <c r="C525" s="444">
        <v>23</v>
      </c>
      <c r="D525" s="444">
        <v>10</v>
      </c>
      <c r="E525" s="444" t="s">
        <v>287</v>
      </c>
      <c r="F525" s="445" t="s">
        <v>45</v>
      </c>
      <c r="G525" s="446">
        <v>0.66666666666666563</v>
      </c>
      <c r="H525" s="445" t="s">
        <v>249</v>
      </c>
      <c r="I525" s="444">
        <v>61</v>
      </c>
      <c r="J525" s="445" t="s">
        <v>85</v>
      </c>
      <c r="K525" s="447">
        <v>174.07</v>
      </c>
      <c r="L525" s="448">
        <v>6.62</v>
      </c>
      <c r="M525" s="444">
        <v>155</v>
      </c>
      <c r="N525" s="444">
        <v>13</v>
      </c>
      <c r="O525" s="447">
        <v>26.294561933534741</v>
      </c>
      <c r="P525" s="449">
        <v>4.2948626154786673</v>
      </c>
      <c r="Q525" s="447">
        <v>13.389999999999999</v>
      </c>
      <c r="R525" s="447">
        <v>1.123032258064516</v>
      </c>
      <c r="S525" s="450">
        <v>11.923076923076923</v>
      </c>
      <c r="T525" s="450">
        <v>1.9637462235649545</v>
      </c>
      <c r="U525" s="240">
        <v>2</v>
      </c>
      <c r="V525" s="451">
        <v>2.1217948717948718E-2</v>
      </c>
      <c r="W525" s="450" t="s">
        <v>176</v>
      </c>
      <c r="X525" s="447">
        <v>26.294561933534741</v>
      </c>
      <c r="Y525" s="447">
        <v>0</v>
      </c>
      <c r="Z525" s="452">
        <v>71.298000000000002</v>
      </c>
      <c r="AA525" s="58">
        <f t="shared" ca="1" si="20"/>
        <v>148.185</v>
      </c>
      <c r="AB525" s="453">
        <f ca="1">Table29[[#This Row],[Earnings]]-Table29[[#This Row],[4-Week Average]]</f>
        <v>25.884999999999991</v>
      </c>
    </row>
    <row r="526" spans="1:28" x14ac:dyDescent="0.35">
      <c r="A526" s="436">
        <v>45453</v>
      </c>
      <c r="B526" s="435">
        <v>2024</v>
      </c>
      <c r="C526" s="435">
        <v>24</v>
      </c>
      <c r="D526" s="435">
        <v>11</v>
      </c>
      <c r="E526" s="435" t="s">
        <v>287</v>
      </c>
      <c r="F526" s="436" t="s">
        <v>46</v>
      </c>
      <c r="G526" s="437">
        <v>0.72916666666666552</v>
      </c>
      <c r="H526" s="436" t="s">
        <v>230</v>
      </c>
      <c r="I526" s="435">
        <v>68</v>
      </c>
      <c r="J526" s="436" t="s">
        <v>85</v>
      </c>
      <c r="K526" s="438">
        <v>130.76999999999998</v>
      </c>
      <c r="L526" s="439">
        <v>5.16</v>
      </c>
      <c r="M526" s="435">
        <v>111</v>
      </c>
      <c r="N526" s="435">
        <v>8</v>
      </c>
      <c r="O526" s="438">
        <v>25.34302325581395</v>
      </c>
      <c r="P526" s="440">
        <v>5.5938170956170765</v>
      </c>
      <c r="Q526" s="438">
        <v>16.346249999999998</v>
      </c>
      <c r="R526" s="438">
        <v>1.178108108108108</v>
      </c>
      <c r="S526" s="441">
        <v>13.875</v>
      </c>
      <c r="T526" s="441">
        <v>1.5503875968992247</v>
      </c>
      <c r="U526" s="239">
        <v>4</v>
      </c>
      <c r="V526" s="442">
        <v>2.6875E-2</v>
      </c>
      <c r="W526" s="441" t="s">
        <v>176</v>
      </c>
      <c r="X526" s="438">
        <v>18.7884790163058</v>
      </c>
      <c r="Y526" s="438">
        <v>6.5545442395081501</v>
      </c>
      <c r="Z526" s="443">
        <v>72.751000000000005</v>
      </c>
      <c r="AA526" s="58">
        <f t="shared" ca="1" si="20"/>
        <v>146.1225</v>
      </c>
      <c r="AB526" s="453">
        <f ca="1">Table29[[#This Row],[Earnings]]-Table29[[#This Row],[4-Week Average]]</f>
        <v>-15.35250000000002</v>
      </c>
    </row>
    <row r="527" spans="1:28" x14ac:dyDescent="0.35">
      <c r="A527" s="445">
        <v>45454</v>
      </c>
      <c r="B527" s="444">
        <v>2024</v>
      </c>
      <c r="C527" s="444">
        <v>24</v>
      </c>
      <c r="D527" s="444">
        <v>11</v>
      </c>
      <c r="E527" s="444" t="s">
        <v>287</v>
      </c>
      <c r="F527" s="445" t="s">
        <v>47</v>
      </c>
      <c r="G527" s="446">
        <v>0.77083333333333215</v>
      </c>
      <c r="H527" s="445" t="s">
        <v>231</v>
      </c>
      <c r="I527" s="444">
        <v>70</v>
      </c>
      <c r="J527" s="445" t="s">
        <v>80</v>
      </c>
      <c r="K527" s="447">
        <v>100.4</v>
      </c>
      <c r="L527" s="448">
        <v>5.12</v>
      </c>
      <c r="M527" s="444">
        <v>124</v>
      </c>
      <c r="N527" s="444">
        <v>9</v>
      </c>
      <c r="O527" s="447">
        <v>19.609375</v>
      </c>
      <c r="P527" s="449">
        <v>-1.7399831942011126</v>
      </c>
      <c r="Q527" s="447">
        <v>11.155555555555557</v>
      </c>
      <c r="R527" s="447">
        <v>0.80967741935483872</v>
      </c>
      <c r="S527" s="450">
        <v>13.777777777777779</v>
      </c>
      <c r="T527" s="450">
        <v>1.7578125</v>
      </c>
      <c r="U527" s="240">
        <v>3</v>
      </c>
      <c r="V527" s="451">
        <v>2.3703703703703703E-2</v>
      </c>
      <c r="W527" s="450" t="s">
        <v>176</v>
      </c>
      <c r="X527" s="447">
        <v>22.483161614441418</v>
      </c>
      <c r="Y527" s="447">
        <v>-2.8737866144414177</v>
      </c>
      <c r="Z527" s="452">
        <v>72.594111111111104</v>
      </c>
      <c r="AA527" s="58">
        <f t="shared" ca="1" si="20"/>
        <v>135.33249999999998</v>
      </c>
      <c r="AB527" s="453">
        <f ca="1">Table29[[#This Row],[Earnings]]-Table29[[#This Row],[4-Week Average]]</f>
        <v>-34.932499999999976</v>
      </c>
    </row>
    <row r="528" spans="1:28" x14ac:dyDescent="0.35">
      <c r="A528" s="436">
        <v>45455</v>
      </c>
      <c r="B528" s="435">
        <v>2024</v>
      </c>
      <c r="C528" s="435">
        <v>24</v>
      </c>
      <c r="D528" s="435">
        <v>11</v>
      </c>
      <c r="E528" s="435" t="s">
        <v>287</v>
      </c>
      <c r="F528" s="436" t="s">
        <v>48</v>
      </c>
      <c r="G528" s="437">
        <v>0.72916666666666552</v>
      </c>
      <c r="H528" s="436" t="s">
        <v>231</v>
      </c>
      <c r="I528" s="435">
        <v>64</v>
      </c>
      <c r="J528" s="436" t="s">
        <v>80</v>
      </c>
      <c r="K528" s="438">
        <v>104.98</v>
      </c>
      <c r="L528" s="439">
        <v>5.72</v>
      </c>
      <c r="M528" s="435">
        <v>104</v>
      </c>
      <c r="N528" s="435">
        <v>12</v>
      </c>
      <c r="O528" s="438">
        <v>18.353146853146853</v>
      </c>
      <c r="P528" s="440">
        <v>-5.1299284309192608</v>
      </c>
      <c r="Q528" s="438">
        <v>8.7483333333333331</v>
      </c>
      <c r="R528" s="438">
        <v>1.009423076923077</v>
      </c>
      <c r="S528" s="441">
        <v>8.6666666666666661</v>
      </c>
      <c r="T528" s="441">
        <v>2.0979020979020979</v>
      </c>
      <c r="U528" s="239">
        <v>1</v>
      </c>
      <c r="V528" s="442">
        <v>1.9861111111111111E-2</v>
      </c>
      <c r="W528" s="441" t="s">
        <v>176</v>
      </c>
      <c r="X528" s="438">
        <v>18.353146853146853</v>
      </c>
      <c r="Y528" s="438">
        <v>0</v>
      </c>
      <c r="Z528" s="443">
        <v>72.916111111111093</v>
      </c>
      <c r="AA528" s="58">
        <f t="shared" ca="1" si="20"/>
        <v>127.55500000000001</v>
      </c>
      <c r="AB528" s="453">
        <f ca="1">Table29[[#This Row],[Earnings]]-Table29[[#This Row],[4-Week Average]]</f>
        <v>-22.575000000000003</v>
      </c>
    </row>
    <row r="529" spans="1:28" x14ac:dyDescent="0.35">
      <c r="A529" s="445">
        <v>45456</v>
      </c>
      <c r="B529" s="444">
        <v>2024</v>
      </c>
      <c r="C529" s="444">
        <v>24</v>
      </c>
      <c r="D529" s="444">
        <v>11</v>
      </c>
      <c r="E529" s="444" t="s">
        <v>287</v>
      </c>
      <c r="F529" s="445" t="s">
        <v>49</v>
      </c>
      <c r="G529" s="446">
        <v>0.70833333333333226</v>
      </c>
      <c r="H529" s="445" t="s">
        <v>230</v>
      </c>
      <c r="I529" s="444">
        <v>73</v>
      </c>
      <c r="J529" s="445" t="s">
        <v>80</v>
      </c>
      <c r="K529" s="447">
        <v>134</v>
      </c>
      <c r="L529" s="448">
        <v>5.8</v>
      </c>
      <c r="M529" s="444">
        <v>123</v>
      </c>
      <c r="N529" s="444">
        <v>14</v>
      </c>
      <c r="O529" s="447">
        <v>23.103448275862071</v>
      </c>
      <c r="P529" s="449">
        <v>-0.40335655470993359</v>
      </c>
      <c r="Q529" s="447">
        <v>9.5714285714285712</v>
      </c>
      <c r="R529" s="447">
        <v>1.089430894308943</v>
      </c>
      <c r="S529" s="450">
        <v>8.7857142857142865</v>
      </c>
      <c r="T529" s="450">
        <v>2.4137931034482758</v>
      </c>
      <c r="U529" s="240">
        <v>3</v>
      </c>
      <c r="V529" s="451">
        <v>1.726190476190476E-2</v>
      </c>
      <c r="W529" s="450" t="s">
        <v>176</v>
      </c>
      <c r="X529" s="447">
        <v>20.552091321007818</v>
      </c>
      <c r="Y529" s="447">
        <v>2.5513569548542527</v>
      </c>
      <c r="Z529" s="452">
        <v>73.393333333333331</v>
      </c>
      <c r="AA529" s="58">
        <f t="shared" ca="1" si="20"/>
        <v>117.53749999999999</v>
      </c>
      <c r="AB529" s="453">
        <f ca="1">Table29[[#This Row],[Earnings]]-Table29[[#This Row],[4-Week Average]]</f>
        <v>16.462500000000006</v>
      </c>
    </row>
    <row r="530" spans="1:28" x14ac:dyDescent="0.35">
      <c r="A530" s="436">
        <v>45457</v>
      </c>
      <c r="B530" s="435">
        <v>2024</v>
      </c>
      <c r="C530" s="435">
        <v>24</v>
      </c>
      <c r="D530" s="435">
        <v>11</v>
      </c>
      <c r="E530" s="435" t="s">
        <v>287</v>
      </c>
      <c r="F530" s="436" t="s">
        <v>50</v>
      </c>
      <c r="G530" s="437">
        <v>0.72916666666666552</v>
      </c>
      <c r="H530" s="436" t="s">
        <v>245</v>
      </c>
      <c r="I530" s="435">
        <v>79</v>
      </c>
      <c r="J530" s="436" t="s">
        <v>80</v>
      </c>
      <c r="K530" s="438">
        <v>206.79</v>
      </c>
      <c r="L530" s="439">
        <v>7.62</v>
      </c>
      <c r="M530" s="435">
        <v>185</v>
      </c>
      <c r="N530" s="435">
        <v>17</v>
      </c>
      <c r="O530" s="438">
        <v>27.137795275590548</v>
      </c>
      <c r="P530" s="440">
        <v>2.6197568675045844</v>
      </c>
      <c r="Q530" s="438">
        <v>12.164117647058823</v>
      </c>
      <c r="R530" s="438">
        <v>1.1177837837837838</v>
      </c>
      <c r="S530" s="441">
        <v>10.882352941176471</v>
      </c>
      <c r="T530" s="441">
        <v>2.2309711286089238</v>
      </c>
      <c r="U530" s="239">
        <v>4</v>
      </c>
      <c r="V530" s="442">
        <v>1.8676470588235294E-2</v>
      </c>
      <c r="W530" s="441" t="s">
        <v>176</v>
      </c>
      <c r="X530" s="438">
        <v>23.104506448136657</v>
      </c>
      <c r="Y530" s="438">
        <v>4.0332888274538909</v>
      </c>
      <c r="Z530" s="443">
        <v>74.756</v>
      </c>
      <c r="AA530" s="58">
        <f t="shared" ca="1" si="20"/>
        <v>136.54249999999999</v>
      </c>
      <c r="AB530" s="453">
        <f ca="1">Table29[[#This Row],[Earnings]]-Table29[[#This Row],[4-Week Average]]</f>
        <v>70.247500000000002</v>
      </c>
    </row>
    <row r="531" spans="1:28" x14ac:dyDescent="0.35">
      <c r="A531" s="445">
        <v>45458</v>
      </c>
      <c r="B531" s="444">
        <v>2024</v>
      </c>
      <c r="C531" s="444">
        <v>24</v>
      </c>
      <c r="D531" s="444">
        <v>11</v>
      </c>
      <c r="E531" s="444" t="s">
        <v>287</v>
      </c>
      <c r="F531" s="445" t="s">
        <v>51</v>
      </c>
      <c r="G531" s="446">
        <v>0.68749999999999889</v>
      </c>
      <c r="H531" s="445" t="s">
        <v>230</v>
      </c>
      <c r="I531" s="444">
        <v>66</v>
      </c>
      <c r="J531" s="445" t="s">
        <v>80</v>
      </c>
      <c r="K531" s="447">
        <v>142.88</v>
      </c>
      <c r="L531" s="448">
        <v>5.93</v>
      </c>
      <c r="M531" s="444">
        <v>174</v>
      </c>
      <c r="N531" s="444">
        <v>11</v>
      </c>
      <c r="O531" s="447">
        <v>24.094435075885329</v>
      </c>
      <c r="P531" s="449">
        <v>-1.5641977292938876</v>
      </c>
      <c r="Q531" s="447">
        <v>12.989090909090908</v>
      </c>
      <c r="R531" s="447">
        <v>0.82114942528735635</v>
      </c>
      <c r="S531" s="450">
        <v>15.818181818181818</v>
      </c>
      <c r="T531" s="450">
        <v>1.854974704890388</v>
      </c>
      <c r="U531" s="240">
        <v>3</v>
      </c>
      <c r="V531" s="451">
        <v>2.2462121212121211E-2</v>
      </c>
      <c r="W531" s="450" t="s">
        <v>175</v>
      </c>
      <c r="X531" s="447">
        <v>22.337827564977648</v>
      </c>
      <c r="Y531" s="447">
        <v>1.7566075109076813</v>
      </c>
      <c r="Z531" s="452">
        <v>76.343555555555554</v>
      </c>
      <c r="AA531" s="58">
        <f t="shared" ca="1" si="20"/>
        <v>147.16249999999999</v>
      </c>
      <c r="AB531" s="453">
        <f ca="1">Table29[[#This Row],[Earnings]]-Table29[[#This Row],[4-Week Average]]</f>
        <v>-4.2824999999999989</v>
      </c>
    </row>
    <row r="532" spans="1:28" x14ac:dyDescent="0.35">
      <c r="A532" s="436">
        <v>45460</v>
      </c>
      <c r="B532" s="435">
        <v>2024</v>
      </c>
      <c r="C532" s="435">
        <v>25</v>
      </c>
      <c r="D532" s="435">
        <v>12</v>
      </c>
      <c r="E532" s="435" t="s">
        <v>287</v>
      </c>
      <c r="F532" s="436" t="s">
        <v>46</v>
      </c>
      <c r="G532" s="437">
        <v>0.74999999999999889</v>
      </c>
      <c r="H532" s="436" t="s">
        <v>249</v>
      </c>
      <c r="I532" s="435">
        <v>66</v>
      </c>
      <c r="J532" s="436" t="s">
        <v>85</v>
      </c>
      <c r="K532" s="438">
        <v>117.83000000000001</v>
      </c>
      <c r="L532" s="439">
        <v>5.38</v>
      </c>
      <c r="M532" s="435">
        <v>104</v>
      </c>
      <c r="N532" s="435">
        <v>11</v>
      </c>
      <c r="O532" s="438">
        <v>21.901486988847587</v>
      </c>
      <c r="P532" s="440">
        <v>0.28767513011168688</v>
      </c>
      <c r="Q532" s="438">
        <v>10.711818181818183</v>
      </c>
      <c r="R532" s="438">
        <v>1.1329807692307694</v>
      </c>
      <c r="S532" s="441">
        <v>9.454545454545455</v>
      </c>
      <c r="T532" s="441">
        <v>2.0446096654275094</v>
      </c>
      <c r="U532" s="239">
        <v>2</v>
      </c>
      <c r="V532" s="442">
        <v>2.0378787878787878E-2</v>
      </c>
      <c r="W532" s="441" t="s">
        <v>176</v>
      </c>
      <c r="X532" s="438">
        <v>19.273030658110066</v>
      </c>
      <c r="Y532" s="438">
        <v>2.6284563307375208</v>
      </c>
      <c r="Z532" s="443">
        <v>76.381222222222235</v>
      </c>
      <c r="AA532" s="58">
        <f t="shared" ca="1" si="20"/>
        <v>150.375</v>
      </c>
      <c r="AB532" s="453">
        <f ca="1">Table29[[#This Row],[Earnings]]-Table29[[#This Row],[4-Week Average]]</f>
        <v>-32.544999999999987</v>
      </c>
    </row>
    <row r="533" spans="1:28" x14ac:dyDescent="0.35">
      <c r="A533" s="445">
        <v>45461</v>
      </c>
      <c r="B533" s="444">
        <v>2024</v>
      </c>
      <c r="C533" s="444">
        <v>25</v>
      </c>
      <c r="D533" s="444">
        <v>12</v>
      </c>
      <c r="E533" s="444" t="s">
        <v>287</v>
      </c>
      <c r="F533" s="445" t="s">
        <v>47</v>
      </c>
      <c r="G533" s="446">
        <v>0.72916666666666552</v>
      </c>
      <c r="H533" s="445" t="s">
        <v>230</v>
      </c>
      <c r="I533" s="444">
        <v>84</v>
      </c>
      <c r="J533" s="445" t="s">
        <v>80</v>
      </c>
      <c r="K533" s="447">
        <v>116.97</v>
      </c>
      <c r="L533" s="448">
        <v>5.28</v>
      </c>
      <c r="M533" s="444">
        <v>122</v>
      </c>
      <c r="N533" s="444">
        <v>14</v>
      </c>
      <c r="O533" s="447">
        <v>22.15340909090909</v>
      </c>
      <c r="P533" s="449">
        <v>0.94904949622473822</v>
      </c>
      <c r="Q533" s="447">
        <v>8.3550000000000004</v>
      </c>
      <c r="R533" s="447">
        <v>0.95877049180327867</v>
      </c>
      <c r="S533" s="450">
        <v>8.7142857142857135</v>
      </c>
      <c r="T533" s="450">
        <v>2.6515151515151514</v>
      </c>
      <c r="U533" s="240">
        <v>3</v>
      </c>
      <c r="V533" s="451">
        <v>1.5714285714285715E-2</v>
      </c>
      <c r="W533" s="450" t="s">
        <v>176</v>
      </c>
      <c r="X533" s="447">
        <v>22.15340909090909</v>
      </c>
      <c r="Y533" s="447">
        <v>0</v>
      </c>
      <c r="Z533" s="452">
        <v>77.680888888888902</v>
      </c>
      <c r="AA533" s="58">
        <f t="shared" ca="1" si="20"/>
        <v>146.11750000000001</v>
      </c>
      <c r="AB533" s="453">
        <f ca="1">Table29[[#This Row],[Earnings]]-Table29[[#This Row],[4-Week Average]]</f>
        <v>-29.147500000000008</v>
      </c>
    </row>
    <row r="534" spans="1:28" x14ac:dyDescent="0.35">
      <c r="A534" s="436">
        <v>45462</v>
      </c>
      <c r="B534" s="435">
        <v>2024</v>
      </c>
      <c r="C534" s="435">
        <v>25</v>
      </c>
      <c r="D534" s="435">
        <v>12</v>
      </c>
      <c r="E534" s="435" t="s">
        <v>287</v>
      </c>
      <c r="F534" s="436" t="s">
        <v>48</v>
      </c>
      <c r="G534" s="437">
        <v>0.72916666666666552</v>
      </c>
      <c r="H534" s="436" t="s">
        <v>230</v>
      </c>
      <c r="I534" s="435">
        <v>82</v>
      </c>
      <c r="J534" s="436" t="s">
        <v>80</v>
      </c>
      <c r="K534" s="438">
        <v>138.86000000000001</v>
      </c>
      <c r="L534" s="439">
        <v>5.85</v>
      </c>
      <c r="M534" s="435">
        <v>122</v>
      </c>
      <c r="N534" s="435">
        <v>12</v>
      </c>
      <c r="O534" s="438">
        <v>23.736752136752141</v>
      </c>
      <c r="P534" s="440">
        <v>0.76666969577795285</v>
      </c>
      <c r="Q534" s="438">
        <v>11.571666666666667</v>
      </c>
      <c r="R534" s="438">
        <v>1.1381967213114754</v>
      </c>
      <c r="S534" s="441">
        <v>10.166666666666666</v>
      </c>
      <c r="T534" s="441">
        <v>2.0512820512820515</v>
      </c>
      <c r="U534" s="239">
        <v>2</v>
      </c>
      <c r="V534" s="442">
        <v>2.0312500000000001E-2</v>
      </c>
      <c r="W534" s="441" t="s">
        <v>176</v>
      </c>
      <c r="X534" s="438">
        <v>23.736752136752141</v>
      </c>
      <c r="Y534" s="438">
        <v>0</v>
      </c>
      <c r="Z534" s="443">
        <v>79.223777777777798</v>
      </c>
      <c r="AA534" s="58">
        <f t="shared" ca="1" si="20"/>
        <v>129.13500000000002</v>
      </c>
      <c r="AB534" s="453">
        <f ca="1">Table29[[#This Row],[Earnings]]-Table29[[#This Row],[4-Week Average]]</f>
        <v>9.7249999999999943</v>
      </c>
    </row>
    <row r="535" spans="1:28" x14ac:dyDescent="0.35">
      <c r="A535" s="445">
        <v>45463</v>
      </c>
      <c r="B535" s="444">
        <v>2024</v>
      </c>
      <c r="C535" s="444">
        <v>25</v>
      </c>
      <c r="D535" s="444">
        <v>12</v>
      </c>
      <c r="E535" s="444" t="s">
        <v>287</v>
      </c>
      <c r="F535" s="445" t="s">
        <v>49</v>
      </c>
      <c r="G535" s="446">
        <v>0.70833333333333226</v>
      </c>
      <c r="H535" s="445" t="s">
        <v>304</v>
      </c>
      <c r="I535" s="444">
        <v>82</v>
      </c>
      <c r="J535" s="445" t="s">
        <v>80</v>
      </c>
      <c r="K535" s="447">
        <v>142.94</v>
      </c>
      <c r="L535" s="448">
        <v>5.55</v>
      </c>
      <c r="M535" s="444">
        <v>102</v>
      </c>
      <c r="N535" s="444">
        <v>12</v>
      </c>
      <c r="O535" s="447">
        <v>25.754954954954954</v>
      </c>
      <c r="P535" s="449">
        <v>2.2750405613636104</v>
      </c>
      <c r="Q535" s="447">
        <v>11.911666666666667</v>
      </c>
      <c r="R535" s="447">
        <v>1.4013725490196078</v>
      </c>
      <c r="S535" s="450">
        <v>8.5</v>
      </c>
      <c r="T535" s="450">
        <v>2.1621621621621623</v>
      </c>
      <c r="U535" s="240">
        <v>2</v>
      </c>
      <c r="V535" s="451">
        <v>1.9270833333333331E-2</v>
      </c>
      <c r="W535" s="450" t="s">
        <v>176</v>
      </c>
      <c r="X535" s="447">
        <v>19.1731951408422</v>
      </c>
      <c r="Y535" s="447">
        <v>6.581759814112754</v>
      </c>
      <c r="Z535" s="452">
        <v>80.812000000000012</v>
      </c>
      <c r="AA535" s="58">
        <f t="shared" ca="1" si="20"/>
        <v>129.15</v>
      </c>
      <c r="AB535" s="453">
        <f ca="1">Table29[[#This Row],[Earnings]]-Table29[[#This Row],[4-Week Average]]</f>
        <v>13.789999999999992</v>
      </c>
    </row>
    <row r="536" spans="1:28" x14ac:dyDescent="0.35">
      <c r="A536" s="436">
        <v>45464</v>
      </c>
      <c r="B536" s="435">
        <v>2024</v>
      </c>
      <c r="C536" s="435">
        <v>25</v>
      </c>
      <c r="D536" s="435">
        <v>12</v>
      </c>
      <c r="E536" s="435" t="s">
        <v>287</v>
      </c>
      <c r="F536" s="436" t="s">
        <v>50</v>
      </c>
      <c r="G536" s="437">
        <v>0.70833333333333226</v>
      </c>
      <c r="H536" s="436" t="s">
        <v>231</v>
      </c>
      <c r="I536" s="435">
        <v>75</v>
      </c>
      <c r="J536" s="436" t="s">
        <v>80</v>
      </c>
      <c r="K536" s="438">
        <v>113.5</v>
      </c>
      <c r="L536" s="439">
        <v>4.7699999999999996</v>
      </c>
      <c r="M536" s="435">
        <v>117</v>
      </c>
      <c r="N536" s="435">
        <v>11</v>
      </c>
      <c r="O536" s="438">
        <v>23.794549266247383</v>
      </c>
      <c r="P536" s="440">
        <v>-0.88722394605762034</v>
      </c>
      <c r="Q536" s="438">
        <v>10.318181818181818</v>
      </c>
      <c r="R536" s="438">
        <v>0.97008547008547008</v>
      </c>
      <c r="S536" s="441">
        <v>10.636363636363637</v>
      </c>
      <c r="T536" s="441">
        <v>2.3060796645702308</v>
      </c>
      <c r="U536" s="239">
        <v>3</v>
      </c>
      <c r="V536" s="442">
        <v>1.8068181818181817E-2</v>
      </c>
      <c r="W536" s="441" t="s">
        <v>176</v>
      </c>
      <c r="X536" s="438">
        <v>23.794549266247383</v>
      </c>
      <c r="Y536" s="438">
        <v>0</v>
      </c>
      <c r="Z536" s="443">
        <v>82.073111111111118</v>
      </c>
      <c r="AA536" s="58">
        <f t="shared" ca="1" si="20"/>
        <v>128.0675</v>
      </c>
      <c r="AB536" s="453">
        <f ca="1">Table29[[#This Row],[Earnings]]-Table29[[#This Row],[4-Week Average]]</f>
        <v>-14.567499999999995</v>
      </c>
    </row>
    <row r="537" spans="1:28" x14ac:dyDescent="0.35">
      <c r="A537" s="445">
        <v>45466</v>
      </c>
      <c r="B537" s="444">
        <v>2024</v>
      </c>
      <c r="C537" s="444">
        <v>25</v>
      </c>
      <c r="D537" s="444">
        <v>12</v>
      </c>
      <c r="E537" s="444" t="s">
        <v>287</v>
      </c>
      <c r="F537" s="445" t="s">
        <v>45</v>
      </c>
      <c r="G537" s="446">
        <v>0.58333333333333237</v>
      </c>
      <c r="H537" s="445" t="s">
        <v>249</v>
      </c>
      <c r="I537" s="444">
        <v>79</v>
      </c>
      <c r="J537" s="445" t="s">
        <v>85</v>
      </c>
      <c r="K537" s="447">
        <v>88.88</v>
      </c>
      <c r="L537" s="448">
        <v>5.18</v>
      </c>
      <c r="M537" s="444">
        <v>95</v>
      </c>
      <c r="N537" s="444">
        <v>8</v>
      </c>
      <c r="O537" s="447">
        <v>17.158301158301157</v>
      </c>
      <c r="P537" s="449">
        <v>-5.4549499619661539</v>
      </c>
      <c r="Q537" s="447">
        <v>11.11</v>
      </c>
      <c r="R537" s="447">
        <v>0.93557894736842095</v>
      </c>
      <c r="S537" s="450">
        <v>11.875</v>
      </c>
      <c r="T537" s="450">
        <v>1.5444015444015444</v>
      </c>
      <c r="U537" s="240">
        <v>2</v>
      </c>
      <c r="V537" s="451">
        <v>2.6979166666666665E-2</v>
      </c>
      <c r="W537" s="450" t="s">
        <v>176</v>
      </c>
      <c r="X537" s="447">
        <v>24.167933971299817</v>
      </c>
      <c r="Y537" s="447">
        <v>-7.0096328129986603</v>
      </c>
      <c r="Z537" s="452">
        <v>81.927555555555571</v>
      </c>
      <c r="AA537" s="58">
        <f t="shared" ca="1" si="20"/>
        <v>121.045</v>
      </c>
      <c r="AB537" s="453">
        <f ca="1">Table29[[#This Row],[Earnings]]-Table29[[#This Row],[4-Week Average]]</f>
        <v>-32.165000000000006</v>
      </c>
    </row>
    <row r="538" spans="1:28" x14ac:dyDescent="0.35">
      <c r="A538" s="436">
        <v>45474</v>
      </c>
      <c r="B538" s="435">
        <v>2024</v>
      </c>
      <c r="C538" s="435">
        <v>27</v>
      </c>
      <c r="D538" s="435">
        <v>1</v>
      </c>
      <c r="E538" s="435" t="s">
        <v>305</v>
      </c>
      <c r="F538" s="436" t="s">
        <v>46</v>
      </c>
      <c r="G538" s="437">
        <v>0.74999999999999889</v>
      </c>
      <c r="H538" s="436" t="s">
        <v>281</v>
      </c>
      <c r="I538" s="435">
        <v>79</v>
      </c>
      <c r="J538" s="436" t="s">
        <v>82</v>
      </c>
      <c r="K538" s="438">
        <v>116.5</v>
      </c>
      <c r="L538" s="439">
        <v>5.0199999999999996</v>
      </c>
      <c r="M538" s="435">
        <v>92</v>
      </c>
      <c r="N538" s="435">
        <v>14</v>
      </c>
      <c r="O538" s="438">
        <v>23.207171314741039</v>
      </c>
      <c r="P538" s="440">
        <v>13.451998900947936</v>
      </c>
      <c r="Q538" s="438">
        <v>8.3214285714285712</v>
      </c>
      <c r="R538" s="438">
        <v>1.2663043478260869</v>
      </c>
      <c r="S538" s="441">
        <v>6.5714285714285712</v>
      </c>
      <c r="T538" s="441">
        <v>2.7888446215139444</v>
      </c>
      <c r="U538" s="239">
        <v>3</v>
      </c>
      <c r="V538" s="442">
        <v>1.494047619047619E-2</v>
      </c>
      <c r="W538" s="441" t="s">
        <v>176</v>
      </c>
      <c r="X538" s="438">
        <v>29.873712776014589</v>
      </c>
      <c r="Y538" s="438">
        <v>-6.6665414612735496</v>
      </c>
      <c r="Z538" s="443">
        <v>77.64422222222224</v>
      </c>
      <c r="AA538" s="58">
        <f t="shared" ca="1" si="20"/>
        <v>115.455</v>
      </c>
      <c r="AB538" s="453">
        <f ca="1">Table29[[#This Row],[Earnings]]-Table29[[#This Row],[4-Week Average]]</f>
        <v>1.0450000000000017</v>
      </c>
    </row>
    <row r="539" spans="1:28" x14ac:dyDescent="0.35">
      <c r="A539" s="445">
        <v>45475</v>
      </c>
      <c r="B539" s="444">
        <v>2024</v>
      </c>
      <c r="C539" s="444">
        <v>27</v>
      </c>
      <c r="D539" s="444">
        <v>1</v>
      </c>
      <c r="E539" s="444" t="s">
        <v>305</v>
      </c>
      <c r="F539" s="445" t="s">
        <v>47</v>
      </c>
      <c r="G539" s="446">
        <v>0.72916666666666552</v>
      </c>
      <c r="H539" s="445" t="s">
        <v>230</v>
      </c>
      <c r="I539" s="444">
        <v>77</v>
      </c>
      <c r="J539" s="445" t="s">
        <v>85</v>
      </c>
      <c r="K539" s="447">
        <v>153.74</v>
      </c>
      <c r="L539" s="448">
        <v>5.48</v>
      </c>
      <c r="M539" s="444">
        <v>104</v>
      </c>
      <c r="N539" s="444">
        <v>12</v>
      </c>
      <c r="O539" s="447">
        <v>28.054744525547445</v>
      </c>
      <c r="P539" s="449">
        <v>6.1198246120592472</v>
      </c>
      <c r="Q539" s="447">
        <v>12.811666666666667</v>
      </c>
      <c r="R539" s="447">
        <v>1.4782692307692309</v>
      </c>
      <c r="S539" s="450">
        <v>8.6666666666666661</v>
      </c>
      <c r="T539" s="450">
        <v>2.1897810218978102</v>
      </c>
      <c r="U539" s="240">
        <v>2</v>
      </c>
      <c r="V539" s="451">
        <v>1.9027777777777779E-2</v>
      </c>
      <c r="W539" s="450" t="s">
        <v>176</v>
      </c>
      <c r="X539" s="447">
        <v>20.191072811871479</v>
      </c>
      <c r="Y539" s="447">
        <v>7.8636717136759664</v>
      </c>
      <c r="Z539" s="452">
        <v>78.927444444444461</v>
      </c>
      <c r="AA539" s="58">
        <f t="shared" ca="1" si="20"/>
        <v>118.155</v>
      </c>
      <c r="AB539" s="453">
        <f ca="1">Table29[[#This Row],[Earnings]]-Table29[[#This Row],[4-Week Average]]</f>
        <v>35.585000000000008</v>
      </c>
    </row>
    <row r="540" spans="1:28" x14ac:dyDescent="0.35">
      <c r="A540" s="436">
        <v>45476</v>
      </c>
      <c r="B540" s="435">
        <v>2024</v>
      </c>
      <c r="C540" s="435">
        <v>27</v>
      </c>
      <c r="D540" s="435">
        <v>1</v>
      </c>
      <c r="E540" s="435" t="s">
        <v>305</v>
      </c>
      <c r="F540" s="436" t="s">
        <v>48</v>
      </c>
      <c r="G540" s="437">
        <v>0.72916666666666552</v>
      </c>
      <c r="H540" s="436" t="s">
        <v>230</v>
      </c>
      <c r="I540" s="435">
        <v>75</v>
      </c>
      <c r="J540" s="436" t="s">
        <v>80</v>
      </c>
      <c r="K540" s="438">
        <v>130.79</v>
      </c>
      <c r="L540" s="439">
        <v>5.3</v>
      </c>
      <c r="M540" s="435">
        <v>109</v>
      </c>
      <c r="N540" s="435">
        <v>14</v>
      </c>
      <c r="O540" s="438">
        <v>24.677358490566036</v>
      </c>
      <c r="P540" s="440">
        <v>0.45724338779966089</v>
      </c>
      <c r="Q540" s="438">
        <v>9.3421428571428571</v>
      </c>
      <c r="R540" s="438">
        <v>1.1999082568807338</v>
      </c>
      <c r="S540" s="441">
        <v>7.7857142857142856</v>
      </c>
      <c r="T540" s="441">
        <v>2.6415094339622645</v>
      </c>
      <c r="U540" s="239">
        <v>2</v>
      </c>
      <c r="V540" s="442">
        <v>1.5773809523809523E-2</v>
      </c>
      <c r="W540" s="441" t="s">
        <v>176</v>
      </c>
      <c r="X540" s="438">
        <v>28.967873876155501</v>
      </c>
      <c r="Y540" s="438">
        <v>-4.2905153855894653</v>
      </c>
      <c r="Z540" s="443">
        <v>80.380666666666684</v>
      </c>
      <c r="AA540" s="58">
        <f t="shared" ca="1" si="20"/>
        <v>122.47749999999999</v>
      </c>
      <c r="AB540" s="453">
        <f ca="1">Table29[[#This Row],[Earnings]]-Table29[[#This Row],[4-Week Average]]</f>
        <v>8.3125</v>
      </c>
    </row>
    <row r="541" spans="1:28" x14ac:dyDescent="0.35">
      <c r="A541" s="445">
        <v>45477</v>
      </c>
      <c r="B541" s="444">
        <v>2024</v>
      </c>
      <c r="C541" s="444">
        <v>27</v>
      </c>
      <c r="D541" s="444">
        <v>1</v>
      </c>
      <c r="E541" s="444" t="s">
        <v>305</v>
      </c>
      <c r="F541" s="445" t="s">
        <v>49</v>
      </c>
      <c r="G541" s="446">
        <v>0.68749999999999889</v>
      </c>
      <c r="H541" s="445" t="s">
        <v>230</v>
      </c>
      <c r="I541" s="444">
        <v>68</v>
      </c>
      <c r="J541" s="445" t="s">
        <v>85</v>
      </c>
      <c r="K541" s="447">
        <v>165.93</v>
      </c>
      <c r="L541" s="448">
        <v>5.98</v>
      </c>
      <c r="M541" s="444">
        <v>131</v>
      </c>
      <c r="N541" s="444">
        <v>10</v>
      </c>
      <c r="O541" s="447">
        <v>27.747491638795985</v>
      </c>
      <c r="P541" s="449">
        <v>6.5636682880259549</v>
      </c>
      <c r="Q541" s="447">
        <v>16.593</v>
      </c>
      <c r="R541" s="447">
        <v>1.2666412213740459</v>
      </c>
      <c r="S541" s="450">
        <v>13.1</v>
      </c>
      <c r="T541" s="450">
        <v>1.6722408026755851</v>
      </c>
      <c r="U541" s="240">
        <v>2</v>
      </c>
      <c r="V541" s="451">
        <v>2.491666666666667E-2</v>
      </c>
      <c r="W541" s="450" t="s">
        <v>176</v>
      </c>
      <c r="X541" s="447">
        <v>25.47052001294638</v>
      </c>
      <c r="Y541" s="447">
        <v>2.2769716258496047</v>
      </c>
      <c r="Z541" s="452">
        <v>79.721555555555554</v>
      </c>
      <c r="AA541" s="58">
        <f t="shared" ca="1" si="20"/>
        <v>141.74</v>
      </c>
      <c r="AB541" s="453">
        <f ca="1">Table29[[#This Row],[Earnings]]-Table29[[#This Row],[4-Week Average]]</f>
        <v>24.189999999999998</v>
      </c>
    </row>
    <row r="542" spans="1:28" x14ac:dyDescent="0.35">
      <c r="A542" s="436">
        <v>45482</v>
      </c>
      <c r="B542" s="435">
        <v>2024</v>
      </c>
      <c r="C542" s="435">
        <v>28</v>
      </c>
      <c r="D542" s="435">
        <v>2</v>
      </c>
      <c r="E542" s="435" t="s">
        <v>305</v>
      </c>
      <c r="F542" s="436" t="s">
        <v>47</v>
      </c>
      <c r="G542" s="437">
        <v>0.72916666666666552</v>
      </c>
      <c r="H542" s="436" t="s">
        <v>230</v>
      </c>
      <c r="I542" s="435">
        <v>79</v>
      </c>
      <c r="J542" s="436" t="s">
        <v>85</v>
      </c>
      <c r="K542" s="438">
        <v>28</v>
      </c>
      <c r="L542" s="439">
        <v>2.2799999999999998</v>
      </c>
      <c r="M542" s="435">
        <v>62</v>
      </c>
      <c r="N542" s="435">
        <v>3</v>
      </c>
      <c r="O542" s="438">
        <v>12.280701754385966</v>
      </c>
      <c r="P542" s="440">
        <v>-10.528478817967837</v>
      </c>
      <c r="Q542" s="438">
        <v>9.3333333333333339</v>
      </c>
      <c r="R542" s="438">
        <v>0.45161290322580644</v>
      </c>
      <c r="S542" s="441">
        <v>20.666666666666668</v>
      </c>
      <c r="T542" s="441">
        <v>1.3157894736842106</v>
      </c>
      <c r="U542" s="239">
        <v>2</v>
      </c>
      <c r="V542" s="442">
        <v>3.1666666666666662E-2</v>
      </c>
      <c r="W542" s="441" t="s">
        <v>176</v>
      </c>
      <c r="X542" s="438">
        <v>15.352241121095423</v>
      </c>
      <c r="Y542" s="438">
        <v>-3.071539366709457</v>
      </c>
      <c r="Z542" s="443">
        <v>77.135333333333321</v>
      </c>
      <c r="AA542" s="58">
        <f t="shared" ca="1" si="20"/>
        <v>119.61499999999999</v>
      </c>
      <c r="AB542" s="453">
        <f ca="1">Table29[[#This Row],[Earnings]]-Table29[[#This Row],[4-Week Average]]</f>
        <v>-91.614999999999995</v>
      </c>
    </row>
    <row r="543" spans="1:28" x14ac:dyDescent="0.35">
      <c r="A543" s="445">
        <v>45484</v>
      </c>
      <c r="B543" s="444">
        <v>2024</v>
      </c>
      <c r="C543" s="444">
        <v>28</v>
      </c>
      <c r="D543" s="444">
        <v>2</v>
      </c>
      <c r="E543" s="444" t="s">
        <v>305</v>
      </c>
      <c r="F543" s="445" t="s">
        <v>49</v>
      </c>
      <c r="G543" s="446">
        <v>0.74999999999999889</v>
      </c>
      <c r="H543" s="445" t="s">
        <v>249</v>
      </c>
      <c r="I543" s="444">
        <v>81</v>
      </c>
      <c r="J543" s="445" t="s">
        <v>80</v>
      </c>
      <c r="K543" s="447">
        <v>13.39</v>
      </c>
      <c r="L543" s="448">
        <v>0.6</v>
      </c>
      <c r="M543" s="444">
        <v>19</v>
      </c>
      <c r="N543" s="444">
        <v>1</v>
      </c>
      <c r="O543" s="447">
        <v>22.31666666666667</v>
      </c>
      <c r="P543" s="449">
        <v>3.2166799415903391</v>
      </c>
      <c r="Q543" s="447">
        <v>13.39</v>
      </c>
      <c r="R543" s="447">
        <v>0.70473684210526322</v>
      </c>
      <c r="S543" s="450">
        <v>19</v>
      </c>
      <c r="T543" s="450">
        <v>1.6666666666666667</v>
      </c>
      <c r="U543" s="240">
        <v>1</v>
      </c>
      <c r="V543" s="451">
        <v>2.4999999999999998E-2</v>
      </c>
      <c r="W543" s="450" t="s">
        <v>176</v>
      </c>
      <c r="X543" s="447">
        <v>24.976515151515155</v>
      </c>
      <c r="Y543" s="447">
        <v>-2.6598484848484851</v>
      </c>
      <c r="Z543" s="452">
        <v>75.306333333333328</v>
      </c>
      <c r="AA543" s="58">
        <f t="shared" ca="1" si="20"/>
        <v>84.527500000000003</v>
      </c>
      <c r="AB543" s="453">
        <f ca="1">Table29[[#This Row],[Earnings]]-Table29[[#This Row],[4-Week Average]]</f>
        <v>-71.137500000000003</v>
      </c>
    </row>
    <row r="544" spans="1:28" x14ac:dyDescent="0.35">
      <c r="A544" s="436">
        <v>45485</v>
      </c>
      <c r="B544" s="435">
        <v>2024</v>
      </c>
      <c r="C544" s="435">
        <v>28</v>
      </c>
      <c r="D544" s="435">
        <v>2</v>
      </c>
      <c r="E544" s="435" t="s">
        <v>305</v>
      </c>
      <c r="F544" s="436" t="s">
        <v>50</v>
      </c>
      <c r="G544" s="437">
        <v>0.72916666666666552</v>
      </c>
      <c r="H544" s="436" t="s">
        <v>249</v>
      </c>
      <c r="I544" s="435">
        <v>81</v>
      </c>
      <c r="J544" s="436" t="s">
        <v>85</v>
      </c>
      <c r="K544" s="438">
        <v>127.66</v>
      </c>
      <c r="L544" s="439">
        <v>6.28</v>
      </c>
      <c r="M544" s="435">
        <v>134</v>
      </c>
      <c r="N544" s="435">
        <v>12</v>
      </c>
      <c r="O544" s="438">
        <v>20.328025477707005</v>
      </c>
      <c r="P544" s="440">
        <v>-1.0624901271508378</v>
      </c>
      <c r="Q544" s="438">
        <v>10.638333333333334</v>
      </c>
      <c r="R544" s="438">
        <v>0.9526865671641791</v>
      </c>
      <c r="S544" s="441">
        <v>11.166666666666666</v>
      </c>
      <c r="T544" s="441">
        <v>1.910828025477707</v>
      </c>
      <c r="U544" s="239">
        <v>3</v>
      </c>
      <c r="V544" s="442">
        <v>2.1805555555555554E-2</v>
      </c>
      <c r="W544" s="441" t="s">
        <v>176</v>
      </c>
      <c r="X544" s="438">
        <v>19.758050348801941</v>
      </c>
      <c r="Y544" s="438">
        <v>0.56997512890506385</v>
      </c>
      <c r="Z544" s="443">
        <v>75.894222222222211</v>
      </c>
      <c r="AA544" s="58">
        <f t="shared" ca="1" si="20"/>
        <v>83.745000000000005</v>
      </c>
      <c r="AB544" s="453">
        <f ca="1">Table29[[#This Row],[Earnings]]-Table29[[#This Row],[4-Week Average]]</f>
        <v>43.914999999999992</v>
      </c>
    </row>
    <row r="545" spans="1:28" x14ac:dyDescent="0.35">
      <c r="A545" s="445">
        <v>45488</v>
      </c>
      <c r="B545" s="444">
        <v>2024</v>
      </c>
      <c r="C545" s="444">
        <v>29</v>
      </c>
      <c r="D545" s="444">
        <v>3</v>
      </c>
      <c r="E545" s="444" t="s">
        <v>305</v>
      </c>
      <c r="F545" s="445" t="s">
        <v>46</v>
      </c>
      <c r="G545" s="446">
        <v>0.70833333333333226</v>
      </c>
      <c r="H545" s="445" t="s">
        <v>230</v>
      </c>
      <c r="I545" s="444">
        <v>79</v>
      </c>
      <c r="J545" s="445" t="s">
        <v>85</v>
      </c>
      <c r="K545" s="447">
        <v>119.68</v>
      </c>
      <c r="L545" s="448">
        <v>6.17</v>
      </c>
      <c r="M545" s="444">
        <v>136</v>
      </c>
      <c r="N545" s="444">
        <v>12</v>
      </c>
      <c r="O545" s="447">
        <v>19.397082658022693</v>
      </c>
      <c r="P545" s="449">
        <v>-1.2015121212698538</v>
      </c>
      <c r="Q545" s="447">
        <v>9.9733333333333345</v>
      </c>
      <c r="R545" s="447">
        <v>0.88</v>
      </c>
      <c r="S545" s="450">
        <v>11.333333333333334</v>
      </c>
      <c r="T545" s="450">
        <v>1.9448946515397083</v>
      </c>
      <c r="U545" s="240">
        <v>1</v>
      </c>
      <c r="V545" s="451">
        <v>2.1423611111111112E-2</v>
      </c>
      <c r="W545" s="450" t="s">
        <v>176</v>
      </c>
      <c r="X545" s="447">
        <v>26.720763551233567</v>
      </c>
      <c r="Y545" s="447">
        <v>-7.3236808932108737</v>
      </c>
      <c r="Z545" s="452">
        <v>76.209777777777774</v>
      </c>
      <c r="AA545" s="58">
        <f t="shared" ca="1" si="20"/>
        <v>72.182500000000005</v>
      </c>
      <c r="AB545" s="453">
        <f ca="1">Table29[[#This Row],[Earnings]]-Table29[[#This Row],[4-Week Average]]</f>
        <v>47.497500000000002</v>
      </c>
    </row>
    <row r="546" spans="1:28" x14ac:dyDescent="0.35">
      <c r="A546" s="436">
        <v>45489</v>
      </c>
      <c r="B546" s="435">
        <v>2024</v>
      </c>
      <c r="C546" s="435">
        <v>29</v>
      </c>
      <c r="D546" s="435">
        <v>3</v>
      </c>
      <c r="E546" s="435" t="s">
        <v>305</v>
      </c>
      <c r="F546" s="436" t="s">
        <v>47</v>
      </c>
      <c r="G546" s="437">
        <v>0.70833333333333226</v>
      </c>
      <c r="H546" s="436" t="s">
        <v>281</v>
      </c>
      <c r="I546" s="435">
        <v>82</v>
      </c>
      <c r="J546" s="436" t="s">
        <v>80</v>
      </c>
      <c r="K546" s="438">
        <v>116.21000000000001</v>
      </c>
      <c r="L546" s="439">
        <v>5</v>
      </c>
      <c r="M546" s="435">
        <v>110</v>
      </c>
      <c r="N546" s="435">
        <v>10</v>
      </c>
      <c r="O546" s="438">
        <v>23.242000000000001</v>
      </c>
      <c r="P546" s="440">
        <v>1.198140551570738</v>
      </c>
      <c r="Q546" s="438">
        <v>11.621</v>
      </c>
      <c r="R546" s="438">
        <v>1.0564545454545455</v>
      </c>
      <c r="S546" s="441">
        <v>11</v>
      </c>
      <c r="T546" s="441">
        <v>2</v>
      </c>
      <c r="U546" s="239">
        <v>2</v>
      </c>
      <c r="V546" s="442">
        <v>2.0833333333333332E-2</v>
      </c>
      <c r="W546" s="441" t="s">
        <v>176</v>
      </c>
      <c r="X546" s="438">
        <v>21.063307692307692</v>
      </c>
      <c r="Y546" s="438">
        <v>2.1786923076923088</v>
      </c>
      <c r="Z546" s="443">
        <v>76.940555555555548</v>
      </c>
      <c r="AA546" s="58">
        <f t="shared" ca="1" si="20"/>
        <v>94.235000000000014</v>
      </c>
      <c r="AB546" s="453">
        <f ca="1">Table29[[#This Row],[Earnings]]-Table29[[#This Row],[4-Week Average]]</f>
        <v>21.974999999999994</v>
      </c>
    </row>
    <row r="547" spans="1:28" x14ac:dyDescent="0.35">
      <c r="A547" s="445">
        <v>45490</v>
      </c>
      <c r="B547" s="444">
        <v>2024</v>
      </c>
      <c r="C547" s="444">
        <v>29</v>
      </c>
      <c r="D547" s="444">
        <v>3</v>
      </c>
      <c r="E547" s="444" t="s">
        <v>305</v>
      </c>
      <c r="F547" s="445" t="s">
        <v>48</v>
      </c>
      <c r="G547" s="446">
        <v>0.72916666666666552</v>
      </c>
      <c r="H547" s="445" t="s">
        <v>249</v>
      </c>
      <c r="I547" s="444">
        <v>81</v>
      </c>
      <c r="J547" s="445" t="s">
        <v>82</v>
      </c>
      <c r="K547" s="447">
        <v>58.879999999999995</v>
      </c>
      <c r="L547" s="448">
        <v>3.37</v>
      </c>
      <c r="M547" s="444">
        <v>76</v>
      </c>
      <c r="N547" s="444">
        <v>8</v>
      </c>
      <c r="O547" s="447">
        <v>17.471810089020771</v>
      </c>
      <c r="P547" s="449">
        <v>1.0293036290724515</v>
      </c>
      <c r="Q547" s="447">
        <v>7.3599999999999994</v>
      </c>
      <c r="R547" s="447">
        <v>0.77473684210526306</v>
      </c>
      <c r="S547" s="450">
        <v>9.5</v>
      </c>
      <c r="T547" s="450">
        <v>2.3738872403560829</v>
      </c>
      <c r="U547" s="240">
        <v>2</v>
      </c>
      <c r="V547" s="451">
        <v>1.7552083333333333E-2</v>
      </c>
      <c r="W547" s="450" t="s">
        <v>176</v>
      </c>
      <c r="X547" s="447">
        <v>21.177052197860014</v>
      </c>
      <c r="Y547" s="447">
        <v>-3.7052421088392435</v>
      </c>
      <c r="Z547" s="452">
        <v>77.594777777777765</v>
      </c>
      <c r="AA547" s="58">
        <f t="shared" ca="1" si="20"/>
        <v>105.6075</v>
      </c>
      <c r="AB547" s="453">
        <f ca="1">Table29[[#This Row],[Earnings]]-Table29[[#This Row],[4-Week Average]]</f>
        <v>-46.727500000000006</v>
      </c>
    </row>
    <row r="548" spans="1:28" x14ac:dyDescent="0.35">
      <c r="A548" s="436">
        <v>45491</v>
      </c>
      <c r="B548" s="435">
        <v>2024</v>
      </c>
      <c r="C548" s="435">
        <v>29</v>
      </c>
      <c r="D548" s="435">
        <v>3</v>
      </c>
      <c r="E548" s="435" t="s">
        <v>305</v>
      </c>
      <c r="F548" s="436" t="s">
        <v>49</v>
      </c>
      <c r="G548" s="437">
        <v>0.70833333333333226</v>
      </c>
      <c r="H548" s="436" t="s">
        <v>249</v>
      </c>
      <c r="I548" s="435">
        <v>81</v>
      </c>
      <c r="J548" s="436" t="s">
        <v>85</v>
      </c>
      <c r="K548" s="438">
        <v>139.69</v>
      </c>
      <c r="L548" s="439">
        <v>6.3</v>
      </c>
      <c r="M548" s="435">
        <v>146</v>
      </c>
      <c r="N548" s="435">
        <v>10</v>
      </c>
      <c r="O548" s="438">
        <v>22.173015873015874</v>
      </c>
      <c r="P548" s="440">
        <v>0.33282569344324742</v>
      </c>
      <c r="Q548" s="438">
        <v>13.968999999999999</v>
      </c>
      <c r="R548" s="438">
        <v>0.95678082191780822</v>
      </c>
      <c r="S548" s="441">
        <v>14.6</v>
      </c>
      <c r="T548" s="441">
        <v>1.5873015873015874</v>
      </c>
      <c r="U548" s="239">
        <v>3</v>
      </c>
      <c r="V548" s="442">
        <v>2.6249999999999999E-2</v>
      </c>
      <c r="W548" s="441" t="s">
        <v>176</v>
      </c>
      <c r="X548" s="438">
        <v>17.497399025616847</v>
      </c>
      <c r="Y548" s="438">
        <v>4.6756168473990272</v>
      </c>
      <c r="Z548" s="443">
        <v>78.316333333333318</v>
      </c>
      <c r="AA548" s="58">
        <f t="shared" ca="1" si="20"/>
        <v>108.61499999999999</v>
      </c>
      <c r="AB548" s="453">
        <f ca="1">Table29[[#This Row],[Earnings]]-Table29[[#This Row],[4-Week Average]]</f>
        <v>31.075000000000003</v>
      </c>
    </row>
    <row r="549" spans="1:28" x14ac:dyDescent="0.35">
      <c r="A549" s="445">
        <v>45492</v>
      </c>
      <c r="B549" s="444">
        <v>2024</v>
      </c>
      <c r="C549" s="444">
        <v>29</v>
      </c>
      <c r="D549" s="444">
        <v>3</v>
      </c>
      <c r="E549" s="444" t="s">
        <v>305</v>
      </c>
      <c r="F549" s="445" t="s">
        <v>50</v>
      </c>
      <c r="G549" s="446">
        <v>0.72916666666666552</v>
      </c>
      <c r="H549" s="445" t="s">
        <v>249</v>
      </c>
      <c r="I549" s="444">
        <v>81</v>
      </c>
      <c r="J549" s="445" t="s">
        <v>80</v>
      </c>
      <c r="K549" s="447">
        <v>147.6</v>
      </c>
      <c r="L549" s="448">
        <v>7.23</v>
      </c>
      <c r="M549" s="444">
        <v>158</v>
      </c>
      <c r="N549" s="444">
        <v>16</v>
      </c>
      <c r="O549" s="447">
        <v>20.414937759336098</v>
      </c>
      <c r="P549" s="449">
        <v>-2.0885072563845739</v>
      </c>
      <c r="Q549" s="447">
        <v>9.2249999999999996</v>
      </c>
      <c r="R549" s="447">
        <v>0.9341772151898734</v>
      </c>
      <c r="S549" s="450">
        <v>9.875</v>
      </c>
      <c r="T549" s="450">
        <v>2.2130013831258641</v>
      </c>
      <c r="U549" s="240">
        <v>4</v>
      </c>
      <c r="V549" s="451">
        <v>1.8828125000000001E-2</v>
      </c>
      <c r="W549" s="450" t="s">
        <v>176</v>
      </c>
      <c r="X549" s="447">
        <v>19.277372919603788</v>
      </c>
      <c r="Y549" s="447">
        <v>1.1375648397323097</v>
      </c>
      <c r="Z549" s="452">
        <v>78.792777777777772</v>
      </c>
      <c r="AA549" s="58">
        <f t="shared" ca="1" si="20"/>
        <v>115.595</v>
      </c>
      <c r="AB549" s="453">
        <f ca="1">Table29[[#This Row],[Earnings]]-Table29[[#This Row],[4-Week Average]]</f>
        <v>32.004999999999995</v>
      </c>
    </row>
    <row r="550" spans="1:28" x14ac:dyDescent="0.35">
      <c r="A550" s="436">
        <v>45493</v>
      </c>
      <c r="B550" s="435">
        <v>2024</v>
      </c>
      <c r="C550" s="435">
        <v>29</v>
      </c>
      <c r="D550" s="435">
        <v>3</v>
      </c>
      <c r="E550" s="435" t="s">
        <v>305</v>
      </c>
      <c r="F550" s="436" t="s">
        <v>51</v>
      </c>
      <c r="G550" s="437">
        <v>0.58333333333333237</v>
      </c>
      <c r="H550" s="436" t="s">
        <v>230</v>
      </c>
      <c r="I550" s="435">
        <v>81</v>
      </c>
      <c r="J550" s="436" t="s">
        <v>174</v>
      </c>
      <c r="K550" s="438">
        <v>156.67000000000002</v>
      </c>
      <c r="L550" s="439">
        <v>6.92</v>
      </c>
      <c r="M550" s="435">
        <v>170</v>
      </c>
      <c r="N550" s="435">
        <v>12</v>
      </c>
      <c r="O550" s="438">
        <v>22.640173410404628</v>
      </c>
      <c r="P550" s="440">
        <v>4.5676827040849268</v>
      </c>
      <c r="Q550" s="438">
        <v>13.055833333333334</v>
      </c>
      <c r="R550" s="438">
        <v>0.92158823529411771</v>
      </c>
      <c r="S550" s="441">
        <v>14.166666666666666</v>
      </c>
      <c r="T550" s="441">
        <v>1.7341040462427746</v>
      </c>
      <c r="U550" s="239">
        <v>4</v>
      </c>
      <c r="V550" s="442">
        <v>2.4027777777777776E-2</v>
      </c>
      <c r="W550" s="441" t="s">
        <v>176</v>
      </c>
      <c r="X550" s="438">
        <v>20.038561698743642</v>
      </c>
      <c r="Y550" s="438">
        <v>2.6016117116609863</v>
      </c>
      <c r="Z550" s="443">
        <v>79.103999999999999</v>
      </c>
      <c r="AA550" s="58">
        <f t="shared" ca="1" si="20"/>
        <v>125.71</v>
      </c>
      <c r="AB550" s="453">
        <f ca="1">Table29[[#This Row],[Earnings]]-Table29[[#This Row],[4-Week Average]]</f>
        <v>30.960000000000022</v>
      </c>
    </row>
    <row r="551" spans="1:28" x14ac:dyDescent="0.35">
      <c r="A551" s="445">
        <v>45495</v>
      </c>
      <c r="B551" s="444">
        <v>2024</v>
      </c>
      <c r="C551" s="444">
        <v>30</v>
      </c>
      <c r="D551" s="444">
        <v>4</v>
      </c>
      <c r="E551" s="444" t="s">
        <v>305</v>
      </c>
      <c r="F551" s="445" t="s">
        <v>46</v>
      </c>
      <c r="G551" s="446">
        <v>0.72916666666666552</v>
      </c>
      <c r="H551" s="445" t="s">
        <v>230</v>
      </c>
      <c r="I551" s="444">
        <v>73</v>
      </c>
      <c r="J551" s="445" t="s">
        <v>85</v>
      </c>
      <c r="K551" s="447">
        <v>122.99</v>
      </c>
      <c r="L551" s="448">
        <v>6.08</v>
      </c>
      <c r="M551" s="444">
        <v>137</v>
      </c>
      <c r="N551" s="444">
        <v>12</v>
      </c>
      <c r="O551" s="447">
        <v>20.22861842105263</v>
      </c>
      <c r="P551" s="449">
        <v>-0.23647501143215521</v>
      </c>
      <c r="Q551" s="447">
        <v>10.249166666666666</v>
      </c>
      <c r="R551" s="447">
        <v>0.89773722627737218</v>
      </c>
      <c r="S551" s="450">
        <v>11.416666666666666</v>
      </c>
      <c r="T551" s="450">
        <v>1.9736842105263157</v>
      </c>
      <c r="U551" s="240">
        <v>4</v>
      </c>
      <c r="V551" s="451">
        <v>2.1111111111111112E-2</v>
      </c>
      <c r="W551" s="450" t="s">
        <v>176</v>
      </c>
      <c r="X551" s="447">
        <v>21.493139294091776</v>
      </c>
      <c r="Y551" s="447">
        <v>-1.264520873039146</v>
      </c>
      <c r="Z551" s="452">
        <v>79.028333333333322</v>
      </c>
      <c r="AA551" s="58">
        <f t="shared" ca="1" si="20"/>
        <v>141.73749999999998</v>
      </c>
      <c r="AB551" s="453">
        <f ca="1">Table29[[#This Row],[Earnings]]-Table29[[#This Row],[4-Week Average]]</f>
        <v>-18.747499999999988</v>
      </c>
    </row>
    <row r="552" spans="1:28" x14ac:dyDescent="0.35">
      <c r="A552" s="436">
        <v>45496</v>
      </c>
      <c r="B552" s="435">
        <v>2024</v>
      </c>
      <c r="C552" s="435">
        <v>30</v>
      </c>
      <c r="D552" s="435">
        <v>4</v>
      </c>
      <c r="E552" s="435" t="s">
        <v>305</v>
      </c>
      <c r="F552" s="436" t="s">
        <v>47</v>
      </c>
      <c r="G552" s="437">
        <v>0.72916666666666552</v>
      </c>
      <c r="H552" s="436" t="s">
        <v>285</v>
      </c>
      <c r="I552" s="435">
        <v>73</v>
      </c>
      <c r="J552" s="436" t="s">
        <v>80</v>
      </c>
      <c r="K552" s="438">
        <v>91.11</v>
      </c>
      <c r="L552" s="439">
        <v>4.87</v>
      </c>
      <c r="M552" s="435">
        <v>96</v>
      </c>
      <c r="N552" s="435">
        <v>9</v>
      </c>
      <c r="O552" s="438">
        <v>18.708418891170432</v>
      </c>
      <c r="P552" s="440">
        <v>-3.5351306491872876</v>
      </c>
      <c r="Q552" s="438">
        <v>10.123333333333333</v>
      </c>
      <c r="R552" s="438">
        <v>0.94906250000000003</v>
      </c>
      <c r="S552" s="441">
        <v>10.666666666666666</v>
      </c>
      <c r="T552" s="441">
        <v>1.8480492813141682</v>
      </c>
      <c r="U552" s="239">
        <v>4</v>
      </c>
      <c r="V552" s="442">
        <v>2.2546296296296297E-2</v>
      </c>
      <c r="W552" s="441" t="s">
        <v>176</v>
      </c>
      <c r="X552" s="438">
        <v>19.176198587306246</v>
      </c>
      <c r="Y552" s="438">
        <v>-0.46777969613581405</v>
      </c>
      <c r="Z552" s="443">
        <v>80.040666666666652</v>
      </c>
      <c r="AA552" s="58">
        <f t="shared" ca="1" si="20"/>
        <v>129.5925</v>
      </c>
      <c r="AB552" s="453">
        <f ca="1">Table29[[#This Row],[Earnings]]-Table29[[#This Row],[4-Week Average]]</f>
        <v>-38.482500000000002</v>
      </c>
    </row>
    <row r="553" spans="1:28" x14ac:dyDescent="0.35">
      <c r="A553" s="445">
        <v>45497</v>
      </c>
      <c r="B553" s="444">
        <v>2024</v>
      </c>
      <c r="C553" s="444">
        <v>30</v>
      </c>
      <c r="D553" s="444">
        <v>4</v>
      </c>
      <c r="E553" s="444" t="s">
        <v>305</v>
      </c>
      <c r="F553" s="445" t="s">
        <v>48</v>
      </c>
      <c r="G553" s="446">
        <v>0.72916666666666552</v>
      </c>
      <c r="H553" s="445" t="s">
        <v>231</v>
      </c>
      <c r="I553" s="444">
        <v>74</v>
      </c>
      <c r="J553" s="445" t="s">
        <v>80</v>
      </c>
      <c r="K553" s="447">
        <v>144.25</v>
      </c>
      <c r="L553" s="448">
        <v>6.45</v>
      </c>
      <c r="M553" s="444">
        <v>142</v>
      </c>
      <c r="N553" s="444">
        <v>16</v>
      </c>
      <c r="O553" s="447">
        <v>22.364341085271317</v>
      </c>
      <c r="P553" s="449">
        <v>-1.9472226950549896</v>
      </c>
      <c r="Q553" s="447">
        <v>9.015625</v>
      </c>
      <c r="R553" s="447">
        <v>1.0158450704225352</v>
      </c>
      <c r="S553" s="450">
        <v>8.875</v>
      </c>
      <c r="T553" s="450">
        <v>2.4806201550387597</v>
      </c>
      <c r="U553" s="240">
        <v>3</v>
      </c>
      <c r="V553" s="451">
        <v>1.6796874999999999E-2</v>
      </c>
      <c r="W553" s="450" t="s">
        <v>176</v>
      </c>
      <c r="X553" s="447">
        <v>26.04195315133131</v>
      </c>
      <c r="Y553" s="447">
        <v>-3.6776120660599929</v>
      </c>
      <c r="Z553" s="452">
        <v>80.881111111111096</v>
      </c>
      <c r="AA553" s="58">
        <f t="shared" ca="1" si="20"/>
        <v>128.755</v>
      </c>
      <c r="AB553" s="453">
        <f ca="1">Table29[[#This Row],[Earnings]]-Table29[[#This Row],[4-Week Average]]</f>
        <v>15.495000000000005</v>
      </c>
    </row>
    <row r="554" spans="1:28" x14ac:dyDescent="0.35">
      <c r="A554" s="436">
        <v>45499</v>
      </c>
      <c r="B554" s="435">
        <v>2024</v>
      </c>
      <c r="C554" s="435">
        <v>30</v>
      </c>
      <c r="D554" s="435">
        <v>4</v>
      </c>
      <c r="E554" s="435" t="s">
        <v>305</v>
      </c>
      <c r="F554" s="436" t="s">
        <v>50</v>
      </c>
      <c r="G554" s="437">
        <v>0.72916666666666552</v>
      </c>
      <c r="H554" s="436" t="s">
        <v>230</v>
      </c>
      <c r="I554" s="435">
        <v>81</v>
      </c>
      <c r="J554" s="436" t="s">
        <v>85</v>
      </c>
      <c r="K554" s="438">
        <v>180.29999999999998</v>
      </c>
      <c r="L554" s="439">
        <v>8.6999999999999993</v>
      </c>
      <c r="M554" s="435">
        <v>230</v>
      </c>
      <c r="N554" s="435">
        <v>14</v>
      </c>
      <c r="O554" s="438">
        <v>20.724137931034484</v>
      </c>
      <c r="P554" s="440">
        <v>-0.48929598596488333</v>
      </c>
      <c r="Q554" s="438">
        <v>12.878571428571428</v>
      </c>
      <c r="R554" s="438">
        <v>0.78391304347826074</v>
      </c>
      <c r="S554" s="441">
        <v>16.428571428571427</v>
      </c>
      <c r="T554" s="441">
        <v>1.6091954022988506</v>
      </c>
      <c r="U554" s="239">
        <v>3</v>
      </c>
      <c r="V554" s="442">
        <v>2.5892857142857138E-2</v>
      </c>
      <c r="W554" s="441" t="s">
        <v>176</v>
      </c>
      <c r="X554" s="438">
        <v>20.724137931034484</v>
      </c>
      <c r="Y554" s="438">
        <v>0</v>
      </c>
      <c r="Z554" s="443">
        <v>80.197111111111113</v>
      </c>
      <c r="AA554" s="58">
        <f t="shared" ca="1" si="20"/>
        <v>134.66249999999999</v>
      </c>
      <c r="AB554" s="453">
        <f ca="1">Table29[[#This Row],[Earnings]]-Table29[[#This Row],[4-Week Average]]</f>
        <v>45.637499999999989</v>
      </c>
    </row>
    <row r="555" spans="1:28" x14ac:dyDescent="0.35">
      <c r="A555" s="445">
        <v>45500</v>
      </c>
      <c r="B555" s="444">
        <v>2024</v>
      </c>
      <c r="C555" s="444">
        <v>30</v>
      </c>
      <c r="D555" s="444">
        <v>4</v>
      </c>
      <c r="E555" s="444" t="s">
        <v>305</v>
      </c>
      <c r="F555" s="445" t="s">
        <v>51</v>
      </c>
      <c r="G555" s="446">
        <v>0.68749999999999889</v>
      </c>
      <c r="H555" s="445" t="s">
        <v>230</v>
      </c>
      <c r="I555" s="444">
        <v>81</v>
      </c>
      <c r="J555" s="445" t="s">
        <v>82</v>
      </c>
      <c r="K555" s="447">
        <v>128.94999999999999</v>
      </c>
      <c r="L555" s="448">
        <v>5.45</v>
      </c>
      <c r="M555" s="444">
        <v>87</v>
      </c>
      <c r="N555" s="444">
        <v>17</v>
      </c>
      <c r="O555" s="447">
        <v>23.660550458715594</v>
      </c>
      <c r="P555" s="449">
        <v>2.2590991678311099</v>
      </c>
      <c r="Q555" s="447">
        <v>7.5852941176470585</v>
      </c>
      <c r="R555" s="447">
        <v>1.4821839080459769</v>
      </c>
      <c r="S555" s="450">
        <v>5.117647058823529</v>
      </c>
      <c r="T555" s="450">
        <v>3.1192660550458715</v>
      </c>
      <c r="U555" s="240">
        <v>2</v>
      </c>
      <c r="V555" s="451">
        <v>1.3357843137254903E-2</v>
      </c>
      <c r="W555" s="450" t="s">
        <v>176</v>
      </c>
      <c r="X555" s="447">
        <v>18.936657968408081</v>
      </c>
      <c r="Y555" s="447">
        <v>4.723892490307513</v>
      </c>
      <c r="Z555" s="452">
        <v>81.060222222222222</v>
      </c>
      <c r="AA555" s="58">
        <f t="shared" ca="1" si="20"/>
        <v>136.15249999999997</v>
      </c>
      <c r="AB555" s="453">
        <f ca="1">Table29[[#This Row],[Earnings]]-Table29[[#This Row],[4-Week Average]]</f>
        <v>-7.2024999999999864</v>
      </c>
    </row>
    <row r="556" spans="1:28" x14ac:dyDescent="0.35">
      <c r="A556" s="436">
        <v>45502</v>
      </c>
      <c r="B556" s="435">
        <v>2024</v>
      </c>
      <c r="C556" s="435">
        <v>31</v>
      </c>
      <c r="D556" s="435">
        <v>5</v>
      </c>
      <c r="E556" s="435" t="s">
        <v>305</v>
      </c>
      <c r="F556" s="436" t="s">
        <v>46</v>
      </c>
      <c r="G556" s="437">
        <v>0.72916666666666552</v>
      </c>
      <c r="H556" s="436" t="s">
        <v>285</v>
      </c>
      <c r="I556" s="435">
        <v>64</v>
      </c>
      <c r="J556" s="436" t="s">
        <v>85</v>
      </c>
      <c r="K556" s="438">
        <v>174.51</v>
      </c>
      <c r="L556" s="439">
        <v>5.83</v>
      </c>
      <c r="M556" s="435">
        <v>121</v>
      </c>
      <c r="N556" s="435">
        <v>11</v>
      </c>
      <c r="O556" s="438">
        <v>29.933104631217837</v>
      </c>
      <c r="P556" s="440">
        <v>9.4916586998762682</v>
      </c>
      <c r="Q556" s="438">
        <v>15.864545454545453</v>
      </c>
      <c r="R556" s="438">
        <v>1.4422314049586775</v>
      </c>
      <c r="S556" s="441">
        <v>11</v>
      </c>
      <c r="T556" s="441">
        <v>1.8867924528301887</v>
      </c>
      <c r="U556" s="239">
        <v>3</v>
      </c>
      <c r="V556" s="442">
        <v>2.2083333333333333E-2</v>
      </c>
      <c r="W556" s="441" t="s">
        <v>176</v>
      </c>
      <c r="X556" s="438">
        <v>21.130380645893315</v>
      </c>
      <c r="Y556" s="438">
        <v>8.8027239853245227</v>
      </c>
      <c r="Z556" s="443">
        <v>82.059222222222232</v>
      </c>
      <c r="AA556" s="58">
        <f t="shared" ca="1" si="20"/>
        <v>157.0025</v>
      </c>
      <c r="AB556" s="453">
        <f ca="1">Table29[[#This Row],[Earnings]]-Table29[[#This Row],[4-Week Average]]</f>
        <v>17.507499999999993</v>
      </c>
    </row>
    <row r="557" spans="1:28" x14ac:dyDescent="0.35">
      <c r="A557" s="445">
        <v>45503</v>
      </c>
      <c r="B557" s="444">
        <v>2024</v>
      </c>
      <c r="C557" s="444">
        <v>31</v>
      </c>
      <c r="D557" s="444">
        <v>5</v>
      </c>
      <c r="E557" s="444" t="s">
        <v>305</v>
      </c>
      <c r="F557" s="445" t="s">
        <v>47</v>
      </c>
      <c r="G557" s="446">
        <v>0.74999999999999889</v>
      </c>
      <c r="H557" s="445" t="s">
        <v>249</v>
      </c>
      <c r="I557" s="444">
        <v>79</v>
      </c>
      <c r="J557" s="445" t="s">
        <v>80</v>
      </c>
      <c r="K557" s="447">
        <v>133.75</v>
      </c>
      <c r="L557" s="448">
        <v>4.9000000000000004</v>
      </c>
      <c r="M557" s="444">
        <v>93</v>
      </c>
      <c r="N557" s="444">
        <v>14</v>
      </c>
      <c r="O557" s="447">
        <v>27.295918367346935</v>
      </c>
      <c r="P557" s="449">
        <v>5.5573874911588312</v>
      </c>
      <c r="Q557" s="447">
        <v>9.5535714285714288</v>
      </c>
      <c r="R557" s="447">
        <v>1.4381720430107527</v>
      </c>
      <c r="S557" s="450">
        <v>6.6428571428571432</v>
      </c>
      <c r="T557" s="450">
        <v>2.8571428571428568</v>
      </c>
      <c r="U557" s="240">
        <v>2</v>
      </c>
      <c r="V557" s="451">
        <v>1.4583333333333335E-2</v>
      </c>
      <c r="W557" s="450" t="s">
        <v>176</v>
      </c>
      <c r="X557" s="447">
        <v>27.295918367346935</v>
      </c>
      <c r="Y557" s="447">
        <v>0</v>
      </c>
      <c r="Z557" s="452">
        <v>82.263000000000005</v>
      </c>
      <c r="AA557" s="58">
        <f t="shared" ca="1" si="20"/>
        <v>154.3775</v>
      </c>
      <c r="AB557" s="453">
        <f ca="1">Table29[[#This Row],[Earnings]]-Table29[[#This Row],[4-Week Average]]</f>
        <v>-20.627499999999998</v>
      </c>
    </row>
    <row r="558" spans="1:28" x14ac:dyDescent="0.35">
      <c r="A558" s="436">
        <v>45504</v>
      </c>
      <c r="B558" s="435">
        <v>2024</v>
      </c>
      <c r="C558" s="435">
        <v>31</v>
      </c>
      <c r="D558" s="435">
        <v>5</v>
      </c>
      <c r="E558" s="435" t="s">
        <v>305</v>
      </c>
      <c r="F558" s="436" t="s">
        <v>48</v>
      </c>
      <c r="G558" s="437">
        <v>0.77083333333333215</v>
      </c>
      <c r="H558" s="436" t="s">
        <v>249</v>
      </c>
      <c r="I558" s="435">
        <v>75</v>
      </c>
      <c r="J558" s="436" t="s">
        <v>80</v>
      </c>
      <c r="K558" s="438">
        <v>42.74</v>
      </c>
      <c r="L558" s="439">
        <v>2.93</v>
      </c>
      <c r="M558" s="435">
        <v>82</v>
      </c>
      <c r="N558" s="435">
        <v>5</v>
      </c>
      <c r="O558" s="438">
        <v>14.58703071672355</v>
      </c>
      <c r="P558" s="440">
        <v>-9.3999959477602566</v>
      </c>
      <c r="Q558" s="438">
        <v>8.548</v>
      </c>
      <c r="R558" s="438">
        <v>0.52121951219512197</v>
      </c>
      <c r="S558" s="441">
        <v>16.399999999999999</v>
      </c>
      <c r="T558" s="441">
        <v>1.7064846416382251</v>
      </c>
      <c r="U558" s="239">
        <v>1</v>
      </c>
      <c r="V558" s="442">
        <v>2.441666666666667E-2</v>
      </c>
      <c r="W558" s="441" t="s">
        <v>176</v>
      </c>
      <c r="X558" s="438">
        <v>17.567500598214174</v>
      </c>
      <c r="Y558" s="438">
        <v>-2.9804698814906239</v>
      </c>
      <c r="Z558" s="443">
        <v>81.542000000000002</v>
      </c>
      <c r="AA558" s="58">
        <f t="shared" ca="1" si="20"/>
        <v>119.9875</v>
      </c>
      <c r="AB558" s="453">
        <f ca="1">Table29[[#This Row],[Earnings]]-Table29[[#This Row],[4-Week Average]]</f>
        <v>-77.247500000000002</v>
      </c>
    </row>
    <row r="559" spans="1:28" x14ac:dyDescent="0.35">
      <c r="A559" s="445">
        <v>45505</v>
      </c>
      <c r="B559" s="444">
        <v>2024</v>
      </c>
      <c r="C559" s="444">
        <v>31</v>
      </c>
      <c r="D559" s="444">
        <v>5</v>
      </c>
      <c r="E559" s="444" t="s">
        <v>305</v>
      </c>
      <c r="F559" s="445" t="s">
        <v>49</v>
      </c>
      <c r="G559" s="446">
        <v>0.74999999999999889</v>
      </c>
      <c r="H559" s="445" t="s">
        <v>230</v>
      </c>
      <c r="I559" s="444">
        <v>88</v>
      </c>
      <c r="J559" s="445" t="s">
        <v>82</v>
      </c>
      <c r="K559" s="447">
        <v>85.84</v>
      </c>
      <c r="L559" s="448">
        <v>4.7699999999999996</v>
      </c>
      <c r="M559" s="444">
        <v>73</v>
      </c>
      <c r="N559" s="444">
        <v>14</v>
      </c>
      <c r="O559" s="447">
        <v>17.995807127882603</v>
      </c>
      <c r="P559" s="449">
        <v>1.1766581917123915</v>
      </c>
      <c r="Q559" s="447">
        <v>6.1314285714285717</v>
      </c>
      <c r="R559" s="447">
        <v>1.1758904109589041</v>
      </c>
      <c r="S559" s="450">
        <v>5.2142857142857144</v>
      </c>
      <c r="T559" s="450">
        <v>2.9350104821802936</v>
      </c>
      <c r="U559" s="240">
        <v>3</v>
      </c>
      <c r="V559" s="451">
        <v>1.419642857142857E-2</v>
      </c>
      <c r="W559" s="450" t="s">
        <v>176</v>
      </c>
      <c r="X559" s="447">
        <v>18.58249317868167</v>
      </c>
      <c r="Y559" s="447">
        <v>-0.58668605079906655</v>
      </c>
      <c r="Z559" s="452">
        <v>81.123111111111115</v>
      </c>
      <c r="AA559" s="58">
        <f t="shared" ca="1" si="20"/>
        <v>109.21000000000001</v>
      </c>
      <c r="AB559" s="453">
        <f ca="1">Table29[[#This Row],[Earnings]]-Table29[[#This Row],[4-Week Average]]</f>
        <v>-23.370000000000005</v>
      </c>
    </row>
    <row r="560" spans="1:28" x14ac:dyDescent="0.35">
      <c r="A560" s="436">
        <v>45507</v>
      </c>
      <c r="B560" s="435">
        <v>2024</v>
      </c>
      <c r="C560" s="435">
        <v>31</v>
      </c>
      <c r="D560" s="435">
        <v>5</v>
      </c>
      <c r="E560" s="435" t="s">
        <v>305</v>
      </c>
      <c r="F560" s="436" t="s">
        <v>51</v>
      </c>
      <c r="G560" s="437">
        <v>0.64583333333333237</v>
      </c>
      <c r="H560" s="436" t="s">
        <v>281</v>
      </c>
      <c r="I560" s="435">
        <v>82</v>
      </c>
      <c r="J560" s="436" t="s">
        <v>82</v>
      </c>
      <c r="K560" s="438">
        <v>167.98000000000002</v>
      </c>
      <c r="L560" s="439">
        <v>7.62</v>
      </c>
      <c r="M560" s="435">
        <v>123</v>
      </c>
      <c r="N560" s="435">
        <v>18</v>
      </c>
      <c r="O560" s="438">
        <v>22.044619422572179</v>
      </c>
      <c r="P560" s="440">
        <v>0.39215711303979361</v>
      </c>
      <c r="Q560" s="438">
        <v>9.3322222222222226</v>
      </c>
      <c r="R560" s="438">
        <v>1.3656910569105694</v>
      </c>
      <c r="S560" s="441">
        <v>6.833333333333333</v>
      </c>
      <c r="T560" s="441">
        <v>2.3622047244094486</v>
      </c>
      <c r="U560" s="239">
        <v>2</v>
      </c>
      <c r="V560" s="442">
        <v>1.7638888888888888E-2</v>
      </c>
      <c r="W560" s="441" t="s">
        <v>176</v>
      </c>
      <c r="X560" s="438">
        <v>22.885934984497997</v>
      </c>
      <c r="Y560" s="438">
        <v>-0.84131556192581769</v>
      </c>
      <c r="Z560" s="443">
        <v>80.604222222222234</v>
      </c>
      <c r="AA560" s="58">
        <f t="shared" ca="1" si="20"/>
        <v>107.57750000000001</v>
      </c>
      <c r="AB560" s="453">
        <f ca="1">Table29[[#This Row],[Earnings]]-Table29[[#This Row],[4-Week Average]]</f>
        <v>60.402500000000003</v>
      </c>
    </row>
    <row r="561" spans="1:28" x14ac:dyDescent="0.35">
      <c r="A561" s="445">
        <v>45508</v>
      </c>
      <c r="B561" s="444">
        <v>2024</v>
      </c>
      <c r="C561" s="444">
        <v>31</v>
      </c>
      <c r="D561" s="444">
        <v>5</v>
      </c>
      <c r="E561" s="444" t="s">
        <v>305</v>
      </c>
      <c r="F561" s="445" t="s">
        <v>45</v>
      </c>
      <c r="G561" s="446">
        <v>0.58333333333333237</v>
      </c>
      <c r="H561" s="445" t="s">
        <v>281</v>
      </c>
      <c r="I561" s="444">
        <v>77</v>
      </c>
      <c r="J561" s="445" t="s">
        <v>174</v>
      </c>
      <c r="K561" s="447">
        <v>119.69</v>
      </c>
      <c r="L561" s="448">
        <v>6.18</v>
      </c>
      <c r="M561" s="444">
        <v>164</v>
      </c>
      <c r="N561" s="444">
        <v>12</v>
      </c>
      <c r="O561" s="447">
        <v>19.367313915857604</v>
      </c>
      <c r="P561" s="449" t="s">
        <v>393</v>
      </c>
      <c r="Q561" s="447">
        <v>9.9741666666666671</v>
      </c>
      <c r="R561" s="447">
        <v>0.72981707317073174</v>
      </c>
      <c r="S561" s="450">
        <v>13.666666666666666</v>
      </c>
      <c r="T561" s="450">
        <v>1.941747572815534</v>
      </c>
      <c r="U561" s="240">
        <v>2</v>
      </c>
      <c r="V561" s="451">
        <v>2.1458333333333333E-2</v>
      </c>
      <c r="W561" s="450" t="s">
        <v>176</v>
      </c>
      <c r="X561" s="447">
        <v>16.999446431613013</v>
      </c>
      <c r="Y561" s="447">
        <v>2.3678674842445915</v>
      </c>
      <c r="Z561" s="452">
        <v>80.455777777777797</v>
      </c>
      <c r="AA561" s="58">
        <f t="shared" ca="1" si="20"/>
        <v>104.06250000000001</v>
      </c>
      <c r="AB561" s="453">
        <f ca="1">Table29[[#This Row],[Earnings]]-Table29[[#This Row],[4-Week Average]]</f>
        <v>15.627499999999984</v>
      </c>
    </row>
    <row r="562" spans="1:28" x14ac:dyDescent="0.35">
      <c r="A562" s="436">
        <v>45510</v>
      </c>
      <c r="B562" s="435">
        <v>2024</v>
      </c>
      <c r="C562" s="435">
        <v>32</v>
      </c>
      <c r="D562" s="435">
        <v>6</v>
      </c>
      <c r="E562" s="435" t="s">
        <v>305</v>
      </c>
      <c r="F562" s="436" t="s">
        <v>47</v>
      </c>
      <c r="G562" s="437">
        <v>0.70833333333333226</v>
      </c>
      <c r="H562" s="436" t="s">
        <v>249</v>
      </c>
      <c r="I562" s="435">
        <v>64</v>
      </c>
      <c r="J562" s="436" t="s">
        <v>85</v>
      </c>
      <c r="K562" s="438">
        <v>145.14000000000001</v>
      </c>
      <c r="L562" s="439">
        <v>6.52</v>
      </c>
      <c r="M562" s="435">
        <v>119</v>
      </c>
      <c r="N562" s="435">
        <v>14</v>
      </c>
      <c r="O562" s="438">
        <v>22.260736196319023</v>
      </c>
      <c r="P562" s="440">
        <v>0.76761547621119774</v>
      </c>
      <c r="Q562" s="438">
        <v>10.367142857142857</v>
      </c>
      <c r="R562" s="438">
        <v>1.2196638655462186</v>
      </c>
      <c r="S562" s="441">
        <v>8.5</v>
      </c>
      <c r="T562" s="441">
        <v>2.147239263803681</v>
      </c>
      <c r="U562" s="239">
        <v>3</v>
      </c>
      <c r="V562" s="442">
        <v>1.9404761904761904E-2</v>
      </c>
      <c r="W562" s="441" t="s">
        <v>176</v>
      </c>
      <c r="X562" s="438">
        <v>22.260736196319023</v>
      </c>
      <c r="Y562" s="438">
        <v>0</v>
      </c>
      <c r="Z562" s="443">
        <v>81.234888888888904</v>
      </c>
      <c r="AA562" s="58">
        <f t="shared" ca="1" si="20"/>
        <v>129.66249999999999</v>
      </c>
      <c r="AB562" s="453">
        <f ca="1">Table29[[#This Row],[Earnings]]-Table29[[#This Row],[4-Week Average]]</f>
        <v>15.47750000000002</v>
      </c>
    </row>
    <row r="563" spans="1:28" x14ac:dyDescent="0.35">
      <c r="A563" s="445">
        <v>45513</v>
      </c>
      <c r="B563" s="444">
        <v>2024</v>
      </c>
      <c r="C563" s="444">
        <v>32</v>
      </c>
      <c r="D563" s="444">
        <v>6</v>
      </c>
      <c r="E563" s="444" t="s">
        <v>305</v>
      </c>
      <c r="F563" s="445" t="s">
        <v>50</v>
      </c>
      <c r="G563" s="446">
        <v>0.70833333333333226</v>
      </c>
      <c r="H563" s="445" t="s">
        <v>276</v>
      </c>
      <c r="I563" s="444">
        <v>73</v>
      </c>
      <c r="J563" s="445" t="s">
        <v>85</v>
      </c>
      <c r="K563" s="447">
        <v>157.57000000000002</v>
      </c>
      <c r="L563" s="448">
        <v>7.78</v>
      </c>
      <c r="M563" s="444">
        <v>129</v>
      </c>
      <c r="N563" s="444">
        <v>19</v>
      </c>
      <c r="O563" s="447">
        <v>20.253213367609256</v>
      </c>
      <c r="P563" s="449">
        <v>-0.8903211228236998</v>
      </c>
      <c r="Q563" s="447">
        <v>8.2931578947368436</v>
      </c>
      <c r="R563" s="447">
        <v>1.2214728682170544</v>
      </c>
      <c r="S563" s="450">
        <v>6.7894736842105265</v>
      </c>
      <c r="T563" s="450">
        <v>2.442159383033419</v>
      </c>
      <c r="U563" s="240">
        <v>4</v>
      </c>
      <c r="V563" s="451">
        <v>1.706140350877193E-2</v>
      </c>
      <c r="W563" s="450" t="s">
        <v>176</v>
      </c>
      <c r="X563" s="447">
        <v>17.967106899099438</v>
      </c>
      <c r="Y563" s="447">
        <v>2.2861064685098178</v>
      </c>
      <c r="Z563" s="452">
        <v>81.968444444444444</v>
      </c>
      <c r="AA563" s="58">
        <f t="shared" ca="1" si="20"/>
        <v>147.59500000000003</v>
      </c>
      <c r="AB563" s="453">
        <f ca="1">Table29[[#This Row],[Earnings]]-Table29[[#This Row],[4-Week Average]]</f>
        <v>9.9749999999999943</v>
      </c>
    </row>
    <row r="564" spans="1:28" x14ac:dyDescent="0.35">
      <c r="A564" s="436">
        <v>45514</v>
      </c>
      <c r="B564" s="435">
        <v>2024</v>
      </c>
      <c r="C564" s="435">
        <v>32</v>
      </c>
      <c r="D564" s="435">
        <v>6</v>
      </c>
      <c r="E564" s="435" t="s">
        <v>305</v>
      </c>
      <c r="F564" s="436" t="s">
        <v>51</v>
      </c>
      <c r="G564" s="437">
        <v>0.72916666666666552</v>
      </c>
      <c r="H564" s="436" t="s">
        <v>230</v>
      </c>
      <c r="I564" s="435">
        <v>81</v>
      </c>
      <c r="J564" s="436" t="s">
        <v>82</v>
      </c>
      <c r="K564" s="438">
        <v>130.59</v>
      </c>
      <c r="L564" s="439">
        <v>7.63</v>
      </c>
      <c r="M564" s="435">
        <v>119</v>
      </c>
      <c r="N564" s="435">
        <v>17</v>
      </c>
      <c r="O564" s="438">
        <v>17.115334207077328</v>
      </c>
      <c r="P564" s="440">
        <v>-4.5763438137590349</v>
      </c>
      <c r="Q564" s="438">
        <v>7.6817647058823528</v>
      </c>
      <c r="R564" s="438">
        <v>1.0973949579831932</v>
      </c>
      <c r="S564" s="441">
        <v>7</v>
      </c>
      <c r="T564" s="441">
        <v>2.2280471821756227</v>
      </c>
      <c r="U564" s="239">
        <v>4</v>
      </c>
      <c r="V564" s="442">
        <v>1.8700980392156862E-2</v>
      </c>
      <c r="W564" s="441" t="s">
        <v>176</v>
      </c>
      <c r="X564" s="438">
        <v>19.537625371175935</v>
      </c>
      <c r="Y564" s="438">
        <v>-2.4222911640986062</v>
      </c>
      <c r="Z564" s="443">
        <v>83.419444444444451</v>
      </c>
      <c r="AA564" s="58">
        <f t="shared" ca="1" si="20"/>
        <v>138.24750000000003</v>
      </c>
      <c r="AB564" s="453">
        <f ca="1">Table29[[#This Row],[Earnings]]-Table29[[#This Row],[4-Week Average]]</f>
        <v>-7.6575000000000273</v>
      </c>
    </row>
    <row r="565" spans="1:28" x14ac:dyDescent="0.35">
      <c r="A565" s="445">
        <v>45515</v>
      </c>
      <c r="B565" s="444">
        <v>2024</v>
      </c>
      <c r="C565" s="444">
        <v>32</v>
      </c>
      <c r="D565" s="444">
        <v>6</v>
      </c>
      <c r="E565" s="444" t="s">
        <v>305</v>
      </c>
      <c r="F565" s="445" t="s">
        <v>45</v>
      </c>
      <c r="G565" s="446">
        <v>0.70833333333333226</v>
      </c>
      <c r="H565" s="445" t="s">
        <v>249</v>
      </c>
      <c r="I565" s="444">
        <v>72</v>
      </c>
      <c r="J565" s="445" t="s">
        <v>85</v>
      </c>
      <c r="K565" s="447">
        <v>171.04000000000002</v>
      </c>
      <c r="L565" s="448">
        <v>6.45</v>
      </c>
      <c r="M565" s="444">
        <v>163</v>
      </c>
      <c r="N565" s="444">
        <v>13</v>
      </c>
      <c r="O565" s="447">
        <v>26.517829457364343</v>
      </c>
      <c r="P565" s="449">
        <v>1.747936984246067</v>
      </c>
      <c r="Q565" s="447">
        <v>13.156923076923078</v>
      </c>
      <c r="R565" s="447">
        <v>1.0493251533742332</v>
      </c>
      <c r="S565" s="450">
        <v>12.538461538461538</v>
      </c>
      <c r="T565" s="450">
        <v>2.0155038759689923</v>
      </c>
      <c r="U565" s="240">
        <v>2</v>
      </c>
      <c r="V565" s="451">
        <v>2.0673076923076922E-2</v>
      </c>
      <c r="W565" s="450" t="s">
        <v>176</v>
      </c>
      <c r="X565" s="447">
        <v>22.915748241573912</v>
      </c>
      <c r="Y565" s="447">
        <v>3.6020812157904309</v>
      </c>
      <c r="Z565" s="452">
        <v>83.721777777777774</v>
      </c>
      <c r="AA565" s="58">
        <f t="shared" ca="1" si="20"/>
        <v>151.08500000000004</v>
      </c>
      <c r="AB565" s="453">
        <f ca="1">Table29[[#This Row],[Earnings]]-Table29[[#This Row],[4-Week Average]]</f>
        <v>19.954999999999984</v>
      </c>
    </row>
    <row r="566" spans="1:28" x14ac:dyDescent="0.35">
      <c r="A566" s="436">
        <v>45516</v>
      </c>
      <c r="B566" s="435">
        <v>2024</v>
      </c>
      <c r="C566" s="435">
        <v>33</v>
      </c>
      <c r="D566" s="435">
        <v>7</v>
      </c>
      <c r="E566" s="435" t="s">
        <v>305</v>
      </c>
      <c r="F566" s="436" t="s">
        <v>46</v>
      </c>
      <c r="G566" s="437">
        <v>0.70833333333333226</v>
      </c>
      <c r="H566" s="436" t="s">
        <v>230</v>
      </c>
      <c r="I566" s="435">
        <v>72</v>
      </c>
      <c r="J566" s="436" t="s">
        <v>85</v>
      </c>
      <c r="K566" s="438">
        <v>133.61000000000001</v>
      </c>
      <c r="L566" s="439">
        <v>6.45</v>
      </c>
      <c r="M566" s="435">
        <v>104</v>
      </c>
      <c r="N566" s="435">
        <v>14</v>
      </c>
      <c r="O566" s="438">
        <v>20.714728682170545</v>
      </c>
      <c r="P566" s="440">
        <v>-0.58959531279614197</v>
      </c>
      <c r="Q566" s="438">
        <v>9.543571428571429</v>
      </c>
      <c r="R566" s="438">
        <v>1.2847115384615386</v>
      </c>
      <c r="S566" s="441">
        <v>7.4285714285714288</v>
      </c>
      <c r="T566" s="441">
        <v>2.1705426356589146</v>
      </c>
      <c r="U566" s="239">
        <v>4</v>
      </c>
      <c r="V566" s="442">
        <v>1.9196428571428573E-2</v>
      </c>
      <c r="W566" s="441" t="s">
        <v>176</v>
      </c>
      <c r="X566" s="438">
        <v>15.658282216918668</v>
      </c>
      <c r="Y566" s="438">
        <v>5.0564464652518772</v>
      </c>
      <c r="Z566" s="443">
        <v>83.623222222222225</v>
      </c>
      <c r="AA566" s="58">
        <f t="shared" ca="1" si="20"/>
        <v>148.20250000000001</v>
      </c>
      <c r="AB566" s="453">
        <f ca="1">Table29[[#This Row],[Earnings]]-Table29[[#This Row],[4-Week Average]]</f>
        <v>-14.592500000000001</v>
      </c>
    </row>
    <row r="567" spans="1:28" x14ac:dyDescent="0.35">
      <c r="A567" s="445">
        <v>45517</v>
      </c>
      <c r="B567" s="444">
        <v>2024</v>
      </c>
      <c r="C567" s="444">
        <v>33</v>
      </c>
      <c r="D567" s="444">
        <v>7</v>
      </c>
      <c r="E567" s="444" t="s">
        <v>305</v>
      </c>
      <c r="F567" s="445" t="s">
        <v>47</v>
      </c>
      <c r="G567" s="446">
        <v>0.72916666666666552</v>
      </c>
      <c r="H567" s="445" t="s">
        <v>230</v>
      </c>
      <c r="I567" s="444">
        <v>79</v>
      </c>
      <c r="J567" s="445" t="s">
        <v>82</v>
      </c>
      <c r="K567" s="447">
        <v>39.75</v>
      </c>
      <c r="L567" s="448">
        <v>3.77</v>
      </c>
      <c r="M567" s="444">
        <v>99</v>
      </c>
      <c r="N567" s="444">
        <v>6</v>
      </c>
      <c r="O567" s="447">
        <v>10.543766578249336</v>
      </c>
      <c r="P567" s="449">
        <v>-5.8497563187143271</v>
      </c>
      <c r="Q567" s="447">
        <v>6.625</v>
      </c>
      <c r="R567" s="447">
        <v>0.40151515151515149</v>
      </c>
      <c r="S567" s="450">
        <v>16.5</v>
      </c>
      <c r="T567" s="450">
        <v>1.5915119363395225</v>
      </c>
      <c r="U567" s="240">
        <v>1</v>
      </c>
      <c r="V567" s="451">
        <v>2.6180555555555554E-2</v>
      </c>
      <c r="W567" s="450" t="s">
        <v>176</v>
      </c>
      <c r="X567" s="447">
        <v>17.127735570511192</v>
      </c>
      <c r="Y567" s="447">
        <v>-6.5839689922618554</v>
      </c>
      <c r="Z567" s="452">
        <v>82.674333333333337</v>
      </c>
      <c r="AA567" s="58">
        <f t="shared" ca="1" si="20"/>
        <v>118.7475</v>
      </c>
      <c r="AB567" s="453">
        <f ca="1">Table29[[#This Row],[Earnings]]-Table29[[#This Row],[4-Week Average]]</f>
        <v>-78.997500000000002</v>
      </c>
    </row>
    <row r="568" spans="1:28" x14ac:dyDescent="0.35">
      <c r="A568" s="436">
        <v>45518</v>
      </c>
      <c r="B568" s="435">
        <v>2024</v>
      </c>
      <c r="C568" s="435">
        <v>33</v>
      </c>
      <c r="D568" s="435">
        <v>7</v>
      </c>
      <c r="E568" s="435" t="s">
        <v>305</v>
      </c>
      <c r="F568" s="436" t="s">
        <v>48</v>
      </c>
      <c r="G568" s="437">
        <v>0.70833333333333226</v>
      </c>
      <c r="H568" s="436" t="s">
        <v>249</v>
      </c>
      <c r="I568" s="435">
        <v>70</v>
      </c>
      <c r="J568" s="436" t="s">
        <v>85</v>
      </c>
      <c r="K568" s="438">
        <v>159.01</v>
      </c>
      <c r="L568" s="439">
        <v>7.1</v>
      </c>
      <c r="M568" s="435">
        <v>137</v>
      </c>
      <c r="N568" s="435">
        <v>14</v>
      </c>
      <c r="O568" s="438">
        <v>22.395774647887325</v>
      </c>
      <c r="P568" s="440">
        <v>-3.992471673091913E-2</v>
      </c>
      <c r="Q568" s="438">
        <v>11.357857142857142</v>
      </c>
      <c r="R568" s="438">
        <v>1.1606569343065694</v>
      </c>
      <c r="S568" s="441">
        <v>9.7857142857142865</v>
      </c>
      <c r="T568" s="441">
        <v>1.971830985915493</v>
      </c>
      <c r="U568" s="239">
        <v>4</v>
      </c>
      <c r="V568" s="442">
        <v>2.1130952380952379E-2</v>
      </c>
      <c r="W568" s="441" t="s">
        <v>176</v>
      </c>
      <c r="X568" s="438">
        <v>21.900354654253771</v>
      </c>
      <c r="Y568" s="438">
        <v>0.49541999363355416</v>
      </c>
      <c r="Z568" s="443">
        <v>83.000333333333344</v>
      </c>
      <c r="AA568" s="58">
        <f t="shared" ca="1" si="20"/>
        <v>125.85250000000001</v>
      </c>
      <c r="AB568" s="453">
        <f ca="1">Table29[[#This Row],[Earnings]]-Table29[[#This Row],[4-Week Average]]</f>
        <v>33.157499999999985</v>
      </c>
    </row>
    <row r="569" spans="1:28" x14ac:dyDescent="0.35">
      <c r="A569" s="445">
        <v>45519</v>
      </c>
      <c r="B569" s="444">
        <v>2024</v>
      </c>
      <c r="C569" s="444">
        <v>33</v>
      </c>
      <c r="D569" s="444">
        <v>7</v>
      </c>
      <c r="E569" s="444" t="s">
        <v>305</v>
      </c>
      <c r="F569" s="445" t="s">
        <v>49</v>
      </c>
      <c r="G569" s="446">
        <v>0.70833333333333226</v>
      </c>
      <c r="H569" s="445" t="s">
        <v>276</v>
      </c>
      <c r="I569" s="444">
        <v>68</v>
      </c>
      <c r="J569" s="445" t="s">
        <v>82</v>
      </c>
      <c r="K569" s="447">
        <v>110.67</v>
      </c>
      <c r="L569" s="448">
        <v>6.3</v>
      </c>
      <c r="M569" s="444">
        <v>92</v>
      </c>
      <c r="N569" s="444">
        <v>18</v>
      </c>
      <c r="O569" s="447">
        <v>17.566666666666666</v>
      </c>
      <c r="P569" s="449">
        <v>0.35529833325898963</v>
      </c>
      <c r="Q569" s="447">
        <v>6.1483333333333334</v>
      </c>
      <c r="R569" s="447">
        <v>1.2029347826086956</v>
      </c>
      <c r="S569" s="450">
        <v>5.1111111111111107</v>
      </c>
      <c r="T569" s="450">
        <v>2.8571428571428572</v>
      </c>
      <c r="U569" s="240">
        <v>2</v>
      </c>
      <c r="V569" s="451">
        <v>1.4583333333333332E-2</v>
      </c>
      <c r="W569" s="450" t="s">
        <v>176</v>
      </c>
      <c r="X569" s="447">
        <v>17.47428262633742</v>
      </c>
      <c r="Y569" s="447">
        <v>9.2384040329246631E-2</v>
      </c>
      <c r="Z569" s="452">
        <v>82.546777777777791</v>
      </c>
      <c r="AA569" s="58">
        <f t="shared" ca="1" si="20"/>
        <v>110.76</v>
      </c>
      <c r="AB569" s="453">
        <f ca="1">Table29[[#This Row],[Earnings]]-Table29[[#This Row],[4-Week Average]]</f>
        <v>-9.0000000000003411E-2</v>
      </c>
    </row>
    <row r="570" spans="1:28" x14ac:dyDescent="0.35">
      <c r="A570" s="436">
        <v>45520</v>
      </c>
      <c r="B570" s="435">
        <v>2024</v>
      </c>
      <c r="C570" s="435">
        <v>33</v>
      </c>
      <c r="D570" s="435">
        <v>7</v>
      </c>
      <c r="E570" s="435" t="s">
        <v>305</v>
      </c>
      <c r="F570" s="436" t="s">
        <v>50</v>
      </c>
      <c r="G570" s="437">
        <v>0.72916666666666552</v>
      </c>
      <c r="H570" s="436" t="s">
        <v>276</v>
      </c>
      <c r="I570" s="435">
        <v>66</v>
      </c>
      <c r="J570" s="436" t="s">
        <v>85</v>
      </c>
      <c r="K570" s="438">
        <v>141.51000000000002</v>
      </c>
      <c r="L570" s="439">
        <v>6.57</v>
      </c>
      <c r="M570" s="435">
        <v>140</v>
      </c>
      <c r="N570" s="435">
        <v>15</v>
      </c>
      <c r="O570" s="438">
        <v>21.538812785388131</v>
      </c>
      <c r="P570" s="440">
        <v>0.50656843530813944</v>
      </c>
      <c r="Q570" s="438">
        <v>9.4340000000000011</v>
      </c>
      <c r="R570" s="438">
        <v>1.0107857142857144</v>
      </c>
      <c r="S570" s="441">
        <v>9.3333333333333339</v>
      </c>
      <c r="T570" s="441">
        <v>2.2831050228310503</v>
      </c>
      <c r="U570" s="239">
        <v>4</v>
      </c>
      <c r="V570" s="442">
        <v>1.8249999999999999E-2</v>
      </c>
      <c r="W570" s="441" t="s">
        <v>175</v>
      </c>
      <c r="X570" s="438">
        <v>19.306427700229733</v>
      </c>
      <c r="Y570" s="438">
        <v>2.2323850851583984</v>
      </c>
      <c r="Z570" s="443">
        <v>84.119111111111124</v>
      </c>
      <c r="AA570" s="58">
        <f t="shared" ca="1" si="20"/>
        <v>112.73500000000001</v>
      </c>
      <c r="AB570" s="453">
        <f ca="1">Table29[[#This Row],[Earnings]]-Table29[[#This Row],[4-Week Average]]</f>
        <v>28.775000000000006</v>
      </c>
    </row>
    <row r="571" spans="1:28" x14ac:dyDescent="0.35">
      <c r="A571" s="445">
        <v>45521</v>
      </c>
      <c r="B571" s="444">
        <v>2024</v>
      </c>
      <c r="C571" s="444">
        <v>33</v>
      </c>
      <c r="D571" s="444">
        <v>7</v>
      </c>
      <c r="E571" s="444" t="s">
        <v>305</v>
      </c>
      <c r="F571" s="445" t="s">
        <v>51</v>
      </c>
      <c r="G571" s="446">
        <v>0.72916666666666552</v>
      </c>
      <c r="H571" s="445" t="s">
        <v>249</v>
      </c>
      <c r="I571" s="444">
        <v>66</v>
      </c>
      <c r="J571" s="445" t="s">
        <v>85</v>
      </c>
      <c r="K571" s="447">
        <v>165.45</v>
      </c>
      <c r="L571" s="448">
        <v>6.35</v>
      </c>
      <c r="M571" s="444">
        <v>131</v>
      </c>
      <c r="N571" s="444">
        <v>17</v>
      </c>
      <c r="O571" s="447">
        <v>26.055118110236219</v>
      </c>
      <c r="P571" s="449">
        <v>6.259843334194759</v>
      </c>
      <c r="Q571" s="447">
        <v>9.7323529411764707</v>
      </c>
      <c r="R571" s="447">
        <v>1.2629770992366411</v>
      </c>
      <c r="S571" s="450">
        <v>7.7058823529411766</v>
      </c>
      <c r="T571" s="450">
        <v>2.6771653543307088</v>
      </c>
      <c r="U571" s="240">
        <v>2</v>
      </c>
      <c r="V571" s="451">
        <v>1.5563725490196079E-2</v>
      </c>
      <c r="W571" s="450" t="s">
        <v>176</v>
      </c>
      <c r="X571" s="447">
        <v>21.324966967805693</v>
      </c>
      <c r="Y571" s="447">
        <v>4.7301511424305254</v>
      </c>
      <c r="Z571" s="452">
        <v>85.957444444444462</v>
      </c>
      <c r="AA571" s="58">
        <f t="shared" ca="1" si="20"/>
        <v>144.16000000000003</v>
      </c>
      <c r="AB571" s="453">
        <f ca="1">Table29[[#This Row],[Earnings]]-Table29[[#This Row],[4-Week Average]]</f>
        <v>21.289999999999964</v>
      </c>
    </row>
    <row r="572" spans="1:28" x14ac:dyDescent="0.35">
      <c r="A572" s="436">
        <v>45522</v>
      </c>
      <c r="B572" s="435">
        <v>2024</v>
      </c>
      <c r="C572" s="435">
        <v>33</v>
      </c>
      <c r="D572" s="435">
        <v>7</v>
      </c>
      <c r="E572" s="435" t="s">
        <v>305</v>
      </c>
      <c r="F572" s="436" t="s">
        <v>45</v>
      </c>
      <c r="G572" s="437">
        <v>0.81249999999999878</v>
      </c>
      <c r="H572" s="436" t="s">
        <v>249</v>
      </c>
      <c r="I572" s="435">
        <v>68</v>
      </c>
      <c r="J572" s="436" t="s">
        <v>85</v>
      </c>
      <c r="K572" s="438">
        <v>76.099999999999994</v>
      </c>
      <c r="L572" s="439">
        <v>4.1500000000000004</v>
      </c>
      <c r="M572" s="435">
        <v>64</v>
      </c>
      <c r="N572" s="435">
        <v>11</v>
      </c>
      <c r="O572" s="438">
        <v>18.337349397590359</v>
      </c>
      <c r="P572" s="440">
        <v>-7.3065115676509507</v>
      </c>
      <c r="Q572" s="438">
        <v>6.918181818181818</v>
      </c>
      <c r="R572" s="438">
        <v>1.1890624999999999</v>
      </c>
      <c r="S572" s="441">
        <v>5.8181818181818183</v>
      </c>
      <c r="T572" s="441">
        <v>2.6506024096385539</v>
      </c>
      <c r="U572" s="239">
        <v>1</v>
      </c>
      <c r="V572" s="442">
        <v>1.571969696969697E-2</v>
      </c>
      <c r="W572" s="441" t="s">
        <v>175</v>
      </c>
      <c r="X572" s="438">
        <v>20.923641586212398</v>
      </c>
      <c r="Y572" s="438">
        <v>-2.5862921886220391</v>
      </c>
      <c r="Z572" s="443">
        <v>86.558555555555557</v>
      </c>
      <c r="AA572" s="58">
        <f t="shared" ca="1" si="20"/>
        <v>123.4325</v>
      </c>
      <c r="AB572" s="453">
        <f ca="1">Table29[[#This Row],[Earnings]]-Table29[[#This Row],[4-Week Average]]</f>
        <v>-47.33250000000001</v>
      </c>
    </row>
    <row r="573" spans="1:28" x14ac:dyDescent="0.35">
      <c r="A573" s="445">
        <v>45525</v>
      </c>
      <c r="B573" s="444">
        <v>2024</v>
      </c>
      <c r="C573" s="444">
        <v>34</v>
      </c>
      <c r="D573" s="444">
        <v>8</v>
      </c>
      <c r="E573" s="444" t="s">
        <v>305</v>
      </c>
      <c r="F573" s="445" t="s">
        <v>48</v>
      </c>
      <c r="G573" s="446">
        <v>0.72916666666666552</v>
      </c>
      <c r="H573" s="445" t="s">
        <v>230</v>
      </c>
      <c r="I573" s="444">
        <v>64</v>
      </c>
      <c r="J573" s="445" t="s">
        <v>85</v>
      </c>
      <c r="K573" s="447">
        <v>143.61000000000001</v>
      </c>
      <c r="L573" s="448">
        <v>6.02</v>
      </c>
      <c r="M573" s="444">
        <v>136</v>
      </c>
      <c r="N573" s="444">
        <v>12</v>
      </c>
      <c r="O573" s="447">
        <v>23.855481727574755</v>
      </c>
      <c r="P573" s="449">
        <v>1.4237748346296044</v>
      </c>
      <c r="Q573" s="447">
        <v>11.967500000000001</v>
      </c>
      <c r="R573" s="447">
        <v>1.0559558823529414</v>
      </c>
      <c r="S573" s="450">
        <v>11.333333333333334</v>
      </c>
      <c r="T573" s="450">
        <v>1.9933554817275749</v>
      </c>
      <c r="U573" s="240">
        <v>3</v>
      </c>
      <c r="V573" s="451">
        <v>2.0902777777777774E-2</v>
      </c>
      <c r="W573" s="450" t="s">
        <v>176</v>
      </c>
      <c r="X573" s="447">
        <v>23.323781261793304</v>
      </c>
      <c r="Y573" s="447">
        <v>0.53170046578145147</v>
      </c>
      <c r="Z573" s="452">
        <v>86.172666666666657</v>
      </c>
      <c r="AA573" s="58">
        <f t="shared" ca="1" si="20"/>
        <v>131.66750000000002</v>
      </c>
      <c r="AB573" s="453">
        <f ca="1">Table29[[#This Row],[Earnings]]-Table29[[#This Row],[4-Week Average]]</f>
        <v>11.942499999999995</v>
      </c>
    </row>
    <row r="574" spans="1:28" x14ac:dyDescent="0.35">
      <c r="A574" s="436">
        <v>45526</v>
      </c>
      <c r="B574" s="435">
        <v>2024</v>
      </c>
      <c r="C574" s="435">
        <v>34</v>
      </c>
      <c r="D574" s="435">
        <v>8</v>
      </c>
      <c r="E574" s="435" t="s">
        <v>305</v>
      </c>
      <c r="F574" s="436" t="s">
        <v>49</v>
      </c>
      <c r="G574" s="437">
        <v>0.74999999999999889</v>
      </c>
      <c r="H574" s="436" t="s">
        <v>249</v>
      </c>
      <c r="I574" s="435">
        <v>68</v>
      </c>
      <c r="J574" s="436" t="s">
        <v>85</v>
      </c>
      <c r="K574" s="438">
        <v>145.18</v>
      </c>
      <c r="L574" s="439">
        <v>6.22</v>
      </c>
      <c r="M574" s="435">
        <v>112</v>
      </c>
      <c r="N574" s="435">
        <v>15</v>
      </c>
      <c r="O574" s="438">
        <v>23.34083601286174</v>
      </c>
      <c r="P574" s="440">
        <v>1.4703889520669975</v>
      </c>
      <c r="Q574" s="438">
        <v>9.6786666666666665</v>
      </c>
      <c r="R574" s="438">
        <v>1.2962500000000001</v>
      </c>
      <c r="S574" s="441">
        <v>7.4666666666666668</v>
      </c>
      <c r="T574" s="441">
        <v>2.4115755627009645</v>
      </c>
      <c r="U574" s="239">
        <v>4</v>
      </c>
      <c r="V574" s="442">
        <v>1.7277777777777777E-2</v>
      </c>
      <c r="W574" s="441" t="s">
        <v>176</v>
      </c>
      <c r="X574" s="438">
        <v>20.801092160105405</v>
      </c>
      <c r="Y574" s="438">
        <v>2.5397438527563345</v>
      </c>
      <c r="Z574" s="443">
        <v>86.98366666666665</v>
      </c>
      <c r="AA574" s="58">
        <f t="shared" ca="1" si="20"/>
        <v>132.58499999999998</v>
      </c>
      <c r="AB574" s="453">
        <f ca="1">Table29[[#This Row],[Earnings]]-Table29[[#This Row],[4-Week Average]]</f>
        <v>12.595000000000027</v>
      </c>
    </row>
    <row r="575" spans="1:28" x14ac:dyDescent="0.35">
      <c r="A575" s="445">
        <v>45527</v>
      </c>
      <c r="B575" s="444">
        <v>2024</v>
      </c>
      <c r="C575" s="444">
        <v>34</v>
      </c>
      <c r="D575" s="444">
        <v>8</v>
      </c>
      <c r="E575" s="444" t="s">
        <v>305</v>
      </c>
      <c r="F575" s="445" t="s">
        <v>50</v>
      </c>
      <c r="G575" s="446">
        <v>0.70833333333333226</v>
      </c>
      <c r="H575" s="445" t="s">
        <v>249</v>
      </c>
      <c r="I575" s="444">
        <v>68</v>
      </c>
      <c r="J575" s="445" t="s">
        <v>85</v>
      </c>
      <c r="K575" s="447">
        <v>234.59</v>
      </c>
      <c r="L575" s="448">
        <v>7.52</v>
      </c>
      <c r="M575" s="444">
        <v>163</v>
      </c>
      <c r="N575" s="444">
        <v>16</v>
      </c>
      <c r="O575" s="447">
        <v>31.195478723404257</v>
      </c>
      <c r="P575" s="449">
        <v>10.106948991623362</v>
      </c>
      <c r="Q575" s="447">
        <v>14.661875</v>
      </c>
      <c r="R575" s="447">
        <v>1.4392024539877302</v>
      </c>
      <c r="S575" s="450">
        <v>10.1875</v>
      </c>
      <c r="T575" s="450">
        <v>2.1276595744680851</v>
      </c>
      <c r="U575" s="240">
        <v>2</v>
      </c>
      <c r="V575" s="451">
        <v>1.9583333333333331E-2</v>
      </c>
      <c r="W575" s="450" t="s">
        <v>176</v>
      </c>
      <c r="X575" s="447">
        <v>25.991327331647295</v>
      </c>
      <c r="Y575" s="447">
        <v>5.2041513917569624</v>
      </c>
      <c r="Z575" s="452">
        <v>89.590222222222209</v>
      </c>
      <c r="AA575" s="58">
        <f t="shared" ca="1" si="20"/>
        <v>149.87</v>
      </c>
      <c r="AB575" s="453">
        <f ca="1">Table29[[#This Row],[Earnings]]-Table29[[#This Row],[4-Week Average]]</f>
        <v>84.72</v>
      </c>
    </row>
    <row r="576" spans="1:28" x14ac:dyDescent="0.35">
      <c r="A576" s="436">
        <v>45528</v>
      </c>
      <c r="B576" s="435">
        <v>2024</v>
      </c>
      <c r="C576" s="435">
        <v>34</v>
      </c>
      <c r="D576" s="435">
        <v>8</v>
      </c>
      <c r="E576" s="435" t="s">
        <v>305</v>
      </c>
      <c r="F576" s="436" t="s">
        <v>51</v>
      </c>
      <c r="G576" s="437">
        <v>0.68749999999999889</v>
      </c>
      <c r="H576" s="436" t="s">
        <v>249</v>
      </c>
      <c r="I576" s="435">
        <v>70</v>
      </c>
      <c r="J576" s="436" t="s">
        <v>85</v>
      </c>
      <c r="K576" s="438">
        <v>144.54000000000002</v>
      </c>
      <c r="L576" s="439">
        <v>6.93</v>
      </c>
      <c r="M576" s="435">
        <v>131</v>
      </c>
      <c r="N576" s="435">
        <v>16</v>
      </c>
      <c r="O576" s="438">
        <v>20.857142857142861</v>
      </c>
      <c r="P576" s="440">
        <v>-1.0247463636301859</v>
      </c>
      <c r="Q576" s="438">
        <v>9.0337500000000013</v>
      </c>
      <c r="R576" s="438">
        <v>1.1033587786259544</v>
      </c>
      <c r="S576" s="441">
        <v>8.1875</v>
      </c>
      <c r="T576" s="441">
        <v>2.3088023088023091</v>
      </c>
      <c r="U576" s="239">
        <v>4</v>
      </c>
      <c r="V576" s="442">
        <v>1.8046875E-2</v>
      </c>
      <c r="W576" s="441" t="s">
        <v>176</v>
      </c>
      <c r="X576" s="438">
        <v>19.755357688810538</v>
      </c>
      <c r="Y576" s="438">
        <v>1.1017851683323237</v>
      </c>
      <c r="Z576" s="443">
        <v>91.196222222222218</v>
      </c>
      <c r="AA576" s="58">
        <f t="shared" ca="1" si="20"/>
        <v>166.98000000000002</v>
      </c>
      <c r="AB576" s="453">
        <f ca="1">Table29[[#This Row],[Earnings]]-Table29[[#This Row],[4-Week Average]]</f>
        <v>-22.439999999999998</v>
      </c>
    </row>
    <row r="577" spans="1:28" x14ac:dyDescent="0.35">
      <c r="A577" s="445">
        <v>45529</v>
      </c>
      <c r="B577" s="444">
        <v>2024</v>
      </c>
      <c r="C577" s="444">
        <v>34</v>
      </c>
      <c r="D577" s="444">
        <v>8</v>
      </c>
      <c r="E577" s="444" t="s">
        <v>305</v>
      </c>
      <c r="F577" s="445" t="s">
        <v>45</v>
      </c>
      <c r="G577" s="446">
        <v>0.72916666666666552</v>
      </c>
      <c r="H577" s="445" t="s">
        <v>285</v>
      </c>
      <c r="I577" s="444">
        <v>72</v>
      </c>
      <c r="J577" s="445" t="s">
        <v>85</v>
      </c>
      <c r="K577" s="447">
        <v>159.01999999999998</v>
      </c>
      <c r="L577" s="448">
        <v>5.92</v>
      </c>
      <c r="M577" s="444">
        <v>144</v>
      </c>
      <c r="N577" s="444">
        <v>15</v>
      </c>
      <c r="O577" s="447">
        <v>26.861486486486484</v>
      </c>
      <c r="P577" s="449">
        <v>3.653129377128824</v>
      </c>
      <c r="Q577" s="447">
        <v>10.601333333333333</v>
      </c>
      <c r="R577" s="447">
        <v>1.1043055555555554</v>
      </c>
      <c r="S577" s="450">
        <v>9.6</v>
      </c>
      <c r="T577" s="450">
        <v>2.5337837837837838</v>
      </c>
      <c r="U577" s="240">
        <v>2</v>
      </c>
      <c r="V577" s="451">
        <v>1.6444444444444446E-2</v>
      </c>
      <c r="W577" s="450" t="s">
        <v>176</v>
      </c>
      <c r="X577" s="447">
        <v>20.818424402663531</v>
      </c>
      <c r="Y577" s="447">
        <v>6.043062083822953</v>
      </c>
      <c r="Z577" s="452">
        <v>91.924333333333323</v>
      </c>
      <c r="AA577" s="58">
        <f t="shared" ca="1" si="20"/>
        <v>170.83249999999998</v>
      </c>
      <c r="AB577" s="453">
        <f ca="1">Table29[[#This Row],[Earnings]]-Table29[[#This Row],[4-Week Average]]</f>
        <v>-11.8125</v>
      </c>
    </row>
    <row r="578" spans="1:28" x14ac:dyDescent="0.35">
      <c r="A578" s="436">
        <v>45530</v>
      </c>
      <c r="B578" s="435">
        <v>2024</v>
      </c>
      <c r="C578" s="435">
        <v>35</v>
      </c>
      <c r="D578" s="435">
        <v>9</v>
      </c>
      <c r="E578" s="435" t="s">
        <v>305</v>
      </c>
      <c r="F578" s="436" t="s">
        <v>46</v>
      </c>
      <c r="G578" s="437">
        <v>0.72916666666666552</v>
      </c>
      <c r="H578" s="436" t="s">
        <v>276</v>
      </c>
      <c r="I578" s="435">
        <v>66</v>
      </c>
      <c r="J578" s="436" t="s">
        <v>85</v>
      </c>
      <c r="K578" s="438">
        <v>147.57</v>
      </c>
      <c r="L578" s="439">
        <v>5.7</v>
      </c>
      <c r="M578" s="435">
        <v>145</v>
      </c>
      <c r="N578" s="435">
        <v>13</v>
      </c>
      <c r="O578" s="438">
        <v>25.889473684210525</v>
      </c>
      <c r="P578" s="440">
        <v>4.634282631976852</v>
      </c>
      <c r="Q578" s="438">
        <v>11.35153846153846</v>
      </c>
      <c r="R578" s="438">
        <v>1.0177241379310344</v>
      </c>
      <c r="S578" s="441">
        <v>11.153846153846153</v>
      </c>
      <c r="T578" s="441">
        <v>2.2807017543859649</v>
      </c>
      <c r="U578" s="239">
        <v>2</v>
      </c>
      <c r="V578" s="442">
        <v>1.826923076923077E-2</v>
      </c>
      <c r="W578" s="441" t="s">
        <v>176</v>
      </c>
      <c r="X578" s="438">
        <v>22.565375230269186</v>
      </c>
      <c r="Y578" s="438">
        <v>3.324098453941339</v>
      </c>
      <c r="Z578" s="443">
        <v>92.217111111111095</v>
      </c>
      <c r="AA578" s="58">
        <f t="shared" ca="1" si="20"/>
        <v>171.43</v>
      </c>
      <c r="AB578" s="453">
        <f ca="1">Table29[[#This Row],[Earnings]]-Table29[[#This Row],[4-Week Average]]</f>
        <v>-23.860000000000014</v>
      </c>
    </row>
    <row r="579" spans="1:28" x14ac:dyDescent="0.35">
      <c r="A579" s="445">
        <v>45531</v>
      </c>
      <c r="B579" s="444">
        <v>2024</v>
      </c>
      <c r="C579" s="444">
        <v>35</v>
      </c>
      <c r="D579" s="444">
        <v>9</v>
      </c>
      <c r="E579" s="444" t="s">
        <v>305</v>
      </c>
      <c r="F579" s="445" t="s">
        <v>47</v>
      </c>
      <c r="G579" s="446">
        <v>0.72916666666666552</v>
      </c>
      <c r="H579" s="445" t="s">
        <v>230</v>
      </c>
      <c r="I579" s="444">
        <v>68</v>
      </c>
      <c r="J579" s="445" t="s">
        <v>85</v>
      </c>
      <c r="K579" s="447">
        <v>106.47</v>
      </c>
      <c r="L579" s="448">
        <v>5.47</v>
      </c>
      <c r="M579" s="444">
        <v>90</v>
      </c>
      <c r="N579" s="444">
        <v>11</v>
      </c>
      <c r="O579" s="447">
        <v>19.46435100548446</v>
      </c>
      <c r="P579" s="449">
        <v>-2.1140603230912767</v>
      </c>
      <c r="Q579" s="447">
        <v>9.6790909090909096</v>
      </c>
      <c r="R579" s="447">
        <v>1.1830000000000001</v>
      </c>
      <c r="S579" s="450">
        <v>8.1818181818181817</v>
      </c>
      <c r="T579" s="450">
        <v>2.0109689213893969</v>
      </c>
      <c r="U579" s="240">
        <v>1</v>
      </c>
      <c r="V579" s="451">
        <v>2.0719696969696968E-2</v>
      </c>
      <c r="W579" s="450" t="s">
        <v>176</v>
      </c>
      <c r="X579" s="447">
        <v>19.46435100548446</v>
      </c>
      <c r="Y579" s="447">
        <v>0</v>
      </c>
      <c r="Z579" s="452">
        <v>92.86422222222221</v>
      </c>
      <c r="AA579" s="58">
        <f t="shared" ca="1" si="20"/>
        <v>139.4</v>
      </c>
      <c r="AB579" s="453">
        <f ca="1">Table29[[#This Row],[Earnings]]-Table29[[#This Row],[4-Week Average]]</f>
        <v>-32.930000000000007</v>
      </c>
    </row>
    <row r="580" spans="1:28" x14ac:dyDescent="0.35">
      <c r="A580" s="436">
        <v>45532</v>
      </c>
      <c r="B580" s="435">
        <v>2024</v>
      </c>
      <c r="C580" s="435">
        <v>35</v>
      </c>
      <c r="D580" s="435">
        <v>9</v>
      </c>
      <c r="E580" s="435" t="s">
        <v>305</v>
      </c>
      <c r="F580" s="436" t="s">
        <v>48</v>
      </c>
      <c r="G580" s="437">
        <v>0.70833333333333226</v>
      </c>
      <c r="H580" s="436" t="s">
        <v>230</v>
      </c>
      <c r="I580" s="435">
        <v>66</v>
      </c>
      <c r="J580" s="436" t="s">
        <v>80</v>
      </c>
      <c r="K580" s="438">
        <v>62.17</v>
      </c>
      <c r="L580" s="439">
        <v>2.73</v>
      </c>
      <c r="M580" s="435">
        <v>50</v>
      </c>
      <c r="N580" s="435">
        <v>8</v>
      </c>
      <c r="O580" s="438">
        <v>22.772893772893774</v>
      </c>
      <c r="P580" s="440">
        <v>0.1287236723757168</v>
      </c>
      <c r="Q580" s="438">
        <v>7.7712500000000002</v>
      </c>
      <c r="R580" s="438">
        <v>1.2434000000000001</v>
      </c>
      <c r="S580" s="441">
        <v>6.25</v>
      </c>
      <c r="T580" s="441">
        <v>2.9304029304029302</v>
      </c>
      <c r="U580" s="239">
        <v>2</v>
      </c>
      <c r="V580" s="442">
        <v>1.421875E-2</v>
      </c>
      <c r="W580" s="441" t="s">
        <v>176</v>
      </c>
      <c r="X580" s="438">
        <v>24.84553283501565</v>
      </c>
      <c r="Y580" s="438">
        <v>-2.0726390621218762</v>
      </c>
      <c r="Z580" s="443">
        <v>91.822444444444429</v>
      </c>
      <c r="AA580" s="58">
        <f t="shared" ref="AA580:AA643" ca="1" si="21">AVERAGE(OFFSET(K580,-3,0,4,1))</f>
        <v>118.80749999999999</v>
      </c>
      <c r="AB580" s="453">
        <f ca="1">Table29[[#This Row],[Earnings]]-Table29[[#This Row],[4-Week Average]]</f>
        <v>-56.637499999999989</v>
      </c>
    </row>
    <row r="581" spans="1:28" x14ac:dyDescent="0.35">
      <c r="A581" s="445">
        <v>45537</v>
      </c>
      <c r="B581" s="444">
        <v>2024</v>
      </c>
      <c r="C581" s="444">
        <v>36</v>
      </c>
      <c r="D581" s="444">
        <v>10</v>
      </c>
      <c r="E581" s="444" t="s">
        <v>305</v>
      </c>
      <c r="F581" s="445" t="s">
        <v>46</v>
      </c>
      <c r="G581" s="446">
        <v>0.64583333333333237</v>
      </c>
      <c r="H581" s="445" t="s">
        <v>230</v>
      </c>
      <c r="I581" s="444">
        <v>64</v>
      </c>
      <c r="J581" s="445" t="s">
        <v>85</v>
      </c>
      <c r="K581" s="447">
        <v>196.91</v>
      </c>
      <c r="L581" s="448">
        <v>6.78</v>
      </c>
      <c r="M581" s="444">
        <v>103</v>
      </c>
      <c r="N581" s="444">
        <v>17</v>
      </c>
      <c r="O581" s="447">
        <v>29.04277286135693</v>
      </c>
      <c r="P581" s="449">
        <v>7.4310985297404208</v>
      </c>
      <c r="Q581" s="447">
        <v>11.582941176470587</v>
      </c>
      <c r="R581" s="447">
        <v>1.911747572815534</v>
      </c>
      <c r="S581" s="450">
        <v>6.0588235294117645</v>
      </c>
      <c r="T581" s="450">
        <v>2.5073746312684366</v>
      </c>
      <c r="U581" s="240">
        <v>3</v>
      </c>
      <c r="V581" s="451">
        <v>1.6617647058823532E-2</v>
      </c>
      <c r="W581" s="450" t="s">
        <v>176</v>
      </c>
      <c r="X581" s="447">
        <v>18.499060876897357</v>
      </c>
      <c r="Y581" s="447">
        <v>10.543711984459573</v>
      </c>
      <c r="Z581" s="452">
        <v>87.577555555555534</v>
      </c>
      <c r="AA581" s="58">
        <f t="shared" ca="1" si="21"/>
        <v>128.28</v>
      </c>
      <c r="AB581" s="453">
        <f ca="1">Table29[[#This Row],[Earnings]]-Table29[[#This Row],[4-Week Average]]</f>
        <v>68.63</v>
      </c>
    </row>
    <row r="582" spans="1:28" x14ac:dyDescent="0.35">
      <c r="A582" s="436">
        <v>45540</v>
      </c>
      <c r="B582" s="435">
        <v>2024</v>
      </c>
      <c r="C582" s="435">
        <v>36</v>
      </c>
      <c r="D582" s="435">
        <v>10</v>
      </c>
      <c r="E582" s="435" t="s">
        <v>305</v>
      </c>
      <c r="F582" s="436" t="s">
        <v>49</v>
      </c>
      <c r="G582" s="437">
        <v>0.79166666666666541</v>
      </c>
      <c r="H582" s="436" t="s">
        <v>230</v>
      </c>
      <c r="I582" s="435">
        <v>70</v>
      </c>
      <c r="J582" s="436" t="s">
        <v>82</v>
      </c>
      <c r="K582" s="438">
        <v>80.3</v>
      </c>
      <c r="L582" s="439">
        <v>3.58</v>
      </c>
      <c r="M582" s="435">
        <v>46</v>
      </c>
      <c r="N582" s="435">
        <v>8</v>
      </c>
      <c r="O582" s="438">
        <v>22.430167597765362</v>
      </c>
      <c r="P582" s="440">
        <v>5.1299746810429383</v>
      </c>
      <c r="Q582" s="438">
        <v>10.0375</v>
      </c>
      <c r="R582" s="438">
        <v>1.7456521739130435</v>
      </c>
      <c r="S582" s="441">
        <v>5.75</v>
      </c>
      <c r="T582" s="441">
        <v>2.2346368715083798</v>
      </c>
      <c r="U582" s="239">
        <v>3</v>
      </c>
      <c r="V582" s="442">
        <v>1.8645833333333334E-2</v>
      </c>
      <c r="W582" s="441" t="s">
        <v>176</v>
      </c>
      <c r="X582" s="438">
        <v>19.513187856973243</v>
      </c>
      <c r="Y582" s="438">
        <v>2.9169797407921187</v>
      </c>
      <c r="Z582" s="443">
        <v>84.073444444444434</v>
      </c>
      <c r="AA582" s="58">
        <f t="shared" ca="1" si="21"/>
        <v>111.46249999999999</v>
      </c>
      <c r="AB582" s="453">
        <f ca="1">Table29[[#This Row],[Earnings]]-Table29[[#This Row],[4-Week Average]]</f>
        <v>-31.162499999999994</v>
      </c>
    </row>
    <row r="583" spans="1:28" x14ac:dyDescent="0.35">
      <c r="A583" s="445">
        <v>45541</v>
      </c>
      <c r="B583" s="444">
        <v>2024</v>
      </c>
      <c r="C583" s="444">
        <v>36</v>
      </c>
      <c r="D583" s="444">
        <v>10</v>
      </c>
      <c r="E583" s="444" t="s">
        <v>305</v>
      </c>
      <c r="F583" s="445" t="s">
        <v>50</v>
      </c>
      <c r="G583" s="446">
        <v>0.72916666666666552</v>
      </c>
      <c r="H583" s="445" t="s">
        <v>249</v>
      </c>
      <c r="I583" s="444">
        <v>63</v>
      </c>
      <c r="J583" s="445" t="s">
        <v>85</v>
      </c>
      <c r="K583" s="447">
        <v>130.28</v>
      </c>
      <c r="L583" s="448">
        <v>6.05</v>
      </c>
      <c r="M583" s="444">
        <v>109</v>
      </c>
      <c r="N583" s="444">
        <v>13</v>
      </c>
      <c r="O583" s="447">
        <v>21.533884297520661</v>
      </c>
      <c r="P583" s="449">
        <v>-0.56534033342257217</v>
      </c>
      <c r="Q583" s="447">
        <v>10.021538461538462</v>
      </c>
      <c r="R583" s="447">
        <v>1.1952293577981652</v>
      </c>
      <c r="S583" s="450">
        <v>8.384615384615385</v>
      </c>
      <c r="T583" s="450">
        <v>2.1487603305785123</v>
      </c>
      <c r="U583" s="240">
        <v>2</v>
      </c>
      <c r="V583" s="451">
        <v>1.9391025641025642E-2</v>
      </c>
      <c r="W583" s="450" t="s">
        <v>175</v>
      </c>
      <c r="X583" s="447">
        <v>21.674707341206283</v>
      </c>
      <c r="Y583" s="447">
        <v>-0.14082304368562149</v>
      </c>
      <c r="Z583" s="452">
        <v>84.00888888888889</v>
      </c>
      <c r="AA583" s="58">
        <f t="shared" ca="1" si="21"/>
        <v>117.41499999999999</v>
      </c>
      <c r="AB583" s="453">
        <f ca="1">Table29[[#This Row],[Earnings]]-Table29[[#This Row],[4-Week Average]]</f>
        <v>12.865000000000009</v>
      </c>
    </row>
    <row r="584" spans="1:28" x14ac:dyDescent="0.35">
      <c r="A584" s="436">
        <v>45542</v>
      </c>
      <c r="B584" s="435">
        <v>2024</v>
      </c>
      <c r="C584" s="435">
        <v>36</v>
      </c>
      <c r="D584" s="435">
        <v>10</v>
      </c>
      <c r="E584" s="435" t="s">
        <v>305</v>
      </c>
      <c r="F584" s="436" t="s">
        <v>51</v>
      </c>
      <c r="G584" s="437">
        <v>0.81249999999999878</v>
      </c>
      <c r="H584" s="436" t="s">
        <v>285</v>
      </c>
      <c r="I584" s="435">
        <v>64</v>
      </c>
      <c r="J584" s="436" t="s">
        <v>85</v>
      </c>
      <c r="K584" s="438">
        <v>81.210000000000008</v>
      </c>
      <c r="L584" s="439">
        <v>3.95</v>
      </c>
      <c r="M584" s="435">
        <v>104</v>
      </c>
      <c r="N584" s="435">
        <v>7</v>
      </c>
      <c r="O584" s="438">
        <v>20.559493670886077</v>
      </c>
      <c r="P584" s="440">
        <v>-1.0662089589794235</v>
      </c>
      <c r="Q584" s="438">
        <v>11.601428571428572</v>
      </c>
      <c r="R584" s="438">
        <v>0.78086538461538468</v>
      </c>
      <c r="S584" s="441">
        <v>14.857142857142858</v>
      </c>
      <c r="T584" s="441">
        <v>1.7721518987341771</v>
      </c>
      <c r="U584" s="239">
        <v>2</v>
      </c>
      <c r="V584" s="442">
        <v>2.3511904761904762E-2</v>
      </c>
      <c r="W584" s="441" t="s">
        <v>176</v>
      </c>
      <c r="X584" s="438">
        <v>21.809743590106308</v>
      </c>
      <c r="Y584" s="438">
        <v>-1.2502499192202308</v>
      </c>
      <c r="Z584" s="443">
        <v>82.9771111111111</v>
      </c>
      <c r="AA584" s="58">
        <f t="shared" ca="1" si="21"/>
        <v>122.17500000000001</v>
      </c>
      <c r="AB584" s="453">
        <f ca="1">Table29[[#This Row],[Earnings]]-Table29[[#This Row],[4-Week Average]]</f>
        <v>-40.965000000000003</v>
      </c>
    </row>
    <row r="585" spans="1:28" x14ac:dyDescent="0.35">
      <c r="A585" s="445">
        <v>45544</v>
      </c>
      <c r="B585" s="444">
        <v>2024</v>
      </c>
      <c r="C585" s="444">
        <v>37</v>
      </c>
      <c r="D585" s="444">
        <v>11</v>
      </c>
      <c r="E585" s="444" t="s">
        <v>305</v>
      </c>
      <c r="F585" s="445" t="s">
        <v>46</v>
      </c>
      <c r="G585" s="446">
        <v>0.74999999999999889</v>
      </c>
      <c r="H585" s="445" t="s">
        <v>249</v>
      </c>
      <c r="I585" s="444">
        <v>64</v>
      </c>
      <c r="J585" s="445" t="s">
        <v>80</v>
      </c>
      <c r="K585" s="447">
        <v>203.74</v>
      </c>
      <c r="L585" s="448">
        <v>5.8</v>
      </c>
      <c r="M585" s="444">
        <v>133</v>
      </c>
      <c r="N585" s="444">
        <v>16</v>
      </c>
      <c r="O585" s="447">
        <v>35.127586206896552</v>
      </c>
      <c r="P585" s="449">
        <v>17.826189063988625</v>
      </c>
      <c r="Q585" s="447">
        <v>12.733750000000001</v>
      </c>
      <c r="R585" s="447">
        <v>1.5318796992481203</v>
      </c>
      <c r="S585" s="450">
        <v>8.3125</v>
      </c>
      <c r="T585" s="450">
        <v>2.7586206896551726</v>
      </c>
      <c r="U585" s="240">
        <v>3</v>
      </c>
      <c r="V585" s="451">
        <v>1.5104166666666667E-2</v>
      </c>
      <c r="W585" s="450" t="s">
        <v>176</v>
      </c>
      <c r="X585" s="447">
        <v>31.165355603448276</v>
      </c>
      <c r="Y585" s="447">
        <v>3.9622306034482762</v>
      </c>
      <c r="Z585" s="452">
        <v>82.672333333333341</v>
      </c>
      <c r="AA585" s="58">
        <f t="shared" ca="1" si="21"/>
        <v>123.88249999999999</v>
      </c>
      <c r="AB585" s="453">
        <f ca="1">Table29[[#This Row],[Earnings]]-Table29[[#This Row],[4-Week Average]]</f>
        <v>79.857500000000016</v>
      </c>
    </row>
    <row r="586" spans="1:28" x14ac:dyDescent="0.35">
      <c r="A586" s="436">
        <v>45545</v>
      </c>
      <c r="B586" s="435">
        <v>2024</v>
      </c>
      <c r="C586" s="435">
        <v>37</v>
      </c>
      <c r="D586" s="435">
        <v>11</v>
      </c>
      <c r="E586" s="435" t="s">
        <v>305</v>
      </c>
      <c r="F586" s="436" t="s">
        <v>47</v>
      </c>
      <c r="G586" s="437">
        <v>0.72916666666666552</v>
      </c>
      <c r="H586" s="436" t="s">
        <v>230</v>
      </c>
      <c r="I586" s="435">
        <v>63</v>
      </c>
      <c r="J586" s="436" t="s">
        <v>80</v>
      </c>
      <c r="K586" s="438">
        <v>96.5</v>
      </c>
      <c r="L586" s="439">
        <v>5.3</v>
      </c>
      <c r="M586" s="435">
        <v>119</v>
      </c>
      <c r="N586" s="435">
        <v>10</v>
      </c>
      <c r="O586" s="438">
        <v>18.20754716981132</v>
      </c>
      <c r="P586" s="440">
        <v>-4.2256571427716381</v>
      </c>
      <c r="Q586" s="438">
        <v>9.65</v>
      </c>
      <c r="R586" s="438">
        <v>0.81092436974789917</v>
      </c>
      <c r="S586" s="441">
        <v>11.9</v>
      </c>
      <c r="T586" s="441">
        <v>1.8867924528301887</v>
      </c>
      <c r="U586" s="239">
        <v>1</v>
      </c>
      <c r="V586" s="442">
        <v>2.2083333333333333E-2</v>
      </c>
      <c r="W586" s="441" t="s">
        <v>176</v>
      </c>
      <c r="X586" s="438">
        <v>32.022523584905663</v>
      </c>
      <c r="Y586" s="438">
        <v>-13.814976415094343</v>
      </c>
      <c r="Z586" s="443">
        <v>82.578111111111113</v>
      </c>
      <c r="AA586" s="58">
        <f t="shared" ca="1" si="21"/>
        <v>127.9325</v>
      </c>
      <c r="AB586" s="453">
        <f ca="1">Table29[[#This Row],[Earnings]]-Table29[[#This Row],[4-Week Average]]</f>
        <v>-31.432500000000005</v>
      </c>
    </row>
    <row r="587" spans="1:28" x14ac:dyDescent="0.35">
      <c r="A587" s="445">
        <v>45546</v>
      </c>
      <c r="B587" s="444">
        <v>2024</v>
      </c>
      <c r="C587" s="444">
        <v>37</v>
      </c>
      <c r="D587" s="444">
        <v>11</v>
      </c>
      <c r="E587" s="444" t="s">
        <v>305</v>
      </c>
      <c r="F587" s="445" t="s">
        <v>48</v>
      </c>
      <c r="G587" s="446">
        <v>0.70833333333333226</v>
      </c>
      <c r="H587" s="445" t="s">
        <v>230</v>
      </c>
      <c r="I587" s="444">
        <v>66</v>
      </c>
      <c r="J587" s="445" t="s">
        <v>80</v>
      </c>
      <c r="K587" s="447">
        <v>110.62</v>
      </c>
      <c r="L587" s="448">
        <v>5.98</v>
      </c>
      <c r="M587" s="444">
        <v>119</v>
      </c>
      <c r="N587" s="444">
        <v>13</v>
      </c>
      <c r="O587" s="447">
        <v>18.498327759197323</v>
      </c>
      <c r="P587" s="449">
        <v>-4.1619328003676976</v>
      </c>
      <c r="Q587" s="447">
        <v>8.5092307692307703</v>
      </c>
      <c r="R587" s="447">
        <v>0.92957983193277316</v>
      </c>
      <c r="S587" s="450">
        <v>9.1538461538461533</v>
      </c>
      <c r="T587" s="450">
        <v>2.1739130434782608</v>
      </c>
      <c r="U587" s="240">
        <v>2</v>
      </c>
      <c r="V587" s="451">
        <v>1.9166666666666669E-2</v>
      </c>
      <c r="W587" s="450" t="s">
        <v>176</v>
      </c>
      <c r="X587" s="447">
        <v>17.244530305697353</v>
      </c>
      <c r="Y587" s="447">
        <v>1.2537974534999705</v>
      </c>
      <c r="Z587" s="452">
        <v>82.318333333333342</v>
      </c>
      <c r="AA587" s="58">
        <f t="shared" ca="1" si="21"/>
        <v>123.01750000000001</v>
      </c>
      <c r="AB587" s="453">
        <f ca="1">Table29[[#This Row],[Earnings]]-Table29[[#This Row],[4-Week Average]]</f>
        <v>-12.397500000000008</v>
      </c>
    </row>
    <row r="588" spans="1:28" x14ac:dyDescent="0.35">
      <c r="A588" s="436">
        <v>45547</v>
      </c>
      <c r="B588" s="435">
        <v>2024</v>
      </c>
      <c r="C588" s="435">
        <v>37</v>
      </c>
      <c r="D588" s="435">
        <v>11</v>
      </c>
      <c r="E588" s="435" t="s">
        <v>305</v>
      </c>
      <c r="F588" s="436" t="s">
        <v>49</v>
      </c>
      <c r="G588" s="437">
        <v>0.72916666666666552</v>
      </c>
      <c r="H588" s="436" t="s">
        <v>230</v>
      </c>
      <c r="I588" s="435">
        <v>70</v>
      </c>
      <c r="J588" s="436" t="s">
        <v>82</v>
      </c>
      <c r="K588" s="438">
        <v>154.49</v>
      </c>
      <c r="L588" s="439">
        <v>6.2</v>
      </c>
      <c r="M588" s="435">
        <v>101</v>
      </c>
      <c r="N588" s="435">
        <v>19</v>
      </c>
      <c r="O588" s="438">
        <v>24.917741935483871</v>
      </c>
      <c r="P588" s="440">
        <v>6.5915540825528609</v>
      </c>
      <c r="Q588" s="438">
        <v>8.1310526315789478</v>
      </c>
      <c r="R588" s="438">
        <v>1.5296039603960396</v>
      </c>
      <c r="S588" s="441">
        <v>5.3157894736842106</v>
      </c>
      <c r="T588" s="441">
        <v>3.064516129032258</v>
      </c>
      <c r="U588" s="239">
        <v>4</v>
      </c>
      <c r="V588" s="442">
        <v>1.3596491228070176E-2</v>
      </c>
      <c r="W588" s="441" t="s">
        <v>175</v>
      </c>
      <c r="X588" s="438">
        <v>23.619788035045261</v>
      </c>
      <c r="Y588" s="438">
        <v>1.2979539004386105</v>
      </c>
      <c r="Z588" s="443">
        <v>81.737222222222215</v>
      </c>
      <c r="AA588" s="58">
        <f t="shared" ca="1" si="21"/>
        <v>141.33750000000001</v>
      </c>
      <c r="AB588" s="453">
        <f ca="1">Table29[[#This Row],[Earnings]]-Table29[[#This Row],[4-Week Average]]</f>
        <v>13.152500000000003</v>
      </c>
    </row>
    <row r="589" spans="1:28" x14ac:dyDescent="0.35">
      <c r="A589" s="445">
        <v>45548</v>
      </c>
      <c r="B589" s="444">
        <v>2024</v>
      </c>
      <c r="C589" s="444">
        <v>37</v>
      </c>
      <c r="D589" s="444">
        <v>11</v>
      </c>
      <c r="E589" s="444" t="s">
        <v>305</v>
      </c>
      <c r="F589" s="445" t="s">
        <v>50</v>
      </c>
      <c r="G589" s="446">
        <v>0.74999999999999889</v>
      </c>
      <c r="H589" s="445" t="s">
        <v>230</v>
      </c>
      <c r="I589" s="444">
        <v>79</v>
      </c>
      <c r="J589" s="445" t="s">
        <v>82</v>
      </c>
      <c r="K589" s="447">
        <v>172.95</v>
      </c>
      <c r="L589" s="448">
        <v>7.1</v>
      </c>
      <c r="M589" s="444">
        <v>147</v>
      </c>
      <c r="N589" s="444">
        <v>14</v>
      </c>
      <c r="O589" s="447">
        <v>24.359154929577464</v>
      </c>
      <c r="P589" s="449">
        <v>3.8992582887505911</v>
      </c>
      <c r="Q589" s="447">
        <v>12.353571428571428</v>
      </c>
      <c r="R589" s="447">
        <v>1.176530612244898</v>
      </c>
      <c r="S589" s="450">
        <v>10.5</v>
      </c>
      <c r="T589" s="450">
        <v>1.971830985915493</v>
      </c>
      <c r="U589" s="240">
        <v>3</v>
      </c>
      <c r="V589" s="451">
        <v>2.1130952380952379E-2</v>
      </c>
      <c r="W589" s="450" t="s">
        <v>176</v>
      </c>
      <c r="X589" s="447">
        <v>29.0777208364416</v>
      </c>
      <c r="Y589" s="447">
        <v>-4.7185659068641357</v>
      </c>
      <c r="Z589" s="452">
        <v>82.071333333333328</v>
      </c>
      <c r="AA589" s="58">
        <f t="shared" ca="1" si="21"/>
        <v>133.63999999999999</v>
      </c>
      <c r="AB589" s="453">
        <f ca="1">Table29[[#This Row],[Earnings]]-Table29[[#This Row],[4-Week Average]]</f>
        <v>39.31</v>
      </c>
    </row>
    <row r="590" spans="1:28" x14ac:dyDescent="0.35">
      <c r="A590" s="436">
        <v>45549</v>
      </c>
      <c r="B590" s="435">
        <v>2024</v>
      </c>
      <c r="C590" s="435">
        <v>37</v>
      </c>
      <c r="D590" s="435">
        <v>11</v>
      </c>
      <c r="E590" s="435" t="s">
        <v>305</v>
      </c>
      <c r="F590" s="436" t="s">
        <v>51</v>
      </c>
      <c r="G590" s="437">
        <v>0.68749999999999889</v>
      </c>
      <c r="H590" s="436" t="s">
        <v>230</v>
      </c>
      <c r="I590" s="435">
        <v>68</v>
      </c>
      <c r="J590" s="436" t="s">
        <v>82</v>
      </c>
      <c r="K590" s="438">
        <v>120.07</v>
      </c>
      <c r="L590" s="439">
        <v>5.88</v>
      </c>
      <c r="M590" s="435">
        <v>122</v>
      </c>
      <c r="N590" s="435">
        <v>14</v>
      </c>
      <c r="O590" s="438">
        <v>20.420068027210885</v>
      </c>
      <c r="P590" s="440">
        <v>-0.85557873782920169</v>
      </c>
      <c r="Q590" s="438">
        <v>8.5764285714285702</v>
      </c>
      <c r="R590" s="438">
        <v>0.98418032786885246</v>
      </c>
      <c r="S590" s="441">
        <v>8.7142857142857135</v>
      </c>
      <c r="T590" s="441">
        <v>2.3809523809523809</v>
      </c>
      <c r="U590" s="239">
        <v>3</v>
      </c>
      <c r="V590" s="442">
        <v>1.7499999999999998E-2</v>
      </c>
      <c r="W590" s="441" t="s">
        <v>175</v>
      </c>
      <c r="X590" s="438">
        <v>22.687811791383218</v>
      </c>
      <c r="Y590" s="438">
        <v>-2.2677437641723337</v>
      </c>
      <c r="Z590" s="443">
        <v>83.405444444444441</v>
      </c>
      <c r="AA590" s="58">
        <f t="shared" ca="1" si="21"/>
        <v>139.5325</v>
      </c>
      <c r="AB590" s="453">
        <f ca="1">Table29[[#This Row],[Earnings]]-Table29[[#This Row],[4-Week Average]]</f>
        <v>-19.462500000000006</v>
      </c>
    </row>
    <row r="591" spans="1:28" x14ac:dyDescent="0.35">
      <c r="A591" s="445">
        <v>45550</v>
      </c>
      <c r="B591" s="444">
        <v>2024</v>
      </c>
      <c r="C591" s="444">
        <v>37</v>
      </c>
      <c r="D591" s="444">
        <v>11</v>
      </c>
      <c r="E591" s="444" t="s">
        <v>305</v>
      </c>
      <c r="F591" s="445" t="s">
        <v>45</v>
      </c>
      <c r="G591" s="446">
        <v>0.45833333333333259</v>
      </c>
      <c r="H591" s="445" t="s">
        <v>281</v>
      </c>
      <c r="I591" s="444">
        <v>81</v>
      </c>
      <c r="J591" s="445" t="s">
        <v>80</v>
      </c>
      <c r="K591" s="447">
        <v>93.35</v>
      </c>
      <c r="L591" s="448">
        <v>4.58</v>
      </c>
      <c r="M591" s="444">
        <v>101</v>
      </c>
      <c r="N591" s="444">
        <v>11</v>
      </c>
      <c r="O591" s="447">
        <v>20.382096069868993</v>
      </c>
      <c r="P591" s="449">
        <v>-3.1971613737222704</v>
      </c>
      <c r="Q591" s="447">
        <v>8.4863636363636363</v>
      </c>
      <c r="R591" s="447">
        <v>0.92425742574257419</v>
      </c>
      <c r="S591" s="450">
        <v>9.1818181818181817</v>
      </c>
      <c r="T591" s="450">
        <v>2.4017467248908297</v>
      </c>
      <c r="U591" s="240">
        <v>1</v>
      </c>
      <c r="V591" s="451">
        <v>1.7348484848484849E-2</v>
      </c>
      <c r="W591" s="450" t="s">
        <v>175</v>
      </c>
      <c r="X591" s="447">
        <v>27.402916490585525</v>
      </c>
      <c r="Y591" s="447">
        <v>-7.0208204207165323</v>
      </c>
      <c r="Z591" s="452">
        <v>83.13344444444445</v>
      </c>
      <c r="AA591" s="58">
        <f t="shared" ca="1" si="21"/>
        <v>135.215</v>
      </c>
      <c r="AB591" s="453">
        <f ca="1">Table29[[#This Row],[Earnings]]-Table29[[#This Row],[4-Week Average]]</f>
        <v>-41.865000000000009</v>
      </c>
    </row>
    <row r="592" spans="1:28" x14ac:dyDescent="0.35">
      <c r="A592" s="436">
        <v>45555</v>
      </c>
      <c r="B592" s="435">
        <v>2024</v>
      </c>
      <c r="C592" s="435">
        <v>38</v>
      </c>
      <c r="D592" s="435">
        <v>12</v>
      </c>
      <c r="E592" s="435" t="s">
        <v>305</v>
      </c>
      <c r="F592" s="436" t="s">
        <v>50</v>
      </c>
      <c r="G592" s="437">
        <v>0.72916666666666552</v>
      </c>
      <c r="H592" s="436" t="s">
        <v>325</v>
      </c>
      <c r="I592" s="435">
        <v>63</v>
      </c>
      <c r="J592" s="436" t="s">
        <v>85</v>
      </c>
      <c r="K592" s="438">
        <v>188.85</v>
      </c>
      <c r="L592" s="439">
        <v>7.13</v>
      </c>
      <c r="M592" s="435">
        <v>141</v>
      </c>
      <c r="N592" s="435">
        <v>18</v>
      </c>
      <c r="O592" s="438">
        <v>26.486676016830295</v>
      </c>
      <c r="P592" s="440">
        <v>4.4388459616527491</v>
      </c>
      <c r="Q592" s="438">
        <v>10.491666666666667</v>
      </c>
      <c r="R592" s="438">
        <v>1.3393617021276596</v>
      </c>
      <c r="S592" s="441">
        <v>7.833333333333333</v>
      </c>
      <c r="T592" s="441">
        <v>2.5245441795231418</v>
      </c>
      <c r="U592" s="239">
        <v>3</v>
      </c>
      <c r="V592" s="442">
        <v>1.650462962962963E-2</v>
      </c>
      <c r="W592" s="441" t="s">
        <v>176</v>
      </c>
      <c r="X592" s="438">
        <v>19.334078749155886</v>
      </c>
      <c r="Y592" s="438">
        <v>7.152597267674409</v>
      </c>
      <c r="Z592" s="443">
        <v>79.539888888888896</v>
      </c>
      <c r="AA592" s="58">
        <f t="shared" ca="1" si="21"/>
        <v>143.80500000000001</v>
      </c>
      <c r="AB592" s="453">
        <f ca="1">Table29[[#This Row],[Earnings]]-Table29[[#This Row],[4-Week Average]]</f>
        <v>45.044999999999987</v>
      </c>
    </row>
    <row r="593" spans="1:28" x14ac:dyDescent="0.35">
      <c r="A593" s="445">
        <v>45557</v>
      </c>
      <c r="B593" s="444">
        <v>2024</v>
      </c>
      <c r="C593" s="444">
        <v>38</v>
      </c>
      <c r="D593" s="444">
        <v>12</v>
      </c>
      <c r="E593" s="444" t="s">
        <v>305</v>
      </c>
      <c r="F593" s="445" t="s">
        <v>45</v>
      </c>
      <c r="G593" s="446">
        <v>0.52083333333333248</v>
      </c>
      <c r="H593" s="445" t="s">
        <v>249</v>
      </c>
      <c r="I593" s="444">
        <v>70</v>
      </c>
      <c r="J593" s="445" t="s">
        <v>80</v>
      </c>
      <c r="K593" s="447">
        <v>68.429999999999993</v>
      </c>
      <c r="L593" s="448">
        <v>2.5499999999999998</v>
      </c>
      <c r="M593" s="444">
        <v>34</v>
      </c>
      <c r="N593" s="444">
        <v>5</v>
      </c>
      <c r="O593" s="447">
        <v>26.835294117647059</v>
      </c>
      <c r="P593" s="449">
        <v>3.7888969030095083</v>
      </c>
      <c r="Q593" s="447">
        <v>13.685999999999998</v>
      </c>
      <c r="R593" s="447">
        <v>2.012647058823529</v>
      </c>
      <c r="S593" s="450">
        <v>6.8</v>
      </c>
      <c r="T593" s="450">
        <v>1.9607843137254903</v>
      </c>
      <c r="U593" s="240">
        <v>2</v>
      </c>
      <c r="V593" s="451">
        <v>2.1250000000000002E-2</v>
      </c>
      <c r="W593" s="450" t="s">
        <v>176</v>
      </c>
      <c r="X593" s="447">
        <v>24.814125932062964</v>
      </c>
      <c r="Y593" s="447">
        <v>2.0211681855840951</v>
      </c>
      <c r="Z593" s="452">
        <v>79.312666666666686</v>
      </c>
      <c r="AA593" s="58">
        <f t="shared" ca="1" si="21"/>
        <v>117.675</v>
      </c>
      <c r="AB593" s="453">
        <f ca="1">Table29[[#This Row],[Earnings]]-Table29[[#This Row],[4-Week Average]]</f>
        <v>-49.245000000000005</v>
      </c>
    </row>
    <row r="594" spans="1:28" x14ac:dyDescent="0.35">
      <c r="A594" s="436">
        <v>45558</v>
      </c>
      <c r="B594" s="435">
        <v>2024</v>
      </c>
      <c r="C594" s="435">
        <v>39</v>
      </c>
      <c r="D594" s="435">
        <v>13</v>
      </c>
      <c r="E594" s="435" t="s">
        <v>305</v>
      </c>
      <c r="F594" s="436" t="s">
        <v>46</v>
      </c>
      <c r="G594" s="437">
        <v>0.72916666666666552</v>
      </c>
      <c r="H594" s="436" t="s">
        <v>230</v>
      </c>
      <c r="I594" s="435">
        <v>61</v>
      </c>
      <c r="J594" s="436" t="s">
        <v>85</v>
      </c>
      <c r="K594" s="438">
        <v>138.38999999999999</v>
      </c>
      <c r="L594" s="439">
        <v>4.97</v>
      </c>
      <c r="M594" s="435">
        <v>118</v>
      </c>
      <c r="N594" s="435">
        <v>11</v>
      </c>
      <c r="O594" s="438">
        <v>27.845070422535208</v>
      </c>
      <c r="P594" s="440">
        <v>5.7026033387943826</v>
      </c>
      <c r="Q594" s="438">
        <v>12.58090909090909</v>
      </c>
      <c r="R594" s="438">
        <v>1.1727966101694913</v>
      </c>
      <c r="S594" s="441">
        <v>10.727272727272727</v>
      </c>
      <c r="T594" s="441">
        <v>2.2132796780684107</v>
      </c>
      <c r="U594" s="239">
        <v>3</v>
      </c>
      <c r="V594" s="442">
        <v>1.8825757575757576E-2</v>
      </c>
      <c r="W594" s="441" t="s">
        <v>176</v>
      </c>
      <c r="X594" s="438">
        <v>19.871020059752453</v>
      </c>
      <c r="Y594" s="438">
        <v>7.974050362782755</v>
      </c>
      <c r="Z594" s="443">
        <v>80.850333333333353</v>
      </c>
      <c r="AA594" s="58">
        <f t="shared" ca="1" si="21"/>
        <v>122.255</v>
      </c>
      <c r="AB594" s="453">
        <f ca="1">Table29[[#This Row],[Earnings]]-Table29[[#This Row],[4-Week Average]]</f>
        <v>16.134999999999991</v>
      </c>
    </row>
    <row r="595" spans="1:28" x14ac:dyDescent="0.35">
      <c r="A595" s="445">
        <v>45559</v>
      </c>
      <c r="B595" s="444">
        <v>2024</v>
      </c>
      <c r="C595" s="444">
        <v>39</v>
      </c>
      <c r="D595" s="444">
        <v>13</v>
      </c>
      <c r="E595" s="444" t="s">
        <v>305</v>
      </c>
      <c r="F595" s="445" t="s">
        <v>47</v>
      </c>
      <c r="G595" s="446">
        <v>0.72916666666666552</v>
      </c>
      <c r="H595" s="445" t="s">
        <v>230</v>
      </c>
      <c r="I595" s="444">
        <v>57</v>
      </c>
      <c r="J595" s="445" t="s">
        <v>80</v>
      </c>
      <c r="K595" s="447">
        <v>120.03999999999999</v>
      </c>
      <c r="L595" s="448">
        <v>3.98</v>
      </c>
      <c r="M595" s="444">
        <v>120</v>
      </c>
      <c r="N595" s="444">
        <v>9</v>
      </c>
      <c r="O595" s="447">
        <v>30.1608040201005</v>
      </c>
      <c r="P595" s="449">
        <v>8.1971171678254997</v>
      </c>
      <c r="Q595" s="447">
        <v>13.337777777777777</v>
      </c>
      <c r="R595" s="447">
        <v>1.0003333333333333</v>
      </c>
      <c r="S595" s="450">
        <v>13.333333333333334</v>
      </c>
      <c r="T595" s="450">
        <v>2.2613065326633164</v>
      </c>
      <c r="U595" s="240">
        <v>2</v>
      </c>
      <c r="V595" s="451">
        <v>1.8425925925925925E-2</v>
      </c>
      <c r="W595" s="450" t="s">
        <v>176</v>
      </c>
      <c r="X595" s="447">
        <v>19.765191567522344</v>
      </c>
      <c r="Y595" s="447">
        <v>10.395612452578156</v>
      </c>
      <c r="Z595" s="452">
        <v>82.184111111111122</v>
      </c>
      <c r="AA595" s="58">
        <f t="shared" ca="1" si="21"/>
        <v>128.92749999999998</v>
      </c>
      <c r="AB595" s="453">
        <f ca="1">Table29[[#This Row],[Earnings]]-Table29[[#This Row],[4-Week Average]]</f>
        <v>-8.8874999999999886</v>
      </c>
    </row>
    <row r="596" spans="1:28" x14ac:dyDescent="0.35">
      <c r="A596" s="436">
        <v>45560</v>
      </c>
      <c r="B596" s="435">
        <v>2024</v>
      </c>
      <c r="C596" s="435">
        <v>39</v>
      </c>
      <c r="D596" s="435">
        <v>13</v>
      </c>
      <c r="E596" s="435" t="s">
        <v>305</v>
      </c>
      <c r="F596" s="436" t="s">
        <v>48</v>
      </c>
      <c r="G596" s="437">
        <v>0.72916666666666552</v>
      </c>
      <c r="H596" s="436" t="s">
        <v>231</v>
      </c>
      <c r="I596" s="435">
        <v>57</v>
      </c>
      <c r="J596" s="436" t="s">
        <v>80</v>
      </c>
      <c r="K596" s="438">
        <v>130.22</v>
      </c>
      <c r="L596" s="439">
        <v>5.3</v>
      </c>
      <c r="M596" s="435">
        <v>104</v>
      </c>
      <c r="N596" s="435">
        <v>13</v>
      </c>
      <c r="O596" s="438">
        <v>24.569811320754717</v>
      </c>
      <c r="P596" s="440">
        <v>2.3719877390083255</v>
      </c>
      <c r="Q596" s="438">
        <v>10.016923076923076</v>
      </c>
      <c r="R596" s="438">
        <v>1.2521153846153845</v>
      </c>
      <c r="S596" s="441">
        <v>8</v>
      </c>
      <c r="T596" s="441">
        <v>2.4528301886792452</v>
      </c>
      <c r="U596" s="239">
        <v>3</v>
      </c>
      <c r="V596" s="442">
        <v>1.6987179487179486E-2</v>
      </c>
      <c r="W596" s="441" t="s">
        <v>176</v>
      </c>
      <c r="X596" s="438">
        <v>17.616301009214567</v>
      </c>
      <c r="Y596" s="438">
        <v>6.9535103115401498</v>
      </c>
      <c r="Z596" s="443">
        <v>83.631000000000014</v>
      </c>
      <c r="AA596" s="58">
        <f t="shared" ca="1" si="21"/>
        <v>114.27000000000001</v>
      </c>
      <c r="AB596" s="453">
        <f ca="1">Table29[[#This Row],[Earnings]]-Table29[[#This Row],[4-Week Average]]</f>
        <v>15.949999999999989</v>
      </c>
    </row>
    <row r="597" spans="1:28" x14ac:dyDescent="0.35">
      <c r="A597" s="445">
        <v>45562</v>
      </c>
      <c r="B597" s="444">
        <v>2024</v>
      </c>
      <c r="C597" s="444">
        <v>39</v>
      </c>
      <c r="D597" s="444">
        <v>13</v>
      </c>
      <c r="E597" s="444" t="s">
        <v>305</v>
      </c>
      <c r="F597" s="445" t="s">
        <v>50</v>
      </c>
      <c r="G597" s="446">
        <v>0.74999999999999889</v>
      </c>
      <c r="H597" s="445" t="s">
        <v>230</v>
      </c>
      <c r="I597" s="444">
        <v>64</v>
      </c>
      <c r="J597" s="445" t="s">
        <v>85</v>
      </c>
      <c r="K597" s="447">
        <v>237.01999999999998</v>
      </c>
      <c r="L597" s="448">
        <v>8.18</v>
      </c>
      <c r="M597" s="444">
        <v>166</v>
      </c>
      <c r="N597" s="444">
        <v>23</v>
      </c>
      <c r="O597" s="447">
        <v>28.975550122249388</v>
      </c>
      <c r="P597" s="449">
        <v>6.5578162369341158</v>
      </c>
      <c r="Q597" s="447">
        <v>10.305217391304348</v>
      </c>
      <c r="R597" s="447">
        <v>1.4278313253012047</v>
      </c>
      <c r="S597" s="450">
        <v>7.2173913043478262</v>
      </c>
      <c r="T597" s="450">
        <v>2.8117359413202934</v>
      </c>
      <c r="U597" s="240">
        <v>3</v>
      </c>
      <c r="V597" s="451">
        <v>1.4818840579710146E-2</v>
      </c>
      <c r="W597" s="450" t="s">
        <v>176</v>
      </c>
      <c r="X597" s="447">
        <v>28.280506125405878</v>
      </c>
      <c r="Y597" s="447">
        <v>0.69504399684350915</v>
      </c>
      <c r="Z597" s="452">
        <v>86.264555555555575</v>
      </c>
      <c r="AA597" s="58">
        <f t="shared" ca="1" si="21"/>
        <v>156.41749999999999</v>
      </c>
      <c r="AB597" s="453">
        <f ca="1">Table29[[#This Row],[Earnings]]-Table29[[#This Row],[4-Week Average]]</f>
        <v>80.602499999999992</v>
      </c>
    </row>
    <row r="598" spans="1:28" x14ac:dyDescent="0.35">
      <c r="A598" s="436">
        <v>45565</v>
      </c>
      <c r="B598" s="435">
        <v>2024</v>
      </c>
      <c r="C598" s="435">
        <v>40</v>
      </c>
      <c r="D598" s="435">
        <v>1</v>
      </c>
      <c r="E598" s="435" t="s">
        <v>327</v>
      </c>
      <c r="F598" s="436" t="s">
        <v>46</v>
      </c>
      <c r="G598" s="437">
        <v>0.70833333333333226</v>
      </c>
      <c r="H598" s="436" t="s">
        <v>249</v>
      </c>
      <c r="I598" s="435">
        <v>61</v>
      </c>
      <c r="J598" s="436" t="s">
        <v>85</v>
      </c>
      <c r="K598" s="438">
        <v>98.1</v>
      </c>
      <c r="L598" s="439">
        <v>5.32</v>
      </c>
      <c r="M598" s="435">
        <v>101</v>
      </c>
      <c r="N598" s="435">
        <v>12</v>
      </c>
      <c r="O598" s="438">
        <v>18.439849624060148</v>
      </c>
      <c r="P598" s="440">
        <v>2.2688936456744813</v>
      </c>
      <c r="Q598" s="438">
        <v>8.1749999999999989</v>
      </c>
      <c r="R598" s="438">
        <v>0.97128712871287126</v>
      </c>
      <c r="S598" s="441">
        <v>8.4166666666666661</v>
      </c>
      <c r="T598" s="441">
        <v>2.255639097744361</v>
      </c>
      <c r="U598" s="239">
        <v>2</v>
      </c>
      <c r="V598" s="442">
        <v>1.8472222222222223E-2</v>
      </c>
      <c r="W598" s="441" t="s">
        <v>176</v>
      </c>
      <c r="X598" s="438">
        <v>22.463410793300739</v>
      </c>
      <c r="Y598" s="438">
        <v>-4.0235611692405904</v>
      </c>
      <c r="Z598" s="443">
        <v>84.351888888888894</v>
      </c>
      <c r="AA598" s="58">
        <f t="shared" ca="1" si="21"/>
        <v>146.345</v>
      </c>
      <c r="AB598" s="453">
        <f ca="1">Table29[[#This Row],[Earnings]]-Table29[[#This Row],[4-Week Average]]</f>
        <v>-48.245000000000005</v>
      </c>
    </row>
    <row r="599" spans="1:28" x14ac:dyDescent="0.35">
      <c r="A599" s="445">
        <v>45566</v>
      </c>
      <c r="B599" s="444">
        <v>2024</v>
      </c>
      <c r="C599" s="444">
        <v>40</v>
      </c>
      <c r="D599" s="444">
        <v>1</v>
      </c>
      <c r="E599" s="444" t="s">
        <v>327</v>
      </c>
      <c r="F599" s="445" t="s">
        <v>47</v>
      </c>
      <c r="G599" s="446">
        <v>0.70833333333333226</v>
      </c>
      <c r="H599" s="445" t="s">
        <v>230</v>
      </c>
      <c r="I599" s="444">
        <v>54</v>
      </c>
      <c r="J599" s="445" t="s">
        <v>174</v>
      </c>
      <c r="K599" s="447">
        <v>58.59</v>
      </c>
      <c r="L599" s="448">
        <v>4.55</v>
      </c>
      <c r="M599" s="444">
        <v>101</v>
      </c>
      <c r="N599" s="444">
        <v>6</v>
      </c>
      <c r="O599" s="447">
        <v>12.876923076923077</v>
      </c>
      <c r="P599" s="449" t="s">
        <v>393</v>
      </c>
      <c r="Q599" s="447">
        <v>9.7650000000000006</v>
      </c>
      <c r="R599" s="447">
        <v>0.58009900990099017</v>
      </c>
      <c r="S599" s="450">
        <v>16.833333333333332</v>
      </c>
      <c r="T599" s="450">
        <v>1.3186813186813187</v>
      </c>
      <c r="U599" s="240">
        <v>3</v>
      </c>
      <c r="V599" s="451">
        <v>3.1597222222222221E-2</v>
      </c>
      <c r="W599" s="450" t="s">
        <v>176</v>
      </c>
      <c r="X599" s="447">
        <v>16.531874791874795</v>
      </c>
      <c r="Y599" s="447">
        <v>-3.6549517149517179</v>
      </c>
      <c r="Z599" s="452">
        <v>83.549666666666681</v>
      </c>
      <c r="AA599" s="58">
        <f t="shared" ca="1" si="21"/>
        <v>130.98250000000002</v>
      </c>
      <c r="AB599" s="453">
        <f ca="1">Table29[[#This Row],[Earnings]]-Table29[[#This Row],[4-Week Average]]</f>
        <v>-72.392500000000013</v>
      </c>
    </row>
    <row r="600" spans="1:28" x14ac:dyDescent="0.35">
      <c r="A600" s="436">
        <v>45570</v>
      </c>
      <c r="B600" s="435">
        <v>2024</v>
      </c>
      <c r="C600" s="435">
        <v>40</v>
      </c>
      <c r="D600" s="435">
        <v>1</v>
      </c>
      <c r="E600" s="435" t="s">
        <v>327</v>
      </c>
      <c r="F600" s="436" t="s">
        <v>51</v>
      </c>
      <c r="G600" s="437">
        <v>0.74999999999999889</v>
      </c>
      <c r="H600" s="436" t="s">
        <v>285</v>
      </c>
      <c r="I600" s="435">
        <v>53</v>
      </c>
      <c r="J600" s="436" t="s">
        <v>85</v>
      </c>
      <c r="K600" s="438">
        <v>144.54</v>
      </c>
      <c r="L600" s="439">
        <v>6.75</v>
      </c>
      <c r="M600" s="435">
        <v>173</v>
      </c>
      <c r="N600" s="435">
        <v>15</v>
      </c>
      <c r="O600" s="438">
        <v>21.41333333333333</v>
      </c>
      <c r="P600" s="440">
        <v>-1.250624632333281</v>
      </c>
      <c r="Q600" s="438">
        <v>9.6359999999999992</v>
      </c>
      <c r="R600" s="438">
        <v>0.83549132947976879</v>
      </c>
      <c r="S600" s="441">
        <v>11.533333333333333</v>
      </c>
      <c r="T600" s="441">
        <v>2.2222222222222223</v>
      </c>
      <c r="U600" s="239">
        <v>3</v>
      </c>
      <c r="V600" s="442">
        <v>1.8749999999999999E-2</v>
      </c>
      <c r="W600" s="441" t="s">
        <v>176</v>
      </c>
      <c r="X600" s="438">
        <v>19.21857142857143</v>
      </c>
      <c r="Y600" s="438">
        <v>2.1947619047619007</v>
      </c>
      <c r="Z600" s="443">
        <v>83.312000000000012</v>
      </c>
      <c r="AA600" s="58">
        <f t="shared" ca="1" si="21"/>
        <v>134.5625</v>
      </c>
      <c r="AB600" s="453">
        <f ca="1">Table29[[#This Row],[Earnings]]-Table29[[#This Row],[4-Week Average]]</f>
        <v>9.977499999999992</v>
      </c>
    </row>
    <row r="601" spans="1:28" x14ac:dyDescent="0.35">
      <c r="A601" s="445">
        <v>45571</v>
      </c>
      <c r="B601" s="444">
        <v>2024</v>
      </c>
      <c r="C601" s="444">
        <v>40</v>
      </c>
      <c r="D601" s="444">
        <v>1</v>
      </c>
      <c r="E601" s="444" t="s">
        <v>327</v>
      </c>
      <c r="F601" s="445" t="s">
        <v>45</v>
      </c>
      <c r="G601" s="446">
        <v>0.624999999999999</v>
      </c>
      <c r="H601" s="445" t="s">
        <v>231</v>
      </c>
      <c r="I601" s="444">
        <v>61</v>
      </c>
      <c r="J601" s="445" t="s">
        <v>80</v>
      </c>
      <c r="K601" s="447">
        <v>149.30000000000001</v>
      </c>
      <c r="L601" s="448">
        <v>5.9</v>
      </c>
      <c r="M601" s="444">
        <v>138</v>
      </c>
      <c r="N601" s="444">
        <v>10</v>
      </c>
      <c r="O601" s="447">
        <v>25.305084745762713</v>
      </c>
      <c r="P601" s="449">
        <v>2.875335819349484</v>
      </c>
      <c r="Q601" s="447">
        <v>14.930000000000001</v>
      </c>
      <c r="R601" s="447">
        <v>1.0818840579710145</v>
      </c>
      <c r="S601" s="450">
        <v>13.8</v>
      </c>
      <c r="T601" s="450">
        <v>1.6949152542372881</v>
      </c>
      <c r="U601" s="240">
        <v>3</v>
      </c>
      <c r="V601" s="451">
        <v>2.4583333333333336E-2</v>
      </c>
      <c r="W601" s="450" t="s">
        <v>176</v>
      </c>
      <c r="X601" s="447">
        <v>17.059273142112126</v>
      </c>
      <c r="Y601" s="447">
        <v>8.2458116036505871</v>
      </c>
      <c r="Z601" s="452">
        <v>84.970888888888894</v>
      </c>
      <c r="AA601" s="58">
        <f t="shared" ca="1" si="21"/>
        <v>112.63250000000001</v>
      </c>
      <c r="AB601" s="453">
        <f ca="1">Table29[[#This Row],[Earnings]]-Table29[[#This Row],[4-Week Average]]</f>
        <v>36.667500000000004</v>
      </c>
    </row>
    <row r="602" spans="1:28" x14ac:dyDescent="0.35">
      <c r="A602" s="436">
        <v>45572</v>
      </c>
      <c r="B602" s="435">
        <v>2024</v>
      </c>
      <c r="C602" s="435">
        <v>41</v>
      </c>
      <c r="D602" s="435">
        <v>2</v>
      </c>
      <c r="E602" s="435" t="s">
        <v>327</v>
      </c>
      <c r="F602" s="436" t="s">
        <v>46</v>
      </c>
      <c r="G602" s="437">
        <v>0.72916666666666552</v>
      </c>
      <c r="H602" s="436" t="s">
        <v>276</v>
      </c>
      <c r="I602" s="435">
        <v>54</v>
      </c>
      <c r="J602" s="436" t="s">
        <v>80</v>
      </c>
      <c r="K602" s="438">
        <v>159.58000000000001</v>
      </c>
      <c r="L602" s="439">
        <v>6.13</v>
      </c>
      <c r="M602" s="435">
        <v>138</v>
      </c>
      <c r="N602" s="435">
        <v>14</v>
      </c>
      <c r="O602" s="438">
        <v>26.0326264274062</v>
      </c>
      <c r="P602" s="440">
        <v>1.1273340430175551</v>
      </c>
      <c r="Q602" s="438">
        <v>11.398571428571429</v>
      </c>
      <c r="R602" s="438">
        <v>1.156376811594203</v>
      </c>
      <c r="S602" s="441">
        <v>9.8571428571428577</v>
      </c>
      <c r="T602" s="441">
        <v>2.2838499184339316</v>
      </c>
      <c r="U602" s="239">
        <v>3</v>
      </c>
      <c r="V602" s="442">
        <v>1.8244047619047618E-2</v>
      </c>
      <c r="W602" s="441" t="s">
        <v>176</v>
      </c>
      <c r="X602" s="438">
        <v>25.660106415887583</v>
      </c>
      <c r="Y602" s="438">
        <v>0.37252001151861691</v>
      </c>
      <c r="Z602" s="443">
        <v>86.432888888888897</v>
      </c>
      <c r="AA602" s="58">
        <f t="shared" ca="1" si="21"/>
        <v>128.0025</v>
      </c>
      <c r="AB602" s="453">
        <f ca="1">Table29[[#This Row],[Earnings]]-Table29[[#This Row],[4-Week Average]]</f>
        <v>31.577500000000015</v>
      </c>
    </row>
    <row r="603" spans="1:28" x14ac:dyDescent="0.35">
      <c r="A603" s="445">
        <v>45577</v>
      </c>
      <c r="B603" s="444">
        <v>2024</v>
      </c>
      <c r="C603" s="444">
        <v>41</v>
      </c>
      <c r="D603" s="444">
        <v>2</v>
      </c>
      <c r="E603" s="444" t="s">
        <v>327</v>
      </c>
      <c r="F603" s="445" t="s">
        <v>51</v>
      </c>
      <c r="G603" s="446">
        <v>0.54166666666666585</v>
      </c>
      <c r="H603" s="445" t="s">
        <v>249</v>
      </c>
      <c r="I603" s="444">
        <v>63</v>
      </c>
      <c r="J603" s="445" t="s">
        <v>85</v>
      </c>
      <c r="K603" s="447">
        <v>116.2</v>
      </c>
      <c r="L603" s="448">
        <v>3.82</v>
      </c>
      <c r="M603" s="444">
        <v>66</v>
      </c>
      <c r="N603" s="444">
        <v>6</v>
      </c>
      <c r="O603" s="447">
        <v>30.41884816753927</v>
      </c>
      <c r="P603" s="449">
        <v>8.1717650793170868</v>
      </c>
      <c r="Q603" s="447">
        <v>19.366666666666667</v>
      </c>
      <c r="R603" s="447">
        <v>1.7606060606060607</v>
      </c>
      <c r="S603" s="450">
        <v>11</v>
      </c>
      <c r="T603" s="450">
        <v>1.5706806282722514</v>
      </c>
      <c r="U603" s="240">
        <v>2</v>
      </c>
      <c r="V603" s="451">
        <v>2.6527777777777775E-2</v>
      </c>
      <c r="W603" s="450" t="s">
        <v>176</v>
      </c>
      <c r="X603" s="447">
        <v>32.706034253261159</v>
      </c>
      <c r="Y603" s="447">
        <v>-2.2871860857218884</v>
      </c>
      <c r="Z603" s="452">
        <v>86.156777777777791</v>
      </c>
      <c r="AA603" s="58">
        <f t="shared" ca="1" si="21"/>
        <v>142.40500000000003</v>
      </c>
      <c r="AB603" s="453">
        <f ca="1">Table29[[#This Row],[Earnings]]-Table29[[#This Row],[4-Week Average]]</f>
        <v>-26.205000000000027</v>
      </c>
    </row>
    <row r="604" spans="1:28" x14ac:dyDescent="0.35">
      <c r="A604" s="436">
        <v>45579</v>
      </c>
      <c r="B604" s="435">
        <v>2024</v>
      </c>
      <c r="C604" s="435">
        <v>42</v>
      </c>
      <c r="D604" s="435">
        <v>3</v>
      </c>
      <c r="E604" s="435" t="s">
        <v>327</v>
      </c>
      <c r="F604" s="436" t="s">
        <v>46</v>
      </c>
      <c r="G604" s="437">
        <v>0.72916666666666552</v>
      </c>
      <c r="H604" s="436" t="s">
        <v>285</v>
      </c>
      <c r="I604" s="435">
        <v>46</v>
      </c>
      <c r="J604" s="436" t="s">
        <v>80</v>
      </c>
      <c r="K604" s="438">
        <v>116.7</v>
      </c>
      <c r="L604" s="439">
        <v>4</v>
      </c>
      <c r="M604" s="435">
        <v>85</v>
      </c>
      <c r="N604" s="435">
        <v>10</v>
      </c>
      <c r="O604" s="438">
        <v>29.175000000000001</v>
      </c>
      <c r="P604" s="440">
        <v>4.1757631120265621</v>
      </c>
      <c r="Q604" s="438">
        <v>11.67</v>
      </c>
      <c r="R604" s="438">
        <v>1.3729411764705883</v>
      </c>
      <c r="S604" s="441">
        <v>8.5</v>
      </c>
      <c r="T604" s="441">
        <v>2.5</v>
      </c>
      <c r="U604" s="239">
        <v>3</v>
      </c>
      <c r="V604" s="442">
        <v>1.6666666666666666E-2</v>
      </c>
      <c r="W604" s="441" t="s">
        <v>176</v>
      </c>
      <c r="X604" s="438">
        <v>25.366113653699468</v>
      </c>
      <c r="Y604" s="438">
        <v>3.8088863463005325</v>
      </c>
      <c r="Z604" s="443">
        <v>84.832444444444462</v>
      </c>
      <c r="AA604" s="58">
        <f t="shared" ca="1" si="21"/>
        <v>135.44499999999999</v>
      </c>
      <c r="AB604" s="453">
        <f ca="1">Table29[[#This Row],[Earnings]]-Table29[[#This Row],[4-Week Average]]</f>
        <v>-18.74499999999999</v>
      </c>
    </row>
    <row r="605" spans="1:28" x14ac:dyDescent="0.35">
      <c r="A605" s="445">
        <v>45581</v>
      </c>
      <c r="B605" s="444">
        <v>2024</v>
      </c>
      <c r="C605" s="444">
        <v>42</v>
      </c>
      <c r="D605" s="444">
        <v>3</v>
      </c>
      <c r="E605" s="444" t="s">
        <v>327</v>
      </c>
      <c r="F605" s="445" t="s">
        <v>48</v>
      </c>
      <c r="G605" s="446">
        <v>0.77083333333333215</v>
      </c>
      <c r="H605" s="445" t="s">
        <v>230</v>
      </c>
      <c r="I605" s="444">
        <v>45</v>
      </c>
      <c r="J605" s="445" t="s">
        <v>82</v>
      </c>
      <c r="K605" s="447">
        <v>59.19</v>
      </c>
      <c r="L605" s="448">
        <v>3.35</v>
      </c>
      <c r="M605" s="444">
        <v>68</v>
      </c>
      <c r="N605" s="444">
        <v>7</v>
      </c>
      <c r="O605" s="447">
        <v>17.66865671641791</v>
      </c>
      <c r="P605" s="449">
        <v>10.396076071256619</v>
      </c>
      <c r="Q605" s="447">
        <v>8.4557142857142846</v>
      </c>
      <c r="R605" s="447">
        <v>0.87044117647058816</v>
      </c>
      <c r="S605" s="450">
        <v>9.7142857142857135</v>
      </c>
      <c r="T605" s="450">
        <v>2.08955223880597</v>
      </c>
      <c r="U605" s="240">
        <v>2</v>
      </c>
      <c r="V605" s="451">
        <v>1.9940476190476192E-2</v>
      </c>
      <c r="W605" s="450" t="s">
        <v>176</v>
      </c>
      <c r="X605" s="447">
        <v>13.571307524875621</v>
      </c>
      <c r="Y605" s="447">
        <v>4.097349191542289</v>
      </c>
      <c r="Z605" s="452">
        <v>83.283777777777772</v>
      </c>
      <c r="AA605" s="58">
        <f t="shared" ca="1" si="21"/>
        <v>112.9175</v>
      </c>
      <c r="AB605" s="453">
        <f ca="1">Table29[[#This Row],[Earnings]]-Table29[[#This Row],[4-Week Average]]</f>
        <v>-53.727500000000006</v>
      </c>
    </row>
    <row r="606" spans="1:28" x14ac:dyDescent="0.35">
      <c r="A606" s="436">
        <v>45582</v>
      </c>
      <c r="B606" s="435">
        <v>2024</v>
      </c>
      <c r="C606" s="435">
        <v>42</v>
      </c>
      <c r="D606" s="435">
        <v>3</v>
      </c>
      <c r="E606" s="435" t="s">
        <v>327</v>
      </c>
      <c r="F606" s="436" t="s">
        <v>49</v>
      </c>
      <c r="G606" s="437">
        <v>0.77083333333333215</v>
      </c>
      <c r="H606" s="436" t="s">
        <v>230</v>
      </c>
      <c r="I606" s="435">
        <v>54</v>
      </c>
      <c r="J606" s="436" t="s">
        <v>82</v>
      </c>
      <c r="K606" s="438">
        <v>53.82</v>
      </c>
      <c r="L606" s="439">
        <v>4.18</v>
      </c>
      <c r="M606" s="435">
        <v>81</v>
      </c>
      <c r="N606" s="435">
        <v>8</v>
      </c>
      <c r="O606" s="438">
        <v>12.875598086124404</v>
      </c>
      <c r="P606" s="440">
        <v>0.13141203961277448</v>
      </c>
      <c r="Q606" s="438">
        <v>6.7275</v>
      </c>
      <c r="R606" s="438">
        <v>0.66444444444444439</v>
      </c>
      <c r="S606" s="441">
        <v>10.125</v>
      </c>
      <c r="T606" s="441">
        <v>1.9138755980861246</v>
      </c>
      <c r="U606" s="239">
        <v>3</v>
      </c>
      <c r="V606" s="442">
        <v>2.1770833333333333E-2</v>
      </c>
      <c r="W606" s="441" t="s">
        <v>176</v>
      </c>
      <c r="X606" s="438">
        <v>12.875598086124404</v>
      </c>
      <c r="Y606" s="438">
        <v>0</v>
      </c>
      <c r="Z606" s="443">
        <v>82.24177777777777</v>
      </c>
      <c r="AA606" s="58">
        <f t="shared" ca="1" si="21"/>
        <v>86.477500000000006</v>
      </c>
      <c r="AB606" s="453">
        <f ca="1">Table29[[#This Row],[Earnings]]-Table29[[#This Row],[4-Week Average]]</f>
        <v>-32.657500000000006</v>
      </c>
    </row>
    <row r="607" spans="1:28" x14ac:dyDescent="0.35">
      <c r="A607" s="445">
        <v>45583</v>
      </c>
      <c r="B607" s="444">
        <v>2024</v>
      </c>
      <c r="C607" s="444">
        <v>42</v>
      </c>
      <c r="D607" s="444">
        <v>3</v>
      </c>
      <c r="E607" s="444" t="s">
        <v>327</v>
      </c>
      <c r="F607" s="445" t="s">
        <v>50</v>
      </c>
      <c r="G607" s="446">
        <v>0.77083333333333215</v>
      </c>
      <c r="H607" s="445" t="s">
        <v>230</v>
      </c>
      <c r="I607" s="444">
        <v>55</v>
      </c>
      <c r="J607" s="445" t="s">
        <v>80</v>
      </c>
      <c r="K607" s="447">
        <v>150.51999999999998</v>
      </c>
      <c r="L607" s="448">
        <v>6.5</v>
      </c>
      <c r="M607" s="444">
        <v>102</v>
      </c>
      <c r="N607" s="444">
        <v>16</v>
      </c>
      <c r="O607" s="447">
        <v>23.156923076923075</v>
      </c>
      <c r="P607" s="449">
        <v>-0.55354683869114396</v>
      </c>
      <c r="Q607" s="447">
        <v>9.4074999999999989</v>
      </c>
      <c r="R607" s="447">
        <v>1.4756862745098038</v>
      </c>
      <c r="S607" s="450">
        <v>6.375</v>
      </c>
      <c r="T607" s="450">
        <v>2.4615384615384617</v>
      </c>
      <c r="U607" s="240">
        <v>4</v>
      </c>
      <c r="V607" s="451">
        <v>1.6927083333333332E-2</v>
      </c>
      <c r="W607" s="450" t="s">
        <v>175</v>
      </c>
      <c r="X607" s="447">
        <v>25.250395053825475</v>
      </c>
      <c r="Y607" s="447">
        <v>-2.0934719769023999</v>
      </c>
      <c r="Z607" s="452">
        <v>82.173444444444428</v>
      </c>
      <c r="AA607" s="58">
        <f t="shared" ca="1" si="21"/>
        <v>95.05749999999999</v>
      </c>
      <c r="AB607" s="453">
        <f ca="1">Table29[[#This Row],[Earnings]]-Table29[[#This Row],[4-Week Average]]</f>
        <v>55.462499999999991</v>
      </c>
    </row>
    <row r="608" spans="1:28" x14ac:dyDescent="0.35">
      <c r="A608" s="436">
        <v>45584</v>
      </c>
      <c r="B608" s="435">
        <v>2024</v>
      </c>
      <c r="C608" s="435">
        <v>42</v>
      </c>
      <c r="D608" s="435">
        <v>3</v>
      </c>
      <c r="E608" s="435" t="s">
        <v>327</v>
      </c>
      <c r="F608" s="436" t="s">
        <v>51</v>
      </c>
      <c r="G608" s="437">
        <v>0.87499999999999867</v>
      </c>
      <c r="H608" s="436" t="s">
        <v>230</v>
      </c>
      <c r="I608" s="435">
        <v>57</v>
      </c>
      <c r="J608" s="436" t="s">
        <v>80</v>
      </c>
      <c r="K608" s="438">
        <v>38.71</v>
      </c>
      <c r="L608" s="439">
        <v>1.52</v>
      </c>
      <c r="M608" s="435">
        <v>33</v>
      </c>
      <c r="N608" s="435">
        <v>4</v>
      </c>
      <c r="O608" s="438">
        <v>25.467105263157894</v>
      </c>
      <c r="P608" s="440">
        <v>5.1404893167390533</v>
      </c>
      <c r="Q608" s="438">
        <v>9.6775000000000002</v>
      </c>
      <c r="R608" s="438">
        <v>1.1730303030303031</v>
      </c>
      <c r="S608" s="441">
        <v>8.25</v>
      </c>
      <c r="T608" s="441">
        <v>2.6315789473684212</v>
      </c>
      <c r="U608" s="239">
        <v>1</v>
      </c>
      <c r="V608" s="442">
        <v>1.5833333333333335E-2</v>
      </c>
      <c r="W608" s="441" t="s">
        <v>175</v>
      </c>
      <c r="X608" s="438">
        <v>25.467105263157894</v>
      </c>
      <c r="Y608" s="438">
        <v>0</v>
      </c>
      <c r="Z608" s="443">
        <v>82.603555555555545</v>
      </c>
      <c r="AA608" s="58">
        <f t="shared" ca="1" si="21"/>
        <v>75.559999999999988</v>
      </c>
      <c r="AB608" s="453">
        <f ca="1">Table29[[#This Row],[Earnings]]-Table29[[#This Row],[4-Week Average]]</f>
        <v>-36.849999999999987</v>
      </c>
    </row>
    <row r="609" spans="1:28" x14ac:dyDescent="0.35">
      <c r="A609" s="445">
        <v>45585</v>
      </c>
      <c r="B609" s="444">
        <v>2024</v>
      </c>
      <c r="C609" s="444">
        <v>42</v>
      </c>
      <c r="D609" s="444">
        <v>3</v>
      </c>
      <c r="E609" s="444" t="s">
        <v>327</v>
      </c>
      <c r="F609" s="445" t="s">
        <v>45</v>
      </c>
      <c r="G609" s="446">
        <v>0.83333333333333204</v>
      </c>
      <c r="H609" s="445" t="s">
        <v>230</v>
      </c>
      <c r="I609" s="444">
        <v>61</v>
      </c>
      <c r="J609" s="445" t="s">
        <v>82</v>
      </c>
      <c r="K609" s="447">
        <v>86.51</v>
      </c>
      <c r="L609" s="448">
        <v>3.98</v>
      </c>
      <c r="M609" s="444">
        <v>71</v>
      </c>
      <c r="N609" s="444">
        <v>11</v>
      </c>
      <c r="O609" s="447">
        <v>21.736180904522616</v>
      </c>
      <c r="P609" s="449">
        <v>1.3328978807868097</v>
      </c>
      <c r="Q609" s="447">
        <v>7.8645454545454552</v>
      </c>
      <c r="R609" s="447">
        <v>1.2184507042253523</v>
      </c>
      <c r="S609" s="450">
        <v>6.4545454545454541</v>
      </c>
      <c r="T609" s="450">
        <v>2.7638190954773871</v>
      </c>
      <c r="U609" s="240">
        <v>1</v>
      </c>
      <c r="V609" s="451">
        <v>1.5075757575757576E-2</v>
      </c>
      <c r="W609" s="450" t="s">
        <v>175</v>
      </c>
      <c r="X609" s="447">
        <v>25.972257118927978</v>
      </c>
      <c r="Y609" s="447">
        <v>-4.2360762144053616</v>
      </c>
      <c r="Z609" s="452">
        <v>82.198222222222213</v>
      </c>
      <c r="AA609" s="58">
        <f t="shared" ca="1" si="21"/>
        <v>82.39</v>
      </c>
      <c r="AB609" s="453">
        <f ca="1">Table29[[#This Row],[Earnings]]-Table29[[#This Row],[4-Week Average]]</f>
        <v>4.1200000000000045</v>
      </c>
    </row>
    <row r="610" spans="1:28" x14ac:dyDescent="0.35">
      <c r="A610" s="436">
        <v>45586</v>
      </c>
      <c r="B610" s="435">
        <v>2024</v>
      </c>
      <c r="C610" s="435">
        <v>43</v>
      </c>
      <c r="D610" s="435">
        <v>4</v>
      </c>
      <c r="E610" s="435" t="s">
        <v>327</v>
      </c>
      <c r="F610" s="436" t="s">
        <v>46</v>
      </c>
      <c r="G610" s="437">
        <v>0.74999999999999889</v>
      </c>
      <c r="H610" s="436" t="s">
        <v>230</v>
      </c>
      <c r="I610" s="435">
        <v>30</v>
      </c>
      <c r="J610" s="436" t="s">
        <v>174</v>
      </c>
      <c r="K610" s="438">
        <v>87.43</v>
      </c>
      <c r="L610" s="439">
        <v>4.93</v>
      </c>
      <c r="M610" s="435">
        <v>146</v>
      </c>
      <c r="N610" s="435">
        <v>7</v>
      </c>
      <c r="O610" s="438">
        <v>17.7342799188641</v>
      </c>
      <c r="P610" s="440">
        <v>-7.7025197374328904</v>
      </c>
      <c r="Q610" s="438">
        <v>12.49</v>
      </c>
      <c r="R610" s="438">
        <v>0.59883561643835626</v>
      </c>
      <c r="S610" s="441">
        <v>20.857142857142858</v>
      </c>
      <c r="T610" s="441">
        <v>1.4198782961460448</v>
      </c>
      <c r="U610" s="239">
        <v>2</v>
      </c>
      <c r="V610" s="442">
        <v>2.9345238095238094E-2</v>
      </c>
      <c r="W610" s="441" t="s">
        <v>176</v>
      </c>
      <c r="X610" s="438">
        <v>17.7342799188641</v>
      </c>
      <c r="Y610" s="438">
        <v>0</v>
      </c>
      <c r="Z610" s="443">
        <v>82.157333333333341</v>
      </c>
      <c r="AA610" s="58">
        <f t="shared" ca="1" si="21"/>
        <v>90.792500000000004</v>
      </c>
      <c r="AB610" s="453">
        <f ca="1">Table29[[#This Row],[Earnings]]-Table29[[#This Row],[4-Week Average]]</f>
        <v>-3.3624999999999972</v>
      </c>
    </row>
    <row r="611" spans="1:28" x14ac:dyDescent="0.35">
      <c r="A611" s="445">
        <v>45587</v>
      </c>
      <c r="B611" s="444">
        <v>2024</v>
      </c>
      <c r="C611" s="444">
        <v>43</v>
      </c>
      <c r="D611" s="444">
        <v>4</v>
      </c>
      <c r="E611" s="444" t="s">
        <v>327</v>
      </c>
      <c r="F611" s="445" t="s">
        <v>47</v>
      </c>
      <c r="G611" s="446">
        <v>0.74999999999999889</v>
      </c>
      <c r="H611" s="445" t="s">
        <v>276</v>
      </c>
      <c r="I611" s="444">
        <v>52</v>
      </c>
      <c r="J611" s="445" t="s">
        <v>80</v>
      </c>
      <c r="K611" s="447">
        <v>100.80000000000001</v>
      </c>
      <c r="L611" s="448">
        <v>4.55</v>
      </c>
      <c r="M611" s="444">
        <v>55</v>
      </c>
      <c r="N611" s="444">
        <v>11</v>
      </c>
      <c r="O611" s="447">
        <v>22.153846153846157</v>
      </c>
      <c r="P611" s="449">
        <v>-2.217971211641423</v>
      </c>
      <c r="Q611" s="447">
        <v>9.163636363636364</v>
      </c>
      <c r="R611" s="447">
        <v>1.832727272727273</v>
      </c>
      <c r="S611" s="450">
        <v>5</v>
      </c>
      <c r="T611" s="450">
        <v>2.4175824175824179</v>
      </c>
      <c r="U611" s="240">
        <v>1</v>
      </c>
      <c r="V611" s="451">
        <v>1.7234848484848485E-2</v>
      </c>
      <c r="W611" s="450" t="s">
        <v>176</v>
      </c>
      <c r="X611" s="447">
        <v>22.723602043712745</v>
      </c>
      <c r="Y611" s="447">
        <v>-0.56975588986658821</v>
      </c>
      <c r="Z611" s="452">
        <v>81.674555555555571</v>
      </c>
      <c r="AA611" s="58">
        <f t="shared" ca="1" si="21"/>
        <v>78.362500000000011</v>
      </c>
      <c r="AB611" s="453">
        <f ca="1">Table29[[#This Row],[Earnings]]-Table29[[#This Row],[4-Week Average]]</f>
        <v>22.4375</v>
      </c>
    </row>
    <row r="612" spans="1:28" x14ac:dyDescent="0.35">
      <c r="A612" s="436">
        <v>45590</v>
      </c>
      <c r="B612" s="435">
        <v>2024</v>
      </c>
      <c r="C612" s="435">
        <v>43</v>
      </c>
      <c r="D612" s="435">
        <v>4</v>
      </c>
      <c r="E612" s="435" t="s">
        <v>327</v>
      </c>
      <c r="F612" s="436" t="s">
        <v>50</v>
      </c>
      <c r="G612" s="437">
        <v>0.77083333333333215</v>
      </c>
      <c r="H612" s="436" t="s">
        <v>230</v>
      </c>
      <c r="I612" s="435">
        <v>50</v>
      </c>
      <c r="J612" s="436" t="s">
        <v>80</v>
      </c>
      <c r="K612" s="438">
        <v>105.94</v>
      </c>
      <c r="L612" s="439">
        <v>5.23</v>
      </c>
      <c r="M612" s="435">
        <v>104</v>
      </c>
      <c r="N612" s="435">
        <v>11</v>
      </c>
      <c r="O612" s="438">
        <v>20.256214149139577</v>
      </c>
      <c r="P612" s="440">
        <v>-3.4216941877281037</v>
      </c>
      <c r="Q612" s="438">
        <v>9.6309090909090909</v>
      </c>
      <c r="R612" s="438">
        <v>1.0186538461538461</v>
      </c>
      <c r="S612" s="441">
        <v>9.454545454545455</v>
      </c>
      <c r="T612" s="441">
        <v>2.1032504780114722</v>
      </c>
      <c r="U612" s="239">
        <v>1</v>
      </c>
      <c r="V612" s="442">
        <v>1.9810606060606063E-2</v>
      </c>
      <c r="W612" s="441" t="s">
        <v>175</v>
      </c>
      <c r="X612" s="438">
        <v>20.256214149139577</v>
      </c>
      <c r="Y612" s="438">
        <v>0</v>
      </c>
      <c r="Z612" s="443">
        <v>79.415555555555557</v>
      </c>
      <c r="AA612" s="58">
        <f t="shared" ca="1" si="21"/>
        <v>95.17</v>
      </c>
      <c r="AB612" s="453">
        <f ca="1">Table29[[#This Row],[Earnings]]-Table29[[#This Row],[4-Week Average]]</f>
        <v>10.769999999999996</v>
      </c>
    </row>
    <row r="613" spans="1:28" x14ac:dyDescent="0.35">
      <c r="A613" s="445">
        <v>45592</v>
      </c>
      <c r="B613" s="444">
        <v>2024</v>
      </c>
      <c r="C613" s="444">
        <v>43</v>
      </c>
      <c r="D613" s="444">
        <v>4</v>
      </c>
      <c r="E613" s="444" t="s">
        <v>327</v>
      </c>
      <c r="F613" s="445" t="s">
        <v>45</v>
      </c>
      <c r="G613" s="446">
        <v>0.74999999999999889</v>
      </c>
      <c r="H613" s="445" t="s">
        <v>285</v>
      </c>
      <c r="I613" s="444">
        <v>45</v>
      </c>
      <c r="J613" s="445" t="s">
        <v>80</v>
      </c>
      <c r="K613" s="447">
        <v>110.34</v>
      </c>
      <c r="L613" s="448">
        <v>4.63</v>
      </c>
      <c r="M613" s="444">
        <v>93</v>
      </c>
      <c r="N613" s="444">
        <v>14</v>
      </c>
      <c r="O613" s="447">
        <v>23.831533477321816</v>
      </c>
      <c r="P613" s="449">
        <v>1.0823027932030875</v>
      </c>
      <c r="Q613" s="447">
        <v>7.8814285714285717</v>
      </c>
      <c r="R613" s="447">
        <v>1.1864516129032259</v>
      </c>
      <c r="S613" s="450">
        <v>6.6428571428571432</v>
      </c>
      <c r="T613" s="450">
        <v>3.0237580993520519</v>
      </c>
      <c r="U613" s="240">
        <v>2</v>
      </c>
      <c r="V613" s="451">
        <v>1.3779761904761904E-2</v>
      </c>
      <c r="W613" s="450" t="s">
        <v>176</v>
      </c>
      <c r="X613" s="447">
        <v>24.648174146068314</v>
      </c>
      <c r="Y613" s="447">
        <v>-0.81664066874649777</v>
      </c>
      <c r="Z613" s="452">
        <v>78.702555555555563</v>
      </c>
      <c r="AA613" s="58">
        <f t="shared" ca="1" si="21"/>
        <v>101.1275</v>
      </c>
      <c r="AB613" s="453">
        <f ca="1">Table29[[#This Row],[Earnings]]-Table29[[#This Row],[4-Week Average]]</f>
        <v>9.2125000000000057</v>
      </c>
    </row>
    <row r="614" spans="1:28" x14ac:dyDescent="0.35">
      <c r="A614" s="436">
        <v>45593</v>
      </c>
      <c r="B614" s="435">
        <v>2024</v>
      </c>
      <c r="C614" s="435">
        <v>44</v>
      </c>
      <c r="D614" s="435">
        <v>5</v>
      </c>
      <c r="E614" s="435" t="s">
        <v>327</v>
      </c>
      <c r="F614" s="436" t="s">
        <v>46</v>
      </c>
      <c r="G614" s="437">
        <v>0.72916666666666552</v>
      </c>
      <c r="H614" s="436" t="s">
        <v>230</v>
      </c>
      <c r="I614" s="435">
        <v>41</v>
      </c>
      <c r="J614" s="436" t="s">
        <v>80</v>
      </c>
      <c r="K614" s="438">
        <v>30.26</v>
      </c>
      <c r="L614" s="439">
        <v>1.42</v>
      </c>
      <c r="M614" s="435">
        <v>28</v>
      </c>
      <c r="N614" s="435">
        <v>2</v>
      </c>
      <c r="O614" s="438">
        <v>21.30985915492958</v>
      </c>
      <c r="P614" s="440">
        <v>-4.0105902801228268</v>
      </c>
      <c r="Q614" s="438">
        <v>15.13</v>
      </c>
      <c r="R614" s="438">
        <v>1.0807142857142857</v>
      </c>
      <c r="S614" s="441">
        <v>14</v>
      </c>
      <c r="T614" s="441">
        <v>1.4084507042253522</v>
      </c>
      <c r="U614" s="239">
        <v>2</v>
      </c>
      <c r="V614" s="442">
        <v>2.9583333333333333E-2</v>
      </c>
      <c r="W614" s="441" t="s">
        <v>176</v>
      </c>
      <c r="X614" s="438">
        <v>23.506606168174361</v>
      </c>
      <c r="Y614" s="438">
        <v>-2.1967470132447815</v>
      </c>
      <c r="Z614" s="443">
        <v>77.552666666666681</v>
      </c>
      <c r="AA614" s="58">
        <f t="shared" ca="1" si="21"/>
        <v>86.835000000000008</v>
      </c>
      <c r="AB614" s="453">
        <f ca="1">Table29[[#This Row],[Earnings]]-Table29[[#This Row],[4-Week Average]]</f>
        <v>-56.575000000000003</v>
      </c>
    </row>
    <row r="615" spans="1:28" x14ac:dyDescent="0.35">
      <c r="A615" s="445">
        <v>45594</v>
      </c>
      <c r="B615" s="444">
        <v>2024</v>
      </c>
      <c r="C615" s="444">
        <v>44</v>
      </c>
      <c r="D615" s="444">
        <v>5</v>
      </c>
      <c r="E615" s="444" t="s">
        <v>327</v>
      </c>
      <c r="F615" s="445" t="s">
        <v>47</v>
      </c>
      <c r="G615" s="446">
        <v>0.72916666666666552</v>
      </c>
      <c r="H615" s="445" t="s">
        <v>231</v>
      </c>
      <c r="I615" s="444">
        <v>52</v>
      </c>
      <c r="J615" s="445" t="s">
        <v>85</v>
      </c>
      <c r="K615" s="447">
        <v>61.53</v>
      </c>
      <c r="L615" s="448">
        <v>4.9800000000000004</v>
      </c>
      <c r="M615" s="444">
        <v>126</v>
      </c>
      <c r="N615" s="444">
        <v>8</v>
      </c>
      <c r="O615" s="447">
        <v>12.355421686746988</v>
      </c>
      <c r="P615" s="449">
        <v>-7.7541218668703653</v>
      </c>
      <c r="Q615" s="447">
        <v>7.6912500000000001</v>
      </c>
      <c r="R615" s="447">
        <v>0.48833333333333334</v>
      </c>
      <c r="S615" s="450">
        <v>15.75</v>
      </c>
      <c r="T615" s="450">
        <v>1.6064257028112447</v>
      </c>
      <c r="U615" s="240">
        <v>1</v>
      </c>
      <c r="V615" s="451">
        <v>2.5937500000000002E-2</v>
      </c>
      <c r="W615" s="450" t="s">
        <v>176</v>
      </c>
      <c r="X615" s="447">
        <v>19.568101233763883</v>
      </c>
      <c r="Y615" s="447">
        <v>-7.2126795470168954</v>
      </c>
      <c r="Z615" s="452">
        <v>77.76144444444445</v>
      </c>
      <c r="AA615" s="58">
        <f t="shared" ca="1" si="21"/>
        <v>77.017499999999998</v>
      </c>
      <c r="AB615" s="453">
        <f ca="1">Table29[[#This Row],[Earnings]]-Table29[[#This Row],[4-Week Average]]</f>
        <v>-15.487499999999997</v>
      </c>
    </row>
    <row r="616" spans="1:28" x14ac:dyDescent="0.35">
      <c r="A616" s="436">
        <v>45595</v>
      </c>
      <c r="B616" s="435">
        <v>2024</v>
      </c>
      <c r="C616" s="435">
        <v>44</v>
      </c>
      <c r="D616" s="435">
        <v>5</v>
      </c>
      <c r="E616" s="435" t="s">
        <v>327</v>
      </c>
      <c r="F616" s="436" t="s">
        <v>48</v>
      </c>
      <c r="G616" s="437">
        <v>0.70833333333333226</v>
      </c>
      <c r="H616" s="436" t="s">
        <v>276</v>
      </c>
      <c r="I616" s="435">
        <v>54</v>
      </c>
      <c r="J616" s="436" t="s">
        <v>80</v>
      </c>
      <c r="K616" s="438">
        <v>117.5</v>
      </c>
      <c r="L616" s="439">
        <v>4.0199999999999996</v>
      </c>
      <c r="M616" s="435">
        <v>74</v>
      </c>
      <c r="N616" s="435">
        <v>10</v>
      </c>
      <c r="O616" s="438">
        <v>29.228855721393039</v>
      </c>
      <c r="P616" s="440">
        <v>7.391007090625493</v>
      </c>
      <c r="Q616" s="438">
        <v>11.75</v>
      </c>
      <c r="R616" s="438">
        <v>1.5878378378378379</v>
      </c>
      <c r="S616" s="441">
        <v>7.4</v>
      </c>
      <c r="T616" s="441">
        <v>2.4875621890547266</v>
      </c>
      <c r="U616" s="239">
        <v>1</v>
      </c>
      <c r="V616" s="442">
        <v>1.6749999999999998E-2</v>
      </c>
      <c r="W616" s="441" t="s">
        <v>175</v>
      </c>
      <c r="X616" s="438">
        <v>21.823234678878336</v>
      </c>
      <c r="Y616" s="438">
        <v>7.4056210425147029</v>
      </c>
      <c r="Z616" s="443">
        <v>78.113222222222234</v>
      </c>
      <c r="AA616" s="58">
        <f t="shared" ca="1" si="21"/>
        <v>79.907499999999999</v>
      </c>
      <c r="AB616" s="453">
        <f ca="1">Table29[[#This Row],[Earnings]]-Table29[[#This Row],[4-Week Average]]</f>
        <v>37.592500000000001</v>
      </c>
    </row>
    <row r="617" spans="1:28" x14ac:dyDescent="0.35">
      <c r="A617" s="445">
        <v>45597</v>
      </c>
      <c r="B617" s="444">
        <v>2024</v>
      </c>
      <c r="C617" s="444">
        <v>44</v>
      </c>
      <c r="D617" s="444">
        <v>5</v>
      </c>
      <c r="E617" s="444" t="s">
        <v>327</v>
      </c>
      <c r="F617" s="445" t="s">
        <v>50</v>
      </c>
      <c r="G617" s="446">
        <v>0.74999999999999889</v>
      </c>
      <c r="H617" s="445" t="s">
        <v>230</v>
      </c>
      <c r="I617" s="444">
        <v>59</v>
      </c>
      <c r="J617" s="445" t="s">
        <v>80</v>
      </c>
      <c r="K617" s="447">
        <v>223.74</v>
      </c>
      <c r="L617" s="448">
        <v>6.88</v>
      </c>
      <c r="M617" s="444">
        <v>172</v>
      </c>
      <c r="N617" s="444">
        <v>17</v>
      </c>
      <c r="O617" s="447">
        <v>32.520348837209305</v>
      </c>
      <c r="P617" s="449">
        <v>9.0325346218820748</v>
      </c>
      <c r="Q617" s="447">
        <v>13.161176470588236</v>
      </c>
      <c r="R617" s="447">
        <v>1.3008139534883723</v>
      </c>
      <c r="S617" s="450">
        <v>10.117647058823529</v>
      </c>
      <c r="T617" s="450">
        <v>2.4709302325581395</v>
      </c>
      <c r="U617" s="240">
        <v>2</v>
      </c>
      <c r="V617" s="451">
        <v>1.6862745098039218E-2</v>
      </c>
      <c r="W617" s="450" t="s">
        <v>176</v>
      </c>
      <c r="X617" s="447">
        <v>32.520348837209305</v>
      </c>
      <c r="Y617" s="447">
        <v>0</v>
      </c>
      <c r="Z617" s="452">
        <v>78.732777777777784</v>
      </c>
      <c r="AA617" s="58">
        <f t="shared" ca="1" si="21"/>
        <v>108.25750000000001</v>
      </c>
      <c r="AB617" s="453">
        <f ca="1">Table29[[#This Row],[Earnings]]-Table29[[#This Row],[4-Week Average]]</f>
        <v>115.4825</v>
      </c>
    </row>
    <row r="618" spans="1:28" x14ac:dyDescent="0.35">
      <c r="A618" s="436">
        <v>45598</v>
      </c>
      <c r="B618" s="435">
        <v>2024</v>
      </c>
      <c r="C618" s="435">
        <v>44</v>
      </c>
      <c r="D618" s="435">
        <v>5</v>
      </c>
      <c r="E618" s="435" t="s">
        <v>327</v>
      </c>
      <c r="F618" s="436" t="s">
        <v>51</v>
      </c>
      <c r="G618" s="437">
        <v>0.58333333333333237</v>
      </c>
      <c r="H618" s="436" t="s">
        <v>230</v>
      </c>
      <c r="I618" s="435">
        <v>37</v>
      </c>
      <c r="J618" s="436" t="s">
        <v>85</v>
      </c>
      <c r="K618" s="438">
        <v>100.36</v>
      </c>
      <c r="L618" s="439">
        <v>6.3</v>
      </c>
      <c r="M618" s="435">
        <v>128</v>
      </c>
      <c r="N618" s="435">
        <v>13</v>
      </c>
      <c r="O618" s="438">
        <v>15.93015873015873</v>
      </c>
      <c r="P618" s="440">
        <v>-8.3598656278927237</v>
      </c>
      <c r="Q618" s="438">
        <v>7.72</v>
      </c>
      <c r="R618" s="438">
        <v>0.7840625</v>
      </c>
      <c r="S618" s="441">
        <v>9.8461538461538467</v>
      </c>
      <c r="T618" s="441">
        <v>2.0634920634920637</v>
      </c>
      <c r="U618" s="239">
        <v>2</v>
      </c>
      <c r="V618" s="442">
        <v>2.0192307692307693E-2</v>
      </c>
      <c r="W618" s="441" t="s">
        <v>176</v>
      </c>
      <c r="X618" s="438">
        <v>19.066135172017525</v>
      </c>
      <c r="Y618" s="438">
        <v>-3.1359764418587943</v>
      </c>
      <c r="Z618" s="443">
        <v>78.518000000000001</v>
      </c>
      <c r="AA618" s="58">
        <f t="shared" ca="1" si="21"/>
        <v>125.7825</v>
      </c>
      <c r="AB618" s="453">
        <f ca="1">Table29[[#This Row],[Earnings]]-Table29[[#This Row],[4-Week Average]]</f>
        <v>-25.422499999999999</v>
      </c>
    </row>
    <row r="619" spans="1:28" x14ac:dyDescent="0.35">
      <c r="A619" s="445">
        <v>45599</v>
      </c>
      <c r="B619" s="444">
        <v>2024</v>
      </c>
      <c r="C619" s="444">
        <v>44</v>
      </c>
      <c r="D619" s="444">
        <v>5</v>
      </c>
      <c r="E619" s="444" t="s">
        <v>327</v>
      </c>
      <c r="F619" s="445" t="s">
        <v>45</v>
      </c>
      <c r="G619" s="446">
        <v>0.70833333333333226</v>
      </c>
      <c r="H619" s="445" t="s">
        <v>230</v>
      </c>
      <c r="I619" s="444">
        <v>41</v>
      </c>
      <c r="J619" s="445" t="s">
        <v>80</v>
      </c>
      <c r="K619" s="447">
        <v>175.5</v>
      </c>
      <c r="L619" s="448">
        <v>6.13</v>
      </c>
      <c r="M619" s="444">
        <v>121</v>
      </c>
      <c r="N619" s="444">
        <v>16</v>
      </c>
      <c r="O619" s="447">
        <v>28.62969004893964</v>
      </c>
      <c r="P619" s="449">
        <v>5.7722290855006051</v>
      </c>
      <c r="Q619" s="447">
        <v>10.96875</v>
      </c>
      <c r="R619" s="447">
        <v>1.4504132231404958</v>
      </c>
      <c r="S619" s="450">
        <v>7.5625</v>
      </c>
      <c r="T619" s="450">
        <v>2.6101141924959217</v>
      </c>
      <c r="U619" s="240">
        <v>2</v>
      </c>
      <c r="V619" s="451">
        <v>1.5963541666666668E-2</v>
      </c>
      <c r="W619" s="450" t="s">
        <v>175</v>
      </c>
      <c r="X619" s="447">
        <v>29.695708063869443</v>
      </c>
      <c r="Y619" s="447">
        <v>-1.0660180149298029</v>
      </c>
      <c r="Z619" s="452">
        <v>80.468000000000004</v>
      </c>
      <c r="AA619" s="58">
        <f t="shared" ca="1" si="21"/>
        <v>154.27500000000001</v>
      </c>
      <c r="AB619" s="453">
        <f ca="1">Table29[[#This Row],[Earnings]]-Table29[[#This Row],[4-Week Average]]</f>
        <v>21.224999999999994</v>
      </c>
    </row>
    <row r="620" spans="1:28" x14ac:dyDescent="0.35">
      <c r="A620" s="436">
        <v>45600</v>
      </c>
      <c r="B620" s="435">
        <v>2024</v>
      </c>
      <c r="C620" s="435">
        <v>45</v>
      </c>
      <c r="D620" s="435">
        <v>6</v>
      </c>
      <c r="E620" s="435" t="s">
        <v>327</v>
      </c>
      <c r="F620" s="436" t="s">
        <v>46</v>
      </c>
      <c r="G620" s="437">
        <v>0.72916666666666552</v>
      </c>
      <c r="H620" s="436" t="s">
        <v>285</v>
      </c>
      <c r="I620" s="435">
        <v>43</v>
      </c>
      <c r="J620" s="436" t="s">
        <v>80</v>
      </c>
      <c r="K620" s="438">
        <v>127.31</v>
      </c>
      <c r="L620" s="439">
        <v>5.35</v>
      </c>
      <c r="M620" s="435">
        <v>87</v>
      </c>
      <c r="N620" s="435">
        <v>11</v>
      </c>
      <c r="O620" s="438">
        <v>23.796261682242992</v>
      </c>
      <c r="P620" s="440">
        <v>-1.2377170185149282</v>
      </c>
      <c r="Q620" s="438">
        <v>11.573636363636364</v>
      </c>
      <c r="R620" s="438">
        <v>1.4633333333333334</v>
      </c>
      <c r="S620" s="441">
        <v>7.9090909090909092</v>
      </c>
      <c r="T620" s="441">
        <v>2.0560747663551404</v>
      </c>
      <c r="U620" s="239">
        <v>3</v>
      </c>
      <c r="V620" s="442">
        <v>2.0265151515151514E-2</v>
      </c>
      <c r="W620" s="441" t="s">
        <v>176</v>
      </c>
      <c r="X620" s="438">
        <v>26.266434412550069</v>
      </c>
      <c r="Y620" s="438">
        <v>-2.4701727303070768</v>
      </c>
      <c r="Z620" s="443">
        <v>80.269888888888872</v>
      </c>
      <c r="AA620" s="58">
        <f t="shared" ca="1" si="21"/>
        <v>156.72750000000002</v>
      </c>
      <c r="AB620" s="453">
        <f ca="1">Table29[[#This Row],[Earnings]]-Table29[[#This Row],[4-Week Average]]</f>
        <v>-29.417500000000018</v>
      </c>
    </row>
    <row r="621" spans="1:28" x14ac:dyDescent="0.35">
      <c r="A621" s="445">
        <v>45601</v>
      </c>
      <c r="B621" s="444">
        <v>2024</v>
      </c>
      <c r="C621" s="444">
        <v>45</v>
      </c>
      <c r="D621" s="444">
        <v>6</v>
      </c>
      <c r="E621" s="444" t="s">
        <v>327</v>
      </c>
      <c r="F621" s="445" t="s">
        <v>47</v>
      </c>
      <c r="G621" s="446">
        <v>0.74999999999999889</v>
      </c>
      <c r="H621" s="445" t="s">
        <v>230</v>
      </c>
      <c r="I621" s="444">
        <v>52</v>
      </c>
      <c r="J621" s="445" t="s">
        <v>80</v>
      </c>
      <c r="K621" s="447">
        <v>160.63999999999999</v>
      </c>
      <c r="L621" s="448">
        <v>5.07</v>
      </c>
      <c r="M621" s="444">
        <v>87</v>
      </c>
      <c r="N621" s="444">
        <v>11</v>
      </c>
      <c r="O621" s="447">
        <v>31.684418145956602</v>
      </c>
      <c r="P621" s="449">
        <v>7.5343979016331666</v>
      </c>
      <c r="Q621" s="447">
        <v>14.603636363636362</v>
      </c>
      <c r="R621" s="447">
        <v>1.8464367816091953</v>
      </c>
      <c r="S621" s="450">
        <v>7.9090909090909092</v>
      </c>
      <c r="T621" s="450">
        <v>2.1696252465483234</v>
      </c>
      <c r="U621" s="240">
        <v>3</v>
      </c>
      <c r="V621" s="451">
        <v>1.9204545454545457E-2</v>
      </c>
      <c r="W621" s="450" t="s">
        <v>176</v>
      </c>
      <c r="X621" s="447">
        <v>26.085332217138063</v>
      </c>
      <c r="Y621" s="447">
        <v>5.5990859288185391</v>
      </c>
      <c r="Z621" s="452">
        <v>82.054777777777772</v>
      </c>
      <c r="AA621" s="58">
        <f t="shared" ca="1" si="21"/>
        <v>140.95249999999999</v>
      </c>
      <c r="AB621" s="453">
        <f ca="1">Table29[[#This Row],[Earnings]]-Table29[[#This Row],[4-Week Average]]</f>
        <v>19.6875</v>
      </c>
    </row>
    <row r="622" spans="1:28" x14ac:dyDescent="0.35">
      <c r="A622" s="436">
        <v>45603</v>
      </c>
      <c r="B622" s="435">
        <v>2024</v>
      </c>
      <c r="C622" s="435">
        <v>45</v>
      </c>
      <c r="D622" s="435">
        <v>6</v>
      </c>
      <c r="E622" s="435" t="s">
        <v>327</v>
      </c>
      <c r="F622" s="436" t="s">
        <v>49</v>
      </c>
      <c r="G622" s="437">
        <v>0.72916666666666552</v>
      </c>
      <c r="H622" s="436" t="s">
        <v>230</v>
      </c>
      <c r="I622" s="435">
        <v>46</v>
      </c>
      <c r="J622" s="436" t="s">
        <v>80</v>
      </c>
      <c r="K622" s="438">
        <v>77.56</v>
      </c>
      <c r="L622" s="439">
        <v>2.58</v>
      </c>
      <c r="M622" s="435">
        <v>28</v>
      </c>
      <c r="N622" s="435">
        <v>3</v>
      </c>
      <c r="O622" s="438">
        <v>30.062015503875969</v>
      </c>
      <c r="P622" s="440">
        <v>7.478108931808265</v>
      </c>
      <c r="Q622" s="438">
        <v>25.853333333333335</v>
      </c>
      <c r="R622" s="438">
        <v>2.77</v>
      </c>
      <c r="S622" s="441">
        <v>9.3333333333333339</v>
      </c>
      <c r="T622" s="441">
        <v>1.1627906976744187</v>
      </c>
      <c r="U622" s="239">
        <v>1</v>
      </c>
      <c r="V622" s="442">
        <v>3.5833333333333335E-2</v>
      </c>
      <c r="W622" s="441" t="s">
        <v>176</v>
      </c>
      <c r="X622" s="438">
        <v>30.062015503875969</v>
      </c>
      <c r="Y622" s="438">
        <v>0</v>
      </c>
      <c r="Z622" s="443">
        <v>81.165777777777777</v>
      </c>
      <c r="AA622" s="58">
        <f t="shared" ca="1" si="21"/>
        <v>135.2525</v>
      </c>
      <c r="AB622" s="453">
        <f ca="1">Table29[[#This Row],[Earnings]]-Table29[[#This Row],[4-Week Average]]</f>
        <v>-57.692499999999995</v>
      </c>
    </row>
    <row r="623" spans="1:28" x14ac:dyDescent="0.35">
      <c r="A623" s="445">
        <v>45607</v>
      </c>
      <c r="B623" s="444">
        <v>2024</v>
      </c>
      <c r="C623" s="444">
        <v>46</v>
      </c>
      <c r="D623" s="444">
        <v>7</v>
      </c>
      <c r="E623" s="444" t="s">
        <v>327</v>
      </c>
      <c r="F623" s="445" t="s">
        <v>46</v>
      </c>
      <c r="G623" s="446">
        <v>0.77083333333333215</v>
      </c>
      <c r="H623" s="445" t="s">
        <v>231</v>
      </c>
      <c r="I623" s="444">
        <v>55</v>
      </c>
      <c r="J623" s="445" t="s">
        <v>80</v>
      </c>
      <c r="K623" s="447">
        <v>143.59</v>
      </c>
      <c r="L623" s="448">
        <v>5.03</v>
      </c>
      <c r="M623" s="444">
        <v>88</v>
      </c>
      <c r="N623" s="444">
        <v>15</v>
      </c>
      <c r="O623" s="447">
        <v>28.546719681908549</v>
      </c>
      <c r="P623" s="449">
        <v>3.5952554490516242</v>
      </c>
      <c r="Q623" s="447">
        <v>9.5726666666666667</v>
      </c>
      <c r="R623" s="447">
        <v>1.6317045454545456</v>
      </c>
      <c r="S623" s="450">
        <v>5.8666666666666663</v>
      </c>
      <c r="T623" s="450">
        <v>2.982107355864811</v>
      </c>
      <c r="U623" s="240">
        <v>2</v>
      </c>
      <c r="V623" s="451">
        <v>1.3972222222222224E-2</v>
      </c>
      <c r="W623" s="450" t="s">
        <v>176</v>
      </c>
      <c r="X623" s="447">
        <v>24.609907387766043</v>
      </c>
      <c r="Y623" s="447">
        <v>3.9368122941425057</v>
      </c>
      <c r="Z623" s="452">
        <v>77.483555555555554</v>
      </c>
      <c r="AA623" s="58">
        <f t="shared" ca="1" si="21"/>
        <v>127.27500000000001</v>
      </c>
      <c r="AB623" s="453">
        <f ca="1">Table29[[#This Row],[Earnings]]-Table29[[#This Row],[4-Week Average]]</f>
        <v>16.314999999999998</v>
      </c>
    </row>
    <row r="624" spans="1:28" x14ac:dyDescent="0.35">
      <c r="A624" s="436">
        <v>45608</v>
      </c>
      <c r="B624" s="435">
        <v>2024</v>
      </c>
      <c r="C624" s="435">
        <v>46</v>
      </c>
      <c r="D624" s="435">
        <v>7</v>
      </c>
      <c r="E624" s="435" t="s">
        <v>327</v>
      </c>
      <c r="F624" s="436" t="s">
        <v>47</v>
      </c>
      <c r="G624" s="437">
        <v>0.79166666666666541</v>
      </c>
      <c r="H624" s="436" t="s">
        <v>230</v>
      </c>
      <c r="I624" s="435">
        <v>34</v>
      </c>
      <c r="J624" s="436" t="s">
        <v>80</v>
      </c>
      <c r="K624" s="438">
        <v>89.41</v>
      </c>
      <c r="L624" s="439">
        <v>4.67</v>
      </c>
      <c r="M624" s="435">
        <v>71</v>
      </c>
      <c r="N624" s="435">
        <v>12</v>
      </c>
      <c r="O624" s="438">
        <v>19.14561027837259</v>
      </c>
      <c r="P624" s="440">
        <v>-5.6893552297356784</v>
      </c>
      <c r="Q624" s="438">
        <v>7.4508333333333328</v>
      </c>
      <c r="R624" s="438">
        <v>1.2592957746478872</v>
      </c>
      <c r="S624" s="441">
        <v>5.916666666666667</v>
      </c>
      <c r="T624" s="441">
        <v>2.5695931477516059</v>
      </c>
      <c r="U624" s="239">
        <v>2</v>
      </c>
      <c r="V624" s="442">
        <v>1.6215277777777776E-2</v>
      </c>
      <c r="W624" s="441" t="s">
        <v>176</v>
      </c>
      <c r="X624" s="438">
        <v>27.181628668598059</v>
      </c>
      <c r="Y624" s="438">
        <v>-8.0360183902254683</v>
      </c>
      <c r="Z624" s="443">
        <v>76.7102222222222</v>
      </c>
      <c r="AA624" s="58">
        <f t="shared" ca="1" si="21"/>
        <v>117.79999999999998</v>
      </c>
      <c r="AB624" s="453">
        <f ca="1">Table29[[#This Row],[Earnings]]-Table29[[#This Row],[4-Week Average]]</f>
        <v>-28.389999999999986</v>
      </c>
    </row>
    <row r="625" spans="1:28" x14ac:dyDescent="0.35">
      <c r="A625" s="445">
        <v>45611</v>
      </c>
      <c r="B625" s="444">
        <v>2024</v>
      </c>
      <c r="C625" s="444">
        <v>46</v>
      </c>
      <c r="D625" s="444">
        <v>7</v>
      </c>
      <c r="E625" s="444" t="s">
        <v>327</v>
      </c>
      <c r="F625" s="445" t="s">
        <v>50</v>
      </c>
      <c r="G625" s="446">
        <v>0.72916666666666552</v>
      </c>
      <c r="H625" s="445" t="s">
        <v>249</v>
      </c>
      <c r="I625" s="444">
        <v>50</v>
      </c>
      <c r="J625" s="445" t="s">
        <v>80</v>
      </c>
      <c r="K625" s="447">
        <v>150.26</v>
      </c>
      <c r="L625" s="448">
        <v>6.27</v>
      </c>
      <c r="M625" s="444">
        <v>114</v>
      </c>
      <c r="N625" s="444">
        <v>17</v>
      </c>
      <c r="O625" s="447">
        <v>23.964912280701753</v>
      </c>
      <c r="P625" s="449">
        <v>1.7015063280965137E-3</v>
      </c>
      <c r="Q625" s="447">
        <v>8.8388235294117639</v>
      </c>
      <c r="R625" s="447">
        <v>1.3180701754385964</v>
      </c>
      <c r="S625" s="450">
        <v>6.7058823529411766</v>
      </c>
      <c r="T625" s="450">
        <v>2.7113237639553431</v>
      </c>
      <c r="U625" s="240">
        <v>3</v>
      </c>
      <c r="V625" s="451">
        <v>1.5367647058823528E-2</v>
      </c>
      <c r="W625" s="450" t="s">
        <v>176</v>
      </c>
      <c r="X625" s="447">
        <v>22.483122528976669</v>
      </c>
      <c r="Y625" s="447">
        <v>1.4817897517250849</v>
      </c>
      <c r="Z625" s="452">
        <v>73.73944444444443</v>
      </c>
      <c r="AA625" s="58">
        <f t="shared" ca="1" si="21"/>
        <v>115.205</v>
      </c>
      <c r="AB625" s="453">
        <f ca="1">Table29[[#This Row],[Earnings]]-Table29[[#This Row],[4-Week Average]]</f>
        <v>35.054999999999993</v>
      </c>
    </row>
    <row r="626" spans="1:28" x14ac:dyDescent="0.35">
      <c r="A626" s="436">
        <v>45612</v>
      </c>
      <c r="B626" s="435">
        <v>2024</v>
      </c>
      <c r="C626" s="435">
        <v>46</v>
      </c>
      <c r="D626" s="435">
        <v>7</v>
      </c>
      <c r="E626" s="435" t="s">
        <v>327</v>
      </c>
      <c r="F626" s="436" t="s">
        <v>51</v>
      </c>
      <c r="G626" s="437">
        <v>0.72916666666666552</v>
      </c>
      <c r="H626" s="436" t="s">
        <v>230</v>
      </c>
      <c r="I626" s="435">
        <v>46</v>
      </c>
      <c r="J626" s="436" t="s">
        <v>82</v>
      </c>
      <c r="K626" s="438">
        <v>174.28</v>
      </c>
      <c r="L626" s="439">
        <v>8</v>
      </c>
      <c r="M626" s="435">
        <v>116</v>
      </c>
      <c r="N626" s="435">
        <v>20</v>
      </c>
      <c r="O626" s="438">
        <v>21.785</v>
      </c>
      <c r="P626" s="440">
        <v>-0.34518199152400086</v>
      </c>
      <c r="Q626" s="438">
        <v>8.7140000000000004</v>
      </c>
      <c r="R626" s="438">
        <v>1.5024137931034482</v>
      </c>
      <c r="S626" s="441">
        <v>5.8</v>
      </c>
      <c r="T626" s="441">
        <v>2.5</v>
      </c>
      <c r="U626" s="239">
        <v>5</v>
      </c>
      <c r="V626" s="442">
        <v>1.6666666666666666E-2</v>
      </c>
      <c r="W626" s="441" t="s">
        <v>176</v>
      </c>
      <c r="X626" s="438">
        <v>21.362979704797048</v>
      </c>
      <c r="Y626" s="438">
        <v>0.4220202952029517</v>
      </c>
      <c r="Z626" s="443">
        <v>74.830333333333314</v>
      </c>
      <c r="AA626" s="58">
        <f t="shared" ca="1" si="21"/>
        <v>139.38499999999999</v>
      </c>
      <c r="AB626" s="453">
        <f ca="1">Table29[[#This Row],[Earnings]]-Table29[[#This Row],[4-Week Average]]</f>
        <v>34.89500000000001</v>
      </c>
    </row>
    <row r="627" spans="1:28" x14ac:dyDescent="0.35">
      <c r="A627" s="445">
        <v>45614</v>
      </c>
      <c r="B627" s="444">
        <v>2024</v>
      </c>
      <c r="C627" s="444">
        <v>47</v>
      </c>
      <c r="D627" s="444">
        <v>8</v>
      </c>
      <c r="E627" s="444" t="s">
        <v>327</v>
      </c>
      <c r="F627" s="445" t="s">
        <v>46</v>
      </c>
      <c r="G627" s="446">
        <v>0.77083333333333215</v>
      </c>
      <c r="H627" s="445" t="s">
        <v>231</v>
      </c>
      <c r="I627" s="444">
        <v>50</v>
      </c>
      <c r="J627" s="445" t="s">
        <v>80</v>
      </c>
      <c r="K627" s="447">
        <v>68.75</v>
      </c>
      <c r="L627" s="448">
        <v>3.02</v>
      </c>
      <c r="M627" s="444">
        <v>59</v>
      </c>
      <c r="N627" s="444">
        <v>5</v>
      </c>
      <c r="O627" s="447">
        <v>22.764900662251655</v>
      </c>
      <c r="P627" s="449">
        <v>-2.4112670361709938</v>
      </c>
      <c r="Q627" s="447">
        <v>13.75</v>
      </c>
      <c r="R627" s="447">
        <v>1.1652542372881356</v>
      </c>
      <c r="S627" s="450">
        <v>11.8</v>
      </c>
      <c r="T627" s="450">
        <v>1.6556291390728477</v>
      </c>
      <c r="U627" s="240">
        <v>2</v>
      </c>
      <c r="V627" s="451">
        <v>2.5166666666666667E-2</v>
      </c>
      <c r="W627" s="450" t="s">
        <v>176</v>
      </c>
      <c r="X627" s="447">
        <v>23.549802521868241</v>
      </c>
      <c r="Y627" s="447">
        <v>-0.78490185961658554</v>
      </c>
      <c r="Z627" s="452">
        <v>75.594222222222214</v>
      </c>
      <c r="AA627" s="58">
        <f t="shared" ca="1" si="21"/>
        <v>120.675</v>
      </c>
      <c r="AB627" s="453">
        <f ca="1">Table29[[#This Row],[Earnings]]-Table29[[#This Row],[4-Week Average]]</f>
        <v>-51.924999999999997</v>
      </c>
    </row>
    <row r="628" spans="1:28" x14ac:dyDescent="0.35">
      <c r="A628" s="436">
        <v>45617</v>
      </c>
      <c r="B628" s="435">
        <v>2024</v>
      </c>
      <c r="C628" s="435">
        <v>47</v>
      </c>
      <c r="D628" s="435">
        <v>8</v>
      </c>
      <c r="E628" s="435" t="s">
        <v>327</v>
      </c>
      <c r="F628" s="436" t="s">
        <v>49</v>
      </c>
      <c r="G628" s="437">
        <v>0.77083333333333215</v>
      </c>
      <c r="H628" s="436" t="s">
        <v>276</v>
      </c>
      <c r="I628" s="435">
        <v>45</v>
      </c>
      <c r="J628" s="436" t="s">
        <v>80</v>
      </c>
      <c r="K628" s="438">
        <v>8.07</v>
      </c>
      <c r="L628" s="439">
        <v>0.6</v>
      </c>
      <c r="M628" s="435">
        <v>19</v>
      </c>
      <c r="N628" s="435">
        <v>1</v>
      </c>
      <c r="O628" s="438">
        <v>13.450000000000001</v>
      </c>
      <c r="P628" s="440">
        <v>-9.964807564490842</v>
      </c>
      <c r="Q628" s="438">
        <v>8.07</v>
      </c>
      <c r="R628" s="438">
        <v>0.42473684210526319</v>
      </c>
      <c r="S628" s="441">
        <v>19</v>
      </c>
      <c r="T628" s="441">
        <v>1.6666666666666667</v>
      </c>
      <c r="U628" s="239">
        <v>1</v>
      </c>
      <c r="V628" s="442">
        <v>2.4999999999999998E-2</v>
      </c>
      <c r="W628" s="441" t="s">
        <v>176</v>
      </c>
      <c r="X628" s="438">
        <v>15.912805605247465</v>
      </c>
      <c r="Y628" s="438">
        <v>-2.4628056052474641</v>
      </c>
      <c r="Z628" s="443">
        <v>69.86855555555556</v>
      </c>
      <c r="AA628" s="58">
        <f t="shared" ca="1" si="21"/>
        <v>100.33999999999999</v>
      </c>
      <c r="AB628" s="453">
        <f ca="1">Table29[[#This Row],[Earnings]]-Table29[[#This Row],[4-Week Average]]</f>
        <v>-92.269999999999982</v>
      </c>
    </row>
    <row r="629" spans="1:28" x14ac:dyDescent="0.35">
      <c r="A629" s="445">
        <v>45618</v>
      </c>
      <c r="B629" s="444">
        <v>2024</v>
      </c>
      <c r="C629" s="444">
        <v>47</v>
      </c>
      <c r="D629" s="444">
        <v>8</v>
      </c>
      <c r="E629" s="444" t="s">
        <v>327</v>
      </c>
      <c r="F629" s="445" t="s">
        <v>50</v>
      </c>
      <c r="G629" s="446">
        <v>0.74999999999999889</v>
      </c>
      <c r="H629" s="445" t="s">
        <v>325</v>
      </c>
      <c r="I629" s="444">
        <v>46</v>
      </c>
      <c r="J629" s="445" t="s">
        <v>80</v>
      </c>
      <c r="K629" s="447">
        <v>105.69999999999999</v>
      </c>
      <c r="L629" s="448">
        <v>3.83</v>
      </c>
      <c r="M629" s="444">
        <v>85</v>
      </c>
      <c r="N629" s="444">
        <v>8</v>
      </c>
      <c r="O629" s="447">
        <v>27.597911227154043</v>
      </c>
      <c r="P629" s="449">
        <v>3.6346153774639802</v>
      </c>
      <c r="Q629" s="447">
        <v>13.212499999999999</v>
      </c>
      <c r="R629" s="447">
        <v>1.2435294117647058</v>
      </c>
      <c r="S629" s="450">
        <v>10.625</v>
      </c>
      <c r="T629" s="450">
        <v>2.0887728459530024</v>
      </c>
      <c r="U629" s="240">
        <v>3</v>
      </c>
      <c r="V629" s="451">
        <v>1.9947916666666666E-2</v>
      </c>
      <c r="W629" s="450" t="s">
        <v>176</v>
      </c>
      <c r="X629" s="447">
        <v>24.067695029985224</v>
      </c>
      <c r="Y629" s="447">
        <v>3.5302161971688193</v>
      </c>
      <c r="Z629" s="452">
        <v>69.436999999999998</v>
      </c>
      <c r="AA629" s="58">
        <f t="shared" ca="1" si="21"/>
        <v>89.199999999999989</v>
      </c>
      <c r="AB629" s="453">
        <f ca="1">Table29[[#This Row],[Earnings]]-Table29[[#This Row],[4-Week Average]]</f>
        <v>16.5</v>
      </c>
    </row>
    <row r="630" spans="1:28" x14ac:dyDescent="0.35">
      <c r="A630" s="436">
        <v>45621</v>
      </c>
      <c r="B630" s="435">
        <v>2024</v>
      </c>
      <c r="C630" s="435">
        <v>48</v>
      </c>
      <c r="D630" s="435">
        <v>9</v>
      </c>
      <c r="E630" s="435" t="s">
        <v>327</v>
      </c>
      <c r="F630" s="436" t="s">
        <v>46</v>
      </c>
      <c r="G630" s="437">
        <v>0.72916666666666552</v>
      </c>
      <c r="H630" s="436" t="s">
        <v>230</v>
      </c>
      <c r="I630" s="435">
        <v>36</v>
      </c>
      <c r="J630" s="436" t="s">
        <v>80</v>
      </c>
      <c r="K630" s="438">
        <v>64.39</v>
      </c>
      <c r="L630" s="439">
        <v>3</v>
      </c>
      <c r="M630" s="435">
        <v>52</v>
      </c>
      <c r="N630" s="435">
        <v>6</v>
      </c>
      <c r="O630" s="438">
        <v>21.463333333333335</v>
      </c>
      <c r="P630" s="440">
        <v>-3.5709951276674907</v>
      </c>
      <c r="Q630" s="438">
        <v>10.731666666666667</v>
      </c>
      <c r="R630" s="438">
        <v>1.2382692307692307</v>
      </c>
      <c r="S630" s="441">
        <v>8.6666666666666661</v>
      </c>
      <c r="T630" s="441">
        <v>2</v>
      </c>
      <c r="U630" s="239">
        <v>3</v>
      </c>
      <c r="V630" s="442">
        <v>2.0833333333333332E-2</v>
      </c>
      <c r="W630" s="441" t="s">
        <v>176</v>
      </c>
      <c r="X630" s="438">
        <v>22.7536390170972</v>
      </c>
      <c r="Y630" s="438">
        <v>-1.2903056837638651</v>
      </c>
      <c r="Z630" s="443">
        <v>65.562888888888892</v>
      </c>
      <c r="AA630" s="58">
        <f t="shared" ca="1" si="21"/>
        <v>61.727499999999992</v>
      </c>
      <c r="AB630" s="453">
        <f ca="1">Table29[[#This Row],[Earnings]]-Table29[[#This Row],[4-Week Average]]</f>
        <v>2.6625000000000085</v>
      </c>
    </row>
    <row r="631" spans="1:28" x14ac:dyDescent="0.35">
      <c r="A631" s="445">
        <v>45623</v>
      </c>
      <c r="B631" s="444">
        <v>2024</v>
      </c>
      <c r="C631" s="444">
        <v>48</v>
      </c>
      <c r="D631" s="444">
        <v>9</v>
      </c>
      <c r="E631" s="444" t="s">
        <v>327</v>
      </c>
      <c r="F631" s="445" t="s">
        <v>48</v>
      </c>
      <c r="G631" s="446">
        <v>0.74999999999999889</v>
      </c>
      <c r="H631" s="445" t="s">
        <v>230</v>
      </c>
      <c r="I631" s="444">
        <v>34</v>
      </c>
      <c r="J631" s="445" t="s">
        <v>80</v>
      </c>
      <c r="K631" s="447">
        <v>66.87</v>
      </c>
      <c r="L631" s="448">
        <v>2.77</v>
      </c>
      <c r="M631" s="444">
        <v>56</v>
      </c>
      <c r="N631" s="444">
        <v>6</v>
      </c>
      <c r="O631" s="447">
        <v>24.140794223826717</v>
      </c>
      <c r="P631" s="449">
        <v>1.6310358575477615</v>
      </c>
      <c r="Q631" s="447">
        <v>11.145000000000001</v>
      </c>
      <c r="R631" s="447">
        <v>1.194107142857143</v>
      </c>
      <c r="S631" s="450">
        <v>9.3333333333333339</v>
      </c>
      <c r="T631" s="450">
        <v>2.1660649819494586</v>
      </c>
      <c r="U631" s="240">
        <v>2</v>
      </c>
      <c r="V631" s="451">
        <v>1.923611111111111E-2</v>
      </c>
      <c r="W631" s="450" t="s">
        <v>175</v>
      </c>
      <c r="X631" s="447">
        <v>21.611061995023647</v>
      </c>
      <c r="Y631" s="447">
        <v>2.5297322288030699</v>
      </c>
      <c r="Z631" s="452">
        <v>65.615111111111119</v>
      </c>
      <c r="AA631" s="58">
        <f t="shared" ca="1" si="21"/>
        <v>61.257499999999993</v>
      </c>
      <c r="AB631" s="453">
        <f ca="1">Table29[[#This Row],[Earnings]]-Table29[[#This Row],[4-Week Average]]</f>
        <v>5.6125000000000114</v>
      </c>
    </row>
    <row r="632" spans="1:28" x14ac:dyDescent="0.35">
      <c r="A632" s="436">
        <v>45625</v>
      </c>
      <c r="B632" s="435">
        <v>2024</v>
      </c>
      <c r="C632" s="435">
        <v>48</v>
      </c>
      <c r="D632" s="435">
        <v>9</v>
      </c>
      <c r="E632" s="435" t="s">
        <v>327</v>
      </c>
      <c r="F632" s="436" t="s">
        <v>50</v>
      </c>
      <c r="G632" s="437">
        <v>0.70833333333333226</v>
      </c>
      <c r="H632" s="436" t="s">
        <v>230</v>
      </c>
      <c r="I632" s="435">
        <v>36</v>
      </c>
      <c r="J632" s="436" t="s">
        <v>174</v>
      </c>
      <c r="K632" s="438">
        <v>150.29000000000002</v>
      </c>
      <c r="L632" s="439">
        <v>5.97</v>
      </c>
      <c r="M632" s="435">
        <v>116</v>
      </c>
      <c r="N632" s="435">
        <v>11</v>
      </c>
      <c r="O632" s="438">
        <v>25.174204355108881</v>
      </c>
      <c r="P632" s="440">
        <v>1.30647948738401</v>
      </c>
      <c r="Q632" s="438">
        <v>13.662727272727274</v>
      </c>
      <c r="R632" s="438">
        <v>1.2956034482758623</v>
      </c>
      <c r="S632" s="441">
        <v>10.545454545454545</v>
      </c>
      <c r="T632" s="441">
        <v>1.8425460636515913</v>
      </c>
      <c r="U632" s="239">
        <v>3</v>
      </c>
      <c r="V632" s="442">
        <v>2.2613636363636364E-2</v>
      </c>
      <c r="W632" s="441" t="s">
        <v>175</v>
      </c>
      <c r="X632" s="438">
        <v>22.935551190780895</v>
      </c>
      <c r="Y632" s="438">
        <v>2.2386531643279852</v>
      </c>
      <c r="Z632" s="443">
        <v>67.285000000000011</v>
      </c>
      <c r="AA632" s="58">
        <f t="shared" ca="1" si="21"/>
        <v>96.8125</v>
      </c>
      <c r="AB632" s="453">
        <f ca="1">Table29[[#This Row],[Earnings]]-Table29[[#This Row],[4-Week Average]]</f>
        <v>53.47750000000002</v>
      </c>
    </row>
    <row r="633" spans="1:28" x14ac:dyDescent="0.35">
      <c r="A633" s="445">
        <v>45628</v>
      </c>
      <c r="B633" s="444">
        <v>2024</v>
      </c>
      <c r="C633" s="444">
        <v>49</v>
      </c>
      <c r="D633" s="444">
        <v>10</v>
      </c>
      <c r="E633" s="444" t="s">
        <v>327</v>
      </c>
      <c r="F633" s="445" t="s">
        <v>46</v>
      </c>
      <c r="G633" s="446">
        <v>0.74999999999999889</v>
      </c>
      <c r="H633" s="445" t="s">
        <v>249</v>
      </c>
      <c r="I633" s="444">
        <v>28</v>
      </c>
      <c r="J633" s="445" t="s">
        <v>80</v>
      </c>
      <c r="K633" s="447">
        <v>66.58</v>
      </c>
      <c r="L633" s="448">
        <v>2.23</v>
      </c>
      <c r="M633" s="444">
        <v>57</v>
      </c>
      <c r="N633" s="444">
        <v>10</v>
      </c>
      <c r="O633" s="447">
        <v>29.856502242152466</v>
      </c>
      <c r="P633" s="449">
        <v>5.0205623993553914</v>
      </c>
      <c r="Q633" s="447">
        <v>6.6579999999999995</v>
      </c>
      <c r="R633" s="447">
        <v>1.1680701754385965</v>
      </c>
      <c r="S633" s="450">
        <v>5.7</v>
      </c>
      <c r="T633" s="450">
        <v>4.4843049327354256</v>
      </c>
      <c r="U633" s="240">
        <v>2</v>
      </c>
      <c r="V633" s="451">
        <v>9.2916666666666668E-3</v>
      </c>
      <c r="W633" s="450" t="s">
        <v>176</v>
      </c>
      <c r="X633" s="447">
        <v>21.442841149708883</v>
      </c>
      <c r="Y633" s="447">
        <v>8.4136610924435828</v>
      </c>
      <c r="Z633" s="452">
        <v>65.836888888888907</v>
      </c>
      <c r="AA633" s="58">
        <f t="shared" ca="1" si="21"/>
        <v>87.032499999999999</v>
      </c>
      <c r="AB633" s="453">
        <f ca="1">Table29[[#This Row],[Earnings]]-Table29[[#This Row],[4-Week Average]]</f>
        <v>-20.452500000000001</v>
      </c>
    </row>
    <row r="634" spans="1:28" x14ac:dyDescent="0.35">
      <c r="A634" s="436">
        <v>45629</v>
      </c>
      <c r="B634" s="435">
        <v>2024</v>
      </c>
      <c r="C634" s="435">
        <v>49</v>
      </c>
      <c r="D634" s="435">
        <v>10</v>
      </c>
      <c r="E634" s="435" t="s">
        <v>327</v>
      </c>
      <c r="F634" s="436" t="s">
        <v>47</v>
      </c>
      <c r="G634" s="437">
        <v>0.87499999999999867</v>
      </c>
      <c r="H634" s="436" t="s">
        <v>285</v>
      </c>
      <c r="I634" s="435">
        <v>30</v>
      </c>
      <c r="J634" s="436" t="s">
        <v>80</v>
      </c>
      <c r="K634" s="438">
        <v>26</v>
      </c>
      <c r="L634" s="439">
        <v>1.23</v>
      </c>
      <c r="M634" s="435">
        <v>14</v>
      </c>
      <c r="N634" s="435">
        <v>3</v>
      </c>
      <c r="O634" s="438">
        <v>21.13821138211382</v>
      </c>
      <c r="P634" s="440">
        <v>-3.2226411901831433</v>
      </c>
      <c r="Q634" s="438">
        <v>8.6666666666666661</v>
      </c>
      <c r="R634" s="438">
        <v>1.8571428571428572</v>
      </c>
      <c r="S634" s="441">
        <v>4.666666666666667</v>
      </c>
      <c r="T634" s="441">
        <v>2.4390243902439024</v>
      </c>
      <c r="U634" s="239">
        <v>1</v>
      </c>
      <c r="V634" s="442">
        <v>1.7083333333333332E-2</v>
      </c>
      <c r="W634" s="441" t="s">
        <v>176</v>
      </c>
      <c r="X634" s="438">
        <v>26.00270730071486</v>
      </c>
      <c r="Y634" s="438">
        <v>-4.8644959186010404</v>
      </c>
      <c r="Z634" s="443">
        <v>66.125777777777799</v>
      </c>
      <c r="AA634" s="58">
        <f t="shared" ca="1" si="21"/>
        <v>77.435000000000002</v>
      </c>
      <c r="AB634" s="453">
        <f ca="1">Table29[[#This Row],[Earnings]]-Table29[[#This Row],[4-Week Average]]</f>
        <v>-51.435000000000002</v>
      </c>
    </row>
    <row r="635" spans="1:28" x14ac:dyDescent="0.35">
      <c r="A635" s="445">
        <v>45630</v>
      </c>
      <c r="B635" s="444">
        <v>2024</v>
      </c>
      <c r="C635" s="444">
        <v>49</v>
      </c>
      <c r="D635" s="444">
        <v>10</v>
      </c>
      <c r="E635" s="444" t="s">
        <v>327</v>
      </c>
      <c r="F635" s="445" t="s">
        <v>48</v>
      </c>
      <c r="G635" s="446">
        <v>0.81249999999999878</v>
      </c>
      <c r="H635" s="445" t="s">
        <v>232</v>
      </c>
      <c r="I635" s="444">
        <v>34</v>
      </c>
      <c r="J635" s="445" t="s">
        <v>80</v>
      </c>
      <c r="K635" s="447">
        <v>92.76</v>
      </c>
      <c r="L635" s="448">
        <v>3.27</v>
      </c>
      <c r="M635" s="444">
        <v>68</v>
      </c>
      <c r="N635" s="444">
        <v>12</v>
      </c>
      <c r="O635" s="447">
        <v>28.366972477064223</v>
      </c>
      <c r="P635" s="449">
        <v>5.7212944559896215</v>
      </c>
      <c r="Q635" s="447">
        <v>7.73</v>
      </c>
      <c r="R635" s="447">
        <v>1.3641176470588237</v>
      </c>
      <c r="S635" s="450">
        <v>5.666666666666667</v>
      </c>
      <c r="T635" s="450">
        <v>3.6697247706422016</v>
      </c>
      <c r="U635" s="240">
        <v>3</v>
      </c>
      <c r="V635" s="451">
        <v>1.1354166666666667E-2</v>
      </c>
      <c r="W635" s="450" t="s">
        <v>176</v>
      </c>
      <c r="X635" s="447">
        <v>28.366972477064223</v>
      </c>
      <c r="Y635" s="447">
        <v>0</v>
      </c>
      <c r="Z635" s="452">
        <v>66.264222222222244</v>
      </c>
      <c r="AA635" s="58">
        <f t="shared" ca="1" si="21"/>
        <v>83.907499999999999</v>
      </c>
      <c r="AB635" s="453">
        <f ca="1">Table29[[#This Row],[Earnings]]-Table29[[#This Row],[4-Week Average]]</f>
        <v>8.8525000000000063</v>
      </c>
    </row>
    <row r="636" spans="1:28" x14ac:dyDescent="0.35">
      <c r="A636" s="436">
        <v>45632</v>
      </c>
      <c r="B636" s="435">
        <v>2024</v>
      </c>
      <c r="C636" s="435">
        <v>49</v>
      </c>
      <c r="D636" s="435">
        <v>10</v>
      </c>
      <c r="E636" s="435" t="s">
        <v>327</v>
      </c>
      <c r="F636" s="436" t="s">
        <v>50</v>
      </c>
      <c r="G636" s="437">
        <v>0.81249999999999878</v>
      </c>
      <c r="H636" s="436" t="s">
        <v>230</v>
      </c>
      <c r="I636" s="435">
        <v>19</v>
      </c>
      <c r="J636" s="436" t="s">
        <v>80</v>
      </c>
      <c r="K636" s="438">
        <v>44.5</v>
      </c>
      <c r="L636" s="439">
        <v>2.02</v>
      </c>
      <c r="M636" s="435">
        <v>55</v>
      </c>
      <c r="N636" s="435">
        <v>4</v>
      </c>
      <c r="O636" s="438">
        <v>22.029702970297031</v>
      </c>
      <c r="P636" s="440">
        <v>-2.1066698021294101</v>
      </c>
      <c r="Q636" s="438">
        <v>11.125</v>
      </c>
      <c r="R636" s="438">
        <v>0.80909090909090908</v>
      </c>
      <c r="S636" s="441">
        <v>13.75</v>
      </c>
      <c r="T636" s="441">
        <v>1.9801980198019802</v>
      </c>
      <c r="U636" s="239">
        <v>1</v>
      </c>
      <c r="V636" s="442">
        <v>2.1041666666666667E-2</v>
      </c>
      <c r="W636" s="441" t="s">
        <v>176</v>
      </c>
      <c r="X636" s="438">
        <v>20.150712464611388</v>
      </c>
      <c r="Y636" s="438">
        <v>1.8789905056856426</v>
      </c>
      <c r="Z636" s="443">
        <v>64.408777777777786</v>
      </c>
      <c r="AA636" s="58">
        <f t="shared" ca="1" si="21"/>
        <v>57.46</v>
      </c>
      <c r="AB636" s="453">
        <f ca="1">Table29[[#This Row],[Earnings]]-Table29[[#This Row],[4-Week Average]]</f>
        <v>-12.96</v>
      </c>
    </row>
    <row r="637" spans="1:28" x14ac:dyDescent="0.35">
      <c r="A637" s="445">
        <v>45635</v>
      </c>
      <c r="B637" s="444">
        <v>2024</v>
      </c>
      <c r="C637" s="444">
        <v>50</v>
      </c>
      <c r="D637" s="444">
        <v>11</v>
      </c>
      <c r="E637" s="444" t="s">
        <v>327</v>
      </c>
      <c r="F637" s="445" t="s">
        <v>46</v>
      </c>
      <c r="G637" s="446">
        <v>0.79166666666666541</v>
      </c>
      <c r="H637" s="445" t="s">
        <v>234</v>
      </c>
      <c r="I637" s="444">
        <v>28</v>
      </c>
      <c r="J637" s="445" t="s">
        <v>80</v>
      </c>
      <c r="K637" s="447">
        <v>58.88</v>
      </c>
      <c r="L637" s="448">
        <v>1.85</v>
      </c>
      <c r="M637" s="444">
        <v>32</v>
      </c>
      <c r="N637" s="444">
        <v>6</v>
      </c>
      <c r="O637" s="447">
        <v>31.827027027027025</v>
      </c>
      <c r="P637" s="449">
        <v>6.7268470579480883</v>
      </c>
      <c r="Q637" s="447">
        <v>9.8133333333333344</v>
      </c>
      <c r="R637" s="447">
        <v>1.84</v>
      </c>
      <c r="S637" s="450">
        <v>5.333333333333333</v>
      </c>
      <c r="T637" s="450">
        <v>3.243243243243243</v>
      </c>
      <c r="U637" s="240">
        <v>2</v>
      </c>
      <c r="V637" s="451">
        <v>1.2847222222222223E-2</v>
      </c>
      <c r="W637" s="450" t="s">
        <v>175</v>
      </c>
      <c r="X637" s="447">
        <v>21.372401866151865</v>
      </c>
      <c r="Y637" s="447">
        <v>10.45462516087516</v>
      </c>
      <c r="Z637" s="452">
        <v>61.727000000000011</v>
      </c>
      <c r="AA637" s="58">
        <f t="shared" ca="1" si="21"/>
        <v>55.534999999999997</v>
      </c>
      <c r="AB637" s="453">
        <f ca="1">Table29[[#This Row],[Earnings]]-Table29[[#This Row],[4-Week Average]]</f>
        <v>3.345000000000006</v>
      </c>
    </row>
    <row r="638" spans="1:28" x14ac:dyDescent="0.35">
      <c r="A638" s="436">
        <v>45638</v>
      </c>
      <c r="B638" s="435">
        <v>2024</v>
      </c>
      <c r="C638" s="435">
        <v>50</v>
      </c>
      <c r="D638" s="435">
        <v>11</v>
      </c>
      <c r="E638" s="435" t="s">
        <v>327</v>
      </c>
      <c r="F638" s="436" t="s">
        <v>49</v>
      </c>
      <c r="G638" s="437">
        <v>0.83333333333333204</v>
      </c>
      <c r="H638" s="436" t="s">
        <v>230</v>
      </c>
      <c r="I638" s="435">
        <v>34</v>
      </c>
      <c r="J638" s="436" t="s">
        <v>80</v>
      </c>
      <c r="K638" s="438">
        <v>36.19</v>
      </c>
      <c r="L638" s="439">
        <v>2.12</v>
      </c>
      <c r="M638" s="435">
        <v>19</v>
      </c>
      <c r="N638" s="435">
        <v>3</v>
      </c>
      <c r="O638" s="438">
        <v>17.070754716981131</v>
      </c>
      <c r="P638" s="440">
        <v>-5.347572091060627</v>
      </c>
      <c r="Q638" s="438">
        <v>12.063333333333333</v>
      </c>
      <c r="R638" s="438">
        <v>1.9047368421052631</v>
      </c>
      <c r="S638" s="441">
        <v>6.333333333333333</v>
      </c>
      <c r="T638" s="441">
        <v>1.4150943396226414</v>
      </c>
      <c r="U638" s="239">
        <v>2</v>
      </c>
      <c r="V638" s="442">
        <v>2.9444444444444443E-2</v>
      </c>
      <c r="W638" s="441" t="s">
        <v>176</v>
      </c>
      <c r="X638" s="438">
        <v>19.011640461215933</v>
      </c>
      <c r="Y638" s="438">
        <v>-1.9408857442348015</v>
      </c>
      <c r="Z638" s="443">
        <v>57.26177777777778</v>
      </c>
      <c r="AA638" s="58">
        <f t="shared" ca="1" si="21"/>
        <v>58.082499999999996</v>
      </c>
      <c r="AB638" s="453">
        <f ca="1">Table29[[#This Row],[Earnings]]-Table29[[#This Row],[4-Week Average]]</f>
        <v>-21.892499999999998</v>
      </c>
    </row>
    <row r="639" spans="1:28" x14ac:dyDescent="0.35">
      <c r="A639" s="445">
        <v>45659</v>
      </c>
      <c r="B639" s="444">
        <v>2025</v>
      </c>
      <c r="C639" s="444">
        <v>1</v>
      </c>
      <c r="D639" s="444">
        <v>1</v>
      </c>
      <c r="E639" s="444" t="s">
        <v>278</v>
      </c>
      <c r="F639" s="445" t="s">
        <v>49</v>
      </c>
      <c r="G639" s="446">
        <v>0.72916666666666552</v>
      </c>
      <c r="H639" s="445" t="s">
        <v>285</v>
      </c>
      <c r="I639" s="444">
        <v>34</v>
      </c>
      <c r="J639" s="445" t="s">
        <v>82</v>
      </c>
      <c r="K639" s="447">
        <v>61.47</v>
      </c>
      <c r="L639" s="448">
        <v>2.75</v>
      </c>
      <c r="M639" s="444">
        <v>38</v>
      </c>
      <c r="N639" s="444">
        <v>5</v>
      </c>
      <c r="O639" s="447">
        <v>22.352727272727272</v>
      </c>
      <c r="P639" s="449">
        <v>0.84138916668301533</v>
      </c>
      <c r="Q639" s="447">
        <v>12.294</v>
      </c>
      <c r="R639" s="447">
        <v>1.6176315789473683</v>
      </c>
      <c r="S639" s="450">
        <v>7.6</v>
      </c>
      <c r="T639" s="450">
        <v>1.8181818181818181</v>
      </c>
      <c r="U639" s="240">
        <v>3</v>
      </c>
      <c r="V639" s="451">
        <v>2.2916666666666669E-2</v>
      </c>
      <c r="W639" s="450" t="s">
        <v>176</v>
      </c>
      <c r="X639" s="447">
        <v>18.675659411011523</v>
      </c>
      <c r="Y639" s="447">
        <v>3.6770678617157486</v>
      </c>
      <c r="Z639" s="452">
        <v>44.021888888888888</v>
      </c>
      <c r="AA639" s="58">
        <f t="shared" ca="1" si="21"/>
        <v>50.26</v>
      </c>
      <c r="AB639" s="453">
        <f ca="1">Table29[[#This Row],[Earnings]]-Table29[[#This Row],[4-Week Average]]</f>
        <v>11.21</v>
      </c>
    </row>
    <row r="640" spans="1:28" x14ac:dyDescent="0.35">
      <c r="A640" s="436">
        <v>45660</v>
      </c>
      <c r="B640" s="435">
        <v>2025</v>
      </c>
      <c r="C640" s="435">
        <v>1</v>
      </c>
      <c r="D640" s="435">
        <v>1</v>
      </c>
      <c r="E640" s="435" t="s">
        <v>278</v>
      </c>
      <c r="F640" s="436" t="s">
        <v>50</v>
      </c>
      <c r="G640" s="437">
        <v>0.77083333333333215</v>
      </c>
      <c r="H640" s="436" t="s">
        <v>230</v>
      </c>
      <c r="I640" s="435">
        <v>30</v>
      </c>
      <c r="J640" s="436" t="s">
        <v>82</v>
      </c>
      <c r="K640" s="438">
        <v>30.52</v>
      </c>
      <c r="L640" s="439">
        <v>1.73</v>
      </c>
      <c r="M640" s="435">
        <v>27</v>
      </c>
      <c r="N640" s="435">
        <v>4</v>
      </c>
      <c r="O640" s="438">
        <v>17.641618497109828</v>
      </c>
      <c r="P640" s="440">
        <v>-2.5741405533135051</v>
      </c>
      <c r="Q640" s="438">
        <v>7.63</v>
      </c>
      <c r="R640" s="438">
        <v>1.1303703703703702</v>
      </c>
      <c r="S640" s="441">
        <v>6.75</v>
      </c>
      <c r="T640" s="441">
        <v>2.3121387283236996</v>
      </c>
      <c r="U640" s="239">
        <v>2</v>
      </c>
      <c r="V640" s="442">
        <v>1.8020833333333333E-2</v>
      </c>
      <c r="W640" s="441" t="s">
        <v>176</v>
      </c>
      <c r="X640" s="438">
        <v>19.988788031661809</v>
      </c>
      <c r="Y640" s="438">
        <v>-2.3471695345519805</v>
      </c>
      <c r="Z640" s="443">
        <v>42.754999999999995</v>
      </c>
      <c r="AA640" s="58">
        <f t="shared" ca="1" si="21"/>
        <v>46.765000000000001</v>
      </c>
      <c r="AB640" s="453">
        <f ca="1">Table29[[#This Row],[Earnings]]-Table29[[#This Row],[4-Week Average]]</f>
        <v>-16.245000000000001</v>
      </c>
    </row>
    <row r="641" spans="1:28" x14ac:dyDescent="0.35">
      <c r="A641" s="445">
        <v>45662</v>
      </c>
      <c r="B641" s="444">
        <v>2025</v>
      </c>
      <c r="C641" s="444">
        <v>1</v>
      </c>
      <c r="D641" s="444">
        <v>1</v>
      </c>
      <c r="E641" s="444" t="s">
        <v>278</v>
      </c>
      <c r="F641" s="445" t="s">
        <v>45</v>
      </c>
      <c r="G641" s="446">
        <v>0.74999999999999889</v>
      </c>
      <c r="H641" s="445" t="s">
        <v>230</v>
      </c>
      <c r="I641" s="444">
        <v>9</v>
      </c>
      <c r="J641" s="445" t="s">
        <v>80</v>
      </c>
      <c r="K641" s="447">
        <v>74.41</v>
      </c>
      <c r="L641" s="448">
        <v>2.85</v>
      </c>
      <c r="M641" s="444">
        <v>62</v>
      </c>
      <c r="N641" s="444">
        <v>4</v>
      </c>
      <c r="O641" s="447">
        <v>26.10877192982456</v>
      </c>
      <c r="P641" s="449">
        <v>0.16399412156455995</v>
      </c>
      <c r="Q641" s="447">
        <v>18.602499999999999</v>
      </c>
      <c r="R641" s="447">
        <v>1.2001612903225807</v>
      </c>
      <c r="S641" s="450">
        <v>15.5</v>
      </c>
      <c r="T641" s="450">
        <v>1.4035087719298245</v>
      </c>
      <c r="U641" s="240">
        <v>1</v>
      </c>
      <c r="V641" s="451">
        <v>2.9687500000000002E-2</v>
      </c>
      <c r="W641" s="450" t="s">
        <v>176</v>
      </c>
      <c r="X641" s="447">
        <v>22.85733102789024</v>
      </c>
      <c r="Y641" s="447">
        <v>3.2514409019343198</v>
      </c>
      <c r="Z641" s="452">
        <v>40.149777777777771</v>
      </c>
      <c r="AA641" s="58">
        <f t="shared" ca="1" si="21"/>
        <v>50.647500000000001</v>
      </c>
      <c r="AB641" s="453">
        <f ca="1">Table29[[#This Row],[Earnings]]-Table29[[#This Row],[4-Week Average]]</f>
        <v>23.762499999999996</v>
      </c>
    </row>
    <row r="642" spans="1:28" x14ac:dyDescent="0.35">
      <c r="A642" s="436">
        <v>45665</v>
      </c>
      <c r="B642" s="435">
        <v>2025</v>
      </c>
      <c r="C642" s="435">
        <v>2</v>
      </c>
      <c r="D642" s="435">
        <v>2</v>
      </c>
      <c r="E642" s="435" t="s">
        <v>278</v>
      </c>
      <c r="F642" s="436" t="s">
        <v>48</v>
      </c>
      <c r="G642" s="437">
        <v>0.74999999999999889</v>
      </c>
      <c r="H642" s="436" t="s">
        <v>231</v>
      </c>
      <c r="I642" s="435">
        <v>16</v>
      </c>
      <c r="J642" s="436" t="s">
        <v>80</v>
      </c>
      <c r="K642" s="438">
        <v>22.01</v>
      </c>
      <c r="L642" s="439">
        <v>1.38</v>
      </c>
      <c r="M642" s="435">
        <v>50</v>
      </c>
      <c r="N642" s="435">
        <v>1</v>
      </c>
      <c r="O642" s="438">
        <v>15.949275362318843</v>
      </c>
      <c r="P642" s="440">
        <v>-12.644791817851011</v>
      </c>
      <c r="Q642" s="438">
        <v>22.01</v>
      </c>
      <c r="R642" s="438">
        <v>0.44020000000000004</v>
      </c>
      <c r="S642" s="441">
        <v>50</v>
      </c>
      <c r="T642" s="441">
        <v>0.7246376811594204</v>
      </c>
      <c r="U642" s="239">
        <v>1</v>
      </c>
      <c r="V642" s="442">
        <v>5.7499999999999996E-2</v>
      </c>
      <c r="W642" s="441" t="s">
        <v>176</v>
      </c>
      <c r="X642" s="438">
        <v>20.407605676328505</v>
      </c>
      <c r="Y642" s="438">
        <v>-4.4583303140096611</v>
      </c>
      <c r="Z642" s="443">
        <v>40.394333333333329</v>
      </c>
      <c r="AA642" s="58">
        <f t="shared" ca="1" si="21"/>
        <v>47.102499999999992</v>
      </c>
      <c r="AB642" s="453">
        <f ca="1">Table29[[#This Row],[Earnings]]-Table29[[#This Row],[4-Week Average]]</f>
        <v>-25.09249999999999</v>
      </c>
    </row>
    <row r="643" spans="1:28" x14ac:dyDescent="0.35">
      <c r="A643" s="445">
        <v>45666</v>
      </c>
      <c r="B643" s="444">
        <v>2025</v>
      </c>
      <c r="C643" s="444">
        <v>2</v>
      </c>
      <c r="D643" s="444">
        <v>2</v>
      </c>
      <c r="E643" s="444" t="s">
        <v>278</v>
      </c>
      <c r="F643" s="445" t="s">
        <v>49</v>
      </c>
      <c r="G643" s="446">
        <v>0.72916666666666552</v>
      </c>
      <c r="H643" s="445" t="s">
        <v>230</v>
      </c>
      <c r="I643" s="444">
        <v>23</v>
      </c>
      <c r="J643" s="445" t="s">
        <v>82</v>
      </c>
      <c r="K643" s="447">
        <v>13.52</v>
      </c>
      <c r="L643" s="448">
        <v>2.0699999999999998</v>
      </c>
      <c r="M643" s="444">
        <v>23</v>
      </c>
      <c r="N643" s="444">
        <v>2</v>
      </c>
      <c r="O643" s="447">
        <v>6.5314009661835755</v>
      </c>
      <c r="P643" s="449">
        <v>-15.064076056528982</v>
      </c>
      <c r="Q643" s="447">
        <v>6.76</v>
      </c>
      <c r="R643" s="447">
        <v>0.58782608695652172</v>
      </c>
      <c r="S643" s="450">
        <v>11.5</v>
      </c>
      <c r="T643" s="450">
        <v>0.96618357487922713</v>
      </c>
      <c r="U643" s="240">
        <v>2</v>
      </c>
      <c r="V643" s="451">
        <v>4.3124999999999997E-2</v>
      </c>
      <c r="W643" s="450" t="s">
        <v>176</v>
      </c>
      <c r="X643" s="447">
        <v>15.15404435630213</v>
      </c>
      <c r="Y643" s="447">
        <v>-8.6226433901185544</v>
      </c>
      <c r="Z643" s="452">
        <v>40.544555555555554</v>
      </c>
      <c r="AA643" s="58">
        <f t="shared" ca="1" si="21"/>
        <v>35.115000000000002</v>
      </c>
      <c r="AB643" s="453">
        <f ca="1">Table29[[#This Row],[Earnings]]-Table29[[#This Row],[4-Week Average]]</f>
        <v>-21.595000000000002</v>
      </c>
    </row>
    <row r="644" spans="1:28" x14ac:dyDescent="0.35">
      <c r="A644" s="436">
        <v>45668</v>
      </c>
      <c r="B644" s="435">
        <v>2025</v>
      </c>
      <c r="C644" s="435">
        <v>2</v>
      </c>
      <c r="D644" s="435">
        <v>2</v>
      </c>
      <c r="E644" s="435" t="s">
        <v>278</v>
      </c>
      <c r="F644" s="436" t="s">
        <v>51</v>
      </c>
      <c r="G644" s="437">
        <v>0.68749999999999889</v>
      </c>
      <c r="H644" s="436" t="s">
        <v>234</v>
      </c>
      <c r="I644" s="435">
        <v>27</v>
      </c>
      <c r="J644" s="436" t="s">
        <v>85</v>
      </c>
      <c r="K644" s="438">
        <v>148.96</v>
      </c>
      <c r="L644" s="439">
        <v>6.78</v>
      </c>
      <c r="M644" s="435">
        <v>116</v>
      </c>
      <c r="N644" s="435">
        <v>16</v>
      </c>
      <c r="O644" s="438">
        <v>21.970501474926255</v>
      </c>
      <c r="P644" s="440">
        <v>3.0973034197733718</v>
      </c>
      <c r="Q644" s="438">
        <v>9.31</v>
      </c>
      <c r="R644" s="438">
        <v>1.2841379310344829</v>
      </c>
      <c r="S644" s="441">
        <v>7.25</v>
      </c>
      <c r="T644" s="441">
        <v>2.359882005899705</v>
      </c>
      <c r="U644" s="239">
        <v>2</v>
      </c>
      <c r="V644" s="442">
        <v>1.7656250000000002E-2</v>
      </c>
      <c r="W644" s="441" t="s">
        <v>176</v>
      </c>
      <c r="X644" s="438">
        <v>24.347155499367886</v>
      </c>
      <c r="Y644" s="438">
        <v>-2.3766540244416312</v>
      </c>
      <c r="Z644" s="443">
        <v>40.908555555555559</v>
      </c>
      <c r="AA644" s="58">
        <f t="shared" ref="AA644:AA707" ca="1" si="22">AVERAGE(OFFSET(K644,-3,0,4,1))</f>
        <v>64.724999999999994</v>
      </c>
      <c r="AB644" s="453">
        <f ca="1">Table29[[#This Row],[Earnings]]-Table29[[#This Row],[4-Week Average]]</f>
        <v>84.235000000000014</v>
      </c>
    </row>
    <row r="645" spans="1:28" x14ac:dyDescent="0.35">
      <c r="A645" s="445">
        <v>45670</v>
      </c>
      <c r="B645" s="444">
        <v>2025</v>
      </c>
      <c r="C645" s="444">
        <v>3</v>
      </c>
      <c r="D645" s="444">
        <v>3</v>
      </c>
      <c r="E645" s="444" t="s">
        <v>278</v>
      </c>
      <c r="F645" s="445" t="s">
        <v>46</v>
      </c>
      <c r="G645" s="446">
        <v>0.72916666666666552</v>
      </c>
      <c r="H645" s="445" t="s">
        <v>234</v>
      </c>
      <c r="I645" s="444">
        <v>34</v>
      </c>
      <c r="J645" s="445" t="s">
        <v>85</v>
      </c>
      <c r="K645" s="447">
        <v>83.05</v>
      </c>
      <c r="L645" s="448">
        <v>4.38</v>
      </c>
      <c r="M645" s="444">
        <v>68</v>
      </c>
      <c r="N645" s="444">
        <v>7</v>
      </c>
      <c r="O645" s="447">
        <v>18.961187214611872</v>
      </c>
      <c r="P645" s="449">
        <v>3.9283861038864298</v>
      </c>
      <c r="Q645" s="447">
        <v>11.864285714285714</v>
      </c>
      <c r="R645" s="447">
        <v>1.2213235294117646</v>
      </c>
      <c r="S645" s="450">
        <v>9.7142857142857135</v>
      </c>
      <c r="T645" s="450">
        <v>1.5981735159817352</v>
      </c>
      <c r="U645" s="240">
        <v>2</v>
      </c>
      <c r="V645" s="451">
        <v>2.6071428571428568E-2</v>
      </c>
      <c r="W645" s="450" t="s">
        <v>176</v>
      </c>
      <c r="X645" s="447">
        <v>20.098029868779264</v>
      </c>
      <c r="Y645" s="447">
        <v>-1.1368426541673919</v>
      </c>
      <c r="Z645" s="452">
        <v>40.534666666666674</v>
      </c>
      <c r="AA645" s="58">
        <f t="shared" ca="1" si="22"/>
        <v>66.885000000000005</v>
      </c>
      <c r="AB645" s="453">
        <f ca="1">Table29[[#This Row],[Earnings]]-Table29[[#This Row],[4-Week Average]]</f>
        <v>16.164999999999992</v>
      </c>
    </row>
    <row r="646" spans="1:28" x14ac:dyDescent="0.35">
      <c r="A646" s="436">
        <v>45673</v>
      </c>
      <c r="B646" s="435">
        <v>2025</v>
      </c>
      <c r="C646" s="435">
        <v>3</v>
      </c>
      <c r="D646" s="435">
        <v>3</v>
      </c>
      <c r="E646" s="435" t="s">
        <v>278</v>
      </c>
      <c r="F646" s="436" t="s">
        <v>49</v>
      </c>
      <c r="G646" s="437">
        <v>0.70833333333333226</v>
      </c>
      <c r="H646" s="436" t="s">
        <v>230</v>
      </c>
      <c r="I646" s="435">
        <v>16</v>
      </c>
      <c r="J646" s="436" t="s">
        <v>82</v>
      </c>
      <c r="K646" s="438">
        <v>87.92</v>
      </c>
      <c r="L646" s="439">
        <v>4.1500000000000004</v>
      </c>
      <c r="M646" s="435">
        <v>40</v>
      </c>
      <c r="N646" s="435">
        <v>8</v>
      </c>
      <c r="O646" s="438">
        <v>21.185542168674697</v>
      </c>
      <c r="P646" s="440">
        <v>0.95952660564659098</v>
      </c>
      <c r="Q646" s="438">
        <v>10.99</v>
      </c>
      <c r="R646" s="438">
        <v>2.198</v>
      </c>
      <c r="S646" s="441">
        <v>5</v>
      </c>
      <c r="T646" s="441">
        <v>1.9277108433734937</v>
      </c>
      <c r="U646" s="239">
        <v>3</v>
      </c>
      <c r="V646" s="442">
        <v>2.1614583333333336E-2</v>
      </c>
      <c r="W646" s="441" t="s">
        <v>176</v>
      </c>
      <c r="X646" s="438">
        <v>16.934665145332534</v>
      </c>
      <c r="Y646" s="438">
        <v>4.2508770233421629</v>
      </c>
      <c r="Z646" s="443">
        <v>38.583444444444439</v>
      </c>
      <c r="AA646" s="58">
        <f t="shared" ca="1" si="22"/>
        <v>83.362500000000011</v>
      </c>
      <c r="AB646" s="453">
        <f ca="1">Table29[[#This Row],[Earnings]]-Table29[[#This Row],[4-Week Average]]</f>
        <v>4.5574999999999903</v>
      </c>
    </row>
    <row r="647" spans="1:28" x14ac:dyDescent="0.35">
      <c r="A647" s="445">
        <v>45674</v>
      </c>
      <c r="B647" s="444">
        <v>2025</v>
      </c>
      <c r="C647" s="444">
        <v>3</v>
      </c>
      <c r="D647" s="444">
        <v>3</v>
      </c>
      <c r="E647" s="444" t="s">
        <v>278</v>
      </c>
      <c r="F647" s="445" t="s">
        <v>50</v>
      </c>
      <c r="G647" s="446">
        <v>0.77083333333333215</v>
      </c>
      <c r="H647" s="445" t="s">
        <v>230</v>
      </c>
      <c r="I647" s="444">
        <v>25</v>
      </c>
      <c r="J647" s="445" t="s">
        <v>82</v>
      </c>
      <c r="K647" s="447">
        <v>99.85</v>
      </c>
      <c r="L647" s="448">
        <v>5.47</v>
      </c>
      <c r="M647" s="444">
        <v>110</v>
      </c>
      <c r="N647" s="444">
        <v>9</v>
      </c>
      <c r="O647" s="447">
        <v>18.254113345521024</v>
      </c>
      <c r="P647" s="449">
        <v>-1.7636348931089643</v>
      </c>
      <c r="Q647" s="447">
        <v>11.094444444444443</v>
      </c>
      <c r="R647" s="447">
        <v>0.90772727272727272</v>
      </c>
      <c r="S647" s="450">
        <v>12.222222222222221</v>
      </c>
      <c r="T647" s="450">
        <v>1.6453382084095065</v>
      </c>
      <c r="U647" s="240">
        <v>3</v>
      </c>
      <c r="V647" s="451">
        <v>2.5324074074074072E-2</v>
      </c>
      <c r="W647" s="450" t="s">
        <v>176</v>
      </c>
      <c r="X647" s="447">
        <v>20.597288205285317</v>
      </c>
      <c r="Y647" s="447">
        <v>-2.343174859764293</v>
      </c>
      <c r="Z647" s="452">
        <v>39.262777777777771</v>
      </c>
      <c r="AA647" s="58">
        <f t="shared" ca="1" si="22"/>
        <v>104.94499999999999</v>
      </c>
      <c r="AB647" s="453">
        <f ca="1">Table29[[#This Row],[Earnings]]-Table29[[#This Row],[4-Week Average]]</f>
        <v>-5.0949999999999989</v>
      </c>
    </row>
    <row r="648" spans="1:28" x14ac:dyDescent="0.35">
      <c r="A648" s="436">
        <v>45675</v>
      </c>
      <c r="B648" s="435">
        <v>2025</v>
      </c>
      <c r="C648" s="435">
        <v>3</v>
      </c>
      <c r="D648" s="435">
        <v>3</v>
      </c>
      <c r="E648" s="435" t="s">
        <v>278</v>
      </c>
      <c r="F648" s="436" t="s">
        <v>51</v>
      </c>
      <c r="G648" s="437">
        <v>0.79166666666666541</v>
      </c>
      <c r="H648" s="436" t="s">
        <v>325</v>
      </c>
      <c r="I648" s="435">
        <v>39</v>
      </c>
      <c r="J648" s="436" t="s">
        <v>80</v>
      </c>
      <c r="K648" s="438">
        <v>91.160000000000011</v>
      </c>
      <c r="L648" s="439">
        <v>4.4000000000000004</v>
      </c>
      <c r="M648" s="435">
        <v>106</v>
      </c>
      <c r="N648" s="435">
        <v>8</v>
      </c>
      <c r="O648" s="438">
        <v>20.718181818181819</v>
      </c>
      <c r="P648" s="440">
        <v>-5.1014706134417622</v>
      </c>
      <c r="Q648" s="438">
        <v>11.395000000000001</v>
      </c>
      <c r="R648" s="438">
        <v>0.8600000000000001</v>
      </c>
      <c r="S648" s="441">
        <v>13.25</v>
      </c>
      <c r="T648" s="441">
        <v>1.8181818181818181</v>
      </c>
      <c r="U648" s="239">
        <v>4</v>
      </c>
      <c r="V648" s="442">
        <v>2.2916666666666669E-2</v>
      </c>
      <c r="W648" s="441" t="s">
        <v>176</v>
      </c>
      <c r="X648" s="438">
        <v>19.264398626308076</v>
      </c>
      <c r="Y648" s="438">
        <v>1.4537831918737432</v>
      </c>
      <c r="Z648" s="443">
        <v>39.31444444444444</v>
      </c>
      <c r="AA648" s="58">
        <f t="shared" ca="1" si="22"/>
        <v>90.495000000000005</v>
      </c>
      <c r="AB648" s="453">
        <f ca="1">Table29[[#This Row],[Earnings]]-Table29[[#This Row],[4-Week Average]]</f>
        <v>0.66500000000000625</v>
      </c>
    </row>
    <row r="649" spans="1:28" x14ac:dyDescent="0.35">
      <c r="A649" s="445">
        <v>45676</v>
      </c>
      <c r="B649" s="444">
        <v>2025</v>
      </c>
      <c r="C649" s="444">
        <v>3</v>
      </c>
      <c r="D649" s="444">
        <v>3</v>
      </c>
      <c r="E649" s="444" t="s">
        <v>278</v>
      </c>
      <c r="F649" s="445" t="s">
        <v>45</v>
      </c>
      <c r="G649" s="446">
        <v>0.83333333333333204</v>
      </c>
      <c r="H649" s="445" t="s">
        <v>232</v>
      </c>
      <c r="I649" s="444">
        <v>32</v>
      </c>
      <c r="J649" s="445" t="s">
        <v>85</v>
      </c>
      <c r="K649" s="447">
        <v>90.899999999999991</v>
      </c>
      <c r="L649" s="448">
        <v>3.53</v>
      </c>
      <c r="M649" s="444">
        <v>73</v>
      </c>
      <c r="N649" s="444">
        <v>7</v>
      </c>
      <c r="O649" s="447">
        <v>25.75070821529745</v>
      </c>
      <c r="P649" s="449">
        <v>8.8344402864931055</v>
      </c>
      <c r="Q649" s="447">
        <v>12.985714285714284</v>
      </c>
      <c r="R649" s="447">
        <v>1.2452054794520546</v>
      </c>
      <c r="S649" s="450">
        <v>10.428571428571429</v>
      </c>
      <c r="T649" s="450">
        <v>1.9830028328611899</v>
      </c>
      <c r="U649" s="240">
        <v>2</v>
      </c>
      <c r="V649" s="451">
        <v>2.1011904761904759E-2</v>
      </c>
      <c r="W649" s="450" t="s">
        <v>176</v>
      </c>
      <c r="X649" s="447">
        <v>17.777626834921453</v>
      </c>
      <c r="Y649" s="447">
        <v>7.9730813803759979</v>
      </c>
      <c r="Z649" s="452">
        <v>39.353000000000002</v>
      </c>
      <c r="AA649" s="58">
        <f t="shared" ca="1" si="22"/>
        <v>92.457499999999996</v>
      </c>
      <c r="AB649" s="453">
        <f ca="1">Table29[[#This Row],[Earnings]]-Table29[[#This Row],[4-Week Average]]</f>
        <v>-1.5575000000000045</v>
      </c>
    </row>
    <row r="650" spans="1:28" x14ac:dyDescent="0.35">
      <c r="A650" s="436">
        <v>45678</v>
      </c>
      <c r="B650" s="435">
        <v>2025</v>
      </c>
      <c r="C650" s="435">
        <v>4</v>
      </c>
      <c r="D650" s="435">
        <v>4</v>
      </c>
      <c r="E650" s="435" t="s">
        <v>278</v>
      </c>
      <c r="F650" s="436" t="s">
        <v>47</v>
      </c>
      <c r="G650" s="437">
        <v>0.79166666666666541</v>
      </c>
      <c r="H650" s="436" t="s">
        <v>230</v>
      </c>
      <c r="I650" s="435">
        <v>12</v>
      </c>
      <c r="J650" s="436" t="s">
        <v>85</v>
      </c>
      <c r="K650" s="438">
        <v>26.9</v>
      </c>
      <c r="L650" s="439">
        <v>1.7</v>
      </c>
      <c r="M650" s="435">
        <v>47</v>
      </c>
      <c r="N650" s="435">
        <v>2</v>
      </c>
      <c r="O650" s="438">
        <v>15.823529411764705</v>
      </c>
      <c r="P650" s="440">
        <v>-1.2909710136063151</v>
      </c>
      <c r="Q650" s="438">
        <v>13.45</v>
      </c>
      <c r="R650" s="438">
        <v>0.57234042553191489</v>
      </c>
      <c r="S650" s="441">
        <v>23.5</v>
      </c>
      <c r="T650" s="441">
        <v>1.1764705882352942</v>
      </c>
      <c r="U650" s="239">
        <v>1</v>
      </c>
      <c r="V650" s="442">
        <v>3.5416666666666666E-2</v>
      </c>
      <c r="W650" s="441" t="s">
        <v>176</v>
      </c>
      <c r="X650" s="438">
        <v>17.237755895309665</v>
      </c>
      <c r="Y650" s="438">
        <v>-1.4142264835449598</v>
      </c>
      <c r="Z650" s="443">
        <v>38.531888888888886</v>
      </c>
      <c r="AA650" s="58">
        <f t="shared" ca="1" si="22"/>
        <v>77.202499999999986</v>
      </c>
      <c r="AB650" s="453">
        <f ca="1">Table29[[#This Row],[Earnings]]-Table29[[#This Row],[4-Week Average]]</f>
        <v>-50.302499999999988</v>
      </c>
    </row>
    <row r="651" spans="1:28" x14ac:dyDescent="0.35">
      <c r="A651" s="445">
        <v>45679</v>
      </c>
      <c r="B651" s="444">
        <v>2025</v>
      </c>
      <c r="C651" s="444">
        <v>4</v>
      </c>
      <c r="D651" s="444">
        <v>4</v>
      </c>
      <c r="E651" s="444" t="s">
        <v>278</v>
      </c>
      <c r="F651" s="445" t="s">
        <v>48</v>
      </c>
      <c r="G651" s="446">
        <v>0.72916666666666552</v>
      </c>
      <c r="H651" s="445" t="s">
        <v>230</v>
      </c>
      <c r="I651" s="444">
        <v>12</v>
      </c>
      <c r="J651" s="445" t="s">
        <v>80</v>
      </c>
      <c r="K651" s="447">
        <v>46.31</v>
      </c>
      <c r="L651" s="448">
        <v>2.35</v>
      </c>
      <c r="M651" s="444">
        <v>57</v>
      </c>
      <c r="N651" s="444">
        <v>5</v>
      </c>
      <c r="O651" s="447">
        <v>19.706382978723404</v>
      </c>
      <c r="P651" s="449">
        <v>-7.984484785885666</v>
      </c>
      <c r="Q651" s="447">
        <v>9.2620000000000005</v>
      </c>
      <c r="R651" s="447">
        <v>0.81245614035087721</v>
      </c>
      <c r="S651" s="450">
        <v>11.4</v>
      </c>
      <c r="T651" s="450">
        <v>2.1276595744680851</v>
      </c>
      <c r="U651" s="240">
        <v>2</v>
      </c>
      <c r="V651" s="451">
        <v>1.9583333333333335E-2</v>
      </c>
      <c r="W651" s="450" t="s">
        <v>176</v>
      </c>
      <c r="X651" s="447">
        <v>19.706382978723404</v>
      </c>
      <c r="Y651" s="447">
        <v>0</v>
      </c>
      <c r="Z651" s="452">
        <v>39.04644444444444</v>
      </c>
      <c r="AA651" s="58">
        <f t="shared" ca="1" si="22"/>
        <v>63.817500000000003</v>
      </c>
      <c r="AB651" s="453">
        <f ca="1">Table29[[#This Row],[Earnings]]-Table29[[#This Row],[4-Week Average]]</f>
        <v>-17.5075</v>
      </c>
    </row>
    <row r="652" spans="1:28" x14ac:dyDescent="0.35">
      <c r="A652" s="436">
        <v>45681</v>
      </c>
      <c r="B652" s="435">
        <v>2025</v>
      </c>
      <c r="C652" s="435">
        <v>4</v>
      </c>
      <c r="D652" s="435">
        <v>4</v>
      </c>
      <c r="E652" s="435" t="s">
        <v>278</v>
      </c>
      <c r="F652" s="436" t="s">
        <v>50</v>
      </c>
      <c r="G652" s="437">
        <v>0.79166666666666541</v>
      </c>
      <c r="H652" s="436" t="s">
        <v>230</v>
      </c>
      <c r="I652" s="435">
        <v>19</v>
      </c>
      <c r="J652" s="436" t="s">
        <v>82</v>
      </c>
      <c r="K652" s="438">
        <v>79.010000000000005</v>
      </c>
      <c r="L652" s="439">
        <v>5.03</v>
      </c>
      <c r="M652" s="435">
        <v>67</v>
      </c>
      <c r="N652" s="435">
        <v>9</v>
      </c>
      <c r="O652" s="438">
        <v>15.707753479125248</v>
      </c>
      <c r="P652" s="440">
        <v>-4.1840208385683866</v>
      </c>
      <c r="Q652" s="438">
        <v>8.7788888888888899</v>
      </c>
      <c r="R652" s="438">
        <v>1.1792537313432836</v>
      </c>
      <c r="S652" s="441">
        <v>7.4444444444444446</v>
      </c>
      <c r="T652" s="441">
        <v>1.7892644135188867</v>
      </c>
      <c r="U652" s="239">
        <v>3</v>
      </c>
      <c r="V652" s="442">
        <v>2.3287037037037037E-2</v>
      </c>
      <c r="W652" s="441" t="s">
        <v>176</v>
      </c>
      <c r="X652" s="438">
        <v>16.768241380446604</v>
      </c>
      <c r="Y652" s="438">
        <v>-1.0604879013213555</v>
      </c>
      <c r="Z652" s="443">
        <v>38.747222222222227</v>
      </c>
      <c r="AA652" s="58">
        <f t="shared" ca="1" si="22"/>
        <v>60.78</v>
      </c>
      <c r="AB652" s="453">
        <f ca="1">Table29[[#This Row],[Earnings]]-Table29[[#This Row],[4-Week Average]]</f>
        <v>18.230000000000004</v>
      </c>
    </row>
    <row r="653" spans="1:28" x14ac:dyDescent="0.35">
      <c r="A653" s="445">
        <v>45683</v>
      </c>
      <c r="B653" s="444">
        <v>2025</v>
      </c>
      <c r="C653" s="444">
        <v>4</v>
      </c>
      <c r="D653" s="444">
        <v>4</v>
      </c>
      <c r="E653" s="444" t="s">
        <v>278</v>
      </c>
      <c r="F653" s="445" t="s">
        <v>45</v>
      </c>
      <c r="G653" s="446">
        <v>0.81249999999999878</v>
      </c>
      <c r="H653" s="445" t="s">
        <v>230</v>
      </c>
      <c r="I653" s="444">
        <v>30</v>
      </c>
      <c r="J653" s="445" t="s">
        <v>80</v>
      </c>
      <c r="K653" s="447">
        <v>45.46</v>
      </c>
      <c r="L653" s="448">
        <v>2.5</v>
      </c>
      <c r="M653" s="444">
        <v>71</v>
      </c>
      <c r="N653" s="444">
        <v>5</v>
      </c>
      <c r="O653" s="447">
        <v>18.184000000000001</v>
      </c>
      <c r="P653" s="449">
        <v>-7.7812770734555698</v>
      </c>
      <c r="Q653" s="447">
        <v>9.0920000000000005</v>
      </c>
      <c r="R653" s="447">
        <v>0.64028169014084513</v>
      </c>
      <c r="S653" s="450">
        <v>14.2</v>
      </c>
      <c r="T653" s="450">
        <v>2</v>
      </c>
      <c r="U653" s="240">
        <v>2</v>
      </c>
      <c r="V653" s="451">
        <v>2.0833333333333332E-2</v>
      </c>
      <c r="W653" s="450" t="s">
        <v>176</v>
      </c>
      <c r="X653" s="447">
        <v>18.184000000000001</v>
      </c>
      <c r="Y653" s="447">
        <v>0</v>
      </c>
      <c r="Z653" s="452">
        <v>37.690111111111115</v>
      </c>
      <c r="AA653" s="58">
        <f t="shared" ca="1" si="22"/>
        <v>49.420000000000009</v>
      </c>
      <c r="AB653" s="453">
        <f ca="1">Table29[[#This Row],[Earnings]]-Table29[[#This Row],[4-Week Average]]</f>
        <v>-3.960000000000008</v>
      </c>
    </row>
    <row r="654" spans="1:28" x14ac:dyDescent="0.35">
      <c r="A654" s="436">
        <v>45685</v>
      </c>
      <c r="B654" s="435">
        <v>2025</v>
      </c>
      <c r="C654" s="435">
        <v>5</v>
      </c>
      <c r="D654" s="435">
        <v>5</v>
      </c>
      <c r="E654" s="435" t="s">
        <v>278</v>
      </c>
      <c r="F654" s="436" t="s">
        <v>47</v>
      </c>
      <c r="G654" s="437">
        <v>0.74999999999999889</v>
      </c>
      <c r="H654" s="436" t="s">
        <v>230</v>
      </c>
      <c r="I654" s="435">
        <v>12</v>
      </c>
      <c r="J654" s="436" t="s">
        <v>174</v>
      </c>
      <c r="K654" s="438">
        <v>75.11</v>
      </c>
      <c r="L654" s="439">
        <v>4.17</v>
      </c>
      <c r="M654" s="435">
        <v>130</v>
      </c>
      <c r="N654" s="435">
        <v>6</v>
      </c>
      <c r="O654" s="438">
        <v>18.01199040767386</v>
      </c>
      <c r="P654" s="440">
        <v>1.9327745853282643</v>
      </c>
      <c r="Q654" s="438">
        <v>12.518333333333333</v>
      </c>
      <c r="R654" s="438">
        <v>0.57776923076923081</v>
      </c>
      <c r="S654" s="441">
        <v>21.666666666666668</v>
      </c>
      <c r="T654" s="441">
        <v>1.4388489208633093</v>
      </c>
      <c r="U654" s="239">
        <v>4</v>
      </c>
      <c r="V654" s="442">
        <v>2.8958333333333332E-2</v>
      </c>
      <c r="W654" s="441" t="s">
        <v>176</v>
      </c>
      <c r="X654" s="438">
        <v>27.034416256468504</v>
      </c>
      <c r="Y654" s="438">
        <v>-9.0224258487946436</v>
      </c>
      <c r="Z654" s="443">
        <v>36.535444444444458</v>
      </c>
      <c r="AA654" s="58">
        <f t="shared" ca="1" si="22"/>
        <v>61.472499999999997</v>
      </c>
      <c r="AB654" s="453">
        <f ca="1">Table29[[#This Row],[Earnings]]-Table29[[#This Row],[4-Week Average]]</f>
        <v>13.637500000000003</v>
      </c>
    </row>
    <row r="655" spans="1:28" x14ac:dyDescent="0.35">
      <c r="A655" s="445">
        <v>45689</v>
      </c>
      <c r="B655" s="444">
        <v>2025</v>
      </c>
      <c r="C655" s="444">
        <v>5</v>
      </c>
      <c r="D655" s="444">
        <v>5</v>
      </c>
      <c r="E655" s="444" t="s">
        <v>278</v>
      </c>
      <c r="F655" s="445" t="s">
        <v>51</v>
      </c>
      <c r="G655" s="446">
        <v>0.64583333333333237</v>
      </c>
      <c r="H655" s="445" t="s">
        <v>281</v>
      </c>
      <c r="I655" s="444">
        <v>21</v>
      </c>
      <c r="J655" s="445" t="s">
        <v>80</v>
      </c>
      <c r="K655" s="447">
        <v>49.75</v>
      </c>
      <c r="L655" s="448">
        <v>2</v>
      </c>
      <c r="M655" s="444">
        <v>54</v>
      </c>
      <c r="N655" s="444">
        <v>3</v>
      </c>
      <c r="O655" s="447">
        <v>24.875</v>
      </c>
      <c r="P655" s="449">
        <v>-0.71276740373986414</v>
      </c>
      <c r="Q655" s="447">
        <v>16.583333333333332</v>
      </c>
      <c r="R655" s="447">
        <v>0.92129629629629628</v>
      </c>
      <c r="S655" s="450">
        <v>18</v>
      </c>
      <c r="T655" s="450">
        <v>1.5</v>
      </c>
      <c r="U655" s="240">
        <v>1</v>
      </c>
      <c r="V655" s="451">
        <v>2.7777777777777776E-2</v>
      </c>
      <c r="W655" s="450" t="s">
        <v>176</v>
      </c>
      <c r="X655" s="447">
        <v>19.039721119304218</v>
      </c>
      <c r="Y655" s="447">
        <v>5.8352788806957818</v>
      </c>
      <c r="Z655" s="452">
        <v>31.537111111111116</v>
      </c>
      <c r="AA655" s="58">
        <f t="shared" ca="1" si="22"/>
        <v>62.332499999999996</v>
      </c>
      <c r="AB655" s="453">
        <f ca="1">Table29[[#This Row],[Earnings]]-Table29[[#This Row],[4-Week Average]]</f>
        <v>-12.582499999999996</v>
      </c>
    </row>
    <row r="656" spans="1:28" x14ac:dyDescent="0.35">
      <c r="A656" s="436">
        <v>45691</v>
      </c>
      <c r="B656" s="435">
        <v>2025</v>
      </c>
      <c r="C656" s="435">
        <v>6</v>
      </c>
      <c r="D656" s="435">
        <v>6</v>
      </c>
      <c r="E656" s="435" t="s">
        <v>278</v>
      </c>
      <c r="F656" s="436" t="s">
        <v>46</v>
      </c>
      <c r="G656" s="437">
        <v>0.70833333333333226</v>
      </c>
      <c r="H656" s="436" t="s">
        <v>234</v>
      </c>
      <c r="I656" s="435">
        <v>34</v>
      </c>
      <c r="J656" s="436" t="s">
        <v>174</v>
      </c>
      <c r="K656" s="438">
        <v>57.5</v>
      </c>
      <c r="L656" s="439">
        <v>2.82</v>
      </c>
      <c r="M656" s="435">
        <v>68</v>
      </c>
      <c r="N656" s="435">
        <v>5</v>
      </c>
      <c r="O656" s="438">
        <v>20.390070921985817</v>
      </c>
      <c r="P656" s="440">
        <v>5.2209652309289094</v>
      </c>
      <c r="Q656" s="438">
        <v>11.5</v>
      </c>
      <c r="R656" s="438">
        <v>0.84558823529411764</v>
      </c>
      <c r="S656" s="441">
        <v>13.6</v>
      </c>
      <c r="T656" s="441">
        <v>1.773049645390071</v>
      </c>
      <c r="U656" s="239">
        <v>1</v>
      </c>
      <c r="V656" s="442">
        <v>2.3499999999999997E-2</v>
      </c>
      <c r="W656" s="441" t="s">
        <v>176</v>
      </c>
      <c r="X656" s="438">
        <v>16.370667853439272</v>
      </c>
      <c r="Y656" s="438">
        <v>4.0194030685465449</v>
      </c>
      <c r="Z656" s="443">
        <v>28.976555555555564</v>
      </c>
      <c r="AA656" s="58">
        <f t="shared" ca="1" si="22"/>
        <v>56.954999999999998</v>
      </c>
      <c r="AB656" s="453">
        <f ca="1">Table29[[#This Row],[Earnings]]-Table29[[#This Row],[4-Week Average]]</f>
        <v>0.54500000000000171</v>
      </c>
    </row>
    <row r="657" spans="1:28" x14ac:dyDescent="0.35">
      <c r="A657" s="445">
        <v>45693</v>
      </c>
      <c r="B657" s="444">
        <v>2025</v>
      </c>
      <c r="C657" s="444">
        <v>6</v>
      </c>
      <c r="D657" s="444">
        <v>6</v>
      </c>
      <c r="E657" s="444" t="s">
        <v>278</v>
      </c>
      <c r="F657" s="445" t="s">
        <v>48</v>
      </c>
      <c r="G657" s="446">
        <v>0.74999999999999889</v>
      </c>
      <c r="H657" s="445" t="s">
        <v>230</v>
      </c>
      <c r="I657" s="444">
        <v>16</v>
      </c>
      <c r="J657" s="445" t="s">
        <v>85</v>
      </c>
      <c r="K657" s="447">
        <v>51.3</v>
      </c>
      <c r="L657" s="448">
        <v>2.7</v>
      </c>
      <c r="M657" s="444">
        <v>69</v>
      </c>
      <c r="N657" s="444">
        <v>5</v>
      </c>
      <c r="O657" s="447">
        <v>18.999999999999996</v>
      </c>
      <c r="P657" s="449">
        <v>-0.44687500000000213</v>
      </c>
      <c r="Q657" s="447">
        <v>10.26</v>
      </c>
      <c r="R657" s="447">
        <v>0.74347826086956514</v>
      </c>
      <c r="S657" s="450">
        <v>13.8</v>
      </c>
      <c r="T657" s="450">
        <v>1.8518518518518516</v>
      </c>
      <c r="U657" s="240">
        <v>2</v>
      </c>
      <c r="V657" s="451">
        <v>2.2500000000000003E-2</v>
      </c>
      <c r="W657" s="450" t="s">
        <v>176</v>
      </c>
      <c r="X657" s="447">
        <v>21.938596739633184</v>
      </c>
      <c r="Y657" s="447">
        <v>-2.9385967396331871</v>
      </c>
      <c r="Z657" s="452">
        <v>28.684777777777786</v>
      </c>
      <c r="AA657" s="58">
        <f t="shared" ca="1" si="22"/>
        <v>58.415000000000006</v>
      </c>
      <c r="AB657" s="453">
        <f ca="1">Table29[[#This Row],[Earnings]]-Table29[[#This Row],[4-Week Average]]</f>
        <v>-7.1150000000000091</v>
      </c>
    </row>
    <row r="658" spans="1:28" x14ac:dyDescent="0.35">
      <c r="A658" s="436">
        <v>45694</v>
      </c>
      <c r="B658" s="435">
        <v>2025</v>
      </c>
      <c r="C658" s="435">
        <v>6</v>
      </c>
      <c r="D658" s="435">
        <v>6</v>
      </c>
      <c r="E658" s="435" t="s">
        <v>278</v>
      </c>
      <c r="F658" s="436" t="s">
        <v>49</v>
      </c>
      <c r="G658" s="437">
        <v>0.70833333333333226</v>
      </c>
      <c r="H658" s="436" t="s">
        <v>232</v>
      </c>
      <c r="I658" s="435">
        <v>18</v>
      </c>
      <c r="J658" s="436" t="s">
        <v>82</v>
      </c>
      <c r="K658" s="438">
        <v>19.04</v>
      </c>
      <c r="L658" s="439">
        <v>1.1499999999999999</v>
      </c>
      <c r="M658" s="435">
        <v>21</v>
      </c>
      <c r="N658" s="435">
        <v>4</v>
      </c>
      <c r="O658" s="438">
        <v>16.556521739130435</v>
      </c>
      <c r="P658" s="440">
        <v>-3.74945437436822</v>
      </c>
      <c r="Q658" s="438">
        <v>4.76</v>
      </c>
      <c r="R658" s="438">
        <v>0.90666666666666662</v>
      </c>
      <c r="S658" s="441">
        <v>5.25</v>
      </c>
      <c r="T658" s="441">
        <v>3.4782608695652177</v>
      </c>
      <c r="U658" s="239">
        <v>2</v>
      </c>
      <c r="V658" s="442">
        <v>1.1979166666666666E-2</v>
      </c>
      <c r="W658" s="441" t="s">
        <v>176</v>
      </c>
      <c r="X658" s="438">
        <v>20.232614280015955</v>
      </c>
      <c r="Y658" s="438">
        <v>-3.6760925408855201</v>
      </c>
      <c r="Z658" s="443">
        <v>28.896333333333338</v>
      </c>
      <c r="AA658" s="58">
        <f t="shared" ca="1" si="22"/>
        <v>44.397500000000001</v>
      </c>
      <c r="AB658" s="453">
        <f ca="1">Table29[[#This Row],[Earnings]]-Table29[[#This Row],[4-Week Average]]</f>
        <v>-25.357500000000002</v>
      </c>
    </row>
    <row r="659" spans="1:28" x14ac:dyDescent="0.35">
      <c r="A659" s="445">
        <v>45695</v>
      </c>
      <c r="B659" s="444">
        <v>2025</v>
      </c>
      <c r="C659" s="444">
        <v>6</v>
      </c>
      <c r="D659" s="444">
        <v>6</v>
      </c>
      <c r="E659" s="444" t="s">
        <v>278</v>
      </c>
      <c r="F659" s="445" t="s">
        <v>50</v>
      </c>
      <c r="G659" s="446">
        <v>0.81249999999999878</v>
      </c>
      <c r="H659" s="445" t="s">
        <v>231</v>
      </c>
      <c r="I659" s="444">
        <v>27</v>
      </c>
      <c r="J659" s="445" t="s">
        <v>82</v>
      </c>
      <c r="K659" s="447">
        <v>41.3</v>
      </c>
      <c r="L659" s="448">
        <v>3.6</v>
      </c>
      <c r="M659" s="444">
        <v>65</v>
      </c>
      <c r="N659" s="444">
        <v>6</v>
      </c>
      <c r="O659" s="447">
        <v>11.472222222222221</v>
      </c>
      <c r="P659" s="449">
        <v>-8.1406173729001878</v>
      </c>
      <c r="Q659" s="447">
        <v>6.8833333333333329</v>
      </c>
      <c r="R659" s="447">
        <v>0.63538461538461533</v>
      </c>
      <c r="S659" s="450">
        <v>10.833333333333334</v>
      </c>
      <c r="T659" s="450">
        <v>1.6666666666666665</v>
      </c>
      <c r="U659" s="240">
        <v>2</v>
      </c>
      <c r="V659" s="451">
        <v>2.4999999999999998E-2</v>
      </c>
      <c r="W659" s="450" t="s">
        <v>176</v>
      </c>
      <c r="X659" s="447">
        <v>16.078306651419858</v>
      </c>
      <c r="Y659" s="447">
        <v>-4.6060844291976366</v>
      </c>
      <c r="Z659" s="452">
        <v>29.355222222222231</v>
      </c>
      <c r="AA659" s="58">
        <f t="shared" ca="1" si="22"/>
        <v>42.284999999999997</v>
      </c>
      <c r="AB659" s="453">
        <f ca="1">Table29[[#This Row],[Earnings]]-Table29[[#This Row],[4-Week Average]]</f>
        <v>-0.98499999999999943</v>
      </c>
    </row>
    <row r="660" spans="1:28" x14ac:dyDescent="0.35">
      <c r="A660" s="436">
        <v>45697</v>
      </c>
      <c r="B660" s="435">
        <v>2025</v>
      </c>
      <c r="C660" s="435">
        <v>6</v>
      </c>
      <c r="D660" s="435">
        <v>6</v>
      </c>
      <c r="E660" s="435" t="s">
        <v>278</v>
      </c>
      <c r="F660" s="436" t="s">
        <v>45</v>
      </c>
      <c r="G660" s="437">
        <v>0.624999999999999</v>
      </c>
      <c r="H660" s="436" t="s">
        <v>249</v>
      </c>
      <c r="I660" s="435">
        <v>21</v>
      </c>
      <c r="J660" s="436" t="s">
        <v>80</v>
      </c>
      <c r="K660" s="438">
        <v>95.12</v>
      </c>
      <c r="L660" s="439">
        <v>3.6</v>
      </c>
      <c r="M660" s="435">
        <v>77</v>
      </c>
      <c r="N660" s="435">
        <v>6</v>
      </c>
      <c r="O660" s="438">
        <v>26.422222222222224</v>
      </c>
      <c r="P660" s="440">
        <v>1.3215314902617159</v>
      </c>
      <c r="Q660" s="438">
        <v>15.853333333333333</v>
      </c>
      <c r="R660" s="438">
        <v>1.2353246753246754</v>
      </c>
      <c r="S660" s="441">
        <v>12.833333333333334</v>
      </c>
      <c r="T660" s="441">
        <v>1.6666666666666665</v>
      </c>
      <c r="U660" s="239">
        <v>2</v>
      </c>
      <c r="V660" s="442">
        <v>2.4999999999999998E-2</v>
      </c>
      <c r="W660" s="441" t="s">
        <v>176</v>
      </c>
      <c r="X660" s="438">
        <v>20.128703703703703</v>
      </c>
      <c r="Y660" s="438">
        <v>6.2935185185185212</v>
      </c>
      <c r="Z660" s="443">
        <v>28.816666666666681</v>
      </c>
      <c r="AA660" s="58">
        <f t="shared" ca="1" si="22"/>
        <v>51.69</v>
      </c>
      <c r="AB660" s="453">
        <f ca="1">Table29[[#This Row],[Earnings]]-Table29[[#This Row],[4-Week Average]]</f>
        <v>43.430000000000007</v>
      </c>
    </row>
    <row r="661" spans="1:28" x14ac:dyDescent="0.35">
      <c r="A661" s="445">
        <v>45698</v>
      </c>
      <c r="B661" s="444">
        <v>2025</v>
      </c>
      <c r="C661" s="444">
        <v>7</v>
      </c>
      <c r="D661" s="444">
        <v>7</v>
      </c>
      <c r="E661" s="444" t="s">
        <v>278</v>
      </c>
      <c r="F661" s="445" t="s">
        <v>46</v>
      </c>
      <c r="G661" s="446">
        <v>0.70833333333333226</v>
      </c>
      <c r="H661" s="445" t="s">
        <v>230</v>
      </c>
      <c r="I661" s="444">
        <v>19</v>
      </c>
      <c r="J661" s="445" t="s">
        <v>80</v>
      </c>
      <c r="K661" s="447">
        <v>106.43</v>
      </c>
      <c r="L661" s="448">
        <v>3.75</v>
      </c>
      <c r="M661" s="444">
        <v>75</v>
      </c>
      <c r="N661" s="444">
        <v>8</v>
      </c>
      <c r="O661" s="447">
        <v>28.381333333333334</v>
      </c>
      <c r="P661" s="449">
        <v>2.6220717380203347</v>
      </c>
      <c r="Q661" s="447">
        <v>13.303750000000001</v>
      </c>
      <c r="R661" s="447">
        <v>1.4190666666666667</v>
      </c>
      <c r="S661" s="450">
        <v>9.375</v>
      </c>
      <c r="T661" s="450">
        <v>2.1333333333333333</v>
      </c>
      <c r="U661" s="240">
        <v>4</v>
      </c>
      <c r="V661" s="451">
        <v>1.953125E-2</v>
      </c>
      <c r="W661" s="450" t="s">
        <v>176</v>
      </c>
      <c r="X661" s="447">
        <v>28.381333333333334</v>
      </c>
      <c r="Y661" s="447">
        <v>0</v>
      </c>
      <c r="Z661" s="452">
        <v>29.005777777777784</v>
      </c>
      <c r="AA661" s="58">
        <f t="shared" ca="1" si="22"/>
        <v>65.472499999999997</v>
      </c>
      <c r="AB661" s="453">
        <f ca="1">Table29[[#This Row],[Earnings]]-Table29[[#This Row],[4-Week Average]]</f>
        <v>40.95750000000001</v>
      </c>
    </row>
    <row r="662" spans="1:28" x14ac:dyDescent="0.35">
      <c r="A662" s="436">
        <v>45701</v>
      </c>
      <c r="B662" s="435">
        <v>2025</v>
      </c>
      <c r="C662" s="435">
        <v>7</v>
      </c>
      <c r="D662" s="435">
        <v>7</v>
      </c>
      <c r="E662" s="435" t="s">
        <v>278</v>
      </c>
      <c r="F662" s="436" t="s">
        <v>49</v>
      </c>
      <c r="G662" s="437">
        <v>0.70833333333333226</v>
      </c>
      <c r="H662" s="436" t="s">
        <v>231</v>
      </c>
      <c r="I662" s="435">
        <v>27</v>
      </c>
      <c r="J662" s="436" t="s">
        <v>82</v>
      </c>
      <c r="K662" s="438">
        <v>91.15</v>
      </c>
      <c r="L662" s="439">
        <v>4.07</v>
      </c>
      <c r="M662" s="435">
        <v>26</v>
      </c>
      <c r="N662" s="435">
        <v>5</v>
      </c>
      <c r="O662" s="438">
        <v>22.395577395577394</v>
      </c>
      <c r="P662" s="440">
        <v>2.3780208493378332</v>
      </c>
      <c r="Q662" s="438">
        <v>18.23</v>
      </c>
      <c r="R662" s="438">
        <v>3.5057692307692312</v>
      </c>
      <c r="S662" s="441">
        <v>5.2</v>
      </c>
      <c r="T662" s="441">
        <v>1.2285012285012284</v>
      </c>
      <c r="U662" s="239">
        <v>1</v>
      </c>
      <c r="V662" s="442">
        <v>3.3916666666666671E-2</v>
      </c>
      <c r="W662" s="441" t="s">
        <v>176</v>
      </c>
      <c r="X662" s="438">
        <v>22.876360126360126</v>
      </c>
      <c r="Y662" s="438">
        <v>-0.4807827307827317</v>
      </c>
      <c r="Z662" s="443">
        <v>28.349000000000004</v>
      </c>
      <c r="AA662" s="58">
        <f t="shared" ca="1" si="22"/>
        <v>83.5</v>
      </c>
      <c r="AB662" s="453">
        <f ca="1">Table29[[#This Row],[Earnings]]-Table29[[#This Row],[4-Week Average]]</f>
        <v>7.6500000000000057</v>
      </c>
    </row>
    <row r="663" spans="1:28" x14ac:dyDescent="0.35">
      <c r="A663" s="445">
        <v>45703</v>
      </c>
      <c r="B663" s="444">
        <v>2025</v>
      </c>
      <c r="C663" s="444">
        <v>7</v>
      </c>
      <c r="D663" s="444">
        <v>7</v>
      </c>
      <c r="E663" s="444" t="s">
        <v>278</v>
      </c>
      <c r="F663" s="445" t="s">
        <v>51</v>
      </c>
      <c r="G663" s="446">
        <v>0.81249999999999878</v>
      </c>
      <c r="H663" s="445" t="s">
        <v>234</v>
      </c>
      <c r="I663" s="444">
        <v>27</v>
      </c>
      <c r="J663" s="445" t="s">
        <v>174</v>
      </c>
      <c r="K663" s="447">
        <v>64.260000000000005</v>
      </c>
      <c r="L663" s="448">
        <v>3.2</v>
      </c>
      <c r="M663" s="444">
        <v>106</v>
      </c>
      <c r="N663" s="444">
        <v>6</v>
      </c>
      <c r="O663" s="447">
        <v>20.081250000000001</v>
      </c>
      <c r="P663" s="449">
        <v>1.2863132911392441</v>
      </c>
      <c r="Q663" s="447">
        <v>10.71</v>
      </c>
      <c r="R663" s="447">
        <v>0.60622641509433972</v>
      </c>
      <c r="S663" s="450">
        <v>17.666666666666668</v>
      </c>
      <c r="T663" s="450">
        <v>1.875</v>
      </c>
      <c r="U663" s="240">
        <v>1</v>
      </c>
      <c r="V663" s="451">
        <v>2.2222222222222223E-2</v>
      </c>
      <c r="W663" s="450" t="s">
        <v>175</v>
      </c>
      <c r="X663" s="447">
        <v>23.598377948374907</v>
      </c>
      <c r="Y663" s="447">
        <v>-3.5171279483749061</v>
      </c>
      <c r="Z663" s="452">
        <v>27.126555555555555</v>
      </c>
      <c r="AA663" s="58">
        <f t="shared" ca="1" si="22"/>
        <v>89.240000000000009</v>
      </c>
      <c r="AB663" s="453">
        <f ca="1">Table29[[#This Row],[Earnings]]-Table29[[#This Row],[4-Week Average]]</f>
        <v>-24.980000000000004</v>
      </c>
    </row>
    <row r="664" spans="1:28" x14ac:dyDescent="0.35">
      <c r="A664" s="436">
        <v>45706</v>
      </c>
      <c r="B664" s="435">
        <v>2025</v>
      </c>
      <c r="C664" s="435">
        <v>8</v>
      </c>
      <c r="D664" s="435">
        <v>8</v>
      </c>
      <c r="E664" s="435" t="s">
        <v>278</v>
      </c>
      <c r="F664" s="436" t="s">
        <v>47</v>
      </c>
      <c r="G664" s="437">
        <v>0.72916666666666552</v>
      </c>
      <c r="H664" s="436" t="s">
        <v>230</v>
      </c>
      <c r="I664" s="435">
        <v>10</v>
      </c>
      <c r="J664" s="436" t="s">
        <v>80</v>
      </c>
      <c r="K664" s="438">
        <v>107.02</v>
      </c>
      <c r="L664" s="439">
        <v>5.2</v>
      </c>
      <c r="M664" s="435">
        <v>103</v>
      </c>
      <c r="N664" s="435">
        <v>10</v>
      </c>
      <c r="O664" s="438">
        <v>20.580769230769228</v>
      </c>
      <c r="P664" s="440">
        <v>-7.1785227372149265</v>
      </c>
      <c r="Q664" s="438">
        <v>10.702</v>
      </c>
      <c r="R664" s="438">
        <v>1.0390291262135922</v>
      </c>
      <c r="S664" s="441">
        <v>10.3</v>
      </c>
      <c r="T664" s="441">
        <v>1.9230769230769229</v>
      </c>
      <c r="U664" s="239">
        <v>3</v>
      </c>
      <c r="V664" s="442">
        <v>2.1666666666666667E-2</v>
      </c>
      <c r="W664" s="441" t="s">
        <v>176</v>
      </c>
      <c r="X664" s="438">
        <v>25.107199243055533</v>
      </c>
      <c r="Y664" s="438">
        <v>-4.5264300122863048</v>
      </c>
      <c r="Z664" s="443">
        <v>27.551777777777776</v>
      </c>
      <c r="AA664" s="58">
        <f t="shared" ca="1" si="22"/>
        <v>92.215000000000003</v>
      </c>
      <c r="AB664" s="453">
        <f ca="1">Table29[[#This Row],[Earnings]]-Table29[[#This Row],[4-Week Average]]</f>
        <v>14.804999999999993</v>
      </c>
    </row>
    <row r="665" spans="1:28" x14ac:dyDescent="0.35">
      <c r="A665" s="445">
        <v>45708</v>
      </c>
      <c r="B665" s="444">
        <v>2025</v>
      </c>
      <c r="C665" s="444">
        <v>8</v>
      </c>
      <c r="D665" s="444">
        <v>8</v>
      </c>
      <c r="E665" s="444" t="s">
        <v>278</v>
      </c>
      <c r="F665" s="445" t="s">
        <v>49</v>
      </c>
      <c r="G665" s="446">
        <v>0.74999999999999889</v>
      </c>
      <c r="H665" s="445" t="s">
        <v>249</v>
      </c>
      <c r="I665" s="444">
        <v>28</v>
      </c>
      <c r="J665" s="445" t="s">
        <v>174</v>
      </c>
      <c r="K665" s="447">
        <v>99.14</v>
      </c>
      <c r="L665" s="448">
        <v>4.92</v>
      </c>
      <c r="M665" s="444">
        <v>118</v>
      </c>
      <c r="N665" s="444">
        <v>9</v>
      </c>
      <c r="O665" s="447">
        <v>20.150406504065042</v>
      </c>
      <c r="P665" s="449">
        <v>2.7748732993389709</v>
      </c>
      <c r="Q665" s="447">
        <v>11.015555555555556</v>
      </c>
      <c r="R665" s="447">
        <v>0.84016949152542375</v>
      </c>
      <c r="S665" s="450">
        <v>13.111111111111111</v>
      </c>
      <c r="T665" s="450">
        <v>1.8292682926829269</v>
      </c>
      <c r="U665" s="240">
        <v>3</v>
      </c>
      <c r="V665" s="451">
        <v>2.2777777777777775E-2</v>
      </c>
      <c r="W665" s="450" t="s">
        <v>176</v>
      </c>
      <c r="X665" s="447">
        <v>21.236984459688347</v>
      </c>
      <c r="Y665" s="447">
        <v>-1.0865779556233051</v>
      </c>
      <c r="Z665" s="452">
        <v>27.389222222222223</v>
      </c>
      <c r="AA665" s="58">
        <f t="shared" ca="1" si="22"/>
        <v>90.392499999999998</v>
      </c>
      <c r="AB665" s="453">
        <f ca="1">Table29[[#This Row],[Earnings]]-Table29[[#This Row],[4-Week Average]]</f>
        <v>8.7475000000000023</v>
      </c>
    </row>
    <row r="666" spans="1:28" x14ac:dyDescent="0.35">
      <c r="A666" s="436">
        <v>45709</v>
      </c>
      <c r="B666" s="435">
        <v>2025</v>
      </c>
      <c r="C666" s="435">
        <v>8</v>
      </c>
      <c r="D666" s="435">
        <v>8</v>
      </c>
      <c r="E666" s="435" t="s">
        <v>278</v>
      </c>
      <c r="F666" s="436" t="s">
        <v>50</v>
      </c>
      <c r="G666" s="437">
        <v>0.72916666666666552</v>
      </c>
      <c r="H666" s="436" t="s">
        <v>230</v>
      </c>
      <c r="I666" s="435">
        <v>25</v>
      </c>
      <c r="J666" s="436" t="s">
        <v>85</v>
      </c>
      <c r="K666" s="438">
        <v>208.86</v>
      </c>
      <c r="L666" s="439">
        <v>8.6199999999999992</v>
      </c>
      <c r="M666" s="435">
        <v>159</v>
      </c>
      <c r="N666" s="435">
        <v>20</v>
      </c>
      <c r="O666" s="438">
        <v>24.229698375870072</v>
      </c>
      <c r="P666" s="440">
        <v>-2.3598226774385722E-2</v>
      </c>
      <c r="Q666" s="438">
        <v>10.443000000000001</v>
      </c>
      <c r="R666" s="438">
        <v>1.3135849056603774</v>
      </c>
      <c r="S666" s="441">
        <v>7.95</v>
      </c>
      <c r="T666" s="441">
        <v>2.3201856148491879</v>
      </c>
      <c r="U666" s="239">
        <v>3</v>
      </c>
      <c r="V666" s="442">
        <v>1.795833333333333E-2</v>
      </c>
      <c r="W666" s="441" t="s">
        <v>176</v>
      </c>
      <c r="X666" s="438">
        <v>21.051001758415964</v>
      </c>
      <c r="Y666" s="438">
        <v>3.1786966174541078</v>
      </c>
      <c r="Z666" s="443">
        <v>29.709888888888891</v>
      </c>
      <c r="AA666" s="58">
        <f t="shared" ca="1" si="22"/>
        <v>119.82000000000001</v>
      </c>
      <c r="AB666" s="453">
        <f ca="1">Table29[[#This Row],[Earnings]]-Table29[[#This Row],[4-Week Average]]</f>
        <v>89.04</v>
      </c>
    </row>
    <row r="667" spans="1:28" x14ac:dyDescent="0.35">
      <c r="A667" s="445">
        <v>45710</v>
      </c>
      <c r="B667" s="444">
        <v>2025</v>
      </c>
      <c r="C667" s="444">
        <v>8</v>
      </c>
      <c r="D667" s="444">
        <v>8</v>
      </c>
      <c r="E667" s="444" t="s">
        <v>278</v>
      </c>
      <c r="F667" s="445" t="s">
        <v>51</v>
      </c>
      <c r="G667" s="446">
        <v>0.58333333333333237</v>
      </c>
      <c r="H667" s="445" t="s">
        <v>281</v>
      </c>
      <c r="I667" s="444">
        <v>32</v>
      </c>
      <c r="J667" s="445" t="s">
        <v>80</v>
      </c>
      <c r="K667" s="447">
        <v>156.59</v>
      </c>
      <c r="L667" s="448">
        <v>5.6</v>
      </c>
      <c r="M667" s="444">
        <v>66</v>
      </c>
      <c r="N667" s="444">
        <v>11</v>
      </c>
      <c r="O667" s="447">
        <v>27.962500000000002</v>
      </c>
      <c r="P667" s="449">
        <v>2.405722483379261</v>
      </c>
      <c r="Q667" s="447">
        <v>14.235454545454546</v>
      </c>
      <c r="R667" s="447">
        <v>2.3725757575757576</v>
      </c>
      <c r="S667" s="450">
        <v>6</v>
      </c>
      <c r="T667" s="450">
        <v>1.9642857142857144</v>
      </c>
      <c r="U667" s="240">
        <v>3</v>
      </c>
      <c r="V667" s="451">
        <v>2.121212121212121E-2</v>
      </c>
      <c r="W667" s="450" t="s">
        <v>176</v>
      </c>
      <c r="X667" s="447">
        <v>25.977928442696818</v>
      </c>
      <c r="Y667" s="447">
        <v>1.9845715573031839</v>
      </c>
      <c r="Z667" s="452">
        <v>31.449777777777783</v>
      </c>
      <c r="AA667" s="58">
        <f t="shared" ca="1" si="22"/>
        <v>142.9025</v>
      </c>
      <c r="AB667" s="453">
        <f ca="1">Table29[[#This Row],[Earnings]]-Table29[[#This Row],[4-Week Average]]</f>
        <v>13.6875</v>
      </c>
    </row>
    <row r="668" spans="1:28" x14ac:dyDescent="0.35">
      <c r="A668" s="436">
        <v>45712</v>
      </c>
      <c r="B668" s="435">
        <v>2025</v>
      </c>
      <c r="C668" s="435">
        <v>9</v>
      </c>
      <c r="D668" s="435">
        <v>9</v>
      </c>
      <c r="E668" s="435" t="s">
        <v>278</v>
      </c>
      <c r="F668" s="436" t="s">
        <v>46</v>
      </c>
      <c r="G668" s="437">
        <v>0.72916666666666552</v>
      </c>
      <c r="H668" s="436" t="s">
        <v>231</v>
      </c>
      <c r="I668" s="435">
        <v>37</v>
      </c>
      <c r="J668" s="436" t="s">
        <v>80</v>
      </c>
      <c r="K668" s="438">
        <v>85.3</v>
      </c>
      <c r="L668" s="439">
        <v>3.73</v>
      </c>
      <c r="M668" s="435">
        <v>66</v>
      </c>
      <c r="N668" s="435">
        <v>8</v>
      </c>
      <c r="O668" s="438">
        <v>22.868632707774797</v>
      </c>
      <c r="P668" s="440">
        <v>-3.0545083711644736</v>
      </c>
      <c r="Q668" s="438">
        <v>10.6625</v>
      </c>
      <c r="R668" s="438">
        <v>1.2924242424242425</v>
      </c>
      <c r="S668" s="441">
        <v>8.25</v>
      </c>
      <c r="T668" s="441">
        <v>2.1447721179624666</v>
      </c>
      <c r="U668" s="239">
        <v>3</v>
      </c>
      <c r="V668" s="442">
        <v>1.9427083333333334E-2</v>
      </c>
      <c r="W668" s="441" t="s">
        <v>176</v>
      </c>
      <c r="X668" s="438">
        <v>22.868632707774797</v>
      </c>
      <c r="Y668" s="438">
        <v>0</v>
      </c>
      <c r="Z668" s="443">
        <v>31.682111111111116</v>
      </c>
      <c r="AA668" s="58">
        <f t="shared" ca="1" si="22"/>
        <v>137.4725</v>
      </c>
      <c r="AB668" s="453">
        <f ca="1">Table29[[#This Row],[Earnings]]-Table29[[#This Row],[4-Week Average]]</f>
        <v>-52.172499999999999</v>
      </c>
    </row>
    <row r="669" spans="1:28" x14ac:dyDescent="0.35">
      <c r="A669" s="445">
        <v>45714</v>
      </c>
      <c r="B669" s="444">
        <v>2025</v>
      </c>
      <c r="C669" s="444">
        <v>9</v>
      </c>
      <c r="D669" s="444">
        <v>9</v>
      </c>
      <c r="E669" s="444" t="s">
        <v>278</v>
      </c>
      <c r="F669" s="445" t="s">
        <v>48</v>
      </c>
      <c r="G669" s="446">
        <v>0.72916666666666552</v>
      </c>
      <c r="H669" s="445" t="s">
        <v>230</v>
      </c>
      <c r="I669" s="444">
        <v>36</v>
      </c>
      <c r="J669" s="445" t="s">
        <v>174</v>
      </c>
      <c r="K669" s="447">
        <v>129.32</v>
      </c>
      <c r="L669" s="448">
        <v>5.25</v>
      </c>
      <c r="M669" s="444">
        <v>137</v>
      </c>
      <c r="N669" s="444">
        <v>8</v>
      </c>
      <c r="O669" s="447">
        <v>24.632380952380952</v>
      </c>
      <c r="P669" s="449">
        <v>8.3673101731113881</v>
      </c>
      <c r="Q669" s="447">
        <v>16.164999999999999</v>
      </c>
      <c r="R669" s="447">
        <v>0.943941605839416</v>
      </c>
      <c r="S669" s="450">
        <v>17.125</v>
      </c>
      <c r="T669" s="450">
        <v>1.5238095238095237</v>
      </c>
      <c r="U669" s="240">
        <v>3</v>
      </c>
      <c r="V669" s="451">
        <v>2.734375E-2</v>
      </c>
      <c r="W669" s="450" t="s">
        <v>176</v>
      </c>
      <c r="X669" s="447">
        <v>24.066190476190474</v>
      </c>
      <c r="Y669" s="447">
        <v>0.56619047619047791</v>
      </c>
      <c r="Z669" s="452">
        <v>32.376000000000005</v>
      </c>
      <c r="AA669" s="58">
        <f t="shared" ca="1" si="22"/>
        <v>145.01750000000001</v>
      </c>
      <c r="AB669" s="453">
        <f ca="1">Table29[[#This Row],[Earnings]]-Table29[[#This Row],[4-Week Average]]</f>
        <v>-15.697500000000019</v>
      </c>
    </row>
    <row r="670" spans="1:28" x14ac:dyDescent="0.35">
      <c r="A670" s="436">
        <v>45717</v>
      </c>
      <c r="B670" s="435">
        <v>2025</v>
      </c>
      <c r="C670" s="435">
        <v>9</v>
      </c>
      <c r="D670" s="435">
        <v>9</v>
      </c>
      <c r="E670" s="435" t="s">
        <v>278</v>
      </c>
      <c r="F670" s="436" t="s">
        <v>51</v>
      </c>
      <c r="G670" s="437">
        <v>0.66666666666666563</v>
      </c>
      <c r="H670" s="436" t="s">
        <v>234</v>
      </c>
      <c r="I670" s="435">
        <v>18</v>
      </c>
      <c r="J670" s="436" t="s">
        <v>80</v>
      </c>
      <c r="K670" s="438">
        <v>143.5</v>
      </c>
      <c r="L670" s="439">
        <v>5.3</v>
      </c>
      <c r="M670" s="435">
        <v>108</v>
      </c>
      <c r="N670" s="435">
        <v>12</v>
      </c>
      <c r="O670" s="438">
        <v>27.075471698113208</v>
      </c>
      <c r="P670" s="440">
        <v>1.4184557446849979</v>
      </c>
      <c r="Q670" s="438">
        <v>11.958333333333334</v>
      </c>
      <c r="R670" s="438">
        <v>1.3287037037037037</v>
      </c>
      <c r="S670" s="441">
        <v>9</v>
      </c>
      <c r="T670" s="441">
        <v>2.2641509433962264</v>
      </c>
      <c r="U670" s="239">
        <v>3</v>
      </c>
      <c r="V670" s="442">
        <v>1.8402777777777778E-2</v>
      </c>
      <c r="W670" s="441" t="s">
        <v>176</v>
      </c>
      <c r="X670" s="438">
        <v>23.647241099883558</v>
      </c>
      <c r="Y670" s="438">
        <v>3.4282305982296499</v>
      </c>
      <c r="Z670" s="443">
        <v>32.300555555555562</v>
      </c>
      <c r="AA670" s="58">
        <f t="shared" ca="1" si="22"/>
        <v>128.67750000000001</v>
      </c>
      <c r="AB670" s="453">
        <f ca="1">Table29[[#This Row],[Earnings]]-Table29[[#This Row],[4-Week Average]]</f>
        <v>14.822499999999991</v>
      </c>
    </row>
    <row r="671" spans="1:28" x14ac:dyDescent="0.35">
      <c r="A671" s="445">
        <v>45719</v>
      </c>
      <c r="B671" s="444">
        <v>2025</v>
      </c>
      <c r="C671" s="444">
        <v>10</v>
      </c>
      <c r="D671" s="444">
        <v>10</v>
      </c>
      <c r="E671" s="444" t="s">
        <v>278</v>
      </c>
      <c r="F671" s="445" t="s">
        <v>46</v>
      </c>
      <c r="G671" s="446">
        <v>0.74999999999999889</v>
      </c>
      <c r="H671" s="445" t="s">
        <v>230</v>
      </c>
      <c r="I671" s="444">
        <v>21</v>
      </c>
      <c r="J671" s="445" t="s">
        <v>80</v>
      </c>
      <c r="K671" s="447">
        <v>143.87</v>
      </c>
      <c r="L671" s="448">
        <v>5.23</v>
      </c>
      <c r="M671" s="444">
        <v>125</v>
      </c>
      <c r="N671" s="444">
        <v>13</v>
      </c>
      <c r="O671" s="447">
        <v>27.508604206500955</v>
      </c>
      <c r="P671" s="449">
        <v>1.7651400905713608</v>
      </c>
      <c r="Q671" s="447">
        <v>11.066923076923077</v>
      </c>
      <c r="R671" s="447">
        <v>1.15096</v>
      </c>
      <c r="S671" s="450">
        <v>9.615384615384615</v>
      </c>
      <c r="T671" s="450">
        <v>2.4856596558317396</v>
      </c>
      <c r="U671" s="240">
        <v>4</v>
      </c>
      <c r="V671" s="451">
        <v>1.6762820512820516E-2</v>
      </c>
      <c r="W671" s="450" t="s">
        <v>176</v>
      </c>
      <c r="X671" s="447">
        <v>23.56093186038801</v>
      </c>
      <c r="Y671" s="447">
        <v>3.9476723461129453</v>
      </c>
      <c r="Z671" s="452">
        <v>32.870444444444445</v>
      </c>
      <c r="AA671" s="58">
        <f t="shared" ca="1" si="22"/>
        <v>125.4975</v>
      </c>
      <c r="AB671" s="453">
        <f ca="1">Table29[[#This Row],[Earnings]]-Table29[[#This Row],[4-Week Average]]</f>
        <v>18.372500000000002</v>
      </c>
    </row>
    <row r="672" spans="1:28" x14ac:dyDescent="0.35">
      <c r="A672" s="436">
        <v>45720</v>
      </c>
      <c r="B672" s="435">
        <v>2025</v>
      </c>
      <c r="C672" s="435">
        <v>10</v>
      </c>
      <c r="D672" s="435">
        <v>10</v>
      </c>
      <c r="E672" s="435" t="s">
        <v>278</v>
      </c>
      <c r="F672" s="436" t="s">
        <v>47</v>
      </c>
      <c r="G672" s="437">
        <v>0.72916666666666552</v>
      </c>
      <c r="H672" s="436" t="s">
        <v>231</v>
      </c>
      <c r="I672" s="435">
        <v>37</v>
      </c>
      <c r="J672" s="436" t="s">
        <v>80</v>
      </c>
      <c r="K672" s="438">
        <v>89.25</v>
      </c>
      <c r="L672" s="439">
        <v>4.5199999999999996</v>
      </c>
      <c r="M672" s="435">
        <v>95</v>
      </c>
      <c r="N672" s="435">
        <v>8</v>
      </c>
      <c r="O672" s="438">
        <v>19.745575221238941</v>
      </c>
      <c r="P672" s="440">
        <v>-7.6358997605760059</v>
      </c>
      <c r="Q672" s="438">
        <v>11.15625</v>
      </c>
      <c r="R672" s="438">
        <v>0.93947368421052635</v>
      </c>
      <c r="S672" s="441">
        <v>11.875</v>
      </c>
      <c r="T672" s="441">
        <v>1.7699115044247788</v>
      </c>
      <c r="U672" s="239">
        <v>1</v>
      </c>
      <c r="V672" s="442">
        <v>2.3541666666666666E-2</v>
      </c>
      <c r="W672" s="441" t="s">
        <v>176</v>
      </c>
      <c r="X672" s="438">
        <v>20.677170504338861</v>
      </c>
      <c r="Y672" s="438">
        <v>-0.93159528309992012</v>
      </c>
      <c r="Z672" s="443">
        <v>32.83144444444445</v>
      </c>
      <c r="AA672" s="58">
        <f t="shared" ca="1" si="22"/>
        <v>126.485</v>
      </c>
      <c r="AB672" s="453">
        <f ca="1">Table29[[#This Row],[Earnings]]-Table29[[#This Row],[4-Week Average]]</f>
        <v>-37.234999999999999</v>
      </c>
    </row>
    <row r="673" spans="1:28" x14ac:dyDescent="0.35">
      <c r="A673" s="445">
        <v>45724</v>
      </c>
      <c r="B673" s="444">
        <v>2025</v>
      </c>
      <c r="C673" s="444">
        <v>10</v>
      </c>
      <c r="D673" s="444">
        <v>10</v>
      </c>
      <c r="E673" s="444" t="s">
        <v>278</v>
      </c>
      <c r="F673" s="445" t="s">
        <v>51</v>
      </c>
      <c r="G673" s="446">
        <v>0.58333333333333237</v>
      </c>
      <c r="H673" s="445" t="s">
        <v>231</v>
      </c>
      <c r="I673" s="444">
        <v>28</v>
      </c>
      <c r="J673" s="445" t="s">
        <v>80</v>
      </c>
      <c r="K673" s="447">
        <v>147.78</v>
      </c>
      <c r="L673" s="448">
        <v>6.85</v>
      </c>
      <c r="M673" s="444">
        <v>134</v>
      </c>
      <c r="N673" s="444">
        <v>13</v>
      </c>
      <c r="O673" s="447">
        <v>21.573722627737226</v>
      </c>
      <c r="P673" s="449">
        <v>-4.1400315554783838</v>
      </c>
      <c r="Q673" s="447">
        <v>11.367692307692307</v>
      </c>
      <c r="R673" s="447">
        <v>1.1028358208955225</v>
      </c>
      <c r="S673" s="450">
        <v>10.307692307692308</v>
      </c>
      <c r="T673" s="450">
        <v>1.8978102189781023</v>
      </c>
      <c r="U673" s="240">
        <v>2</v>
      </c>
      <c r="V673" s="451">
        <v>2.1955128205128207E-2</v>
      </c>
      <c r="W673" s="450" t="s">
        <v>176</v>
      </c>
      <c r="X673" s="447">
        <v>30.543878208019763</v>
      </c>
      <c r="Y673" s="447">
        <v>-8.9701555802825368</v>
      </c>
      <c r="Z673" s="452">
        <v>33.979000000000006</v>
      </c>
      <c r="AA673" s="58">
        <f t="shared" ca="1" si="22"/>
        <v>131.1</v>
      </c>
      <c r="AB673" s="453">
        <f ca="1">Table29[[#This Row],[Earnings]]-Table29[[#This Row],[4-Week Average]]</f>
        <v>16.680000000000007</v>
      </c>
    </row>
    <row r="674" spans="1:28" x14ac:dyDescent="0.35">
      <c r="A674" s="436">
        <v>45725</v>
      </c>
      <c r="B674" s="435">
        <v>2025</v>
      </c>
      <c r="C674" s="435">
        <v>10</v>
      </c>
      <c r="D674" s="435">
        <v>10</v>
      </c>
      <c r="E674" s="435" t="s">
        <v>278</v>
      </c>
      <c r="F674" s="436" t="s">
        <v>45</v>
      </c>
      <c r="G674" s="437">
        <v>0.41666666666666602</v>
      </c>
      <c r="H674" s="436" t="s">
        <v>231</v>
      </c>
      <c r="I674" s="435">
        <v>37</v>
      </c>
      <c r="J674" s="436" t="s">
        <v>80</v>
      </c>
      <c r="K674" s="438">
        <v>13.66</v>
      </c>
      <c r="L674" s="439">
        <v>1.03</v>
      </c>
      <c r="M674" s="435">
        <v>29</v>
      </c>
      <c r="N674" s="435">
        <v>2</v>
      </c>
      <c r="O674" s="438">
        <v>13.262135922330097</v>
      </c>
      <c r="P674" s="440">
        <v>-11.970707958656581</v>
      </c>
      <c r="Q674" s="438">
        <v>6.83</v>
      </c>
      <c r="R674" s="438">
        <v>0.4710344827586207</v>
      </c>
      <c r="S674" s="441">
        <v>14.5</v>
      </c>
      <c r="T674" s="441">
        <v>1.941747572815534</v>
      </c>
      <c r="U674" s="239">
        <v>2</v>
      </c>
      <c r="V674" s="442">
        <v>2.1458333333333333E-2</v>
      </c>
      <c r="W674" s="441" t="s">
        <v>176</v>
      </c>
      <c r="X674" s="438">
        <v>13.262135922330097</v>
      </c>
      <c r="Y674" s="438">
        <v>0</v>
      </c>
      <c r="Z674" s="443">
        <v>33.476555555555557</v>
      </c>
      <c r="AA674" s="58">
        <f t="shared" ca="1" si="22"/>
        <v>98.64</v>
      </c>
      <c r="AB674" s="453">
        <f ca="1">Table29[[#This Row],[Earnings]]-Table29[[#This Row],[4-Week Average]]</f>
        <v>-84.98</v>
      </c>
    </row>
    <row r="675" spans="1:28" x14ac:dyDescent="0.35">
      <c r="A675" s="445">
        <v>45726</v>
      </c>
      <c r="B675" s="444">
        <v>2025</v>
      </c>
      <c r="C675" s="444">
        <v>11</v>
      </c>
      <c r="D675" s="444">
        <v>11</v>
      </c>
      <c r="E675" s="444" t="s">
        <v>278</v>
      </c>
      <c r="F675" s="445" t="s">
        <v>46</v>
      </c>
      <c r="G675" s="446">
        <v>0.74999999999999889</v>
      </c>
      <c r="H675" s="445" t="s">
        <v>249</v>
      </c>
      <c r="I675" s="444">
        <v>39</v>
      </c>
      <c r="J675" s="445" t="s">
        <v>80</v>
      </c>
      <c r="K675" s="447">
        <v>105.51</v>
      </c>
      <c r="L675" s="448">
        <v>4.4800000000000004</v>
      </c>
      <c r="M675" s="444">
        <v>71</v>
      </c>
      <c r="N675" s="444">
        <v>8</v>
      </c>
      <c r="O675" s="447">
        <v>23.551339285714285</v>
      </c>
      <c r="P675" s="449">
        <v>-2.2901881685803858</v>
      </c>
      <c r="Q675" s="447">
        <v>13.188750000000001</v>
      </c>
      <c r="R675" s="447">
        <v>1.4860563380281691</v>
      </c>
      <c r="S675" s="450">
        <v>8.875</v>
      </c>
      <c r="T675" s="450">
        <v>1.7857142857142856</v>
      </c>
      <c r="U675" s="240">
        <v>2</v>
      </c>
      <c r="V675" s="451">
        <v>2.3333333333333334E-2</v>
      </c>
      <c r="W675" s="450" t="s">
        <v>176</v>
      </c>
      <c r="X675" s="447">
        <v>26.303037502761384</v>
      </c>
      <c r="Y675" s="447">
        <v>-2.7516982170470996</v>
      </c>
      <c r="Z675" s="452">
        <v>34.648888888888898</v>
      </c>
      <c r="AA675" s="58">
        <f t="shared" ca="1" si="22"/>
        <v>89.05</v>
      </c>
      <c r="AB675" s="453">
        <f ca="1">Table29[[#This Row],[Earnings]]-Table29[[#This Row],[4-Week Average]]</f>
        <v>16.460000000000008</v>
      </c>
    </row>
    <row r="676" spans="1:28" x14ac:dyDescent="0.35">
      <c r="A676" s="436">
        <v>45728</v>
      </c>
      <c r="B676" s="435">
        <v>2025</v>
      </c>
      <c r="C676" s="435">
        <v>11</v>
      </c>
      <c r="D676" s="435">
        <v>11</v>
      </c>
      <c r="E676" s="435" t="s">
        <v>278</v>
      </c>
      <c r="F676" s="436" t="s">
        <v>48</v>
      </c>
      <c r="G676" s="437">
        <v>0.70833333333333226</v>
      </c>
      <c r="H676" s="436" t="s">
        <v>230</v>
      </c>
      <c r="I676" s="435">
        <v>36</v>
      </c>
      <c r="J676" s="436" t="s">
        <v>80</v>
      </c>
      <c r="K676" s="438">
        <v>54.72</v>
      </c>
      <c r="L676" s="439">
        <v>2.52</v>
      </c>
      <c r="M676" s="435">
        <v>33</v>
      </c>
      <c r="N676" s="435">
        <v>6</v>
      </c>
      <c r="O676" s="438">
        <v>21.714285714285715</v>
      </c>
      <c r="P676" s="440">
        <v>-5.444283064597645</v>
      </c>
      <c r="Q676" s="438">
        <v>9.1199999999999992</v>
      </c>
      <c r="R676" s="438">
        <v>1.6581818181818182</v>
      </c>
      <c r="S676" s="441">
        <v>5.5</v>
      </c>
      <c r="T676" s="441">
        <v>2.3809523809523809</v>
      </c>
      <c r="U676" s="239">
        <v>2</v>
      </c>
      <c r="V676" s="442">
        <v>1.7499999999999998E-2</v>
      </c>
      <c r="W676" s="441" t="s">
        <v>176</v>
      </c>
      <c r="X676" s="438">
        <v>24.713285343418189</v>
      </c>
      <c r="Y676" s="438">
        <v>-2.9989996291324736</v>
      </c>
      <c r="Z676" s="443">
        <v>34.854777777777784</v>
      </c>
      <c r="AA676" s="58">
        <f t="shared" ca="1" si="22"/>
        <v>80.41749999999999</v>
      </c>
      <c r="AB676" s="453">
        <f ca="1">Table29[[#This Row],[Earnings]]-Table29[[#This Row],[4-Week Average]]</f>
        <v>-25.697499999999991</v>
      </c>
    </row>
    <row r="677" spans="1:28" x14ac:dyDescent="0.35">
      <c r="A677" s="445">
        <v>45729</v>
      </c>
      <c r="B677" s="444">
        <v>2025</v>
      </c>
      <c r="C677" s="444">
        <v>11</v>
      </c>
      <c r="D677" s="444">
        <v>11</v>
      </c>
      <c r="E677" s="444" t="s">
        <v>278</v>
      </c>
      <c r="F677" s="445" t="s">
        <v>49</v>
      </c>
      <c r="G677" s="446">
        <v>0.74999999999999889</v>
      </c>
      <c r="H677" s="445" t="s">
        <v>230</v>
      </c>
      <c r="I677" s="444">
        <v>34</v>
      </c>
      <c r="J677" s="445" t="s">
        <v>80</v>
      </c>
      <c r="K677" s="447">
        <v>108.12</v>
      </c>
      <c r="L677" s="448">
        <v>5.03</v>
      </c>
      <c r="M677" s="444">
        <v>127</v>
      </c>
      <c r="N677" s="444">
        <v>9</v>
      </c>
      <c r="O677" s="447">
        <v>21.495029821073558</v>
      </c>
      <c r="P677" s="449">
        <v>1.6920163040556062</v>
      </c>
      <c r="Q677" s="447">
        <v>12.013333333333334</v>
      </c>
      <c r="R677" s="447">
        <v>0.85133858267716545</v>
      </c>
      <c r="S677" s="450">
        <v>14.111111111111111</v>
      </c>
      <c r="T677" s="450">
        <v>1.7892644135188867</v>
      </c>
      <c r="U677" s="240">
        <v>3</v>
      </c>
      <c r="V677" s="451">
        <v>2.3287037037037037E-2</v>
      </c>
      <c r="W677" s="450" t="s">
        <v>176</v>
      </c>
      <c r="X677" s="447">
        <v>21.339386458777209</v>
      </c>
      <c r="Y677" s="447">
        <v>0.1556433622963489</v>
      </c>
      <c r="Z677" s="452">
        <v>36.056111111111115</v>
      </c>
      <c r="AA677" s="58">
        <f t="shared" ca="1" si="22"/>
        <v>70.502499999999998</v>
      </c>
      <c r="AB677" s="453">
        <f ca="1">Table29[[#This Row],[Earnings]]-Table29[[#This Row],[4-Week Average]]</f>
        <v>37.617500000000007</v>
      </c>
    </row>
    <row r="678" spans="1:28" x14ac:dyDescent="0.35">
      <c r="A678" s="436">
        <v>45732</v>
      </c>
      <c r="B678" s="435">
        <v>2025</v>
      </c>
      <c r="C678" s="435">
        <v>11</v>
      </c>
      <c r="D678" s="435">
        <v>11</v>
      </c>
      <c r="E678" s="435" t="s">
        <v>278</v>
      </c>
      <c r="F678" s="436" t="s">
        <v>45</v>
      </c>
      <c r="G678" s="437">
        <v>0.66666666666666563</v>
      </c>
      <c r="H678" s="436" t="s">
        <v>249</v>
      </c>
      <c r="I678" s="435">
        <v>55</v>
      </c>
      <c r="J678" s="436" t="s">
        <v>174</v>
      </c>
      <c r="K678" s="438">
        <v>289.48999999999995</v>
      </c>
      <c r="L678" s="439">
        <v>8.1300000000000008</v>
      </c>
      <c r="M678" s="435">
        <v>205</v>
      </c>
      <c r="N678" s="435">
        <v>17</v>
      </c>
      <c r="O678" s="438">
        <v>35.60762607626075</v>
      </c>
      <c r="P678" s="440">
        <v>19.984892534462801</v>
      </c>
      <c r="Q678" s="438">
        <v>17.028823529411763</v>
      </c>
      <c r="R678" s="438">
        <v>1.4121463414634143</v>
      </c>
      <c r="S678" s="441">
        <v>12.058823529411764</v>
      </c>
      <c r="T678" s="441">
        <v>2.0910209102091017</v>
      </c>
      <c r="U678" s="239">
        <v>4</v>
      </c>
      <c r="V678" s="442">
        <v>1.9926470588235295E-2</v>
      </c>
      <c r="W678" s="441" t="s">
        <v>176</v>
      </c>
      <c r="X678" s="438">
        <v>35.60762607626075</v>
      </c>
      <c r="Y678" s="438">
        <v>0</v>
      </c>
      <c r="Z678" s="443">
        <v>39.272666666666666</v>
      </c>
      <c r="AA678" s="58">
        <f t="shared" ca="1" si="22"/>
        <v>139.45999999999998</v>
      </c>
      <c r="AB678" s="453">
        <f ca="1">Table29[[#This Row],[Earnings]]-Table29[[#This Row],[4-Week Average]]</f>
        <v>150.02999999999997</v>
      </c>
    </row>
    <row r="679" spans="1:28" x14ac:dyDescent="0.35">
      <c r="A679" s="445">
        <v>45733</v>
      </c>
      <c r="B679" s="444">
        <v>2025</v>
      </c>
      <c r="C679" s="444">
        <v>12</v>
      </c>
      <c r="D679" s="444">
        <v>12</v>
      </c>
      <c r="E679" s="444" t="s">
        <v>278</v>
      </c>
      <c r="F679" s="445" t="s">
        <v>46</v>
      </c>
      <c r="G679" s="446">
        <v>0.74999999999999889</v>
      </c>
      <c r="H679" s="445" t="s">
        <v>325</v>
      </c>
      <c r="I679" s="444">
        <v>45</v>
      </c>
      <c r="J679" s="445" t="s">
        <v>80</v>
      </c>
      <c r="K679" s="447">
        <v>43.5</v>
      </c>
      <c r="L679" s="448">
        <v>2.78</v>
      </c>
      <c r="M679" s="444">
        <v>39</v>
      </c>
      <c r="N679" s="444">
        <v>7</v>
      </c>
      <c r="O679" s="447">
        <v>15.647482014388491</v>
      </c>
      <c r="P679" s="449">
        <v>-10.073509220507212</v>
      </c>
      <c r="Q679" s="447">
        <v>6.2142857142857144</v>
      </c>
      <c r="R679" s="447">
        <v>1.1153846153846154</v>
      </c>
      <c r="S679" s="450">
        <v>5.5714285714285712</v>
      </c>
      <c r="T679" s="450">
        <v>2.5179856115107917</v>
      </c>
      <c r="U679" s="240">
        <v>1</v>
      </c>
      <c r="V679" s="451">
        <v>1.6547619047619047E-2</v>
      </c>
      <c r="W679" s="450" t="s">
        <v>176</v>
      </c>
      <c r="X679" s="447">
        <v>22.127564587674119</v>
      </c>
      <c r="Y679" s="447">
        <v>-6.4800825732856282</v>
      </c>
      <c r="Z679" s="452">
        <v>39.756</v>
      </c>
      <c r="AA679" s="58">
        <f t="shared" ca="1" si="22"/>
        <v>123.95749999999998</v>
      </c>
      <c r="AB679" s="453">
        <f ca="1">Table29[[#This Row],[Earnings]]-Table29[[#This Row],[4-Week Average]]</f>
        <v>-80.457499999999982</v>
      </c>
    </row>
    <row r="680" spans="1:28" x14ac:dyDescent="0.35">
      <c r="A680" s="436">
        <v>45734</v>
      </c>
      <c r="B680" s="435">
        <v>2025</v>
      </c>
      <c r="C680" s="435">
        <v>12</v>
      </c>
      <c r="D680" s="435">
        <v>12</v>
      </c>
      <c r="E680" s="435" t="s">
        <v>278</v>
      </c>
      <c r="F680" s="436" t="s">
        <v>47</v>
      </c>
      <c r="G680" s="437">
        <v>0.72916666666666552</v>
      </c>
      <c r="H680" s="436" t="s">
        <v>230</v>
      </c>
      <c r="I680" s="435">
        <v>45</v>
      </c>
      <c r="J680" s="436" t="s">
        <v>80</v>
      </c>
      <c r="K680" s="438">
        <v>105.92</v>
      </c>
      <c r="L680" s="439">
        <v>4.87</v>
      </c>
      <c r="M680" s="435">
        <v>92</v>
      </c>
      <c r="N680" s="435">
        <v>11</v>
      </c>
      <c r="O680" s="438">
        <v>21.749486652977414</v>
      </c>
      <c r="P680" s="440">
        <v>-5.2501933408087318</v>
      </c>
      <c r="Q680" s="438">
        <v>9.6290909090909089</v>
      </c>
      <c r="R680" s="438">
        <v>1.1513043478260869</v>
      </c>
      <c r="S680" s="441">
        <v>8.3636363636363633</v>
      </c>
      <c r="T680" s="441">
        <v>2.2587268993839835</v>
      </c>
      <c r="U680" s="239">
        <v>3</v>
      </c>
      <c r="V680" s="442">
        <v>1.8446969696969698E-2</v>
      </c>
      <c r="W680" s="441" t="s">
        <v>176</v>
      </c>
      <c r="X680" s="438">
        <v>25.204699111738062</v>
      </c>
      <c r="Y680" s="438">
        <v>-3.4552124587606485</v>
      </c>
      <c r="Z680" s="443">
        <v>40.93288888888889</v>
      </c>
      <c r="AA680" s="58">
        <f t="shared" ca="1" si="22"/>
        <v>136.75749999999999</v>
      </c>
      <c r="AB680" s="453">
        <f ca="1">Table29[[#This Row],[Earnings]]-Table29[[#This Row],[4-Week Average]]</f>
        <v>-30.837499999999991</v>
      </c>
    </row>
    <row r="681" spans="1:28" x14ac:dyDescent="0.35">
      <c r="A681" s="445">
        <v>45735</v>
      </c>
      <c r="B681" s="444">
        <v>2025</v>
      </c>
      <c r="C681" s="444">
        <v>12</v>
      </c>
      <c r="D681" s="444">
        <v>12</v>
      </c>
      <c r="E681" s="444" t="s">
        <v>278</v>
      </c>
      <c r="F681" s="445" t="s">
        <v>48</v>
      </c>
      <c r="G681" s="446">
        <v>0.72916666666666552</v>
      </c>
      <c r="H681" s="445" t="s">
        <v>230</v>
      </c>
      <c r="I681" s="444">
        <v>46</v>
      </c>
      <c r="J681" s="445" t="s">
        <v>80</v>
      </c>
      <c r="K681" s="447">
        <v>60.75</v>
      </c>
      <c r="L681" s="448">
        <v>3.42</v>
      </c>
      <c r="M681" s="444">
        <v>80</v>
      </c>
      <c r="N681" s="444">
        <v>6</v>
      </c>
      <c r="O681" s="447">
        <v>17.763157894736842</v>
      </c>
      <c r="P681" s="449">
        <v>-9.0551431926091652</v>
      </c>
      <c r="Q681" s="447">
        <v>10.125</v>
      </c>
      <c r="R681" s="447">
        <v>0.75937500000000002</v>
      </c>
      <c r="S681" s="450">
        <v>13.333333333333334</v>
      </c>
      <c r="T681" s="450">
        <v>1.7543859649122808</v>
      </c>
      <c r="U681" s="240">
        <v>1</v>
      </c>
      <c r="V681" s="451">
        <v>2.3749999999999997E-2</v>
      </c>
      <c r="W681" s="450" t="s">
        <v>176</v>
      </c>
      <c r="X681" s="447">
        <v>26.505470302261681</v>
      </c>
      <c r="Y681" s="447">
        <v>-8.7423124075248388</v>
      </c>
      <c r="Z681" s="452">
        <v>41.607888888888887</v>
      </c>
      <c r="AA681" s="58">
        <f t="shared" ca="1" si="22"/>
        <v>124.91499999999999</v>
      </c>
      <c r="AB681" s="453">
        <f ca="1">Table29[[#This Row],[Earnings]]-Table29[[#This Row],[4-Week Average]]</f>
        <v>-64.164999999999992</v>
      </c>
    </row>
    <row r="682" spans="1:28" x14ac:dyDescent="0.35">
      <c r="A682" s="436">
        <v>45737</v>
      </c>
      <c r="B682" s="435">
        <v>2025</v>
      </c>
      <c r="C682" s="435">
        <v>12</v>
      </c>
      <c r="D682" s="435">
        <v>12</v>
      </c>
      <c r="E682" s="435" t="s">
        <v>278</v>
      </c>
      <c r="F682" s="436" t="s">
        <v>50</v>
      </c>
      <c r="G682" s="437">
        <v>0.74999999999999889</v>
      </c>
      <c r="H682" s="436" t="s">
        <v>285</v>
      </c>
      <c r="I682" s="435">
        <v>37</v>
      </c>
      <c r="J682" s="436" t="s">
        <v>174</v>
      </c>
      <c r="K682" s="438">
        <v>184.51</v>
      </c>
      <c r="L682" s="439">
        <v>6.82</v>
      </c>
      <c r="M682" s="435">
        <v>152</v>
      </c>
      <c r="N682" s="435">
        <v>13</v>
      </c>
      <c r="O682" s="438">
        <v>27.054252199413487</v>
      </c>
      <c r="P682" s="440">
        <v>12.925000498733214</v>
      </c>
      <c r="Q682" s="438">
        <v>14.193076923076923</v>
      </c>
      <c r="R682" s="438">
        <v>1.2138815789473683</v>
      </c>
      <c r="S682" s="441">
        <v>11.692307692307692</v>
      </c>
      <c r="T682" s="441">
        <v>1.9061583577712609</v>
      </c>
      <c r="U682" s="239">
        <v>2</v>
      </c>
      <c r="V682" s="442">
        <v>2.1858974358974357E-2</v>
      </c>
      <c r="W682" s="441" t="s">
        <v>175</v>
      </c>
      <c r="X682" s="438">
        <v>24.852884451271549</v>
      </c>
      <c r="Y682" s="438">
        <v>2.2013677481419371</v>
      </c>
      <c r="Z682" s="443">
        <v>43.658000000000001</v>
      </c>
      <c r="AA682" s="58">
        <f t="shared" ca="1" si="22"/>
        <v>98.67</v>
      </c>
      <c r="AB682" s="453">
        <f ca="1">Table29[[#This Row],[Earnings]]-Table29[[#This Row],[4-Week Average]]</f>
        <v>85.839999999999989</v>
      </c>
    </row>
    <row r="683" spans="1:28" x14ac:dyDescent="0.35">
      <c r="A683" s="445">
        <v>45738</v>
      </c>
      <c r="B683" s="444">
        <v>2025</v>
      </c>
      <c r="C683" s="444">
        <v>12</v>
      </c>
      <c r="D683" s="444">
        <v>12</v>
      </c>
      <c r="E683" s="444" t="s">
        <v>278</v>
      </c>
      <c r="F683" s="445" t="s">
        <v>51</v>
      </c>
      <c r="G683" s="446">
        <v>0.54166666666666585</v>
      </c>
      <c r="H683" s="445" t="s">
        <v>281</v>
      </c>
      <c r="I683" s="444">
        <v>57</v>
      </c>
      <c r="J683" s="445" t="s">
        <v>82</v>
      </c>
      <c r="K683" s="447">
        <v>65.55</v>
      </c>
      <c r="L683" s="448">
        <v>2.9</v>
      </c>
      <c r="M683" s="444">
        <v>32</v>
      </c>
      <c r="N683" s="444">
        <v>10</v>
      </c>
      <c r="O683" s="447">
        <v>22.603448275862068</v>
      </c>
      <c r="P683" s="449">
        <v>2.7147969483654499</v>
      </c>
      <c r="Q683" s="447">
        <v>6.5549999999999997</v>
      </c>
      <c r="R683" s="447">
        <v>2.0484374999999999</v>
      </c>
      <c r="S683" s="450">
        <v>3.2</v>
      </c>
      <c r="T683" s="450">
        <v>3.4482758620689657</v>
      </c>
      <c r="U683" s="240">
        <v>2</v>
      </c>
      <c r="V683" s="451">
        <v>1.2083333333333333E-2</v>
      </c>
      <c r="W683" s="450" t="s">
        <v>176</v>
      </c>
      <c r="X683" s="447">
        <v>21.037978186413866</v>
      </c>
      <c r="Y683" s="447">
        <v>1.5654700894482012</v>
      </c>
      <c r="Z683" s="452">
        <v>44.38633333333334</v>
      </c>
      <c r="AA683" s="58">
        <f t="shared" ca="1" si="22"/>
        <v>104.1825</v>
      </c>
      <c r="AB683" s="453">
        <f ca="1">Table29[[#This Row],[Earnings]]-Table29[[#This Row],[4-Week Average]]</f>
        <v>-38.632500000000007</v>
      </c>
    </row>
    <row r="684" spans="1:28" x14ac:dyDescent="0.35">
      <c r="A684" s="436">
        <v>45739</v>
      </c>
      <c r="B684" s="435">
        <v>2025</v>
      </c>
      <c r="C684" s="435">
        <v>12</v>
      </c>
      <c r="D684" s="435">
        <v>12</v>
      </c>
      <c r="E684" s="435" t="s">
        <v>278</v>
      </c>
      <c r="F684" s="436" t="s">
        <v>45</v>
      </c>
      <c r="G684" s="437">
        <v>0.74999999999999889</v>
      </c>
      <c r="H684" s="436" t="s">
        <v>230</v>
      </c>
      <c r="I684" s="435">
        <v>30</v>
      </c>
      <c r="J684" s="436" t="s">
        <v>80</v>
      </c>
      <c r="K684" s="438">
        <v>81.539999999999992</v>
      </c>
      <c r="L684" s="439">
        <v>4.43</v>
      </c>
      <c r="M684" s="435">
        <v>130</v>
      </c>
      <c r="N684" s="435">
        <v>8</v>
      </c>
      <c r="O684" s="438">
        <v>18.406320541760721</v>
      </c>
      <c r="P684" s="440">
        <v>-5.7382771611662697</v>
      </c>
      <c r="Q684" s="438">
        <v>10.192499999999999</v>
      </c>
      <c r="R684" s="438">
        <v>0.62723076923076915</v>
      </c>
      <c r="S684" s="441">
        <v>16.25</v>
      </c>
      <c r="T684" s="441">
        <v>1.8058690744920995</v>
      </c>
      <c r="U684" s="239">
        <v>2</v>
      </c>
      <c r="V684" s="442">
        <v>2.3072916666666665E-2</v>
      </c>
      <c r="W684" s="441" t="s">
        <v>176</v>
      </c>
      <c r="X684" s="438">
        <v>23.040660270880359</v>
      </c>
      <c r="Y684" s="438">
        <v>-4.6343397291196382</v>
      </c>
      <c r="Z684" s="443">
        <v>45.292333333333339</v>
      </c>
      <c r="AA684" s="58">
        <f t="shared" ca="1" si="22"/>
        <v>98.087500000000006</v>
      </c>
      <c r="AB684" s="453">
        <f ca="1">Table29[[#This Row],[Earnings]]-Table29[[#This Row],[4-Week Average]]</f>
        <v>-16.547500000000014</v>
      </c>
    </row>
    <row r="685" spans="1:28" x14ac:dyDescent="0.35">
      <c r="A685" s="445">
        <v>45740</v>
      </c>
      <c r="B685" s="444">
        <v>2025</v>
      </c>
      <c r="C685" s="444">
        <v>13</v>
      </c>
      <c r="D685" s="444">
        <v>13</v>
      </c>
      <c r="E685" s="444" t="s">
        <v>278</v>
      </c>
      <c r="F685" s="445" t="s">
        <v>46</v>
      </c>
      <c r="G685" s="446">
        <v>0.72916666666666552</v>
      </c>
      <c r="H685" s="445" t="s">
        <v>234</v>
      </c>
      <c r="I685" s="444">
        <v>30</v>
      </c>
      <c r="J685" s="445" t="s">
        <v>82</v>
      </c>
      <c r="K685" s="447">
        <v>108.54</v>
      </c>
      <c r="L685" s="448">
        <v>5.08</v>
      </c>
      <c r="M685" s="444">
        <v>73</v>
      </c>
      <c r="N685" s="444">
        <v>11</v>
      </c>
      <c r="O685" s="447">
        <v>21.366141732283467</v>
      </c>
      <c r="P685" s="449">
        <v>3.6303990267131745</v>
      </c>
      <c r="Q685" s="447">
        <v>9.8672727272727272</v>
      </c>
      <c r="R685" s="447">
        <v>1.4868493150684932</v>
      </c>
      <c r="S685" s="450">
        <v>6.6363636363636367</v>
      </c>
      <c r="T685" s="450">
        <v>2.1653543307086616</v>
      </c>
      <c r="U685" s="240">
        <v>3</v>
      </c>
      <c r="V685" s="451">
        <v>1.9242424242424245E-2</v>
      </c>
      <c r="W685" s="450" t="s">
        <v>175</v>
      </c>
      <c r="X685" s="447">
        <v>28.889867756914999</v>
      </c>
      <c r="Y685" s="447">
        <v>-7.5237260246315323</v>
      </c>
      <c r="Z685" s="452">
        <v>46.498333333333335</v>
      </c>
      <c r="AA685" s="58">
        <f t="shared" ca="1" si="22"/>
        <v>110.03500000000001</v>
      </c>
      <c r="AB685" s="453">
        <f ca="1">Table29[[#This Row],[Earnings]]-Table29[[#This Row],[4-Week Average]]</f>
        <v>-1.4950000000000045</v>
      </c>
    </row>
    <row r="686" spans="1:28" x14ac:dyDescent="0.35">
      <c r="A686" s="436">
        <v>45741</v>
      </c>
      <c r="B686" s="435">
        <v>2025</v>
      </c>
      <c r="C686" s="435">
        <v>13</v>
      </c>
      <c r="D686" s="435">
        <v>13</v>
      </c>
      <c r="E686" s="435" t="s">
        <v>278</v>
      </c>
      <c r="F686" s="436" t="s">
        <v>47</v>
      </c>
      <c r="G686" s="437">
        <v>0.72916666666666552</v>
      </c>
      <c r="H686" s="436" t="s">
        <v>231</v>
      </c>
      <c r="I686" s="435">
        <v>43</v>
      </c>
      <c r="J686" s="436" t="s">
        <v>82</v>
      </c>
      <c r="K686" s="438">
        <v>51.32</v>
      </c>
      <c r="L686" s="439">
        <v>2.4500000000000002</v>
      </c>
      <c r="M686" s="435">
        <v>59</v>
      </c>
      <c r="N686" s="435">
        <v>4</v>
      </c>
      <c r="O686" s="438">
        <v>20.946938775510201</v>
      </c>
      <c r="P686" s="440">
        <v>1.2282165406435155</v>
      </c>
      <c r="Q686" s="438">
        <v>12.83</v>
      </c>
      <c r="R686" s="438">
        <v>0.86983050847457632</v>
      </c>
      <c r="S686" s="441">
        <v>14.75</v>
      </c>
      <c r="T686" s="441">
        <v>1.6326530612244896</v>
      </c>
      <c r="U686" s="239">
        <v>3</v>
      </c>
      <c r="V686" s="442">
        <v>2.5520833333333336E-2</v>
      </c>
      <c r="W686" s="441" t="s">
        <v>176</v>
      </c>
      <c r="X686" s="438">
        <v>23.049833024118737</v>
      </c>
      <c r="Y686" s="438">
        <v>-2.1028942486085356</v>
      </c>
      <c r="Z686" s="443">
        <v>47.068555555555555</v>
      </c>
      <c r="AA686" s="58">
        <f t="shared" ca="1" si="22"/>
        <v>76.737499999999997</v>
      </c>
      <c r="AB686" s="453">
        <f ca="1">Table29[[#This Row],[Earnings]]-Table29[[#This Row],[4-Week Average]]</f>
        <v>-25.417499999999997</v>
      </c>
    </row>
    <row r="687" spans="1:28" x14ac:dyDescent="0.35">
      <c r="A687" s="445">
        <v>45744</v>
      </c>
      <c r="B687" s="444">
        <v>2025</v>
      </c>
      <c r="C687" s="444">
        <v>13</v>
      </c>
      <c r="D687" s="444">
        <v>13</v>
      </c>
      <c r="E687" s="444" t="s">
        <v>278</v>
      </c>
      <c r="F687" s="445" t="s">
        <v>50</v>
      </c>
      <c r="G687" s="446">
        <v>0.72916666666666552</v>
      </c>
      <c r="H687" s="445" t="s">
        <v>249</v>
      </c>
      <c r="I687" s="444">
        <v>46</v>
      </c>
      <c r="J687" s="445" t="s">
        <v>82</v>
      </c>
      <c r="K687" s="447">
        <v>68.489999999999995</v>
      </c>
      <c r="L687" s="448">
        <v>3.98</v>
      </c>
      <c r="M687" s="444">
        <v>68</v>
      </c>
      <c r="N687" s="444">
        <v>9</v>
      </c>
      <c r="O687" s="447">
        <v>17.208542713567837</v>
      </c>
      <c r="P687" s="449">
        <v>-1.8955082957483107</v>
      </c>
      <c r="Q687" s="447">
        <v>7.6099999999999994</v>
      </c>
      <c r="R687" s="447">
        <v>1.0072058823529411</v>
      </c>
      <c r="S687" s="450">
        <v>7.5555555555555554</v>
      </c>
      <c r="T687" s="450">
        <v>2.2613065326633164</v>
      </c>
      <c r="U687" s="240">
        <v>2</v>
      </c>
      <c r="V687" s="451">
        <v>1.8425925925925925E-2</v>
      </c>
      <c r="W687" s="450" t="s">
        <v>176</v>
      </c>
      <c r="X687" s="447">
        <v>21.587544461558959</v>
      </c>
      <c r="Y687" s="447">
        <v>-4.3790017479911221</v>
      </c>
      <c r="Z687" s="452">
        <v>47.829555555555551</v>
      </c>
      <c r="AA687" s="58">
        <f t="shared" ca="1" si="22"/>
        <v>77.472499999999997</v>
      </c>
      <c r="AB687" s="453">
        <f ca="1">Table29[[#This Row],[Earnings]]-Table29[[#This Row],[4-Week Average]]</f>
        <v>-8.9825000000000017</v>
      </c>
    </row>
    <row r="688" spans="1:28" x14ac:dyDescent="0.35">
      <c r="A688" s="436">
        <v>45746</v>
      </c>
      <c r="B688" s="435">
        <v>2025</v>
      </c>
      <c r="C688" s="435">
        <v>13</v>
      </c>
      <c r="D688" s="435">
        <v>13</v>
      </c>
      <c r="E688" s="435" t="s">
        <v>278</v>
      </c>
      <c r="F688" s="436" t="s">
        <v>45</v>
      </c>
      <c r="G688" s="437">
        <v>0.72916666666666552</v>
      </c>
      <c r="H688" s="436" t="s">
        <v>233</v>
      </c>
      <c r="I688" s="435">
        <v>34</v>
      </c>
      <c r="J688" s="436" t="s">
        <v>80</v>
      </c>
      <c r="K688" s="438">
        <v>153.68</v>
      </c>
      <c r="L688" s="439">
        <v>6.28</v>
      </c>
      <c r="M688" s="435">
        <v>115</v>
      </c>
      <c r="N688" s="435">
        <v>11</v>
      </c>
      <c r="O688" s="438">
        <v>24.471337579617835</v>
      </c>
      <c r="P688" s="440">
        <v>0.80492964012136525</v>
      </c>
      <c r="Q688" s="438">
        <v>13.970909090909091</v>
      </c>
      <c r="R688" s="438">
        <v>1.3363478260869566</v>
      </c>
      <c r="S688" s="441">
        <v>10.454545454545455</v>
      </c>
      <c r="T688" s="441">
        <v>1.7515923566878979</v>
      </c>
      <c r="U688" s="239">
        <v>3</v>
      </c>
      <c r="V688" s="442">
        <v>2.3787878787878788E-2</v>
      </c>
      <c r="W688" s="441" t="s">
        <v>176</v>
      </c>
      <c r="X688" s="438">
        <v>24.684581833287179</v>
      </c>
      <c r="Y688" s="438">
        <v>-0.21324425366934463</v>
      </c>
      <c r="Z688" s="443">
        <v>49.537111111111116</v>
      </c>
      <c r="AA688" s="58">
        <f t="shared" ca="1" si="22"/>
        <v>95.507500000000007</v>
      </c>
      <c r="AB688" s="453">
        <f ca="1">Table29[[#This Row],[Earnings]]-Table29[[#This Row],[4-Week Average]]</f>
        <v>58.172499999999999</v>
      </c>
    </row>
    <row r="689" spans="1:28" x14ac:dyDescent="0.35">
      <c r="A689" s="445">
        <v>45754</v>
      </c>
      <c r="B689" s="444">
        <v>2025</v>
      </c>
      <c r="C689" s="444">
        <v>15</v>
      </c>
      <c r="D689" s="444">
        <v>2</v>
      </c>
      <c r="E689" s="444" t="s">
        <v>287</v>
      </c>
      <c r="F689" s="445" t="s">
        <v>46</v>
      </c>
      <c r="G689" s="446">
        <v>0.70833333333333226</v>
      </c>
      <c r="H689" s="445" t="s">
        <v>285</v>
      </c>
      <c r="I689" s="444">
        <v>39</v>
      </c>
      <c r="J689" s="445" t="s">
        <v>80</v>
      </c>
      <c r="K689" s="447">
        <v>116.99</v>
      </c>
      <c r="L689" s="448">
        <v>4.92</v>
      </c>
      <c r="M689" s="444">
        <v>105</v>
      </c>
      <c r="N689" s="444">
        <v>9</v>
      </c>
      <c r="O689" s="447">
        <v>23.778455284552845</v>
      </c>
      <c r="P689" s="449">
        <v>3.8120205703011223</v>
      </c>
      <c r="Q689" s="447">
        <v>12.998888888888889</v>
      </c>
      <c r="R689" s="447">
        <v>1.1141904761904762</v>
      </c>
      <c r="S689" s="450">
        <v>11.666666666666666</v>
      </c>
      <c r="T689" s="450">
        <v>1.8292682926829269</v>
      </c>
      <c r="U689" s="240">
        <v>2</v>
      </c>
      <c r="V689" s="451">
        <v>2.2777777777777775E-2</v>
      </c>
      <c r="W689" s="450" t="s">
        <v>176</v>
      </c>
      <c r="X689" s="447">
        <v>22.041942574403119</v>
      </c>
      <c r="Y689" s="447">
        <v>1.7365127101497251</v>
      </c>
      <c r="Z689" s="452">
        <v>48.988111111111124</v>
      </c>
      <c r="AA689" s="58">
        <f t="shared" ca="1" si="22"/>
        <v>97.62</v>
      </c>
      <c r="AB689" s="453">
        <f ca="1">Table29[[#This Row],[Earnings]]-Table29[[#This Row],[4-Week Average]]</f>
        <v>19.36999999999999</v>
      </c>
    </row>
    <row r="690" spans="1:28" x14ac:dyDescent="0.35">
      <c r="A690" s="436">
        <v>45755</v>
      </c>
      <c r="B690" s="435">
        <v>2025</v>
      </c>
      <c r="C690" s="435">
        <v>15</v>
      </c>
      <c r="D690" s="435">
        <v>2</v>
      </c>
      <c r="E690" s="435" t="s">
        <v>287</v>
      </c>
      <c r="F690" s="436" t="s">
        <v>47</v>
      </c>
      <c r="G690" s="437">
        <v>0.74999999999999889</v>
      </c>
      <c r="H690" s="436" t="s">
        <v>232</v>
      </c>
      <c r="I690" s="435">
        <v>34</v>
      </c>
      <c r="J690" s="436" t="s">
        <v>174</v>
      </c>
      <c r="K690" s="438">
        <v>130.44</v>
      </c>
      <c r="L690" s="439">
        <v>5.57</v>
      </c>
      <c r="M690" s="435">
        <v>119</v>
      </c>
      <c r="N690" s="435">
        <v>11</v>
      </c>
      <c r="O690" s="438">
        <v>23.41831238779174</v>
      </c>
      <c r="P690" s="440">
        <v>6.1025179757817334</v>
      </c>
      <c r="Q690" s="438">
        <v>11.858181818181817</v>
      </c>
      <c r="R690" s="438">
        <v>1.0961344537815125</v>
      </c>
      <c r="S690" s="441">
        <v>10.818181818181818</v>
      </c>
      <c r="T690" s="441">
        <v>1.9748653500897666</v>
      </c>
      <c r="U690" s="239">
        <v>1</v>
      </c>
      <c r="V690" s="442">
        <v>2.1098484848484849E-2</v>
      </c>
      <c r="W690" s="441" t="s">
        <v>176</v>
      </c>
      <c r="X690" s="438">
        <v>21.082970919354722</v>
      </c>
      <c r="Y690" s="438">
        <v>2.3353414684370186</v>
      </c>
      <c r="Z690" s="443">
        <v>50.192888888888888</v>
      </c>
      <c r="AA690" s="58">
        <f t="shared" ca="1" si="22"/>
        <v>117.4</v>
      </c>
      <c r="AB690" s="453">
        <f ca="1">Table29[[#This Row],[Earnings]]-Table29[[#This Row],[4-Week Average]]</f>
        <v>13.039999999999992</v>
      </c>
    </row>
    <row r="691" spans="1:28" x14ac:dyDescent="0.35">
      <c r="A691" s="445">
        <v>45758</v>
      </c>
      <c r="B691" s="444">
        <v>2025</v>
      </c>
      <c r="C691" s="444">
        <v>15</v>
      </c>
      <c r="D691" s="444">
        <v>2</v>
      </c>
      <c r="E691" s="444" t="s">
        <v>287</v>
      </c>
      <c r="F691" s="445" t="s">
        <v>50</v>
      </c>
      <c r="G691" s="446">
        <v>0.72916666666666552</v>
      </c>
      <c r="H691" s="445" t="s">
        <v>231</v>
      </c>
      <c r="I691" s="444">
        <v>43</v>
      </c>
      <c r="J691" s="445" t="s">
        <v>174</v>
      </c>
      <c r="K691" s="447">
        <v>57.27</v>
      </c>
      <c r="L691" s="448">
        <v>3.5</v>
      </c>
      <c r="M691" s="444">
        <v>104</v>
      </c>
      <c r="N691" s="444">
        <v>6</v>
      </c>
      <c r="O691" s="447">
        <v>16.362857142857145</v>
      </c>
      <c r="P691" s="449">
        <v>-5.2268864468864464</v>
      </c>
      <c r="Q691" s="447">
        <v>9.5449999999999999</v>
      </c>
      <c r="R691" s="447">
        <v>0.55067307692307699</v>
      </c>
      <c r="S691" s="450">
        <v>17.333333333333332</v>
      </c>
      <c r="T691" s="450">
        <v>1.7142857142857142</v>
      </c>
      <c r="U691" s="240">
        <v>1</v>
      </c>
      <c r="V691" s="451">
        <v>2.4305555555555556E-2</v>
      </c>
      <c r="W691" s="450" t="s">
        <v>175</v>
      </c>
      <c r="X691" s="447">
        <v>19.73987012987013</v>
      </c>
      <c r="Y691" s="447">
        <v>-3.3770129870129857</v>
      </c>
      <c r="Z691" s="452">
        <v>49.023888888888884</v>
      </c>
      <c r="AA691" s="58">
        <f t="shared" ca="1" si="22"/>
        <v>114.595</v>
      </c>
      <c r="AB691" s="453">
        <f ca="1">Table29[[#This Row],[Earnings]]-Table29[[#This Row],[4-Week Average]]</f>
        <v>-57.324999999999996</v>
      </c>
    </row>
    <row r="692" spans="1:28" x14ac:dyDescent="0.35">
      <c r="A692" s="436">
        <v>45759</v>
      </c>
      <c r="B692" s="435">
        <v>2025</v>
      </c>
      <c r="C692" s="435">
        <v>15</v>
      </c>
      <c r="D692" s="435">
        <v>2</v>
      </c>
      <c r="E692" s="435" t="s">
        <v>287</v>
      </c>
      <c r="F692" s="436" t="s">
        <v>51</v>
      </c>
      <c r="G692" s="437">
        <v>0.77083333333333215</v>
      </c>
      <c r="H692" s="436" t="s">
        <v>249</v>
      </c>
      <c r="I692" s="435">
        <v>37</v>
      </c>
      <c r="J692" s="436" t="s">
        <v>174</v>
      </c>
      <c r="K692" s="438">
        <v>113.41</v>
      </c>
      <c r="L692" s="439">
        <v>5.0199999999999996</v>
      </c>
      <c r="M692" s="435">
        <v>101</v>
      </c>
      <c r="N692" s="435">
        <v>11</v>
      </c>
      <c r="O692" s="438">
        <v>22.591633466135459</v>
      </c>
      <c r="P692" s="440">
        <v>0.73490831993662908</v>
      </c>
      <c r="Q692" s="438">
        <v>10.31</v>
      </c>
      <c r="R692" s="438">
        <v>1.1228712871287128</v>
      </c>
      <c r="S692" s="441">
        <v>9.1818181818181817</v>
      </c>
      <c r="T692" s="441">
        <v>2.1912350597609564</v>
      </c>
      <c r="U692" s="239">
        <v>2</v>
      </c>
      <c r="V692" s="442">
        <v>1.9015151515151513E-2</v>
      </c>
      <c r="W692" s="441" t="s">
        <v>175</v>
      </c>
      <c r="X692" s="438">
        <v>27.152961642707922</v>
      </c>
      <c r="Y692" s="438">
        <v>-4.5613281765724629</v>
      </c>
      <c r="Z692" s="443">
        <v>50.283999999999992</v>
      </c>
      <c r="AA692" s="58">
        <f t="shared" ca="1" si="22"/>
        <v>104.5275</v>
      </c>
      <c r="AB692" s="453">
        <f ca="1">Table29[[#This Row],[Earnings]]-Table29[[#This Row],[4-Week Average]]</f>
        <v>8.8824999999999932</v>
      </c>
    </row>
    <row r="693" spans="1:28" x14ac:dyDescent="0.35">
      <c r="A693" s="445">
        <v>45761</v>
      </c>
      <c r="B693" s="444">
        <v>2025</v>
      </c>
      <c r="C693" s="444">
        <v>16</v>
      </c>
      <c r="D693" s="444">
        <v>3</v>
      </c>
      <c r="E693" s="444" t="s">
        <v>287</v>
      </c>
      <c r="F693" s="445" t="s">
        <v>46</v>
      </c>
      <c r="G693" s="446">
        <v>0.74999999999999889</v>
      </c>
      <c r="H693" s="445" t="s">
        <v>230</v>
      </c>
      <c r="I693" s="444">
        <v>57</v>
      </c>
      <c r="J693" s="445" t="s">
        <v>80</v>
      </c>
      <c r="K693" s="447">
        <v>148.73000000000002</v>
      </c>
      <c r="L693" s="448">
        <v>4.9800000000000004</v>
      </c>
      <c r="M693" s="444">
        <v>135</v>
      </c>
      <c r="N693" s="444">
        <v>10</v>
      </c>
      <c r="O693" s="447">
        <v>29.865461847389561</v>
      </c>
      <c r="P693" s="449">
        <v>9.5178250761077265</v>
      </c>
      <c r="Q693" s="447">
        <v>14.873000000000001</v>
      </c>
      <c r="R693" s="447">
        <v>1.1017037037037039</v>
      </c>
      <c r="S693" s="450">
        <v>13.5</v>
      </c>
      <c r="T693" s="450">
        <v>2.0080321285140559</v>
      </c>
      <c r="U693" s="240">
        <v>3</v>
      </c>
      <c r="V693" s="451">
        <v>2.0750000000000001E-2</v>
      </c>
      <c r="W693" s="450" t="s">
        <v>176</v>
      </c>
      <c r="X693" s="447">
        <v>29.865461847389561</v>
      </c>
      <c r="Y693" s="447">
        <v>0</v>
      </c>
      <c r="Z693" s="452">
        <v>51.013777777777776</v>
      </c>
      <c r="AA693" s="58">
        <f t="shared" ca="1" si="22"/>
        <v>112.46250000000001</v>
      </c>
      <c r="AB693" s="453">
        <f ca="1">Table29[[#This Row],[Earnings]]-Table29[[#This Row],[4-Week Average]]</f>
        <v>36.267500000000013</v>
      </c>
    </row>
    <row r="694" spans="1:28" x14ac:dyDescent="0.35">
      <c r="A694" s="436">
        <v>45763</v>
      </c>
      <c r="B694" s="435">
        <v>2025</v>
      </c>
      <c r="C694" s="435">
        <v>16</v>
      </c>
      <c r="D694" s="435">
        <v>3</v>
      </c>
      <c r="E694" s="435" t="s">
        <v>287</v>
      </c>
      <c r="F694" s="436" t="s">
        <v>48</v>
      </c>
      <c r="G694" s="437">
        <v>0.72916666666666552</v>
      </c>
      <c r="H694" s="436" t="s">
        <v>249</v>
      </c>
      <c r="I694" s="435">
        <v>43</v>
      </c>
      <c r="J694" s="436" t="s">
        <v>82</v>
      </c>
      <c r="K694" s="438">
        <v>119.21</v>
      </c>
      <c r="L694" s="439">
        <v>5.28</v>
      </c>
      <c r="M694" s="435">
        <v>108</v>
      </c>
      <c r="N694" s="435">
        <v>12</v>
      </c>
      <c r="O694" s="438">
        <v>22.577651515151512</v>
      </c>
      <c r="P694" s="440">
        <v>5.5018785314465184</v>
      </c>
      <c r="Q694" s="438">
        <v>9.9341666666666661</v>
      </c>
      <c r="R694" s="438">
        <v>1.1037962962962962</v>
      </c>
      <c r="S694" s="441">
        <v>9</v>
      </c>
      <c r="T694" s="441">
        <v>2.2727272727272725</v>
      </c>
      <c r="U694" s="239">
        <v>3</v>
      </c>
      <c r="V694" s="442">
        <v>1.8333333333333333E-2</v>
      </c>
      <c r="W694" s="441" t="s">
        <v>175</v>
      </c>
      <c r="X694" s="438">
        <v>18.663094763423707</v>
      </c>
      <c r="Y694" s="438">
        <v>3.9145567517278046</v>
      </c>
      <c r="Z694" s="443">
        <v>51.361444444444444</v>
      </c>
      <c r="AA694" s="58">
        <f t="shared" ca="1" si="22"/>
        <v>109.655</v>
      </c>
      <c r="AB694" s="453">
        <f ca="1">Table29[[#This Row],[Earnings]]-Table29[[#This Row],[4-Week Average]]</f>
        <v>9.5549999999999926</v>
      </c>
    </row>
    <row r="695" spans="1:28" x14ac:dyDescent="0.35">
      <c r="A695" s="445">
        <v>45764</v>
      </c>
      <c r="B695" s="444">
        <v>2025</v>
      </c>
      <c r="C695" s="444">
        <v>16</v>
      </c>
      <c r="D695" s="444">
        <v>3</v>
      </c>
      <c r="E695" s="444" t="s">
        <v>287</v>
      </c>
      <c r="F695" s="445" t="s">
        <v>49</v>
      </c>
      <c r="G695" s="446">
        <v>0.79166666666666541</v>
      </c>
      <c r="H695" s="445" t="s">
        <v>230</v>
      </c>
      <c r="I695" s="444">
        <v>52</v>
      </c>
      <c r="J695" s="445" t="s">
        <v>82</v>
      </c>
      <c r="K695" s="447">
        <v>68.38</v>
      </c>
      <c r="L695" s="448">
        <v>3.93</v>
      </c>
      <c r="M695" s="444">
        <v>81</v>
      </c>
      <c r="N695" s="444">
        <v>10</v>
      </c>
      <c r="O695" s="447">
        <v>17.399491094147582</v>
      </c>
      <c r="P695" s="449">
        <v>-1.2171407310630187</v>
      </c>
      <c r="Q695" s="447">
        <v>6.8379999999999992</v>
      </c>
      <c r="R695" s="447">
        <v>0.84419753086419747</v>
      </c>
      <c r="S695" s="450">
        <v>8.1</v>
      </c>
      <c r="T695" s="450">
        <v>2.5445292620865141</v>
      </c>
      <c r="U695" s="240">
        <v>2</v>
      </c>
      <c r="V695" s="451">
        <v>1.6375000000000001E-2</v>
      </c>
      <c r="W695" s="450" t="s">
        <v>176</v>
      </c>
      <c r="X695" s="447">
        <v>20.870675779631931</v>
      </c>
      <c r="Y695" s="447">
        <v>-3.4711846854843493</v>
      </c>
      <c r="Z695" s="452">
        <v>51.011777777777773</v>
      </c>
      <c r="AA695" s="58">
        <f t="shared" ca="1" si="22"/>
        <v>112.43249999999999</v>
      </c>
      <c r="AB695" s="453">
        <f ca="1">Table29[[#This Row],[Earnings]]-Table29[[#This Row],[4-Week Average]]</f>
        <v>-44.052499999999995</v>
      </c>
    </row>
    <row r="696" spans="1:28" x14ac:dyDescent="0.35">
      <c r="A696" s="436">
        <v>45768</v>
      </c>
      <c r="B696" s="435">
        <v>2025</v>
      </c>
      <c r="C696" s="435">
        <v>17</v>
      </c>
      <c r="D696" s="435">
        <v>4</v>
      </c>
      <c r="E696" s="435" t="s">
        <v>287</v>
      </c>
      <c r="F696" s="436" t="s">
        <v>46</v>
      </c>
      <c r="G696" s="437">
        <v>0.74999999999999889</v>
      </c>
      <c r="H696" s="436" t="s">
        <v>325</v>
      </c>
      <c r="I696" s="435">
        <v>48</v>
      </c>
      <c r="J696" s="436" t="s">
        <v>80</v>
      </c>
      <c r="K696" s="438">
        <v>103.03</v>
      </c>
      <c r="L696" s="439">
        <v>4.7</v>
      </c>
      <c r="M696" s="435">
        <v>137</v>
      </c>
      <c r="N696" s="435">
        <v>11</v>
      </c>
      <c r="O696" s="438">
        <v>21.921276595744679</v>
      </c>
      <c r="P696" s="440">
        <v>0.70838299936214</v>
      </c>
      <c r="Q696" s="438">
        <v>9.3663636363636371</v>
      </c>
      <c r="R696" s="438">
        <v>0.75204379562043799</v>
      </c>
      <c r="S696" s="441">
        <v>12.454545454545455</v>
      </c>
      <c r="T696" s="441">
        <v>2.3404255319148937</v>
      </c>
      <c r="U696" s="239">
        <v>3</v>
      </c>
      <c r="V696" s="442">
        <v>1.7803030303030303E-2</v>
      </c>
      <c r="W696" s="441" t="s">
        <v>175</v>
      </c>
      <c r="X696" s="438">
        <v>19.811569974890972</v>
      </c>
      <c r="Y696" s="438">
        <v>2.1097066208537072</v>
      </c>
      <c r="Z696" s="443">
        <v>49.834777777777781</v>
      </c>
      <c r="AA696" s="58">
        <f t="shared" ca="1" si="22"/>
        <v>109.83750000000001</v>
      </c>
      <c r="AB696" s="453">
        <f ca="1">Table29[[#This Row],[Earnings]]-Table29[[#This Row],[4-Week Average]]</f>
        <v>-6.8075000000000045</v>
      </c>
    </row>
    <row r="697" spans="1:28" x14ac:dyDescent="0.35">
      <c r="A697" s="445">
        <v>45769</v>
      </c>
      <c r="B697" s="444">
        <v>2025</v>
      </c>
      <c r="C697" s="444">
        <v>17</v>
      </c>
      <c r="D697" s="444">
        <v>4</v>
      </c>
      <c r="E697" s="444" t="s">
        <v>287</v>
      </c>
      <c r="F697" s="445" t="s">
        <v>47</v>
      </c>
      <c r="G697" s="446">
        <v>0.81249999999999878</v>
      </c>
      <c r="H697" s="445" t="s">
        <v>231</v>
      </c>
      <c r="I697" s="444">
        <v>61</v>
      </c>
      <c r="J697" s="445" t="s">
        <v>82</v>
      </c>
      <c r="K697" s="447">
        <v>62.21</v>
      </c>
      <c r="L697" s="448">
        <v>4.0999999999999996</v>
      </c>
      <c r="M697" s="444">
        <v>94</v>
      </c>
      <c r="N697" s="444">
        <v>7</v>
      </c>
      <c r="O697" s="447">
        <v>15.173170731707319</v>
      </c>
      <c r="P697" s="449">
        <v>-1.4122459349593477</v>
      </c>
      <c r="Q697" s="447">
        <v>8.887142857142857</v>
      </c>
      <c r="R697" s="447">
        <v>0.66180851063829793</v>
      </c>
      <c r="S697" s="450">
        <v>13.428571428571429</v>
      </c>
      <c r="T697" s="450">
        <v>1.7073170731707319</v>
      </c>
      <c r="U697" s="240">
        <v>1</v>
      </c>
      <c r="V697" s="451">
        <v>2.4404761904761901E-2</v>
      </c>
      <c r="W697" s="450" t="s">
        <v>176</v>
      </c>
      <c r="X697" s="447">
        <v>16.253252032520326</v>
      </c>
      <c r="Y697" s="447">
        <v>-1.0800813008130064</v>
      </c>
      <c r="Z697" s="452">
        <v>50.011444444444429</v>
      </c>
      <c r="AA697" s="58">
        <f t="shared" ca="1" si="22"/>
        <v>88.207499999999996</v>
      </c>
      <c r="AB697" s="453">
        <f ca="1">Table29[[#This Row],[Earnings]]-Table29[[#This Row],[4-Week Average]]</f>
        <v>-25.997499999999995</v>
      </c>
    </row>
    <row r="698" spans="1:28" x14ac:dyDescent="0.35">
      <c r="A698" s="436">
        <v>45770</v>
      </c>
      <c r="B698" s="435">
        <v>2025</v>
      </c>
      <c r="C698" s="435">
        <v>17</v>
      </c>
      <c r="D698" s="435">
        <v>4</v>
      </c>
      <c r="E698" s="435" t="s">
        <v>287</v>
      </c>
      <c r="F698" s="436" t="s">
        <v>48</v>
      </c>
      <c r="G698" s="437">
        <v>0.74999999999999889</v>
      </c>
      <c r="H698" s="436" t="s">
        <v>230</v>
      </c>
      <c r="I698" s="435">
        <v>61</v>
      </c>
      <c r="J698" s="436" t="s">
        <v>80</v>
      </c>
      <c r="K698" s="438">
        <v>147.32999999999998</v>
      </c>
      <c r="L698" s="439">
        <v>5.33</v>
      </c>
      <c r="M698" s="435">
        <v>144</v>
      </c>
      <c r="N698" s="435">
        <v>11</v>
      </c>
      <c r="O698" s="438">
        <v>27.641651031894931</v>
      </c>
      <c r="P698" s="440">
        <v>4.6018713458500216</v>
      </c>
      <c r="Q698" s="438">
        <v>13.393636363636363</v>
      </c>
      <c r="R698" s="438">
        <v>1.0231249999999998</v>
      </c>
      <c r="S698" s="441">
        <v>13.090909090909092</v>
      </c>
      <c r="T698" s="441">
        <v>2.0637898686679175</v>
      </c>
      <c r="U698" s="239">
        <v>3</v>
      </c>
      <c r="V698" s="442">
        <v>2.0189393939393941E-2</v>
      </c>
      <c r="W698" s="441" t="s">
        <v>176</v>
      </c>
      <c r="X698" s="438">
        <v>23.221856443782517</v>
      </c>
      <c r="Y698" s="438">
        <v>4.4197945881124134</v>
      </c>
      <c r="Z698" s="443">
        <v>51.648444444444429</v>
      </c>
      <c r="AA698" s="58">
        <f t="shared" ca="1" si="22"/>
        <v>95.237499999999997</v>
      </c>
      <c r="AB698" s="453">
        <f ca="1">Table29[[#This Row],[Earnings]]-Table29[[#This Row],[4-Week Average]]</f>
        <v>52.092499999999987</v>
      </c>
    </row>
    <row r="699" spans="1:28" x14ac:dyDescent="0.35">
      <c r="A699" s="445">
        <v>45772</v>
      </c>
      <c r="B699" s="444">
        <v>2025</v>
      </c>
      <c r="C699" s="444">
        <v>17</v>
      </c>
      <c r="D699" s="444">
        <v>4</v>
      </c>
      <c r="E699" s="444" t="s">
        <v>287</v>
      </c>
      <c r="F699" s="445" t="s">
        <v>50</v>
      </c>
      <c r="G699" s="446">
        <v>0.74999999999999889</v>
      </c>
      <c r="H699" s="445" t="s">
        <v>325</v>
      </c>
      <c r="I699" s="444">
        <v>57</v>
      </c>
      <c r="J699" s="445" t="s">
        <v>82</v>
      </c>
      <c r="K699" s="447">
        <v>70.13</v>
      </c>
      <c r="L699" s="448">
        <v>4.5199999999999996</v>
      </c>
      <c r="M699" s="444">
        <v>59</v>
      </c>
      <c r="N699" s="444">
        <v>9</v>
      </c>
      <c r="O699" s="447">
        <v>15.515486725663717</v>
      </c>
      <c r="P699" s="449">
        <v>-3.868532132644134</v>
      </c>
      <c r="Q699" s="447">
        <v>7.7922222222222217</v>
      </c>
      <c r="R699" s="447">
        <v>1.1886440677966101</v>
      </c>
      <c r="S699" s="450">
        <v>6.5555555555555554</v>
      </c>
      <c r="T699" s="450">
        <v>1.9911504424778763</v>
      </c>
      <c r="U699" s="240">
        <v>2</v>
      </c>
      <c r="V699" s="451">
        <v>2.0925925925925921E-2</v>
      </c>
      <c r="W699" s="450" t="s">
        <v>176</v>
      </c>
      <c r="X699" s="447">
        <v>22.467344216099097</v>
      </c>
      <c r="Y699" s="447">
        <v>-6.9518574904353798</v>
      </c>
      <c r="Z699" s="452">
        <v>51.549777777777763</v>
      </c>
      <c r="AA699" s="58">
        <f t="shared" ca="1" si="22"/>
        <v>95.674999999999997</v>
      </c>
      <c r="AB699" s="453">
        <f ca="1">Table29[[#This Row],[Earnings]]-Table29[[#This Row],[4-Week Average]]</f>
        <v>-25.545000000000002</v>
      </c>
    </row>
    <row r="700" spans="1:28" x14ac:dyDescent="0.35">
      <c r="A700" s="436">
        <v>45773</v>
      </c>
      <c r="B700" s="435">
        <v>2025</v>
      </c>
      <c r="C700" s="435">
        <v>17</v>
      </c>
      <c r="D700" s="435">
        <v>4</v>
      </c>
      <c r="E700" s="435" t="s">
        <v>287</v>
      </c>
      <c r="F700" s="436" t="s">
        <v>51</v>
      </c>
      <c r="G700" s="437">
        <v>0.64583333333333237</v>
      </c>
      <c r="H700" s="436" t="s">
        <v>325</v>
      </c>
      <c r="I700" s="435">
        <v>55</v>
      </c>
      <c r="J700" s="436" t="s">
        <v>174</v>
      </c>
      <c r="K700" s="438">
        <v>91.289999999999992</v>
      </c>
      <c r="L700" s="439">
        <v>4.5999999999999996</v>
      </c>
      <c r="M700" s="435">
        <v>115</v>
      </c>
      <c r="N700" s="435">
        <v>7</v>
      </c>
      <c r="O700" s="438">
        <v>19.845652173913042</v>
      </c>
      <c r="P700" s="440">
        <v>-2.3785271322541028</v>
      </c>
      <c r="Q700" s="438">
        <v>13.04142857142857</v>
      </c>
      <c r="R700" s="438">
        <v>0.79382608695652168</v>
      </c>
      <c r="S700" s="441">
        <v>16.428571428571427</v>
      </c>
      <c r="T700" s="441">
        <v>1.5217391304347827</v>
      </c>
      <c r="U700" s="239">
        <v>3</v>
      </c>
      <c r="V700" s="442">
        <v>2.7380952380952381E-2</v>
      </c>
      <c r="W700" s="441" t="s">
        <v>175</v>
      </c>
      <c r="X700" s="438">
        <v>23.513308240547271</v>
      </c>
      <c r="Y700" s="438">
        <v>-3.6676560666342297</v>
      </c>
      <c r="Z700" s="443">
        <v>52.058999999999983</v>
      </c>
      <c r="AA700" s="58">
        <f t="shared" ca="1" si="22"/>
        <v>92.739999999999981</v>
      </c>
      <c r="AB700" s="453">
        <f ca="1">Table29[[#This Row],[Earnings]]-Table29[[#This Row],[4-Week Average]]</f>
        <v>-1.4499999999999886</v>
      </c>
    </row>
    <row r="701" spans="1:28" x14ac:dyDescent="0.35">
      <c r="A701" s="445">
        <v>45774</v>
      </c>
      <c r="B701" s="444">
        <v>2025</v>
      </c>
      <c r="C701" s="444">
        <v>17</v>
      </c>
      <c r="D701" s="444">
        <v>4</v>
      </c>
      <c r="E701" s="444" t="s">
        <v>287</v>
      </c>
      <c r="F701" s="445" t="s">
        <v>45</v>
      </c>
      <c r="G701" s="446">
        <v>0.64583333333333237</v>
      </c>
      <c r="H701" s="445" t="s">
        <v>325</v>
      </c>
      <c r="I701" s="444">
        <v>43</v>
      </c>
      <c r="J701" s="445" t="s">
        <v>174</v>
      </c>
      <c r="K701" s="447">
        <v>80.69</v>
      </c>
      <c r="L701" s="448">
        <v>4.5999999999999996</v>
      </c>
      <c r="M701" s="444">
        <v>108</v>
      </c>
      <c r="N701" s="444">
        <v>9</v>
      </c>
      <c r="O701" s="447">
        <v>17.541304347826088</v>
      </c>
      <c r="P701" s="449">
        <v>7.341258784905591E-2</v>
      </c>
      <c r="Q701" s="447">
        <v>8.9655555555555555</v>
      </c>
      <c r="R701" s="447">
        <v>0.74712962962962959</v>
      </c>
      <c r="S701" s="450">
        <v>12</v>
      </c>
      <c r="T701" s="450">
        <v>1.956521739130435</v>
      </c>
      <c r="U701" s="240">
        <v>2</v>
      </c>
      <c r="V701" s="451">
        <v>2.1296296296296296E-2</v>
      </c>
      <c r="W701" s="450" t="s">
        <v>176</v>
      </c>
      <c r="X701" s="447">
        <v>18.958528045340856</v>
      </c>
      <c r="Y701" s="447">
        <v>-1.4172236975147676</v>
      </c>
      <c r="Z701" s="452">
        <v>52.955555555555534</v>
      </c>
      <c r="AA701" s="58">
        <f t="shared" ca="1" si="22"/>
        <v>97.36</v>
      </c>
      <c r="AB701" s="453">
        <f ca="1">Table29[[#This Row],[Earnings]]-Table29[[#This Row],[4-Week Average]]</f>
        <v>-16.670000000000002</v>
      </c>
    </row>
    <row r="702" spans="1:28" x14ac:dyDescent="0.35">
      <c r="A702" s="436">
        <v>45775</v>
      </c>
      <c r="B702" s="435">
        <v>2025</v>
      </c>
      <c r="C702" s="435">
        <v>18</v>
      </c>
      <c r="D702" s="435">
        <v>5</v>
      </c>
      <c r="E702" s="435" t="s">
        <v>287</v>
      </c>
      <c r="F702" s="436" t="s">
        <v>46</v>
      </c>
      <c r="G702" s="437">
        <v>0.79166666666666541</v>
      </c>
      <c r="H702" s="436" t="s">
        <v>230</v>
      </c>
      <c r="I702" s="435">
        <v>64</v>
      </c>
      <c r="J702" s="436" t="s">
        <v>85</v>
      </c>
      <c r="K702" s="438">
        <v>148.66</v>
      </c>
      <c r="L702" s="439">
        <v>7.02</v>
      </c>
      <c r="M702" s="435">
        <v>172</v>
      </c>
      <c r="N702" s="435">
        <v>13</v>
      </c>
      <c r="O702" s="438">
        <v>21.176638176638178</v>
      </c>
      <c r="P702" s="440">
        <v>-0.50909246462564539</v>
      </c>
      <c r="Q702" s="438">
        <v>11.435384615384615</v>
      </c>
      <c r="R702" s="438">
        <v>0.8643023255813953</v>
      </c>
      <c r="S702" s="441">
        <v>13.23076923076923</v>
      </c>
      <c r="T702" s="441">
        <v>1.8518518518518519</v>
      </c>
      <c r="U702" s="239">
        <v>4</v>
      </c>
      <c r="V702" s="442">
        <v>2.2499999999999996E-2</v>
      </c>
      <c r="W702" s="441" t="s">
        <v>176</v>
      </c>
      <c r="X702" s="438">
        <v>21.176638176638178</v>
      </c>
      <c r="Y702" s="438">
        <v>0</v>
      </c>
      <c r="Z702" s="443">
        <v>53.772777777777762</v>
      </c>
      <c r="AA702" s="58">
        <f t="shared" ca="1" si="22"/>
        <v>97.692499999999995</v>
      </c>
      <c r="AB702" s="453">
        <f ca="1">Table29[[#This Row],[Earnings]]-Table29[[#This Row],[4-Week Average]]</f>
        <v>50.967500000000001</v>
      </c>
    </row>
    <row r="703" spans="1:28" x14ac:dyDescent="0.35">
      <c r="A703" s="445">
        <v>45776</v>
      </c>
      <c r="B703" s="444">
        <v>2025</v>
      </c>
      <c r="C703" s="444">
        <v>18</v>
      </c>
      <c r="D703" s="444">
        <v>5</v>
      </c>
      <c r="E703" s="444" t="s">
        <v>287</v>
      </c>
      <c r="F703" s="445" t="s">
        <v>47</v>
      </c>
      <c r="G703" s="446">
        <v>0.72916666666666552</v>
      </c>
      <c r="H703" s="445" t="s">
        <v>230</v>
      </c>
      <c r="I703" s="444">
        <v>66</v>
      </c>
      <c r="J703" s="445" t="s">
        <v>80</v>
      </c>
      <c r="K703" s="447">
        <v>116.97</v>
      </c>
      <c r="L703" s="448">
        <v>5.52</v>
      </c>
      <c r="M703" s="444">
        <v>134</v>
      </c>
      <c r="N703" s="444">
        <v>11</v>
      </c>
      <c r="O703" s="447">
        <v>21.190217391304348</v>
      </c>
      <c r="P703" s="449">
        <v>-8.7146010781907535E-2</v>
      </c>
      <c r="Q703" s="447">
        <v>10.633636363636363</v>
      </c>
      <c r="R703" s="447">
        <v>0.87291044776119397</v>
      </c>
      <c r="S703" s="450">
        <v>12.181818181818182</v>
      </c>
      <c r="T703" s="450">
        <v>1.992753623188406</v>
      </c>
      <c r="U703" s="240">
        <v>2</v>
      </c>
      <c r="V703" s="451">
        <v>2.0909090909090908E-2</v>
      </c>
      <c r="W703" s="450" t="s">
        <v>176</v>
      </c>
      <c r="X703" s="447">
        <v>21.091386611284925</v>
      </c>
      <c r="Y703" s="447">
        <v>9.8830780019422804E-2</v>
      </c>
      <c r="Z703" s="452">
        <v>55.072444444444429</v>
      </c>
      <c r="AA703" s="58">
        <f t="shared" ca="1" si="22"/>
        <v>109.4025</v>
      </c>
      <c r="AB703" s="453">
        <f ca="1">Table29[[#This Row],[Earnings]]-Table29[[#This Row],[4-Week Average]]</f>
        <v>7.5674999999999955</v>
      </c>
    </row>
    <row r="704" spans="1:28" x14ac:dyDescent="0.35">
      <c r="A704" s="436">
        <v>45777</v>
      </c>
      <c r="B704" s="435">
        <v>2025</v>
      </c>
      <c r="C704" s="435">
        <v>18</v>
      </c>
      <c r="D704" s="435">
        <v>5</v>
      </c>
      <c r="E704" s="435" t="s">
        <v>287</v>
      </c>
      <c r="F704" s="436" t="s">
        <v>48</v>
      </c>
      <c r="G704" s="437">
        <v>0.81249999999999878</v>
      </c>
      <c r="H704" s="436" t="s">
        <v>230</v>
      </c>
      <c r="I704" s="435">
        <v>54</v>
      </c>
      <c r="J704" s="436" t="s">
        <v>80</v>
      </c>
      <c r="K704" s="438">
        <v>85.16</v>
      </c>
      <c r="L704" s="439">
        <v>4.08</v>
      </c>
      <c r="M704" s="435">
        <v>94</v>
      </c>
      <c r="N704" s="435">
        <v>8</v>
      </c>
      <c r="O704" s="438">
        <v>20.872549019607842</v>
      </c>
      <c r="P704" s="440">
        <v>-2.550719945257903</v>
      </c>
      <c r="Q704" s="438">
        <v>10.645</v>
      </c>
      <c r="R704" s="438">
        <v>0.90595744680851065</v>
      </c>
      <c r="S704" s="441">
        <v>11.75</v>
      </c>
      <c r="T704" s="441">
        <v>1.9607843137254901</v>
      </c>
      <c r="U704" s="239">
        <v>2</v>
      </c>
      <c r="V704" s="442">
        <v>2.1250000000000002E-2</v>
      </c>
      <c r="W704" s="441" t="s">
        <v>175</v>
      </c>
      <c r="X704" s="438">
        <v>22.335389870360405</v>
      </c>
      <c r="Y704" s="438">
        <v>-1.4628408507525634</v>
      </c>
      <c r="Z704" s="443">
        <v>56.018666666666647</v>
      </c>
      <c r="AA704" s="58">
        <f t="shared" ca="1" si="22"/>
        <v>107.87</v>
      </c>
      <c r="AB704" s="453">
        <f ca="1">Table29[[#This Row],[Earnings]]-Table29[[#This Row],[4-Week Average]]</f>
        <v>-22.710000000000008</v>
      </c>
    </row>
    <row r="705" spans="1:28" x14ac:dyDescent="0.35">
      <c r="A705" s="445">
        <v>45778</v>
      </c>
      <c r="B705" s="444">
        <v>2025</v>
      </c>
      <c r="C705" s="444">
        <v>18</v>
      </c>
      <c r="D705" s="444">
        <v>5</v>
      </c>
      <c r="E705" s="444" t="s">
        <v>287</v>
      </c>
      <c r="F705" s="445" t="s">
        <v>49</v>
      </c>
      <c r="G705" s="446">
        <v>0.79166666666666541</v>
      </c>
      <c r="H705" s="445" t="s">
        <v>230</v>
      </c>
      <c r="I705" s="444">
        <v>54</v>
      </c>
      <c r="J705" s="445" t="s">
        <v>80</v>
      </c>
      <c r="K705" s="447">
        <v>108.47</v>
      </c>
      <c r="L705" s="448">
        <v>4.67</v>
      </c>
      <c r="M705" s="444">
        <v>97</v>
      </c>
      <c r="N705" s="444">
        <v>9</v>
      </c>
      <c r="O705" s="447">
        <v>23.226980728051391</v>
      </c>
      <c r="P705" s="449">
        <v>-0.39512370062517732</v>
      </c>
      <c r="Q705" s="447">
        <v>12.052222222222222</v>
      </c>
      <c r="R705" s="447">
        <v>1.1182474226804124</v>
      </c>
      <c r="S705" s="450">
        <v>10.777777777777779</v>
      </c>
      <c r="T705" s="450">
        <v>1.9271948608137046</v>
      </c>
      <c r="U705" s="240">
        <v>3</v>
      </c>
      <c r="V705" s="451">
        <v>2.162037037037037E-2</v>
      </c>
      <c r="W705" s="450" t="s">
        <v>176</v>
      </c>
      <c r="X705" s="447">
        <v>19.452916652940207</v>
      </c>
      <c r="Y705" s="447">
        <v>3.774064075111184</v>
      </c>
      <c r="Z705" s="452">
        <v>57.223888888888872</v>
      </c>
      <c r="AA705" s="58">
        <f t="shared" ca="1" si="22"/>
        <v>114.815</v>
      </c>
      <c r="AB705" s="453">
        <f ca="1">Table29[[#This Row],[Earnings]]-Table29[[#This Row],[4-Week Average]]</f>
        <v>-6.3449999999999989</v>
      </c>
    </row>
    <row r="706" spans="1:28" x14ac:dyDescent="0.35">
      <c r="A706" s="436">
        <v>45780</v>
      </c>
      <c r="B706" s="435">
        <v>2025</v>
      </c>
      <c r="C706" s="435">
        <v>18</v>
      </c>
      <c r="D706" s="435">
        <v>5</v>
      </c>
      <c r="E706" s="435" t="s">
        <v>287</v>
      </c>
      <c r="F706" s="436" t="s">
        <v>51</v>
      </c>
      <c r="G706" s="437">
        <v>0.52083333333333248</v>
      </c>
      <c r="H706" s="436" t="s">
        <v>285</v>
      </c>
      <c r="I706" s="435">
        <v>72</v>
      </c>
      <c r="J706" s="436" t="s">
        <v>80</v>
      </c>
      <c r="K706" s="438">
        <v>75.36</v>
      </c>
      <c r="L706" s="439">
        <v>3.42</v>
      </c>
      <c r="M706" s="435">
        <v>67</v>
      </c>
      <c r="N706" s="435">
        <v>5</v>
      </c>
      <c r="O706" s="438">
        <v>22.035087719298247</v>
      </c>
      <c r="P706" s="440">
        <v>-3.5192652372613757</v>
      </c>
      <c r="Q706" s="438">
        <v>15.071999999999999</v>
      </c>
      <c r="R706" s="438">
        <v>1.1247761194029851</v>
      </c>
      <c r="S706" s="441">
        <v>13.4</v>
      </c>
      <c r="T706" s="441">
        <v>1.4619883040935673</v>
      </c>
      <c r="U706" s="239">
        <v>2</v>
      </c>
      <c r="V706" s="442">
        <v>2.8499999999999998E-2</v>
      </c>
      <c r="W706" s="441" t="s">
        <v>176</v>
      </c>
      <c r="X706" s="438">
        <v>25.165112615762578</v>
      </c>
      <c r="Y706" s="438">
        <v>-3.1300248964643309</v>
      </c>
      <c r="Z706" s="443">
        <v>57.508444444444436</v>
      </c>
      <c r="AA706" s="58">
        <f t="shared" ca="1" si="22"/>
        <v>96.490000000000009</v>
      </c>
      <c r="AB706" s="453">
        <f ca="1">Table29[[#This Row],[Earnings]]-Table29[[#This Row],[4-Week Average]]</f>
        <v>-21.13000000000001</v>
      </c>
    </row>
    <row r="707" spans="1:28" x14ac:dyDescent="0.35">
      <c r="A707" s="445">
        <v>45781</v>
      </c>
      <c r="B707" s="444">
        <v>2025</v>
      </c>
      <c r="C707" s="444">
        <v>18</v>
      </c>
      <c r="D707" s="444">
        <v>5</v>
      </c>
      <c r="E707" s="444" t="s">
        <v>287</v>
      </c>
      <c r="F707" s="445" t="s">
        <v>45</v>
      </c>
      <c r="G707" s="446">
        <v>0.45833333333333259</v>
      </c>
      <c r="H707" s="445" t="s">
        <v>325</v>
      </c>
      <c r="I707" s="444">
        <v>57</v>
      </c>
      <c r="J707" s="445" t="s">
        <v>80</v>
      </c>
      <c r="K707" s="447">
        <v>88.98</v>
      </c>
      <c r="L707" s="448">
        <v>4.22</v>
      </c>
      <c r="M707" s="444">
        <v>94</v>
      </c>
      <c r="N707" s="444">
        <v>9</v>
      </c>
      <c r="O707" s="447">
        <v>21.085308056872041</v>
      </c>
      <c r="P707" s="449">
        <v>-0.99420444952827225</v>
      </c>
      <c r="Q707" s="447">
        <v>9.8866666666666667</v>
      </c>
      <c r="R707" s="447">
        <v>0.94659574468085106</v>
      </c>
      <c r="S707" s="450">
        <v>10.444444444444445</v>
      </c>
      <c r="T707" s="450">
        <v>2.1327014218009479</v>
      </c>
      <c r="U707" s="240">
        <v>2</v>
      </c>
      <c r="V707" s="451">
        <v>1.9537037037037037E-2</v>
      </c>
      <c r="W707" s="450" t="s">
        <v>176</v>
      </c>
      <c r="X707" s="447">
        <v>19.246597619330164</v>
      </c>
      <c r="Y707" s="447">
        <v>1.8387104375418772</v>
      </c>
      <c r="Z707" s="452">
        <v>57.85822222222221</v>
      </c>
      <c r="AA707" s="58">
        <f t="shared" ca="1" si="22"/>
        <v>89.492500000000007</v>
      </c>
      <c r="AB707" s="453">
        <f ca="1">Table29[[#This Row],[Earnings]]-Table29[[#This Row],[4-Week Average]]</f>
        <v>-0.51250000000000284</v>
      </c>
    </row>
    <row r="708" spans="1:28" x14ac:dyDescent="0.35">
      <c r="A708" s="436">
        <v>45782</v>
      </c>
      <c r="B708" s="435">
        <v>2025</v>
      </c>
      <c r="C708" s="435">
        <v>19</v>
      </c>
      <c r="D708" s="435">
        <v>6</v>
      </c>
      <c r="E708" s="435" t="s">
        <v>287</v>
      </c>
      <c r="F708" s="436" t="s">
        <v>46</v>
      </c>
      <c r="G708" s="437">
        <v>0.70833333333333226</v>
      </c>
      <c r="H708" s="436" t="s">
        <v>276</v>
      </c>
      <c r="I708" s="435">
        <v>50</v>
      </c>
      <c r="J708" s="436" t="s">
        <v>85</v>
      </c>
      <c r="K708" s="438">
        <v>119.77</v>
      </c>
      <c r="L708" s="439">
        <v>6.85</v>
      </c>
      <c r="M708" s="435">
        <v>211</v>
      </c>
      <c r="N708" s="435">
        <v>12</v>
      </c>
      <c r="O708" s="438">
        <v>17.484671532846715</v>
      </c>
      <c r="P708" s="440">
        <v>-4.0992406154919792</v>
      </c>
      <c r="Q708" s="438">
        <v>9.980833333333333</v>
      </c>
      <c r="R708" s="438">
        <v>0.56763033175355448</v>
      </c>
      <c r="S708" s="441">
        <v>17.583333333333332</v>
      </c>
      <c r="T708" s="441">
        <v>1.7518248175182483</v>
      </c>
      <c r="U708" s="239">
        <v>1</v>
      </c>
      <c r="V708" s="442">
        <v>2.3784722222222221E-2</v>
      </c>
      <c r="W708" s="441" t="s">
        <v>176</v>
      </c>
      <c r="X708" s="438">
        <v>22.295360168593202</v>
      </c>
      <c r="Y708" s="438">
        <v>-4.8106886357464873</v>
      </c>
      <c r="Z708" s="443">
        <v>59.188999999999993</v>
      </c>
      <c r="AA708" s="58">
        <f t="shared" ref="AA708:AA771" ca="1" si="23">AVERAGE(OFFSET(K708,-3,0,4,1))</f>
        <v>98.144999999999996</v>
      </c>
      <c r="AB708" s="453">
        <f ca="1">Table29[[#This Row],[Earnings]]-Table29[[#This Row],[4-Week Average]]</f>
        <v>21.625</v>
      </c>
    </row>
    <row r="709" spans="1:28" x14ac:dyDescent="0.35">
      <c r="A709" s="445">
        <v>45783</v>
      </c>
      <c r="B709" s="444">
        <v>2025</v>
      </c>
      <c r="C709" s="444">
        <v>19</v>
      </c>
      <c r="D709" s="444">
        <v>6</v>
      </c>
      <c r="E709" s="444" t="s">
        <v>287</v>
      </c>
      <c r="F709" s="445" t="s">
        <v>47</v>
      </c>
      <c r="G709" s="446">
        <v>0.72916666666666552</v>
      </c>
      <c r="H709" s="445" t="s">
        <v>236</v>
      </c>
      <c r="I709" s="444">
        <v>55</v>
      </c>
      <c r="J709" s="445" t="s">
        <v>80</v>
      </c>
      <c r="K709" s="447">
        <v>100.12</v>
      </c>
      <c r="L709" s="448">
        <v>4.7699999999999996</v>
      </c>
      <c r="M709" s="444">
        <v>103</v>
      </c>
      <c r="N709" s="444">
        <v>10</v>
      </c>
      <c r="O709" s="447">
        <v>20.989517819706503</v>
      </c>
      <c r="P709" s="449">
        <v>-0.28162086732390179</v>
      </c>
      <c r="Q709" s="447">
        <v>10.012</v>
      </c>
      <c r="R709" s="447">
        <v>0.97203883495145638</v>
      </c>
      <c r="S709" s="450">
        <v>10.3</v>
      </c>
      <c r="T709" s="450">
        <v>2.0964360587002098</v>
      </c>
      <c r="U709" s="240">
        <v>2</v>
      </c>
      <c r="V709" s="451">
        <v>1.9875E-2</v>
      </c>
      <c r="W709" s="450" t="s">
        <v>175</v>
      </c>
      <c r="X709" s="447">
        <v>18.163573021829258</v>
      </c>
      <c r="Y709" s="447">
        <v>2.825944797877245</v>
      </c>
      <c r="Z709" s="452">
        <v>59.731444444444435</v>
      </c>
      <c r="AA709" s="58">
        <f t="shared" ca="1" si="23"/>
        <v>96.057500000000005</v>
      </c>
      <c r="AB709" s="453">
        <f ca="1">Table29[[#This Row],[Earnings]]-Table29[[#This Row],[4-Week Average]]</f>
        <v>4.0625</v>
      </c>
    </row>
    <row r="710" spans="1:28" x14ac:dyDescent="0.35">
      <c r="A710" s="436">
        <v>45784</v>
      </c>
      <c r="B710" s="435">
        <v>2025</v>
      </c>
      <c r="C710" s="435">
        <v>19</v>
      </c>
      <c r="D710" s="435">
        <v>6</v>
      </c>
      <c r="E710" s="435" t="s">
        <v>287</v>
      </c>
      <c r="F710" s="436" t="s">
        <v>48</v>
      </c>
      <c r="G710" s="437">
        <v>0.77083333333333215</v>
      </c>
      <c r="H710" s="436" t="s">
        <v>325</v>
      </c>
      <c r="I710" s="435">
        <v>57</v>
      </c>
      <c r="J710" s="436" t="s">
        <v>80</v>
      </c>
      <c r="K710" s="438">
        <v>106.02000000000001</v>
      </c>
      <c r="L710" s="439">
        <v>5.55</v>
      </c>
      <c r="M710" s="435">
        <v>134</v>
      </c>
      <c r="N710" s="435">
        <v>11</v>
      </c>
      <c r="O710" s="438">
        <v>19.102702702702704</v>
      </c>
      <c r="P710" s="440">
        <v>-4.1243570356047421</v>
      </c>
      <c r="Q710" s="438">
        <v>9.6381818181818186</v>
      </c>
      <c r="R710" s="438">
        <v>0.79119402985074638</v>
      </c>
      <c r="S710" s="441">
        <v>12.181818181818182</v>
      </c>
      <c r="T710" s="441">
        <v>1.9819819819819819</v>
      </c>
      <c r="U710" s="239">
        <v>4</v>
      </c>
      <c r="V710" s="442">
        <v>2.1022727272727273E-2</v>
      </c>
      <c r="W710" s="441" t="s">
        <v>176</v>
      </c>
      <c r="X710" s="438">
        <v>24.426643904418047</v>
      </c>
      <c r="Y710" s="438">
        <v>-5.3239412017153427</v>
      </c>
      <c r="Z710" s="443">
        <v>60.697888888888883</v>
      </c>
      <c r="AA710" s="58">
        <f t="shared" ca="1" si="23"/>
        <v>103.7225</v>
      </c>
      <c r="AB710" s="453">
        <f ca="1">Table29[[#This Row],[Earnings]]-Table29[[#This Row],[4-Week Average]]</f>
        <v>2.2975000000000136</v>
      </c>
    </row>
    <row r="711" spans="1:28" x14ac:dyDescent="0.35">
      <c r="A711" s="445">
        <v>45785</v>
      </c>
      <c r="B711" s="444">
        <v>2025</v>
      </c>
      <c r="C711" s="444">
        <v>19</v>
      </c>
      <c r="D711" s="444">
        <v>6</v>
      </c>
      <c r="E711" s="444" t="s">
        <v>287</v>
      </c>
      <c r="F711" s="445" t="s">
        <v>49</v>
      </c>
      <c r="G711" s="446">
        <v>0.77083333333333215</v>
      </c>
      <c r="H711" s="445" t="s">
        <v>285</v>
      </c>
      <c r="I711" s="444">
        <v>61</v>
      </c>
      <c r="J711" s="445" t="s">
        <v>80</v>
      </c>
      <c r="K711" s="447">
        <v>149.07</v>
      </c>
      <c r="L711" s="448">
        <v>5.8</v>
      </c>
      <c r="M711" s="444">
        <v>155</v>
      </c>
      <c r="N711" s="444">
        <v>13</v>
      </c>
      <c r="O711" s="447">
        <v>25.701724137931034</v>
      </c>
      <c r="P711" s="449">
        <v>2.1028622798794778</v>
      </c>
      <c r="Q711" s="447">
        <v>11.466923076923077</v>
      </c>
      <c r="R711" s="447">
        <v>0.96174193548387088</v>
      </c>
      <c r="S711" s="450">
        <v>11.923076923076923</v>
      </c>
      <c r="T711" s="450">
        <v>2.2413793103448278</v>
      </c>
      <c r="U711" s="240">
        <v>2</v>
      </c>
      <c r="V711" s="451">
        <v>1.858974358974359E-2</v>
      </c>
      <c r="W711" s="450" t="s">
        <v>176</v>
      </c>
      <c r="X711" s="447">
        <v>21.385404996263951</v>
      </c>
      <c r="Y711" s="447">
        <v>4.3163191416670834</v>
      </c>
      <c r="Z711" s="452">
        <v>61.895333333333319</v>
      </c>
      <c r="AA711" s="58">
        <f t="shared" ca="1" si="23"/>
        <v>118.74499999999999</v>
      </c>
      <c r="AB711" s="453">
        <f ca="1">Table29[[#This Row],[Earnings]]-Table29[[#This Row],[4-Week Average]]</f>
        <v>30.325000000000003</v>
      </c>
    </row>
    <row r="712" spans="1:28" x14ac:dyDescent="0.35">
      <c r="A712" s="436">
        <v>45787</v>
      </c>
      <c r="B712" s="435">
        <v>2025</v>
      </c>
      <c r="C712" s="435">
        <v>19</v>
      </c>
      <c r="D712" s="435">
        <v>6</v>
      </c>
      <c r="E712" s="435" t="s">
        <v>287</v>
      </c>
      <c r="F712" s="436" t="s">
        <v>51</v>
      </c>
      <c r="G712" s="437">
        <v>0.74999999999999889</v>
      </c>
      <c r="H712" s="436" t="s">
        <v>230</v>
      </c>
      <c r="I712" s="435">
        <v>59</v>
      </c>
      <c r="J712" s="436" t="s">
        <v>82</v>
      </c>
      <c r="K712" s="438">
        <v>96.08</v>
      </c>
      <c r="L712" s="439">
        <v>4.68</v>
      </c>
      <c r="M712" s="435">
        <v>106</v>
      </c>
      <c r="N712" s="435">
        <v>6</v>
      </c>
      <c r="O712" s="438">
        <v>20.529914529914532</v>
      </c>
      <c r="P712" s="440">
        <v>8.6143006968434577E-2</v>
      </c>
      <c r="Q712" s="438">
        <v>16.013333333333332</v>
      </c>
      <c r="R712" s="438">
        <v>0.90641509433962264</v>
      </c>
      <c r="S712" s="441">
        <v>17.666666666666668</v>
      </c>
      <c r="T712" s="441">
        <v>1.2820512820512822</v>
      </c>
      <c r="U712" s="239">
        <v>2</v>
      </c>
      <c r="V712" s="442">
        <v>3.2499999999999994E-2</v>
      </c>
      <c r="W712" s="441" t="s">
        <v>176</v>
      </c>
      <c r="X712" s="438">
        <v>21.645085470085469</v>
      </c>
      <c r="Y712" s="438">
        <v>-1.1151709401709375</v>
      </c>
      <c r="Z712" s="443">
        <v>61.905999999999992</v>
      </c>
      <c r="AA712" s="58">
        <f t="shared" ca="1" si="23"/>
        <v>112.82250000000001</v>
      </c>
      <c r="AB712" s="453">
        <f ca="1">Table29[[#This Row],[Earnings]]-Table29[[#This Row],[4-Week Average]]</f>
        <v>-16.742500000000007</v>
      </c>
    </row>
    <row r="713" spans="1:28" x14ac:dyDescent="0.35">
      <c r="A713" s="445">
        <v>45788</v>
      </c>
      <c r="B713" s="444">
        <v>2025</v>
      </c>
      <c r="C713" s="444">
        <v>19</v>
      </c>
      <c r="D713" s="444">
        <v>6</v>
      </c>
      <c r="E713" s="444" t="s">
        <v>287</v>
      </c>
      <c r="F713" s="445" t="s">
        <v>45</v>
      </c>
      <c r="G713" s="446">
        <v>0.54166666666666585</v>
      </c>
      <c r="H713" s="445" t="s">
        <v>230</v>
      </c>
      <c r="I713" s="444">
        <v>59</v>
      </c>
      <c r="J713" s="445" t="s">
        <v>80</v>
      </c>
      <c r="K713" s="447">
        <v>126.55</v>
      </c>
      <c r="L713" s="448">
        <v>4.88</v>
      </c>
      <c r="M713" s="444">
        <v>76</v>
      </c>
      <c r="N713" s="444">
        <v>10</v>
      </c>
      <c r="O713" s="447">
        <v>25.932377049180328</v>
      </c>
      <c r="P713" s="449">
        <v>4.0517054326856687</v>
      </c>
      <c r="Q713" s="447">
        <v>12.654999999999999</v>
      </c>
      <c r="R713" s="447">
        <v>1.6651315789473684</v>
      </c>
      <c r="S713" s="450">
        <v>7.6</v>
      </c>
      <c r="T713" s="450">
        <v>2.0491803278688523</v>
      </c>
      <c r="U713" s="240">
        <v>2</v>
      </c>
      <c r="V713" s="451">
        <v>2.0333333333333332E-2</v>
      </c>
      <c r="W713" s="450" t="s">
        <v>176</v>
      </c>
      <c r="X713" s="447">
        <v>22.364407354106703</v>
      </c>
      <c r="Y713" s="447">
        <v>3.567969695073625</v>
      </c>
      <c r="Z713" s="452">
        <v>62.129555555555555</v>
      </c>
      <c r="AA713" s="58">
        <f t="shared" ca="1" si="23"/>
        <v>119.43</v>
      </c>
      <c r="AB713" s="453">
        <f ca="1">Table29[[#This Row],[Earnings]]-Table29[[#This Row],[4-Week Average]]</f>
        <v>7.1199999999999903</v>
      </c>
    </row>
    <row r="714" spans="1:28" x14ac:dyDescent="0.35">
      <c r="A714" s="436">
        <v>45789</v>
      </c>
      <c r="B714" s="435">
        <v>2025</v>
      </c>
      <c r="C714" s="435">
        <v>20</v>
      </c>
      <c r="D714" s="435">
        <v>7</v>
      </c>
      <c r="E714" s="435" t="s">
        <v>287</v>
      </c>
      <c r="F714" s="436" t="s">
        <v>46</v>
      </c>
      <c r="G714" s="437">
        <v>0.72916666666666552</v>
      </c>
      <c r="H714" s="436" t="s">
        <v>230</v>
      </c>
      <c r="I714" s="435">
        <v>61</v>
      </c>
      <c r="J714" s="436" t="s">
        <v>80</v>
      </c>
      <c r="K714" s="438">
        <v>71.73</v>
      </c>
      <c r="L714" s="439">
        <v>3.2</v>
      </c>
      <c r="M714" s="435">
        <v>54</v>
      </c>
      <c r="N714" s="435">
        <v>6</v>
      </c>
      <c r="O714" s="438">
        <v>22.415624999999999</v>
      </c>
      <c r="P714" s="440">
        <v>1.1436994870039499</v>
      </c>
      <c r="Q714" s="438">
        <v>11.955</v>
      </c>
      <c r="R714" s="438">
        <v>1.3283333333333334</v>
      </c>
      <c r="S714" s="441">
        <v>9</v>
      </c>
      <c r="T714" s="441">
        <v>1.875</v>
      </c>
      <c r="U714" s="239">
        <v>1</v>
      </c>
      <c r="V714" s="442">
        <v>2.2222222222222223E-2</v>
      </c>
      <c r="W714" s="441" t="s">
        <v>176</v>
      </c>
      <c r="X714" s="438">
        <v>24.725669642857142</v>
      </c>
      <c r="Y714" s="438">
        <v>-2.3100446428571431</v>
      </c>
      <c r="Z714" s="443">
        <v>62.926555555555552</v>
      </c>
      <c r="AA714" s="58">
        <f t="shared" ca="1" si="23"/>
        <v>110.8575</v>
      </c>
      <c r="AB714" s="453">
        <f ca="1">Table29[[#This Row],[Earnings]]-Table29[[#This Row],[4-Week Average]]</f>
        <v>-39.127499999999998</v>
      </c>
    </row>
    <row r="715" spans="1:28" x14ac:dyDescent="0.35">
      <c r="A715" s="445">
        <v>45790</v>
      </c>
      <c r="B715" s="444">
        <v>2025</v>
      </c>
      <c r="C715" s="444">
        <v>20</v>
      </c>
      <c r="D715" s="444">
        <v>7</v>
      </c>
      <c r="E715" s="444" t="s">
        <v>287</v>
      </c>
      <c r="F715" s="445" t="s">
        <v>47</v>
      </c>
      <c r="G715" s="446">
        <v>0.77083333333333215</v>
      </c>
      <c r="H715" s="445" t="s">
        <v>230</v>
      </c>
      <c r="I715" s="444">
        <v>61</v>
      </c>
      <c r="J715" s="445" t="s">
        <v>80</v>
      </c>
      <c r="K715" s="447">
        <v>120.34</v>
      </c>
      <c r="L715" s="448">
        <v>4.53</v>
      </c>
      <c r="M715" s="444">
        <v>96</v>
      </c>
      <c r="N715" s="444">
        <v>12</v>
      </c>
      <c r="O715" s="447">
        <v>26.565121412803531</v>
      </c>
      <c r="P715" s="449">
        <v>5.3127574502613868</v>
      </c>
      <c r="Q715" s="447">
        <v>10.028333333333334</v>
      </c>
      <c r="R715" s="447">
        <v>1.2535416666666668</v>
      </c>
      <c r="S715" s="450">
        <v>8</v>
      </c>
      <c r="T715" s="450">
        <v>2.6490066225165561</v>
      </c>
      <c r="U715" s="240">
        <v>3</v>
      </c>
      <c r="V715" s="451">
        <v>1.5729166666666666E-2</v>
      </c>
      <c r="W715" s="450" t="s">
        <v>176</v>
      </c>
      <c r="X715" s="447">
        <v>24.50145834419704</v>
      </c>
      <c r="Y715" s="447">
        <v>2.0636630686064912</v>
      </c>
      <c r="Z715" s="452">
        <v>64.263666666666666</v>
      </c>
      <c r="AA715" s="58">
        <f t="shared" ca="1" si="23"/>
        <v>103.67500000000001</v>
      </c>
      <c r="AB715" s="453">
        <f ca="1">Table29[[#This Row],[Earnings]]-Table29[[#This Row],[4-Week Average]]</f>
        <v>16.664999999999992</v>
      </c>
    </row>
    <row r="716" spans="1:28" x14ac:dyDescent="0.35">
      <c r="A716" s="436">
        <v>45791</v>
      </c>
      <c r="B716" s="435">
        <v>2025</v>
      </c>
      <c r="C716" s="435">
        <v>20</v>
      </c>
      <c r="D716" s="435">
        <v>7</v>
      </c>
      <c r="E716" s="435" t="s">
        <v>287</v>
      </c>
      <c r="F716" s="436" t="s">
        <v>48</v>
      </c>
      <c r="G716" s="437">
        <v>0.77083333333333215</v>
      </c>
      <c r="H716" s="436" t="s">
        <v>230</v>
      </c>
      <c r="I716" s="435">
        <v>66</v>
      </c>
      <c r="J716" s="436" t="s">
        <v>80</v>
      </c>
      <c r="K716" s="438">
        <v>117.02</v>
      </c>
      <c r="L716" s="439">
        <v>4.78</v>
      </c>
      <c r="M716" s="435">
        <v>101</v>
      </c>
      <c r="N716" s="435">
        <v>12</v>
      </c>
      <c r="O716" s="438">
        <v>24.481171548117153</v>
      </c>
      <c r="P716" s="440">
        <v>1.548708740924333</v>
      </c>
      <c r="Q716" s="438">
        <v>9.7516666666666669</v>
      </c>
      <c r="R716" s="438">
        <v>1.1586138613861385</v>
      </c>
      <c r="S716" s="441">
        <v>8.4166666666666661</v>
      </c>
      <c r="T716" s="441">
        <v>2.510460251046025</v>
      </c>
      <c r="U716" s="239">
        <v>2</v>
      </c>
      <c r="V716" s="442">
        <v>1.6597222222222225E-2</v>
      </c>
      <c r="W716" s="441" t="s">
        <v>176</v>
      </c>
      <c r="X716" s="438">
        <v>24.268423200414826</v>
      </c>
      <c r="Y716" s="438">
        <v>0.21274834770232687</v>
      </c>
      <c r="Z716" s="443">
        <v>64.551111111111112</v>
      </c>
      <c r="AA716" s="58">
        <f t="shared" ca="1" si="23"/>
        <v>108.91</v>
      </c>
      <c r="AB716" s="453">
        <f ca="1">Table29[[#This Row],[Earnings]]-Table29[[#This Row],[4-Week Average]]</f>
        <v>8.11</v>
      </c>
    </row>
    <row r="717" spans="1:28" x14ac:dyDescent="0.35">
      <c r="A717" s="445">
        <v>45793</v>
      </c>
      <c r="B717" s="444">
        <v>2025</v>
      </c>
      <c r="C717" s="444">
        <v>20</v>
      </c>
      <c r="D717" s="444">
        <v>7</v>
      </c>
      <c r="E717" s="444" t="s">
        <v>287</v>
      </c>
      <c r="F717" s="445" t="s">
        <v>50</v>
      </c>
      <c r="G717" s="446">
        <v>0.72916666666666552</v>
      </c>
      <c r="H717" s="445" t="s">
        <v>249</v>
      </c>
      <c r="I717" s="444">
        <v>68</v>
      </c>
      <c r="J717" s="445" t="s">
        <v>80</v>
      </c>
      <c r="K717" s="447">
        <v>151.47</v>
      </c>
      <c r="L717" s="448">
        <v>7.08</v>
      </c>
      <c r="M717" s="444">
        <v>159</v>
      </c>
      <c r="N717" s="444">
        <v>17</v>
      </c>
      <c r="O717" s="447">
        <v>21.39406779661017</v>
      </c>
      <c r="P717" s="449">
        <v>-3.2355157718090908</v>
      </c>
      <c r="Q717" s="447">
        <v>8.91</v>
      </c>
      <c r="R717" s="447">
        <v>0.95264150943396231</v>
      </c>
      <c r="S717" s="450">
        <v>9.3529411764705888</v>
      </c>
      <c r="T717" s="450">
        <v>2.4011299435028248</v>
      </c>
      <c r="U717" s="240">
        <v>1</v>
      </c>
      <c r="V717" s="451">
        <v>1.7352941176470588E-2</v>
      </c>
      <c r="W717" s="450" t="s">
        <v>176</v>
      </c>
      <c r="X717" s="447">
        <v>26.162300455424486</v>
      </c>
      <c r="Y717" s="447">
        <v>-4.7682326588143162</v>
      </c>
      <c r="Z717" s="452">
        <v>65.52011111111112</v>
      </c>
      <c r="AA717" s="58">
        <f t="shared" ca="1" si="23"/>
        <v>115.13999999999999</v>
      </c>
      <c r="AB717" s="453">
        <f ca="1">Table29[[#This Row],[Earnings]]-Table29[[#This Row],[4-Week Average]]</f>
        <v>36.330000000000013</v>
      </c>
    </row>
    <row r="718" spans="1:28" x14ac:dyDescent="0.35">
      <c r="A718" s="436">
        <v>45794</v>
      </c>
      <c r="B718" s="435">
        <v>2025</v>
      </c>
      <c r="C718" s="435">
        <v>20</v>
      </c>
      <c r="D718" s="435">
        <v>7</v>
      </c>
      <c r="E718" s="435" t="s">
        <v>287</v>
      </c>
      <c r="F718" s="436" t="s">
        <v>51</v>
      </c>
      <c r="G718" s="437">
        <v>0.70833333333333226</v>
      </c>
      <c r="H718" s="436" t="s">
        <v>325</v>
      </c>
      <c r="I718" s="435">
        <v>55</v>
      </c>
      <c r="J718" s="436" t="s">
        <v>82</v>
      </c>
      <c r="K718" s="438">
        <v>134.81</v>
      </c>
      <c r="L718" s="439">
        <v>5.53</v>
      </c>
      <c r="M718" s="435">
        <v>91</v>
      </c>
      <c r="N718" s="435">
        <v>15</v>
      </c>
      <c r="O718" s="438">
        <v>24.377938517179022</v>
      </c>
      <c r="P718" s="440">
        <v>3.9126312424908143</v>
      </c>
      <c r="Q718" s="438">
        <v>8.9873333333333338</v>
      </c>
      <c r="R718" s="438">
        <v>1.4814285714285715</v>
      </c>
      <c r="S718" s="441">
        <v>6.0666666666666664</v>
      </c>
      <c r="T718" s="441">
        <v>2.7124773960216997</v>
      </c>
      <c r="U718" s="239">
        <v>2</v>
      </c>
      <c r="V718" s="442">
        <v>1.5361111111111112E-2</v>
      </c>
      <c r="W718" s="441" t="s">
        <v>176</v>
      </c>
      <c r="X718" s="438">
        <v>24.377938517179022</v>
      </c>
      <c r="Y718" s="438">
        <v>0</v>
      </c>
      <c r="Z718" s="443">
        <v>67.018000000000015</v>
      </c>
      <c r="AA718" s="58">
        <f t="shared" ca="1" si="23"/>
        <v>130.91000000000003</v>
      </c>
      <c r="AB718" s="453">
        <f ca="1">Table29[[#This Row],[Earnings]]-Table29[[#This Row],[4-Week Average]]</f>
        <v>3.8999999999999773</v>
      </c>
    </row>
    <row r="719" spans="1:28" x14ac:dyDescent="0.35">
      <c r="A719" s="445">
        <v>45797</v>
      </c>
      <c r="B719" s="444">
        <v>2025</v>
      </c>
      <c r="C719" s="444">
        <v>21</v>
      </c>
      <c r="D719" s="444">
        <v>8</v>
      </c>
      <c r="E719" s="444" t="s">
        <v>287</v>
      </c>
      <c r="F719" s="445" t="s">
        <v>47</v>
      </c>
      <c r="G719" s="446">
        <v>0.72916666666666552</v>
      </c>
      <c r="H719" s="445" t="s">
        <v>231</v>
      </c>
      <c r="I719" s="444">
        <v>54</v>
      </c>
      <c r="J719" s="445" t="s">
        <v>80</v>
      </c>
      <c r="K719" s="447">
        <v>109.16</v>
      </c>
      <c r="L719" s="448">
        <v>5.0999999999999996</v>
      </c>
      <c r="M719" s="444">
        <v>104</v>
      </c>
      <c r="N719" s="444">
        <v>9</v>
      </c>
      <c r="O719" s="447">
        <v>21.403921568627453</v>
      </c>
      <c r="P719" s="449">
        <v>-0.1804897345560299</v>
      </c>
      <c r="Q719" s="447">
        <v>12.128888888888888</v>
      </c>
      <c r="R719" s="447">
        <v>1.0496153846153846</v>
      </c>
      <c r="S719" s="450">
        <v>11.555555555555555</v>
      </c>
      <c r="T719" s="450">
        <v>1.7647058823529413</v>
      </c>
      <c r="U719" s="240">
        <v>2</v>
      </c>
      <c r="V719" s="451">
        <v>2.361111111111111E-2</v>
      </c>
      <c r="W719" s="450" t="s">
        <v>176</v>
      </c>
      <c r="X719" s="447">
        <v>21.403921568627453</v>
      </c>
      <c r="Y719" s="447">
        <v>0</v>
      </c>
      <c r="Z719" s="452">
        <v>67.041777777777796</v>
      </c>
      <c r="AA719" s="58">
        <f t="shared" ca="1" si="23"/>
        <v>128.11500000000001</v>
      </c>
      <c r="AB719" s="453">
        <f ca="1">Table29[[#This Row],[Earnings]]-Table29[[#This Row],[4-Week Average]]</f>
        <v>-18.955000000000013</v>
      </c>
    </row>
    <row r="720" spans="1:28" x14ac:dyDescent="0.35">
      <c r="A720" s="436">
        <v>45798</v>
      </c>
      <c r="B720" s="435">
        <v>2025</v>
      </c>
      <c r="C720" s="435">
        <v>21</v>
      </c>
      <c r="D720" s="435">
        <v>8</v>
      </c>
      <c r="E720" s="435" t="s">
        <v>287</v>
      </c>
      <c r="F720" s="436" t="s">
        <v>48</v>
      </c>
      <c r="G720" s="437">
        <v>0.77083333333333215</v>
      </c>
      <c r="H720" s="436" t="s">
        <v>231</v>
      </c>
      <c r="I720" s="435">
        <v>52</v>
      </c>
      <c r="J720" s="436" t="s">
        <v>174</v>
      </c>
      <c r="K720" s="438">
        <v>85.78</v>
      </c>
      <c r="L720" s="439">
        <v>5.0199999999999996</v>
      </c>
      <c r="M720" s="435">
        <v>142</v>
      </c>
      <c r="N720" s="435">
        <v>8</v>
      </c>
      <c r="O720" s="438">
        <v>17.08764940239044</v>
      </c>
      <c r="P720" s="440">
        <v>2.3391113906945336</v>
      </c>
      <c r="Q720" s="438">
        <v>10.7225</v>
      </c>
      <c r="R720" s="438">
        <v>0.60408450704225358</v>
      </c>
      <c r="S720" s="441">
        <v>17.75</v>
      </c>
      <c r="T720" s="441">
        <v>1.5936254980079683</v>
      </c>
      <c r="U720" s="239">
        <v>2</v>
      </c>
      <c r="V720" s="442">
        <v>2.614583333333333E-2</v>
      </c>
      <c r="W720" s="441" t="s">
        <v>175</v>
      </c>
      <c r="X720" s="438">
        <v>18.639610141808248</v>
      </c>
      <c r="Y720" s="438">
        <v>-1.5519607394178081</v>
      </c>
      <c r="Z720" s="443">
        <v>66.893333333333345</v>
      </c>
      <c r="AA720" s="58">
        <f t="shared" ca="1" si="23"/>
        <v>120.30499999999998</v>
      </c>
      <c r="AB720" s="453">
        <f ca="1">Table29[[#This Row],[Earnings]]-Table29[[#This Row],[4-Week Average]]</f>
        <v>-34.524999999999977</v>
      </c>
    </row>
    <row r="721" spans="1:28" x14ac:dyDescent="0.35">
      <c r="A721" s="445">
        <v>45799</v>
      </c>
      <c r="B721" s="444">
        <v>2025</v>
      </c>
      <c r="C721" s="444">
        <v>21</v>
      </c>
      <c r="D721" s="444">
        <v>8</v>
      </c>
      <c r="E721" s="444" t="s">
        <v>287</v>
      </c>
      <c r="F721" s="445" t="s">
        <v>49</v>
      </c>
      <c r="G721" s="446">
        <v>0.72916666666666552</v>
      </c>
      <c r="H721" s="445" t="s">
        <v>231</v>
      </c>
      <c r="I721" s="444">
        <v>50</v>
      </c>
      <c r="J721" s="445" t="s">
        <v>80</v>
      </c>
      <c r="K721" s="447">
        <v>119.87</v>
      </c>
      <c r="L721" s="448">
        <v>5.53</v>
      </c>
      <c r="M721" s="444">
        <v>162</v>
      </c>
      <c r="N721" s="444">
        <v>7</v>
      </c>
      <c r="O721" s="447">
        <v>21.67631103074141</v>
      </c>
      <c r="P721" s="449">
        <v>-2.039376509525674</v>
      </c>
      <c r="Q721" s="447">
        <v>17.124285714285715</v>
      </c>
      <c r="R721" s="447">
        <v>0.7399382716049383</v>
      </c>
      <c r="S721" s="450">
        <v>23.142857142857142</v>
      </c>
      <c r="T721" s="450">
        <v>1.2658227848101264</v>
      </c>
      <c r="U721" s="240">
        <v>2</v>
      </c>
      <c r="V721" s="451">
        <v>3.291666666666667E-2</v>
      </c>
      <c r="W721" s="450" t="s">
        <v>176</v>
      </c>
      <c r="X721" s="447">
        <v>19.770465325238188</v>
      </c>
      <c r="Y721" s="447">
        <v>1.9058457055032214</v>
      </c>
      <c r="Z721" s="452">
        <v>65.904555555555561</v>
      </c>
      <c r="AA721" s="58">
        <f t="shared" ca="1" si="23"/>
        <v>112.405</v>
      </c>
      <c r="AB721" s="453">
        <f ca="1">Table29[[#This Row],[Earnings]]-Table29[[#This Row],[4-Week Average]]</f>
        <v>7.4650000000000034</v>
      </c>
    </row>
    <row r="722" spans="1:28" x14ac:dyDescent="0.35">
      <c r="A722" s="436">
        <v>45803</v>
      </c>
      <c r="B722" s="435">
        <v>2025</v>
      </c>
      <c r="C722" s="435">
        <v>22</v>
      </c>
      <c r="D722" s="435">
        <v>9</v>
      </c>
      <c r="E722" s="435" t="s">
        <v>287</v>
      </c>
      <c r="F722" s="436" t="s">
        <v>46</v>
      </c>
      <c r="G722" s="437">
        <v>0.49999999999999922</v>
      </c>
      <c r="H722" s="436" t="s">
        <v>249</v>
      </c>
      <c r="I722" s="435">
        <v>72</v>
      </c>
      <c r="J722" s="436" t="s">
        <v>80</v>
      </c>
      <c r="K722" s="438">
        <v>118.05</v>
      </c>
      <c r="L722" s="439">
        <v>5.75</v>
      </c>
      <c r="M722" s="435">
        <v>143</v>
      </c>
      <c r="N722" s="435">
        <v>10</v>
      </c>
      <c r="O722" s="438">
        <v>20.530434782608694</v>
      </c>
      <c r="P722" s="440">
        <v>-0.82946761400304325</v>
      </c>
      <c r="Q722" s="438">
        <v>11.805</v>
      </c>
      <c r="R722" s="438">
        <v>0.8255244755244755</v>
      </c>
      <c r="S722" s="441">
        <v>14.3</v>
      </c>
      <c r="T722" s="441">
        <v>1.7391304347826086</v>
      </c>
      <c r="U722" s="239">
        <v>3</v>
      </c>
      <c r="V722" s="442">
        <v>2.3958333333333331E-2</v>
      </c>
      <c r="W722" s="441" t="s">
        <v>176</v>
      </c>
      <c r="X722" s="438">
        <v>18.734097495073303</v>
      </c>
      <c r="Y722" s="438">
        <v>1.7963372875353905</v>
      </c>
      <c r="Z722" s="443">
        <v>64.528555555555556</v>
      </c>
      <c r="AA722" s="58">
        <f t="shared" ca="1" si="23"/>
        <v>108.215</v>
      </c>
      <c r="AB722" s="453">
        <f ca="1">Table29[[#This Row],[Earnings]]-Table29[[#This Row],[4-Week Average]]</f>
        <v>9.8349999999999937</v>
      </c>
    </row>
    <row r="723" spans="1:28" x14ac:dyDescent="0.35">
      <c r="A723" s="445">
        <v>45804</v>
      </c>
      <c r="B723" s="444">
        <v>2025</v>
      </c>
      <c r="C723" s="444">
        <v>22</v>
      </c>
      <c r="D723" s="444">
        <v>9</v>
      </c>
      <c r="E723" s="444" t="s">
        <v>287</v>
      </c>
      <c r="F723" s="445" t="s">
        <v>47</v>
      </c>
      <c r="G723" s="446">
        <v>0.77083333333333215</v>
      </c>
      <c r="H723" s="445" t="s">
        <v>249</v>
      </c>
      <c r="I723" s="444">
        <v>73</v>
      </c>
      <c r="J723" s="445" t="s">
        <v>80</v>
      </c>
      <c r="K723" s="447">
        <v>102.93</v>
      </c>
      <c r="L723" s="448">
        <v>5.0199999999999996</v>
      </c>
      <c r="M723" s="444">
        <v>120</v>
      </c>
      <c r="N723" s="444">
        <v>7</v>
      </c>
      <c r="O723" s="447">
        <v>20.503984063745023</v>
      </c>
      <c r="P723" s="449">
        <v>-1.0698101962292839</v>
      </c>
      <c r="Q723" s="447">
        <v>14.704285714285716</v>
      </c>
      <c r="R723" s="447">
        <v>0.85775000000000001</v>
      </c>
      <c r="S723" s="450">
        <v>17.142857142857142</v>
      </c>
      <c r="T723" s="450">
        <v>1.3944223107569722</v>
      </c>
      <c r="U723" s="240">
        <v>2</v>
      </c>
      <c r="V723" s="451">
        <v>2.988095238095238E-2</v>
      </c>
      <c r="W723" s="450" t="s">
        <v>176</v>
      </c>
      <c r="X723" s="447">
        <v>20.188057605643003</v>
      </c>
      <c r="Y723" s="447">
        <v>0.31592645810201958</v>
      </c>
      <c r="Z723" s="452">
        <v>64.23533333333333</v>
      </c>
      <c r="AA723" s="58">
        <f t="shared" ca="1" si="23"/>
        <v>106.6575</v>
      </c>
      <c r="AB723" s="453">
        <f ca="1">Table29[[#This Row],[Earnings]]-Table29[[#This Row],[4-Week Average]]</f>
        <v>-3.727499999999992</v>
      </c>
    </row>
    <row r="724" spans="1:28" x14ac:dyDescent="0.35">
      <c r="A724" s="436">
        <v>45805</v>
      </c>
      <c r="B724" s="435">
        <v>2025</v>
      </c>
      <c r="C724" s="435">
        <v>22</v>
      </c>
      <c r="D724" s="435">
        <v>9</v>
      </c>
      <c r="E724" s="435" t="s">
        <v>287</v>
      </c>
      <c r="F724" s="436" t="s">
        <v>48</v>
      </c>
      <c r="G724" s="437">
        <v>0.79166666666666541</v>
      </c>
      <c r="H724" s="436" t="s">
        <v>230</v>
      </c>
      <c r="I724" s="435">
        <v>72</v>
      </c>
      <c r="J724" s="436" t="s">
        <v>85</v>
      </c>
      <c r="K724" s="438">
        <v>134.23000000000002</v>
      </c>
      <c r="L724" s="439">
        <v>5.77</v>
      </c>
      <c r="M724" s="435">
        <v>147</v>
      </c>
      <c r="N724" s="435">
        <v>11</v>
      </c>
      <c r="O724" s="438">
        <v>23.26343154246101</v>
      </c>
      <c r="P724" s="440">
        <v>4.5485449040423056</v>
      </c>
      <c r="Q724" s="438">
        <v>12.202727272727275</v>
      </c>
      <c r="R724" s="438">
        <v>0.91312925170068038</v>
      </c>
      <c r="S724" s="441">
        <v>13.363636363636363</v>
      </c>
      <c r="T724" s="441">
        <v>1.906412478336222</v>
      </c>
      <c r="U724" s="239">
        <v>2</v>
      </c>
      <c r="V724" s="442">
        <v>2.1856060606060605E-2</v>
      </c>
      <c r="W724" s="441" t="s">
        <v>176</v>
      </c>
      <c r="X724" s="438">
        <v>21.882177824775361</v>
      </c>
      <c r="Y724" s="438">
        <v>1.3812537176856488</v>
      </c>
      <c r="Z724" s="443">
        <v>65.72677777777777</v>
      </c>
      <c r="AA724" s="58">
        <f t="shared" ca="1" si="23"/>
        <v>118.77000000000001</v>
      </c>
      <c r="AB724" s="453">
        <f ca="1">Table29[[#This Row],[Earnings]]-Table29[[#This Row],[4-Week Average]]</f>
        <v>15.460000000000008</v>
      </c>
    </row>
    <row r="725" spans="1:28" x14ac:dyDescent="0.35">
      <c r="A725" s="445">
        <v>45806</v>
      </c>
      <c r="B725" s="444">
        <v>2025</v>
      </c>
      <c r="C725" s="444">
        <v>22</v>
      </c>
      <c r="D725" s="444">
        <v>9</v>
      </c>
      <c r="E725" s="444" t="s">
        <v>287</v>
      </c>
      <c r="F725" s="445" t="s">
        <v>49</v>
      </c>
      <c r="G725" s="446">
        <v>0.77083333333333215</v>
      </c>
      <c r="H725" s="445" t="s">
        <v>249</v>
      </c>
      <c r="I725" s="444">
        <v>73</v>
      </c>
      <c r="J725" s="445" t="s">
        <v>80</v>
      </c>
      <c r="K725" s="447">
        <v>94.79</v>
      </c>
      <c r="L725" s="448">
        <v>4.82</v>
      </c>
      <c r="M725" s="444">
        <v>108</v>
      </c>
      <c r="N725" s="444">
        <v>7</v>
      </c>
      <c r="O725" s="447">
        <v>19.665975103734439</v>
      </c>
      <c r="P725" s="449">
        <v>-3.9423768307681364</v>
      </c>
      <c r="Q725" s="447">
        <v>13.541428571428572</v>
      </c>
      <c r="R725" s="447">
        <v>0.87768518518518523</v>
      </c>
      <c r="S725" s="450">
        <v>15.428571428571429</v>
      </c>
      <c r="T725" s="450">
        <v>1.4522821576763485</v>
      </c>
      <c r="U725" s="240">
        <v>1</v>
      </c>
      <c r="V725" s="451">
        <v>2.8690476190476193E-2</v>
      </c>
      <c r="W725" s="450" t="s">
        <v>176</v>
      </c>
      <c r="X725" s="447">
        <v>23.93154089725601</v>
      </c>
      <c r="Y725" s="447">
        <v>-4.2655657935215707</v>
      </c>
      <c r="Z725" s="452">
        <v>66.78</v>
      </c>
      <c r="AA725" s="58">
        <f t="shared" ca="1" si="23"/>
        <v>112.50000000000001</v>
      </c>
      <c r="AB725" s="453">
        <f ca="1">Table29[[#This Row],[Earnings]]-Table29[[#This Row],[4-Week Average]]</f>
        <v>-17.710000000000008</v>
      </c>
    </row>
    <row r="726" spans="1:28" x14ac:dyDescent="0.35">
      <c r="A726" s="436">
        <v>45807</v>
      </c>
      <c r="B726" s="435">
        <v>2025</v>
      </c>
      <c r="C726" s="435">
        <v>22</v>
      </c>
      <c r="D726" s="435">
        <v>9</v>
      </c>
      <c r="E726" s="435" t="s">
        <v>287</v>
      </c>
      <c r="F726" s="436" t="s">
        <v>50</v>
      </c>
      <c r="G726" s="437">
        <v>0.74999999999999889</v>
      </c>
      <c r="H726" s="436" t="s">
        <v>249</v>
      </c>
      <c r="I726" s="435">
        <v>70</v>
      </c>
      <c r="J726" s="436" t="s">
        <v>80</v>
      </c>
      <c r="K726" s="438">
        <v>144.34</v>
      </c>
      <c r="L726" s="439">
        <v>6.73</v>
      </c>
      <c r="M726" s="435">
        <v>127</v>
      </c>
      <c r="N726" s="435">
        <v>14</v>
      </c>
      <c r="O726" s="438">
        <v>21.447251114413074</v>
      </c>
      <c r="P726" s="440">
        <v>-3.0025815777945688</v>
      </c>
      <c r="Q726" s="438">
        <v>10.31</v>
      </c>
      <c r="R726" s="438">
        <v>1.1365354330708661</v>
      </c>
      <c r="S726" s="441">
        <v>9.0714285714285712</v>
      </c>
      <c r="T726" s="441">
        <v>2.0802377414561661</v>
      </c>
      <c r="U726" s="239">
        <v>2</v>
      </c>
      <c r="V726" s="442">
        <v>2.0029761904761908E-2</v>
      </c>
      <c r="W726" s="441" t="s">
        <v>176</v>
      </c>
      <c r="X726" s="438">
        <v>22.313396922264502</v>
      </c>
      <c r="Y726" s="438">
        <v>-0.86614580785142792</v>
      </c>
      <c r="Z726" s="443">
        <v>66.789333333333332</v>
      </c>
      <c r="AA726" s="58">
        <f t="shared" ca="1" si="23"/>
        <v>119.07250000000002</v>
      </c>
      <c r="AB726" s="453">
        <f ca="1">Table29[[#This Row],[Earnings]]-Table29[[#This Row],[4-Week Average]]</f>
        <v>25.267499999999984</v>
      </c>
    </row>
    <row r="727" spans="1:28" x14ac:dyDescent="0.35">
      <c r="A727" s="445">
        <v>45809</v>
      </c>
      <c r="B727" s="444">
        <v>2025</v>
      </c>
      <c r="C727" s="444">
        <v>22</v>
      </c>
      <c r="D727" s="444">
        <v>9</v>
      </c>
      <c r="E727" s="444" t="s">
        <v>287</v>
      </c>
      <c r="F727" s="445" t="s">
        <v>45</v>
      </c>
      <c r="G727" s="446">
        <v>0.74999999999999889</v>
      </c>
      <c r="H727" s="445" t="s">
        <v>249</v>
      </c>
      <c r="I727" s="444">
        <v>61</v>
      </c>
      <c r="J727" s="445" t="s">
        <v>80</v>
      </c>
      <c r="K727" s="447">
        <v>67.169999999999987</v>
      </c>
      <c r="L727" s="448">
        <v>3.6</v>
      </c>
      <c r="M727" s="444">
        <v>64</v>
      </c>
      <c r="N727" s="444">
        <v>9</v>
      </c>
      <c r="O727" s="447">
        <v>18.658333333333328</v>
      </c>
      <c r="P727" s="449">
        <v>-3.8976225219422744</v>
      </c>
      <c r="Q727" s="447">
        <v>7.463333333333332</v>
      </c>
      <c r="R727" s="447">
        <v>1.0495312499999998</v>
      </c>
      <c r="S727" s="450">
        <v>7.1111111111111107</v>
      </c>
      <c r="T727" s="450">
        <v>2.5</v>
      </c>
      <c r="U727" s="240">
        <v>3</v>
      </c>
      <c r="V727" s="451">
        <v>1.6666666666666666E-2</v>
      </c>
      <c r="W727" s="450" t="s">
        <v>175</v>
      </c>
      <c r="X727" s="447">
        <v>18.334880952380949</v>
      </c>
      <c r="Y727" s="447">
        <v>0.3234523809523786</v>
      </c>
      <c r="Z727" s="452">
        <v>65.937111111111122</v>
      </c>
      <c r="AA727" s="58">
        <f t="shared" ca="1" si="23"/>
        <v>110.13249999999999</v>
      </c>
      <c r="AB727" s="453">
        <f ca="1">Table29[[#This Row],[Earnings]]-Table29[[#This Row],[4-Week Average]]</f>
        <v>-42.962500000000006</v>
      </c>
    </row>
    <row r="728" spans="1:28" x14ac:dyDescent="0.35">
      <c r="A728" s="436">
        <v>45810</v>
      </c>
      <c r="B728" s="435">
        <v>2025</v>
      </c>
      <c r="C728" s="435">
        <v>23</v>
      </c>
      <c r="D728" s="435">
        <v>10</v>
      </c>
      <c r="E728" s="435" t="s">
        <v>287</v>
      </c>
      <c r="F728" s="436" t="s">
        <v>46</v>
      </c>
      <c r="G728" s="437">
        <v>0.74999999999999889</v>
      </c>
      <c r="H728" s="436" t="s">
        <v>249</v>
      </c>
      <c r="I728" s="435">
        <v>63</v>
      </c>
      <c r="J728" s="436" t="s">
        <v>80</v>
      </c>
      <c r="K728" s="438">
        <v>101.22</v>
      </c>
      <c r="L728" s="439">
        <v>4.03</v>
      </c>
      <c r="M728" s="435">
        <v>101</v>
      </c>
      <c r="N728" s="435">
        <v>7</v>
      </c>
      <c r="O728" s="438">
        <v>25.116625310173696</v>
      </c>
      <c r="P728" s="440">
        <v>3.8159706002764651</v>
      </c>
      <c r="Q728" s="438">
        <v>14.459999999999999</v>
      </c>
      <c r="R728" s="438">
        <v>1.0021782178217822</v>
      </c>
      <c r="S728" s="441">
        <v>14.428571428571429</v>
      </c>
      <c r="T728" s="441">
        <v>1.7369727047146402</v>
      </c>
      <c r="U728" s="239">
        <v>1</v>
      </c>
      <c r="V728" s="442">
        <v>2.3988095238095239E-2</v>
      </c>
      <c r="W728" s="441" t="s">
        <v>175</v>
      </c>
      <c r="X728" s="438">
        <v>22.182309988289532</v>
      </c>
      <c r="Y728" s="438">
        <v>2.9343153218841636</v>
      </c>
      <c r="Z728" s="443">
        <v>66.070111111111132</v>
      </c>
      <c r="AA728" s="58">
        <f t="shared" ca="1" si="23"/>
        <v>101.88</v>
      </c>
      <c r="AB728" s="453">
        <f ca="1">Table29[[#This Row],[Earnings]]-Table29[[#This Row],[4-Week Average]]</f>
        <v>-0.65999999999999659</v>
      </c>
    </row>
    <row r="729" spans="1:28" x14ac:dyDescent="0.35">
      <c r="A729" s="445">
        <v>45811</v>
      </c>
      <c r="B729" s="444">
        <v>2025</v>
      </c>
      <c r="C729" s="444">
        <v>23</v>
      </c>
      <c r="D729" s="444">
        <v>10</v>
      </c>
      <c r="E729" s="444" t="s">
        <v>287</v>
      </c>
      <c r="F729" s="445" t="s">
        <v>47</v>
      </c>
      <c r="G729" s="446">
        <v>0.77083333333333215</v>
      </c>
      <c r="H729" s="445" t="s">
        <v>281</v>
      </c>
      <c r="I729" s="444">
        <v>70</v>
      </c>
      <c r="J729" s="445" t="s">
        <v>80</v>
      </c>
      <c r="K729" s="447">
        <v>114.21000000000001</v>
      </c>
      <c r="L729" s="448">
        <v>4.47</v>
      </c>
      <c r="M729" s="444">
        <v>110</v>
      </c>
      <c r="N729" s="444">
        <v>7</v>
      </c>
      <c r="O729" s="447">
        <v>25.550335570469802</v>
      </c>
      <c r="P729" s="449">
        <v>4.0359752102860114</v>
      </c>
      <c r="Q729" s="447">
        <v>16.315714285714286</v>
      </c>
      <c r="R729" s="447">
        <v>1.0382727272727272</v>
      </c>
      <c r="S729" s="450">
        <v>15.714285714285714</v>
      </c>
      <c r="T729" s="450">
        <v>1.5659955257270695</v>
      </c>
      <c r="U729" s="240">
        <v>2</v>
      </c>
      <c r="V729" s="451">
        <v>2.6607142857142857E-2</v>
      </c>
      <c r="W729" s="450" t="s">
        <v>175</v>
      </c>
      <c r="X729" s="447">
        <v>25.132141780506764</v>
      </c>
      <c r="Y729" s="447">
        <v>0.41819378996303769</v>
      </c>
      <c r="Z729" s="452">
        <v>67.339111111111123</v>
      </c>
      <c r="AA729" s="58">
        <f t="shared" ca="1" si="23"/>
        <v>106.73500000000001</v>
      </c>
      <c r="AB729" s="453">
        <f ca="1">Table29[[#This Row],[Earnings]]-Table29[[#This Row],[4-Week Average]]</f>
        <v>7.4749999999999943</v>
      </c>
    </row>
    <row r="730" spans="1:28" x14ac:dyDescent="0.35">
      <c r="A730" s="436">
        <v>45812</v>
      </c>
      <c r="B730" s="435">
        <v>2025</v>
      </c>
      <c r="C730" s="435">
        <v>23</v>
      </c>
      <c r="D730" s="435">
        <v>10</v>
      </c>
      <c r="E730" s="435" t="s">
        <v>287</v>
      </c>
      <c r="F730" s="436" t="s">
        <v>48</v>
      </c>
      <c r="G730" s="437">
        <v>0.74999999999999889</v>
      </c>
      <c r="H730" s="436" t="s">
        <v>281</v>
      </c>
      <c r="I730" s="435">
        <v>75</v>
      </c>
      <c r="J730" s="436" t="s">
        <v>82</v>
      </c>
      <c r="K730" s="438">
        <v>109.59</v>
      </c>
      <c r="L730" s="439">
        <v>4.83</v>
      </c>
      <c r="M730" s="435">
        <v>76</v>
      </c>
      <c r="N730" s="435">
        <v>12</v>
      </c>
      <c r="O730" s="438">
        <v>22.689440993788821</v>
      </c>
      <c r="P730" s="440">
        <v>4.2381983772221972</v>
      </c>
      <c r="Q730" s="438">
        <v>9.1325000000000003</v>
      </c>
      <c r="R730" s="438">
        <v>1.4419736842105264</v>
      </c>
      <c r="S730" s="441">
        <v>6.333333333333333</v>
      </c>
      <c r="T730" s="441">
        <v>2.4844720496894408</v>
      </c>
      <c r="U730" s="239">
        <v>2</v>
      </c>
      <c r="V730" s="442">
        <v>1.6770833333333336E-2</v>
      </c>
      <c r="W730" s="441" t="s">
        <v>176</v>
      </c>
      <c r="X730" s="438">
        <v>18.692679503627101</v>
      </c>
      <c r="Y730" s="438">
        <v>3.9967614901617203</v>
      </c>
      <c r="Z730" s="443">
        <v>68.556777777777796</v>
      </c>
      <c r="AA730" s="58">
        <f t="shared" ca="1" si="23"/>
        <v>98.047500000000014</v>
      </c>
      <c r="AB730" s="453">
        <f ca="1">Table29[[#This Row],[Earnings]]-Table29[[#This Row],[4-Week Average]]</f>
        <v>11.54249999999999</v>
      </c>
    </row>
    <row r="731" spans="1:28" x14ac:dyDescent="0.35">
      <c r="A731" s="445">
        <v>45814</v>
      </c>
      <c r="B731" s="444">
        <v>2025</v>
      </c>
      <c r="C731" s="444">
        <v>23</v>
      </c>
      <c r="D731" s="444">
        <v>10</v>
      </c>
      <c r="E731" s="444" t="s">
        <v>287</v>
      </c>
      <c r="F731" s="445" t="s">
        <v>50</v>
      </c>
      <c r="G731" s="446">
        <v>0.74999999999999889</v>
      </c>
      <c r="H731" s="445" t="s">
        <v>325</v>
      </c>
      <c r="I731" s="444">
        <v>68</v>
      </c>
      <c r="J731" s="445" t="s">
        <v>82</v>
      </c>
      <c r="K731" s="447">
        <v>90.32</v>
      </c>
      <c r="L731" s="448">
        <v>4.97</v>
      </c>
      <c r="M731" s="444">
        <v>74</v>
      </c>
      <c r="N731" s="444">
        <v>14</v>
      </c>
      <c r="O731" s="447">
        <v>18.173038229376257</v>
      </c>
      <c r="P731" s="449">
        <v>-0.24384759577056059</v>
      </c>
      <c r="Q731" s="447">
        <v>6.4514285714285711</v>
      </c>
      <c r="R731" s="447">
        <v>1.2205405405405405</v>
      </c>
      <c r="S731" s="450">
        <v>5.2857142857142856</v>
      </c>
      <c r="T731" s="450">
        <v>2.8169014084507045</v>
      </c>
      <c r="U731" s="240">
        <v>2</v>
      </c>
      <c r="V731" s="451">
        <v>1.4791666666666667E-2</v>
      </c>
      <c r="W731" s="450" t="s">
        <v>176</v>
      </c>
      <c r="X731" s="447">
        <v>20.101809097414456</v>
      </c>
      <c r="Y731" s="447">
        <v>-1.9287708680381996</v>
      </c>
      <c r="Z731" s="452">
        <v>67.918333333333337</v>
      </c>
      <c r="AA731" s="58">
        <f t="shared" ca="1" si="23"/>
        <v>103.83499999999999</v>
      </c>
      <c r="AB731" s="453">
        <f ca="1">Table29[[#This Row],[Earnings]]-Table29[[#This Row],[4-Week Average]]</f>
        <v>-13.515000000000001</v>
      </c>
    </row>
    <row r="732" spans="1:28" x14ac:dyDescent="0.35">
      <c r="A732" s="436">
        <v>45815</v>
      </c>
      <c r="B732" s="435">
        <v>2025</v>
      </c>
      <c r="C732" s="435">
        <v>23</v>
      </c>
      <c r="D732" s="435">
        <v>10</v>
      </c>
      <c r="E732" s="435" t="s">
        <v>287</v>
      </c>
      <c r="F732" s="436" t="s">
        <v>51</v>
      </c>
      <c r="G732" s="437">
        <v>0.52083333333333248</v>
      </c>
      <c r="H732" s="436" t="s">
        <v>230</v>
      </c>
      <c r="I732" s="435">
        <v>68</v>
      </c>
      <c r="J732" s="436" t="s">
        <v>80</v>
      </c>
      <c r="K732" s="438">
        <v>137.93</v>
      </c>
      <c r="L732" s="439">
        <v>5.97</v>
      </c>
      <c r="M732" s="435">
        <v>146</v>
      </c>
      <c r="N732" s="435">
        <v>13</v>
      </c>
      <c r="O732" s="438">
        <v>23.103852596314908</v>
      </c>
      <c r="P732" s="440">
        <v>-2.2305462829158778</v>
      </c>
      <c r="Q732" s="438">
        <v>10.610000000000001</v>
      </c>
      <c r="R732" s="438">
        <v>0.9447260273972603</v>
      </c>
      <c r="S732" s="441">
        <v>11.23076923076923</v>
      </c>
      <c r="T732" s="441">
        <v>2.1775544388609718</v>
      </c>
      <c r="U732" s="239">
        <v>2</v>
      </c>
      <c r="V732" s="442">
        <v>1.9134615384615385E-2</v>
      </c>
      <c r="W732" s="441" t="s">
        <v>176</v>
      </c>
      <c r="X732" s="438">
        <v>20.809749427409155</v>
      </c>
      <c r="Y732" s="438">
        <v>2.2941031689057532</v>
      </c>
      <c r="Z732" s="443">
        <v>69.299111111111117</v>
      </c>
      <c r="AA732" s="58">
        <f t="shared" ca="1" si="23"/>
        <v>113.0125</v>
      </c>
      <c r="AB732" s="453">
        <f ca="1">Table29[[#This Row],[Earnings]]-Table29[[#This Row],[4-Week Average]]</f>
        <v>24.917500000000004</v>
      </c>
    </row>
    <row r="733" spans="1:28" x14ac:dyDescent="0.35">
      <c r="A733" s="445">
        <v>45817</v>
      </c>
      <c r="B733" s="444">
        <v>2025</v>
      </c>
      <c r="C733" s="444">
        <v>24</v>
      </c>
      <c r="D733" s="444">
        <v>11</v>
      </c>
      <c r="E733" s="444" t="s">
        <v>287</v>
      </c>
      <c r="F733" s="445" t="s">
        <v>46</v>
      </c>
      <c r="G733" s="446">
        <v>0.77083333333333215</v>
      </c>
      <c r="H733" s="445" t="s">
        <v>231</v>
      </c>
      <c r="I733" s="444">
        <v>63</v>
      </c>
      <c r="J733" s="445" t="s">
        <v>82</v>
      </c>
      <c r="K733" s="447">
        <v>122.51</v>
      </c>
      <c r="L733" s="448">
        <v>5.8</v>
      </c>
      <c r="M733" s="444">
        <v>92</v>
      </c>
      <c r="N733" s="444">
        <v>15</v>
      </c>
      <c r="O733" s="447">
        <v>21.122413793103451</v>
      </c>
      <c r="P733" s="449">
        <v>8.5752835502778453</v>
      </c>
      <c r="Q733" s="447">
        <v>8.1673333333333336</v>
      </c>
      <c r="R733" s="447">
        <v>1.3316304347826087</v>
      </c>
      <c r="S733" s="450">
        <v>6.1333333333333337</v>
      </c>
      <c r="T733" s="450">
        <v>2.5862068965517242</v>
      </c>
      <c r="U733" s="240">
        <v>1</v>
      </c>
      <c r="V733" s="451">
        <v>1.6111111111111111E-2</v>
      </c>
      <c r="W733" s="450" t="s">
        <v>176</v>
      </c>
      <c r="X733" s="447">
        <v>18.7884790163058</v>
      </c>
      <c r="Y733" s="447">
        <v>2.3339347767976513</v>
      </c>
      <c r="Z733" s="452">
        <v>69.488000000000014</v>
      </c>
      <c r="AA733" s="58">
        <f t="shared" ca="1" si="23"/>
        <v>115.08750000000001</v>
      </c>
      <c r="AB733" s="453">
        <f ca="1">Table29[[#This Row],[Earnings]]-Table29[[#This Row],[4-Week Average]]</f>
        <v>7.4224999999999994</v>
      </c>
    </row>
    <row r="734" spans="1:28" x14ac:dyDescent="0.35">
      <c r="A734" s="436">
        <v>45818</v>
      </c>
      <c r="B734" s="435">
        <v>2025</v>
      </c>
      <c r="C734" s="435">
        <v>24</v>
      </c>
      <c r="D734" s="435">
        <v>11</v>
      </c>
      <c r="E734" s="435" t="s">
        <v>287</v>
      </c>
      <c r="F734" s="436" t="s">
        <v>47</v>
      </c>
      <c r="G734" s="437">
        <v>0.74999999999999889</v>
      </c>
      <c r="H734" s="436" t="s">
        <v>276</v>
      </c>
      <c r="I734" s="435">
        <v>61</v>
      </c>
      <c r="J734" s="436" t="s">
        <v>80</v>
      </c>
      <c r="K734" s="438">
        <v>93.06</v>
      </c>
      <c r="L734" s="439">
        <v>3.67</v>
      </c>
      <c r="M734" s="435">
        <v>80</v>
      </c>
      <c r="N734" s="435">
        <v>8</v>
      </c>
      <c r="O734" s="438">
        <v>25.356948228882835</v>
      </c>
      <c r="P734" s="440">
        <v>3.6301681207892535</v>
      </c>
      <c r="Q734" s="438">
        <v>11.6325</v>
      </c>
      <c r="R734" s="438">
        <v>1.1632500000000001</v>
      </c>
      <c r="S734" s="441">
        <v>10</v>
      </c>
      <c r="T734" s="441">
        <v>2.1798365122615806</v>
      </c>
      <c r="U734" s="239">
        <v>2</v>
      </c>
      <c r="V734" s="442">
        <v>1.9114583333333334E-2</v>
      </c>
      <c r="W734" s="441" t="s">
        <v>176</v>
      </c>
      <c r="X734" s="438">
        <v>22.483161614441418</v>
      </c>
      <c r="Y734" s="438">
        <v>2.8737866144414177</v>
      </c>
      <c r="Z734" s="443">
        <v>69.914000000000016</v>
      </c>
      <c r="AA734" s="58">
        <f t="shared" ca="1" si="23"/>
        <v>110.955</v>
      </c>
      <c r="AB734" s="453">
        <f ca="1">Table29[[#This Row],[Earnings]]-Table29[[#This Row],[4-Week Average]]</f>
        <v>-17.894999999999996</v>
      </c>
    </row>
    <row r="735" spans="1:28" x14ac:dyDescent="0.35">
      <c r="A735" s="445">
        <v>45820</v>
      </c>
      <c r="B735" s="444">
        <v>2025</v>
      </c>
      <c r="C735" s="444">
        <v>24</v>
      </c>
      <c r="D735" s="444">
        <v>11</v>
      </c>
      <c r="E735" s="444" t="s">
        <v>287</v>
      </c>
      <c r="F735" s="445" t="s">
        <v>49</v>
      </c>
      <c r="G735" s="446">
        <v>0.74999999999999889</v>
      </c>
      <c r="H735" s="445" t="s">
        <v>230</v>
      </c>
      <c r="I735" s="444">
        <v>73</v>
      </c>
      <c r="J735" s="445" t="s">
        <v>80</v>
      </c>
      <c r="K735" s="447">
        <v>160.48000000000002</v>
      </c>
      <c r="L735" s="448">
        <v>6.82</v>
      </c>
      <c r="M735" s="444">
        <v>167</v>
      </c>
      <c r="N735" s="444">
        <v>12</v>
      </c>
      <c r="O735" s="447">
        <v>23.530791788856305</v>
      </c>
      <c r="P735" s="449">
        <v>0.11955869589213464</v>
      </c>
      <c r="Q735" s="447">
        <v>13.373333333333335</v>
      </c>
      <c r="R735" s="447">
        <v>0.96095808383233539</v>
      </c>
      <c r="S735" s="450">
        <v>13.916666666666666</v>
      </c>
      <c r="T735" s="450">
        <v>1.7595307917888563</v>
      </c>
      <c r="U735" s="240">
        <v>2</v>
      </c>
      <c r="V735" s="451">
        <v>2.3680555555555555E-2</v>
      </c>
      <c r="W735" s="450" t="s">
        <v>175</v>
      </c>
      <c r="X735" s="447">
        <v>20.552091321007818</v>
      </c>
      <c r="Y735" s="447">
        <v>2.978700467848487</v>
      </c>
      <c r="Z735" s="452">
        <v>70.495777777777803</v>
      </c>
      <c r="AA735" s="58">
        <f t="shared" ca="1" si="23"/>
        <v>128.495</v>
      </c>
      <c r="AB735" s="453">
        <f ca="1">Table29[[#This Row],[Earnings]]-Table29[[#This Row],[4-Week Average]]</f>
        <v>31.985000000000014</v>
      </c>
    </row>
    <row r="736" spans="1:28" x14ac:dyDescent="0.35">
      <c r="A736" s="436">
        <v>45821</v>
      </c>
      <c r="B736" s="435">
        <v>2025</v>
      </c>
      <c r="C736" s="435">
        <v>24</v>
      </c>
      <c r="D736" s="435">
        <v>11</v>
      </c>
      <c r="E736" s="435" t="s">
        <v>287</v>
      </c>
      <c r="F736" s="436" t="s">
        <v>50</v>
      </c>
      <c r="G736" s="437">
        <v>0.74999999999999889</v>
      </c>
      <c r="H736" s="436" t="s">
        <v>230</v>
      </c>
      <c r="I736" s="435">
        <v>68</v>
      </c>
      <c r="J736" s="436" t="s">
        <v>82</v>
      </c>
      <c r="K736" s="438">
        <v>108.13000000000001</v>
      </c>
      <c r="L736" s="439">
        <v>3.93</v>
      </c>
      <c r="M736" s="435">
        <v>64</v>
      </c>
      <c r="N736" s="435">
        <v>6</v>
      </c>
      <c r="O736" s="438">
        <v>27.513994910941477</v>
      </c>
      <c r="P736" s="440">
        <v>9.1458786049487699</v>
      </c>
      <c r="Q736" s="438">
        <v>18.021666666666668</v>
      </c>
      <c r="R736" s="438">
        <v>1.6895312500000002</v>
      </c>
      <c r="S736" s="441">
        <v>10.666666666666666</v>
      </c>
      <c r="T736" s="441">
        <v>1.5267175572519083</v>
      </c>
      <c r="U736" s="239">
        <v>2</v>
      </c>
      <c r="V736" s="442">
        <v>2.7291666666666669E-2</v>
      </c>
      <c r="W736" s="441" t="s">
        <v>175</v>
      </c>
      <c r="X736" s="438">
        <v>23.104506448136657</v>
      </c>
      <c r="Y736" s="438">
        <v>4.4094884628048199</v>
      </c>
      <c r="Z736" s="443">
        <v>71.697222222222251</v>
      </c>
      <c r="AA736" s="58">
        <f t="shared" ca="1" si="23"/>
        <v>121.045</v>
      </c>
      <c r="AB736" s="453">
        <f ca="1">Table29[[#This Row],[Earnings]]-Table29[[#This Row],[4-Week Average]]</f>
        <v>-12.914999999999992</v>
      </c>
    </row>
    <row r="737" spans="1:28" x14ac:dyDescent="0.35">
      <c r="A737" s="445">
        <v>45824</v>
      </c>
      <c r="B737" s="444">
        <v>2025</v>
      </c>
      <c r="C737" s="444">
        <v>25</v>
      </c>
      <c r="D737" s="444">
        <v>12</v>
      </c>
      <c r="E737" s="444" t="s">
        <v>287</v>
      </c>
      <c r="F737" s="445" t="s">
        <v>46</v>
      </c>
      <c r="G737" s="446">
        <v>0.72916666666666552</v>
      </c>
      <c r="H737" s="445" t="s">
        <v>281</v>
      </c>
      <c r="I737" s="444">
        <v>66</v>
      </c>
      <c r="J737" s="445" t="s">
        <v>80</v>
      </c>
      <c r="K737" s="447">
        <v>118.6</v>
      </c>
      <c r="L737" s="448">
        <v>5.23</v>
      </c>
      <c r="M737" s="444">
        <v>131</v>
      </c>
      <c r="N737" s="444">
        <v>9</v>
      </c>
      <c r="O737" s="447">
        <v>22.676864244741871</v>
      </c>
      <c r="P737" s="449">
        <v>1.1218114948262112</v>
      </c>
      <c r="Q737" s="447">
        <v>13.177777777777777</v>
      </c>
      <c r="R737" s="447">
        <v>0.90534351145038161</v>
      </c>
      <c r="S737" s="450">
        <v>14.555555555555555</v>
      </c>
      <c r="T737" s="450">
        <v>1.7208413001912044</v>
      </c>
      <c r="U737" s="240">
        <v>3</v>
      </c>
      <c r="V737" s="451">
        <v>2.4212962962962964E-2</v>
      </c>
      <c r="W737" s="450" t="s">
        <v>176</v>
      </c>
      <c r="X737" s="447">
        <v>19.273030658110066</v>
      </c>
      <c r="Y737" s="447">
        <v>3.403833586631805</v>
      </c>
      <c r="Z737" s="452">
        <v>68.13822222222224</v>
      </c>
      <c r="AA737" s="58">
        <f t="shared" ca="1" si="23"/>
        <v>120.0675</v>
      </c>
      <c r="AB737" s="453">
        <f ca="1">Table29[[#This Row],[Earnings]]-Table29[[#This Row],[4-Week Average]]</f>
        <v>-1.4675000000000011</v>
      </c>
    </row>
    <row r="738" spans="1:28" x14ac:dyDescent="0.35">
      <c r="A738" s="436">
        <v>45827</v>
      </c>
      <c r="B738" s="435">
        <v>2025</v>
      </c>
      <c r="C738" s="435">
        <v>25</v>
      </c>
      <c r="D738" s="435">
        <v>12</v>
      </c>
      <c r="E738" s="435" t="s">
        <v>287</v>
      </c>
      <c r="F738" s="436" t="s">
        <v>49</v>
      </c>
      <c r="G738" s="437">
        <v>0.74999999999999889</v>
      </c>
      <c r="H738" s="436" t="s">
        <v>281</v>
      </c>
      <c r="I738" s="435">
        <v>73</v>
      </c>
      <c r="J738" s="436" t="s">
        <v>174</v>
      </c>
      <c r="K738" s="438">
        <v>42.34</v>
      </c>
      <c r="L738" s="439">
        <v>3.12</v>
      </c>
      <c r="M738" s="435">
        <v>86</v>
      </c>
      <c r="N738" s="435">
        <v>5</v>
      </c>
      <c r="O738" s="438">
        <v>13.570512820512821</v>
      </c>
      <c r="P738" s="440">
        <v>-3.9953717948717937</v>
      </c>
      <c r="Q738" s="438">
        <v>8.468</v>
      </c>
      <c r="R738" s="438">
        <v>0.49232558139534888</v>
      </c>
      <c r="S738" s="441">
        <v>17.2</v>
      </c>
      <c r="T738" s="441">
        <v>1.6025641025641024</v>
      </c>
      <c r="U738" s="239">
        <v>2</v>
      </c>
      <c r="V738" s="442">
        <v>2.5999999999999999E-2</v>
      </c>
      <c r="W738" s="441" t="s">
        <v>176</v>
      </c>
      <c r="X738" s="438">
        <v>19.1731951408422</v>
      </c>
      <c r="Y738" s="438">
        <v>-5.6026823203293787</v>
      </c>
      <c r="Z738" s="443">
        <v>65.883555555555574</v>
      </c>
      <c r="AA738" s="58">
        <f t="shared" ca="1" si="23"/>
        <v>107.38750000000002</v>
      </c>
      <c r="AB738" s="453">
        <f ca="1">Table29[[#This Row],[Earnings]]-Table29[[#This Row],[4-Week Average]]</f>
        <v>-65.047500000000014</v>
      </c>
    </row>
    <row r="739" spans="1:28" x14ac:dyDescent="0.35">
      <c r="A739" s="445">
        <v>45829</v>
      </c>
      <c r="B739" s="444">
        <v>2025</v>
      </c>
      <c r="C739" s="444">
        <v>25</v>
      </c>
      <c r="D739" s="444">
        <v>12</v>
      </c>
      <c r="E739" s="444" t="s">
        <v>287</v>
      </c>
      <c r="F739" s="445" t="s">
        <v>51</v>
      </c>
      <c r="G739" s="446">
        <v>0.66666666666666563</v>
      </c>
      <c r="H739" s="445" t="s">
        <v>230</v>
      </c>
      <c r="I739" s="444">
        <v>81</v>
      </c>
      <c r="J739" s="445" t="s">
        <v>80</v>
      </c>
      <c r="K739" s="447">
        <v>185.62</v>
      </c>
      <c r="L739" s="448">
        <v>7.63</v>
      </c>
      <c r="M739" s="444">
        <v>174</v>
      </c>
      <c r="N739" s="444">
        <v>13</v>
      </c>
      <c r="O739" s="447">
        <v>24.327653997378768</v>
      </c>
      <c r="P739" s="449">
        <v>-0.87553627697461067</v>
      </c>
      <c r="Q739" s="447">
        <v>14.278461538461539</v>
      </c>
      <c r="R739" s="447">
        <v>1.0667816091954023</v>
      </c>
      <c r="S739" s="450">
        <v>13.384615384615385</v>
      </c>
      <c r="T739" s="450">
        <v>1.7038007863695936</v>
      </c>
      <c r="U739" s="240">
        <v>2</v>
      </c>
      <c r="V739" s="451">
        <v>2.4455128205128202E-2</v>
      </c>
      <c r="W739" s="450" t="s">
        <v>176</v>
      </c>
      <c r="X739" s="447">
        <v>22.879063937501609</v>
      </c>
      <c r="Y739" s="447">
        <v>1.4485900598771586</v>
      </c>
      <c r="Z739" s="452">
        <v>66.311666666666682</v>
      </c>
      <c r="AA739" s="58">
        <f t="shared" ca="1" si="23"/>
        <v>113.67250000000001</v>
      </c>
      <c r="AB739" s="453">
        <f ca="1">Table29[[#This Row],[Earnings]]-Table29[[#This Row],[4-Week Average]]</f>
        <v>71.947499999999991</v>
      </c>
    </row>
    <row r="740" spans="1:28" x14ac:dyDescent="0.35">
      <c r="A740" s="436">
        <v>45830</v>
      </c>
      <c r="B740" s="435">
        <v>2025</v>
      </c>
      <c r="C740" s="435">
        <v>25</v>
      </c>
      <c r="D740" s="435">
        <v>12</v>
      </c>
      <c r="E740" s="435" t="s">
        <v>287</v>
      </c>
      <c r="F740" s="436" t="s">
        <v>45</v>
      </c>
      <c r="G740" s="437">
        <v>0.49999999999999922</v>
      </c>
      <c r="H740" s="436" t="s">
        <v>231</v>
      </c>
      <c r="I740" s="435">
        <v>84</v>
      </c>
      <c r="J740" s="436" t="s">
        <v>80</v>
      </c>
      <c r="K740" s="438">
        <v>85.88</v>
      </c>
      <c r="L740" s="439">
        <v>5.0199999999999996</v>
      </c>
      <c r="M740" s="435">
        <v>148</v>
      </c>
      <c r="N740" s="435">
        <v>9</v>
      </c>
      <c r="O740" s="438">
        <v>17.107569721115539</v>
      </c>
      <c r="P740" s="440">
        <v>-4.8915829167397398</v>
      </c>
      <c r="Q740" s="438">
        <v>9.5422222222222217</v>
      </c>
      <c r="R740" s="438">
        <v>0.58027027027027023</v>
      </c>
      <c r="S740" s="441">
        <v>16.444444444444443</v>
      </c>
      <c r="T740" s="441">
        <v>1.7928286852589643</v>
      </c>
      <c r="U740" s="239">
        <v>2</v>
      </c>
      <c r="V740" s="442">
        <v>2.3240740740740739E-2</v>
      </c>
      <c r="W740" s="441" t="s">
        <v>176</v>
      </c>
      <c r="X740" s="438">
        <v>24.167933971299817</v>
      </c>
      <c r="Y740" s="438">
        <v>-7.0603642501842785</v>
      </c>
      <c r="Z740" s="443">
        <v>66.059888888888906</v>
      </c>
      <c r="AA740" s="58">
        <f t="shared" ca="1" si="23"/>
        <v>108.11</v>
      </c>
      <c r="AB740" s="453">
        <f ca="1">Table29[[#This Row],[Earnings]]-Table29[[#This Row],[4-Week Average]]</f>
        <v>-22.230000000000004</v>
      </c>
    </row>
    <row r="741" spans="1:28" x14ac:dyDescent="0.35">
      <c r="A741" s="445">
        <v>45831</v>
      </c>
      <c r="B741" s="444">
        <v>2025</v>
      </c>
      <c r="C741" s="444">
        <v>26</v>
      </c>
      <c r="D741" s="444">
        <v>13</v>
      </c>
      <c r="E741" s="444" t="s">
        <v>287</v>
      </c>
      <c r="F741" s="445" t="s">
        <v>46</v>
      </c>
      <c r="G741" s="446">
        <v>0.8541666666666653</v>
      </c>
      <c r="H741" s="445" t="s">
        <v>230</v>
      </c>
      <c r="I741" s="444">
        <v>81</v>
      </c>
      <c r="J741" s="445" t="s">
        <v>80</v>
      </c>
      <c r="K741" s="447">
        <v>77.539999999999992</v>
      </c>
      <c r="L741" s="448">
        <v>4.63</v>
      </c>
      <c r="M741" s="444">
        <v>129</v>
      </c>
      <c r="N741" s="444">
        <v>7</v>
      </c>
      <c r="O741" s="447">
        <v>16.747300215982719</v>
      </c>
      <c r="P741" s="449">
        <v>-4.877865752359579</v>
      </c>
      <c r="Q741" s="447">
        <v>11.077142857142857</v>
      </c>
      <c r="R741" s="447">
        <v>0.60108527131782941</v>
      </c>
      <c r="S741" s="450">
        <v>18.428571428571427</v>
      </c>
      <c r="T741" s="450">
        <v>1.5118790496760259</v>
      </c>
      <c r="U741" s="240">
        <v>2</v>
      </c>
      <c r="V741" s="451">
        <v>2.7559523809523808E-2</v>
      </c>
      <c r="W741" s="450" t="s">
        <v>176</v>
      </c>
      <c r="X741" s="447">
        <v>16.747300215982719</v>
      </c>
      <c r="Y741" s="447">
        <v>0</v>
      </c>
      <c r="Z741" s="452">
        <v>66.351222222222248</v>
      </c>
      <c r="AA741" s="58">
        <f t="shared" ca="1" si="23"/>
        <v>97.844999999999999</v>
      </c>
      <c r="AB741" s="453">
        <f ca="1">Table29[[#This Row],[Earnings]]-Table29[[#This Row],[4-Week Average]]</f>
        <v>-20.305000000000007</v>
      </c>
    </row>
    <row r="742" spans="1:28" x14ac:dyDescent="0.35">
      <c r="A742" s="436">
        <v>45832</v>
      </c>
      <c r="B742" s="435">
        <v>2025</v>
      </c>
      <c r="C742" s="435">
        <v>26</v>
      </c>
      <c r="D742" s="435">
        <v>13</v>
      </c>
      <c r="E742" s="435" t="s">
        <v>287</v>
      </c>
      <c r="F742" s="436" t="s">
        <v>47</v>
      </c>
      <c r="G742" s="437">
        <v>0.70833333333333226</v>
      </c>
      <c r="H742" s="436" t="s">
        <v>230</v>
      </c>
      <c r="I742" s="435">
        <v>79</v>
      </c>
      <c r="J742" s="436" t="s">
        <v>85</v>
      </c>
      <c r="K742" s="438">
        <v>132</v>
      </c>
      <c r="L742" s="439">
        <v>5.53</v>
      </c>
      <c r="M742" s="435">
        <v>147</v>
      </c>
      <c r="N742" s="435">
        <v>9</v>
      </c>
      <c r="O742" s="438">
        <v>23.869801084990957</v>
      </c>
      <c r="P742" s="440">
        <v>3.757200548797929</v>
      </c>
      <c r="Q742" s="438">
        <v>14.666666666666666</v>
      </c>
      <c r="R742" s="438">
        <v>0.89795918367346939</v>
      </c>
      <c r="S742" s="441">
        <v>16.333333333333332</v>
      </c>
      <c r="T742" s="441">
        <v>1.6274864376130198</v>
      </c>
      <c r="U742" s="239">
        <v>1</v>
      </c>
      <c r="V742" s="442">
        <v>2.5601851851851851E-2</v>
      </c>
      <c r="W742" s="441" t="s">
        <v>175</v>
      </c>
      <c r="X742" s="438">
        <v>20.492635020175374</v>
      </c>
      <c r="Y742" s="438">
        <v>3.377166064815583</v>
      </c>
      <c r="Z742" s="443">
        <v>67.817888888888916</v>
      </c>
      <c r="AA742" s="58">
        <f t="shared" ca="1" si="23"/>
        <v>120.25999999999999</v>
      </c>
      <c r="AB742" s="453">
        <f ca="1">Table29[[#This Row],[Earnings]]-Table29[[#This Row],[4-Week Average]]</f>
        <v>11.740000000000009</v>
      </c>
    </row>
    <row r="743" spans="1:28" x14ac:dyDescent="0.35">
      <c r="A743" s="445">
        <v>45833</v>
      </c>
      <c r="B743" s="444">
        <v>2025</v>
      </c>
      <c r="C743" s="444">
        <v>26</v>
      </c>
      <c r="D743" s="444">
        <v>13</v>
      </c>
      <c r="E743" s="444" t="s">
        <v>287</v>
      </c>
      <c r="F743" s="445" t="s">
        <v>48</v>
      </c>
      <c r="G743" s="446">
        <v>0.81249999999999878</v>
      </c>
      <c r="H743" s="445" t="s">
        <v>230</v>
      </c>
      <c r="I743" s="444">
        <v>86</v>
      </c>
      <c r="J743" s="445" t="s">
        <v>82</v>
      </c>
      <c r="K743" s="447">
        <v>76.5</v>
      </c>
      <c r="L743" s="448">
        <v>3.52</v>
      </c>
      <c r="M743" s="444">
        <v>75</v>
      </c>
      <c r="N743" s="444">
        <v>9</v>
      </c>
      <c r="O743" s="447">
        <v>21.732954545454547</v>
      </c>
      <c r="P743" s="449">
        <v>2.4340722534434818</v>
      </c>
      <c r="Q743" s="447">
        <v>8.5</v>
      </c>
      <c r="R743" s="447">
        <v>1.02</v>
      </c>
      <c r="S743" s="450">
        <v>8.3333333333333339</v>
      </c>
      <c r="T743" s="450">
        <v>2.5568181818181817</v>
      </c>
      <c r="U743" s="240">
        <v>2</v>
      </c>
      <c r="V743" s="451">
        <v>1.6296296296296298E-2</v>
      </c>
      <c r="W743" s="450" t="s">
        <v>175</v>
      </c>
      <c r="X743" s="447">
        <v>14.873473218905231</v>
      </c>
      <c r="Y743" s="447">
        <v>6.8594813265493162</v>
      </c>
      <c r="Z743" s="452">
        <v>68.667888888888911</v>
      </c>
      <c r="AA743" s="58">
        <f t="shared" ca="1" si="23"/>
        <v>92.97999999999999</v>
      </c>
      <c r="AB743" s="453">
        <f ca="1">Table29[[#This Row],[Earnings]]-Table29[[#This Row],[4-Week Average]]</f>
        <v>-16.47999999999999</v>
      </c>
    </row>
    <row r="744" spans="1:28" x14ac:dyDescent="0.35">
      <c r="A744" s="436">
        <v>45835</v>
      </c>
      <c r="B744" s="435">
        <v>2025</v>
      </c>
      <c r="C744" s="435">
        <v>26</v>
      </c>
      <c r="D744" s="435">
        <v>13</v>
      </c>
      <c r="E744" s="435" t="s">
        <v>287</v>
      </c>
      <c r="F744" s="436" t="s">
        <v>50</v>
      </c>
      <c r="G744" s="437">
        <v>0.77083333333333215</v>
      </c>
      <c r="H744" s="436" t="s">
        <v>249</v>
      </c>
      <c r="I744" s="435">
        <v>66</v>
      </c>
      <c r="J744" s="436" t="s">
        <v>85</v>
      </c>
      <c r="K744" s="438">
        <v>216.81</v>
      </c>
      <c r="L744" s="439">
        <v>9.07</v>
      </c>
      <c r="M744" s="435">
        <v>196</v>
      </c>
      <c r="N744" s="435">
        <v>17</v>
      </c>
      <c r="O744" s="438">
        <v>23.904079382579933</v>
      </c>
      <c r="P744" s="440">
        <v>1.6672596251462259</v>
      </c>
      <c r="Q744" s="438">
        <v>12.753529411764706</v>
      </c>
      <c r="R744" s="438">
        <v>1.1061734693877552</v>
      </c>
      <c r="S744" s="441">
        <v>11.529411764705882</v>
      </c>
      <c r="T744" s="441">
        <v>1.8743109151047408</v>
      </c>
      <c r="U744" s="239">
        <v>2</v>
      </c>
      <c r="V744" s="442">
        <v>2.2230392156862747E-2</v>
      </c>
      <c r="W744" s="441" t="s">
        <v>175</v>
      </c>
      <c r="X744" s="438">
        <v>26.982702895536416</v>
      </c>
      <c r="Y744" s="438">
        <v>-3.078623512956483</v>
      </c>
      <c r="Z744" s="443">
        <v>70.315888888888921</v>
      </c>
      <c r="AA744" s="58">
        <f t="shared" ca="1" si="23"/>
        <v>125.71249999999999</v>
      </c>
      <c r="AB744" s="453">
        <f ca="1">Table29[[#This Row],[Earnings]]-Table29[[#This Row],[4-Week Average]]</f>
        <v>91.097500000000011</v>
      </c>
    </row>
    <row r="745" spans="1:28" x14ac:dyDescent="0.35">
      <c r="A745" s="445">
        <v>45836</v>
      </c>
      <c r="B745" s="444">
        <v>2025</v>
      </c>
      <c r="C745" s="444">
        <v>26</v>
      </c>
      <c r="D745" s="444">
        <v>13</v>
      </c>
      <c r="E745" s="444" t="s">
        <v>287</v>
      </c>
      <c r="F745" s="445" t="s">
        <v>51</v>
      </c>
      <c r="G745" s="446">
        <v>0.77083333333333215</v>
      </c>
      <c r="H745" s="445" t="s">
        <v>276</v>
      </c>
      <c r="I745" s="444">
        <v>61</v>
      </c>
      <c r="J745" s="445" t="s">
        <v>85</v>
      </c>
      <c r="K745" s="447">
        <v>25.87</v>
      </c>
      <c r="L745" s="448">
        <v>1.28</v>
      </c>
      <c r="M745" s="444">
        <v>36</v>
      </c>
      <c r="N745" s="444">
        <v>2</v>
      </c>
      <c r="O745" s="447">
        <v>20.2109375</v>
      </c>
      <c r="P745" s="449">
        <v>-0.49335370265426093</v>
      </c>
      <c r="Q745" s="447">
        <v>12.935</v>
      </c>
      <c r="R745" s="447">
        <v>0.71861111111111109</v>
      </c>
      <c r="S745" s="450">
        <v>18</v>
      </c>
      <c r="T745" s="450">
        <v>1.5625</v>
      </c>
      <c r="U745" s="240">
        <v>1</v>
      </c>
      <c r="V745" s="451">
        <v>2.6666666666666668E-2</v>
      </c>
      <c r="W745" s="450" t="s">
        <v>175</v>
      </c>
      <c r="X745" s="447">
        <v>20.115540994623654</v>
      </c>
      <c r="Y745" s="447">
        <v>9.5396505376346141E-2</v>
      </c>
      <c r="Z745" s="452">
        <v>68.895777777777809</v>
      </c>
      <c r="AA745" s="58">
        <f t="shared" ca="1" si="23"/>
        <v>112.795</v>
      </c>
      <c r="AB745" s="453">
        <f ca="1">Table29[[#This Row],[Earnings]]-Table29[[#This Row],[4-Week Average]]</f>
        <v>-86.924999999999997</v>
      </c>
    </row>
    <row r="746" spans="1:28" x14ac:dyDescent="0.35">
      <c r="A746" s="436">
        <v>45837</v>
      </c>
      <c r="B746" s="435">
        <v>2025</v>
      </c>
      <c r="C746" s="435">
        <v>26</v>
      </c>
      <c r="D746" s="435">
        <v>13</v>
      </c>
      <c r="E746" s="435" t="s">
        <v>287</v>
      </c>
      <c r="F746" s="436" t="s">
        <v>45</v>
      </c>
      <c r="G746" s="437">
        <v>0.43749999999999933</v>
      </c>
      <c r="H746" s="436" t="s">
        <v>231</v>
      </c>
      <c r="I746" s="435">
        <v>75</v>
      </c>
      <c r="J746" s="436" t="s">
        <v>80</v>
      </c>
      <c r="K746" s="438">
        <v>79.17</v>
      </c>
      <c r="L746" s="439">
        <v>3.68</v>
      </c>
      <c r="M746" s="435">
        <v>89</v>
      </c>
      <c r="N746" s="435">
        <v>7</v>
      </c>
      <c r="O746" s="438">
        <v>21.513586956521738</v>
      </c>
      <c r="P746" s="440">
        <v>0.12588218325892697</v>
      </c>
      <c r="Q746" s="438">
        <v>11.31</v>
      </c>
      <c r="R746" s="438">
        <v>0.88955056179775283</v>
      </c>
      <c r="S746" s="441">
        <v>12.714285714285714</v>
      </c>
      <c r="T746" s="441">
        <v>1.9021739130434783</v>
      </c>
      <c r="U746" s="239">
        <v>3</v>
      </c>
      <c r="V746" s="442">
        <v>2.1904761904761903E-2</v>
      </c>
      <c r="W746" s="441" t="s">
        <v>176</v>
      </c>
      <c r="X746" s="438">
        <v>18.887056636155606</v>
      </c>
      <c r="Y746" s="438">
        <v>2.6265303203661325</v>
      </c>
      <c r="Z746" s="443">
        <v>69.775444444444474</v>
      </c>
      <c r="AA746" s="58">
        <f t="shared" ca="1" si="23"/>
        <v>99.587500000000006</v>
      </c>
      <c r="AB746" s="453">
        <f ca="1">Table29[[#This Row],[Earnings]]-Table29[[#This Row],[4-Week Average]]</f>
        <v>-20.417500000000004</v>
      </c>
    </row>
    <row r="747" spans="1:28" x14ac:dyDescent="0.35">
      <c r="A747" s="445">
        <v>45838</v>
      </c>
      <c r="B747" s="444">
        <v>2025</v>
      </c>
      <c r="C747" s="444">
        <v>27</v>
      </c>
      <c r="D747" s="444">
        <v>1</v>
      </c>
      <c r="E747" s="444" t="s">
        <v>305</v>
      </c>
      <c r="F747" s="445" t="s">
        <v>46</v>
      </c>
      <c r="G747" s="446">
        <v>0.77083333333333215</v>
      </c>
      <c r="H747" s="445" t="s">
        <v>230</v>
      </c>
      <c r="I747" s="444">
        <v>73</v>
      </c>
      <c r="J747" s="445" t="s">
        <v>85</v>
      </c>
      <c r="K747" s="447">
        <v>172.47</v>
      </c>
      <c r="L747" s="448">
        <v>4.72</v>
      </c>
      <c r="M747" s="444">
        <v>108</v>
      </c>
      <c r="N747" s="444">
        <v>11</v>
      </c>
      <c r="O747" s="447">
        <v>36.540254237288138</v>
      </c>
      <c r="P747" s="449">
        <v>14.017613597627687</v>
      </c>
      <c r="Q747" s="447">
        <v>15.67909090909091</v>
      </c>
      <c r="R747" s="447">
        <v>1.5969444444444445</v>
      </c>
      <c r="S747" s="450">
        <v>9.8181818181818183</v>
      </c>
      <c r="T747" s="450">
        <v>2.3305084745762712</v>
      </c>
      <c r="U747" s="240">
        <v>3</v>
      </c>
      <c r="V747" s="451">
        <v>1.7878787878787879E-2</v>
      </c>
      <c r="W747" s="450" t="s">
        <v>175</v>
      </c>
      <c r="X747" s="447">
        <v>29.873712776014589</v>
      </c>
      <c r="Y747" s="447">
        <v>6.6665414612735496</v>
      </c>
      <c r="Z747" s="452">
        <v>71.691777777777816</v>
      </c>
      <c r="AA747" s="58">
        <f t="shared" ca="1" si="23"/>
        <v>123.58000000000001</v>
      </c>
      <c r="AB747" s="453">
        <f ca="1">Table29[[#This Row],[Earnings]]-Table29[[#This Row],[4-Week Average]]</f>
        <v>48.889999999999986</v>
      </c>
    </row>
    <row r="748" spans="1:28" x14ac:dyDescent="0.35">
      <c r="A748" s="436">
        <v>45839</v>
      </c>
      <c r="B748" s="435">
        <v>2025</v>
      </c>
      <c r="C748" s="435">
        <v>27</v>
      </c>
      <c r="D748" s="435">
        <v>1</v>
      </c>
      <c r="E748" s="435" t="s">
        <v>305</v>
      </c>
      <c r="F748" s="436" t="s">
        <v>47</v>
      </c>
      <c r="G748" s="437">
        <v>0.77083333333333215</v>
      </c>
      <c r="H748" s="436" t="s">
        <v>249</v>
      </c>
      <c r="I748" s="435">
        <v>81</v>
      </c>
      <c r="J748" s="436" t="s">
        <v>80</v>
      </c>
      <c r="K748" s="438">
        <v>98.33</v>
      </c>
      <c r="L748" s="439">
        <v>5.13</v>
      </c>
      <c r="M748" s="435">
        <v>150</v>
      </c>
      <c r="N748" s="435">
        <v>8</v>
      </c>
      <c r="O748" s="438">
        <v>19.167641325536064</v>
      </c>
      <c r="P748" s="440">
        <v>-3.615757243521486</v>
      </c>
      <c r="Q748" s="438">
        <v>12.29125</v>
      </c>
      <c r="R748" s="438">
        <v>0.6555333333333333</v>
      </c>
      <c r="S748" s="441">
        <v>18.75</v>
      </c>
      <c r="T748" s="441">
        <v>1.5594541910331385</v>
      </c>
      <c r="U748" s="239">
        <v>3</v>
      </c>
      <c r="V748" s="442">
        <v>2.6718749999999999E-2</v>
      </c>
      <c r="W748" s="441" t="s">
        <v>175</v>
      </c>
      <c r="X748" s="438">
        <v>20.191072811871479</v>
      </c>
      <c r="Y748" s="438">
        <v>-1.023431486335415</v>
      </c>
      <c r="Z748" s="443">
        <v>72.784333333333365</v>
      </c>
      <c r="AA748" s="58">
        <f t="shared" ca="1" si="23"/>
        <v>93.96</v>
      </c>
      <c r="AB748" s="453">
        <f ca="1">Table29[[#This Row],[Earnings]]-Table29[[#This Row],[4-Week Average]]</f>
        <v>4.3700000000000045</v>
      </c>
    </row>
    <row r="749" spans="1:28" x14ac:dyDescent="0.35">
      <c r="A749" s="445">
        <v>45840</v>
      </c>
      <c r="B749" s="444">
        <v>2025</v>
      </c>
      <c r="C749" s="444">
        <v>27</v>
      </c>
      <c r="D749" s="444">
        <v>1</v>
      </c>
      <c r="E749" s="444" t="s">
        <v>305</v>
      </c>
      <c r="F749" s="445" t="s">
        <v>48</v>
      </c>
      <c r="G749" s="446">
        <v>0.79166666666666541</v>
      </c>
      <c r="H749" s="445" t="s">
        <v>230</v>
      </c>
      <c r="I749" s="444">
        <v>82</v>
      </c>
      <c r="J749" s="445" t="s">
        <v>80</v>
      </c>
      <c r="K749" s="447">
        <v>99.11</v>
      </c>
      <c r="L749" s="448">
        <v>2.98</v>
      </c>
      <c r="M749" s="444">
        <v>61</v>
      </c>
      <c r="N749" s="444">
        <v>9</v>
      </c>
      <c r="O749" s="447">
        <v>33.258389261744966</v>
      </c>
      <c r="P749" s="449">
        <v>10.823366906097743</v>
      </c>
      <c r="Q749" s="447">
        <v>11.012222222222222</v>
      </c>
      <c r="R749" s="447">
        <v>1.6247540983606557</v>
      </c>
      <c r="S749" s="450">
        <v>6.7777777777777777</v>
      </c>
      <c r="T749" s="450">
        <v>3.0201342281879193</v>
      </c>
      <c r="U749" s="240">
        <v>3</v>
      </c>
      <c r="V749" s="451">
        <v>1.3796296296296298E-2</v>
      </c>
      <c r="W749" s="450" t="s">
        <v>176</v>
      </c>
      <c r="X749" s="447">
        <v>28.967873876155501</v>
      </c>
      <c r="Y749" s="447">
        <v>4.2905153855894653</v>
      </c>
      <c r="Z749" s="452">
        <v>73.885555555555584</v>
      </c>
      <c r="AA749" s="58">
        <f t="shared" ca="1" si="23"/>
        <v>112.27</v>
      </c>
      <c r="AB749" s="453">
        <f ca="1">Table29[[#This Row],[Earnings]]-Table29[[#This Row],[4-Week Average]]</f>
        <v>-13.159999999999997</v>
      </c>
    </row>
    <row r="750" spans="1:28" x14ac:dyDescent="0.35">
      <c r="A750" s="436">
        <v>45841</v>
      </c>
      <c r="B750" s="435">
        <v>2025</v>
      </c>
      <c r="C750" s="435">
        <v>27</v>
      </c>
      <c r="D750" s="435">
        <v>1</v>
      </c>
      <c r="E750" s="435" t="s">
        <v>305</v>
      </c>
      <c r="F750" s="436" t="s">
        <v>49</v>
      </c>
      <c r="G750" s="437">
        <v>0.83333333333333204</v>
      </c>
      <c r="H750" s="436" t="s">
        <v>230</v>
      </c>
      <c r="I750" s="435">
        <v>70</v>
      </c>
      <c r="J750" s="436" t="s">
        <v>82</v>
      </c>
      <c r="K750" s="438">
        <v>50.33</v>
      </c>
      <c r="L750" s="439">
        <v>2.17</v>
      </c>
      <c r="M750" s="435">
        <v>57</v>
      </c>
      <c r="N750" s="435">
        <v>3</v>
      </c>
      <c r="O750" s="438">
        <v>23.193548387096776</v>
      </c>
      <c r="P750" s="440">
        <v>3.768768187073622</v>
      </c>
      <c r="Q750" s="438">
        <v>16.776666666666667</v>
      </c>
      <c r="R750" s="438">
        <v>0.88298245614035087</v>
      </c>
      <c r="S750" s="441">
        <v>19</v>
      </c>
      <c r="T750" s="441">
        <v>1.3824884792626728</v>
      </c>
      <c r="U750" s="239">
        <v>2</v>
      </c>
      <c r="V750" s="442">
        <v>3.0138888888888885E-2</v>
      </c>
      <c r="W750" s="441" t="s">
        <v>175</v>
      </c>
      <c r="X750" s="438">
        <v>25.47052001294638</v>
      </c>
      <c r="Y750" s="438">
        <v>-2.2769716258496047</v>
      </c>
      <c r="Z750" s="443">
        <v>74.444777777777801</v>
      </c>
      <c r="AA750" s="58">
        <f t="shared" ca="1" si="23"/>
        <v>105.06</v>
      </c>
      <c r="AB750" s="453">
        <f ca="1">Table29[[#This Row],[Earnings]]-Table29[[#This Row],[4-Week Average]]</f>
        <v>-54.730000000000004</v>
      </c>
    </row>
    <row r="751" spans="1:28" x14ac:dyDescent="0.35">
      <c r="A751" s="445">
        <v>45845</v>
      </c>
      <c r="B751" s="444">
        <v>2025</v>
      </c>
      <c r="C751" s="444">
        <v>28</v>
      </c>
      <c r="D751" s="444">
        <v>2</v>
      </c>
      <c r="E751" s="444" t="s">
        <v>305</v>
      </c>
      <c r="F751" s="445" t="s">
        <v>46</v>
      </c>
      <c r="G751" s="446">
        <v>0.56249999999999911</v>
      </c>
      <c r="H751" s="445" t="s">
        <v>249</v>
      </c>
      <c r="I751" s="444">
        <v>84</v>
      </c>
      <c r="J751" s="445" t="s">
        <v>85</v>
      </c>
      <c r="K751" s="447">
        <v>126.22</v>
      </c>
      <c r="L751" s="448">
        <v>4.93</v>
      </c>
      <c r="M751" s="444">
        <v>84</v>
      </c>
      <c r="N751" s="444">
        <v>10</v>
      </c>
      <c r="O751" s="447">
        <v>25.60243407707911</v>
      </c>
      <c r="P751" s="449">
        <v>2.2036925875669269</v>
      </c>
      <c r="Q751" s="447">
        <v>12.622</v>
      </c>
      <c r="R751" s="447">
        <v>1.5026190476190475</v>
      </c>
      <c r="S751" s="450">
        <v>8.4</v>
      </c>
      <c r="T751" s="450">
        <v>2.028397565922921</v>
      </c>
      <c r="U751" s="240">
        <v>2</v>
      </c>
      <c r="V751" s="451">
        <v>2.0541666666666666E-2</v>
      </c>
      <c r="W751" s="450" t="s">
        <v>176</v>
      </c>
      <c r="X751" s="447">
        <v>25.60243407707911</v>
      </c>
      <c r="Y751" s="447">
        <v>0</v>
      </c>
      <c r="Z751" s="452">
        <v>73.098000000000027</v>
      </c>
      <c r="AA751" s="58">
        <f t="shared" ca="1" si="23"/>
        <v>93.497500000000002</v>
      </c>
      <c r="AB751" s="453">
        <f ca="1">Table29[[#This Row],[Earnings]]-Table29[[#This Row],[4-Week Average]]</f>
        <v>32.722499999999997</v>
      </c>
    </row>
    <row r="752" spans="1:28" x14ac:dyDescent="0.35">
      <c r="A752" s="436">
        <v>45856</v>
      </c>
      <c r="B752" s="435">
        <v>2025</v>
      </c>
      <c r="C752" s="435">
        <v>29</v>
      </c>
      <c r="D752" s="435">
        <v>3</v>
      </c>
      <c r="E752" s="435" t="s">
        <v>305</v>
      </c>
      <c r="F752" s="436" t="s">
        <v>50</v>
      </c>
      <c r="G752" s="437">
        <v>0.77083333333333215</v>
      </c>
      <c r="H752" s="436" t="s">
        <v>230</v>
      </c>
      <c r="I752" s="435">
        <v>77</v>
      </c>
      <c r="J752" s="436" t="s">
        <v>85</v>
      </c>
      <c r="K752" s="438">
        <v>114.08</v>
      </c>
      <c r="L752" s="439">
        <v>5.37</v>
      </c>
      <c r="M752" s="435">
        <v>131</v>
      </c>
      <c r="N752" s="435">
        <v>10</v>
      </c>
      <c r="O752" s="438">
        <v>21.243947858472996</v>
      </c>
      <c r="P752" s="440">
        <v>-1.6782334296833632</v>
      </c>
      <c r="Q752" s="438">
        <v>11.407999999999999</v>
      </c>
      <c r="R752" s="438">
        <v>0.87083969465648858</v>
      </c>
      <c r="S752" s="441">
        <v>13.1</v>
      </c>
      <c r="T752" s="441">
        <v>1.8621973929236499</v>
      </c>
      <c r="U752" s="239">
        <v>2</v>
      </c>
      <c r="V752" s="442">
        <v>2.2375000000000003E-2</v>
      </c>
      <c r="W752" s="441" t="s">
        <v>176</v>
      </c>
      <c r="X752" s="438">
        <v>19.277372919603788</v>
      </c>
      <c r="Y752" s="438">
        <v>1.9665749388692078</v>
      </c>
      <c r="Z752" s="443">
        <v>68.732222222222234</v>
      </c>
      <c r="AA752" s="58">
        <f t="shared" ca="1" si="23"/>
        <v>97.434999999999988</v>
      </c>
      <c r="AB752" s="453">
        <f ca="1">Table29[[#This Row],[Earnings]]-Table29[[#This Row],[4-Week Average]]</f>
        <v>16.64500000000001</v>
      </c>
    </row>
    <row r="753" spans="1:28" x14ac:dyDescent="0.35">
      <c r="A753" s="445">
        <v>45857</v>
      </c>
      <c r="B753" s="444">
        <v>2025</v>
      </c>
      <c r="C753" s="444">
        <v>29</v>
      </c>
      <c r="D753" s="444">
        <v>3</v>
      </c>
      <c r="E753" s="444" t="s">
        <v>305</v>
      </c>
      <c r="F753" s="445" t="s">
        <v>51</v>
      </c>
      <c r="G753" s="446">
        <v>0.79166666666666541</v>
      </c>
      <c r="H753" s="445" t="s">
        <v>230</v>
      </c>
      <c r="I753" s="444">
        <v>75</v>
      </c>
      <c r="J753" s="445" t="s">
        <v>82</v>
      </c>
      <c r="K753" s="447">
        <v>154.04</v>
      </c>
      <c r="L753" s="448">
        <v>8.2200000000000006</v>
      </c>
      <c r="M753" s="444">
        <v>198</v>
      </c>
      <c r="N753" s="444">
        <v>9</v>
      </c>
      <c r="O753" s="447">
        <v>18.739659367396591</v>
      </c>
      <c r="P753" s="449">
        <v>-2.4646891694910629</v>
      </c>
      <c r="Q753" s="447">
        <v>17.115555555555556</v>
      </c>
      <c r="R753" s="447">
        <v>0.77797979797979799</v>
      </c>
      <c r="S753" s="450">
        <v>22</v>
      </c>
      <c r="T753" s="450">
        <v>1.0948905109489051</v>
      </c>
      <c r="U753" s="240">
        <v>3</v>
      </c>
      <c r="V753" s="451">
        <v>3.8055555555555558E-2</v>
      </c>
      <c r="W753" s="450" t="s">
        <v>176</v>
      </c>
      <c r="X753" s="447">
        <v>20.038561698743642</v>
      </c>
      <c r="Y753" s="447">
        <v>-1.2989023313470511</v>
      </c>
      <c r="Z753" s="452">
        <v>70.443777777777782</v>
      </c>
      <c r="AA753" s="58">
        <f t="shared" ca="1" si="23"/>
        <v>111.16749999999999</v>
      </c>
      <c r="AB753" s="453">
        <f ca="1">Table29[[#This Row],[Earnings]]-Table29[[#This Row],[4-Week Average]]</f>
        <v>42.872500000000002</v>
      </c>
    </row>
    <row r="754" spans="1:28" x14ac:dyDescent="0.35">
      <c r="A754" s="436">
        <v>45860</v>
      </c>
      <c r="B754" s="435">
        <v>2025</v>
      </c>
      <c r="C754" s="435">
        <v>30</v>
      </c>
      <c r="D754" s="435">
        <v>4</v>
      </c>
      <c r="E754" s="435" t="s">
        <v>305</v>
      </c>
      <c r="F754" s="436" t="s">
        <v>47</v>
      </c>
      <c r="G754" s="437">
        <v>0.79166666666666541</v>
      </c>
      <c r="H754" s="436" t="s">
        <v>249</v>
      </c>
      <c r="I754" s="435">
        <v>73</v>
      </c>
      <c r="J754" s="436" t="s">
        <v>80</v>
      </c>
      <c r="K754" s="438">
        <v>95.64</v>
      </c>
      <c r="L754" s="439">
        <v>5</v>
      </c>
      <c r="M754" s="435">
        <v>96</v>
      </c>
      <c r="N754" s="435">
        <v>9</v>
      </c>
      <c r="O754" s="438">
        <v>19.128</v>
      </c>
      <c r="P754" s="440">
        <v>-3.3266933651010504</v>
      </c>
      <c r="Q754" s="438">
        <v>10.626666666666667</v>
      </c>
      <c r="R754" s="438">
        <v>0.99624999999999997</v>
      </c>
      <c r="S754" s="441">
        <v>10.666666666666666</v>
      </c>
      <c r="T754" s="441">
        <v>1.8</v>
      </c>
      <c r="U754" s="239">
        <v>2</v>
      </c>
      <c r="V754" s="442">
        <v>2.314814814814815E-2</v>
      </c>
      <c r="W754" s="441" t="s">
        <v>176</v>
      </c>
      <c r="X754" s="438">
        <v>19.176198587306246</v>
      </c>
      <c r="Y754" s="438">
        <v>-4.8198587306245599E-2</v>
      </c>
      <c r="Z754" s="443">
        <v>68.033444444444456</v>
      </c>
      <c r="AA754" s="58">
        <f t="shared" ca="1" si="23"/>
        <v>122.495</v>
      </c>
      <c r="AB754" s="453">
        <f ca="1">Table29[[#This Row],[Earnings]]-Table29[[#This Row],[4-Week Average]]</f>
        <v>-26.855000000000004</v>
      </c>
    </row>
    <row r="755" spans="1:28" x14ac:dyDescent="0.35">
      <c r="A755" s="445">
        <v>45862</v>
      </c>
      <c r="B755" s="444">
        <v>2025</v>
      </c>
      <c r="C755" s="444">
        <v>30</v>
      </c>
      <c r="D755" s="444">
        <v>4</v>
      </c>
      <c r="E755" s="444" t="s">
        <v>305</v>
      </c>
      <c r="F755" s="445" t="s">
        <v>49</v>
      </c>
      <c r="G755" s="446">
        <v>0.74999999999999889</v>
      </c>
      <c r="H755" s="445" t="s">
        <v>230</v>
      </c>
      <c r="I755" s="444">
        <v>74</v>
      </c>
      <c r="J755" s="445" t="s">
        <v>85</v>
      </c>
      <c r="K755" s="447">
        <v>215.68</v>
      </c>
      <c r="L755" s="448">
        <v>9.92</v>
      </c>
      <c r="M755" s="444">
        <v>256</v>
      </c>
      <c r="N755" s="444">
        <v>21</v>
      </c>
      <c r="O755" s="447">
        <v>21.741935483870968</v>
      </c>
      <c r="P755" s="449">
        <v>-0.25104398959602392</v>
      </c>
      <c r="Q755" s="447">
        <v>10.270476190476192</v>
      </c>
      <c r="R755" s="447">
        <v>0.84250000000000003</v>
      </c>
      <c r="S755" s="450">
        <v>12.19047619047619</v>
      </c>
      <c r="T755" s="450">
        <v>2.116935483870968</v>
      </c>
      <c r="U755" s="240">
        <v>2</v>
      </c>
      <c r="V755" s="451">
        <v>1.9682539682539683E-2</v>
      </c>
      <c r="W755" s="450" t="s">
        <v>175</v>
      </c>
      <c r="X755" s="447">
        <v>20.938868976503386</v>
      </c>
      <c r="Y755" s="447">
        <v>0.80306650736758201</v>
      </c>
      <c r="Z755" s="452">
        <v>69.65066666666668</v>
      </c>
      <c r="AA755" s="58">
        <f t="shared" ca="1" si="23"/>
        <v>144.86000000000001</v>
      </c>
      <c r="AB755" s="453">
        <f ca="1">Table29[[#This Row],[Earnings]]-Table29[[#This Row],[4-Week Average]]</f>
        <v>70.819999999999993</v>
      </c>
    </row>
    <row r="756" spans="1:28" x14ac:dyDescent="0.35">
      <c r="A756" s="436">
        <v>45866</v>
      </c>
      <c r="B756" s="435">
        <v>2025</v>
      </c>
      <c r="C756" s="435">
        <v>31</v>
      </c>
      <c r="D756" s="435">
        <v>5</v>
      </c>
      <c r="E756" s="435" t="s">
        <v>305</v>
      </c>
      <c r="F756" s="436" t="s">
        <v>46</v>
      </c>
      <c r="G756" s="437">
        <v>0.56249999999999911</v>
      </c>
      <c r="H756" s="436" t="s">
        <v>249</v>
      </c>
      <c r="I756" s="435">
        <v>82</v>
      </c>
      <c r="J756" s="436" t="s">
        <v>85</v>
      </c>
      <c r="K756" s="438">
        <v>115.44</v>
      </c>
      <c r="L756" s="439">
        <v>6.18</v>
      </c>
      <c r="M756" s="435">
        <v>119</v>
      </c>
      <c r="N756" s="435">
        <v>13</v>
      </c>
      <c r="O756" s="438">
        <v>18.679611650485437</v>
      </c>
      <c r="P756" s="440">
        <v>-4.8487588147659757</v>
      </c>
      <c r="Q756" s="438">
        <v>8.879999999999999</v>
      </c>
      <c r="R756" s="438">
        <v>0.97008403361344531</v>
      </c>
      <c r="S756" s="441">
        <v>9.1538461538461533</v>
      </c>
      <c r="T756" s="441">
        <v>2.1035598705501619</v>
      </c>
      <c r="U756" s="239">
        <v>2</v>
      </c>
      <c r="V756" s="442">
        <v>1.9807692307692307E-2</v>
      </c>
      <c r="W756" s="441" t="s">
        <v>176</v>
      </c>
      <c r="X756" s="438">
        <v>21.130380645893315</v>
      </c>
      <c r="Y756" s="438">
        <v>-2.4507689954078771</v>
      </c>
      <c r="Z756" s="443">
        <v>66.071000000000012</v>
      </c>
      <c r="AA756" s="58">
        <f t="shared" ca="1" si="23"/>
        <v>145.19999999999999</v>
      </c>
      <c r="AB756" s="453">
        <f ca="1">Table29[[#This Row],[Earnings]]-Table29[[#This Row],[4-Week Average]]</f>
        <v>-29.759999999999991</v>
      </c>
    </row>
    <row r="757" spans="1:28" x14ac:dyDescent="0.35">
      <c r="A757" s="445">
        <v>45868</v>
      </c>
      <c r="B757" s="444">
        <v>2025</v>
      </c>
      <c r="C757" s="444">
        <v>31</v>
      </c>
      <c r="D757" s="444">
        <v>5</v>
      </c>
      <c r="E757" s="444" t="s">
        <v>305</v>
      </c>
      <c r="F757" s="445" t="s">
        <v>48</v>
      </c>
      <c r="G757" s="446">
        <v>0.74999999999999889</v>
      </c>
      <c r="H757" s="445" t="s">
        <v>249</v>
      </c>
      <c r="I757" s="444">
        <v>82</v>
      </c>
      <c r="J757" s="445" t="s">
        <v>80</v>
      </c>
      <c r="K757" s="447">
        <v>111.37</v>
      </c>
      <c r="L757" s="448">
        <v>5.42</v>
      </c>
      <c r="M757" s="444">
        <v>134</v>
      </c>
      <c r="N757" s="444">
        <v>10</v>
      </c>
      <c r="O757" s="447">
        <v>20.547970479704798</v>
      </c>
      <c r="P757" s="449">
        <v>-2.8709943219513079</v>
      </c>
      <c r="Q757" s="447">
        <v>11.137</v>
      </c>
      <c r="R757" s="447">
        <v>0.8311194029850747</v>
      </c>
      <c r="S757" s="450">
        <v>13.4</v>
      </c>
      <c r="T757" s="450">
        <v>1.8450184501845019</v>
      </c>
      <c r="U757" s="240">
        <v>3</v>
      </c>
      <c r="V757" s="451">
        <v>2.2583333333333334E-2</v>
      </c>
      <c r="W757" s="450" t="s">
        <v>176</v>
      </c>
      <c r="X757" s="447">
        <v>17.567500598214174</v>
      </c>
      <c r="Y757" s="447">
        <v>2.9804698814906239</v>
      </c>
      <c r="Z757" s="452">
        <v>65.157000000000011</v>
      </c>
      <c r="AA757" s="58">
        <f t="shared" ca="1" si="23"/>
        <v>134.5325</v>
      </c>
      <c r="AB757" s="453">
        <f ca="1">Table29[[#This Row],[Earnings]]-Table29[[#This Row],[4-Week Average]]</f>
        <v>-23.162499999999994</v>
      </c>
    </row>
    <row r="758" spans="1:28" x14ac:dyDescent="0.35">
      <c r="A758" s="436">
        <v>45869</v>
      </c>
      <c r="B758" s="435">
        <v>2025</v>
      </c>
      <c r="C758" s="435">
        <v>31</v>
      </c>
      <c r="D758" s="435">
        <v>5</v>
      </c>
      <c r="E758" s="435" t="s">
        <v>305</v>
      </c>
      <c r="F758" s="436" t="s">
        <v>49</v>
      </c>
      <c r="G758" s="437">
        <v>0.74999999999999889</v>
      </c>
      <c r="H758" s="436" t="s">
        <v>325</v>
      </c>
      <c r="I758" s="435">
        <v>64</v>
      </c>
      <c r="J758" s="436" t="s">
        <v>82</v>
      </c>
      <c r="K758" s="438">
        <v>114.44</v>
      </c>
      <c r="L758" s="439">
        <v>5.97</v>
      </c>
      <c r="M758" s="435">
        <v>142</v>
      </c>
      <c r="N758" s="435">
        <v>12</v>
      </c>
      <c r="O758" s="438">
        <v>19.169179229480736</v>
      </c>
      <c r="P758" s="440">
        <v>-0.7939964258386496</v>
      </c>
      <c r="Q758" s="438">
        <v>9.5366666666666671</v>
      </c>
      <c r="R758" s="438">
        <v>0.80591549295774645</v>
      </c>
      <c r="S758" s="441">
        <v>11.833333333333334</v>
      </c>
      <c r="T758" s="441">
        <v>2.0100502512562817</v>
      </c>
      <c r="U758" s="239">
        <v>3</v>
      </c>
      <c r="V758" s="442">
        <v>2.0729166666666667E-2</v>
      </c>
      <c r="W758" s="441" t="s">
        <v>176</v>
      </c>
      <c r="X758" s="438">
        <v>18.58249317868167</v>
      </c>
      <c r="Y758" s="438">
        <v>0.58668605079906655</v>
      </c>
      <c r="Z758" s="443">
        <v>66.428555555555562</v>
      </c>
      <c r="AA758" s="58">
        <f t="shared" ca="1" si="23"/>
        <v>139.23250000000002</v>
      </c>
      <c r="AB758" s="453">
        <f ca="1">Table29[[#This Row],[Earnings]]-Table29[[#This Row],[4-Week Average]]</f>
        <v>-24.792500000000018</v>
      </c>
    </row>
    <row r="759" spans="1:28" x14ac:dyDescent="0.35">
      <c r="A759" s="445">
        <v>45870</v>
      </c>
      <c r="B759" s="444">
        <v>2025</v>
      </c>
      <c r="C759" s="444">
        <v>31</v>
      </c>
      <c r="D759" s="444">
        <v>5</v>
      </c>
      <c r="E759" s="444" t="s">
        <v>305</v>
      </c>
      <c r="F759" s="445" t="s">
        <v>50</v>
      </c>
      <c r="G759" s="446">
        <v>0.74999999999999889</v>
      </c>
      <c r="H759" s="445" t="s">
        <v>249</v>
      </c>
      <c r="I759" s="444">
        <v>73</v>
      </c>
      <c r="J759" s="445" t="s">
        <v>80</v>
      </c>
      <c r="K759" s="447">
        <v>152.66</v>
      </c>
      <c r="L759" s="448">
        <v>6.45</v>
      </c>
      <c r="M759" s="444">
        <v>153</v>
      </c>
      <c r="N759" s="444">
        <v>13</v>
      </c>
      <c r="O759" s="447">
        <v>23.668217054263565</v>
      </c>
      <c r="P759" s="449">
        <v>1.3546363345778509</v>
      </c>
      <c r="Q759" s="447">
        <v>11.743076923076924</v>
      </c>
      <c r="R759" s="447">
        <v>0.99777777777777776</v>
      </c>
      <c r="S759" s="450">
        <v>11.76923076923077</v>
      </c>
      <c r="T759" s="450">
        <v>2.0155038759689923</v>
      </c>
      <c r="U759" s="240">
        <v>4</v>
      </c>
      <c r="V759" s="451">
        <v>2.0673076923076922E-2</v>
      </c>
      <c r="W759" s="450" t="s">
        <v>176</v>
      </c>
      <c r="X759" s="447">
        <v>23.668217054263565</v>
      </c>
      <c r="Y759" s="447">
        <v>0</v>
      </c>
      <c r="Z759" s="452">
        <v>67.287444444444446</v>
      </c>
      <c r="AA759" s="58">
        <f t="shared" ca="1" si="23"/>
        <v>123.47749999999999</v>
      </c>
      <c r="AB759" s="453">
        <f ca="1">Table29[[#This Row],[Earnings]]-Table29[[#This Row],[4-Week Average]]</f>
        <v>29.182500000000005</v>
      </c>
    </row>
    <row r="760" spans="1:28" x14ac:dyDescent="0.35">
      <c r="A760" s="436">
        <v>45873</v>
      </c>
      <c r="B760" s="435">
        <v>2025</v>
      </c>
      <c r="C760" s="435">
        <v>32</v>
      </c>
      <c r="D760" s="435">
        <v>6</v>
      </c>
      <c r="E760" s="435" t="s">
        <v>305</v>
      </c>
      <c r="F760" s="436" t="s">
        <v>46</v>
      </c>
      <c r="G760" s="437">
        <v>0.72916666666666552</v>
      </c>
      <c r="H760" s="436" t="s">
        <v>249</v>
      </c>
      <c r="I760" s="435">
        <v>81</v>
      </c>
      <c r="J760" s="436" t="s">
        <v>80</v>
      </c>
      <c r="K760" s="438">
        <v>141.94</v>
      </c>
      <c r="L760" s="439">
        <v>5.85</v>
      </c>
      <c r="M760" s="435">
        <v>138</v>
      </c>
      <c r="N760" s="435">
        <v>11</v>
      </c>
      <c r="O760" s="438">
        <v>24.263247863247866</v>
      </c>
      <c r="P760" s="440">
        <v>2.5053034543427835</v>
      </c>
      <c r="Q760" s="438">
        <v>12.903636363636364</v>
      </c>
      <c r="R760" s="438">
        <v>1.028550724637681</v>
      </c>
      <c r="S760" s="441">
        <v>12.545454545454545</v>
      </c>
      <c r="T760" s="441">
        <v>1.8803418803418805</v>
      </c>
      <c r="U760" s="239">
        <v>2</v>
      </c>
      <c r="V760" s="442">
        <v>2.2159090909090906E-2</v>
      </c>
      <c r="W760" s="441" t="s">
        <v>176</v>
      </c>
      <c r="X760" s="438">
        <v>21.616253226379811</v>
      </c>
      <c r="Y760" s="438">
        <v>2.6469946368680546</v>
      </c>
      <c r="Z760" s="443">
        <v>65.432666666666648</v>
      </c>
      <c r="AA760" s="58">
        <f t="shared" ca="1" si="23"/>
        <v>130.10250000000002</v>
      </c>
      <c r="AB760" s="453">
        <f ca="1">Table29[[#This Row],[Earnings]]-Table29[[#This Row],[4-Week Average]]</f>
        <v>11.837499999999977</v>
      </c>
    </row>
    <row r="761" spans="1:28" x14ac:dyDescent="0.35">
      <c r="A761" s="445">
        <v>45875</v>
      </c>
      <c r="B761" s="444">
        <v>2025</v>
      </c>
      <c r="C761" s="444">
        <v>32</v>
      </c>
      <c r="D761" s="444">
        <v>6</v>
      </c>
      <c r="E761" s="444" t="s">
        <v>305</v>
      </c>
      <c r="F761" s="445" t="s">
        <v>48</v>
      </c>
      <c r="G761" s="446">
        <v>0.77083333333333215</v>
      </c>
      <c r="H761" s="445" t="s">
        <v>230</v>
      </c>
      <c r="I761" s="444">
        <v>73</v>
      </c>
      <c r="J761" s="445" t="s">
        <v>82</v>
      </c>
      <c r="K761" s="447">
        <v>71.12</v>
      </c>
      <c r="L761" s="448">
        <v>4.3</v>
      </c>
      <c r="M761" s="444">
        <v>88</v>
      </c>
      <c r="N761" s="444">
        <v>6</v>
      </c>
      <c r="O761" s="447">
        <v>16.539534883720933</v>
      </c>
      <c r="P761" s="449">
        <v>-0.24607278591820503</v>
      </c>
      <c r="Q761" s="447">
        <v>11.853333333333333</v>
      </c>
      <c r="R761" s="447">
        <v>0.80818181818181822</v>
      </c>
      <c r="S761" s="450">
        <v>14.666666666666666</v>
      </c>
      <c r="T761" s="450">
        <v>1.3953488372093024</v>
      </c>
      <c r="U761" s="240">
        <v>3</v>
      </c>
      <c r="V761" s="451">
        <v>2.9861111111111113E-2</v>
      </c>
      <c r="W761" s="450" t="s">
        <v>176</v>
      </c>
      <c r="X761" s="447">
        <v>15.763025868826759</v>
      </c>
      <c r="Y761" s="447">
        <v>0.77650901489417379</v>
      </c>
      <c r="Z761" s="452">
        <v>63.388555555555548</v>
      </c>
      <c r="AA761" s="58">
        <f t="shared" ca="1" si="23"/>
        <v>120.04</v>
      </c>
      <c r="AB761" s="453">
        <f ca="1">Table29[[#This Row],[Earnings]]-Table29[[#This Row],[4-Week Average]]</f>
        <v>-48.92</v>
      </c>
    </row>
    <row r="762" spans="1:28" x14ac:dyDescent="0.35">
      <c r="A762" s="436">
        <v>45877</v>
      </c>
      <c r="B762" s="435">
        <v>2025</v>
      </c>
      <c r="C762" s="435">
        <v>32</v>
      </c>
      <c r="D762" s="435">
        <v>6</v>
      </c>
      <c r="E762" s="435" t="s">
        <v>305</v>
      </c>
      <c r="F762" s="436" t="s">
        <v>50</v>
      </c>
      <c r="G762" s="437">
        <v>0.81249999999999878</v>
      </c>
      <c r="H762" s="436" t="s">
        <v>281</v>
      </c>
      <c r="I762" s="435">
        <v>73</v>
      </c>
      <c r="J762" s="436" t="s">
        <v>80</v>
      </c>
      <c r="K762" s="438">
        <v>52.25</v>
      </c>
      <c r="L762" s="439">
        <v>3.18</v>
      </c>
      <c r="M762" s="435">
        <v>45.8</v>
      </c>
      <c r="N762" s="435">
        <v>6</v>
      </c>
      <c r="O762" s="438">
        <v>16.430817610062892</v>
      </c>
      <c r="P762" s="440">
        <v>-5.9956494708376411</v>
      </c>
      <c r="Q762" s="438">
        <v>8.7083333333333339</v>
      </c>
      <c r="R762" s="438">
        <v>1.1408296943231442</v>
      </c>
      <c r="S762" s="441">
        <v>7.6333333333333329</v>
      </c>
      <c r="T762" s="441">
        <v>1.8867924528301885</v>
      </c>
      <c r="U762" s="239">
        <v>2</v>
      </c>
      <c r="V762" s="442">
        <v>2.2083333333333333E-2</v>
      </c>
      <c r="W762" s="441" t="s">
        <v>176</v>
      </c>
      <c r="X762" s="438">
        <v>17.967106899099438</v>
      </c>
      <c r="Y762" s="438">
        <v>-1.5362892890365458</v>
      </c>
      <c r="Z762" s="443">
        <v>62.901555555555539</v>
      </c>
      <c r="AA762" s="58">
        <f t="shared" ca="1" si="23"/>
        <v>104.49250000000001</v>
      </c>
      <c r="AB762" s="453">
        <f ca="1">Table29[[#This Row],[Earnings]]-Table29[[#This Row],[4-Week Average]]</f>
        <v>-52.242500000000007</v>
      </c>
    </row>
    <row r="763" spans="1:28" x14ac:dyDescent="0.35">
      <c r="A763" s="445">
        <v>45878</v>
      </c>
      <c r="B763" s="444">
        <v>2025</v>
      </c>
      <c r="C763" s="444">
        <v>32</v>
      </c>
      <c r="D763" s="444">
        <v>6</v>
      </c>
      <c r="E763" s="444" t="s">
        <v>305</v>
      </c>
      <c r="F763" s="445" t="s">
        <v>51</v>
      </c>
      <c r="G763" s="446">
        <v>0.70833333333333226</v>
      </c>
      <c r="H763" s="445" t="s">
        <v>230</v>
      </c>
      <c r="I763" s="444">
        <v>75</v>
      </c>
      <c r="J763" s="445" t="s">
        <v>80</v>
      </c>
      <c r="K763" s="447">
        <v>135.98000000000002</v>
      </c>
      <c r="L763" s="448">
        <v>6.57</v>
      </c>
      <c r="M763" s="444">
        <v>128</v>
      </c>
      <c r="N763" s="444">
        <v>13</v>
      </c>
      <c r="O763" s="447">
        <v>20.697108066971083</v>
      </c>
      <c r="P763" s="449">
        <v>1.5048789158020242</v>
      </c>
      <c r="Q763" s="447">
        <v>10.46</v>
      </c>
      <c r="R763" s="447">
        <v>1.0623437500000001</v>
      </c>
      <c r="S763" s="450">
        <v>9.8461538461538467</v>
      </c>
      <c r="T763" s="450">
        <v>1.9786910197869101</v>
      </c>
      <c r="U763" s="240">
        <v>3</v>
      </c>
      <c r="V763" s="451">
        <v>2.1057692307692309E-2</v>
      </c>
      <c r="W763" s="450" t="s">
        <v>175</v>
      </c>
      <c r="X763" s="447">
        <v>19.537625371175935</v>
      </c>
      <c r="Y763" s="447">
        <v>1.1594826957951483</v>
      </c>
      <c r="Z763" s="452">
        <v>63.006333333333309</v>
      </c>
      <c r="AA763" s="58">
        <f t="shared" ca="1" si="23"/>
        <v>100.32250000000001</v>
      </c>
      <c r="AB763" s="453">
        <f ca="1">Table29[[#This Row],[Earnings]]-Table29[[#This Row],[4-Week Average]]</f>
        <v>35.657500000000013</v>
      </c>
    </row>
    <row r="764" spans="1:28" x14ac:dyDescent="0.35">
      <c r="A764" s="436">
        <v>45879</v>
      </c>
      <c r="B764" s="435">
        <v>2025</v>
      </c>
      <c r="C764" s="435">
        <v>32</v>
      </c>
      <c r="D764" s="435">
        <v>6</v>
      </c>
      <c r="E764" s="435" t="s">
        <v>305</v>
      </c>
      <c r="F764" s="436" t="s">
        <v>45</v>
      </c>
      <c r="G764" s="437">
        <v>0.70833333333333226</v>
      </c>
      <c r="H764" s="436" t="s">
        <v>230</v>
      </c>
      <c r="I764" s="435">
        <v>82</v>
      </c>
      <c r="J764" s="436" t="s">
        <v>82</v>
      </c>
      <c r="K764" s="438">
        <v>141.4</v>
      </c>
      <c r="L764" s="439">
        <v>6.22</v>
      </c>
      <c r="M764" s="435">
        <v>112</v>
      </c>
      <c r="N764" s="435">
        <v>11</v>
      </c>
      <c r="O764" s="438">
        <v>22.733118971061096</v>
      </c>
      <c r="P764" s="440">
        <v>3.7379112250644262</v>
      </c>
      <c r="Q764" s="438">
        <v>12.854545454545455</v>
      </c>
      <c r="R764" s="438">
        <v>1.2625</v>
      </c>
      <c r="S764" s="441">
        <v>10.181818181818182</v>
      </c>
      <c r="T764" s="441">
        <v>1.7684887459807075</v>
      </c>
      <c r="U764" s="239">
        <v>3</v>
      </c>
      <c r="V764" s="442">
        <v>2.356060606060606E-2</v>
      </c>
      <c r="W764" s="441" t="s">
        <v>176</v>
      </c>
      <c r="X764" s="438">
        <v>22.915748241573912</v>
      </c>
      <c r="Y764" s="438">
        <v>-0.18262927051281608</v>
      </c>
      <c r="Z764" s="443">
        <v>63.78044444444442</v>
      </c>
      <c r="AA764" s="58">
        <f t="shared" ca="1" si="23"/>
        <v>100.1875</v>
      </c>
      <c r="AB764" s="453">
        <f ca="1">Table29[[#This Row],[Earnings]]-Table29[[#This Row],[4-Week Average]]</f>
        <v>41.212500000000006</v>
      </c>
    </row>
    <row r="765" spans="1:28" x14ac:dyDescent="0.35">
      <c r="A765" s="445">
        <v>45880</v>
      </c>
      <c r="B765" s="444">
        <v>2025</v>
      </c>
      <c r="C765" s="444">
        <v>33</v>
      </c>
      <c r="D765" s="444">
        <v>7</v>
      </c>
      <c r="E765" s="444" t="s">
        <v>305</v>
      </c>
      <c r="F765" s="445" t="s">
        <v>46</v>
      </c>
      <c r="G765" s="446">
        <v>0.74999999999999889</v>
      </c>
      <c r="H765" s="445" t="s">
        <v>230</v>
      </c>
      <c r="I765" s="444">
        <v>88</v>
      </c>
      <c r="J765" s="445" t="s">
        <v>82</v>
      </c>
      <c r="K765" s="447">
        <v>83.75</v>
      </c>
      <c r="L765" s="448">
        <v>5.08</v>
      </c>
      <c r="M765" s="444">
        <v>96</v>
      </c>
      <c r="N765" s="444">
        <v>10</v>
      </c>
      <c r="O765" s="447">
        <v>16.486220472440944</v>
      </c>
      <c r="P765" s="449">
        <v>5.0486081738725375E-3</v>
      </c>
      <c r="Q765" s="447">
        <v>8.375</v>
      </c>
      <c r="R765" s="447">
        <v>0.87239583333333337</v>
      </c>
      <c r="S765" s="450">
        <v>9.6</v>
      </c>
      <c r="T765" s="450">
        <v>1.9685039370078741</v>
      </c>
      <c r="U765" s="240">
        <v>3</v>
      </c>
      <c r="V765" s="451">
        <v>2.1166666666666667E-2</v>
      </c>
      <c r="W765" s="450" t="s">
        <v>176</v>
      </c>
      <c r="X765" s="447">
        <v>15.658282216918668</v>
      </c>
      <c r="Y765" s="447">
        <v>0.82793825552227673</v>
      </c>
      <c r="Z765" s="452">
        <v>63.373888888888864</v>
      </c>
      <c r="AA765" s="58">
        <f t="shared" ca="1" si="23"/>
        <v>103.345</v>
      </c>
      <c r="AB765" s="453">
        <f ca="1">Table29[[#This Row],[Earnings]]-Table29[[#This Row],[4-Week Average]]</f>
        <v>-19.594999999999999</v>
      </c>
    </row>
    <row r="766" spans="1:28" x14ac:dyDescent="0.35">
      <c r="A766" s="436">
        <v>45881</v>
      </c>
      <c r="B766" s="435">
        <v>2025</v>
      </c>
      <c r="C766" s="435">
        <v>33</v>
      </c>
      <c r="D766" s="435">
        <v>7</v>
      </c>
      <c r="E766" s="435" t="s">
        <v>305</v>
      </c>
      <c r="F766" s="436" t="s">
        <v>47</v>
      </c>
      <c r="G766" s="437">
        <v>0.72916666666666552</v>
      </c>
      <c r="H766" s="436" t="s">
        <v>230</v>
      </c>
      <c r="I766" s="435">
        <v>90</v>
      </c>
      <c r="J766" s="436" t="s">
        <v>82</v>
      </c>
      <c r="K766" s="438">
        <v>96.26</v>
      </c>
      <c r="L766" s="439">
        <v>5.85</v>
      </c>
      <c r="M766" s="435">
        <v>140</v>
      </c>
      <c r="N766" s="435">
        <v>8</v>
      </c>
      <c r="O766" s="438">
        <v>16.454700854700857</v>
      </c>
      <c r="P766" s="440">
        <v>2.0110967306419685</v>
      </c>
      <c r="Q766" s="438">
        <v>12.032500000000001</v>
      </c>
      <c r="R766" s="438">
        <v>0.68757142857142861</v>
      </c>
      <c r="S766" s="441">
        <v>17.5</v>
      </c>
      <c r="T766" s="441">
        <v>1.3675213675213675</v>
      </c>
      <c r="U766" s="239">
        <v>2</v>
      </c>
      <c r="V766" s="442">
        <v>3.0468749999999999E-2</v>
      </c>
      <c r="W766" s="441" t="s">
        <v>176</v>
      </c>
      <c r="X766" s="438">
        <v>17.127735570511192</v>
      </c>
      <c r="Y766" s="438">
        <v>-0.67303471581033492</v>
      </c>
      <c r="Z766" s="443">
        <v>63.143222222222214</v>
      </c>
      <c r="AA766" s="58">
        <f t="shared" ca="1" si="23"/>
        <v>114.3475</v>
      </c>
      <c r="AB766" s="453">
        <f ca="1">Table29[[#This Row],[Earnings]]-Table29[[#This Row],[4-Week Average]]</f>
        <v>-18.087499999999991</v>
      </c>
    </row>
    <row r="767" spans="1:28" x14ac:dyDescent="0.35">
      <c r="A767" s="445">
        <v>45882</v>
      </c>
      <c r="B767" s="444">
        <v>2025</v>
      </c>
      <c r="C767" s="444">
        <v>33</v>
      </c>
      <c r="D767" s="444">
        <v>7</v>
      </c>
      <c r="E767" s="444" t="s">
        <v>305</v>
      </c>
      <c r="F767" s="445" t="s">
        <v>48</v>
      </c>
      <c r="G767" s="446">
        <v>0.81249999999999878</v>
      </c>
      <c r="H767" s="445" t="s">
        <v>249</v>
      </c>
      <c r="I767" s="444">
        <v>79</v>
      </c>
      <c r="J767" s="445" t="s">
        <v>80</v>
      </c>
      <c r="K767" s="447">
        <v>65.989999999999995</v>
      </c>
      <c r="L767" s="448">
        <v>3.13</v>
      </c>
      <c r="M767" s="444">
        <v>54</v>
      </c>
      <c r="N767" s="444">
        <v>6</v>
      </c>
      <c r="O767" s="447">
        <v>21.083067092651756</v>
      </c>
      <c r="P767" s="449">
        <v>-2.0966481821750769</v>
      </c>
      <c r="Q767" s="447">
        <v>10.998333333333333</v>
      </c>
      <c r="R767" s="447">
        <v>1.222037037037037</v>
      </c>
      <c r="S767" s="450">
        <v>9</v>
      </c>
      <c r="T767" s="450">
        <v>1.9169329073482428</v>
      </c>
      <c r="U767" s="240">
        <v>2</v>
      </c>
      <c r="V767" s="451">
        <v>2.1736111111111109E-2</v>
      </c>
      <c r="W767" s="450" t="s">
        <v>176</v>
      </c>
      <c r="X767" s="447">
        <v>21.900354654253771</v>
      </c>
      <c r="Y767" s="447">
        <v>-0.81728756160201499</v>
      </c>
      <c r="Z767" s="452">
        <v>63.876444444444438</v>
      </c>
      <c r="AA767" s="58">
        <f t="shared" ca="1" si="23"/>
        <v>96.850000000000009</v>
      </c>
      <c r="AB767" s="453">
        <f ca="1">Table29[[#This Row],[Earnings]]-Table29[[#This Row],[4-Week Average]]</f>
        <v>-30.860000000000014</v>
      </c>
    </row>
    <row r="768" spans="1:28" x14ac:dyDescent="0.35">
      <c r="A768" s="436">
        <v>45883</v>
      </c>
      <c r="B768" s="435">
        <v>2025</v>
      </c>
      <c r="C768" s="435">
        <v>33</v>
      </c>
      <c r="D768" s="435">
        <v>7</v>
      </c>
      <c r="E768" s="435" t="s">
        <v>305</v>
      </c>
      <c r="F768" s="436" t="s">
        <v>49</v>
      </c>
      <c r="G768" s="437">
        <v>0.81249999999999878</v>
      </c>
      <c r="H768" s="436" t="s">
        <v>249</v>
      </c>
      <c r="I768" s="435">
        <v>84</v>
      </c>
      <c r="J768" s="436" t="s">
        <v>82</v>
      </c>
      <c r="K768" s="438">
        <v>61.97</v>
      </c>
      <c r="L768" s="439">
        <v>4.07</v>
      </c>
      <c r="M768" s="435">
        <v>82</v>
      </c>
      <c r="N768" s="435">
        <v>9</v>
      </c>
      <c r="O768" s="438">
        <v>15.226044226044225</v>
      </c>
      <c r="P768" s="440">
        <v>-4.6378818760453289</v>
      </c>
      <c r="Q768" s="438">
        <v>6.8855555555555554</v>
      </c>
      <c r="R768" s="438">
        <v>0.75573170731707318</v>
      </c>
      <c r="S768" s="441">
        <v>9.1111111111111107</v>
      </c>
      <c r="T768" s="441">
        <v>2.2113022113022112</v>
      </c>
      <c r="U768" s="239">
        <v>4</v>
      </c>
      <c r="V768" s="442">
        <v>1.8842592592592595E-2</v>
      </c>
      <c r="W768" s="441" t="s">
        <v>176</v>
      </c>
      <c r="X768" s="438">
        <v>17.47428262633742</v>
      </c>
      <c r="Y768" s="438">
        <v>-2.2482384002931948</v>
      </c>
      <c r="Z768" s="443">
        <v>62.881999999999984</v>
      </c>
      <c r="AA768" s="58">
        <f t="shared" ca="1" si="23"/>
        <v>76.992500000000007</v>
      </c>
      <c r="AB768" s="453">
        <f ca="1">Table29[[#This Row],[Earnings]]-Table29[[#This Row],[4-Week Average]]</f>
        <v>-15.022500000000008</v>
      </c>
    </row>
    <row r="769" spans="1:28" x14ac:dyDescent="0.35">
      <c r="A769" s="445">
        <v>45884</v>
      </c>
      <c r="B769" s="444">
        <v>2025</v>
      </c>
      <c r="C769" s="444">
        <v>33</v>
      </c>
      <c r="D769" s="444">
        <v>7</v>
      </c>
      <c r="E769" s="444" t="s">
        <v>305</v>
      </c>
      <c r="F769" s="445" t="s">
        <v>50</v>
      </c>
      <c r="G769" s="446">
        <v>0.74999999999999889</v>
      </c>
      <c r="H769" s="445" t="s">
        <v>230</v>
      </c>
      <c r="I769" s="444">
        <v>81</v>
      </c>
      <c r="J769" s="445" t="s">
        <v>80</v>
      </c>
      <c r="K769" s="447">
        <v>131.12</v>
      </c>
      <c r="L769" s="448">
        <v>6.38</v>
      </c>
      <c r="M769" s="444">
        <v>145</v>
      </c>
      <c r="N769" s="444">
        <v>13</v>
      </c>
      <c r="O769" s="447">
        <v>20.551724137931036</v>
      </c>
      <c r="P769" s="449">
        <v>-1.4135391375204485</v>
      </c>
      <c r="Q769" s="447">
        <v>10.086153846153847</v>
      </c>
      <c r="R769" s="447">
        <v>0.9042758620689656</v>
      </c>
      <c r="S769" s="450">
        <v>11.153846153846153</v>
      </c>
      <c r="T769" s="450">
        <v>2.0376175548589344</v>
      </c>
      <c r="U769" s="240">
        <v>1</v>
      </c>
      <c r="V769" s="451">
        <v>2.0448717948717946E-2</v>
      </c>
      <c r="W769" s="450" t="s">
        <v>176</v>
      </c>
      <c r="X769" s="447">
        <v>19.306427700229733</v>
      </c>
      <c r="Y769" s="447">
        <v>1.2452964377013025</v>
      </c>
      <c r="Z769" s="452">
        <v>62.840999999999966</v>
      </c>
      <c r="AA769" s="58">
        <f t="shared" ca="1" si="23"/>
        <v>88.835000000000008</v>
      </c>
      <c r="AB769" s="453">
        <f ca="1">Table29[[#This Row],[Earnings]]-Table29[[#This Row],[4-Week Average]]</f>
        <v>42.284999999999997</v>
      </c>
    </row>
    <row r="770" spans="1:28" x14ac:dyDescent="0.35">
      <c r="A770" s="436">
        <v>45885</v>
      </c>
      <c r="B770" s="435">
        <v>2025</v>
      </c>
      <c r="C770" s="435">
        <v>33</v>
      </c>
      <c r="D770" s="435">
        <v>7</v>
      </c>
      <c r="E770" s="435" t="s">
        <v>305</v>
      </c>
      <c r="F770" s="436" t="s">
        <v>51</v>
      </c>
      <c r="G770" s="437">
        <v>0.43749999999999933</v>
      </c>
      <c r="H770" s="436" t="s">
        <v>249</v>
      </c>
      <c r="I770" s="435">
        <v>81</v>
      </c>
      <c r="J770" s="436" t="s">
        <v>85</v>
      </c>
      <c r="K770" s="438">
        <v>121.64</v>
      </c>
      <c r="L770" s="439">
        <v>7.33</v>
      </c>
      <c r="M770" s="435">
        <v>172</v>
      </c>
      <c r="N770" s="435">
        <v>15</v>
      </c>
      <c r="O770" s="438">
        <v>16.594815825375171</v>
      </c>
      <c r="P770" s="440">
        <v>-4.8176450126944417</v>
      </c>
      <c r="Q770" s="438">
        <v>8.1093333333333337</v>
      </c>
      <c r="R770" s="438">
        <v>0.70720930232558143</v>
      </c>
      <c r="S770" s="441">
        <v>11.466666666666667</v>
      </c>
      <c r="T770" s="441">
        <v>2.0463847203274215</v>
      </c>
      <c r="U770" s="239">
        <v>1</v>
      </c>
      <c r="V770" s="442">
        <v>2.0361111111111111E-2</v>
      </c>
      <c r="W770" s="441" t="s">
        <v>176</v>
      </c>
      <c r="X770" s="438">
        <v>21.324966967805693</v>
      </c>
      <c r="Y770" s="438">
        <v>-4.7301511424305218</v>
      </c>
      <c r="Z770" s="443">
        <v>64.192555555555529</v>
      </c>
      <c r="AA770" s="58">
        <f t="shared" ca="1" si="23"/>
        <v>95.179999999999993</v>
      </c>
      <c r="AB770" s="453">
        <f ca="1">Table29[[#This Row],[Earnings]]-Table29[[#This Row],[4-Week Average]]</f>
        <v>26.460000000000008</v>
      </c>
    </row>
    <row r="771" spans="1:28" x14ac:dyDescent="0.35">
      <c r="A771" s="445">
        <v>45886</v>
      </c>
      <c r="B771" s="444">
        <v>2025</v>
      </c>
      <c r="C771" s="444">
        <v>33</v>
      </c>
      <c r="D771" s="444">
        <v>7</v>
      </c>
      <c r="E771" s="444" t="s">
        <v>305</v>
      </c>
      <c r="F771" s="445" t="s">
        <v>45</v>
      </c>
      <c r="G771" s="446">
        <v>0.52083333333333248</v>
      </c>
      <c r="H771" s="445" t="s">
        <v>249</v>
      </c>
      <c r="I771" s="444">
        <v>84</v>
      </c>
      <c r="J771" s="445" t="s">
        <v>85</v>
      </c>
      <c r="K771" s="447">
        <v>71</v>
      </c>
      <c r="L771" s="448">
        <v>3.02</v>
      </c>
      <c r="M771" s="444">
        <v>56</v>
      </c>
      <c r="N771" s="444">
        <v>6</v>
      </c>
      <c r="O771" s="447">
        <v>23.509933774834437</v>
      </c>
      <c r="P771" s="449">
        <v>-0.61170567880542848</v>
      </c>
      <c r="Q771" s="447">
        <v>11.833333333333334</v>
      </c>
      <c r="R771" s="447">
        <v>1.2678571428571428</v>
      </c>
      <c r="S771" s="450">
        <v>9.3333333333333339</v>
      </c>
      <c r="T771" s="450">
        <v>1.9867549668874172</v>
      </c>
      <c r="U771" s="240">
        <v>3</v>
      </c>
      <c r="V771" s="451">
        <v>2.0972222222222222E-2</v>
      </c>
      <c r="W771" s="450" t="s">
        <v>176</v>
      </c>
      <c r="X771" s="447">
        <v>20.923641586212398</v>
      </c>
      <c r="Y771" s="447">
        <v>2.5862921886220391</v>
      </c>
      <c r="Z771" s="452">
        <v>64.981444444444406</v>
      </c>
      <c r="AA771" s="58">
        <f t="shared" ca="1" si="23"/>
        <v>96.432500000000005</v>
      </c>
      <c r="AB771" s="453">
        <f ca="1">Table29[[#This Row],[Earnings]]-Table29[[#This Row],[4-Week Average]]</f>
        <v>-25.432500000000005</v>
      </c>
    </row>
    <row r="772" spans="1:28" x14ac:dyDescent="0.35">
      <c r="A772" s="436">
        <v>45887</v>
      </c>
      <c r="B772" s="435">
        <v>2025</v>
      </c>
      <c r="C772" s="435">
        <v>34</v>
      </c>
      <c r="D772" s="435">
        <v>8</v>
      </c>
      <c r="E772" s="435" t="s">
        <v>305</v>
      </c>
      <c r="F772" s="436" t="s">
        <v>46</v>
      </c>
      <c r="G772" s="437">
        <v>0.77083333333333215</v>
      </c>
      <c r="H772" s="436" t="s">
        <v>230</v>
      </c>
      <c r="I772" s="435">
        <v>68</v>
      </c>
      <c r="J772" s="436" t="s">
        <v>85</v>
      </c>
      <c r="K772" s="438">
        <v>133.47</v>
      </c>
      <c r="L772" s="439">
        <v>5.13</v>
      </c>
      <c r="M772" s="435">
        <v>114</v>
      </c>
      <c r="N772" s="435">
        <v>10</v>
      </c>
      <c r="O772" s="438">
        <v>26.017543859649123</v>
      </c>
      <c r="P772" s="440">
        <v>2.7585488841069292</v>
      </c>
      <c r="Q772" s="438">
        <v>13.347</v>
      </c>
      <c r="R772" s="438">
        <v>1.1707894736842106</v>
      </c>
      <c r="S772" s="441">
        <v>11.4</v>
      </c>
      <c r="T772" s="441">
        <v>1.9493177387914231</v>
      </c>
      <c r="U772" s="239">
        <v>3</v>
      </c>
      <c r="V772" s="442">
        <v>2.1375000000000002E-2</v>
      </c>
      <c r="W772" s="441" t="s">
        <v>175</v>
      </c>
      <c r="X772" s="438">
        <v>26.017543859649123</v>
      </c>
      <c r="Y772" s="438">
        <v>0</v>
      </c>
      <c r="Z772" s="443">
        <v>65.251555555555527</v>
      </c>
      <c r="AA772" s="58">
        <f t="shared" ref="AA772:AA780" ca="1" si="24">AVERAGE(OFFSET(K772,-3,0,4,1))</f>
        <v>114.3075</v>
      </c>
      <c r="AB772" s="453">
        <f ca="1">Table29[[#This Row],[Earnings]]-Table29[[#This Row],[4-Week Average]]</f>
        <v>19.162499999999994</v>
      </c>
    </row>
    <row r="773" spans="1:28" x14ac:dyDescent="0.35">
      <c r="A773" s="445">
        <v>45889</v>
      </c>
      <c r="B773" s="444">
        <v>2025</v>
      </c>
      <c r="C773" s="444">
        <v>34</v>
      </c>
      <c r="D773" s="444">
        <v>8</v>
      </c>
      <c r="E773" s="444" t="s">
        <v>305</v>
      </c>
      <c r="F773" s="445" t="s">
        <v>48</v>
      </c>
      <c r="G773" s="446">
        <v>0.77083333333333215</v>
      </c>
      <c r="H773" s="445" t="s">
        <v>230</v>
      </c>
      <c r="I773" s="444">
        <v>64</v>
      </c>
      <c r="J773" s="445" t="s">
        <v>85</v>
      </c>
      <c r="K773" s="447">
        <v>122.98</v>
      </c>
      <c r="L773" s="448">
        <v>7.05</v>
      </c>
      <c r="M773" s="444">
        <v>155</v>
      </c>
      <c r="N773" s="444">
        <v>15</v>
      </c>
      <c r="O773" s="447">
        <v>17.443971631205674</v>
      </c>
      <c r="P773" s="449">
        <v>-5.1171693376148966</v>
      </c>
      <c r="Q773" s="447">
        <v>8.1986666666666661</v>
      </c>
      <c r="R773" s="447">
        <v>0.79341935483870973</v>
      </c>
      <c r="S773" s="450">
        <v>10.333333333333334</v>
      </c>
      <c r="T773" s="450">
        <v>2.1276595744680851</v>
      </c>
      <c r="U773" s="240">
        <v>2</v>
      </c>
      <c r="V773" s="451">
        <v>1.9583333333333331E-2</v>
      </c>
      <c r="W773" s="450" t="s">
        <v>176</v>
      </c>
      <c r="X773" s="447">
        <v>23.323781261793304</v>
      </c>
      <c r="Y773" s="447">
        <v>-5.87980963058763</v>
      </c>
      <c r="Z773" s="452">
        <v>64.33299999999997</v>
      </c>
      <c r="AA773" s="58">
        <f t="shared" ca="1" si="24"/>
        <v>112.27250000000001</v>
      </c>
      <c r="AB773" s="453">
        <f ca="1">Table29[[#This Row],[Earnings]]-Table29[[#This Row],[4-Week Average]]</f>
        <v>10.707499999999996</v>
      </c>
    </row>
    <row r="774" spans="1:28" x14ac:dyDescent="0.35">
      <c r="A774" s="436">
        <v>45890</v>
      </c>
      <c r="B774" s="435">
        <v>2025</v>
      </c>
      <c r="C774" s="435">
        <v>34</v>
      </c>
      <c r="D774" s="435">
        <v>8</v>
      </c>
      <c r="E774" s="435" t="s">
        <v>305</v>
      </c>
      <c r="F774" s="436" t="s">
        <v>49</v>
      </c>
      <c r="G774" s="437">
        <v>0.72916666666666552</v>
      </c>
      <c r="H774" s="436" t="s">
        <v>230</v>
      </c>
      <c r="I774" s="435">
        <v>72</v>
      </c>
      <c r="J774" s="436" t="s">
        <v>82</v>
      </c>
      <c r="K774" s="438">
        <v>124.34</v>
      </c>
      <c r="L774" s="439">
        <v>6.88</v>
      </c>
      <c r="M774" s="435">
        <v>168</v>
      </c>
      <c r="N774" s="435">
        <v>11</v>
      </c>
      <c r="O774" s="438">
        <v>18.072674418604652</v>
      </c>
      <c r="P774" s="440">
        <v>-1.2759314750354207</v>
      </c>
      <c r="Q774" s="438">
        <v>11.303636363636365</v>
      </c>
      <c r="R774" s="438">
        <v>0.74011904761904768</v>
      </c>
      <c r="S774" s="441">
        <v>15.272727272727273</v>
      </c>
      <c r="T774" s="441">
        <v>1.5988372093023255</v>
      </c>
      <c r="U774" s="239">
        <v>2</v>
      </c>
      <c r="V774" s="442">
        <v>2.6060606060606062E-2</v>
      </c>
      <c r="W774" s="441" t="s">
        <v>176</v>
      </c>
      <c r="X774" s="438">
        <v>20.801092160105405</v>
      </c>
      <c r="Y774" s="438">
        <v>-2.7284177415007527</v>
      </c>
      <c r="Z774" s="443">
        <v>65.714555555555535</v>
      </c>
      <c r="AA774" s="58">
        <f t="shared" ca="1" si="24"/>
        <v>112.94749999999999</v>
      </c>
      <c r="AB774" s="453">
        <f ca="1">Table29[[#This Row],[Earnings]]-Table29[[#This Row],[4-Week Average]]</f>
        <v>11.392500000000013</v>
      </c>
    </row>
    <row r="775" spans="1:28" x14ac:dyDescent="0.35">
      <c r="A775" s="445">
        <v>45891</v>
      </c>
      <c r="B775" s="444">
        <v>2025</v>
      </c>
      <c r="C775" s="444">
        <v>34</v>
      </c>
      <c r="D775" s="444">
        <v>8</v>
      </c>
      <c r="E775" s="444" t="s">
        <v>305</v>
      </c>
      <c r="F775" s="445" t="s">
        <v>50</v>
      </c>
      <c r="G775" s="446">
        <v>0.79166666666666541</v>
      </c>
      <c r="H775" s="445" t="s">
        <v>230</v>
      </c>
      <c r="I775" s="444">
        <v>81</v>
      </c>
      <c r="J775" s="445" t="s">
        <v>80</v>
      </c>
      <c r="K775" s="447">
        <v>177.68</v>
      </c>
      <c r="L775" s="448">
        <v>6.55</v>
      </c>
      <c r="M775" s="444">
        <v>177</v>
      </c>
      <c r="N775" s="444">
        <v>13</v>
      </c>
      <c r="O775" s="447">
        <v>27.126717557251911</v>
      </c>
      <c r="P775" s="449">
        <v>5.2624213630518888</v>
      </c>
      <c r="Q775" s="447">
        <v>13.667692307692308</v>
      </c>
      <c r="R775" s="447">
        <v>1.0038418079096045</v>
      </c>
      <c r="S775" s="450">
        <v>13.615384615384615</v>
      </c>
      <c r="T775" s="450">
        <v>1.9847328244274809</v>
      </c>
      <c r="U775" s="240">
        <v>3</v>
      </c>
      <c r="V775" s="451">
        <v>2.0993589743589742E-2</v>
      </c>
      <c r="W775" s="450" t="s">
        <v>176</v>
      </c>
      <c r="X775" s="447">
        <v>25.991327331647295</v>
      </c>
      <c r="Y775" s="447">
        <v>1.1353902256046169</v>
      </c>
      <c r="Z775" s="452">
        <v>67.688777777777759</v>
      </c>
      <c r="AA775" s="58">
        <f t="shared" ca="1" si="24"/>
        <v>139.61750000000001</v>
      </c>
      <c r="AB775" s="453">
        <f ca="1">Table29[[#This Row],[Earnings]]-Table29[[#This Row],[4-Week Average]]</f>
        <v>38.0625</v>
      </c>
    </row>
    <row r="776" spans="1:28" x14ac:dyDescent="0.35">
      <c r="A776" s="436">
        <v>45894</v>
      </c>
      <c r="B776" s="435">
        <v>2025</v>
      </c>
      <c r="C776" s="435">
        <v>35</v>
      </c>
      <c r="D776" s="435">
        <v>9</v>
      </c>
      <c r="E776" s="435" t="s">
        <v>305</v>
      </c>
      <c r="F776" s="436" t="s">
        <v>46</v>
      </c>
      <c r="G776" s="437">
        <v>0.72916666666666552</v>
      </c>
      <c r="H776" s="436" t="s">
        <v>249</v>
      </c>
      <c r="I776" s="435">
        <v>66</v>
      </c>
      <c r="J776" s="436" t="s">
        <v>85</v>
      </c>
      <c r="K776" s="438">
        <v>141.60999999999999</v>
      </c>
      <c r="L776" s="439">
        <v>6.42</v>
      </c>
      <c r="M776" s="435">
        <v>129</v>
      </c>
      <c r="N776" s="435">
        <v>14</v>
      </c>
      <c r="O776" s="438">
        <v>22.057632398753892</v>
      </c>
      <c r="P776" s="440">
        <v>-1.3465493601623493</v>
      </c>
      <c r="Q776" s="438">
        <v>10.114999999999998</v>
      </c>
      <c r="R776" s="438">
        <v>1.097751937984496</v>
      </c>
      <c r="S776" s="441">
        <v>9.2142857142857135</v>
      </c>
      <c r="T776" s="441">
        <v>2.180685358255452</v>
      </c>
      <c r="U776" s="239">
        <v>3</v>
      </c>
      <c r="V776" s="442">
        <v>1.9107142857142857E-2</v>
      </c>
      <c r="W776" s="441" t="s">
        <v>176</v>
      </c>
      <c r="X776" s="438">
        <v>22.565375230269186</v>
      </c>
      <c r="Y776" s="438">
        <v>-0.50774283151529431</v>
      </c>
      <c r="Z776" s="443">
        <v>66.806888888888864</v>
      </c>
      <c r="AA776" s="58">
        <f t="shared" ca="1" si="24"/>
        <v>141.6525</v>
      </c>
      <c r="AB776" s="453">
        <f ca="1">Table29[[#This Row],[Earnings]]-Table29[[#This Row],[4-Week Average]]</f>
        <v>-4.250000000001819E-2</v>
      </c>
    </row>
    <row r="777" spans="1:28" x14ac:dyDescent="0.35">
      <c r="A777" s="445">
        <v>45896</v>
      </c>
      <c r="B777" s="444">
        <v>2025</v>
      </c>
      <c r="C777" s="444">
        <v>35</v>
      </c>
      <c r="D777" s="444">
        <v>9</v>
      </c>
      <c r="E777" s="444" t="s">
        <v>305</v>
      </c>
      <c r="F777" s="445" t="s">
        <v>48</v>
      </c>
      <c r="G777" s="446">
        <v>0.70833333333333226</v>
      </c>
      <c r="H777" s="445" t="s">
        <v>285</v>
      </c>
      <c r="I777" s="444">
        <v>63</v>
      </c>
      <c r="J777" s="445" t="s">
        <v>80</v>
      </c>
      <c r="K777" s="447">
        <v>201.32999999999998</v>
      </c>
      <c r="L777" s="448">
        <v>6.45</v>
      </c>
      <c r="M777" s="444">
        <v>150</v>
      </c>
      <c r="N777" s="444">
        <v>14</v>
      </c>
      <c r="O777" s="447">
        <v>31.213953488372091</v>
      </c>
      <c r="P777" s="449">
        <v>8.1955188429433434</v>
      </c>
      <c r="Q777" s="447">
        <v>14.380714285714285</v>
      </c>
      <c r="R777" s="447">
        <v>1.3421999999999998</v>
      </c>
      <c r="S777" s="450">
        <v>10.714285714285714</v>
      </c>
      <c r="T777" s="450">
        <v>2.1705426356589146</v>
      </c>
      <c r="U777" s="240">
        <v>2</v>
      </c>
      <c r="V777" s="451">
        <v>1.9196428571428573E-2</v>
      </c>
      <c r="W777" s="450" t="s">
        <v>176</v>
      </c>
      <c r="X777" s="447">
        <v>24.84553283501565</v>
      </c>
      <c r="Y777" s="447">
        <v>6.3684206533564414</v>
      </c>
      <c r="Z777" s="452">
        <v>66.499222222222215</v>
      </c>
      <c r="AA777" s="58">
        <f t="shared" ca="1" si="24"/>
        <v>161.24</v>
      </c>
      <c r="AB777" s="453">
        <f ca="1">Table29[[#This Row],[Earnings]]-Table29[[#This Row],[4-Week Average]]</f>
        <v>40.089999999999975</v>
      </c>
    </row>
    <row r="778" spans="1:28" x14ac:dyDescent="0.35">
      <c r="A778" s="436">
        <v>45897</v>
      </c>
      <c r="B778" s="435">
        <v>2025</v>
      </c>
      <c r="C778" s="435">
        <v>35</v>
      </c>
      <c r="D778" s="435">
        <v>9</v>
      </c>
      <c r="E778" s="435" t="s">
        <v>305</v>
      </c>
      <c r="F778" s="436" t="s">
        <v>49</v>
      </c>
      <c r="G778" s="437">
        <v>0.79166666666666541</v>
      </c>
      <c r="H778" s="436" t="s">
        <v>230</v>
      </c>
      <c r="I778" s="435">
        <v>66</v>
      </c>
      <c r="J778" s="436" t="s">
        <v>80</v>
      </c>
      <c r="K778" s="438">
        <v>124.21000000000001</v>
      </c>
      <c r="L778" s="439">
        <v>6.13</v>
      </c>
      <c r="M778" s="435">
        <v>154</v>
      </c>
      <c r="N778" s="435">
        <v>12</v>
      </c>
      <c r="O778" s="438">
        <v>20.262642740619903</v>
      </c>
      <c r="P778" s="440">
        <v>0.35848603014598979</v>
      </c>
      <c r="Q778" s="438">
        <v>10.350833333333334</v>
      </c>
      <c r="R778" s="438">
        <v>0.80655844155844159</v>
      </c>
      <c r="S778" s="441">
        <v>12.833333333333334</v>
      </c>
      <c r="T778" s="441">
        <v>1.9575856443719413</v>
      </c>
      <c r="U778" s="239">
        <v>2</v>
      </c>
      <c r="V778" s="442">
        <v>2.1284722222222222E-2</v>
      </c>
      <c r="W778" s="441" t="s">
        <v>176</v>
      </c>
      <c r="X778" s="438">
        <v>18.697475216463797</v>
      </c>
      <c r="Y778" s="438">
        <v>1.5651675241561058</v>
      </c>
      <c r="Z778" s="443">
        <v>66.275555555555542</v>
      </c>
      <c r="AA778" s="58">
        <f t="shared" ca="1" si="24"/>
        <v>161.20749999999998</v>
      </c>
      <c r="AB778" s="453">
        <f ca="1">Table29[[#This Row],[Earnings]]-Table29[[#This Row],[4-Week Average]]</f>
        <v>-36.997499999999974</v>
      </c>
    </row>
    <row r="779" spans="1:28" x14ac:dyDescent="0.35">
      <c r="A779" s="445">
        <v>45898</v>
      </c>
      <c r="B779" s="444">
        <v>2025</v>
      </c>
      <c r="C779" s="444">
        <v>35</v>
      </c>
      <c r="D779" s="444">
        <v>9</v>
      </c>
      <c r="E779" s="444" t="s">
        <v>305</v>
      </c>
      <c r="F779" s="445" t="s">
        <v>50</v>
      </c>
      <c r="G779" s="446">
        <v>0.77083333333333215</v>
      </c>
      <c r="H779" s="445" t="s">
        <v>231</v>
      </c>
      <c r="I779" s="444">
        <v>63</v>
      </c>
      <c r="J779" s="445" t="s">
        <v>80</v>
      </c>
      <c r="K779" s="447">
        <v>150.69</v>
      </c>
      <c r="L779" s="448">
        <v>6.98</v>
      </c>
      <c r="M779" s="444">
        <v>208</v>
      </c>
      <c r="N779" s="444">
        <v>12</v>
      </c>
      <c r="O779" s="447">
        <v>21.58882521489971</v>
      </c>
      <c r="P779" s="449">
        <v>-0.62629907017043962</v>
      </c>
      <c r="Q779" s="447">
        <v>12.557499999999999</v>
      </c>
      <c r="R779" s="447">
        <v>0.72447115384615379</v>
      </c>
      <c r="S779" s="450">
        <v>17.333333333333332</v>
      </c>
      <c r="T779" s="450">
        <v>1.7191977077363896</v>
      </c>
      <c r="U779" s="240">
        <v>2</v>
      </c>
      <c r="V779" s="451">
        <v>2.4236111111111111E-2</v>
      </c>
      <c r="W779" s="450" t="s">
        <v>176</v>
      </c>
      <c r="X779" s="447">
        <v>23.151453859227949</v>
      </c>
      <c r="Y779" s="447">
        <v>-1.5626286443282389</v>
      </c>
      <c r="Z779" s="452">
        <v>67.949888888888879</v>
      </c>
      <c r="AA779" s="58">
        <f t="shared" ca="1" si="24"/>
        <v>154.45999999999998</v>
      </c>
      <c r="AB779" s="453">
        <f ca="1">Table29[[#This Row],[Earnings]]-Table29[[#This Row],[4-Week Average]]</f>
        <v>-3.7699999999999818</v>
      </c>
    </row>
    <row r="780" spans="1:28" x14ac:dyDescent="0.35">
      <c r="A780" s="436">
        <v>45900</v>
      </c>
      <c r="B780" s="435">
        <v>2025</v>
      </c>
      <c r="C780" s="435">
        <v>35</v>
      </c>
      <c r="D780" s="435">
        <v>9</v>
      </c>
      <c r="E780" s="435" t="s">
        <v>305</v>
      </c>
      <c r="F780" s="436" t="s">
        <v>45</v>
      </c>
      <c r="G780" s="437">
        <v>0.79166666666666541</v>
      </c>
      <c r="H780" s="436" t="s">
        <v>230</v>
      </c>
      <c r="I780" s="435">
        <v>73</v>
      </c>
      <c r="J780" s="436" t="s">
        <v>80</v>
      </c>
      <c r="K780" s="438">
        <v>21.04</v>
      </c>
      <c r="L780" s="439">
        <v>0.97</v>
      </c>
      <c r="M780" s="435">
        <v>28</v>
      </c>
      <c r="N780" s="435">
        <v>1</v>
      </c>
      <c r="O780" s="438">
        <v>21.690721649484537</v>
      </c>
      <c r="P780" s="440">
        <v>-1.8969465512972299</v>
      </c>
      <c r="Q780" s="438">
        <v>21.04</v>
      </c>
      <c r="R780" s="438">
        <v>0.75142857142857145</v>
      </c>
      <c r="S780" s="441">
        <v>28</v>
      </c>
      <c r="T780" s="441">
        <v>1.0309278350515465</v>
      </c>
      <c r="U780" s="239">
        <v>1</v>
      </c>
      <c r="V780" s="442">
        <v>4.0416666666666663E-2</v>
      </c>
      <c r="W780" s="441" t="s">
        <v>176</v>
      </c>
      <c r="X780" s="438">
        <v>21.690721649484537</v>
      </c>
      <c r="Y780" s="438">
        <v>0</v>
      </c>
      <c r="Z780" s="443">
        <v>66.312666666666644</v>
      </c>
      <c r="AA780" s="58">
        <f t="shared" ca="1" si="24"/>
        <v>124.3175</v>
      </c>
      <c r="AB780" s="453">
        <f ca="1">Table29[[#This Row],[Earnings]]-Table29[[#This Row],[4-Week Average]]</f>
        <v>-103.2775</v>
      </c>
    </row>
  </sheetData>
  <conditionalFormatting sqref="R4:R780">
    <cfRule type="top10" dxfId="17" priority="10" percent="1" rank="10"/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4:Y78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P780">
    <cfRule type="top10" dxfId="16" priority="7" percent="1" rank="10"/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780">
    <cfRule type="colorScale" priority="6">
      <colorScale>
        <cfvo type="min"/>
        <cfvo type="max"/>
        <color rgb="FFFFEF9C"/>
        <color rgb="FF63BE7B"/>
      </colorScale>
    </cfRule>
  </conditionalFormatting>
  <conditionalFormatting sqref="AB4:AB78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6:AM57">
    <cfRule type="colorScale" priority="4">
      <colorScale>
        <cfvo type="num" val="0"/>
        <cfvo type="num" val="0"/>
        <cfvo type="num" val="1"/>
        <color rgb="FFF8696B"/>
        <color rgb="FFFCFCFF"/>
        <color rgb="FF63BE7B"/>
      </colorScale>
    </cfRule>
  </conditionalFormatting>
  <conditionalFormatting sqref="AM88:AM144">
    <cfRule type="colorScale" priority="3">
      <colorScale>
        <cfvo type="num" val="0"/>
        <cfvo type="num" val="0"/>
        <cfvo type="num" val="1"/>
        <color rgb="FFF8696B"/>
        <color rgb="FFFCFCFF"/>
        <color rgb="FF63BE7B"/>
      </colorScale>
    </cfRule>
  </conditionalFormatting>
  <conditionalFormatting sqref="AM75:AM87">
    <cfRule type="colorScale" priority="2">
      <colorScale>
        <cfvo type="num" val="0"/>
        <cfvo type="num" val="0"/>
        <cfvo type="num" val="1"/>
        <color rgb="FFF8696B"/>
        <color rgb="FFFCFCFF"/>
        <color rgb="FF63BE7B"/>
      </colorScale>
    </cfRule>
  </conditionalFormatting>
  <conditionalFormatting sqref="AN88:AN139">
    <cfRule type="colorScale" priority="1">
      <colorScale>
        <cfvo type="num" val="-1"/>
        <cfvo type="num" val="0"/>
        <cfvo type="num" val="1"/>
        <color theme="0"/>
        <color rgb="FF00FF00"/>
        <color theme="0"/>
      </colorScale>
    </cfRule>
  </conditionalFormatting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D489-3A19-4FC8-AE0A-8A896627272B}">
  <sheetPr codeName="Sheet13">
    <tabColor rgb="FFC00000"/>
  </sheetPr>
  <dimension ref="A1:AJE884"/>
  <sheetViews>
    <sheetView topLeftCell="H849" zoomScale="85" zoomScaleNormal="85" workbookViewId="0">
      <selection activeCell="C880" sqref="C880:C884"/>
    </sheetView>
  </sheetViews>
  <sheetFormatPr defaultRowHeight="14.5" x14ac:dyDescent="0.35"/>
  <cols>
    <col min="1" max="1" width="1.6328125" customWidth="1"/>
    <col min="2" max="2" width="13" style="40" bestFit="1" customWidth="1"/>
    <col min="3" max="3" width="13.6328125" bestFit="1" customWidth="1"/>
    <col min="4" max="4" width="7.36328125" style="4" bestFit="1" customWidth="1"/>
    <col min="5" max="5" width="10" bestFit="1" customWidth="1"/>
    <col min="6" max="6" width="10" customWidth="1"/>
    <col min="7" max="7" width="9.6328125" style="4" bestFit="1" customWidth="1"/>
    <col min="8" max="8" width="11.6328125" bestFit="1" customWidth="1"/>
    <col min="9" max="9" width="11.6328125" customWidth="1"/>
    <col min="10" max="10" width="23.90625" bestFit="1" customWidth="1"/>
    <col min="11" max="11" width="23.08984375" bestFit="1" customWidth="1"/>
    <col min="12" max="12" width="6.453125" customWidth="1"/>
    <col min="13" max="13" width="7.36328125" customWidth="1"/>
    <col min="14" max="14" width="6.54296875" customWidth="1"/>
    <col min="15" max="15" width="10.453125" customWidth="1"/>
    <col min="16" max="16" width="8.453125" bestFit="1" customWidth="1"/>
    <col min="17" max="17" width="7.6328125" style="4" bestFit="1" customWidth="1"/>
    <col min="18" max="19" width="8.6328125" customWidth="1"/>
    <col min="20" max="20" width="7.36328125" customWidth="1"/>
    <col min="21" max="21" width="7.6328125" customWidth="1"/>
    <col min="22" max="22" width="7.54296875" customWidth="1"/>
    <col min="23" max="23" width="7.6328125" customWidth="1"/>
    <col min="24" max="24" width="6.54296875" customWidth="1"/>
    <col min="25" max="25" width="4.6328125" customWidth="1"/>
    <col min="26" max="26" width="10" style="108" customWidth="1"/>
    <col min="27" max="27" width="7.36328125" bestFit="1" customWidth="1"/>
    <col min="28" max="28" width="10.36328125" bestFit="1" customWidth="1"/>
    <col min="29" max="29" width="15" bestFit="1" customWidth="1"/>
    <col min="30" max="30" width="15" customWidth="1"/>
    <col min="31" max="31" width="7.453125" bestFit="1" customWidth="1"/>
    <col min="32" max="32" width="11.453125" bestFit="1" customWidth="1"/>
    <col min="33" max="33" width="14.90625" bestFit="1" customWidth="1"/>
    <col min="34" max="34" width="14.36328125" bestFit="1" customWidth="1"/>
    <col min="35" max="35" width="11.36328125" bestFit="1" customWidth="1"/>
    <col min="36" max="36" width="11.453125" bestFit="1" customWidth="1"/>
    <col min="37" max="37" width="12.08984375" bestFit="1" customWidth="1"/>
    <col min="38" max="38" width="20" bestFit="1" customWidth="1"/>
    <col min="39" max="39" width="20.6328125" bestFit="1" customWidth="1"/>
    <col min="40" max="41" width="17.453125" bestFit="1" customWidth="1"/>
    <col min="42" max="42" width="3" customWidth="1"/>
    <col min="43" max="43" width="8" bestFit="1" customWidth="1"/>
    <col min="44" max="44" width="15.90625" bestFit="1" customWidth="1"/>
    <col min="45" max="45" width="3" bestFit="1" customWidth="1"/>
    <col min="46" max="46" width="11.453125" bestFit="1" customWidth="1"/>
    <col min="47" max="50" width="10.1796875" bestFit="1" customWidth="1"/>
    <col min="51" max="51" width="11.453125" bestFit="1" customWidth="1"/>
    <col min="52" max="52" width="10.6328125" customWidth="1"/>
    <col min="53" max="53" width="22.453125" bestFit="1" customWidth="1"/>
    <col min="54" max="54" width="18.453125" bestFit="1" customWidth="1"/>
    <col min="55" max="57" width="13.08984375" bestFit="1" customWidth="1"/>
    <col min="58" max="59" width="16.453125" bestFit="1" customWidth="1"/>
    <col min="60" max="61" width="9" bestFit="1" customWidth="1"/>
    <col min="62" max="65" width="10" bestFit="1" customWidth="1"/>
    <col min="66" max="68" width="9" bestFit="1" customWidth="1"/>
    <col min="69" max="72" width="10" bestFit="1" customWidth="1"/>
    <col min="73" max="77" width="9" bestFit="1" customWidth="1"/>
    <col min="78" max="85" width="10" bestFit="1" customWidth="1"/>
    <col min="86" max="86" width="9" bestFit="1" customWidth="1"/>
    <col min="87" max="90" width="10" bestFit="1" customWidth="1"/>
    <col min="91" max="96" width="9" bestFit="1" customWidth="1"/>
    <col min="97" max="105" width="10" bestFit="1" customWidth="1"/>
    <col min="106" max="108" width="9" bestFit="1" customWidth="1"/>
    <col min="109" max="116" width="10" bestFit="1" customWidth="1"/>
    <col min="117" max="118" width="9" bestFit="1" customWidth="1"/>
    <col min="119" max="120" width="10" bestFit="1" customWidth="1"/>
    <col min="121" max="121" width="9" bestFit="1" customWidth="1"/>
    <col min="122" max="128" width="10" bestFit="1" customWidth="1"/>
    <col min="129" max="132" width="11.08984375" bestFit="1" customWidth="1"/>
    <col min="133" max="136" width="10" bestFit="1" customWidth="1"/>
    <col min="137" max="146" width="11.08984375" bestFit="1" customWidth="1"/>
    <col min="147" max="149" width="10" bestFit="1" customWidth="1"/>
    <col min="150" max="153" width="11.08984375" bestFit="1" customWidth="1"/>
    <col min="154" max="156" width="10" bestFit="1" customWidth="1"/>
    <col min="157" max="158" width="9" bestFit="1" customWidth="1"/>
    <col min="159" max="163" width="10" bestFit="1" customWidth="1"/>
    <col min="164" max="164" width="9" bestFit="1" customWidth="1"/>
    <col min="165" max="173" width="10" bestFit="1" customWidth="1"/>
    <col min="174" max="175" width="9" bestFit="1" customWidth="1"/>
    <col min="176" max="176" width="10" bestFit="1" customWidth="1"/>
    <col min="177" max="179" width="9" bestFit="1" customWidth="1"/>
    <col min="180" max="185" width="10" bestFit="1" customWidth="1"/>
    <col min="186" max="188" width="9" bestFit="1" customWidth="1"/>
    <col min="189" max="197" width="10" bestFit="1" customWidth="1"/>
    <col min="198" max="203" width="9" bestFit="1" customWidth="1"/>
    <col min="204" max="209" width="10" bestFit="1" customWidth="1"/>
    <col min="210" max="211" width="9" bestFit="1" customWidth="1"/>
    <col min="212" max="221" width="10" bestFit="1" customWidth="1"/>
    <col min="222" max="229" width="9" bestFit="1" customWidth="1"/>
    <col min="230" max="250" width="10" bestFit="1" customWidth="1"/>
    <col min="251" max="253" width="11.08984375" bestFit="1" customWidth="1"/>
    <col min="254" max="256" width="10" bestFit="1" customWidth="1"/>
    <col min="257" max="266" width="11.08984375" bestFit="1" customWidth="1"/>
    <col min="267" max="272" width="10" bestFit="1" customWidth="1"/>
    <col min="273" max="285" width="11.08984375" bestFit="1" customWidth="1"/>
    <col min="286" max="291" width="9" bestFit="1" customWidth="1"/>
    <col min="292" max="303" width="10" bestFit="1" customWidth="1"/>
    <col min="304" max="307" width="9" bestFit="1" customWidth="1"/>
    <col min="308" max="318" width="10" bestFit="1" customWidth="1"/>
    <col min="319" max="323" width="9" bestFit="1" customWidth="1"/>
    <col min="324" max="337" width="10" bestFit="1" customWidth="1"/>
    <col min="338" max="339" width="9" bestFit="1" customWidth="1"/>
    <col min="340" max="351" width="10" bestFit="1" customWidth="1"/>
    <col min="352" max="356" width="9" bestFit="1" customWidth="1"/>
    <col min="357" max="364" width="10" bestFit="1" customWidth="1"/>
    <col min="365" max="367" width="9" bestFit="1" customWidth="1"/>
    <col min="368" max="371" width="10" bestFit="1" customWidth="1"/>
    <col min="372" max="375" width="9" bestFit="1" customWidth="1"/>
    <col min="376" max="387" width="10" bestFit="1" customWidth="1"/>
    <col min="388" max="393" width="9" bestFit="1" customWidth="1"/>
    <col min="394" max="407" width="10" bestFit="1" customWidth="1"/>
    <col min="408" max="412" width="9" bestFit="1" customWidth="1"/>
    <col min="413" max="430" width="10" bestFit="1" customWidth="1"/>
    <col min="431" max="442" width="11.08984375" bestFit="1" customWidth="1"/>
    <col min="443" max="446" width="10" bestFit="1" customWidth="1"/>
    <col min="447" max="460" width="11.08984375" bestFit="1" customWidth="1"/>
    <col min="461" max="464" width="10" bestFit="1" customWidth="1"/>
    <col min="465" max="472" width="11.08984375" bestFit="1" customWidth="1"/>
    <col min="473" max="480" width="9" bestFit="1" customWidth="1"/>
    <col min="481" max="494" width="10" bestFit="1" customWidth="1"/>
    <col min="495" max="500" width="9" bestFit="1" customWidth="1"/>
    <col min="501" max="513" width="10" bestFit="1" customWidth="1"/>
    <col min="514" max="518" width="9" bestFit="1" customWidth="1"/>
    <col min="519" max="528" width="10" bestFit="1" customWidth="1"/>
    <col min="529" max="535" width="9" bestFit="1" customWidth="1"/>
    <col min="536" max="549" width="10" bestFit="1" customWidth="1"/>
    <col min="550" max="557" width="9" bestFit="1" customWidth="1"/>
    <col min="558" max="571" width="10" bestFit="1" customWidth="1"/>
    <col min="572" max="580" width="9" bestFit="1" customWidth="1"/>
    <col min="581" max="592" width="10" bestFit="1" customWidth="1"/>
    <col min="593" max="597" width="9" bestFit="1" customWidth="1"/>
    <col min="598" max="613" width="10" bestFit="1" customWidth="1"/>
    <col min="614" max="618" width="9" bestFit="1" customWidth="1"/>
    <col min="619" max="635" width="10" bestFit="1" customWidth="1"/>
    <col min="636" max="640" width="9" bestFit="1" customWidth="1"/>
    <col min="641" max="657" width="10" bestFit="1" customWidth="1"/>
    <col min="658" max="671" width="11.08984375" bestFit="1" customWidth="1"/>
    <col min="672" max="677" width="10" bestFit="1" customWidth="1"/>
    <col min="678" max="687" width="11.08984375" bestFit="1" customWidth="1"/>
    <col min="688" max="692" width="10" bestFit="1" customWidth="1"/>
    <col min="693" max="693" width="11.08984375" bestFit="1" customWidth="1"/>
    <col min="694" max="698" width="9" bestFit="1" customWidth="1"/>
    <col min="699" max="709" width="10" bestFit="1" customWidth="1"/>
    <col min="710" max="715" width="9" bestFit="1" customWidth="1"/>
    <col min="716" max="724" width="10" bestFit="1" customWidth="1"/>
    <col min="725" max="729" width="9" bestFit="1" customWidth="1"/>
    <col min="730" max="743" width="10" bestFit="1" customWidth="1"/>
    <col min="744" max="745" width="9" bestFit="1" customWidth="1"/>
    <col min="746" max="759" width="10" bestFit="1" customWidth="1"/>
    <col min="760" max="766" width="9" bestFit="1" customWidth="1"/>
    <col min="767" max="781" width="10" bestFit="1" customWidth="1"/>
    <col min="782" max="788" width="9" bestFit="1" customWidth="1"/>
    <col min="789" max="802" width="10" bestFit="1" customWidth="1"/>
    <col min="803" max="806" width="9" bestFit="1" customWidth="1"/>
    <col min="807" max="813" width="10" bestFit="1" customWidth="1"/>
    <col min="814" max="818" width="9" bestFit="1" customWidth="1"/>
    <col min="819" max="835" width="10" bestFit="1" customWidth="1"/>
    <col min="836" max="842" width="9" bestFit="1" customWidth="1"/>
    <col min="843" max="862" width="10" bestFit="1" customWidth="1"/>
    <col min="863" max="872" width="11.08984375" bestFit="1" customWidth="1"/>
    <col min="873" max="878" width="10" bestFit="1" customWidth="1"/>
    <col min="879" max="890" width="11.08984375" bestFit="1" customWidth="1"/>
    <col min="891" max="896" width="10" bestFit="1" customWidth="1"/>
    <col min="897" max="905" width="11.08984375" bestFit="1" customWidth="1"/>
    <col min="906" max="909" width="9" bestFit="1" customWidth="1"/>
    <col min="910" max="916" width="10" bestFit="1" customWidth="1"/>
    <col min="917" max="917" width="9" bestFit="1" customWidth="1"/>
    <col min="918" max="921" width="10" bestFit="1" customWidth="1"/>
    <col min="922" max="923" width="9" bestFit="1" customWidth="1"/>
    <col min="924" max="931" width="10" bestFit="1" customWidth="1"/>
    <col min="932" max="932" width="9" bestFit="1" customWidth="1"/>
    <col min="933" max="933" width="10" bestFit="1" customWidth="1"/>
    <col min="934" max="935" width="9" bestFit="1" customWidth="1"/>
    <col min="936" max="940" width="10" bestFit="1" customWidth="1"/>
    <col min="941" max="941" width="11.453125" bestFit="1" customWidth="1"/>
  </cols>
  <sheetData>
    <row r="1" spans="1:941" x14ac:dyDescent="0.35">
      <c r="A1" s="55"/>
      <c r="B1" s="503" t="s">
        <v>113</v>
      </c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503"/>
      <c r="Q1" s="503"/>
      <c r="R1" s="503"/>
      <c r="S1" s="503"/>
      <c r="T1" s="503"/>
      <c r="U1" s="503"/>
      <c r="V1" s="503"/>
      <c r="W1" s="503"/>
      <c r="X1" s="503"/>
      <c r="Y1" s="503"/>
      <c r="Z1" s="503"/>
      <c r="AA1" s="503"/>
      <c r="AB1" s="503"/>
      <c r="AC1" s="503"/>
      <c r="AD1" s="362"/>
      <c r="AE1" s="13"/>
      <c r="AF1" s="13"/>
      <c r="AJ1" s="485" t="s">
        <v>114</v>
      </c>
      <c r="AK1" s="485"/>
      <c r="AL1" s="485"/>
      <c r="AM1" s="485"/>
      <c r="AN1" s="485"/>
    </row>
    <row r="2" spans="1:941" ht="87" x14ac:dyDescent="0.35">
      <c r="A2" s="55"/>
      <c r="B2" s="40" t="s">
        <v>8</v>
      </c>
      <c r="C2" s="357" t="s">
        <v>8</v>
      </c>
      <c r="D2" s="358" t="s">
        <v>172</v>
      </c>
      <c r="E2" s="358" t="s">
        <v>75</v>
      </c>
      <c r="F2" s="357" t="s">
        <v>328</v>
      </c>
      <c r="G2" s="357" t="s">
        <v>104</v>
      </c>
      <c r="H2" s="357" t="s">
        <v>99</v>
      </c>
      <c r="I2" s="357" t="s">
        <v>111</v>
      </c>
      <c r="J2" s="357" t="s">
        <v>98</v>
      </c>
      <c r="K2" s="357" t="s">
        <v>228</v>
      </c>
      <c r="L2" s="357" t="s">
        <v>229</v>
      </c>
      <c r="M2" s="359" t="s">
        <v>43</v>
      </c>
      <c r="N2" s="358" t="s">
        <v>183</v>
      </c>
      <c r="O2" s="359" t="s">
        <v>79</v>
      </c>
      <c r="P2" s="359" t="s">
        <v>119</v>
      </c>
      <c r="Q2" s="359" t="s">
        <v>173</v>
      </c>
      <c r="R2" s="359" t="s">
        <v>399</v>
      </c>
      <c r="S2" s="359" t="s">
        <v>400</v>
      </c>
      <c r="T2" s="359" t="s">
        <v>401</v>
      </c>
      <c r="U2" s="359" t="s">
        <v>402</v>
      </c>
      <c r="V2" s="359" t="s">
        <v>194</v>
      </c>
      <c r="W2" s="359" t="s">
        <v>190</v>
      </c>
      <c r="X2" s="359" t="s">
        <v>192</v>
      </c>
      <c r="Y2" s="359" t="s">
        <v>193</v>
      </c>
      <c r="Z2" s="361" t="s">
        <v>121</v>
      </c>
      <c r="AA2" s="360" t="s">
        <v>345</v>
      </c>
      <c r="AB2" s="359" t="s">
        <v>326</v>
      </c>
      <c r="AC2" s="359" t="s">
        <v>344</v>
      </c>
      <c r="AD2" s="359" t="s">
        <v>366</v>
      </c>
      <c r="AF2" s="6" t="s">
        <v>8</v>
      </c>
      <c r="AG2" t="s">
        <v>124</v>
      </c>
      <c r="AJ2" s="6" t="s">
        <v>8</v>
      </c>
      <c r="AK2" t="s">
        <v>191</v>
      </c>
      <c r="AL2" t="s">
        <v>180</v>
      </c>
      <c r="AQ2">
        <f>7377/20</f>
        <v>368.85</v>
      </c>
      <c r="AR2" t="s">
        <v>221</v>
      </c>
      <c r="BA2" s="6" t="s">
        <v>81</v>
      </c>
      <c r="BB2" t="s">
        <v>125</v>
      </c>
      <c r="BF2" s="6" t="s">
        <v>195</v>
      </c>
      <c r="BG2" s="6" t="s">
        <v>77</v>
      </c>
    </row>
    <row r="3" spans="1:941" x14ac:dyDescent="0.35">
      <c r="A3" s="55"/>
      <c r="B3" s="40" cm="1">
        <f t="array" ref="B3:B884">_xlfn.UNIQUE(Combined[Date],FALSE,FALSE)</f>
        <v>44197</v>
      </c>
      <c r="C3" s="40">
        <f>B3</f>
        <v>44197</v>
      </c>
      <c r="D3" s="4">
        <f>IF(EarningsPerDay[[#This Row],[Week '#]]&gt;=52,YEAR(EarningsPerDay[[#This Row],[Date]])-1,YEAR(EarningsPerDay[[#This Row],[Date]]))</f>
        <v>2021</v>
      </c>
      <c r="E3" s="4" t="str">
        <f>"QTR"&amp;IF(EarningsPerDay[[#This Row],[Week '#]] &lt;= 13, 1, IF(EarningsPerDay[[#This Row],[Week '#]] &lt;= 26, 2, IF(EarningsPerDay[[#This Row],[Week '#]] &lt;= 39, 3, 4)))</f>
        <v>QTR1</v>
      </c>
      <c r="F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" s="4">
        <f>IF(WEEKNUM(EarningsPerDay[[#This Row],[Date]], 2) = 53, 1, WEEKNUM(EarningsPerDay[[#This Row],[Date]],2))</f>
        <v>1</v>
      </c>
      <c r="H3" s="40" t="str">
        <f t="shared" ref="H3:H31" si="0">TEXT(B3,"DDDD")</f>
        <v>Friday</v>
      </c>
      <c r="I3" s="106" t="str">
        <f>IF(_xlfn.XLOOKUP(EarningsPerDay[[#This Row],[Date]],Mileage[Date],Mileage[Start Time])="","",MROUND(_xlfn.XLOOKUP(EarningsPerDay[[#This Row],[Date]],Mileage[Date],Mileage[Start Time]),0.0208333333333333))</f>
        <v/>
      </c>
      <c r="J3" s="40" t="str" cm="1">
        <f t="array" ref="J3">IFERROR(VLOOKUP(MODE(IF(Combined[Date]=EarningsPerDay[[#This Row],[Date]],Combined[Area '#])),KPIs!$B$4:$C$7,2,FALSE),VLOOKUP(EarningsPerDay[[#This Row],[Date]],Combined[[Date]:[Primary Area]],8,FALSE))</f>
        <v>Brunswick/Bath/Freeport</v>
      </c>
      <c r="K3" s="40" t="str">
        <f>_xlfn.XLOOKUP(EarningsPerDay[[#This Row],[Date]],Mileage[Date],Mileage[Weather])</f>
        <v>Rain / Snow Mix</v>
      </c>
      <c r="L3" s="4">
        <f>_xlfn.XLOOKUP(EarningsPerDay[[#This Row],[Date]],Mileage[Date],Mileage[Hi Temp])</f>
        <v>29.5</v>
      </c>
      <c r="M3" s="12">
        <f>_xlfn.XLOOKUP(EarningsPerDay[[#This Row],[Date]],Mileage[Date],Mileage[Total Time])</f>
        <v>4.333333333333333</v>
      </c>
      <c r="N3" s="4">
        <f>_xlfn.XLOOKUP(EarningsPerDay[[#This Row],[Date]],Mileage[Date],Mileage[Mileage])</f>
        <v>10.341184263267598</v>
      </c>
      <c r="O3" s="4">
        <f>SUMIF(Combined[Date],EarningsPerDay[[#This Row],[Date]],Combined[Trips])</f>
        <v>1</v>
      </c>
      <c r="P3">
        <f>COUNTIF(Combined[Date],EarningsPerDay[[#This Row],[Date]])</f>
        <v>1</v>
      </c>
      <c r="Q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" s="11">
        <f>SUMIF(Combined[Date],EarningsPerDay[[#This Row],[Date]],Combined[Earnings])</f>
        <v>28.21</v>
      </c>
      <c r="S3" s="11">
        <f ca="1">EarningsPerDay[[#This Row],[Gross Earnings]]-(EarningsPerDay[[#This Row],[Miles]]*CpM!$D$11)</f>
        <v>25.904194163380282</v>
      </c>
      <c r="T3" s="11">
        <f t="shared" ref="T3:T66" si="1">R3/M3</f>
        <v>6.5100000000000007</v>
      </c>
      <c r="U3" s="11">
        <f t="shared" ref="U3:U66" ca="1" si="2">S3/M3</f>
        <v>5.9778909607800657</v>
      </c>
      <c r="V3" s="11">
        <f>EarningsPerDay[[#This Row],[Gross Earnings]]/EarningsPerDay[[#This Row],[Deliveries]]</f>
        <v>28.21</v>
      </c>
      <c r="W3" s="11">
        <f>EarningsPerDay[[#This Row],[Gross Earnings]]/EarningsPerDay[[#This Row],[Miles]]</f>
        <v>2.727927409649137</v>
      </c>
      <c r="X3" s="71">
        <f>EarningsPerDay[[#This Row],[Deliveries]]/EarningsPerDay[[#This Row],[Hours]]</f>
        <v>0.23076923076923078</v>
      </c>
      <c r="Y3" s="71">
        <f>EarningsPerDay[[#This Row],[Miles]]/EarningsPerDay[[#This Row],[Deliveries]]</f>
        <v>10.341184263267598</v>
      </c>
      <c r="Z3" s="81">
        <f>(EarningsPerDay[[#This Row],[Hours]]/EarningsPerDay[[#This Row],[Deliveries]])/24</f>
        <v>0.18055555555555555</v>
      </c>
      <c r="AA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" s="11">
        <f>AVERAGEIFS(EarningsPerDay[Gross $/Hour],EarningsPerDay[Week '#], EarningsPerDay[[#This Row],[Week '#]], EarningsPerDay[DOW], EarningsPerDay[[#This Row],[DOW]])</f>
        <v>19.988788031661809</v>
      </c>
      <c r="AC3" s="11">
        <f>EarningsPerDay[[#This Row],[Gross $/Hour]] - EarningsPerDay[[#This Row],[Weekly Average Earnings]]</f>
        <v>-13.478788031661807</v>
      </c>
      <c r="AD3" s="11">
        <f>(SUMIFS(EarningsPerDay[Gross Earnings], EarningsPerDay[Date],"&gt;="&amp;EarningsPerDay[[#This Row],[Date]]-89, EarningsPerDay[Date], "&lt;="&amp;EarningsPerDay[[#This Row],[Date]]))/90</f>
        <v>0.31344444444444447</v>
      </c>
      <c r="AE3" s="11"/>
      <c r="AF3" s="40" t="s">
        <v>100</v>
      </c>
      <c r="AG3" s="4">
        <v>18826.02816974622</v>
      </c>
      <c r="AI3" s="11"/>
      <c r="AJ3" s="195">
        <v>2021</v>
      </c>
      <c r="AK3" s="4">
        <v>341.7716666666667</v>
      </c>
      <c r="AL3" s="4">
        <v>1.7216494845360826</v>
      </c>
      <c r="AQ3">
        <f>AQ2*52</f>
        <v>19180.2</v>
      </c>
      <c r="AR3" t="s">
        <v>220</v>
      </c>
      <c r="AU3" s="6" t="s">
        <v>109</v>
      </c>
      <c r="BA3" s="7" t="s">
        <v>80</v>
      </c>
      <c r="BB3" s="4">
        <v>95.347407445539815</v>
      </c>
      <c r="BD3" s="11">
        <f>BB3*BC3</f>
        <v>0</v>
      </c>
      <c r="BF3" s="6" t="s">
        <v>81</v>
      </c>
      <c r="BG3" s="40">
        <v>44197</v>
      </c>
      <c r="BH3" s="40">
        <v>44198</v>
      </c>
      <c r="BI3" s="40">
        <v>44204</v>
      </c>
      <c r="BJ3" s="40">
        <v>44206</v>
      </c>
      <c r="BK3" s="40">
        <v>44213</v>
      </c>
      <c r="BL3" s="40">
        <v>44226</v>
      </c>
      <c r="BM3" s="40">
        <v>44227</v>
      </c>
      <c r="BN3" s="40">
        <v>44228</v>
      </c>
      <c r="BO3" s="40">
        <v>44229</v>
      </c>
      <c r="BP3" s="40">
        <v>44234</v>
      </c>
      <c r="BQ3" s="40">
        <v>44241</v>
      </c>
      <c r="BR3" s="40">
        <v>44247</v>
      </c>
      <c r="BS3" s="40">
        <v>44248</v>
      </c>
      <c r="BT3" s="40">
        <v>44254</v>
      </c>
      <c r="BU3" s="40">
        <v>44256</v>
      </c>
      <c r="BV3" s="40">
        <v>44257</v>
      </c>
      <c r="BW3" s="40">
        <v>44260</v>
      </c>
      <c r="BX3" s="40">
        <v>44261</v>
      </c>
      <c r="BY3" s="40">
        <v>44264</v>
      </c>
      <c r="BZ3" s="40">
        <v>44265</v>
      </c>
      <c r="CA3" s="40">
        <v>44267</v>
      </c>
      <c r="CB3" s="40">
        <v>44270</v>
      </c>
      <c r="CC3" s="40">
        <v>44272</v>
      </c>
      <c r="CD3" s="40">
        <v>44274</v>
      </c>
      <c r="CE3" s="40">
        <v>44277</v>
      </c>
      <c r="CF3" s="40">
        <v>44279</v>
      </c>
      <c r="CG3" s="40">
        <v>44282</v>
      </c>
      <c r="CH3" s="40">
        <v>44289</v>
      </c>
      <c r="CI3" s="40">
        <v>44302</v>
      </c>
      <c r="CJ3" s="40">
        <v>44303</v>
      </c>
      <c r="CK3" s="40">
        <v>44304</v>
      </c>
      <c r="CL3" s="40">
        <v>44311</v>
      </c>
      <c r="CM3" s="40">
        <v>44318</v>
      </c>
      <c r="CN3" s="40">
        <v>44319</v>
      </c>
      <c r="CO3" s="40">
        <v>44320</v>
      </c>
      <c r="CP3" s="40">
        <v>44321</v>
      </c>
      <c r="CQ3" s="40">
        <v>44322</v>
      </c>
      <c r="CR3" s="40">
        <v>44323</v>
      </c>
      <c r="CS3" s="40">
        <v>44328</v>
      </c>
      <c r="CT3" s="40">
        <v>44330</v>
      </c>
      <c r="CU3" s="40">
        <v>44333</v>
      </c>
      <c r="CV3" s="40">
        <v>44336</v>
      </c>
      <c r="CW3" s="40">
        <v>44337</v>
      </c>
      <c r="CX3" s="40">
        <v>44339</v>
      </c>
      <c r="CY3" s="40">
        <v>44342</v>
      </c>
      <c r="CZ3" s="40">
        <v>44345</v>
      </c>
      <c r="DA3" s="40">
        <v>44347</v>
      </c>
      <c r="DB3" s="40">
        <v>44350</v>
      </c>
      <c r="DC3" s="40">
        <v>44351</v>
      </c>
      <c r="DD3" s="40">
        <v>44354</v>
      </c>
      <c r="DE3" s="40">
        <v>44359</v>
      </c>
      <c r="DF3" s="40">
        <v>44361</v>
      </c>
      <c r="DG3" s="40">
        <v>44366</v>
      </c>
      <c r="DH3" s="40">
        <v>44367</v>
      </c>
      <c r="DI3" s="40">
        <v>44369</v>
      </c>
      <c r="DJ3" s="40">
        <v>44371</v>
      </c>
      <c r="DK3" s="40">
        <v>44373</v>
      </c>
      <c r="DL3" s="40">
        <v>44376</v>
      </c>
      <c r="DM3" s="40">
        <v>44379</v>
      </c>
      <c r="DN3" s="40">
        <v>44380</v>
      </c>
      <c r="DO3" s="40">
        <v>44401</v>
      </c>
      <c r="DP3" s="40">
        <v>44408</v>
      </c>
      <c r="DQ3" s="40">
        <v>44409</v>
      </c>
      <c r="DR3" s="40">
        <v>44438</v>
      </c>
      <c r="DS3" s="40">
        <v>44439</v>
      </c>
      <c r="DT3" s="40">
        <v>44449</v>
      </c>
      <c r="DU3" s="40">
        <v>44451</v>
      </c>
      <c r="DV3" s="40">
        <v>44455</v>
      </c>
      <c r="DW3" s="40">
        <v>44464</v>
      </c>
      <c r="DX3" s="40">
        <v>44471</v>
      </c>
      <c r="DY3" s="40">
        <v>44479</v>
      </c>
      <c r="DZ3" s="40">
        <v>44480</v>
      </c>
      <c r="EA3" s="40">
        <v>44493</v>
      </c>
      <c r="EB3" s="40">
        <v>44494</v>
      </c>
      <c r="EC3" s="40">
        <v>44502</v>
      </c>
      <c r="ED3" s="40">
        <v>44505</v>
      </c>
      <c r="EE3" s="40">
        <v>44507</v>
      </c>
      <c r="EF3" s="40">
        <v>44509</v>
      </c>
      <c r="EG3" s="40">
        <v>44511</v>
      </c>
      <c r="EH3" s="40">
        <v>44514</v>
      </c>
      <c r="EI3" s="40">
        <v>44515</v>
      </c>
      <c r="EJ3" s="40">
        <v>44516</v>
      </c>
      <c r="EK3" s="40">
        <v>44517</v>
      </c>
      <c r="EL3" s="40">
        <v>44519</v>
      </c>
      <c r="EM3" s="40">
        <v>44521</v>
      </c>
      <c r="EN3" s="40">
        <v>44522</v>
      </c>
      <c r="EO3" s="40">
        <v>44527</v>
      </c>
      <c r="EP3" s="40">
        <v>44529</v>
      </c>
      <c r="EQ3" s="40">
        <v>44533</v>
      </c>
      <c r="ER3" s="40">
        <v>44536</v>
      </c>
      <c r="ES3" s="40">
        <v>44537</v>
      </c>
      <c r="ET3" s="40">
        <v>44540</v>
      </c>
      <c r="EU3" s="40">
        <v>44545</v>
      </c>
      <c r="EV3" s="40">
        <v>44557</v>
      </c>
      <c r="EW3" s="40">
        <v>44561</v>
      </c>
      <c r="EX3" s="40">
        <v>44572</v>
      </c>
      <c r="EY3" s="40">
        <v>44576</v>
      </c>
      <c r="EZ3" s="40">
        <v>44585</v>
      </c>
      <c r="FA3" s="40">
        <v>44595</v>
      </c>
      <c r="FB3" s="40">
        <v>44600</v>
      </c>
      <c r="FC3" s="40">
        <v>44604</v>
      </c>
      <c r="FD3" s="40">
        <v>44606</v>
      </c>
      <c r="FE3" s="40">
        <v>44616</v>
      </c>
      <c r="FF3" s="40">
        <v>44619</v>
      </c>
      <c r="FG3" s="40">
        <v>44620</v>
      </c>
      <c r="FH3" s="40">
        <v>44627</v>
      </c>
      <c r="FI3" s="40">
        <v>44632</v>
      </c>
      <c r="FJ3" s="40">
        <v>44634</v>
      </c>
      <c r="FK3" s="40">
        <v>44639</v>
      </c>
      <c r="FL3" s="40">
        <v>44640</v>
      </c>
      <c r="FM3" s="40">
        <v>44644</v>
      </c>
      <c r="FN3" s="40">
        <v>44645</v>
      </c>
      <c r="FO3" s="40">
        <v>44646</v>
      </c>
      <c r="FP3" s="40">
        <v>44649</v>
      </c>
      <c r="FQ3" s="40">
        <v>44651</v>
      </c>
      <c r="FR3" s="40">
        <v>44653</v>
      </c>
      <c r="FS3" s="40">
        <v>44660</v>
      </c>
      <c r="FT3" s="40">
        <v>44673</v>
      </c>
      <c r="FU3" s="40">
        <v>44684</v>
      </c>
      <c r="FV3" s="40">
        <v>44685</v>
      </c>
      <c r="FW3" s="40">
        <v>44688</v>
      </c>
      <c r="FX3" s="40">
        <v>44692</v>
      </c>
      <c r="FY3" s="40">
        <v>44693</v>
      </c>
      <c r="FZ3" s="40">
        <v>44694</v>
      </c>
      <c r="GA3" s="40">
        <v>44700</v>
      </c>
      <c r="GB3" s="40">
        <v>44701</v>
      </c>
      <c r="GC3" s="40">
        <v>44704</v>
      </c>
      <c r="GD3" s="40">
        <v>44714</v>
      </c>
      <c r="GE3" s="40">
        <v>44715</v>
      </c>
      <c r="GF3" s="40">
        <v>44721</v>
      </c>
      <c r="GG3" s="40">
        <v>44722</v>
      </c>
      <c r="GH3" s="40">
        <v>44724</v>
      </c>
      <c r="GI3" s="40">
        <v>44728</v>
      </c>
      <c r="GJ3" s="40">
        <v>44730</v>
      </c>
      <c r="GK3" s="40">
        <v>44734</v>
      </c>
      <c r="GL3" s="40">
        <v>44736</v>
      </c>
      <c r="GM3" s="40">
        <v>44737</v>
      </c>
      <c r="GN3" s="40">
        <v>44738</v>
      </c>
      <c r="GO3" s="40">
        <v>44740</v>
      </c>
      <c r="GP3" s="40">
        <v>44743</v>
      </c>
      <c r="GQ3" s="40">
        <v>44744</v>
      </c>
      <c r="GR3" s="40">
        <v>44747</v>
      </c>
      <c r="GS3" s="40">
        <v>44748</v>
      </c>
      <c r="GT3" s="40">
        <v>44749</v>
      </c>
      <c r="GU3" s="40">
        <v>44750</v>
      </c>
      <c r="GV3" s="40">
        <v>44753</v>
      </c>
      <c r="GW3" s="40">
        <v>44755</v>
      </c>
      <c r="GX3" s="40">
        <v>44757</v>
      </c>
      <c r="GY3" s="40">
        <v>44758</v>
      </c>
      <c r="GZ3" s="40">
        <v>44762</v>
      </c>
      <c r="HA3" s="40">
        <v>44763</v>
      </c>
      <c r="HB3" s="40">
        <v>44781</v>
      </c>
      <c r="HC3" s="40">
        <v>44782</v>
      </c>
      <c r="HD3" s="40">
        <v>44783</v>
      </c>
      <c r="HE3" s="40">
        <v>44789</v>
      </c>
      <c r="HF3" s="40">
        <v>44790</v>
      </c>
      <c r="HG3" s="40">
        <v>44791</v>
      </c>
      <c r="HH3" s="40">
        <v>44793</v>
      </c>
      <c r="HI3" s="40">
        <v>44795</v>
      </c>
      <c r="HJ3" s="40">
        <v>44800</v>
      </c>
      <c r="HK3" s="40">
        <v>44802</v>
      </c>
      <c r="HL3" s="40">
        <v>44803</v>
      </c>
      <c r="HM3" s="40">
        <v>44804</v>
      </c>
      <c r="HN3" s="40">
        <v>44805</v>
      </c>
      <c r="HO3" s="40">
        <v>44806</v>
      </c>
      <c r="HP3" s="40">
        <v>44807</v>
      </c>
      <c r="HQ3" s="40">
        <v>44809</v>
      </c>
      <c r="HR3" s="40">
        <v>44810</v>
      </c>
      <c r="HS3" s="40">
        <v>44811</v>
      </c>
      <c r="HT3" s="40">
        <v>44812</v>
      </c>
      <c r="HU3" s="40">
        <v>44813</v>
      </c>
      <c r="HV3" s="40">
        <v>44814</v>
      </c>
      <c r="HW3" s="40">
        <v>44815</v>
      </c>
      <c r="HX3" s="40">
        <v>44816</v>
      </c>
      <c r="HY3" s="40">
        <v>44819</v>
      </c>
      <c r="HZ3" s="40">
        <v>44820</v>
      </c>
      <c r="IA3" s="40">
        <v>44822</v>
      </c>
      <c r="IB3" s="40">
        <v>44823</v>
      </c>
      <c r="IC3" s="40">
        <v>44824</v>
      </c>
      <c r="ID3" s="40">
        <v>44825</v>
      </c>
      <c r="IE3" s="40">
        <v>44827</v>
      </c>
      <c r="IF3" s="40">
        <v>44829</v>
      </c>
      <c r="IG3" s="40">
        <v>44830</v>
      </c>
      <c r="IH3" s="40">
        <v>44831</v>
      </c>
      <c r="II3" s="40">
        <v>44833</v>
      </c>
      <c r="IJ3" s="40">
        <v>44834</v>
      </c>
      <c r="IK3" s="40">
        <v>44836</v>
      </c>
      <c r="IL3" s="40">
        <v>44837</v>
      </c>
      <c r="IM3" s="40">
        <v>44839</v>
      </c>
      <c r="IN3" s="40">
        <v>44840</v>
      </c>
      <c r="IO3" s="40">
        <v>44841</v>
      </c>
      <c r="IP3" s="40">
        <v>44842</v>
      </c>
      <c r="IQ3" s="40">
        <v>44845</v>
      </c>
      <c r="IR3" s="40">
        <v>44846</v>
      </c>
      <c r="IS3" s="40">
        <v>44848</v>
      </c>
      <c r="IT3" s="40">
        <v>44869</v>
      </c>
      <c r="IU3" s="40">
        <v>44872</v>
      </c>
      <c r="IV3" s="40">
        <v>44874</v>
      </c>
      <c r="IW3" s="40">
        <v>44875</v>
      </c>
      <c r="IX3" s="40">
        <v>44876</v>
      </c>
      <c r="IY3" s="40">
        <v>44882</v>
      </c>
      <c r="IZ3" s="40">
        <v>44883</v>
      </c>
      <c r="JA3" s="40">
        <v>44886</v>
      </c>
      <c r="JB3" s="40">
        <v>44888</v>
      </c>
      <c r="JC3" s="40">
        <v>44890</v>
      </c>
      <c r="JD3" s="40">
        <v>44891</v>
      </c>
      <c r="JE3" s="40">
        <v>44892</v>
      </c>
      <c r="JF3" s="40">
        <v>44893</v>
      </c>
      <c r="JG3" s="40">
        <v>44896</v>
      </c>
      <c r="JH3" s="40">
        <v>44898</v>
      </c>
      <c r="JI3" s="40">
        <v>44900</v>
      </c>
      <c r="JJ3" s="40">
        <v>44902</v>
      </c>
      <c r="JK3" s="40">
        <v>44903</v>
      </c>
      <c r="JL3" s="40">
        <v>44904</v>
      </c>
      <c r="JM3" s="40">
        <v>44906</v>
      </c>
      <c r="JN3" s="40">
        <v>44907</v>
      </c>
      <c r="JO3" s="40">
        <v>44908</v>
      </c>
      <c r="JP3" s="40">
        <v>44909</v>
      </c>
      <c r="JQ3" s="40">
        <v>44910</v>
      </c>
      <c r="JR3" s="40">
        <v>44911</v>
      </c>
      <c r="JS3" s="40">
        <v>44912</v>
      </c>
      <c r="JT3" s="40">
        <v>44913</v>
      </c>
      <c r="JU3" s="40">
        <v>44914</v>
      </c>
      <c r="JV3" s="40">
        <v>44915</v>
      </c>
      <c r="JW3" s="40">
        <v>44922</v>
      </c>
      <c r="JX3" s="40">
        <v>44924</v>
      </c>
      <c r="JY3" s="40">
        <v>44925</v>
      </c>
      <c r="JZ3" s="40">
        <v>44927</v>
      </c>
      <c r="KA3" s="40">
        <v>44929</v>
      </c>
      <c r="KB3" s="40">
        <v>44930</v>
      </c>
      <c r="KC3" s="40">
        <v>44931</v>
      </c>
      <c r="KD3" s="40">
        <v>44934</v>
      </c>
      <c r="KE3" s="40">
        <v>44935</v>
      </c>
      <c r="KF3" s="40">
        <v>44936</v>
      </c>
      <c r="KG3" s="40">
        <v>44937</v>
      </c>
      <c r="KH3" s="40">
        <v>44938</v>
      </c>
      <c r="KI3" s="40">
        <v>44939</v>
      </c>
      <c r="KJ3" s="40">
        <v>44942</v>
      </c>
      <c r="KK3" s="40">
        <v>44945</v>
      </c>
      <c r="KL3" s="40">
        <v>44947</v>
      </c>
      <c r="KM3" s="40">
        <v>44951</v>
      </c>
      <c r="KN3" s="40">
        <v>44952</v>
      </c>
      <c r="KO3" s="40">
        <v>44953</v>
      </c>
      <c r="KP3" s="40">
        <v>44954</v>
      </c>
      <c r="KQ3" s="40">
        <v>44957</v>
      </c>
      <c r="KR3" s="40">
        <v>44958</v>
      </c>
      <c r="KS3" s="40">
        <v>44964</v>
      </c>
      <c r="KT3" s="40">
        <v>44965</v>
      </c>
      <c r="KU3" s="40">
        <v>44966</v>
      </c>
      <c r="KV3" s="40">
        <v>44967</v>
      </c>
      <c r="KW3" s="40">
        <v>44968</v>
      </c>
      <c r="KX3" s="40">
        <v>44969</v>
      </c>
      <c r="KY3" s="40">
        <v>44971</v>
      </c>
      <c r="KZ3" s="40">
        <v>44972</v>
      </c>
      <c r="LA3" s="40">
        <v>44973</v>
      </c>
      <c r="LB3" s="40">
        <v>44974</v>
      </c>
      <c r="LC3" s="40">
        <v>44980</v>
      </c>
      <c r="LD3" s="40">
        <v>44981</v>
      </c>
      <c r="LE3" s="40">
        <v>44983</v>
      </c>
      <c r="LF3" s="40">
        <v>44985</v>
      </c>
      <c r="LG3" s="40">
        <v>44986</v>
      </c>
      <c r="LH3" s="40">
        <v>44988</v>
      </c>
      <c r="LI3" s="40">
        <v>44989</v>
      </c>
      <c r="LJ3" s="40">
        <v>44992</v>
      </c>
      <c r="LK3" s="40">
        <v>44994</v>
      </c>
      <c r="LL3" s="40">
        <v>44995</v>
      </c>
      <c r="LM3" s="40">
        <v>44996</v>
      </c>
      <c r="LN3" s="40">
        <v>44999</v>
      </c>
      <c r="LO3" s="40">
        <v>45000</v>
      </c>
      <c r="LP3" s="40">
        <v>45001</v>
      </c>
      <c r="LQ3" s="40">
        <v>45002</v>
      </c>
      <c r="LR3" s="40">
        <v>45003</v>
      </c>
      <c r="LS3" s="40">
        <v>45008</v>
      </c>
      <c r="LT3" s="40">
        <v>45009</v>
      </c>
      <c r="LU3" s="40">
        <v>45010</v>
      </c>
      <c r="LV3" s="40">
        <v>45011</v>
      </c>
      <c r="LW3" s="40">
        <v>45014</v>
      </c>
      <c r="LX3" s="40">
        <v>45015</v>
      </c>
      <c r="LY3" s="40">
        <v>45016</v>
      </c>
      <c r="LZ3" s="40">
        <v>45017</v>
      </c>
      <c r="MA3" s="40">
        <v>45020</v>
      </c>
      <c r="MB3" s="40">
        <v>45029</v>
      </c>
      <c r="MC3" s="40">
        <v>45031</v>
      </c>
      <c r="MD3" s="40">
        <v>45035</v>
      </c>
      <c r="ME3" s="40">
        <v>45036</v>
      </c>
      <c r="MF3" s="40">
        <v>45037</v>
      </c>
      <c r="MG3" s="40">
        <v>45038</v>
      </c>
      <c r="MH3" s="40">
        <v>45039</v>
      </c>
      <c r="MI3" s="40">
        <v>45042</v>
      </c>
      <c r="MJ3" s="40">
        <v>45043</v>
      </c>
      <c r="MK3" s="40">
        <v>45044</v>
      </c>
      <c r="ML3" s="40">
        <v>45045</v>
      </c>
      <c r="MM3" s="40">
        <v>45046</v>
      </c>
      <c r="MN3" s="40">
        <v>45048</v>
      </c>
      <c r="MO3" s="40">
        <v>45049</v>
      </c>
      <c r="MP3" s="40">
        <v>45050</v>
      </c>
      <c r="MQ3" s="40">
        <v>45051</v>
      </c>
      <c r="MR3" s="40">
        <v>45053</v>
      </c>
      <c r="MS3" s="40">
        <v>45056</v>
      </c>
      <c r="MT3" s="40">
        <v>45058</v>
      </c>
      <c r="MU3" s="40">
        <v>45064</v>
      </c>
      <c r="MV3" s="40">
        <v>45067</v>
      </c>
      <c r="MW3" s="40">
        <v>45068</v>
      </c>
      <c r="MX3" s="40">
        <v>45070</v>
      </c>
      <c r="MY3" s="40">
        <v>45072</v>
      </c>
      <c r="MZ3" s="40">
        <v>45077</v>
      </c>
      <c r="NA3" s="40">
        <v>45078</v>
      </c>
      <c r="NB3" s="40">
        <v>45079</v>
      </c>
      <c r="NC3" s="40">
        <v>45086</v>
      </c>
      <c r="ND3" s="40">
        <v>45087</v>
      </c>
      <c r="NE3" s="40">
        <v>45097</v>
      </c>
      <c r="NF3" s="40">
        <v>45098</v>
      </c>
      <c r="NG3" s="40">
        <v>45100</v>
      </c>
      <c r="NH3" s="40">
        <v>45112</v>
      </c>
      <c r="NI3" s="40">
        <v>45114</v>
      </c>
      <c r="NJ3" s="40">
        <v>45115</v>
      </c>
      <c r="NK3" s="40">
        <v>45116</v>
      </c>
      <c r="NL3" s="40">
        <v>45118</v>
      </c>
      <c r="NM3" s="40">
        <v>45119</v>
      </c>
      <c r="NN3" s="40">
        <v>45120</v>
      </c>
      <c r="NO3" s="40">
        <v>45121</v>
      </c>
      <c r="NP3" s="40">
        <v>45122</v>
      </c>
      <c r="NQ3" s="40">
        <v>45123</v>
      </c>
      <c r="NR3" s="40">
        <v>45124</v>
      </c>
      <c r="NS3" s="40">
        <v>45125</v>
      </c>
      <c r="NT3" s="40">
        <v>45129</v>
      </c>
      <c r="NU3" s="40">
        <v>45131</v>
      </c>
      <c r="NV3" s="40">
        <v>45136</v>
      </c>
      <c r="NW3" s="40">
        <v>45138</v>
      </c>
      <c r="NX3" s="40">
        <v>45140</v>
      </c>
      <c r="NY3" s="40">
        <v>45142</v>
      </c>
      <c r="NZ3" s="40">
        <v>45143</v>
      </c>
      <c r="OA3" s="40">
        <v>45144</v>
      </c>
      <c r="OB3" s="40">
        <v>45145</v>
      </c>
      <c r="OC3" s="40">
        <v>45146</v>
      </c>
      <c r="OD3" s="40">
        <v>45148</v>
      </c>
      <c r="OE3" s="40">
        <v>45149</v>
      </c>
      <c r="OF3" s="40">
        <v>45154</v>
      </c>
      <c r="OG3" s="40">
        <v>45155</v>
      </c>
      <c r="OH3" s="40">
        <v>45156</v>
      </c>
      <c r="OI3" s="40">
        <v>45157</v>
      </c>
      <c r="OJ3" s="40">
        <v>45158</v>
      </c>
      <c r="OK3" s="40">
        <v>45161</v>
      </c>
      <c r="OL3" s="40">
        <v>45162</v>
      </c>
      <c r="OM3" s="40">
        <v>45163</v>
      </c>
      <c r="ON3" s="40">
        <v>45164</v>
      </c>
      <c r="OO3" s="40">
        <v>45167</v>
      </c>
      <c r="OP3" s="40">
        <v>45168</v>
      </c>
      <c r="OQ3" s="40">
        <v>45169</v>
      </c>
      <c r="OR3" s="40">
        <v>45170</v>
      </c>
      <c r="OS3" s="40">
        <v>45171</v>
      </c>
      <c r="OT3" s="40">
        <v>45175</v>
      </c>
      <c r="OU3" s="40">
        <v>45176</v>
      </c>
      <c r="OV3" s="40">
        <v>45177</v>
      </c>
      <c r="OW3" s="40">
        <v>45179</v>
      </c>
      <c r="OX3" s="40">
        <v>45180</v>
      </c>
      <c r="OY3" s="40">
        <v>45182</v>
      </c>
      <c r="OZ3" s="40">
        <v>45183</v>
      </c>
      <c r="PA3" s="40">
        <v>45185</v>
      </c>
      <c r="PB3" s="40">
        <v>45188</v>
      </c>
      <c r="PC3" s="40">
        <v>45190</v>
      </c>
      <c r="PD3" s="40">
        <v>45191</v>
      </c>
      <c r="PE3" s="40">
        <v>45192</v>
      </c>
      <c r="PF3" s="40">
        <v>45194</v>
      </c>
      <c r="PG3" s="40">
        <v>45195</v>
      </c>
      <c r="PH3" s="40">
        <v>45196</v>
      </c>
      <c r="PI3" s="40">
        <v>45197</v>
      </c>
      <c r="PJ3" s="40">
        <v>45198</v>
      </c>
      <c r="PK3" s="40">
        <v>45201</v>
      </c>
      <c r="PL3" s="40">
        <v>45204</v>
      </c>
      <c r="PM3" s="40">
        <v>45205</v>
      </c>
      <c r="PN3" s="40">
        <v>45208</v>
      </c>
      <c r="PO3" s="40">
        <v>45209</v>
      </c>
      <c r="PP3" s="40">
        <v>45212</v>
      </c>
      <c r="PQ3" s="40">
        <v>45214</v>
      </c>
      <c r="PR3" s="40">
        <v>45216</v>
      </c>
      <c r="PS3" s="40">
        <v>45217</v>
      </c>
      <c r="PT3" s="40">
        <v>45222</v>
      </c>
      <c r="PU3" s="40">
        <v>45223</v>
      </c>
      <c r="PV3" s="40">
        <v>45224</v>
      </c>
      <c r="PW3" s="40">
        <v>45227</v>
      </c>
      <c r="PX3" s="40">
        <v>45228</v>
      </c>
      <c r="PY3" s="40">
        <v>45229</v>
      </c>
      <c r="PZ3" s="40">
        <v>45230</v>
      </c>
      <c r="QA3" s="40">
        <v>45231</v>
      </c>
      <c r="QB3" s="40">
        <v>45233</v>
      </c>
      <c r="QC3" s="40">
        <v>45236</v>
      </c>
      <c r="QD3" s="40">
        <v>45238</v>
      </c>
      <c r="QE3" s="40">
        <v>45240</v>
      </c>
      <c r="QF3" s="40">
        <v>45241</v>
      </c>
      <c r="QG3" s="40">
        <v>45242</v>
      </c>
      <c r="QH3" s="40">
        <v>45243</v>
      </c>
      <c r="QI3" s="40">
        <v>45244</v>
      </c>
      <c r="QJ3" s="40">
        <v>45246</v>
      </c>
      <c r="QK3" s="40">
        <v>45247</v>
      </c>
      <c r="QL3" s="40">
        <v>45250</v>
      </c>
      <c r="QM3" s="40">
        <v>45251</v>
      </c>
      <c r="QN3" s="40">
        <v>45252</v>
      </c>
      <c r="QO3" s="40">
        <v>45254</v>
      </c>
      <c r="QP3" s="40">
        <v>45257</v>
      </c>
      <c r="QQ3" s="40">
        <v>45258</v>
      </c>
      <c r="QR3" s="40">
        <v>45260</v>
      </c>
      <c r="QS3" s="40">
        <v>45266</v>
      </c>
      <c r="QT3" s="40">
        <v>45267</v>
      </c>
      <c r="QU3" s="40">
        <v>45268</v>
      </c>
      <c r="QV3" s="40">
        <v>45269</v>
      </c>
      <c r="QW3" s="40">
        <v>45274</v>
      </c>
      <c r="QX3" s="40">
        <v>45276</v>
      </c>
      <c r="QY3" s="40">
        <v>45278</v>
      </c>
      <c r="QZ3" s="40">
        <v>45282</v>
      </c>
      <c r="RA3" s="40">
        <v>45283</v>
      </c>
      <c r="RB3" s="40">
        <v>45284</v>
      </c>
      <c r="RC3" s="40">
        <v>45287</v>
      </c>
      <c r="RD3" s="40">
        <v>45289</v>
      </c>
      <c r="RE3" s="40">
        <v>45292</v>
      </c>
      <c r="RF3" s="40">
        <v>45293</v>
      </c>
      <c r="RG3" s="40">
        <v>45294</v>
      </c>
      <c r="RH3" s="40">
        <v>45296</v>
      </c>
      <c r="RI3" s="40">
        <v>45297</v>
      </c>
      <c r="RJ3" s="40">
        <v>45298</v>
      </c>
      <c r="RK3" s="40">
        <v>45299</v>
      </c>
      <c r="RL3" s="40">
        <v>45300</v>
      </c>
      <c r="RM3" s="40">
        <v>45301</v>
      </c>
      <c r="RN3" s="40">
        <v>45302</v>
      </c>
      <c r="RO3" s="40">
        <v>45304</v>
      </c>
      <c r="RP3" s="40">
        <v>45305</v>
      </c>
      <c r="RQ3" s="40">
        <v>45306</v>
      </c>
      <c r="RR3" s="40">
        <v>45307</v>
      </c>
      <c r="RS3" s="40">
        <v>45311</v>
      </c>
      <c r="RT3" s="40">
        <v>45313</v>
      </c>
      <c r="RU3" s="40">
        <v>45314</v>
      </c>
      <c r="RV3" s="40">
        <v>45316</v>
      </c>
      <c r="RW3" s="40">
        <v>45317</v>
      </c>
      <c r="RX3" s="40">
        <v>45318</v>
      </c>
      <c r="RY3" s="40">
        <v>45321</v>
      </c>
      <c r="RZ3" s="40">
        <v>45322</v>
      </c>
      <c r="SA3" s="40">
        <v>45323</v>
      </c>
      <c r="SB3" s="40">
        <v>45324</v>
      </c>
      <c r="SC3" s="40">
        <v>45327</v>
      </c>
      <c r="SD3" s="40">
        <v>45329</v>
      </c>
      <c r="SE3" s="40">
        <v>45330</v>
      </c>
      <c r="SF3" s="40">
        <v>45331</v>
      </c>
      <c r="SG3" s="40">
        <v>45332</v>
      </c>
      <c r="SH3" s="40">
        <v>45335</v>
      </c>
      <c r="SI3" s="40">
        <v>45336</v>
      </c>
      <c r="SJ3" s="40">
        <v>45338</v>
      </c>
      <c r="SK3" s="40">
        <v>45339</v>
      </c>
      <c r="SL3" s="40">
        <v>45340</v>
      </c>
      <c r="SM3" s="40">
        <v>45341</v>
      </c>
      <c r="SN3" s="40">
        <v>45342</v>
      </c>
      <c r="SO3" s="40">
        <v>45343</v>
      </c>
      <c r="SP3" s="40">
        <v>45344</v>
      </c>
      <c r="SQ3" s="40">
        <v>45346</v>
      </c>
      <c r="SR3" s="40">
        <v>45349</v>
      </c>
      <c r="SS3" s="40">
        <v>45350</v>
      </c>
      <c r="ST3" s="40">
        <v>45352</v>
      </c>
      <c r="SU3" s="40">
        <v>45353</v>
      </c>
      <c r="SV3" s="40">
        <v>45354</v>
      </c>
      <c r="SW3" s="40">
        <v>45356</v>
      </c>
      <c r="SX3" s="40">
        <v>45360</v>
      </c>
      <c r="SY3" s="40">
        <v>45362</v>
      </c>
      <c r="SZ3" s="40">
        <v>45364</v>
      </c>
      <c r="TA3" s="40">
        <v>45365</v>
      </c>
      <c r="TB3" s="40">
        <v>45366</v>
      </c>
      <c r="TC3" s="40">
        <v>45367</v>
      </c>
      <c r="TD3" s="40">
        <v>45370</v>
      </c>
      <c r="TE3" s="40">
        <v>45376</v>
      </c>
      <c r="TF3" s="40">
        <v>45377</v>
      </c>
      <c r="TG3" s="40">
        <v>45378</v>
      </c>
      <c r="TH3" s="40">
        <v>45380</v>
      </c>
      <c r="TI3" s="40">
        <v>45383</v>
      </c>
      <c r="TJ3" s="40">
        <v>45384</v>
      </c>
      <c r="TK3" s="40">
        <v>45385</v>
      </c>
      <c r="TL3" s="40">
        <v>45387</v>
      </c>
      <c r="TM3" s="40">
        <v>45388</v>
      </c>
      <c r="TN3" s="40">
        <v>45390</v>
      </c>
      <c r="TO3" s="40">
        <v>45391</v>
      </c>
      <c r="TP3" s="40">
        <v>45394</v>
      </c>
      <c r="TQ3" s="40">
        <v>45395</v>
      </c>
      <c r="TR3" s="40">
        <v>45398</v>
      </c>
      <c r="TS3" s="40">
        <v>45399</v>
      </c>
      <c r="TT3" s="40">
        <v>45401</v>
      </c>
      <c r="TU3" s="40">
        <v>45402</v>
      </c>
      <c r="TV3" s="40">
        <v>45403</v>
      </c>
      <c r="TW3" s="40">
        <v>45404</v>
      </c>
      <c r="TX3" s="40">
        <v>45405</v>
      </c>
      <c r="TY3" s="40">
        <v>45407</v>
      </c>
      <c r="TZ3" s="40">
        <v>45408</v>
      </c>
      <c r="UA3" s="40">
        <v>45409</v>
      </c>
      <c r="UB3" s="40">
        <v>45410</v>
      </c>
      <c r="UC3" s="40">
        <v>45412</v>
      </c>
      <c r="UD3" s="40">
        <v>45413</v>
      </c>
      <c r="UE3" s="40">
        <v>45414</v>
      </c>
      <c r="UF3" s="40">
        <v>45415</v>
      </c>
      <c r="UG3" s="40">
        <v>45416</v>
      </c>
      <c r="UH3" s="40">
        <v>45417</v>
      </c>
      <c r="UI3" s="40">
        <v>45418</v>
      </c>
      <c r="UJ3" s="40">
        <v>45419</v>
      </c>
      <c r="UK3" s="40">
        <v>45421</v>
      </c>
      <c r="UL3" s="40">
        <v>45425</v>
      </c>
      <c r="UM3" s="40">
        <v>45426</v>
      </c>
      <c r="UN3" s="40">
        <v>45427</v>
      </c>
      <c r="UO3" s="40">
        <v>45428</v>
      </c>
      <c r="UP3" s="40">
        <v>45429</v>
      </c>
      <c r="UQ3" s="40">
        <v>45432</v>
      </c>
      <c r="UR3" s="40">
        <v>45434</v>
      </c>
      <c r="US3" s="40">
        <v>45435</v>
      </c>
      <c r="UT3" s="40">
        <v>45436</v>
      </c>
      <c r="UU3" s="40">
        <v>45439</v>
      </c>
      <c r="UV3" s="40">
        <v>45440</v>
      </c>
      <c r="UW3" s="40">
        <v>45441</v>
      </c>
      <c r="UX3" s="40">
        <v>45442</v>
      </c>
      <c r="UY3" s="40">
        <v>45443</v>
      </c>
      <c r="UZ3" s="40">
        <v>45444</v>
      </c>
      <c r="VA3" s="40">
        <v>45445</v>
      </c>
      <c r="VB3" s="40">
        <v>45446</v>
      </c>
      <c r="VC3" s="40">
        <v>45447</v>
      </c>
      <c r="VD3" s="40">
        <v>45448</v>
      </c>
      <c r="VE3" s="40">
        <v>45449</v>
      </c>
      <c r="VF3" s="40">
        <v>45450</v>
      </c>
      <c r="VG3" s="40">
        <v>45451</v>
      </c>
      <c r="VH3" s="40">
        <v>45452</v>
      </c>
      <c r="VI3" s="40">
        <v>45453</v>
      </c>
      <c r="VJ3" s="40">
        <v>45454</v>
      </c>
      <c r="VK3" s="40">
        <v>45455</v>
      </c>
      <c r="VL3" s="40">
        <v>45456</v>
      </c>
      <c r="VM3" s="40">
        <v>45457</v>
      </c>
      <c r="VN3" s="40">
        <v>45458</v>
      </c>
      <c r="VO3" s="40">
        <v>45460</v>
      </c>
      <c r="VP3" s="40">
        <v>45461</v>
      </c>
      <c r="VQ3" s="40">
        <v>45462</v>
      </c>
      <c r="VR3" s="40">
        <v>45463</v>
      </c>
      <c r="VS3" s="40">
        <v>45464</v>
      </c>
      <c r="VT3" s="40">
        <v>45466</v>
      </c>
      <c r="VU3" s="40">
        <v>45474</v>
      </c>
      <c r="VV3" s="40">
        <v>45475</v>
      </c>
      <c r="VW3" s="40">
        <v>45476</v>
      </c>
      <c r="VX3" s="40">
        <v>45477</v>
      </c>
      <c r="VY3" s="40">
        <v>45482</v>
      </c>
      <c r="VZ3" s="40">
        <v>45484</v>
      </c>
      <c r="WA3" s="40">
        <v>45485</v>
      </c>
      <c r="WB3" s="40">
        <v>45488</v>
      </c>
      <c r="WC3" s="40">
        <v>45489</v>
      </c>
      <c r="WD3" s="40">
        <v>45490</v>
      </c>
      <c r="WE3" s="40">
        <v>45491</v>
      </c>
      <c r="WF3" s="40">
        <v>45492</v>
      </c>
      <c r="WG3" s="40">
        <v>45493</v>
      </c>
      <c r="WH3" s="40">
        <v>45495</v>
      </c>
      <c r="WI3" s="40">
        <v>45496</v>
      </c>
      <c r="WJ3" s="40">
        <v>45497</v>
      </c>
      <c r="WK3" s="40">
        <v>45499</v>
      </c>
      <c r="WL3" s="40">
        <v>45500</v>
      </c>
      <c r="WM3" s="40">
        <v>45502</v>
      </c>
      <c r="WN3" s="40">
        <v>45503</v>
      </c>
      <c r="WO3" s="40">
        <v>45504</v>
      </c>
      <c r="WP3" s="40">
        <v>45505</v>
      </c>
      <c r="WQ3" s="40">
        <v>45507</v>
      </c>
      <c r="WR3" s="40">
        <v>45508</v>
      </c>
      <c r="WS3" s="40">
        <v>45510</v>
      </c>
      <c r="WT3" s="40">
        <v>45513</v>
      </c>
      <c r="WU3" s="40">
        <v>45514</v>
      </c>
      <c r="WV3" s="40">
        <v>45515</v>
      </c>
      <c r="WW3" s="40">
        <v>45516</v>
      </c>
      <c r="WX3" s="40">
        <v>45517</v>
      </c>
      <c r="WY3" s="40">
        <v>45518</v>
      </c>
      <c r="WZ3" s="40">
        <v>45519</v>
      </c>
      <c r="XA3" s="40">
        <v>45520</v>
      </c>
      <c r="XB3" s="40">
        <v>45521</v>
      </c>
      <c r="XC3" s="40">
        <v>45522</v>
      </c>
      <c r="XD3" s="40">
        <v>45525</v>
      </c>
      <c r="XE3" s="40">
        <v>45526</v>
      </c>
      <c r="XF3" s="40">
        <v>45527</v>
      </c>
      <c r="XG3" s="40">
        <v>45528</v>
      </c>
      <c r="XH3" s="40">
        <v>45529</v>
      </c>
      <c r="XI3" s="40">
        <v>45530</v>
      </c>
      <c r="XJ3" s="40">
        <v>45531</v>
      </c>
      <c r="XK3" s="40">
        <v>45532</v>
      </c>
      <c r="XL3" s="40">
        <v>45537</v>
      </c>
      <c r="XM3" s="40">
        <v>45540</v>
      </c>
      <c r="XN3" s="40">
        <v>45541</v>
      </c>
      <c r="XO3" s="40">
        <v>45542</v>
      </c>
      <c r="XP3" s="40">
        <v>45544</v>
      </c>
      <c r="XQ3" s="40">
        <v>45545</v>
      </c>
      <c r="XR3" s="40">
        <v>45546</v>
      </c>
      <c r="XS3" s="40">
        <v>45547</v>
      </c>
      <c r="XT3" s="40">
        <v>45548</v>
      </c>
      <c r="XU3" s="40">
        <v>45549</v>
      </c>
      <c r="XV3" s="40">
        <v>45550</v>
      </c>
      <c r="XW3" s="40">
        <v>45555</v>
      </c>
      <c r="XX3" s="40">
        <v>45557</v>
      </c>
      <c r="XY3" s="40">
        <v>45558</v>
      </c>
      <c r="XZ3" s="40">
        <v>45559</v>
      </c>
      <c r="YA3" s="40">
        <v>45560</v>
      </c>
      <c r="YB3" s="40">
        <v>45562</v>
      </c>
      <c r="YC3" s="40">
        <v>45565</v>
      </c>
      <c r="YD3" s="40">
        <v>45566</v>
      </c>
      <c r="YE3" s="40">
        <v>45570</v>
      </c>
      <c r="YF3" s="40">
        <v>45571</v>
      </c>
      <c r="YG3" s="40">
        <v>45572</v>
      </c>
      <c r="YH3" s="40">
        <v>45577</v>
      </c>
      <c r="YI3" s="40">
        <v>45579</v>
      </c>
      <c r="YJ3" s="40">
        <v>45581</v>
      </c>
      <c r="YK3" s="40">
        <v>45582</v>
      </c>
      <c r="YL3" s="40">
        <v>45583</v>
      </c>
      <c r="YM3" s="40">
        <v>45584</v>
      </c>
      <c r="YN3" s="40">
        <v>45585</v>
      </c>
      <c r="YO3" s="40">
        <v>45586</v>
      </c>
      <c r="YP3" s="40">
        <v>45587</v>
      </c>
      <c r="YQ3" s="40">
        <v>45590</v>
      </c>
      <c r="YR3" s="40">
        <v>45592</v>
      </c>
      <c r="YS3" s="40">
        <v>45593</v>
      </c>
      <c r="YT3" s="40">
        <v>45594</v>
      </c>
      <c r="YU3" s="40">
        <v>45595</v>
      </c>
      <c r="YV3" s="40">
        <v>45597</v>
      </c>
      <c r="YW3" s="40">
        <v>45598</v>
      </c>
      <c r="YX3" s="40">
        <v>45599</v>
      </c>
      <c r="YY3" s="40">
        <v>45600</v>
      </c>
      <c r="YZ3" s="40">
        <v>45601</v>
      </c>
      <c r="ZA3" s="40">
        <v>45603</v>
      </c>
      <c r="ZB3" s="40">
        <v>45607</v>
      </c>
      <c r="ZC3" s="40">
        <v>45608</v>
      </c>
      <c r="ZD3" s="40">
        <v>45611</v>
      </c>
      <c r="ZE3" s="40">
        <v>45612</v>
      </c>
      <c r="ZF3" s="40">
        <v>45614</v>
      </c>
      <c r="ZG3" s="40">
        <v>45617</v>
      </c>
      <c r="ZH3" s="40">
        <v>45618</v>
      </c>
      <c r="ZI3" s="40">
        <v>45621</v>
      </c>
      <c r="ZJ3" s="40">
        <v>45623</v>
      </c>
      <c r="ZK3" s="40">
        <v>45625</v>
      </c>
      <c r="ZL3" s="40">
        <v>45628</v>
      </c>
      <c r="ZM3" s="40">
        <v>45629</v>
      </c>
      <c r="ZN3" s="40">
        <v>45630</v>
      </c>
      <c r="ZO3" s="40">
        <v>45632</v>
      </c>
      <c r="ZP3" s="40">
        <v>45635</v>
      </c>
      <c r="ZQ3" s="40">
        <v>45638</v>
      </c>
      <c r="ZR3" s="40">
        <v>45659</v>
      </c>
      <c r="ZS3" s="40">
        <v>45660</v>
      </c>
      <c r="ZT3" s="40">
        <v>45662</v>
      </c>
      <c r="ZU3" s="40">
        <v>45665</v>
      </c>
      <c r="ZV3" s="40">
        <v>45666</v>
      </c>
      <c r="ZW3" s="40">
        <v>45668</v>
      </c>
      <c r="ZX3" s="40">
        <v>45670</v>
      </c>
      <c r="ZY3" s="40">
        <v>45673</v>
      </c>
      <c r="ZZ3" s="40">
        <v>45674</v>
      </c>
      <c r="AAA3" s="40">
        <v>45675</v>
      </c>
      <c r="AAB3" s="40">
        <v>45676</v>
      </c>
      <c r="AAC3" s="40">
        <v>45678</v>
      </c>
      <c r="AAD3" s="40">
        <v>45679</v>
      </c>
      <c r="AAE3" s="40">
        <v>45681</v>
      </c>
      <c r="AAF3" s="40">
        <v>45683</v>
      </c>
      <c r="AAG3" s="40">
        <v>45685</v>
      </c>
      <c r="AAH3" s="40">
        <v>45689</v>
      </c>
      <c r="AAI3" s="40">
        <v>45691</v>
      </c>
      <c r="AAJ3" s="40">
        <v>45693</v>
      </c>
      <c r="AAK3" s="40">
        <v>45694</v>
      </c>
      <c r="AAL3" s="40">
        <v>45695</v>
      </c>
      <c r="AAM3" s="40">
        <v>45697</v>
      </c>
      <c r="AAN3" s="40">
        <v>45698</v>
      </c>
      <c r="AAO3" s="40">
        <v>45701</v>
      </c>
      <c r="AAP3" s="40">
        <v>45703</v>
      </c>
      <c r="AAQ3" s="40">
        <v>45706</v>
      </c>
      <c r="AAR3" s="40">
        <v>45708</v>
      </c>
      <c r="AAS3" s="40">
        <v>45709</v>
      </c>
      <c r="AAT3" s="40">
        <v>45710</v>
      </c>
      <c r="AAU3" s="40">
        <v>45712</v>
      </c>
      <c r="AAV3" s="40">
        <v>45714</v>
      </c>
      <c r="AAW3" s="40">
        <v>45717</v>
      </c>
      <c r="AAX3" s="40">
        <v>45719</v>
      </c>
      <c r="AAY3" s="40">
        <v>45720</v>
      </c>
      <c r="AAZ3" s="40">
        <v>45724</v>
      </c>
      <c r="ABA3" s="40">
        <v>45725</v>
      </c>
      <c r="ABB3" s="40">
        <v>45726</v>
      </c>
      <c r="ABC3" s="40">
        <v>45728</v>
      </c>
      <c r="ABD3" s="40">
        <v>45729</v>
      </c>
      <c r="ABE3" s="40">
        <v>45732</v>
      </c>
      <c r="ABF3" s="40">
        <v>45733</v>
      </c>
      <c r="ABG3" s="40">
        <v>45734</v>
      </c>
      <c r="ABH3" s="40">
        <v>45735</v>
      </c>
      <c r="ABI3" s="40">
        <v>45737</v>
      </c>
      <c r="ABJ3" s="40">
        <v>45738</v>
      </c>
      <c r="ABK3" s="40">
        <v>45739</v>
      </c>
      <c r="ABL3" s="40">
        <v>45740</v>
      </c>
      <c r="ABM3" s="40">
        <v>45741</v>
      </c>
      <c r="ABN3" s="40">
        <v>45744</v>
      </c>
      <c r="ABO3" s="40">
        <v>45746</v>
      </c>
      <c r="ABP3" s="40">
        <v>45754</v>
      </c>
      <c r="ABQ3" s="40">
        <v>45755</v>
      </c>
      <c r="ABR3" s="40">
        <v>45758</v>
      </c>
      <c r="ABS3" s="40">
        <v>45759</v>
      </c>
      <c r="ABT3" s="40">
        <v>45761</v>
      </c>
      <c r="ABU3" s="40">
        <v>45763</v>
      </c>
      <c r="ABV3" s="40">
        <v>45764</v>
      </c>
      <c r="ABW3" s="40">
        <v>45768</v>
      </c>
      <c r="ABX3" s="40">
        <v>45769</v>
      </c>
      <c r="ABY3" s="40">
        <v>45770</v>
      </c>
      <c r="ABZ3" s="40">
        <v>45772</v>
      </c>
      <c r="ACA3" s="40">
        <v>45773</v>
      </c>
      <c r="ACB3" s="40">
        <v>45774</v>
      </c>
      <c r="ACC3" s="40">
        <v>45775</v>
      </c>
      <c r="ACD3" s="40">
        <v>45776</v>
      </c>
      <c r="ACE3" s="40">
        <v>45777</v>
      </c>
      <c r="ACF3" s="40">
        <v>45778</v>
      </c>
      <c r="ACG3" s="40">
        <v>45780</v>
      </c>
      <c r="ACH3" s="40">
        <v>45781</v>
      </c>
      <c r="ACI3" s="40">
        <v>45782</v>
      </c>
      <c r="ACJ3" s="40">
        <v>45783</v>
      </c>
      <c r="ACK3" s="40">
        <v>45784</v>
      </c>
      <c r="ACL3" s="40">
        <v>45785</v>
      </c>
      <c r="ACM3" s="40">
        <v>45787</v>
      </c>
      <c r="ACN3" s="40">
        <v>45788</v>
      </c>
      <c r="ACO3" s="40">
        <v>45789</v>
      </c>
      <c r="ACP3" s="40">
        <v>45790</v>
      </c>
      <c r="ACQ3" s="40">
        <v>45791</v>
      </c>
      <c r="ACR3" s="40">
        <v>45793</v>
      </c>
      <c r="ACS3" s="40">
        <v>45794</v>
      </c>
      <c r="ACT3" s="40">
        <v>45797</v>
      </c>
      <c r="ACU3" s="40">
        <v>45798</v>
      </c>
      <c r="ACV3" s="40">
        <v>45799</v>
      </c>
      <c r="ACW3" s="40">
        <v>45803</v>
      </c>
      <c r="ACX3" s="40">
        <v>45804</v>
      </c>
      <c r="ACY3" s="40">
        <v>45805</v>
      </c>
      <c r="ACZ3" s="40">
        <v>45806</v>
      </c>
      <c r="ADA3" s="40">
        <v>45807</v>
      </c>
      <c r="ADB3" s="40">
        <v>45809</v>
      </c>
      <c r="ADC3" s="40">
        <v>45810</v>
      </c>
      <c r="ADD3" s="40">
        <v>45811</v>
      </c>
      <c r="ADE3" s="40">
        <v>45812</v>
      </c>
      <c r="ADF3" s="40">
        <v>45814</v>
      </c>
      <c r="ADG3" s="40">
        <v>45815</v>
      </c>
      <c r="ADH3" s="40">
        <v>45817</v>
      </c>
      <c r="ADI3" s="40">
        <v>45818</v>
      </c>
      <c r="ADJ3" s="40">
        <v>45820</v>
      </c>
      <c r="ADK3" s="40">
        <v>45821</v>
      </c>
      <c r="ADL3" s="40">
        <v>45824</v>
      </c>
      <c r="ADM3" s="40">
        <v>45827</v>
      </c>
      <c r="ADN3" s="40">
        <v>45829</v>
      </c>
      <c r="ADO3" s="40">
        <v>45830</v>
      </c>
      <c r="ADP3" s="40">
        <v>45831</v>
      </c>
      <c r="ADQ3" s="40">
        <v>45832</v>
      </c>
      <c r="ADR3" s="40">
        <v>45833</v>
      </c>
      <c r="ADS3" s="40">
        <v>45835</v>
      </c>
      <c r="ADT3" s="40">
        <v>45836</v>
      </c>
      <c r="ADU3" s="40">
        <v>45837</v>
      </c>
      <c r="ADV3" s="40">
        <v>45838</v>
      </c>
      <c r="ADW3" s="40">
        <v>45839</v>
      </c>
      <c r="ADX3" s="40">
        <v>45840</v>
      </c>
      <c r="ADY3" s="40">
        <v>45841</v>
      </c>
      <c r="ADZ3" s="40">
        <v>45845</v>
      </c>
      <c r="AEA3" s="40">
        <v>45856</v>
      </c>
      <c r="AEB3" s="40">
        <v>45857</v>
      </c>
      <c r="AEC3" s="40">
        <v>45860</v>
      </c>
      <c r="AED3" s="40">
        <v>45862</v>
      </c>
      <c r="AEE3" s="40">
        <v>45866</v>
      </c>
      <c r="AEF3" s="40">
        <v>45868</v>
      </c>
      <c r="AEG3" s="40">
        <v>45869</v>
      </c>
      <c r="AEH3" s="40">
        <v>45870</v>
      </c>
      <c r="AEI3" s="40">
        <v>45873</v>
      </c>
      <c r="AEJ3" s="40">
        <v>45875</v>
      </c>
      <c r="AEK3" s="40">
        <v>45877</v>
      </c>
      <c r="AEL3" s="40">
        <v>45878</v>
      </c>
      <c r="AEM3" s="40">
        <v>45879</v>
      </c>
      <c r="AEN3" s="40">
        <v>45880</v>
      </c>
      <c r="AEO3" s="40">
        <v>45881</v>
      </c>
      <c r="AEP3" s="40">
        <v>45882</v>
      </c>
      <c r="AEQ3" s="40">
        <v>45883</v>
      </c>
      <c r="AER3" s="40">
        <v>45884</v>
      </c>
      <c r="AES3" s="40">
        <v>45885</v>
      </c>
      <c r="AET3" s="40">
        <v>45886</v>
      </c>
      <c r="AEU3" s="40">
        <v>45887</v>
      </c>
      <c r="AEV3" s="40">
        <v>45889</v>
      </c>
      <c r="AEW3" s="40">
        <v>45890</v>
      </c>
      <c r="AEX3" s="40">
        <v>45891</v>
      </c>
      <c r="AEY3" s="40">
        <v>45894</v>
      </c>
      <c r="AEZ3" s="40">
        <v>45896</v>
      </c>
      <c r="AFA3" s="40">
        <v>45897</v>
      </c>
      <c r="AFB3" s="40">
        <v>45898</v>
      </c>
      <c r="AFC3" s="40">
        <v>45900</v>
      </c>
      <c r="AFD3" s="40">
        <v>45901</v>
      </c>
      <c r="AFE3" s="40">
        <v>45902</v>
      </c>
      <c r="AFF3" s="40">
        <v>45904</v>
      </c>
      <c r="AFG3" s="40">
        <v>45906</v>
      </c>
      <c r="AFH3" s="40">
        <v>45907</v>
      </c>
      <c r="AFI3" s="40">
        <v>45908</v>
      </c>
      <c r="AFJ3" s="40">
        <v>45909</v>
      </c>
      <c r="AFK3" s="40">
        <v>45911</v>
      </c>
      <c r="AFL3" s="40">
        <v>45912</v>
      </c>
      <c r="AFM3" s="40">
        <v>45914</v>
      </c>
      <c r="AFN3" s="40">
        <v>45915</v>
      </c>
      <c r="AFO3" s="40">
        <v>45917</v>
      </c>
      <c r="AFP3" s="40">
        <v>45918</v>
      </c>
      <c r="AFQ3" s="40">
        <v>45919</v>
      </c>
      <c r="AFR3" s="40">
        <v>45921</v>
      </c>
      <c r="AFS3" s="40">
        <v>45922</v>
      </c>
      <c r="AFT3" s="40">
        <v>45923</v>
      </c>
      <c r="AFU3" s="40">
        <v>45924</v>
      </c>
      <c r="AFV3" s="40">
        <v>45926</v>
      </c>
      <c r="AFW3" s="40">
        <v>45927</v>
      </c>
      <c r="AFX3" s="40">
        <v>45929</v>
      </c>
      <c r="AFY3" s="40">
        <v>45930</v>
      </c>
      <c r="AFZ3" s="40">
        <v>45931</v>
      </c>
      <c r="AGA3" s="40">
        <v>45932</v>
      </c>
      <c r="AGB3" s="40">
        <v>45933</v>
      </c>
      <c r="AGC3" s="40">
        <v>45935</v>
      </c>
      <c r="AGD3" s="40">
        <v>45937</v>
      </c>
      <c r="AGE3" s="40">
        <v>45940</v>
      </c>
      <c r="AGF3" s="40">
        <v>45943</v>
      </c>
      <c r="AGG3" s="40">
        <v>45944</v>
      </c>
      <c r="AGH3" s="40">
        <v>45947</v>
      </c>
      <c r="AGI3" s="40">
        <v>45950</v>
      </c>
      <c r="AGJ3" s="40">
        <v>45951</v>
      </c>
      <c r="AGK3" s="40">
        <v>45955</v>
      </c>
      <c r="AGL3" s="40">
        <v>45957</v>
      </c>
      <c r="AGM3" s="40">
        <v>45958</v>
      </c>
      <c r="AGN3" s="40">
        <v>45959</v>
      </c>
      <c r="AGO3" s="40">
        <v>45962</v>
      </c>
      <c r="AGP3" s="40">
        <v>45963</v>
      </c>
      <c r="AGQ3" s="40">
        <v>45964</v>
      </c>
      <c r="AGR3" s="40">
        <v>45965</v>
      </c>
      <c r="AGS3" s="40">
        <v>45968</v>
      </c>
      <c r="AGT3" s="40">
        <v>45969</v>
      </c>
      <c r="AGU3" s="40">
        <v>45971</v>
      </c>
      <c r="AGV3" s="40">
        <v>45974</v>
      </c>
      <c r="AGW3" s="40">
        <v>45976</v>
      </c>
      <c r="AGX3" s="40">
        <v>45977</v>
      </c>
      <c r="AGY3" s="40">
        <v>45978</v>
      </c>
      <c r="AGZ3" s="40">
        <v>45979</v>
      </c>
      <c r="AHA3" s="40">
        <v>45982</v>
      </c>
      <c r="AHB3" s="40">
        <v>45984</v>
      </c>
      <c r="AHC3" s="40">
        <v>45986</v>
      </c>
      <c r="AHD3" s="40">
        <v>45989</v>
      </c>
      <c r="AHE3" s="40">
        <v>45990</v>
      </c>
      <c r="AHF3" s="40">
        <v>45991</v>
      </c>
      <c r="AHG3" s="40">
        <v>45993</v>
      </c>
      <c r="AHH3" s="40">
        <v>45994</v>
      </c>
      <c r="AHI3" s="40">
        <v>45997</v>
      </c>
      <c r="AHJ3" s="40">
        <v>45998</v>
      </c>
      <c r="AHK3" s="40">
        <v>45999</v>
      </c>
      <c r="AHL3" s="40">
        <v>46000</v>
      </c>
      <c r="AHM3" s="40">
        <v>46002</v>
      </c>
      <c r="AHN3" s="40">
        <v>46003</v>
      </c>
      <c r="AHO3" s="40">
        <v>46004</v>
      </c>
      <c r="AHP3" s="40">
        <v>46005</v>
      </c>
      <c r="AHQ3" s="40">
        <v>46006</v>
      </c>
      <c r="AHR3" s="40">
        <v>46007</v>
      </c>
      <c r="AHS3" s="40">
        <v>46010</v>
      </c>
      <c r="AHT3" s="40">
        <v>46012</v>
      </c>
      <c r="AHU3" s="40">
        <v>46021</v>
      </c>
      <c r="AHV3" s="40">
        <v>46023</v>
      </c>
      <c r="AHW3" s="40">
        <v>46025</v>
      </c>
      <c r="AHX3" s="40">
        <v>46026</v>
      </c>
      <c r="AHY3" s="40">
        <v>46030</v>
      </c>
      <c r="AHZ3" s="40">
        <v>46036</v>
      </c>
      <c r="AIA3" s="40">
        <v>46038</v>
      </c>
      <c r="AIB3" s="40">
        <v>46039</v>
      </c>
      <c r="AIC3" s="40">
        <v>46040</v>
      </c>
      <c r="AID3" s="40">
        <v>46041</v>
      </c>
      <c r="AIE3" s="40">
        <v>46046</v>
      </c>
      <c r="AIF3" s="40">
        <v>46048</v>
      </c>
      <c r="AIG3" s="40">
        <v>46054</v>
      </c>
      <c r="AIH3" s="40">
        <v>46066</v>
      </c>
      <c r="AII3" s="40">
        <v>46067</v>
      </c>
      <c r="AIJ3" s="40">
        <v>46073</v>
      </c>
      <c r="AIK3" s="40">
        <v>46074</v>
      </c>
      <c r="AIL3" s="40">
        <v>46083</v>
      </c>
      <c r="AIM3" s="40">
        <v>46084</v>
      </c>
      <c r="AIN3" s="40">
        <v>46091</v>
      </c>
      <c r="AIO3" s="40">
        <v>46094</v>
      </c>
      <c r="AIP3" s="40">
        <v>46098</v>
      </c>
      <c r="AIQ3" s="40">
        <v>46106</v>
      </c>
      <c r="AIR3" s="40">
        <v>46107</v>
      </c>
      <c r="AIS3" s="40">
        <v>46126</v>
      </c>
      <c r="AIT3" s="40">
        <v>46134</v>
      </c>
      <c r="AIU3" s="40">
        <v>46136</v>
      </c>
      <c r="AIV3" s="40">
        <v>46087</v>
      </c>
      <c r="AIW3" s="40">
        <v>46141</v>
      </c>
      <c r="AIX3" s="40">
        <v>46146</v>
      </c>
      <c r="AIY3" s="40">
        <v>46150</v>
      </c>
      <c r="AIZ3" s="40">
        <v>46153</v>
      </c>
      <c r="AJA3" s="40">
        <v>46154</v>
      </c>
      <c r="AJB3" s="40">
        <v>46159</v>
      </c>
      <c r="AJC3" s="40">
        <v>46162</v>
      </c>
      <c r="AJD3" s="40">
        <v>46164</v>
      </c>
      <c r="AJE3" s="40" t="s">
        <v>88</v>
      </c>
    </row>
    <row r="4" spans="1:941" x14ac:dyDescent="0.35">
      <c r="A4" s="55"/>
      <c r="B4" s="40">
        <v>44198</v>
      </c>
      <c r="C4" s="40">
        <f t="shared" ref="C4:C19" si="3">B4</f>
        <v>44198</v>
      </c>
      <c r="D4" s="4">
        <f>IF(EarningsPerDay[[#This Row],[Week '#]]&gt;=52,YEAR(EarningsPerDay[[#This Row],[Date]])-1,YEAR(EarningsPerDay[[#This Row],[Date]]))</f>
        <v>2021</v>
      </c>
      <c r="E4" s="4" t="str">
        <f>"QTR"&amp;IF(EarningsPerDay[[#This Row],[Week '#]] &lt;= 13, 1, IF(EarningsPerDay[[#This Row],[Week '#]] &lt;= 26, 2, IF(EarningsPerDay[[#This Row],[Week '#]] &lt;= 39, 3, 4)))</f>
        <v>QTR1</v>
      </c>
      <c r="F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" s="4">
        <f>IF(WEEKNUM(EarningsPerDay[[#This Row],[Date]], 2) = 53, 1, WEEKNUM(EarningsPerDay[[#This Row],[Date]],2))</f>
        <v>1</v>
      </c>
      <c r="H4" s="40" t="str">
        <f t="shared" si="0"/>
        <v>Saturday</v>
      </c>
      <c r="I4" s="106" t="str">
        <f>IF(_xlfn.XLOOKUP(EarningsPerDay[[#This Row],[Date]],Mileage[Date],Mileage[Start Time])="","",MROUND(_xlfn.XLOOKUP(EarningsPerDay[[#This Row],[Date]],Mileage[Date],Mileage[Start Time]),0.0208333333333333))</f>
        <v/>
      </c>
      <c r="J4" s="40" t="str" cm="1">
        <f t="array" ref="J4">IFERROR(VLOOKUP(MODE(IF(Combined[Date]=EarningsPerDay[[#This Row],[Date]],Combined[Area '#])),KPIs!$B$4:$C$7,2,FALSE),VLOOKUP(EarningsPerDay[[#This Row],[Date]],Combined[[Date]:[Primary Area]],8,FALSE))</f>
        <v>Portland</v>
      </c>
      <c r="K4" s="40" t="str">
        <f>_xlfn.XLOOKUP(EarningsPerDay[[#This Row],[Date]],Mileage[Date],Mileage[Weather])</f>
        <v>Rain / Snow Mix</v>
      </c>
      <c r="L4" s="4">
        <f>_xlfn.XLOOKUP(EarningsPerDay[[#This Row],[Date]],Mileage[Date],Mileage[Hi Temp])</f>
        <v>32</v>
      </c>
      <c r="M4" s="12">
        <f>_xlfn.XLOOKUP(EarningsPerDay[[#This Row],[Date]],Mileage[Date],Mileage[Total Time])</f>
        <v>3.1000000000000005</v>
      </c>
      <c r="N4" s="4">
        <f>_xlfn.XLOOKUP(EarningsPerDay[[#This Row],[Date]],Mileage[Date],Mileage[Mileage])</f>
        <v>57.189545807727626</v>
      </c>
      <c r="O4" s="4">
        <f>SUMIF(Combined[Date],EarningsPerDay[[#This Row],[Date]],Combined[Trips])</f>
        <v>4</v>
      </c>
      <c r="P4">
        <f>COUNTIF(Combined[Date],EarningsPerDay[[#This Row],[Date]])</f>
        <v>1</v>
      </c>
      <c r="Q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" s="11">
        <f>SUMIF(Combined[Date],EarningsPerDay[[#This Row],[Date]],Combined[Earnings])</f>
        <v>53.14</v>
      </c>
      <c r="S4" s="11">
        <f ca="1">EarningsPerDay[[#This Row],[Gross Earnings]]-(EarningsPerDay[[#This Row],[Miles]]*CpM!$D$11)</f>
        <v>40.388270105244068</v>
      </c>
      <c r="T4" s="11">
        <f t="shared" si="1"/>
        <v>17.141935483870967</v>
      </c>
      <c r="U4" s="11">
        <f t="shared" ca="1" si="2"/>
        <v>13.028474227498084</v>
      </c>
      <c r="V4" s="11">
        <f>EarningsPerDay[[#This Row],[Gross Earnings]]/EarningsPerDay[[#This Row],[Deliveries]]</f>
        <v>13.285</v>
      </c>
      <c r="W4" s="11">
        <f>EarningsPerDay[[#This Row],[Gross Earnings]]/EarningsPerDay[[#This Row],[Miles]]</f>
        <v>0.9291908031348548</v>
      </c>
      <c r="X4" s="71">
        <f>EarningsPerDay[[#This Row],[Deliveries]]/EarningsPerDay[[#This Row],[Hours]]</f>
        <v>1.290322580645161</v>
      </c>
      <c r="Y4" s="71">
        <f>EarningsPerDay[[#This Row],[Miles]]/EarningsPerDay[[#This Row],[Deliveries]]</f>
        <v>14.297386451931906</v>
      </c>
      <c r="Z4" s="81">
        <f>(EarningsPerDay[[#This Row],[Hours]]/EarningsPerDay[[#This Row],[Deliveries]])/24</f>
        <v>3.229166666666667E-2</v>
      </c>
      <c r="AA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4" s="11">
        <f>AVERAGEIFS(EarningsPerDay[Gross $/Hour],EarningsPerDay[Week '#], EarningsPerDay[[#This Row],[Week '#]], EarningsPerDay[DOW], EarningsPerDay[[#This Row],[DOW]])</f>
        <v>24.897417163760267</v>
      </c>
      <c r="AC4" s="11">
        <f>EarningsPerDay[[#This Row],[Gross $/Hour]] - EarningsPerDay[[#This Row],[Weekly Average Earnings]]</f>
        <v>-7.7554816798893</v>
      </c>
      <c r="AD4" s="11">
        <f>(SUMIFS(EarningsPerDay[Gross Earnings], EarningsPerDay[Date],"&gt;="&amp;EarningsPerDay[[#This Row],[Date]]-89, EarningsPerDay[Date], "&lt;="&amp;EarningsPerDay[[#This Row],[Date]]))/90</f>
        <v>0.90388888888888885</v>
      </c>
      <c r="AE4" s="11"/>
      <c r="AF4" s="40" t="s">
        <v>101</v>
      </c>
      <c r="AG4" s="4">
        <v>22830.625512917217</v>
      </c>
      <c r="AI4" s="11"/>
      <c r="AJ4" s="195">
        <v>2022</v>
      </c>
      <c r="AK4" s="4">
        <v>709.02000000000032</v>
      </c>
      <c r="AL4" s="4">
        <v>2.6417910447761193</v>
      </c>
      <c r="AQ4">
        <v>13424</v>
      </c>
      <c r="AT4" s="6" t="s">
        <v>99</v>
      </c>
      <c r="AU4" t="s">
        <v>283</v>
      </c>
      <c r="AV4" t="s">
        <v>90</v>
      </c>
      <c r="AW4" t="s">
        <v>92</v>
      </c>
      <c r="AX4" t="s">
        <v>91</v>
      </c>
      <c r="AY4" t="s">
        <v>88</v>
      </c>
      <c r="BA4" s="7" t="s">
        <v>82</v>
      </c>
      <c r="BB4" s="4">
        <v>78.763909023668646</v>
      </c>
      <c r="BD4" s="11">
        <f>BB4*BC4</f>
        <v>0</v>
      </c>
      <c r="BF4" s="7" t="s">
        <v>45</v>
      </c>
      <c r="BG4" s="57"/>
      <c r="BH4" s="57"/>
      <c r="BI4" s="57"/>
      <c r="BJ4" s="57">
        <v>6.6166666666666671</v>
      </c>
      <c r="BK4" s="57">
        <v>3.6666666666666661</v>
      </c>
      <c r="BL4" s="57"/>
      <c r="BM4" s="57">
        <v>2.35</v>
      </c>
      <c r="BN4" s="57"/>
      <c r="BO4" s="57"/>
      <c r="BP4" s="57">
        <v>5.4</v>
      </c>
      <c r="BQ4" s="57">
        <v>6.25</v>
      </c>
      <c r="BR4" s="57"/>
      <c r="BS4" s="57">
        <v>4.5999999999999996</v>
      </c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>
        <v>1.88</v>
      </c>
      <c r="CL4" s="57">
        <v>1.9</v>
      </c>
      <c r="CM4" s="57">
        <v>3.4999999999999996</v>
      </c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>
        <v>6.6000000000000014</v>
      </c>
      <c r="CY4" s="57"/>
      <c r="CZ4" s="57"/>
      <c r="DA4" s="57"/>
      <c r="DB4" s="57"/>
      <c r="DC4" s="57"/>
      <c r="DD4" s="57"/>
      <c r="DE4" s="57"/>
      <c r="DF4" s="57"/>
      <c r="DG4" s="57"/>
      <c r="DH4" s="57">
        <v>2.9000000000000004</v>
      </c>
      <c r="DI4" s="57"/>
      <c r="DJ4" s="57"/>
      <c r="DK4" s="57"/>
      <c r="DL4" s="57"/>
      <c r="DM4" s="57"/>
      <c r="DN4" s="57"/>
      <c r="DO4" s="57"/>
      <c r="DP4" s="57"/>
      <c r="DQ4" s="57">
        <v>1.9</v>
      </c>
      <c r="DR4" s="57"/>
      <c r="DS4" s="57"/>
      <c r="DT4" s="57"/>
      <c r="DU4" s="57">
        <v>0.5</v>
      </c>
      <c r="DV4" s="57"/>
      <c r="DW4" s="57"/>
      <c r="DX4" s="57"/>
      <c r="DY4" s="57">
        <v>1.2</v>
      </c>
      <c r="DZ4" s="57"/>
      <c r="EA4" s="57">
        <v>5.3999999999999995</v>
      </c>
      <c r="EB4" s="57"/>
      <c r="EC4" s="57"/>
      <c r="ED4" s="57"/>
      <c r="EE4" s="57">
        <v>1.9000000000000001</v>
      </c>
      <c r="EF4" s="57"/>
      <c r="EG4" s="57"/>
      <c r="EH4" s="57">
        <v>4.8000000000000007</v>
      </c>
      <c r="EI4" s="57"/>
      <c r="EJ4" s="57"/>
      <c r="EK4" s="57"/>
      <c r="EL4" s="57"/>
      <c r="EM4" s="57">
        <v>3.4000000000000004</v>
      </c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  <c r="FB4" s="57"/>
      <c r="FC4" s="57"/>
      <c r="FD4" s="57"/>
      <c r="FE4" s="57"/>
      <c r="FF4" s="57">
        <v>5.5</v>
      </c>
      <c r="FG4" s="57"/>
      <c r="FH4" s="57"/>
      <c r="FI4" s="57"/>
      <c r="FJ4" s="57"/>
      <c r="FK4" s="57"/>
      <c r="FL4" s="57">
        <v>4</v>
      </c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>
        <v>6.82</v>
      </c>
      <c r="GI4" s="57"/>
      <c r="GJ4" s="57"/>
      <c r="GK4" s="57"/>
      <c r="GL4" s="57"/>
      <c r="GM4" s="57"/>
      <c r="GN4" s="57">
        <v>7.6</v>
      </c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  <c r="HT4" s="57"/>
      <c r="HU4" s="57"/>
      <c r="HV4" s="57"/>
      <c r="HW4" s="57">
        <v>6.1999999999999993</v>
      </c>
      <c r="HX4" s="57"/>
      <c r="HY4" s="57"/>
      <c r="HZ4" s="57"/>
      <c r="IA4" s="57">
        <v>7.1</v>
      </c>
      <c r="IB4" s="57"/>
      <c r="IC4" s="57"/>
      <c r="ID4" s="57"/>
      <c r="IE4" s="57"/>
      <c r="IF4" s="57">
        <v>3.5999999999999996</v>
      </c>
      <c r="IG4" s="57"/>
      <c r="IH4" s="57"/>
      <c r="II4" s="57"/>
      <c r="IJ4" s="57"/>
      <c r="IK4" s="57">
        <v>5.2</v>
      </c>
      <c r="IL4" s="57"/>
      <c r="IM4" s="57"/>
      <c r="IN4" s="57"/>
      <c r="IO4" s="57"/>
      <c r="IP4" s="57"/>
      <c r="IQ4" s="57"/>
      <c r="IR4" s="57"/>
      <c r="IS4" s="57"/>
      <c r="IT4" s="57"/>
      <c r="IU4" s="57"/>
      <c r="IV4" s="57"/>
      <c r="IW4" s="57"/>
      <c r="IX4" s="57"/>
      <c r="IY4" s="57"/>
      <c r="IZ4" s="57"/>
      <c r="JA4" s="57"/>
      <c r="JB4" s="57"/>
      <c r="JC4" s="57"/>
      <c r="JD4" s="57"/>
      <c r="JE4" s="57">
        <v>4.5999999999999996</v>
      </c>
      <c r="JF4" s="57"/>
      <c r="JG4" s="57"/>
      <c r="JH4" s="57"/>
      <c r="JI4" s="57"/>
      <c r="JJ4" s="57"/>
      <c r="JK4" s="57"/>
      <c r="JL4" s="57"/>
      <c r="JM4" s="57">
        <v>3.1</v>
      </c>
      <c r="JN4" s="57"/>
      <c r="JO4" s="57"/>
      <c r="JP4" s="57"/>
      <c r="JQ4" s="57"/>
      <c r="JR4" s="57"/>
      <c r="JS4" s="57"/>
      <c r="JT4" s="57">
        <v>9.68</v>
      </c>
      <c r="JU4" s="57"/>
      <c r="JV4" s="57"/>
      <c r="JW4" s="57"/>
      <c r="JX4" s="57"/>
      <c r="JY4" s="57"/>
      <c r="JZ4" s="57">
        <v>8.32</v>
      </c>
      <c r="KA4" s="57"/>
      <c r="KB4" s="57"/>
      <c r="KC4" s="57"/>
      <c r="KD4" s="57">
        <v>5.57</v>
      </c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>
        <v>4.7699999999999996</v>
      </c>
      <c r="KY4" s="57"/>
      <c r="KZ4" s="57"/>
      <c r="LA4" s="57"/>
      <c r="LB4" s="57"/>
      <c r="LC4" s="57"/>
      <c r="LD4" s="57"/>
      <c r="LE4" s="57">
        <v>7.68</v>
      </c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>
        <v>4.5999999999999996</v>
      </c>
      <c r="LW4" s="57"/>
      <c r="LX4" s="57"/>
      <c r="LY4" s="57"/>
      <c r="LZ4" s="57"/>
      <c r="MA4" s="57"/>
      <c r="MB4" s="57"/>
      <c r="MC4" s="57"/>
      <c r="MD4" s="57"/>
      <c r="ME4" s="57"/>
      <c r="MF4" s="57"/>
      <c r="MG4" s="57"/>
      <c r="MH4" s="57">
        <v>4.3</v>
      </c>
      <c r="MI4" s="57"/>
      <c r="MJ4" s="57"/>
      <c r="MK4" s="57"/>
      <c r="ML4" s="57"/>
      <c r="MM4" s="57">
        <v>4.32</v>
      </c>
      <c r="MN4" s="57"/>
      <c r="MO4" s="57"/>
      <c r="MP4" s="57"/>
      <c r="MQ4" s="57"/>
      <c r="MR4" s="57">
        <v>3.93</v>
      </c>
      <c r="MS4" s="57"/>
      <c r="MT4" s="57"/>
      <c r="MU4" s="57"/>
      <c r="MV4" s="57">
        <v>2.2799999999999998</v>
      </c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>
        <v>4.95</v>
      </c>
      <c r="NL4" s="57"/>
      <c r="NM4" s="57"/>
      <c r="NN4" s="57"/>
      <c r="NO4" s="57"/>
      <c r="NP4" s="57"/>
      <c r="NQ4" s="57">
        <v>2.65</v>
      </c>
      <c r="NR4" s="57"/>
      <c r="NS4" s="57"/>
      <c r="NT4" s="57"/>
      <c r="NU4" s="57"/>
      <c r="NV4" s="57"/>
      <c r="NW4" s="57"/>
      <c r="NX4" s="57"/>
      <c r="NY4" s="57"/>
      <c r="NZ4" s="57"/>
      <c r="OA4" s="57">
        <v>4.05</v>
      </c>
      <c r="OB4" s="57"/>
      <c r="OC4" s="57"/>
      <c r="OD4" s="57"/>
      <c r="OE4" s="57"/>
      <c r="OF4" s="57"/>
      <c r="OG4" s="57"/>
      <c r="OH4" s="57"/>
      <c r="OI4" s="57"/>
      <c r="OJ4" s="57">
        <v>1.38</v>
      </c>
      <c r="OK4" s="57"/>
      <c r="OL4" s="57"/>
      <c r="OM4" s="57"/>
      <c r="ON4" s="57"/>
      <c r="OO4" s="57"/>
      <c r="OP4" s="57"/>
      <c r="OQ4" s="57"/>
      <c r="OR4" s="57"/>
      <c r="OS4" s="57"/>
      <c r="OT4" s="57"/>
      <c r="OU4" s="57"/>
      <c r="OV4" s="57"/>
      <c r="OW4" s="57">
        <v>4.6500000000000004</v>
      </c>
      <c r="OX4" s="57"/>
      <c r="OY4" s="57"/>
      <c r="OZ4" s="57"/>
      <c r="PA4" s="57"/>
      <c r="PB4" s="57"/>
      <c r="PC4" s="57"/>
      <c r="PD4" s="57"/>
      <c r="PE4" s="57"/>
      <c r="PF4" s="57"/>
      <c r="PG4" s="57"/>
      <c r="PH4" s="57"/>
      <c r="PI4" s="57"/>
      <c r="PJ4" s="57"/>
      <c r="PK4" s="57"/>
      <c r="PL4" s="57"/>
      <c r="PM4" s="57"/>
      <c r="PN4" s="57"/>
      <c r="PO4" s="57"/>
      <c r="PP4" s="57"/>
      <c r="PQ4" s="57">
        <v>1.68</v>
      </c>
      <c r="PR4" s="57"/>
      <c r="PS4" s="57"/>
      <c r="PT4" s="57"/>
      <c r="PU4" s="57"/>
      <c r="PV4" s="57"/>
      <c r="PW4" s="57"/>
      <c r="PX4" s="57">
        <v>5.33</v>
      </c>
      <c r="PY4" s="57"/>
      <c r="PZ4" s="57"/>
      <c r="QA4" s="57"/>
      <c r="QB4" s="57"/>
      <c r="QC4" s="57"/>
      <c r="QD4" s="57"/>
      <c r="QE4" s="57"/>
      <c r="QF4" s="57"/>
      <c r="QG4" s="57">
        <v>6.2</v>
      </c>
      <c r="QH4" s="57"/>
      <c r="QI4" s="57"/>
      <c r="QJ4" s="57"/>
      <c r="QK4" s="57"/>
      <c r="QL4" s="57"/>
      <c r="QM4" s="57"/>
      <c r="QN4" s="57"/>
      <c r="QO4" s="57"/>
      <c r="QP4" s="57"/>
      <c r="QQ4" s="57"/>
      <c r="QR4" s="57"/>
      <c r="QS4" s="57"/>
      <c r="QT4" s="57"/>
      <c r="QU4" s="57"/>
      <c r="QV4" s="57"/>
      <c r="QW4" s="57"/>
      <c r="QX4" s="57"/>
      <c r="QY4" s="57"/>
      <c r="QZ4" s="57"/>
      <c r="RA4" s="57"/>
      <c r="RB4" s="57">
        <v>1.43</v>
      </c>
      <c r="RC4" s="57"/>
      <c r="RD4" s="57"/>
      <c r="RE4" s="57"/>
      <c r="RF4" s="57"/>
      <c r="RG4" s="57"/>
      <c r="RH4" s="57"/>
      <c r="RI4" s="57"/>
      <c r="RJ4" s="57">
        <v>3.9</v>
      </c>
      <c r="RK4" s="57"/>
      <c r="RL4" s="57"/>
      <c r="RM4" s="57"/>
      <c r="RN4" s="57"/>
      <c r="RO4" s="57"/>
      <c r="RP4" s="57">
        <v>3.1</v>
      </c>
      <c r="RQ4" s="57"/>
      <c r="RR4" s="57"/>
      <c r="RS4" s="57"/>
      <c r="RT4" s="57"/>
      <c r="RU4" s="57"/>
      <c r="RV4" s="57"/>
      <c r="RW4" s="57"/>
      <c r="RX4" s="57"/>
      <c r="RY4" s="57"/>
      <c r="RZ4" s="57"/>
      <c r="SA4" s="57"/>
      <c r="SB4" s="57"/>
      <c r="SC4" s="57"/>
      <c r="SD4" s="57"/>
      <c r="SE4" s="57"/>
      <c r="SF4" s="57"/>
      <c r="SG4" s="57"/>
      <c r="SH4" s="57"/>
      <c r="SI4" s="57"/>
      <c r="SJ4" s="57"/>
      <c r="SK4" s="57"/>
      <c r="SL4" s="57">
        <v>3.02</v>
      </c>
      <c r="SM4" s="57"/>
      <c r="SN4" s="57"/>
      <c r="SO4" s="57"/>
      <c r="SP4" s="57"/>
      <c r="SQ4" s="57"/>
      <c r="SR4" s="57"/>
      <c r="SS4" s="57"/>
      <c r="ST4" s="57"/>
      <c r="SU4" s="57"/>
      <c r="SV4" s="57">
        <v>3.77</v>
      </c>
      <c r="SW4" s="57"/>
      <c r="SX4" s="57"/>
      <c r="SY4" s="57"/>
      <c r="SZ4" s="57"/>
      <c r="TA4" s="57"/>
      <c r="TB4" s="57"/>
      <c r="TC4" s="57"/>
      <c r="TD4" s="57"/>
      <c r="TE4" s="57"/>
      <c r="TF4" s="57"/>
      <c r="TG4" s="57"/>
      <c r="TH4" s="57"/>
      <c r="TI4" s="57"/>
      <c r="TJ4" s="57"/>
      <c r="TK4" s="57"/>
      <c r="TL4" s="57"/>
      <c r="TM4" s="57"/>
      <c r="TN4" s="57"/>
      <c r="TO4" s="57"/>
      <c r="TP4" s="57"/>
      <c r="TQ4" s="57"/>
      <c r="TR4" s="57"/>
      <c r="TS4" s="57"/>
      <c r="TT4" s="57"/>
      <c r="TU4" s="57"/>
      <c r="TV4" s="57">
        <v>4.8499999999999996</v>
      </c>
      <c r="TW4" s="57"/>
      <c r="TX4" s="57"/>
      <c r="TY4" s="57"/>
      <c r="TZ4" s="57"/>
      <c r="UA4" s="57"/>
      <c r="UB4" s="57">
        <v>3.75</v>
      </c>
      <c r="UC4" s="57"/>
      <c r="UD4" s="57"/>
      <c r="UE4" s="57"/>
      <c r="UF4" s="57"/>
      <c r="UG4" s="57"/>
      <c r="UH4" s="57">
        <v>4.97</v>
      </c>
      <c r="UI4" s="57"/>
      <c r="UJ4" s="57"/>
      <c r="UK4" s="57"/>
      <c r="UL4" s="57"/>
      <c r="UM4" s="57"/>
      <c r="UN4" s="57"/>
      <c r="UO4" s="57"/>
      <c r="UP4" s="57"/>
      <c r="UQ4" s="57"/>
      <c r="UR4" s="57"/>
      <c r="US4" s="57"/>
      <c r="UT4" s="57"/>
      <c r="UU4" s="57"/>
      <c r="UV4" s="57"/>
      <c r="UW4" s="57"/>
      <c r="UX4" s="57"/>
      <c r="UY4" s="57"/>
      <c r="UZ4" s="57"/>
      <c r="VA4" s="57">
        <v>5.25</v>
      </c>
      <c r="VB4" s="57"/>
      <c r="VC4" s="57"/>
      <c r="VD4" s="57"/>
      <c r="VE4" s="57"/>
      <c r="VF4" s="57"/>
      <c r="VG4" s="57"/>
      <c r="VH4" s="57">
        <v>6.62</v>
      </c>
      <c r="VI4" s="57"/>
      <c r="VJ4" s="57"/>
      <c r="VK4" s="57"/>
      <c r="VL4" s="57"/>
      <c r="VM4" s="57"/>
      <c r="VN4" s="57"/>
      <c r="VO4" s="57"/>
      <c r="VP4" s="57"/>
      <c r="VQ4" s="57"/>
      <c r="VR4" s="57"/>
      <c r="VS4" s="57"/>
      <c r="VT4" s="57">
        <v>5.18</v>
      </c>
      <c r="VU4" s="57"/>
      <c r="VV4" s="57"/>
      <c r="VW4" s="57"/>
      <c r="VX4" s="57"/>
      <c r="VY4" s="57"/>
      <c r="VZ4" s="57"/>
      <c r="WA4" s="57"/>
      <c r="WB4" s="57"/>
      <c r="WC4" s="57"/>
      <c r="WD4" s="57"/>
      <c r="WE4" s="57"/>
      <c r="WF4" s="57"/>
      <c r="WG4" s="57"/>
      <c r="WH4" s="57"/>
      <c r="WI4" s="57"/>
      <c r="WJ4" s="57"/>
      <c r="WK4" s="57"/>
      <c r="WL4" s="57"/>
      <c r="WM4" s="57"/>
      <c r="WN4" s="57"/>
      <c r="WO4" s="57"/>
      <c r="WP4" s="57"/>
      <c r="WQ4" s="57"/>
      <c r="WR4" s="57">
        <v>6.18</v>
      </c>
      <c r="WS4" s="57"/>
      <c r="WT4" s="57"/>
      <c r="WU4" s="57"/>
      <c r="WV4" s="57">
        <v>6.45</v>
      </c>
      <c r="WW4" s="57"/>
      <c r="WX4" s="57"/>
      <c r="WY4" s="57"/>
      <c r="WZ4" s="57"/>
      <c r="XA4" s="57"/>
      <c r="XB4" s="57"/>
      <c r="XC4" s="57">
        <v>4.1500000000000004</v>
      </c>
      <c r="XD4" s="57"/>
      <c r="XE4" s="57"/>
      <c r="XF4" s="57"/>
      <c r="XG4" s="57"/>
      <c r="XH4" s="57">
        <v>5.92</v>
      </c>
      <c r="XI4" s="57"/>
      <c r="XJ4" s="57"/>
      <c r="XK4" s="57"/>
      <c r="XL4" s="57"/>
      <c r="XM4" s="57"/>
      <c r="XN4" s="57"/>
      <c r="XO4" s="57"/>
      <c r="XP4" s="57"/>
      <c r="XQ4" s="57"/>
      <c r="XR4" s="57"/>
      <c r="XS4" s="57"/>
      <c r="XT4" s="57"/>
      <c r="XU4" s="57"/>
      <c r="XV4" s="57">
        <v>4.58</v>
      </c>
      <c r="XW4" s="57"/>
      <c r="XX4" s="57">
        <v>2.5499999999999998</v>
      </c>
      <c r="XY4" s="57"/>
      <c r="XZ4" s="57"/>
      <c r="YA4" s="57"/>
      <c r="YB4" s="57"/>
      <c r="YC4" s="57"/>
      <c r="YD4" s="57"/>
      <c r="YE4" s="57"/>
      <c r="YF4" s="57">
        <v>5.9</v>
      </c>
      <c r="YG4" s="57"/>
      <c r="YH4" s="57"/>
      <c r="YI4" s="57"/>
      <c r="YJ4" s="57"/>
      <c r="YK4" s="57"/>
      <c r="YL4" s="57"/>
      <c r="YM4" s="57"/>
      <c r="YN4" s="57">
        <v>3.98</v>
      </c>
      <c r="YO4" s="57"/>
      <c r="YP4" s="57"/>
      <c r="YQ4" s="57"/>
      <c r="YR4" s="57">
        <v>4.63</v>
      </c>
      <c r="YS4" s="57"/>
      <c r="YT4" s="57"/>
      <c r="YU4" s="57"/>
      <c r="YV4" s="57"/>
      <c r="YW4" s="57"/>
      <c r="YX4" s="57">
        <v>6.13</v>
      </c>
      <c r="YY4" s="57"/>
      <c r="YZ4" s="57"/>
      <c r="ZA4" s="57"/>
      <c r="ZB4" s="57"/>
      <c r="ZC4" s="57"/>
      <c r="ZD4" s="57"/>
      <c r="ZE4" s="57"/>
      <c r="ZF4" s="57"/>
      <c r="ZG4" s="57"/>
      <c r="ZH4" s="57"/>
      <c r="ZI4" s="57"/>
      <c r="ZJ4" s="57"/>
      <c r="ZK4" s="57"/>
      <c r="ZL4" s="57"/>
      <c r="ZM4" s="57"/>
      <c r="ZN4" s="57"/>
      <c r="ZO4" s="57"/>
      <c r="ZP4" s="57"/>
      <c r="ZQ4" s="57"/>
      <c r="ZR4" s="57"/>
      <c r="ZS4" s="57"/>
      <c r="ZT4" s="57">
        <v>2.85</v>
      </c>
      <c r="ZU4" s="57"/>
      <c r="ZV4" s="57"/>
      <c r="ZW4" s="57"/>
      <c r="ZX4" s="57"/>
      <c r="ZY4" s="57"/>
      <c r="ZZ4" s="57"/>
      <c r="AAA4" s="57"/>
      <c r="AAB4" s="57">
        <v>3.53</v>
      </c>
      <c r="AAC4" s="57"/>
      <c r="AAD4" s="57"/>
      <c r="AAE4" s="57"/>
      <c r="AAF4" s="57">
        <v>2.5</v>
      </c>
      <c r="AAG4" s="57"/>
      <c r="AAH4" s="57"/>
      <c r="AAI4" s="57"/>
      <c r="AAJ4" s="57"/>
      <c r="AAK4" s="57"/>
      <c r="AAL4" s="57"/>
      <c r="AAM4" s="57">
        <v>3.6</v>
      </c>
      <c r="AAN4" s="57"/>
      <c r="AAO4" s="57"/>
      <c r="AAP4" s="57"/>
      <c r="AAQ4" s="57"/>
      <c r="AAR4" s="57"/>
      <c r="AAS4" s="57"/>
      <c r="AAT4" s="57"/>
      <c r="AAU4" s="57"/>
      <c r="AAV4" s="57"/>
      <c r="AAW4" s="57"/>
      <c r="AAX4" s="57"/>
      <c r="AAY4" s="57"/>
      <c r="AAZ4" s="57"/>
      <c r="ABA4" s="57">
        <v>1.03</v>
      </c>
      <c r="ABB4" s="57"/>
      <c r="ABC4" s="57"/>
      <c r="ABD4" s="57"/>
      <c r="ABE4" s="57">
        <v>8.1300000000000008</v>
      </c>
      <c r="ABF4" s="57"/>
      <c r="ABG4" s="57"/>
      <c r="ABH4" s="57"/>
      <c r="ABI4" s="57"/>
      <c r="ABJ4" s="57"/>
      <c r="ABK4" s="57">
        <v>4.43</v>
      </c>
      <c r="ABL4" s="57"/>
      <c r="ABM4" s="57"/>
      <c r="ABN4" s="57"/>
      <c r="ABO4" s="57">
        <v>6.28</v>
      </c>
      <c r="ABP4" s="57"/>
      <c r="ABQ4" s="57"/>
      <c r="ABR4" s="57"/>
      <c r="ABS4" s="57"/>
      <c r="ABT4" s="57"/>
      <c r="ABU4" s="57"/>
      <c r="ABV4" s="57"/>
      <c r="ABW4" s="57"/>
      <c r="ABX4" s="57"/>
      <c r="ABY4" s="57"/>
      <c r="ABZ4" s="57"/>
      <c r="ACA4" s="57"/>
      <c r="ACB4" s="57">
        <v>4.5999999999999996</v>
      </c>
      <c r="ACC4" s="57"/>
      <c r="ACD4" s="57"/>
      <c r="ACE4" s="57"/>
      <c r="ACF4" s="57"/>
      <c r="ACG4" s="57"/>
      <c r="ACH4" s="57">
        <v>4.22</v>
      </c>
      <c r="ACI4" s="57"/>
      <c r="ACJ4" s="57"/>
      <c r="ACK4" s="57"/>
      <c r="ACL4" s="57"/>
      <c r="ACM4" s="57"/>
      <c r="ACN4" s="57">
        <v>4.88</v>
      </c>
      <c r="ACO4" s="57"/>
      <c r="ACP4" s="57"/>
      <c r="ACQ4" s="57"/>
      <c r="ACR4" s="57"/>
      <c r="ACS4" s="57"/>
      <c r="ACT4" s="57"/>
      <c r="ACU4" s="57"/>
      <c r="ACV4" s="57"/>
      <c r="ACW4" s="57"/>
      <c r="ACX4" s="57"/>
      <c r="ACY4" s="57"/>
      <c r="ACZ4" s="57"/>
      <c r="ADA4" s="57"/>
      <c r="ADB4" s="57">
        <v>3.6</v>
      </c>
      <c r="ADC4" s="57"/>
      <c r="ADD4" s="57"/>
      <c r="ADE4" s="57"/>
      <c r="ADF4" s="57"/>
      <c r="ADG4" s="57"/>
      <c r="ADH4" s="57"/>
      <c r="ADI4" s="57"/>
      <c r="ADJ4" s="57"/>
      <c r="ADK4" s="57"/>
      <c r="ADL4" s="57"/>
      <c r="ADM4" s="57"/>
      <c r="ADN4" s="57"/>
      <c r="ADO4" s="57">
        <v>5.0199999999999996</v>
      </c>
      <c r="ADP4" s="57"/>
      <c r="ADQ4" s="57"/>
      <c r="ADR4" s="57"/>
      <c r="ADS4" s="57"/>
      <c r="ADT4" s="57"/>
      <c r="ADU4" s="57">
        <v>3.68</v>
      </c>
      <c r="ADV4" s="57"/>
      <c r="ADW4" s="57"/>
      <c r="ADX4" s="57"/>
      <c r="ADY4" s="57"/>
      <c r="ADZ4" s="57"/>
      <c r="AEA4" s="57"/>
      <c r="AEB4" s="57"/>
      <c r="AEC4" s="57"/>
      <c r="AED4" s="57"/>
      <c r="AEE4" s="57"/>
      <c r="AEF4" s="57"/>
      <c r="AEG4" s="57"/>
      <c r="AEH4" s="57"/>
      <c r="AEI4" s="57"/>
      <c r="AEJ4" s="57"/>
      <c r="AEK4" s="57"/>
      <c r="AEL4" s="57"/>
      <c r="AEM4" s="57">
        <v>6.22</v>
      </c>
      <c r="AEN4" s="57"/>
      <c r="AEO4" s="57"/>
      <c r="AEP4" s="57"/>
      <c r="AEQ4" s="57"/>
      <c r="AER4" s="57"/>
      <c r="AES4" s="57"/>
      <c r="AET4" s="57">
        <v>3.02</v>
      </c>
      <c r="AEU4" s="57"/>
      <c r="AEV4" s="57"/>
      <c r="AEW4" s="57"/>
      <c r="AEX4" s="57"/>
      <c r="AEY4" s="57"/>
      <c r="AEZ4" s="57"/>
      <c r="AFA4" s="57"/>
      <c r="AFB4" s="57"/>
      <c r="AFC4" s="57">
        <v>0.97</v>
      </c>
      <c r="AFD4" s="57"/>
      <c r="AFE4" s="57"/>
      <c r="AFF4" s="57"/>
      <c r="AFG4" s="57"/>
      <c r="AFH4" s="57">
        <v>2.27</v>
      </c>
      <c r="AFI4" s="57"/>
      <c r="AFJ4" s="57"/>
      <c r="AFK4" s="57"/>
      <c r="AFL4" s="57"/>
      <c r="AFM4" s="57">
        <v>5.12</v>
      </c>
      <c r="AFN4" s="57"/>
      <c r="AFO4" s="57"/>
      <c r="AFP4" s="57"/>
      <c r="AFQ4" s="57"/>
      <c r="AFR4" s="57">
        <v>4</v>
      </c>
      <c r="AFS4" s="57"/>
      <c r="AFT4" s="57"/>
      <c r="AFU4" s="57"/>
      <c r="AFV4" s="57"/>
      <c r="AFW4" s="57"/>
      <c r="AFX4" s="57"/>
      <c r="AFY4" s="57"/>
      <c r="AFZ4" s="57"/>
      <c r="AGA4" s="57"/>
      <c r="AGB4" s="57"/>
      <c r="AGC4" s="57">
        <v>4.42</v>
      </c>
      <c r="AGD4" s="57"/>
      <c r="AGE4" s="57"/>
      <c r="AGF4" s="57"/>
      <c r="AGG4" s="57"/>
      <c r="AGH4" s="57"/>
      <c r="AGI4" s="57"/>
      <c r="AGJ4" s="57"/>
      <c r="AGK4" s="57"/>
      <c r="AGL4" s="57"/>
      <c r="AGM4" s="57"/>
      <c r="AGN4" s="57"/>
      <c r="AGO4" s="57"/>
      <c r="AGP4" s="57">
        <v>1.1000000000000001</v>
      </c>
      <c r="AGQ4" s="57"/>
      <c r="AGR4" s="57"/>
      <c r="AGS4" s="57"/>
      <c r="AGT4" s="57"/>
      <c r="AGU4" s="57"/>
      <c r="AGV4" s="57"/>
      <c r="AGW4" s="57"/>
      <c r="AGX4" s="57">
        <v>6</v>
      </c>
      <c r="AGY4" s="57"/>
      <c r="AGZ4" s="57"/>
      <c r="AHA4" s="57"/>
      <c r="AHB4" s="57">
        <v>4.1500000000000004</v>
      </c>
      <c r="AHC4" s="57"/>
      <c r="AHD4" s="57"/>
      <c r="AHE4" s="57"/>
      <c r="AHF4" s="57">
        <v>6.03</v>
      </c>
      <c r="AHG4" s="57"/>
      <c r="AHH4" s="57"/>
      <c r="AHI4" s="57"/>
      <c r="AHJ4" s="57">
        <v>8.7200000000000006</v>
      </c>
      <c r="AHK4" s="57"/>
      <c r="AHL4" s="57"/>
      <c r="AHM4" s="57"/>
      <c r="AHN4" s="57"/>
      <c r="AHO4" s="57"/>
      <c r="AHP4" s="57">
        <v>3.47</v>
      </c>
      <c r="AHQ4" s="57"/>
      <c r="AHR4" s="57"/>
      <c r="AHS4" s="57"/>
      <c r="AHT4" s="57">
        <v>5.73</v>
      </c>
      <c r="AHU4" s="57"/>
      <c r="AHV4" s="57"/>
      <c r="AHW4" s="57"/>
      <c r="AHX4" s="57">
        <v>1.22</v>
      </c>
      <c r="AHY4" s="57"/>
      <c r="AHZ4" s="57"/>
      <c r="AIA4" s="57"/>
      <c r="AIB4" s="57"/>
      <c r="AIC4" s="57">
        <v>1.63</v>
      </c>
      <c r="AID4" s="57"/>
      <c r="AIE4" s="57"/>
      <c r="AIF4" s="57"/>
      <c r="AIG4" s="57">
        <v>4.4800000000000004</v>
      </c>
      <c r="AIH4" s="57"/>
      <c r="AII4" s="57"/>
      <c r="AIJ4" s="57"/>
      <c r="AIK4" s="57"/>
      <c r="AIL4" s="57"/>
      <c r="AIM4" s="57"/>
      <c r="AIN4" s="57"/>
      <c r="AIO4" s="57"/>
      <c r="AIP4" s="57"/>
      <c r="AIQ4" s="57"/>
      <c r="AIR4" s="57"/>
      <c r="AIS4" s="57"/>
      <c r="AIT4" s="57"/>
      <c r="AIU4" s="57"/>
      <c r="AIV4" s="57"/>
      <c r="AIW4" s="57"/>
      <c r="AIX4" s="57"/>
      <c r="AIY4" s="57"/>
      <c r="AIZ4" s="57"/>
      <c r="AJA4" s="57"/>
      <c r="AJB4" s="57">
        <v>6.37</v>
      </c>
      <c r="AJC4" s="57"/>
      <c r="AJD4" s="57"/>
      <c r="AJE4" s="57">
        <v>4.3879124579124591</v>
      </c>
    </row>
    <row r="5" spans="1:941" x14ac:dyDescent="0.35">
      <c r="A5" s="55"/>
      <c r="B5" s="40">
        <v>44204</v>
      </c>
      <c r="C5" s="40">
        <f t="shared" si="3"/>
        <v>44204</v>
      </c>
      <c r="D5" s="4">
        <f>IF(EarningsPerDay[[#This Row],[Week '#]]&gt;=52,YEAR(EarningsPerDay[[#This Row],[Date]])-1,YEAR(EarningsPerDay[[#This Row],[Date]]))</f>
        <v>2021</v>
      </c>
      <c r="E5" s="4" t="str">
        <f>"QTR"&amp;IF(EarningsPerDay[[#This Row],[Week '#]] &lt;= 13, 1, IF(EarningsPerDay[[#This Row],[Week '#]] &lt;= 26, 2, IF(EarningsPerDay[[#This Row],[Week '#]] &lt;= 39, 3, 4)))</f>
        <v>QTR1</v>
      </c>
      <c r="F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5" s="4">
        <f>IF(WEEKNUM(EarningsPerDay[[#This Row],[Date]], 2) = 53, 1, WEEKNUM(EarningsPerDay[[#This Row],[Date]],2))</f>
        <v>2</v>
      </c>
      <c r="H5" s="40" t="str">
        <f t="shared" si="0"/>
        <v>Friday</v>
      </c>
      <c r="I5" s="106" t="str">
        <f>IF(_xlfn.XLOOKUP(EarningsPerDay[[#This Row],[Date]],Mileage[Date],Mileage[Start Time])="","",MROUND(_xlfn.XLOOKUP(EarningsPerDay[[#This Row],[Date]],Mileage[Date],Mileage[Start Time]),0.0208333333333333))</f>
        <v/>
      </c>
      <c r="J5" s="40" t="str" cm="1">
        <f t="array" ref="J5">IFERROR(VLOOKUP(MODE(IF(Combined[Date]=EarningsPerDay[[#This Row],[Date]],Combined[Area '#])),KPIs!$B$4:$C$7,2,FALSE),VLOOKUP(EarningsPerDay[[#This Row],[Date]],Combined[[Date]:[Primary Area]],8,FALSE))</f>
        <v>Portland</v>
      </c>
      <c r="K5" s="40" t="str">
        <f>_xlfn.XLOOKUP(EarningsPerDay[[#This Row],[Date]],Mileage[Date],Mileage[Weather])</f>
        <v>Partially Cloudy</v>
      </c>
      <c r="L5" s="4">
        <f>_xlfn.XLOOKUP(EarningsPerDay[[#This Row],[Date]],Mileage[Date],Mileage[Hi Temp])</f>
        <v>26.6</v>
      </c>
      <c r="M5" s="12">
        <f>_xlfn.XLOOKUP(EarningsPerDay[[#This Row],[Date]],Mileage[Date],Mileage[Total Time])</f>
        <v>2.0499999999999998</v>
      </c>
      <c r="N5" s="4">
        <f>_xlfn.XLOOKUP(EarningsPerDay[[#This Row],[Date]],Mileage[Date],Mileage[Mileage])</f>
        <v>28.594772903863813</v>
      </c>
      <c r="O5" s="4">
        <f>SUMIF(Combined[Date],EarningsPerDay[[#This Row],[Date]],Combined[Trips])</f>
        <v>2</v>
      </c>
      <c r="P5">
        <f>COUNTIF(Combined[Date],EarningsPerDay[[#This Row],[Date]])</f>
        <v>1</v>
      </c>
      <c r="Q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" s="11">
        <f>SUMIF(Combined[Date],EarningsPerDay[[#This Row],[Date]],Combined[Earnings])</f>
        <v>12.04</v>
      </c>
      <c r="S5" s="11">
        <f ca="1">EarningsPerDay[[#This Row],[Gross Earnings]]-(EarningsPerDay[[#This Row],[Miles]]*CpM!$D$11)</f>
        <v>5.6641350526220329</v>
      </c>
      <c r="T5" s="11">
        <f t="shared" si="1"/>
        <v>5.873170731707317</v>
      </c>
      <c r="U5" s="11">
        <f t="shared" ca="1" si="2"/>
        <v>2.7629927085961139</v>
      </c>
      <c r="V5" s="11">
        <f>EarningsPerDay[[#This Row],[Gross Earnings]]/EarningsPerDay[[#This Row],[Deliveries]]</f>
        <v>6.02</v>
      </c>
      <c r="W5" s="11">
        <f>EarningsPerDay[[#This Row],[Gross Earnings]]/EarningsPerDay[[#This Row],[Miles]]</f>
        <v>0.42105597552667107</v>
      </c>
      <c r="X5" s="71">
        <f>EarningsPerDay[[#This Row],[Deliveries]]/EarningsPerDay[[#This Row],[Hours]]</f>
        <v>0.97560975609756106</v>
      </c>
      <c r="Y5" s="71">
        <f>EarningsPerDay[[#This Row],[Miles]]/EarningsPerDay[[#This Row],[Deliveries]]</f>
        <v>14.297386451931906</v>
      </c>
      <c r="Z5" s="81">
        <f>(EarningsPerDay[[#This Row],[Hours]]/EarningsPerDay[[#This Row],[Deliveries]])/24</f>
        <v>4.2708333333333327E-2</v>
      </c>
      <c r="AA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" s="11">
        <f>AVERAGEIFS(EarningsPerDay[Gross $/Hour],EarningsPerDay[Week '#], EarningsPerDay[[#This Row],[Week '#]], EarningsPerDay[DOW], EarningsPerDay[[#This Row],[DOW]])</f>
        <v>5.873170731707317</v>
      </c>
      <c r="AC5" s="11">
        <f>EarningsPerDay[[#This Row],[Gross $/Hour]] - EarningsPerDay[[#This Row],[Weekly Average Earnings]]</f>
        <v>0</v>
      </c>
      <c r="AD5" s="11">
        <f>(SUMIFS(EarningsPerDay[Gross Earnings], EarningsPerDay[Date],"&gt;="&amp;EarningsPerDay[[#This Row],[Date]]-89, EarningsPerDay[Date], "&lt;="&amp;EarningsPerDay[[#This Row],[Date]]))/90</f>
        <v>1.0376666666666665</v>
      </c>
      <c r="AE5" s="11"/>
      <c r="AF5" s="40" t="s">
        <v>76</v>
      </c>
      <c r="AG5" s="4">
        <v>24795.279999999999</v>
      </c>
      <c r="AI5" s="11"/>
      <c r="AJ5" s="195">
        <v>2023</v>
      </c>
      <c r="AK5" s="4">
        <v>871.43999999999971</v>
      </c>
      <c r="AL5" s="4">
        <v>2.5464480874316942</v>
      </c>
      <c r="AQ5">
        <v>45000</v>
      </c>
      <c r="AT5" t="s">
        <v>45</v>
      </c>
      <c r="AZ5" s="8"/>
      <c r="BA5" s="7" t="s">
        <v>85</v>
      </c>
      <c r="BB5" s="4">
        <v>112.94173312703234</v>
      </c>
      <c r="BD5" s="11">
        <f>BB5*BC5</f>
        <v>0</v>
      </c>
      <c r="BF5" s="7" t="s">
        <v>46</v>
      </c>
      <c r="BG5" s="57"/>
      <c r="BH5" s="57"/>
      <c r="BI5" s="57"/>
      <c r="BJ5" s="57"/>
      <c r="BK5" s="57"/>
      <c r="BL5" s="57"/>
      <c r="BM5" s="57"/>
      <c r="BN5" s="57">
        <v>2.15</v>
      </c>
      <c r="BO5" s="57"/>
      <c r="BP5" s="57"/>
      <c r="BQ5" s="57"/>
      <c r="BR5" s="57"/>
      <c r="BS5" s="57"/>
      <c r="BT5" s="57"/>
      <c r="BU5" s="57">
        <v>1.8666666666666667</v>
      </c>
      <c r="BV5" s="57"/>
      <c r="BW5" s="57"/>
      <c r="BX5" s="57"/>
      <c r="BY5" s="57"/>
      <c r="BZ5" s="57"/>
      <c r="CA5" s="57"/>
      <c r="CB5" s="57">
        <v>2.541666666666667</v>
      </c>
      <c r="CC5" s="57"/>
      <c r="CD5" s="57"/>
      <c r="CE5" s="57">
        <v>2</v>
      </c>
      <c r="CF5" s="57"/>
      <c r="CG5" s="57"/>
      <c r="CH5" s="57"/>
      <c r="CI5" s="57"/>
      <c r="CJ5" s="57"/>
      <c r="CK5" s="57"/>
      <c r="CL5" s="57"/>
      <c r="CM5" s="57"/>
      <c r="CN5" s="57">
        <v>3.1</v>
      </c>
      <c r="CO5" s="57"/>
      <c r="CP5" s="57"/>
      <c r="CQ5" s="57"/>
      <c r="CR5" s="57"/>
      <c r="CS5" s="57"/>
      <c r="CT5" s="57"/>
      <c r="CU5" s="57">
        <v>4.6999999999999993</v>
      </c>
      <c r="CV5" s="57"/>
      <c r="CW5" s="57"/>
      <c r="CX5" s="57"/>
      <c r="CY5" s="57"/>
      <c r="CZ5" s="57"/>
      <c r="DA5" s="57">
        <v>4.2</v>
      </c>
      <c r="DB5" s="57"/>
      <c r="DC5" s="57"/>
      <c r="DD5" s="57">
        <v>2.5</v>
      </c>
      <c r="DE5" s="57"/>
      <c r="DF5" s="57">
        <v>2.7</v>
      </c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>
        <v>1.1000000000000001</v>
      </c>
      <c r="DS5" s="57"/>
      <c r="DT5" s="57"/>
      <c r="DU5" s="57"/>
      <c r="DV5" s="57"/>
      <c r="DW5" s="57"/>
      <c r="DX5" s="57"/>
      <c r="DY5" s="57"/>
      <c r="DZ5" s="57">
        <v>2.2999999999999998</v>
      </c>
      <c r="EA5" s="57"/>
      <c r="EB5" s="57">
        <v>3.9</v>
      </c>
      <c r="EC5" s="57"/>
      <c r="ED5" s="57"/>
      <c r="EE5" s="57"/>
      <c r="EF5" s="57"/>
      <c r="EG5" s="57"/>
      <c r="EH5" s="57"/>
      <c r="EI5" s="57">
        <v>6</v>
      </c>
      <c r="EJ5" s="57"/>
      <c r="EK5" s="57"/>
      <c r="EL5" s="57"/>
      <c r="EM5" s="57"/>
      <c r="EN5" s="57">
        <v>4.2</v>
      </c>
      <c r="EO5" s="57"/>
      <c r="EP5" s="57">
        <v>4.9000000000000004</v>
      </c>
      <c r="EQ5" s="57"/>
      <c r="ER5" s="57">
        <v>4.8</v>
      </c>
      <c r="ES5" s="57"/>
      <c r="ET5" s="57"/>
      <c r="EU5" s="57"/>
      <c r="EV5" s="57">
        <v>1.5</v>
      </c>
      <c r="EW5" s="57"/>
      <c r="EX5" s="57"/>
      <c r="EY5" s="57"/>
      <c r="EZ5" s="57">
        <v>1.8</v>
      </c>
      <c r="FA5" s="57"/>
      <c r="FB5" s="57"/>
      <c r="FC5" s="57"/>
      <c r="FD5" s="57">
        <v>0.8</v>
      </c>
      <c r="FE5" s="57"/>
      <c r="FF5" s="57"/>
      <c r="FG5" s="57">
        <v>5.3</v>
      </c>
      <c r="FH5" s="57">
        <v>2.2999999999999998</v>
      </c>
      <c r="FI5" s="57"/>
      <c r="FJ5" s="57">
        <v>4.8</v>
      </c>
      <c r="FK5" s="57"/>
      <c r="FL5" s="57"/>
      <c r="FM5" s="57"/>
      <c r="FN5" s="57"/>
      <c r="FO5" s="57"/>
      <c r="FP5" s="57"/>
      <c r="FQ5" s="57"/>
      <c r="FR5" s="57"/>
      <c r="FS5" s="57"/>
      <c r="FT5" s="57"/>
      <c r="FU5" s="57"/>
      <c r="FV5" s="57"/>
      <c r="FW5" s="57"/>
      <c r="FX5" s="57"/>
      <c r="FY5" s="57"/>
      <c r="FZ5" s="57"/>
      <c r="GA5" s="57"/>
      <c r="GB5" s="57"/>
      <c r="GC5" s="57">
        <v>5.7</v>
      </c>
      <c r="GD5" s="57"/>
      <c r="GE5" s="57"/>
      <c r="GF5" s="57"/>
      <c r="GG5" s="57"/>
      <c r="GH5" s="57"/>
      <c r="GI5" s="57"/>
      <c r="GJ5" s="57"/>
      <c r="GK5" s="57"/>
      <c r="GL5" s="57"/>
      <c r="GM5" s="57"/>
      <c r="GN5" s="57"/>
      <c r="GO5" s="57"/>
      <c r="GP5" s="57"/>
      <c r="GQ5" s="57"/>
      <c r="GR5" s="57"/>
      <c r="GS5" s="57"/>
      <c r="GT5" s="57"/>
      <c r="GU5" s="57"/>
      <c r="GV5" s="57">
        <v>3.6</v>
      </c>
      <c r="GW5" s="57"/>
      <c r="GX5" s="57"/>
      <c r="GY5" s="57"/>
      <c r="GZ5" s="57"/>
      <c r="HA5" s="57"/>
      <c r="HB5" s="57">
        <v>5.8</v>
      </c>
      <c r="HC5" s="57"/>
      <c r="HD5" s="57"/>
      <c r="HE5" s="57"/>
      <c r="HF5" s="57"/>
      <c r="HG5" s="57"/>
      <c r="HH5" s="57"/>
      <c r="HI5" s="57">
        <v>5.0999999999999996</v>
      </c>
      <c r="HJ5" s="57"/>
      <c r="HK5" s="57">
        <v>6.7</v>
      </c>
      <c r="HL5" s="57"/>
      <c r="HM5" s="57"/>
      <c r="HN5" s="57"/>
      <c r="HO5" s="57"/>
      <c r="HP5" s="57"/>
      <c r="HQ5" s="57">
        <v>6.3999999999999995</v>
      </c>
      <c r="HR5" s="57"/>
      <c r="HS5" s="57"/>
      <c r="HT5" s="57"/>
      <c r="HU5" s="57"/>
      <c r="HV5" s="57"/>
      <c r="HW5" s="57"/>
      <c r="HX5" s="57">
        <v>6.9</v>
      </c>
      <c r="HY5" s="57"/>
      <c r="HZ5" s="57"/>
      <c r="IA5" s="57"/>
      <c r="IB5" s="57">
        <v>6.6</v>
      </c>
      <c r="IC5" s="57"/>
      <c r="ID5" s="57"/>
      <c r="IE5" s="57"/>
      <c r="IF5" s="57"/>
      <c r="IG5" s="57">
        <v>6.8</v>
      </c>
      <c r="IH5" s="57"/>
      <c r="II5" s="57"/>
      <c r="IJ5" s="57"/>
      <c r="IK5" s="57"/>
      <c r="IL5" s="57">
        <v>2.2999999999999998</v>
      </c>
      <c r="IM5" s="57"/>
      <c r="IN5" s="57"/>
      <c r="IO5" s="57"/>
      <c r="IP5" s="57"/>
      <c r="IQ5" s="57"/>
      <c r="IR5" s="57"/>
      <c r="IS5" s="57"/>
      <c r="IT5" s="57"/>
      <c r="IU5" s="57">
        <v>6.1999999999999993</v>
      </c>
      <c r="IV5" s="57"/>
      <c r="IW5" s="57"/>
      <c r="IX5" s="57"/>
      <c r="IY5" s="57"/>
      <c r="IZ5" s="57"/>
      <c r="JA5" s="57">
        <v>7.6</v>
      </c>
      <c r="JB5" s="57"/>
      <c r="JC5" s="57"/>
      <c r="JD5" s="57"/>
      <c r="JE5" s="57"/>
      <c r="JF5" s="57">
        <v>8.2000000000000011</v>
      </c>
      <c r="JG5" s="57"/>
      <c r="JH5" s="57"/>
      <c r="JI5" s="57">
        <v>9.1</v>
      </c>
      <c r="JJ5" s="57"/>
      <c r="JK5" s="57"/>
      <c r="JL5" s="57"/>
      <c r="JM5" s="57"/>
      <c r="JN5" s="57">
        <v>4.8499999999999996</v>
      </c>
      <c r="JO5" s="57"/>
      <c r="JP5" s="57"/>
      <c r="JQ5" s="57"/>
      <c r="JR5" s="57"/>
      <c r="JS5" s="57"/>
      <c r="JT5" s="57"/>
      <c r="JU5" s="57">
        <v>0.8</v>
      </c>
      <c r="JV5" s="57"/>
      <c r="JW5" s="57"/>
      <c r="JX5" s="57"/>
      <c r="JY5" s="57"/>
      <c r="JZ5" s="57"/>
      <c r="KA5" s="57"/>
      <c r="KB5" s="57"/>
      <c r="KC5" s="57"/>
      <c r="KD5" s="57"/>
      <c r="KE5" s="57">
        <v>5.72</v>
      </c>
      <c r="KF5" s="57"/>
      <c r="KG5" s="57"/>
      <c r="KH5" s="57"/>
      <c r="KI5" s="57"/>
      <c r="KJ5" s="57">
        <v>6.15</v>
      </c>
      <c r="KK5" s="57"/>
      <c r="KL5" s="57"/>
      <c r="KM5" s="57"/>
      <c r="KN5" s="57"/>
      <c r="KO5" s="57"/>
      <c r="KP5" s="57"/>
      <c r="KQ5" s="57"/>
      <c r="KR5" s="57"/>
      <c r="KS5" s="57"/>
      <c r="KT5" s="57"/>
      <c r="KU5" s="57"/>
      <c r="KV5" s="57"/>
      <c r="KW5" s="57"/>
      <c r="KX5" s="57"/>
      <c r="KY5" s="57"/>
      <c r="KZ5" s="57"/>
      <c r="LA5" s="57"/>
      <c r="LB5" s="57"/>
      <c r="LC5" s="57"/>
      <c r="LD5" s="57"/>
      <c r="LE5" s="57"/>
      <c r="LF5" s="57"/>
      <c r="LG5" s="57"/>
      <c r="LH5" s="57"/>
      <c r="LI5" s="57"/>
      <c r="LJ5" s="57"/>
      <c r="LK5" s="57"/>
      <c r="LL5" s="57"/>
      <c r="LM5" s="57"/>
      <c r="LN5" s="57"/>
      <c r="LO5" s="57"/>
      <c r="LP5" s="57"/>
      <c r="LQ5" s="57"/>
      <c r="LR5" s="57"/>
      <c r="LS5" s="57"/>
      <c r="LT5" s="57"/>
      <c r="LU5" s="57"/>
      <c r="LV5" s="57"/>
      <c r="LW5" s="57"/>
      <c r="LX5" s="57"/>
      <c r="LY5" s="57"/>
      <c r="LZ5" s="57"/>
      <c r="MA5" s="57"/>
      <c r="MB5" s="57"/>
      <c r="MC5" s="57"/>
      <c r="MD5" s="57"/>
      <c r="ME5" s="57"/>
      <c r="MF5" s="57"/>
      <c r="MG5" s="57"/>
      <c r="MH5" s="57"/>
      <c r="MI5" s="57"/>
      <c r="MJ5" s="57"/>
      <c r="MK5" s="57"/>
      <c r="ML5" s="57"/>
      <c r="MM5" s="57"/>
      <c r="MN5" s="57"/>
      <c r="MO5" s="57"/>
      <c r="MP5" s="57"/>
      <c r="MQ5" s="57"/>
      <c r="MR5" s="57"/>
      <c r="MS5" s="57"/>
      <c r="MT5" s="57"/>
      <c r="MU5" s="57"/>
      <c r="MV5" s="57"/>
      <c r="MW5" s="57">
        <v>4.4000000000000004</v>
      </c>
      <c r="MX5" s="57"/>
      <c r="MY5" s="57"/>
      <c r="MZ5" s="57"/>
      <c r="NA5" s="57"/>
      <c r="NB5" s="57"/>
      <c r="NC5" s="57"/>
      <c r="ND5" s="57"/>
      <c r="NE5" s="57"/>
      <c r="NF5" s="57"/>
      <c r="NG5" s="57"/>
      <c r="NH5" s="57"/>
      <c r="NI5" s="57"/>
      <c r="NJ5" s="57"/>
      <c r="NK5" s="57"/>
      <c r="NL5" s="57"/>
      <c r="NM5" s="57"/>
      <c r="NN5" s="57"/>
      <c r="NO5" s="57"/>
      <c r="NP5" s="57"/>
      <c r="NQ5" s="57"/>
      <c r="NR5" s="57">
        <v>7.18</v>
      </c>
      <c r="NS5" s="57"/>
      <c r="NT5" s="57"/>
      <c r="NU5" s="57">
        <v>3.43</v>
      </c>
      <c r="NV5" s="57"/>
      <c r="NW5" s="57">
        <v>5.53</v>
      </c>
      <c r="NX5" s="57"/>
      <c r="NY5" s="57"/>
      <c r="NZ5" s="57"/>
      <c r="OA5" s="57"/>
      <c r="OB5" s="57">
        <v>5.48</v>
      </c>
      <c r="OC5" s="57"/>
      <c r="OD5" s="57"/>
      <c r="OE5" s="57"/>
      <c r="OF5" s="57"/>
      <c r="OG5" s="57"/>
      <c r="OH5" s="57"/>
      <c r="OI5" s="57"/>
      <c r="OJ5" s="57"/>
      <c r="OK5" s="57"/>
      <c r="OL5" s="57"/>
      <c r="OM5" s="57"/>
      <c r="ON5" s="57"/>
      <c r="OO5" s="57"/>
      <c r="OP5" s="57"/>
      <c r="OQ5" s="57"/>
      <c r="OR5" s="57"/>
      <c r="OS5" s="57"/>
      <c r="OT5" s="57"/>
      <c r="OU5" s="57"/>
      <c r="OV5" s="57"/>
      <c r="OW5" s="57"/>
      <c r="OX5" s="57">
        <v>4.58</v>
      </c>
      <c r="OY5" s="57"/>
      <c r="OZ5" s="57"/>
      <c r="PA5" s="57"/>
      <c r="PB5" s="57"/>
      <c r="PC5" s="57"/>
      <c r="PD5" s="57"/>
      <c r="PE5" s="57"/>
      <c r="PF5" s="57">
        <v>2.92</v>
      </c>
      <c r="PG5" s="57"/>
      <c r="PH5" s="57"/>
      <c r="PI5" s="57"/>
      <c r="PJ5" s="57"/>
      <c r="PK5" s="57">
        <v>5.22</v>
      </c>
      <c r="PL5" s="57"/>
      <c r="PM5" s="57"/>
      <c r="PN5" s="57">
        <v>4.37</v>
      </c>
      <c r="PO5" s="57"/>
      <c r="PP5" s="57"/>
      <c r="PQ5" s="57"/>
      <c r="PR5" s="57"/>
      <c r="PS5" s="57"/>
      <c r="PT5" s="57">
        <v>3.28</v>
      </c>
      <c r="PU5" s="57"/>
      <c r="PV5" s="57"/>
      <c r="PW5" s="57"/>
      <c r="PX5" s="57"/>
      <c r="PY5" s="57">
        <v>4.4800000000000004</v>
      </c>
      <c r="PZ5" s="57"/>
      <c r="QA5" s="57"/>
      <c r="QB5" s="57"/>
      <c r="QC5" s="57">
        <v>4.03</v>
      </c>
      <c r="QD5" s="57"/>
      <c r="QE5" s="57"/>
      <c r="QF5" s="57"/>
      <c r="QG5" s="57"/>
      <c r="QH5" s="57">
        <v>5.07</v>
      </c>
      <c r="QI5" s="57"/>
      <c r="QJ5" s="57"/>
      <c r="QK5" s="57"/>
      <c r="QL5" s="57">
        <v>5.05</v>
      </c>
      <c r="QM5" s="57"/>
      <c r="QN5" s="57"/>
      <c r="QO5" s="57"/>
      <c r="QP5" s="57">
        <v>4.13</v>
      </c>
      <c r="QQ5" s="57"/>
      <c r="QR5" s="57"/>
      <c r="QS5" s="57"/>
      <c r="QT5" s="57"/>
      <c r="QU5" s="57"/>
      <c r="QV5" s="57"/>
      <c r="QW5" s="57"/>
      <c r="QX5" s="57"/>
      <c r="QY5" s="57">
        <v>4.3499999999999996</v>
      </c>
      <c r="QZ5" s="57"/>
      <c r="RA5" s="57"/>
      <c r="RB5" s="57"/>
      <c r="RC5" s="57"/>
      <c r="RD5" s="57"/>
      <c r="RE5" s="57">
        <v>3.35</v>
      </c>
      <c r="RF5" s="57"/>
      <c r="RG5" s="57"/>
      <c r="RH5" s="57"/>
      <c r="RI5" s="57"/>
      <c r="RJ5" s="57"/>
      <c r="RK5" s="57">
        <v>2.9</v>
      </c>
      <c r="RL5" s="57"/>
      <c r="RM5" s="57"/>
      <c r="RN5" s="57"/>
      <c r="RO5" s="57"/>
      <c r="RP5" s="57"/>
      <c r="RQ5" s="57">
        <v>3.57</v>
      </c>
      <c r="RR5" s="57"/>
      <c r="RS5" s="57"/>
      <c r="RT5" s="57">
        <v>4.88</v>
      </c>
      <c r="RU5" s="57"/>
      <c r="RV5" s="57"/>
      <c r="RW5" s="57"/>
      <c r="RX5" s="57"/>
      <c r="RY5" s="57"/>
      <c r="RZ5" s="57"/>
      <c r="SA5" s="57"/>
      <c r="SB5" s="57"/>
      <c r="SC5" s="57">
        <v>2.3199999999999998</v>
      </c>
      <c r="SD5" s="57"/>
      <c r="SE5" s="57"/>
      <c r="SF5" s="57"/>
      <c r="SG5" s="57"/>
      <c r="SH5" s="57"/>
      <c r="SI5" s="57"/>
      <c r="SJ5" s="57"/>
      <c r="SK5" s="57"/>
      <c r="SL5" s="57"/>
      <c r="SM5" s="57">
        <v>4.18</v>
      </c>
      <c r="SN5" s="57"/>
      <c r="SO5" s="57"/>
      <c r="SP5" s="57"/>
      <c r="SQ5" s="57"/>
      <c r="SR5" s="57"/>
      <c r="SS5" s="57"/>
      <c r="ST5" s="57"/>
      <c r="SU5" s="57"/>
      <c r="SV5" s="57"/>
      <c r="SW5" s="57"/>
      <c r="SX5" s="57"/>
      <c r="SY5" s="57">
        <v>4.03</v>
      </c>
      <c r="SZ5" s="57"/>
      <c r="TA5" s="57"/>
      <c r="TB5" s="57"/>
      <c r="TC5" s="57"/>
      <c r="TD5" s="57"/>
      <c r="TE5" s="57">
        <v>3.25</v>
      </c>
      <c r="TF5" s="57"/>
      <c r="TG5" s="57"/>
      <c r="TH5" s="57"/>
      <c r="TI5" s="57">
        <v>4.53</v>
      </c>
      <c r="TJ5" s="57"/>
      <c r="TK5" s="57"/>
      <c r="TL5" s="57"/>
      <c r="TM5" s="57"/>
      <c r="TN5" s="57">
        <v>4.42</v>
      </c>
      <c r="TO5" s="57"/>
      <c r="TP5" s="57"/>
      <c r="TQ5" s="57"/>
      <c r="TR5" s="57"/>
      <c r="TS5" s="57"/>
      <c r="TT5" s="57"/>
      <c r="TU5" s="57"/>
      <c r="TV5" s="57"/>
      <c r="TW5" s="57">
        <v>3.22</v>
      </c>
      <c r="TX5" s="57"/>
      <c r="TY5" s="57"/>
      <c r="TZ5" s="57"/>
      <c r="UA5" s="57"/>
      <c r="UB5" s="57"/>
      <c r="UC5" s="57"/>
      <c r="UD5" s="57"/>
      <c r="UE5" s="57"/>
      <c r="UF5" s="57"/>
      <c r="UG5" s="57"/>
      <c r="UH5" s="57"/>
      <c r="UI5" s="57">
        <v>5.22</v>
      </c>
      <c r="UJ5" s="57"/>
      <c r="UK5" s="57"/>
      <c r="UL5" s="57">
        <v>5.32</v>
      </c>
      <c r="UM5" s="57"/>
      <c r="UN5" s="57"/>
      <c r="UO5" s="57"/>
      <c r="UP5" s="57"/>
      <c r="UQ5" s="57">
        <v>1.58</v>
      </c>
      <c r="UR5" s="57"/>
      <c r="US5" s="57"/>
      <c r="UT5" s="57"/>
      <c r="UU5" s="57">
        <v>6.37</v>
      </c>
      <c r="UV5" s="57"/>
      <c r="UW5" s="57"/>
      <c r="UX5" s="57"/>
      <c r="UY5" s="57"/>
      <c r="UZ5" s="57"/>
      <c r="VA5" s="57"/>
      <c r="VB5" s="57">
        <v>5.33</v>
      </c>
      <c r="VC5" s="57"/>
      <c r="VD5" s="57"/>
      <c r="VE5" s="57"/>
      <c r="VF5" s="57"/>
      <c r="VG5" s="57"/>
      <c r="VH5" s="57"/>
      <c r="VI5" s="57">
        <v>5.16</v>
      </c>
      <c r="VJ5" s="57"/>
      <c r="VK5" s="57"/>
      <c r="VL5" s="57"/>
      <c r="VM5" s="57"/>
      <c r="VN5" s="57"/>
      <c r="VO5" s="57">
        <v>5.38</v>
      </c>
      <c r="VP5" s="57"/>
      <c r="VQ5" s="57"/>
      <c r="VR5" s="57"/>
      <c r="VS5" s="57"/>
      <c r="VT5" s="57"/>
      <c r="VU5" s="57">
        <v>5.0199999999999996</v>
      </c>
      <c r="VV5" s="57"/>
      <c r="VW5" s="57"/>
      <c r="VX5" s="57"/>
      <c r="VY5" s="57"/>
      <c r="VZ5" s="57"/>
      <c r="WA5" s="57"/>
      <c r="WB5" s="57">
        <v>6.17</v>
      </c>
      <c r="WC5" s="57"/>
      <c r="WD5" s="57"/>
      <c r="WE5" s="57"/>
      <c r="WF5" s="57"/>
      <c r="WG5" s="57"/>
      <c r="WH5" s="57">
        <v>6.08</v>
      </c>
      <c r="WI5" s="57"/>
      <c r="WJ5" s="57"/>
      <c r="WK5" s="57"/>
      <c r="WL5" s="57"/>
      <c r="WM5" s="57">
        <v>5.83</v>
      </c>
      <c r="WN5" s="57"/>
      <c r="WO5" s="57"/>
      <c r="WP5" s="57"/>
      <c r="WQ5" s="57"/>
      <c r="WR5" s="57"/>
      <c r="WS5" s="57"/>
      <c r="WT5" s="57"/>
      <c r="WU5" s="57"/>
      <c r="WV5" s="57"/>
      <c r="WW5" s="57">
        <v>6.45</v>
      </c>
      <c r="WX5" s="57"/>
      <c r="WY5" s="57"/>
      <c r="WZ5" s="57"/>
      <c r="XA5" s="57"/>
      <c r="XB5" s="57"/>
      <c r="XC5" s="57"/>
      <c r="XD5" s="57"/>
      <c r="XE5" s="57"/>
      <c r="XF5" s="57"/>
      <c r="XG5" s="57"/>
      <c r="XH5" s="57"/>
      <c r="XI5" s="57">
        <v>5.7</v>
      </c>
      <c r="XJ5" s="57"/>
      <c r="XK5" s="57"/>
      <c r="XL5" s="57">
        <v>6.78</v>
      </c>
      <c r="XM5" s="57"/>
      <c r="XN5" s="57"/>
      <c r="XO5" s="57"/>
      <c r="XP5" s="57">
        <v>5.8</v>
      </c>
      <c r="XQ5" s="57"/>
      <c r="XR5" s="57"/>
      <c r="XS5" s="57"/>
      <c r="XT5" s="57"/>
      <c r="XU5" s="57"/>
      <c r="XV5" s="57"/>
      <c r="XW5" s="57"/>
      <c r="XX5" s="57"/>
      <c r="XY5" s="57">
        <v>4.97</v>
      </c>
      <c r="XZ5" s="57"/>
      <c r="YA5" s="57"/>
      <c r="YB5" s="57"/>
      <c r="YC5" s="57">
        <v>5.32</v>
      </c>
      <c r="YD5" s="57"/>
      <c r="YE5" s="57"/>
      <c r="YF5" s="57"/>
      <c r="YG5" s="57">
        <v>6.13</v>
      </c>
      <c r="YH5" s="57"/>
      <c r="YI5" s="57">
        <v>4</v>
      </c>
      <c r="YJ5" s="57"/>
      <c r="YK5" s="57"/>
      <c r="YL5" s="57"/>
      <c r="YM5" s="57"/>
      <c r="YN5" s="57"/>
      <c r="YO5" s="57">
        <v>4.93</v>
      </c>
      <c r="YP5" s="57"/>
      <c r="YQ5" s="57"/>
      <c r="YR5" s="57"/>
      <c r="YS5" s="57">
        <v>1.42</v>
      </c>
      <c r="YT5" s="57"/>
      <c r="YU5" s="57"/>
      <c r="YV5" s="57"/>
      <c r="YW5" s="57"/>
      <c r="YX5" s="57"/>
      <c r="YY5" s="57">
        <v>5.35</v>
      </c>
      <c r="YZ5" s="57"/>
      <c r="ZA5" s="57"/>
      <c r="ZB5" s="57">
        <v>5.03</v>
      </c>
      <c r="ZC5" s="57"/>
      <c r="ZD5" s="57"/>
      <c r="ZE5" s="57"/>
      <c r="ZF5" s="57">
        <v>3.02</v>
      </c>
      <c r="ZG5" s="57"/>
      <c r="ZH5" s="57"/>
      <c r="ZI5" s="57">
        <v>3</v>
      </c>
      <c r="ZJ5" s="57"/>
      <c r="ZK5" s="57"/>
      <c r="ZL5" s="57">
        <v>2.23</v>
      </c>
      <c r="ZM5" s="57"/>
      <c r="ZN5" s="57"/>
      <c r="ZO5" s="57"/>
      <c r="ZP5" s="57">
        <v>1.85</v>
      </c>
      <c r="ZQ5" s="57"/>
      <c r="ZR5" s="57"/>
      <c r="ZS5" s="57"/>
      <c r="ZT5" s="57"/>
      <c r="ZU5" s="57"/>
      <c r="ZV5" s="57"/>
      <c r="ZW5" s="57"/>
      <c r="ZX5" s="57">
        <v>4.38</v>
      </c>
      <c r="ZY5" s="57"/>
      <c r="ZZ5" s="57"/>
      <c r="AAA5" s="57"/>
      <c r="AAB5" s="57"/>
      <c r="AAC5" s="57"/>
      <c r="AAD5" s="57"/>
      <c r="AAE5" s="57"/>
      <c r="AAF5" s="57"/>
      <c r="AAG5" s="57"/>
      <c r="AAH5" s="57"/>
      <c r="AAI5" s="57">
        <v>2.82</v>
      </c>
      <c r="AAJ5" s="57"/>
      <c r="AAK5" s="57"/>
      <c r="AAL5" s="57"/>
      <c r="AAM5" s="57"/>
      <c r="AAN5" s="57">
        <v>3.75</v>
      </c>
      <c r="AAO5" s="57"/>
      <c r="AAP5" s="57"/>
      <c r="AAQ5" s="57"/>
      <c r="AAR5" s="57"/>
      <c r="AAS5" s="57"/>
      <c r="AAT5" s="57"/>
      <c r="AAU5" s="57">
        <v>3.73</v>
      </c>
      <c r="AAV5" s="57"/>
      <c r="AAW5" s="57"/>
      <c r="AAX5" s="57">
        <v>5.23</v>
      </c>
      <c r="AAY5" s="57"/>
      <c r="AAZ5" s="57"/>
      <c r="ABA5" s="57"/>
      <c r="ABB5" s="57">
        <v>4.4800000000000004</v>
      </c>
      <c r="ABC5" s="57"/>
      <c r="ABD5" s="57"/>
      <c r="ABE5" s="57"/>
      <c r="ABF5" s="57">
        <v>2.78</v>
      </c>
      <c r="ABG5" s="57"/>
      <c r="ABH5" s="57"/>
      <c r="ABI5" s="57"/>
      <c r="ABJ5" s="57"/>
      <c r="ABK5" s="57"/>
      <c r="ABL5" s="57">
        <v>5.08</v>
      </c>
      <c r="ABM5" s="57"/>
      <c r="ABN5" s="57"/>
      <c r="ABO5" s="57"/>
      <c r="ABP5" s="57">
        <v>4.92</v>
      </c>
      <c r="ABQ5" s="57"/>
      <c r="ABR5" s="57"/>
      <c r="ABS5" s="57"/>
      <c r="ABT5" s="57">
        <v>4.9800000000000004</v>
      </c>
      <c r="ABU5" s="57"/>
      <c r="ABV5" s="57"/>
      <c r="ABW5" s="57">
        <v>4.7</v>
      </c>
      <c r="ABX5" s="57"/>
      <c r="ABY5" s="57"/>
      <c r="ABZ5" s="57"/>
      <c r="ACA5" s="57"/>
      <c r="ACB5" s="57"/>
      <c r="ACC5" s="57">
        <v>7.02</v>
      </c>
      <c r="ACD5" s="57"/>
      <c r="ACE5" s="57"/>
      <c r="ACF5" s="57"/>
      <c r="ACG5" s="57"/>
      <c r="ACH5" s="57"/>
      <c r="ACI5" s="57">
        <v>6.85</v>
      </c>
      <c r="ACJ5" s="57"/>
      <c r="ACK5" s="57"/>
      <c r="ACL5" s="57"/>
      <c r="ACM5" s="57"/>
      <c r="ACN5" s="57"/>
      <c r="ACO5" s="57">
        <v>3.2</v>
      </c>
      <c r="ACP5" s="57"/>
      <c r="ACQ5" s="57"/>
      <c r="ACR5" s="57"/>
      <c r="ACS5" s="57"/>
      <c r="ACT5" s="57"/>
      <c r="ACU5" s="57"/>
      <c r="ACV5" s="57"/>
      <c r="ACW5" s="57">
        <v>5.75</v>
      </c>
      <c r="ACX5" s="57"/>
      <c r="ACY5" s="57"/>
      <c r="ACZ5" s="57"/>
      <c r="ADA5" s="57"/>
      <c r="ADB5" s="57"/>
      <c r="ADC5" s="57">
        <v>4.03</v>
      </c>
      <c r="ADD5" s="57"/>
      <c r="ADE5" s="57"/>
      <c r="ADF5" s="57"/>
      <c r="ADG5" s="57"/>
      <c r="ADH5" s="57">
        <v>5.8</v>
      </c>
      <c r="ADI5" s="57"/>
      <c r="ADJ5" s="57"/>
      <c r="ADK5" s="57"/>
      <c r="ADL5" s="57">
        <v>5.23</v>
      </c>
      <c r="ADM5" s="57"/>
      <c r="ADN5" s="57"/>
      <c r="ADO5" s="57"/>
      <c r="ADP5" s="57">
        <v>4.63</v>
      </c>
      <c r="ADQ5" s="57"/>
      <c r="ADR5" s="57"/>
      <c r="ADS5" s="57"/>
      <c r="ADT5" s="57"/>
      <c r="ADU5" s="57"/>
      <c r="ADV5" s="57">
        <v>4.72</v>
      </c>
      <c r="ADW5" s="57"/>
      <c r="ADX5" s="57"/>
      <c r="ADY5" s="57"/>
      <c r="ADZ5" s="57">
        <v>4.93</v>
      </c>
      <c r="AEA5" s="57"/>
      <c r="AEB5" s="57"/>
      <c r="AEC5" s="57"/>
      <c r="AED5" s="57"/>
      <c r="AEE5" s="57">
        <v>6.18</v>
      </c>
      <c r="AEF5" s="57"/>
      <c r="AEG5" s="57"/>
      <c r="AEH5" s="57"/>
      <c r="AEI5" s="57">
        <v>5.85</v>
      </c>
      <c r="AEJ5" s="57"/>
      <c r="AEK5" s="57"/>
      <c r="AEL5" s="57"/>
      <c r="AEM5" s="57"/>
      <c r="AEN5" s="57">
        <v>5.08</v>
      </c>
      <c r="AEO5" s="57"/>
      <c r="AEP5" s="57"/>
      <c r="AEQ5" s="57"/>
      <c r="AER5" s="57"/>
      <c r="AES5" s="57"/>
      <c r="AET5" s="57"/>
      <c r="AEU5" s="57">
        <v>5.13</v>
      </c>
      <c r="AEV5" s="57"/>
      <c r="AEW5" s="57"/>
      <c r="AEX5" s="57"/>
      <c r="AEY5" s="57">
        <v>6.42</v>
      </c>
      <c r="AEZ5" s="57"/>
      <c r="AFA5" s="57"/>
      <c r="AFB5" s="57"/>
      <c r="AFC5" s="57"/>
      <c r="AFD5" s="57">
        <v>6.28</v>
      </c>
      <c r="AFE5" s="57"/>
      <c r="AFF5" s="57"/>
      <c r="AFG5" s="57"/>
      <c r="AFH5" s="57"/>
      <c r="AFI5" s="57">
        <v>5.53</v>
      </c>
      <c r="AFJ5" s="57"/>
      <c r="AFK5" s="57"/>
      <c r="AFL5" s="57"/>
      <c r="AFM5" s="57"/>
      <c r="AFN5" s="57">
        <v>5.73</v>
      </c>
      <c r="AFO5" s="57"/>
      <c r="AFP5" s="57"/>
      <c r="AFQ5" s="57"/>
      <c r="AFR5" s="57"/>
      <c r="AFS5" s="57">
        <v>5.98</v>
      </c>
      <c r="AFT5" s="57"/>
      <c r="AFU5" s="57"/>
      <c r="AFV5" s="57"/>
      <c r="AFW5" s="57"/>
      <c r="AFX5" s="57">
        <v>3.95</v>
      </c>
      <c r="AFY5" s="57"/>
      <c r="AFZ5" s="57"/>
      <c r="AGA5" s="57"/>
      <c r="AGB5" s="57"/>
      <c r="AGC5" s="57"/>
      <c r="AGD5" s="57"/>
      <c r="AGE5" s="57"/>
      <c r="AGF5" s="57">
        <v>3.47</v>
      </c>
      <c r="AGG5" s="57"/>
      <c r="AGH5" s="57"/>
      <c r="AGI5" s="57">
        <v>6.07</v>
      </c>
      <c r="AGJ5" s="57"/>
      <c r="AGK5" s="57"/>
      <c r="AGL5" s="57">
        <v>6.07</v>
      </c>
      <c r="AGM5" s="57"/>
      <c r="AGN5" s="57"/>
      <c r="AGO5" s="57"/>
      <c r="AGP5" s="57"/>
      <c r="AGQ5" s="57">
        <v>2.35</v>
      </c>
      <c r="AGR5" s="57"/>
      <c r="AGS5" s="57"/>
      <c r="AGT5" s="57"/>
      <c r="AGU5" s="57">
        <v>2.57</v>
      </c>
      <c r="AGV5" s="57"/>
      <c r="AGW5" s="57"/>
      <c r="AGX5" s="57"/>
      <c r="AGY5" s="57">
        <v>3.65</v>
      </c>
      <c r="AGZ5" s="57"/>
      <c r="AHA5" s="57"/>
      <c r="AHB5" s="57"/>
      <c r="AHC5" s="57"/>
      <c r="AHD5" s="57"/>
      <c r="AHE5" s="57"/>
      <c r="AHF5" s="57"/>
      <c r="AHG5" s="57"/>
      <c r="AHH5" s="57"/>
      <c r="AHI5" s="57"/>
      <c r="AHJ5" s="57"/>
      <c r="AHK5" s="57">
        <v>5.8</v>
      </c>
      <c r="AHL5" s="57"/>
      <c r="AHM5" s="57"/>
      <c r="AHN5" s="57"/>
      <c r="AHO5" s="57"/>
      <c r="AHP5" s="57"/>
      <c r="AHQ5" s="57">
        <v>4.17</v>
      </c>
      <c r="AHR5" s="57"/>
      <c r="AHS5" s="57"/>
      <c r="AHT5" s="57"/>
      <c r="AHU5" s="57"/>
      <c r="AHV5" s="57"/>
      <c r="AHW5" s="57"/>
      <c r="AHX5" s="57"/>
      <c r="AHY5" s="57"/>
      <c r="AHZ5" s="57"/>
      <c r="AIA5" s="57"/>
      <c r="AIB5" s="57"/>
      <c r="AIC5" s="57"/>
      <c r="AID5" s="57">
        <v>4.47</v>
      </c>
      <c r="AIE5" s="57"/>
      <c r="AIF5" s="57">
        <v>0.85</v>
      </c>
      <c r="AIG5" s="57"/>
      <c r="AIH5" s="57"/>
      <c r="AII5" s="57"/>
      <c r="AIJ5" s="57"/>
      <c r="AIK5" s="57"/>
      <c r="AIL5" s="57">
        <v>4.87</v>
      </c>
      <c r="AIM5" s="57"/>
      <c r="AIN5" s="57"/>
      <c r="AIO5" s="57"/>
      <c r="AIP5" s="57"/>
      <c r="AIQ5" s="57"/>
      <c r="AIR5" s="57"/>
      <c r="AIS5" s="57"/>
      <c r="AIT5" s="57"/>
      <c r="AIU5" s="57"/>
      <c r="AIV5" s="57"/>
      <c r="AIW5" s="57"/>
      <c r="AIX5" s="57">
        <v>3.75</v>
      </c>
      <c r="AIY5" s="57"/>
      <c r="AIZ5" s="57">
        <v>3.15</v>
      </c>
      <c r="AJA5" s="57"/>
      <c r="AJB5" s="57"/>
      <c r="AJC5" s="57"/>
      <c r="AJD5" s="57"/>
      <c r="AJE5" s="57">
        <v>4.5213647342995174</v>
      </c>
    </row>
    <row r="6" spans="1:941" x14ac:dyDescent="0.35">
      <c r="A6" s="55"/>
      <c r="B6" s="40">
        <v>44206</v>
      </c>
      <c r="C6" s="40">
        <f t="shared" si="3"/>
        <v>44206</v>
      </c>
      <c r="D6" s="4">
        <f>IF(EarningsPerDay[[#This Row],[Week '#]]&gt;=52,YEAR(EarningsPerDay[[#This Row],[Date]])-1,YEAR(EarningsPerDay[[#This Row],[Date]]))</f>
        <v>2021</v>
      </c>
      <c r="E6" s="4" t="str">
        <f>"QTR"&amp;IF(EarningsPerDay[[#This Row],[Week '#]] &lt;= 13, 1, IF(EarningsPerDay[[#This Row],[Week '#]] &lt;= 26, 2, IF(EarningsPerDay[[#This Row],[Week '#]] &lt;= 39, 3, 4)))</f>
        <v>QTR1</v>
      </c>
      <c r="F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" s="4">
        <f>IF(WEEKNUM(EarningsPerDay[[#This Row],[Date]], 2) = 53, 1, WEEKNUM(EarningsPerDay[[#This Row],[Date]],2))</f>
        <v>2</v>
      </c>
      <c r="H6" s="40" t="str">
        <f t="shared" si="0"/>
        <v>Sunday</v>
      </c>
      <c r="I6" s="106" t="str">
        <f>IF(_xlfn.XLOOKUP(EarningsPerDay[[#This Row],[Date]],Mileage[Date],Mileage[Start Time])="","",MROUND(_xlfn.XLOOKUP(EarningsPerDay[[#This Row],[Date]],Mileage[Date],Mileage[Start Time]),0.0208333333333333))</f>
        <v/>
      </c>
      <c r="J6" s="40" t="str" cm="1">
        <f t="array" ref="J6">IFERROR(VLOOKUP(MODE(IF(Combined[Date]=EarningsPerDay[[#This Row],[Date]],Combined[Area '#])),KPIs!$B$4:$C$7,2,FALSE),VLOOKUP(EarningsPerDay[[#This Row],[Date]],Combined[[Date]:[Primary Area]],8,FALSE))</f>
        <v>Portland</v>
      </c>
      <c r="K6" s="40" t="str">
        <f>_xlfn.XLOOKUP(EarningsPerDay[[#This Row],[Date]],Mileage[Date],Mileage[Weather])</f>
        <v>Partially Cloudy</v>
      </c>
      <c r="L6" s="4">
        <f>_xlfn.XLOOKUP(EarningsPerDay[[#This Row],[Date]],Mileage[Date],Mileage[Hi Temp])</f>
        <v>34.200000000000003</v>
      </c>
      <c r="M6" s="12">
        <f>_xlfn.XLOOKUP(EarningsPerDay[[#This Row],[Date]],Mileage[Date],Mileage[Total Time])</f>
        <v>6.6166666666666671</v>
      </c>
      <c r="N6" s="4">
        <f>_xlfn.XLOOKUP(EarningsPerDay[[#This Row],[Date]],Mileage[Date],Mileage[Mileage])</f>
        <v>71.48693225965954</v>
      </c>
      <c r="O6" s="4">
        <f>SUMIF(Combined[Date],EarningsPerDay[[#This Row],[Date]],Combined[Trips])</f>
        <v>5</v>
      </c>
      <c r="P6">
        <f>COUNTIF(Combined[Date],EarningsPerDay[[#This Row],[Date]])</f>
        <v>1</v>
      </c>
      <c r="Q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" s="11">
        <f>SUMIF(Combined[Date],EarningsPerDay[[#This Row],[Date]],Combined[Earnings])</f>
        <v>63.93</v>
      </c>
      <c r="S6" s="11">
        <f ca="1">EarningsPerDay[[#This Row],[Gross Earnings]]-(EarningsPerDay[[#This Row],[Miles]]*CpM!$D$11)</f>
        <v>47.990337631555079</v>
      </c>
      <c r="T6" s="11">
        <f t="shared" si="1"/>
        <v>9.6619647355163725</v>
      </c>
      <c r="U6" s="11">
        <f t="shared" ca="1" si="2"/>
        <v>7.2529477528798605</v>
      </c>
      <c r="V6" s="11">
        <f>EarningsPerDay[[#This Row],[Gross Earnings]]/EarningsPerDay[[#This Row],[Deliveries]]</f>
        <v>12.786</v>
      </c>
      <c r="W6" s="11">
        <f>EarningsPerDay[[#This Row],[Gross Earnings]]/EarningsPerDay[[#This Row],[Miles]]</f>
        <v>0.89428931944917212</v>
      </c>
      <c r="X6" s="71">
        <f>EarningsPerDay[[#This Row],[Deliveries]]/EarningsPerDay[[#This Row],[Hours]]</f>
        <v>0.75566750629722912</v>
      </c>
      <c r="Y6" s="71">
        <f>EarningsPerDay[[#This Row],[Miles]]/EarningsPerDay[[#This Row],[Deliveries]]</f>
        <v>14.297386451931908</v>
      </c>
      <c r="Z6" s="81">
        <f>(EarningsPerDay[[#This Row],[Hours]]/EarningsPerDay[[#This Row],[Deliveries]])/24</f>
        <v>5.5138888888888897E-2</v>
      </c>
      <c r="AA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" s="11">
        <f>AVERAGEIFS(EarningsPerDay[Gross $/Hour],EarningsPerDay[Week '#], EarningsPerDay[[#This Row],[Week '#]], EarningsPerDay[DOW], EarningsPerDay[[#This Row],[DOW]])</f>
        <v>17.041251039326678</v>
      </c>
      <c r="AC6" s="11">
        <f>EarningsPerDay[[#This Row],[Gross $/Hour]] - EarningsPerDay[[#This Row],[Weekly Average Earnings]]</f>
        <v>-7.3792863038103054</v>
      </c>
      <c r="AD6" s="11">
        <f>(SUMIFS(EarningsPerDay[Gross Earnings], EarningsPerDay[Date],"&gt;="&amp;EarningsPerDay[[#This Row],[Date]]-89, EarningsPerDay[Date], "&lt;="&amp;EarningsPerDay[[#This Row],[Date]]))/90</f>
        <v>1.748</v>
      </c>
      <c r="AE6" s="11"/>
      <c r="AF6" s="40" t="s">
        <v>102</v>
      </c>
      <c r="AG6" s="4">
        <v>19671</v>
      </c>
      <c r="AI6" s="11"/>
      <c r="AJ6" s="195">
        <v>2024</v>
      </c>
      <c r="AK6" s="4">
        <v>1047.0299999999995</v>
      </c>
      <c r="AL6" s="4">
        <v>2.565610859728507</v>
      </c>
      <c r="AT6" t="s">
        <v>46</v>
      </c>
      <c r="AZ6" s="8"/>
      <c r="BA6" s="7" t="s">
        <v>174</v>
      </c>
      <c r="BB6" s="4">
        <v>116.76451612903226</v>
      </c>
      <c r="BF6" s="7" t="s">
        <v>47</v>
      </c>
      <c r="BG6" s="57"/>
      <c r="BH6" s="57"/>
      <c r="BI6" s="57"/>
      <c r="BJ6" s="57"/>
      <c r="BK6" s="57"/>
      <c r="BL6" s="57"/>
      <c r="BM6" s="57"/>
      <c r="BN6" s="57"/>
      <c r="BO6" s="57">
        <v>4.9666666666666668</v>
      </c>
      <c r="BP6" s="57"/>
      <c r="BQ6" s="57"/>
      <c r="BR6" s="57"/>
      <c r="BS6" s="57"/>
      <c r="BT6" s="57"/>
      <c r="BU6" s="57"/>
      <c r="BV6" s="57">
        <v>1.5</v>
      </c>
      <c r="BW6" s="57"/>
      <c r="BX6" s="57"/>
      <c r="BY6" s="57">
        <v>1.4416666666666664</v>
      </c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>
        <v>1.4000000000000001</v>
      </c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>
        <v>1.8</v>
      </c>
      <c r="DJ6" s="57"/>
      <c r="DK6" s="57"/>
      <c r="DL6" s="57">
        <v>3.8</v>
      </c>
      <c r="DM6" s="57"/>
      <c r="DN6" s="57"/>
      <c r="DO6" s="57"/>
      <c r="DP6" s="57"/>
      <c r="DQ6" s="57"/>
      <c r="DR6" s="57"/>
      <c r="DS6" s="57">
        <v>2.3000000000000003</v>
      </c>
      <c r="DT6" s="57"/>
      <c r="DU6" s="57"/>
      <c r="DV6" s="57"/>
      <c r="DW6" s="57"/>
      <c r="DX6" s="57"/>
      <c r="DY6" s="57"/>
      <c r="DZ6" s="57"/>
      <c r="EA6" s="57"/>
      <c r="EB6" s="57"/>
      <c r="EC6" s="57">
        <v>1.2</v>
      </c>
      <c r="ED6" s="57"/>
      <c r="EE6" s="57"/>
      <c r="EF6" s="57">
        <v>3.3999999999999995</v>
      </c>
      <c r="EG6" s="57"/>
      <c r="EH6" s="57"/>
      <c r="EI6" s="57"/>
      <c r="EJ6" s="57">
        <v>5</v>
      </c>
      <c r="EK6" s="57"/>
      <c r="EL6" s="57"/>
      <c r="EM6" s="57"/>
      <c r="EN6" s="57"/>
      <c r="EO6" s="57"/>
      <c r="EP6" s="57"/>
      <c r="EQ6" s="57"/>
      <c r="ER6" s="57"/>
      <c r="ES6" s="57">
        <v>2.2000000000000002</v>
      </c>
      <c r="ET6" s="57"/>
      <c r="EU6" s="57"/>
      <c r="EV6" s="57"/>
      <c r="EW6" s="57"/>
      <c r="EX6" s="57">
        <v>3.9000000000000004</v>
      </c>
      <c r="EY6" s="57"/>
      <c r="EZ6" s="57"/>
      <c r="FA6" s="57"/>
      <c r="FB6" s="57">
        <v>3.3</v>
      </c>
      <c r="FC6" s="57"/>
      <c r="FD6" s="57"/>
      <c r="FE6" s="57"/>
      <c r="FF6" s="57"/>
      <c r="FG6" s="57"/>
      <c r="FH6" s="57"/>
      <c r="FI6" s="57"/>
      <c r="FJ6" s="57"/>
      <c r="FK6" s="57"/>
      <c r="FL6" s="57"/>
      <c r="FM6" s="57"/>
      <c r="FN6" s="57"/>
      <c r="FO6" s="57"/>
      <c r="FP6" s="57">
        <v>1.7000000000000002</v>
      </c>
      <c r="FQ6" s="57"/>
      <c r="FR6" s="57"/>
      <c r="FS6" s="57"/>
      <c r="FT6" s="57"/>
      <c r="FU6" s="57">
        <v>3.2</v>
      </c>
      <c r="FV6" s="57"/>
      <c r="FW6" s="57"/>
      <c r="FX6" s="57"/>
      <c r="FY6" s="57"/>
      <c r="FZ6" s="57"/>
      <c r="GA6" s="57"/>
      <c r="GB6" s="57"/>
      <c r="GC6" s="57"/>
      <c r="GD6" s="57"/>
      <c r="GE6" s="57"/>
      <c r="GF6" s="57"/>
      <c r="GG6" s="57"/>
      <c r="GH6" s="57"/>
      <c r="GI6" s="57"/>
      <c r="GJ6" s="57"/>
      <c r="GK6" s="57"/>
      <c r="GL6" s="57"/>
      <c r="GM6" s="57"/>
      <c r="GN6" s="57"/>
      <c r="GO6" s="57">
        <v>7.9</v>
      </c>
      <c r="GP6" s="57"/>
      <c r="GQ6" s="57"/>
      <c r="GR6" s="57">
        <v>3.28</v>
      </c>
      <c r="GS6" s="57"/>
      <c r="GT6" s="57"/>
      <c r="GU6" s="57"/>
      <c r="GV6" s="57"/>
      <c r="GW6" s="57"/>
      <c r="GX6" s="57"/>
      <c r="GY6" s="57"/>
      <c r="GZ6" s="57"/>
      <c r="HA6" s="57"/>
      <c r="HB6" s="57"/>
      <c r="HC6" s="57">
        <v>5.6999999999999993</v>
      </c>
      <c r="HD6" s="57"/>
      <c r="HE6" s="57">
        <v>4.7</v>
      </c>
      <c r="HF6" s="57"/>
      <c r="HG6" s="57"/>
      <c r="HH6" s="57"/>
      <c r="HI6" s="57"/>
      <c r="HJ6" s="57"/>
      <c r="HK6" s="57"/>
      <c r="HL6" s="57">
        <v>6.1</v>
      </c>
      <c r="HM6" s="57"/>
      <c r="HN6" s="57"/>
      <c r="HO6" s="57"/>
      <c r="HP6" s="57"/>
      <c r="HQ6" s="57"/>
      <c r="HR6" s="57">
        <v>2.4</v>
      </c>
      <c r="HS6" s="57"/>
      <c r="HT6" s="57"/>
      <c r="HU6" s="57"/>
      <c r="HV6" s="57"/>
      <c r="HW6" s="57"/>
      <c r="HX6" s="57"/>
      <c r="HY6" s="57"/>
      <c r="HZ6" s="57"/>
      <c r="IA6" s="57"/>
      <c r="IB6" s="57"/>
      <c r="IC6" s="57">
        <v>2.4500000000000002</v>
      </c>
      <c r="ID6" s="57"/>
      <c r="IE6" s="57"/>
      <c r="IF6" s="57"/>
      <c r="IG6" s="57"/>
      <c r="IH6" s="57">
        <v>4.3999999999999995</v>
      </c>
      <c r="II6" s="57"/>
      <c r="IJ6" s="57"/>
      <c r="IK6" s="57"/>
      <c r="IL6" s="57"/>
      <c r="IM6" s="57"/>
      <c r="IN6" s="57"/>
      <c r="IO6" s="57"/>
      <c r="IP6" s="57"/>
      <c r="IQ6" s="57">
        <v>10.099999999999998</v>
      </c>
      <c r="IR6" s="57"/>
      <c r="IS6" s="57"/>
      <c r="IT6" s="57"/>
      <c r="IU6" s="57"/>
      <c r="IV6" s="57"/>
      <c r="IW6" s="57"/>
      <c r="IX6" s="57"/>
      <c r="IY6" s="57"/>
      <c r="IZ6" s="57"/>
      <c r="JA6" s="57"/>
      <c r="JB6" s="57"/>
      <c r="JC6" s="57"/>
      <c r="JD6" s="57"/>
      <c r="JE6" s="57"/>
      <c r="JF6" s="57"/>
      <c r="JG6" s="57"/>
      <c r="JH6" s="57"/>
      <c r="JI6" s="57"/>
      <c r="JJ6" s="57"/>
      <c r="JK6" s="57"/>
      <c r="JL6" s="57"/>
      <c r="JM6" s="57"/>
      <c r="JN6" s="57"/>
      <c r="JO6" s="57">
        <v>3.45</v>
      </c>
      <c r="JP6" s="57"/>
      <c r="JQ6" s="57"/>
      <c r="JR6" s="57"/>
      <c r="JS6" s="57"/>
      <c r="JT6" s="57"/>
      <c r="JU6" s="57"/>
      <c r="JV6" s="57">
        <v>8.6199999999999992</v>
      </c>
      <c r="JW6" s="57">
        <v>3.93</v>
      </c>
      <c r="JX6" s="57"/>
      <c r="JY6" s="57"/>
      <c r="JZ6" s="57"/>
      <c r="KA6" s="57">
        <v>5.75</v>
      </c>
      <c r="KB6" s="57"/>
      <c r="KC6" s="57"/>
      <c r="KD6" s="57"/>
      <c r="KE6" s="57"/>
      <c r="KF6" s="57">
        <v>5.5</v>
      </c>
      <c r="KG6" s="57"/>
      <c r="KH6" s="57"/>
      <c r="KI6" s="57"/>
      <c r="KJ6" s="57"/>
      <c r="KK6" s="57"/>
      <c r="KL6" s="57"/>
      <c r="KM6" s="57"/>
      <c r="KN6" s="57"/>
      <c r="KO6" s="57"/>
      <c r="KP6" s="57"/>
      <c r="KQ6" s="57">
        <v>5.43</v>
      </c>
      <c r="KR6" s="57"/>
      <c r="KS6" s="57">
        <v>5.38</v>
      </c>
      <c r="KT6" s="57"/>
      <c r="KU6" s="57"/>
      <c r="KV6" s="57"/>
      <c r="KW6" s="57"/>
      <c r="KX6" s="57"/>
      <c r="KY6" s="57">
        <v>5.03</v>
      </c>
      <c r="KZ6" s="57"/>
      <c r="LA6" s="57"/>
      <c r="LB6" s="57"/>
      <c r="LC6" s="57"/>
      <c r="LD6" s="57"/>
      <c r="LE6" s="57"/>
      <c r="LF6" s="57">
        <v>5.15</v>
      </c>
      <c r="LG6" s="57"/>
      <c r="LH6" s="57"/>
      <c r="LI6" s="57"/>
      <c r="LJ6" s="57">
        <v>4.22</v>
      </c>
      <c r="LK6" s="57"/>
      <c r="LL6" s="57"/>
      <c r="LM6" s="57"/>
      <c r="LN6" s="57">
        <v>3.02</v>
      </c>
      <c r="LO6" s="57"/>
      <c r="LP6" s="57"/>
      <c r="LQ6" s="57"/>
      <c r="LR6" s="57"/>
      <c r="LS6" s="57"/>
      <c r="LT6" s="57"/>
      <c r="LU6" s="57"/>
      <c r="LV6" s="57"/>
      <c r="LW6" s="57"/>
      <c r="LX6" s="57"/>
      <c r="LY6" s="57"/>
      <c r="LZ6" s="57"/>
      <c r="MA6" s="57">
        <v>1.9</v>
      </c>
      <c r="MB6" s="57"/>
      <c r="MC6" s="57"/>
      <c r="MD6" s="57"/>
      <c r="ME6" s="57"/>
      <c r="MF6" s="57"/>
      <c r="MG6" s="57"/>
      <c r="MH6" s="57"/>
      <c r="MI6" s="57"/>
      <c r="MJ6" s="57"/>
      <c r="MK6" s="57"/>
      <c r="ML6" s="57"/>
      <c r="MM6" s="57"/>
      <c r="MN6" s="57">
        <v>5.28</v>
      </c>
      <c r="MO6" s="57"/>
      <c r="MP6" s="57"/>
      <c r="MQ6" s="57"/>
      <c r="MR6" s="57"/>
      <c r="MS6" s="57"/>
      <c r="MT6" s="57"/>
      <c r="MU6" s="57"/>
      <c r="MV6" s="57"/>
      <c r="MW6" s="57"/>
      <c r="MX6" s="57"/>
      <c r="MY6" s="57"/>
      <c r="MZ6" s="57"/>
      <c r="NA6" s="57"/>
      <c r="NB6" s="57"/>
      <c r="NC6" s="57"/>
      <c r="ND6" s="57"/>
      <c r="NE6" s="57">
        <v>5.45</v>
      </c>
      <c r="NF6" s="57"/>
      <c r="NG6" s="57"/>
      <c r="NH6" s="57"/>
      <c r="NI6" s="57"/>
      <c r="NJ6" s="57"/>
      <c r="NK6" s="57"/>
      <c r="NL6" s="57">
        <v>5.98</v>
      </c>
      <c r="NM6" s="57"/>
      <c r="NN6" s="57"/>
      <c r="NO6" s="57"/>
      <c r="NP6" s="57"/>
      <c r="NQ6" s="57"/>
      <c r="NR6" s="57"/>
      <c r="NS6" s="57">
        <v>5.88</v>
      </c>
      <c r="NT6" s="57"/>
      <c r="NU6" s="57"/>
      <c r="NV6" s="57"/>
      <c r="NW6" s="57"/>
      <c r="NX6" s="57"/>
      <c r="NY6" s="57"/>
      <c r="NZ6" s="57"/>
      <c r="OA6" s="57"/>
      <c r="OB6" s="57"/>
      <c r="OC6" s="57">
        <v>4.97</v>
      </c>
      <c r="OD6" s="57"/>
      <c r="OE6" s="57"/>
      <c r="OF6" s="57"/>
      <c r="OG6" s="57"/>
      <c r="OH6" s="57"/>
      <c r="OI6" s="57"/>
      <c r="OJ6" s="57"/>
      <c r="OK6" s="57"/>
      <c r="OL6" s="57"/>
      <c r="OM6" s="57"/>
      <c r="ON6" s="57"/>
      <c r="OO6" s="57">
        <v>3.82</v>
      </c>
      <c r="OP6" s="57"/>
      <c r="OQ6" s="57"/>
      <c r="OR6" s="57"/>
      <c r="OS6" s="57"/>
      <c r="OT6" s="57"/>
      <c r="OU6" s="57"/>
      <c r="OV6" s="57"/>
      <c r="OW6" s="57"/>
      <c r="OX6" s="57"/>
      <c r="OY6" s="57"/>
      <c r="OZ6" s="57"/>
      <c r="PA6" s="57"/>
      <c r="PB6" s="57">
        <v>3.72</v>
      </c>
      <c r="PC6" s="57"/>
      <c r="PD6" s="57"/>
      <c r="PE6" s="57"/>
      <c r="PF6" s="57"/>
      <c r="PG6" s="57">
        <v>3.5</v>
      </c>
      <c r="PH6" s="57"/>
      <c r="PI6" s="57"/>
      <c r="PJ6" s="57"/>
      <c r="PK6" s="57"/>
      <c r="PL6" s="57"/>
      <c r="PM6" s="57"/>
      <c r="PN6" s="57"/>
      <c r="PO6" s="57">
        <v>3.87</v>
      </c>
      <c r="PP6" s="57"/>
      <c r="PQ6" s="57"/>
      <c r="PR6" s="57">
        <v>5.42</v>
      </c>
      <c r="PS6" s="57"/>
      <c r="PT6" s="57"/>
      <c r="PU6" s="57">
        <v>3.33</v>
      </c>
      <c r="PV6" s="57"/>
      <c r="PW6" s="57"/>
      <c r="PX6" s="57"/>
      <c r="PY6" s="57"/>
      <c r="PZ6" s="57">
        <v>3.97</v>
      </c>
      <c r="QA6" s="57"/>
      <c r="QB6" s="57"/>
      <c r="QC6" s="57"/>
      <c r="QD6" s="57"/>
      <c r="QE6" s="57"/>
      <c r="QF6" s="57"/>
      <c r="QG6" s="57"/>
      <c r="QH6" s="57"/>
      <c r="QI6" s="57">
        <v>3.57</v>
      </c>
      <c r="QJ6" s="57"/>
      <c r="QK6" s="57"/>
      <c r="QL6" s="57"/>
      <c r="QM6" s="57">
        <v>4.0199999999999996</v>
      </c>
      <c r="QN6" s="57"/>
      <c r="QO6" s="57"/>
      <c r="QP6" s="57"/>
      <c r="QQ6" s="57">
        <v>4.97</v>
      </c>
      <c r="QR6" s="57"/>
      <c r="QS6" s="57"/>
      <c r="QT6" s="57"/>
      <c r="QU6" s="57"/>
      <c r="QV6" s="57"/>
      <c r="QW6" s="57"/>
      <c r="QX6" s="57"/>
      <c r="QY6" s="57"/>
      <c r="QZ6" s="57"/>
      <c r="RA6" s="57"/>
      <c r="RB6" s="57"/>
      <c r="RC6" s="57"/>
      <c r="RD6" s="57"/>
      <c r="RE6" s="57"/>
      <c r="RF6" s="57">
        <v>3.55</v>
      </c>
      <c r="RG6" s="57"/>
      <c r="RH6" s="57"/>
      <c r="RI6" s="57"/>
      <c r="RJ6" s="57"/>
      <c r="RK6" s="57"/>
      <c r="RL6" s="57">
        <v>2.95</v>
      </c>
      <c r="RM6" s="57"/>
      <c r="RN6" s="57"/>
      <c r="RO6" s="57"/>
      <c r="RP6" s="57"/>
      <c r="RQ6" s="57"/>
      <c r="RR6" s="57">
        <v>4.97</v>
      </c>
      <c r="RS6" s="57"/>
      <c r="RT6" s="57"/>
      <c r="RU6" s="57">
        <v>2.27</v>
      </c>
      <c r="RV6" s="57"/>
      <c r="RW6" s="57"/>
      <c r="RX6" s="57"/>
      <c r="RY6" s="57">
        <v>4.75</v>
      </c>
      <c r="RZ6" s="57"/>
      <c r="SA6" s="57"/>
      <c r="SB6" s="57"/>
      <c r="SC6" s="57"/>
      <c r="SD6" s="57"/>
      <c r="SE6" s="57"/>
      <c r="SF6" s="57"/>
      <c r="SG6" s="57"/>
      <c r="SH6" s="57">
        <v>4.1500000000000004</v>
      </c>
      <c r="SI6" s="57"/>
      <c r="SJ6" s="57"/>
      <c r="SK6" s="57"/>
      <c r="SL6" s="57"/>
      <c r="SM6" s="57"/>
      <c r="SN6" s="57">
        <v>2.4500000000000002</v>
      </c>
      <c r="SO6" s="57"/>
      <c r="SP6" s="57"/>
      <c r="SQ6" s="57"/>
      <c r="SR6" s="57">
        <v>4.12</v>
      </c>
      <c r="SS6" s="57"/>
      <c r="ST6" s="57"/>
      <c r="SU6" s="57"/>
      <c r="SV6" s="57"/>
      <c r="SW6" s="57">
        <v>3.45</v>
      </c>
      <c r="SX6" s="57"/>
      <c r="SY6" s="57"/>
      <c r="SZ6" s="57"/>
      <c r="TA6" s="57"/>
      <c r="TB6" s="57"/>
      <c r="TC6" s="57"/>
      <c r="TD6" s="57">
        <v>3.38</v>
      </c>
      <c r="TE6" s="57"/>
      <c r="TF6" s="57">
        <v>2.75</v>
      </c>
      <c r="TG6" s="57"/>
      <c r="TH6" s="57"/>
      <c r="TI6" s="57"/>
      <c r="TJ6" s="57">
        <v>3.9</v>
      </c>
      <c r="TK6" s="57"/>
      <c r="TL6" s="57"/>
      <c r="TM6" s="57"/>
      <c r="TN6" s="57"/>
      <c r="TO6" s="57">
        <v>3.98</v>
      </c>
      <c r="TP6" s="57"/>
      <c r="TQ6" s="57"/>
      <c r="TR6" s="57">
        <v>5.75</v>
      </c>
      <c r="TS6" s="57"/>
      <c r="TT6" s="57"/>
      <c r="TU6" s="57"/>
      <c r="TV6" s="57"/>
      <c r="TW6" s="57"/>
      <c r="TX6" s="57">
        <v>4.2</v>
      </c>
      <c r="TY6" s="57"/>
      <c r="TZ6" s="57"/>
      <c r="UA6" s="57"/>
      <c r="UB6" s="57"/>
      <c r="UC6" s="57">
        <v>4.03</v>
      </c>
      <c r="UD6" s="57"/>
      <c r="UE6" s="57"/>
      <c r="UF6" s="57"/>
      <c r="UG6" s="57"/>
      <c r="UH6" s="57"/>
      <c r="UI6" s="57"/>
      <c r="UJ6" s="57">
        <v>3.73</v>
      </c>
      <c r="UK6" s="57"/>
      <c r="UL6" s="57"/>
      <c r="UM6" s="57">
        <v>6.35</v>
      </c>
      <c r="UN6" s="57"/>
      <c r="UO6" s="57"/>
      <c r="UP6" s="57"/>
      <c r="UQ6" s="57"/>
      <c r="UR6" s="57"/>
      <c r="US6" s="57"/>
      <c r="UT6" s="57"/>
      <c r="UU6" s="57"/>
      <c r="UV6" s="57">
        <v>6.1</v>
      </c>
      <c r="UW6" s="57"/>
      <c r="UX6" s="57"/>
      <c r="UY6" s="57"/>
      <c r="UZ6" s="57"/>
      <c r="VA6" s="57"/>
      <c r="VB6" s="57"/>
      <c r="VC6" s="57">
        <v>4.2300000000000004</v>
      </c>
      <c r="VD6" s="57"/>
      <c r="VE6" s="57"/>
      <c r="VF6" s="57"/>
      <c r="VG6" s="57"/>
      <c r="VH6" s="57"/>
      <c r="VI6" s="57"/>
      <c r="VJ6" s="57">
        <v>5.12</v>
      </c>
      <c r="VK6" s="57"/>
      <c r="VL6" s="57"/>
      <c r="VM6" s="57"/>
      <c r="VN6" s="57"/>
      <c r="VO6" s="57"/>
      <c r="VP6" s="57">
        <v>5.28</v>
      </c>
      <c r="VQ6" s="57"/>
      <c r="VR6" s="57"/>
      <c r="VS6" s="57"/>
      <c r="VT6" s="57"/>
      <c r="VU6" s="57"/>
      <c r="VV6" s="57">
        <v>5.48</v>
      </c>
      <c r="VW6" s="57"/>
      <c r="VX6" s="57"/>
      <c r="VY6" s="57">
        <v>2.2799999999999998</v>
      </c>
      <c r="VZ6" s="57"/>
      <c r="WA6" s="57"/>
      <c r="WB6" s="57"/>
      <c r="WC6" s="57">
        <v>5</v>
      </c>
      <c r="WD6" s="57"/>
      <c r="WE6" s="57"/>
      <c r="WF6" s="57"/>
      <c r="WG6" s="57"/>
      <c r="WH6" s="57"/>
      <c r="WI6" s="57">
        <v>4.87</v>
      </c>
      <c r="WJ6" s="57"/>
      <c r="WK6" s="57"/>
      <c r="WL6" s="57"/>
      <c r="WM6" s="57"/>
      <c r="WN6" s="57">
        <v>4.9000000000000004</v>
      </c>
      <c r="WO6" s="57"/>
      <c r="WP6" s="57"/>
      <c r="WQ6" s="57"/>
      <c r="WR6" s="57"/>
      <c r="WS6" s="57">
        <v>6.52</v>
      </c>
      <c r="WT6" s="57"/>
      <c r="WU6" s="57"/>
      <c r="WV6" s="57"/>
      <c r="WW6" s="57"/>
      <c r="WX6" s="57">
        <v>3.77</v>
      </c>
      <c r="WY6" s="57"/>
      <c r="WZ6" s="57"/>
      <c r="XA6" s="57"/>
      <c r="XB6" s="57"/>
      <c r="XC6" s="57"/>
      <c r="XD6" s="57"/>
      <c r="XE6" s="57"/>
      <c r="XF6" s="57"/>
      <c r="XG6" s="57"/>
      <c r="XH6" s="57"/>
      <c r="XI6" s="57"/>
      <c r="XJ6" s="57">
        <v>5.47</v>
      </c>
      <c r="XK6" s="57"/>
      <c r="XL6" s="57"/>
      <c r="XM6" s="57"/>
      <c r="XN6" s="57"/>
      <c r="XO6" s="57"/>
      <c r="XP6" s="57"/>
      <c r="XQ6" s="57">
        <v>5.3</v>
      </c>
      <c r="XR6" s="57"/>
      <c r="XS6" s="57"/>
      <c r="XT6" s="57"/>
      <c r="XU6" s="57"/>
      <c r="XV6" s="57"/>
      <c r="XW6" s="57"/>
      <c r="XX6" s="57"/>
      <c r="XY6" s="57"/>
      <c r="XZ6" s="57">
        <v>3.98</v>
      </c>
      <c r="YA6" s="57"/>
      <c r="YB6" s="57"/>
      <c r="YC6" s="57"/>
      <c r="YD6" s="57">
        <v>4.55</v>
      </c>
      <c r="YE6" s="57"/>
      <c r="YF6" s="57"/>
      <c r="YG6" s="57"/>
      <c r="YH6" s="57"/>
      <c r="YI6" s="57"/>
      <c r="YJ6" s="57"/>
      <c r="YK6" s="57"/>
      <c r="YL6" s="57"/>
      <c r="YM6" s="57"/>
      <c r="YN6" s="57"/>
      <c r="YO6" s="57"/>
      <c r="YP6" s="57">
        <v>4.55</v>
      </c>
      <c r="YQ6" s="57"/>
      <c r="YR6" s="57"/>
      <c r="YS6" s="57"/>
      <c r="YT6" s="57">
        <v>4.9800000000000004</v>
      </c>
      <c r="YU6" s="57"/>
      <c r="YV6" s="57"/>
      <c r="YW6" s="57"/>
      <c r="YX6" s="57"/>
      <c r="YY6" s="57"/>
      <c r="YZ6" s="57">
        <v>5.07</v>
      </c>
      <c r="ZA6" s="57"/>
      <c r="ZB6" s="57"/>
      <c r="ZC6" s="57">
        <v>4.67</v>
      </c>
      <c r="ZD6" s="57"/>
      <c r="ZE6" s="57"/>
      <c r="ZF6" s="57"/>
      <c r="ZG6" s="57"/>
      <c r="ZH6" s="57"/>
      <c r="ZI6" s="57"/>
      <c r="ZJ6" s="57"/>
      <c r="ZK6" s="57"/>
      <c r="ZL6" s="57"/>
      <c r="ZM6" s="57">
        <v>1.23</v>
      </c>
      <c r="ZN6" s="57"/>
      <c r="ZO6" s="57"/>
      <c r="ZP6" s="57"/>
      <c r="ZQ6" s="57"/>
      <c r="ZR6" s="57"/>
      <c r="ZS6" s="57"/>
      <c r="ZT6" s="57"/>
      <c r="ZU6" s="57"/>
      <c r="ZV6" s="57"/>
      <c r="ZW6" s="57"/>
      <c r="ZX6" s="57"/>
      <c r="ZY6" s="57"/>
      <c r="ZZ6" s="57"/>
      <c r="AAA6" s="57"/>
      <c r="AAB6" s="57"/>
      <c r="AAC6" s="57">
        <v>1.7</v>
      </c>
      <c r="AAD6" s="57"/>
      <c r="AAE6" s="57"/>
      <c r="AAF6" s="57"/>
      <c r="AAG6" s="57">
        <v>4.17</v>
      </c>
      <c r="AAH6" s="57"/>
      <c r="AAI6" s="57"/>
      <c r="AAJ6" s="57"/>
      <c r="AAK6" s="57"/>
      <c r="AAL6" s="57"/>
      <c r="AAM6" s="57"/>
      <c r="AAN6" s="57"/>
      <c r="AAO6" s="57"/>
      <c r="AAP6" s="57"/>
      <c r="AAQ6" s="57">
        <v>5.2</v>
      </c>
      <c r="AAR6" s="57"/>
      <c r="AAS6" s="57"/>
      <c r="AAT6" s="57"/>
      <c r="AAU6" s="57"/>
      <c r="AAV6" s="57"/>
      <c r="AAW6" s="57"/>
      <c r="AAX6" s="57"/>
      <c r="AAY6" s="57">
        <v>4.5199999999999996</v>
      </c>
      <c r="AAZ6" s="57"/>
      <c r="ABA6" s="57"/>
      <c r="ABB6" s="57"/>
      <c r="ABC6" s="57"/>
      <c r="ABD6" s="57"/>
      <c r="ABE6" s="57"/>
      <c r="ABF6" s="57"/>
      <c r="ABG6" s="57">
        <v>4.87</v>
      </c>
      <c r="ABH6" s="57"/>
      <c r="ABI6" s="57"/>
      <c r="ABJ6" s="57"/>
      <c r="ABK6" s="57"/>
      <c r="ABL6" s="57"/>
      <c r="ABM6" s="57">
        <v>2.4500000000000002</v>
      </c>
      <c r="ABN6" s="57"/>
      <c r="ABO6" s="57"/>
      <c r="ABP6" s="57"/>
      <c r="ABQ6" s="57">
        <v>5.57</v>
      </c>
      <c r="ABR6" s="57"/>
      <c r="ABS6" s="57"/>
      <c r="ABT6" s="57"/>
      <c r="ABU6" s="57"/>
      <c r="ABV6" s="57"/>
      <c r="ABW6" s="57"/>
      <c r="ABX6" s="57">
        <v>4.0999999999999996</v>
      </c>
      <c r="ABY6" s="57"/>
      <c r="ABZ6" s="57"/>
      <c r="ACA6" s="57"/>
      <c r="ACB6" s="57"/>
      <c r="ACC6" s="57"/>
      <c r="ACD6" s="57">
        <v>5.52</v>
      </c>
      <c r="ACE6" s="57"/>
      <c r="ACF6" s="57"/>
      <c r="ACG6" s="57"/>
      <c r="ACH6" s="57"/>
      <c r="ACI6" s="57"/>
      <c r="ACJ6" s="57">
        <v>4.7699999999999996</v>
      </c>
      <c r="ACK6" s="57"/>
      <c r="ACL6" s="57"/>
      <c r="ACM6" s="57"/>
      <c r="ACN6" s="57"/>
      <c r="ACO6" s="57"/>
      <c r="ACP6" s="57">
        <v>4.53</v>
      </c>
      <c r="ACQ6" s="57"/>
      <c r="ACR6" s="57"/>
      <c r="ACS6" s="57"/>
      <c r="ACT6" s="57">
        <v>5.0999999999999996</v>
      </c>
      <c r="ACU6" s="57"/>
      <c r="ACV6" s="57"/>
      <c r="ACW6" s="57"/>
      <c r="ACX6" s="57">
        <v>5.0199999999999996</v>
      </c>
      <c r="ACY6" s="57"/>
      <c r="ACZ6" s="57"/>
      <c r="ADA6" s="57"/>
      <c r="ADB6" s="57"/>
      <c r="ADC6" s="57"/>
      <c r="ADD6" s="57">
        <v>4.47</v>
      </c>
      <c r="ADE6" s="57"/>
      <c r="ADF6" s="57"/>
      <c r="ADG6" s="57"/>
      <c r="ADH6" s="57"/>
      <c r="ADI6" s="57">
        <v>3.67</v>
      </c>
      <c r="ADJ6" s="57"/>
      <c r="ADK6" s="57"/>
      <c r="ADL6" s="57"/>
      <c r="ADM6" s="57"/>
      <c r="ADN6" s="57"/>
      <c r="ADO6" s="57"/>
      <c r="ADP6" s="57"/>
      <c r="ADQ6" s="57">
        <v>5.53</v>
      </c>
      <c r="ADR6" s="57"/>
      <c r="ADS6" s="57"/>
      <c r="ADT6" s="57"/>
      <c r="ADU6" s="57"/>
      <c r="ADV6" s="57"/>
      <c r="ADW6" s="57">
        <v>5.13</v>
      </c>
      <c r="ADX6" s="57"/>
      <c r="ADY6" s="57"/>
      <c r="ADZ6" s="57"/>
      <c r="AEA6" s="57"/>
      <c r="AEB6" s="57"/>
      <c r="AEC6" s="57">
        <v>5</v>
      </c>
      <c r="AED6" s="57"/>
      <c r="AEE6" s="57"/>
      <c r="AEF6" s="57"/>
      <c r="AEG6" s="57"/>
      <c r="AEH6" s="57"/>
      <c r="AEI6" s="57"/>
      <c r="AEJ6" s="57"/>
      <c r="AEK6" s="57"/>
      <c r="AEL6" s="57"/>
      <c r="AEM6" s="57"/>
      <c r="AEN6" s="57"/>
      <c r="AEO6" s="57">
        <v>5.85</v>
      </c>
      <c r="AEP6" s="57"/>
      <c r="AEQ6" s="57"/>
      <c r="AER6" s="57"/>
      <c r="AES6" s="57"/>
      <c r="AET6" s="57"/>
      <c r="AEU6" s="57"/>
      <c r="AEV6" s="57"/>
      <c r="AEW6" s="57"/>
      <c r="AEX6" s="57"/>
      <c r="AEY6" s="57"/>
      <c r="AEZ6" s="57"/>
      <c r="AFA6" s="57"/>
      <c r="AFB6" s="57"/>
      <c r="AFC6" s="57"/>
      <c r="AFD6" s="57"/>
      <c r="AFE6" s="57">
        <v>4.5199999999999996</v>
      </c>
      <c r="AFF6" s="57"/>
      <c r="AFG6" s="57"/>
      <c r="AFH6" s="57"/>
      <c r="AFI6" s="57"/>
      <c r="AFJ6" s="57">
        <v>5.08</v>
      </c>
      <c r="AFK6" s="57"/>
      <c r="AFL6" s="57"/>
      <c r="AFM6" s="57"/>
      <c r="AFN6" s="57"/>
      <c r="AFO6" s="57"/>
      <c r="AFP6" s="57"/>
      <c r="AFQ6" s="57"/>
      <c r="AFR6" s="57"/>
      <c r="AFS6" s="57"/>
      <c r="AFT6" s="57">
        <v>0.83819444444444446</v>
      </c>
      <c r="AFU6" s="57"/>
      <c r="AFV6" s="57"/>
      <c r="AFW6" s="57"/>
      <c r="AFX6" s="57"/>
      <c r="AFY6" s="57">
        <v>0.98</v>
      </c>
      <c r="AFZ6" s="57"/>
      <c r="AGA6" s="57"/>
      <c r="AGB6" s="57"/>
      <c r="AGC6" s="57"/>
      <c r="AGD6" s="57">
        <v>5.92</v>
      </c>
      <c r="AGE6" s="57"/>
      <c r="AGF6" s="57"/>
      <c r="AGG6" s="57">
        <v>6.02</v>
      </c>
      <c r="AGH6" s="57"/>
      <c r="AGI6" s="57"/>
      <c r="AGJ6" s="57">
        <v>7.1</v>
      </c>
      <c r="AGK6" s="57"/>
      <c r="AGL6" s="57"/>
      <c r="AGM6" s="57">
        <v>5.38</v>
      </c>
      <c r="AGN6" s="57"/>
      <c r="AGO6" s="57"/>
      <c r="AGP6" s="57"/>
      <c r="AGQ6" s="57"/>
      <c r="AGR6" s="57">
        <v>5.25</v>
      </c>
      <c r="AGS6" s="57"/>
      <c r="AGT6" s="57"/>
      <c r="AGU6" s="57"/>
      <c r="AGV6" s="57"/>
      <c r="AGW6" s="57"/>
      <c r="AGX6" s="57"/>
      <c r="AGY6" s="57"/>
      <c r="AGZ6" s="57">
        <v>2.57</v>
      </c>
      <c r="AHA6" s="57"/>
      <c r="AHB6" s="57"/>
      <c r="AHC6" s="57">
        <v>4.4000000000000004</v>
      </c>
      <c r="AHD6" s="57"/>
      <c r="AHE6" s="57"/>
      <c r="AHF6" s="57"/>
      <c r="AHG6" s="57">
        <v>4.5999999999999996</v>
      </c>
      <c r="AHH6" s="57"/>
      <c r="AHI6" s="57"/>
      <c r="AHJ6" s="57"/>
      <c r="AHK6" s="57"/>
      <c r="AHL6" s="57">
        <v>7.5</v>
      </c>
      <c r="AHM6" s="57"/>
      <c r="AHN6" s="57"/>
      <c r="AHO6" s="57"/>
      <c r="AHP6" s="57"/>
      <c r="AHQ6" s="57"/>
      <c r="AHR6" s="57">
        <v>3.83</v>
      </c>
      <c r="AHS6" s="57"/>
      <c r="AHT6" s="57"/>
      <c r="AHU6" s="57">
        <v>4.6500000000000004</v>
      </c>
      <c r="AHV6" s="57"/>
      <c r="AHW6" s="57"/>
      <c r="AHX6" s="57"/>
      <c r="AHY6" s="57"/>
      <c r="AHZ6" s="57"/>
      <c r="AIA6" s="57"/>
      <c r="AIB6" s="57"/>
      <c r="AIC6" s="57"/>
      <c r="AID6" s="57"/>
      <c r="AIE6" s="57"/>
      <c r="AIF6" s="57"/>
      <c r="AIG6" s="57"/>
      <c r="AIH6" s="57"/>
      <c r="AII6" s="57"/>
      <c r="AIJ6" s="57"/>
      <c r="AIK6" s="57"/>
      <c r="AIL6" s="57"/>
      <c r="AIM6" s="57">
        <v>2.33</v>
      </c>
      <c r="AIN6" s="57">
        <v>4.05</v>
      </c>
      <c r="AIO6" s="57"/>
      <c r="AIP6" s="57">
        <v>3.75</v>
      </c>
      <c r="AIQ6" s="57"/>
      <c r="AIR6" s="57"/>
      <c r="AIS6" s="57">
        <v>3.12</v>
      </c>
      <c r="AIT6" s="57"/>
      <c r="AIU6" s="57"/>
      <c r="AIV6" s="57"/>
      <c r="AIW6" s="57"/>
      <c r="AIX6" s="57"/>
      <c r="AIY6" s="57"/>
      <c r="AIZ6" s="57"/>
      <c r="AJA6" s="57">
        <v>3.57</v>
      </c>
      <c r="AJB6" s="57"/>
      <c r="AJC6" s="57"/>
      <c r="AJD6" s="57"/>
      <c r="AJE6" s="57">
        <v>4.2966916232638903</v>
      </c>
    </row>
    <row r="7" spans="1:941" x14ac:dyDescent="0.35">
      <c r="A7" s="55"/>
      <c r="B7" s="40">
        <v>44213</v>
      </c>
      <c r="C7" s="40">
        <f t="shared" si="3"/>
        <v>44213</v>
      </c>
      <c r="D7" s="4">
        <f>IF(EarningsPerDay[[#This Row],[Week '#]]&gt;=52,YEAR(EarningsPerDay[[#This Row],[Date]])-1,YEAR(EarningsPerDay[[#This Row],[Date]]))</f>
        <v>2021</v>
      </c>
      <c r="E7" s="4" t="str">
        <f>"QTR"&amp;IF(EarningsPerDay[[#This Row],[Week '#]] &lt;= 13, 1, IF(EarningsPerDay[[#This Row],[Week '#]] &lt;= 26, 2, IF(EarningsPerDay[[#This Row],[Week '#]] &lt;= 39, 3, 4)))</f>
        <v>QTR1</v>
      </c>
      <c r="F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7" s="4">
        <f>IF(WEEKNUM(EarningsPerDay[[#This Row],[Date]], 2) = 53, 1, WEEKNUM(EarningsPerDay[[#This Row],[Date]],2))</f>
        <v>3</v>
      </c>
      <c r="H7" s="40" t="str">
        <f t="shared" si="0"/>
        <v>Sunday</v>
      </c>
      <c r="I7" s="106" t="str">
        <f>IF(_xlfn.XLOOKUP(EarningsPerDay[[#This Row],[Date]],Mileage[Date],Mileage[Start Time])="","",MROUND(_xlfn.XLOOKUP(EarningsPerDay[[#This Row],[Date]],Mileage[Date],Mileage[Start Time]),0.0208333333333333))</f>
        <v/>
      </c>
      <c r="J7" s="40" t="str" cm="1">
        <f t="array" ref="J7">IFERROR(VLOOKUP(MODE(IF(Combined[Date]=EarningsPerDay[[#This Row],[Date]],Combined[Area '#])),KPIs!$B$4:$C$7,2,FALSE),VLOOKUP(EarningsPerDay[[#This Row],[Date]],Combined[[Date]:[Primary Area]],8,FALSE))</f>
        <v>Portland</v>
      </c>
      <c r="K7" s="40" t="str">
        <f>_xlfn.XLOOKUP(EarningsPerDay[[#This Row],[Date]],Mileage[Date],Mileage[Weather])</f>
        <v>Partially Cloudy</v>
      </c>
      <c r="L7" s="4">
        <f>_xlfn.XLOOKUP(EarningsPerDay[[#This Row],[Date]],Mileage[Date],Mileage[Hi Temp])</f>
        <v>32.4</v>
      </c>
      <c r="M7" s="12">
        <f>_xlfn.XLOOKUP(EarningsPerDay[[#This Row],[Date]],Mileage[Date],Mileage[Total Time])</f>
        <v>3.6666666666666661</v>
      </c>
      <c r="N7" s="4">
        <f>_xlfn.XLOOKUP(EarningsPerDay[[#This Row],[Date]],Mileage[Date],Mileage[Mileage])</f>
        <v>28.594772903863813</v>
      </c>
      <c r="O7" s="4">
        <f>SUMIF(Combined[Date],EarningsPerDay[[#This Row],[Date]],Combined[Trips])</f>
        <v>2</v>
      </c>
      <c r="P7">
        <f>COUNTIF(Combined[Date],EarningsPerDay[[#This Row],[Date]])</f>
        <v>1</v>
      </c>
      <c r="Q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" s="11">
        <f>SUMIF(Combined[Date],EarningsPerDay[[#This Row],[Date]],Combined[Earnings])</f>
        <v>35.950000000000003</v>
      </c>
      <c r="S7" s="11">
        <f ca="1">EarningsPerDay[[#This Row],[Gross Earnings]]-(EarningsPerDay[[#This Row],[Miles]]*CpM!$D$11)</f>
        <v>29.574135052622037</v>
      </c>
      <c r="T7" s="11">
        <f t="shared" si="1"/>
        <v>9.8045454545454565</v>
      </c>
      <c r="U7" s="11">
        <f t="shared" ca="1" si="2"/>
        <v>8.065673196169648</v>
      </c>
      <c r="V7" s="11">
        <f>EarningsPerDay[[#This Row],[Gross Earnings]]/EarningsPerDay[[#This Row],[Deliveries]]</f>
        <v>17.975000000000001</v>
      </c>
      <c r="W7" s="11">
        <f>EarningsPerDay[[#This Row],[Gross Earnings]]/EarningsPerDay[[#This Row],[Miles]]</f>
        <v>1.2572227840684242</v>
      </c>
      <c r="X7" s="71">
        <f>EarningsPerDay[[#This Row],[Deliveries]]/EarningsPerDay[[#This Row],[Hours]]</f>
        <v>0.54545454545454553</v>
      </c>
      <c r="Y7" s="71">
        <f>EarningsPerDay[[#This Row],[Miles]]/EarningsPerDay[[#This Row],[Deliveries]]</f>
        <v>14.297386451931906</v>
      </c>
      <c r="Z7" s="81">
        <f>(EarningsPerDay[[#This Row],[Hours]]/EarningsPerDay[[#This Row],[Deliveries]])/24</f>
        <v>7.6388888888888881E-2</v>
      </c>
      <c r="AA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0.14258071902908398</v>
      </c>
      <c r="AB7" s="11">
        <f>AVERAGEIFS(EarningsPerDay[Gross $/Hour],EarningsPerDay[Week '#], EarningsPerDay[[#This Row],[Week '#]], EarningsPerDay[DOW], EarningsPerDay[[#This Row],[DOW]])</f>
        <v>16.540912777473199</v>
      </c>
      <c r="AC7" s="11">
        <f>EarningsPerDay[[#This Row],[Gross $/Hour]] - EarningsPerDay[[#This Row],[Weekly Average Earnings]]</f>
        <v>-6.7363673229277428</v>
      </c>
      <c r="AD7" s="11">
        <f>(SUMIFS(EarningsPerDay[Gross Earnings], EarningsPerDay[Date],"&gt;="&amp;EarningsPerDay[[#This Row],[Date]]-89, EarningsPerDay[Date], "&lt;="&amp;EarningsPerDay[[#This Row],[Date]]))/90</f>
        <v>2.147444444444444</v>
      </c>
      <c r="AE7" s="11"/>
      <c r="AF7" s="40" t="s">
        <v>88</v>
      </c>
      <c r="AG7" s="4">
        <v>86122.933682663439</v>
      </c>
      <c r="AI7" s="11"/>
      <c r="AJ7" s="195">
        <v>2025</v>
      </c>
      <c r="AK7" s="4">
        <v>1023.8511944444447</v>
      </c>
      <c r="AL7" s="4">
        <v>2.2358490566037736</v>
      </c>
      <c r="AT7" t="s">
        <v>47</v>
      </c>
      <c r="AZ7" s="8"/>
      <c r="BA7" s="7" t="s">
        <v>88</v>
      </c>
      <c r="BB7" s="4">
        <v>97.645049526829311</v>
      </c>
      <c r="BF7" s="7" t="s">
        <v>48</v>
      </c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>
        <v>1.6416666666666666</v>
      </c>
      <c r="CA7" s="57"/>
      <c r="CB7" s="57"/>
      <c r="CC7" s="57">
        <v>2.041666666666667</v>
      </c>
      <c r="CD7" s="57"/>
      <c r="CE7" s="57"/>
      <c r="CF7" s="57">
        <v>2.5999999999999996</v>
      </c>
      <c r="CG7" s="57"/>
      <c r="CH7" s="57"/>
      <c r="CI7" s="57"/>
      <c r="CJ7" s="57"/>
      <c r="CK7" s="57"/>
      <c r="CL7" s="57"/>
      <c r="CM7" s="57"/>
      <c r="CN7" s="57"/>
      <c r="CO7" s="57"/>
      <c r="CP7" s="57">
        <v>2.8</v>
      </c>
      <c r="CQ7" s="57"/>
      <c r="CR7" s="57"/>
      <c r="CS7" s="57">
        <v>4.3000000000000007</v>
      </c>
      <c r="CT7" s="57"/>
      <c r="CU7" s="57"/>
      <c r="CV7" s="57"/>
      <c r="CW7" s="57"/>
      <c r="CX7" s="57"/>
      <c r="CY7" s="57">
        <v>3.9000000000000004</v>
      </c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>
        <v>1.7</v>
      </c>
      <c r="EL7" s="57"/>
      <c r="EM7" s="57"/>
      <c r="EN7" s="57"/>
      <c r="EO7" s="57"/>
      <c r="EP7" s="57"/>
      <c r="EQ7" s="57"/>
      <c r="ER7" s="57"/>
      <c r="ES7" s="57"/>
      <c r="ET7" s="57"/>
      <c r="EU7" s="57">
        <v>3.5</v>
      </c>
      <c r="EV7" s="57"/>
      <c r="EW7" s="57"/>
      <c r="EX7" s="57"/>
      <c r="EY7" s="57"/>
      <c r="EZ7" s="57"/>
      <c r="FA7" s="57"/>
      <c r="FB7" s="57"/>
      <c r="FC7" s="57"/>
      <c r="FD7" s="57"/>
      <c r="FE7" s="57"/>
      <c r="FF7" s="57"/>
      <c r="FG7" s="57"/>
      <c r="FH7" s="57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>
        <v>3.8</v>
      </c>
      <c r="FW7" s="57"/>
      <c r="FX7" s="57">
        <v>3</v>
      </c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>
        <v>3.53</v>
      </c>
      <c r="GL7" s="57"/>
      <c r="GM7" s="57"/>
      <c r="GN7" s="57"/>
      <c r="GO7" s="57"/>
      <c r="GP7" s="57"/>
      <c r="GQ7" s="57"/>
      <c r="GR7" s="57"/>
      <c r="GS7" s="57">
        <v>3.3</v>
      </c>
      <c r="GT7" s="57"/>
      <c r="GU7" s="57"/>
      <c r="GV7" s="57"/>
      <c r="GW7" s="57">
        <v>4.7</v>
      </c>
      <c r="GX7" s="57"/>
      <c r="GY7" s="57"/>
      <c r="GZ7" s="57">
        <v>4.5999999999999996</v>
      </c>
      <c r="HA7" s="57"/>
      <c r="HB7" s="57"/>
      <c r="HC7" s="57"/>
      <c r="HD7" s="57">
        <v>4.5</v>
      </c>
      <c r="HE7" s="57"/>
      <c r="HF7" s="57">
        <v>4.5999999999999996</v>
      </c>
      <c r="HG7" s="57"/>
      <c r="HH7" s="57"/>
      <c r="HI7" s="57"/>
      <c r="HJ7" s="57"/>
      <c r="HK7" s="57"/>
      <c r="HL7" s="57"/>
      <c r="HM7" s="57">
        <v>4.0999999999999996</v>
      </c>
      <c r="HN7" s="57"/>
      <c r="HO7" s="57"/>
      <c r="HP7" s="57"/>
      <c r="HQ7" s="57"/>
      <c r="HR7" s="57"/>
      <c r="HS7" s="57">
        <v>7</v>
      </c>
      <c r="HT7" s="57"/>
      <c r="HU7" s="57"/>
      <c r="HV7" s="57"/>
      <c r="HW7" s="57"/>
      <c r="HX7" s="57"/>
      <c r="HY7" s="57"/>
      <c r="HZ7" s="57"/>
      <c r="IA7" s="57"/>
      <c r="IB7" s="57"/>
      <c r="IC7" s="57"/>
      <c r="ID7" s="57">
        <v>4.3000000000000007</v>
      </c>
      <c r="IE7" s="57"/>
      <c r="IF7" s="57"/>
      <c r="IG7" s="57"/>
      <c r="IH7" s="57"/>
      <c r="II7" s="57"/>
      <c r="IJ7" s="57"/>
      <c r="IK7" s="57"/>
      <c r="IL7" s="57"/>
      <c r="IM7" s="57">
        <v>7.6</v>
      </c>
      <c r="IN7" s="57"/>
      <c r="IO7" s="57"/>
      <c r="IP7" s="57"/>
      <c r="IQ7" s="57"/>
      <c r="IR7" s="57">
        <v>9.6000000000000014</v>
      </c>
      <c r="IS7" s="57"/>
      <c r="IT7" s="57"/>
      <c r="IU7" s="57"/>
      <c r="IV7" s="57">
        <v>6.2</v>
      </c>
      <c r="IW7" s="57"/>
      <c r="IX7" s="57"/>
      <c r="IY7" s="57"/>
      <c r="IZ7" s="57"/>
      <c r="JA7" s="57"/>
      <c r="JB7" s="57">
        <v>5.2</v>
      </c>
      <c r="JC7" s="57"/>
      <c r="JD7" s="57"/>
      <c r="JE7" s="57"/>
      <c r="JF7" s="57"/>
      <c r="JG7" s="57"/>
      <c r="JH7" s="57"/>
      <c r="JI7" s="57"/>
      <c r="JJ7" s="57">
        <v>4.5</v>
      </c>
      <c r="JK7" s="57"/>
      <c r="JL7" s="57"/>
      <c r="JM7" s="57"/>
      <c r="JN7" s="57"/>
      <c r="JO7" s="57"/>
      <c r="JP7" s="57">
        <v>5.55</v>
      </c>
      <c r="JQ7" s="57"/>
      <c r="JR7" s="57"/>
      <c r="JS7" s="57"/>
      <c r="JT7" s="57"/>
      <c r="JU7" s="57"/>
      <c r="JV7" s="57"/>
      <c r="JW7" s="57"/>
      <c r="JX7" s="57"/>
      <c r="JY7" s="57"/>
      <c r="JZ7" s="57"/>
      <c r="KA7" s="57"/>
      <c r="KB7" s="57">
        <v>6.4</v>
      </c>
      <c r="KC7" s="57"/>
      <c r="KD7" s="57"/>
      <c r="KE7" s="57"/>
      <c r="KF7" s="57"/>
      <c r="KG7" s="57">
        <v>0.45</v>
      </c>
      <c r="KH7" s="57"/>
      <c r="KI7" s="57"/>
      <c r="KJ7" s="57"/>
      <c r="KK7" s="57"/>
      <c r="KL7" s="57"/>
      <c r="KM7" s="57">
        <v>2.52</v>
      </c>
      <c r="KN7" s="57"/>
      <c r="KO7" s="57"/>
      <c r="KP7" s="57"/>
      <c r="KQ7" s="57"/>
      <c r="KR7" s="57">
        <v>4.47</v>
      </c>
      <c r="KS7" s="57"/>
      <c r="KT7" s="57">
        <v>4.2300000000000004</v>
      </c>
      <c r="KU7" s="57"/>
      <c r="KV7" s="57"/>
      <c r="KW7" s="57"/>
      <c r="KX7" s="57"/>
      <c r="KY7" s="57"/>
      <c r="KZ7" s="57">
        <v>4.32</v>
      </c>
      <c r="LA7" s="57"/>
      <c r="LB7" s="57"/>
      <c r="LC7" s="57"/>
      <c r="LD7" s="57"/>
      <c r="LE7" s="57"/>
      <c r="LF7" s="57"/>
      <c r="LG7" s="57">
        <v>4.3499999999999996</v>
      </c>
      <c r="LH7" s="57"/>
      <c r="LI7" s="57"/>
      <c r="LJ7" s="57"/>
      <c r="LK7" s="57"/>
      <c r="LL7" s="57"/>
      <c r="LM7" s="57"/>
      <c r="LN7" s="57"/>
      <c r="LO7" s="57">
        <v>4.1500000000000004</v>
      </c>
      <c r="LP7" s="57"/>
      <c r="LQ7" s="57"/>
      <c r="LR7" s="57"/>
      <c r="LS7" s="57"/>
      <c r="LT7" s="57"/>
      <c r="LU7" s="57"/>
      <c r="LV7" s="57"/>
      <c r="LW7" s="57">
        <v>4.7300000000000004</v>
      </c>
      <c r="LX7" s="57"/>
      <c r="LY7" s="57"/>
      <c r="LZ7" s="57"/>
      <c r="MA7" s="57"/>
      <c r="MB7" s="57"/>
      <c r="MC7" s="57"/>
      <c r="MD7" s="57">
        <v>4.8499999999999996</v>
      </c>
      <c r="ME7" s="57"/>
      <c r="MF7" s="57"/>
      <c r="MG7" s="57"/>
      <c r="MH7" s="57"/>
      <c r="MI7" s="57">
        <v>4.97</v>
      </c>
      <c r="MJ7" s="57"/>
      <c r="MK7" s="57"/>
      <c r="ML7" s="57"/>
      <c r="MM7" s="57"/>
      <c r="MN7" s="57"/>
      <c r="MO7" s="57">
        <v>5.63</v>
      </c>
      <c r="MP7" s="57"/>
      <c r="MQ7" s="57"/>
      <c r="MR7" s="57"/>
      <c r="MS7" s="57">
        <v>4.43</v>
      </c>
      <c r="MT7" s="57"/>
      <c r="MU7" s="57"/>
      <c r="MV7" s="57"/>
      <c r="MW7" s="57"/>
      <c r="MX7" s="57">
        <v>4.63</v>
      </c>
      <c r="MY7" s="57"/>
      <c r="MZ7" s="57">
        <v>3.97</v>
      </c>
      <c r="NA7" s="57"/>
      <c r="NB7" s="57"/>
      <c r="NC7" s="57"/>
      <c r="ND7" s="57"/>
      <c r="NE7" s="57"/>
      <c r="NF7" s="57">
        <v>4.07</v>
      </c>
      <c r="NG7" s="57"/>
      <c r="NH7" s="57">
        <v>5.93</v>
      </c>
      <c r="NI7" s="57"/>
      <c r="NJ7" s="57"/>
      <c r="NK7" s="57"/>
      <c r="NL7" s="57"/>
      <c r="NM7" s="57">
        <v>5.6</v>
      </c>
      <c r="NN7" s="57"/>
      <c r="NO7" s="57"/>
      <c r="NP7" s="57"/>
      <c r="NQ7" s="57"/>
      <c r="NR7" s="57"/>
      <c r="NS7" s="57"/>
      <c r="NT7" s="57"/>
      <c r="NU7" s="57"/>
      <c r="NV7" s="57"/>
      <c r="NW7" s="57"/>
      <c r="NX7" s="57">
        <v>4.45</v>
      </c>
      <c r="NY7" s="57"/>
      <c r="NZ7" s="57"/>
      <c r="OA7" s="57"/>
      <c r="OB7" s="57"/>
      <c r="OC7" s="57"/>
      <c r="OD7" s="57"/>
      <c r="OE7" s="57"/>
      <c r="OF7" s="57">
        <v>5.57</v>
      </c>
      <c r="OG7" s="57"/>
      <c r="OH7" s="57"/>
      <c r="OI7" s="57"/>
      <c r="OJ7" s="57"/>
      <c r="OK7" s="57">
        <v>4.0199999999999996</v>
      </c>
      <c r="OL7" s="57"/>
      <c r="OM7" s="57"/>
      <c r="ON7" s="57"/>
      <c r="OO7" s="57"/>
      <c r="OP7" s="57">
        <v>5.17</v>
      </c>
      <c r="OQ7" s="57"/>
      <c r="OR7" s="57"/>
      <c r="OS7" s="57"/>
      <c r="OT7" s="57">
        <v>4.75</v>
      </c>
      <c r="OU7" s="57"/>
      <c r="OV7" s="57"/>
      <c r="OW7" s="57"/>
      <c r="OX7" s="57"/>
      <c r="OY7" s="57">
        <v>3.55</v>
      </c>
      <c r="OZ7" s="57"/>
      <c r="PA7" s="57"/>
      <c r="PB7" s="57"/>
      <c r="PC7" s="57"/>
      <c r="PD7" s="57"/>
      <c r="PE7" s="57"/>
      <c r="PF7" s="57"/>
      <c r="PG7" s="57"/>
      <c r="PH7" s="57">
        <v>3.18</v>
      </c>
      <c r="PI7" s="57"/>
      <c r="PJ7" s="57"/>
      <c r="PK7" s="57"/>
      <c r="PL7" s="57"/>
      <c r="PM7" s="57"/>
      <c r="PN7" s="57"/>
      <c r="PO7" s="57"/>
      <c r="PP7" s="57"/>
      <c r="PQ7" s="57"/>
      <c r="PR7" s="57"/>
      <c r="PS7" s="57">
        <v>4.5</v>
      </c>
      <c r="PT7" s="57"/>
      <c r="PU7" s="57"/>
      <c r="PV7" s="57">
        <v>3.52</v>
      </c>
      <c r="PW7" s="57"/>
      <c r="PX7" s="57"/>
      <c r="PY7" s="57"/>
      <c r="PZ7" s="57"/>
      <c r="QA7" s="57">
        <v>4.12</v>
      </c>
      <c r="QB7" s="57"/>
      <c r="QC7" s="57"/>
      <c r="QD7" s="57">
        <v>5.18</v>
      </c>
      <c r="QE7" s="57"/>
      <c r="QF7" s="57"/>
      <c r="QG7" s="57"/>
      <c r="QH7" s="57"/>
      <c r="QI7" s="57"/>
      <c r="QJ7" s="57"/>
      <c r="QK7" s="57"/>
      <c r="QL7" s="57"/>
      <c r="QM7" s="57"/>
      <c r="QN7" s="57">
        <v>1.83</v>
      </c>
      <c r="QO7" s="57"/>
      <c r="QP7" s="57"/>
      <c r="QQ7" s="57"/>
      <c r="QR7" s="57"/>
      <c r="QS7" s="57">
        <v>3.85</v>
      </c>
      <c r="QT7" s="57"/>
      <c r="QU7" s="57"/>
      <c r="QV7" s="57"/>
      <c r="QW7" s="57"/>
      <c r="QX7" s="57"/>
      <c r="QY7" s="57"/>
      <c r="QZ7" s="57"/>
      <c r="RA7" s="57"/>
      <c r="RB7" s="57"/>
      <c r="RC7" s="57">
        <v>4.25</v>
      </c>
      <c r="RD7" s="57"/>
      <c r="RE7" s="57"/>
      <c r="RF7" s="57"/>
      <c r="RG7" s="57">
        <v>3.72</v>
      </c>
      <c r="RH7" s="57"/>
      <c r="RI7" s="57"/>
      <c r="RJ7" s="57"/>
      <c r="RK7" s="57"/>
      <c r="RL7" s="57"/>
      <c r="RM7" s="57">
        <v>0.75</v>
      </c>
      <c r="RN7" s="57"/>
      <c r="RO7" s="57"/>
      <c r="RP7" s="57"/>
      <c r="RQ7" s="57"/>
      <c r="RR7" s="57"/>
      <c r="RS7" s="57"/>
      <c r="RT7" s="57"/>
      <c r="RU7" s="57"/>
      <c r="RV7" s="57"/>
      <c r="RW7" s="57"/>
      <c r="RX7" s="57"/>
      <c r="RY7" s="57"/>
      <c r="RZ7" s="57">
        <v>3.57</v>
      </c>
      <c r="SA7" s="57"/>
      <c r="SB7" s="57"/>
      <c r="SC7" s="57"/>
      <c r="SD7" s="57">
        <v>2.37</v>
      </c>
      <c r="SE7" s="57"/>
      <c r="SF7" s="57"/>
      <c r="SG7" s="57"/>
      <c r="SH7" s="57"/>
      <c r="SI7" s="57">
        <v>5.18</v>
      </c>
      <c r="SJ7" s="57"/>
      <c r="SK7" s="57"/>
      <c r="SL7" s="57"/>
      <c r="SM7" s="57"/>
      <c r="SN7" s="57"/>
      <c r="SO7" s="57">
        <v>2.98</v>
      </c>
      <c r="SP7" s="57"/>
      <c r="SQ7" s="57"/>
      <c r="SR7" s="57"/>
      <c r="SS7" s="57">
        <v>3.08</v>
      </c>
      <c r="ST7" s="57"/>
      <c r="SU7" s="57"/>
      <c r="SV7" s="57"/>
      <c r="SW7" s="57"/>
      <c r="SX7" s="57"/>
      <c r="SY7" s="57"/>
      <c r="SZ7" s="57">
        <v>4.2300000000000004</v>
      </c>
      <c r="TA7" s="57"/>
      <c r="TB7" s="57"/>
      <c r="TC7" s="57"/>
      <c r="TD7" s="57"/>
      <c r="TE7" s="57"/>
      <c r="TF7" s="57"/>
      <c r="TG7" s="57">
        <v>3.32</v>
      </c>
      <c r="TH7" s="57"/>
      <c r="TI7" s="57"/>
      <c r="TJ7" s="57"/>
      <c r="TK7" s="57">
        <v>2.25</v>
      </c>
      <c r="TL7" s="57"/>
      <c r="TM7" s="57"/>
      <c r="TN7" s="57"/>
      <c r="TO7" s="57"/>
      <c r="TP7" s="57"/>
      <c r="TQ7" s="57"/>
      <c r="TR7" s="57"/>
      <c r="TS7" s="57">
        <v>3.42</v>
      </c>
      <c r="TT7" s="57"/>
      <c r="TU7" s="57"/>
      <c r="TV7" s="57"/>
      <c r="TW7" s="57"/>
      <c r="TX7" s="57"/>
      <c r="TY7" s="57"/>
      <c r="TZ7" s="57"/>
      <c r="UA7" s="57"/>
      <c r="UB7" s="57"/>
      <c r="UC7" s="57"/>
      <c r="UD7" s="57">
        <v>5.3</v>
      </c>
      <c r="UE7" s="57"/>
      <c r="UF7" s="57"/>
      <c r="UG7" s="57"/>
      <c r="UH7" s="57"/>
      <c r="UI7" s="57"/>
      <c r="UJ7" s="57"/>
      <c r="UK7" s="57"/>
      <c r="UL7" s="57"/>
      <c r="UM7" s="57"/>
      <c r="UN7" s="57">
        <v>5.35</v>
      </c>
      <c r="UO7" s="57"/>
      <c r="UP7" s="57"/>
      <c r="UQ7" s="57"/>
      <c r="UR7" s="57">
        <v>5.22</v>
      </c>
      <c r="US7" s="57"/>
      <c r="UT7" s="57"/>
      <c r="UU7" s="57"/>
      <c r="UV7" s="57"/>
      <c r="UW7" s="57">
        <v>2.97</v>
      </c>
      <c r="UX7" s="57"/>
      <c r="UY7" s="57"/>
      <c r="UZ7" s="57"/>
      <c r="VA7" s="57"/>
      <c r="VB7" s="57"/>
      <c r="VC7" s="57"/>
      <c r="VD7" s="57">
        <v>5.6</v>
      </c>
      <c r="VE7" s="57"/>
      <c r="VF7" s="57"/>
      <c r="VG7" s="57"/>
      <c r="VH7" s="57"/>
      <c r="VI7" s="57"/>
      <c r="VJ7" s="57"/>
      <c r="VK7" s="57">
        <v>5.72</v>
      </c>
      <c r="VL7" s="57"/>
      <c r="VM7" s="57"/>
      <c r="VN7" s="57"/>
      <c r="VO7" s="57"/>
      <c r="VP7" s="57"/>
      <c r="VQ7" s="57">
        <v>5.85</v>
      </c>
      <c r="VR7" s="57"/>
      <c r="VS7" s="57"/>
      <c r="VT7" s="57"/>
      <c r="VU7" s="57"/>
      <c r="VV7" s="57"/>
      <c r="VW7" s="57">
        <v>5.3</v>
      </c>
      <c r="VX7" s="57"/>
      <c r="VY7" s="57"/>
      <c r="VZ7" s="57"/>
      <c r="WA7" s="57"/>
      <c r="WB7" s="57"/>
      <c r="WC7" s="57"/>
      <c r="WD7" s="57">
        <v>3.37</v>
      </c>
      <c r="WE7" s="57"/>
      <c r="WF7" s="57"/>
      <c r="WG7" s="57"/>
      <c r="WH7" s="57"/>
      <c r="WI7" s="57"/>
      <c r="WJ7" s="57">
        <v>6.45</v>
      </c>
      <c r="WK7" s="57"/>
      <c r="WL7" s="57"/>
      <c r="WM7" s="57"/>
      <c r="WN7" s="57"/>
      <c r="WO7" s="57">
        <v>2.93</v>
      </c>
      <c r="WP7" s="57"/>
      <c r="WQ7" s="57"/>
      <c r="WR7" s="57"/>
      <c r="WS7" s="57"/>
      <c r="WT7" s="57"/>
      <c r="WU7" s="57"/>
      <c r="WV7" s="57"/>
      <c r="WW7" s="57"/>
      <c r="WX7" s="57"/>
      <c r="WY7" s="57">
        <v>7.1</v>
      </c>
      <c r="WZ7" s="57"/>
      <c r="XA7" s="57"/>
      <c r="XB7" s="57"/>
      <c r="XC7" s="57"/>
      <c r="XD7" s="57">
        <v>6.02</v>
      </c>
      <c r="XE7" s="57"/>
      <c r="XF7" s="57"/>
      <c r="XG7" s="57"/>
      <c r="XH7" s="57"/>
      <c r="XI7" s="57"/>
      <c r="XJ7" s="57"/>
      <c r="XK7" s="57">
        <v>2.73</v>
      </c>
      <c r="XL7" s="57"/>
      <c r="XM7" s="57"/>
      <c r="XN7" s="57"/>
      <c r="XO7" s="57"/>
      <c r="XP7" s="57"/>
      <c r="XQ7" s="57"/>
      <c r="XR7" s="57">
        <v>5.98</v>
      </c>
      <c r="XS7" s="57"/>
      <c r="XT7" s="57"/>
      <c r="XU7" s="57"/>
      <c r="XV7" s="57"/>
      <c r="XW7" s="57"/>
      <c r="XX7" s="57"/>
      <c r="XY7" s="57"/>
      <c r="XZ7" s="57"/>
      <c r="YA7" s="57">
        <v>5.3</v>
      </c>
      <c r="YB7" s="57"/>
      <c r="YC7" s="57"/>
      <c r="YD7" s="57"/>
      <c r="YE7" s="57"/>
      <c r="YF7" s="57"/>
      <c r="YG7" s="57"/>
      <c r="YH7" s="57"/>
      <c r="YI7" s="57"/>
      <c r="YJ7" s="57">
        <v>3.35</v>
      </c>
      <c r="YK7" s="57"/>
      <c r="YL7" s="57"/>
      <c r="YM7" s="57"/>
      <c r="YN7" s="57"/>
      <c r="YO7" s="57"/>
      <c r="YP7" s="57"/>
      <c r="YQ7" s="57"/>
      <c r="YR7" s="57"/>
      <c r="YS7" s="57"/>
      <c r="YT7" s="57"/>
      <c r="YU7" s="57">
        <v>4.0199999999999996</v>
      </c>
      <c r="YV7" s="57"/>
      <c r="YW7" s="57"/>
      <c r="YX7" s="57"/>
      <c r="YY7" s="57"/>
      <c r="YZ7" s="57"/>
      <c r="ZA7" s="57"/>
      <c r="ZB7" s="57"/>
      <c r="ZC7" s="57"/>
      <c r="ZD7" s="57"/>
      <c r="ZE7" s="57"/>
      <c r="ZF7" s="57"/>
      <c r="ZG7" s="57"/>
      <c r="ZH7" s="57"/>
      <c r="ZI7" s="57"/>
      <c r="ZJ7" s="57">
        <v>2.77</v>
      </c>
      <c r="ZK7" s="57"/>
      <c r="ZL7" s="57"/>
      <c r="ZM7" s="57"/>
      <c r="ZN7" s="57">
        <v>3.27</v>
      </c>
      <c r="ZO7" s="57"/>
      <c r="ZP7" s="57"/>
      <c r="ZQ7" s="57"/>
      <c r="ZR7" s="57"/>
      <c r="ZS7" s="57"/>
      <c r="ZT7" s="57"/>
      <c r="ZU7" s="57">
        <v>1.38</v>
      </c>
      <c r="ZV7" s="57"/>
      <c r="ZW7" s="57"/>
      <c r="ZX7" s="57"/>
      <c r="ZY7" s="57"/>
      <c r="ZZ7" s="57"/>
      <c r="AAA7" s="57"/>
      <c r="AAB7" s="57"/>
      <c r="AAC7" s="57"/>
      <c r="AAD7" s="57">
        <v>2.35</v>
      </c>
      <c r="AAE7" s="57"/>
      <c r="AAF7" s="57"/>
      <c r="AAG7" s="57"/>
      <c r="AAH7" s="57"/>
      <c r="AAI7" s="57"/>
      <c r="AAJ7" s="57">
        <v>2.7</v>
      </c>
      <c r="AAK7" s="57"/>
      <c r="AAL7" s="57"/>
      <c r="AAM7" s="57"/>
      <c r="AAN7" s="57"/>
      <c r="AAO7" s="57"/>
      <c r="AAP7" s="57"/>
      <c r="AAQ7" s="57"/>
      <c r="AAR7" s="57"/>
      <c r="AAS7" s="57"/>
      <c r="AAT7" s="57"/>
      <c r="AAU7" s="57"/>
      <c r="AAV7" s="57">
        <v>5.25</v>
      </c>
      <c r="AAW7" s="57"/>
      <c r="AAX7" s="57"/>
      <c r="AAY7" s="57"/>
      <c r="AAZ7" s="57"/>
      <c r="ABA7" s="57"/>
      <c r="ABB7" s="57"/>
      <c r="ABC7" s="57">
        <v>2.52</v>
      </c>
      <c r="ABD7" s="57"/>
      <c r="ABE7" s="57"/>
      <c r="ABF7" s="57"/>
      <c r="ABG7" s="57"/>
      <c r="ABH7" s="57">
        <v>3.42</v>
      </c>
      <c r="ABI7" s="57"/>
      <c r="ABJ7" s="57"/>
      <c r="ABK7" s="57"/>
      <c r="ABL7" s="57"/>
      <c r="ABM7" s="57"/>
      <c r="ABN7" s="57"/>
      <c r="ABO7" s="57"/>
      <c r="ABP7" s="57"/>
      <c r="ABQ7" s="57"/>
      <c r="ABR7" s="57"/>
      <c r="ABS7" s="57"/>
      <c r="ABT7" s="57"/>
      <c r="ABU7" s="57">
        <v>5.28</v>
      </c>
      <c r="ABV7" s="57"/>
      <c r="ABW7" s="57"/>
      <c r="ABX7" s="57"/>
      <c r="ABY7" s="57">
        <v>5.33</v>
      </c>
      <c r="ABZ7" s="57"/>
      <c r="ACA7" s="57"/>
      <c r="ACB7" s="57"/>
      <c r="ACC7" s="57"/>
      <c r="ACD7" s="57"/>
      <c r="ACE7" s="57">
        <v>4.08</v>
      </c>
      <c r="ACF7" s="57"/>
      <c r="ACG7" s="57"/>
      <c r="ACH7" s="57"/>
      <c r="ACI7" s="57"/>
      <c r="ACJ7" s="57"/>
      <c r="ACK7" s="57">
        <v>5.55</v>
      </c>
      <c r="ACL7" s="57"/>
      <c r="ACM7" s="57"/>
      <c r="ACN7" s="57"/>
      <c r="ACO7" s="57"/>
      <c r="ACP7" s="57"/>
      <c r="ACQ7" s="57">
        <v>4.78</v>
      </c>
      <c r="ACR7" s="57"/>
      <c r="ACS7" s="57"/>
      <c r="ACT7" s="57"/>
      <c r="ACU7" s="57">
        <v>5.0199999999999996</v>
      </c>
      <c r="ACV7" s="57"/>
      <c r="ACW7" s="57"/>
      <c r="ACX7" s="57"/>
      <c r="ACY7" s="57">
        <v>5.77</v>
      </c>
      <c r="ACZ7" s="57"/>
      <c r="ADA7" s="57"/>
      <c r="ADB7" s="57"/>
      <c r="ADC7" s="57"/>
      <c r="ADD7" s="57"/>
      <c r="ADE7" s="57">
        <v>4.83</v>
      </c>
      <c r="ADF7" s="57"/>
      <c r="ADG7" s="57"/>
      <c r="ADH7" s="57"/>
      <c r="ADI7" s="57"/>
      <c r="ADJ7" s="57"/>
      <c r="ADK7" s="57"/>
      <c r="ADL7" s="57"/>
      <c r="ADM7" s="57"/>
      <c r="ADN7" s="57"/>
      <c r="ADO7" s="57"/>
      <c r="ADP7" s="57"/>
      <c r="ADQ7" s="57"/>
      <c r="ADR7" s="57">
        <v>3.52</v>
      </c>
      <c r="ADS7" s="57"/>
      <c r="ADT7" s="57"/>
      <c r="ADU7" s="57"/>
      <c r="ADV7" s="57"/>
      <c r="ADW7" s="57"/>
      <c r="ADX7" s="57">
        <v>2.98</v>
      </c>
      <c r="ADY7" s="57"/>
      <c r="ADZ7" s="57"/>
      <c r="AEA7" s="57"/>
      <c r="AEB7" s="57"/>
      <c r="AEC7" s="57"/>
      <c r="AED7" s="57"/>
      <c r="AEE7" s="57"/>
      <c r="AEF7" s="57">
        <v>5.42</v>
      </c>
      <c r="AEG7" s="57"/>
      <c r="AEH7" s="57"/>
      <c r="AEI7" s="57"/>
      <c r="AEJ7" s="57">
        <v>4.3</v>
      </c>
      <c r="AEK7" s="57"/>
      <c r="AEL7" s="57"/>
      <c r="AEM7" s="57"/>
      <c r="AEN7" s="57"/>
      <c r="AEO7" s="57"/>
      <c r="AEP7" s="57">
        <v>3.13</v>
      </c>
      <c r="AEQ7" s="57"/>
      <c r="AER7" s="57"/>
      <c r="AES7" s="57"/>
      <c r="AET7" s="57"/>
      <c r="AEU7" s="57"/>
      <c r="AEV7" s="57">
        <v>7.05</v>
      </c>
      <c r="AEW7" s="57"/>
      <c r="AEX7" s="57"/>
      <c r="AEY7" s="57"/>
      <c r="AEZ7" s="57">
        <v>6.45</v>
      </c>
      <c r="AFA7" s="57"/>
      <c r="AFB7" s="57"/>
      <c r="AFC7" s="57"/>
      <c r="AFD7" s="57"/>
      <c r="AFE7" s="57"/>
      <c r="AFF7" s="57"/>
      <c r="AFG7" s="57"/>
      <c r="AFH7" s="57"/>
      <c r="AFI7" s="57"/>
      <c r="AFJ7" s="57"/>
      <c r="AFK7" s="57"/>
      <c r="AFL7" s="57"/>
      <c r="AFM7" s="57"/>
      <c r="AFN7" s="57"/>
      <c r="AFO7" s="57">
        <v>6.98</v>
      </c>
      <c r="AFP7" s="57"/>
      <c r="AFQ7" s="57"/>
      <c r="AFR7" s="57"/>
      <c r="AFS7" s="57"/>
      <c r="AFT7" s="57"/>
      <c r="AFU7" s="57">
        <v>7.15</v>
      </c>
      <c r="AFV7" s="57"/>
      <c r="AFW7" s="57"/>
      <c r="AFX7" s="57"/>
      <c r="AFY7" s="57"/>
      <c r="AFZ7" s="57">
        <v>6.48</v>
      </c>
      <c r="AGA7" s="57"/>
      <c r="AGB7" s="57"/>
      <c r="AGC7" s="57"/>
      <c r="AGD7" s="57"/>
      <c r="AGE7" s="57"/>
      <c r="AGF7" s="57"/>
      <c r="AGG7" s="57"/>
      <c r="AGH7" s="57"/>
      <c r="AGI7" s="57"/>
      <c r="AGJ7" s="57"/>
      <c r="AGK7" s="57"/>
      <c r="AGL7" s="57"/>
      <c r="AGM7" s="57"/>
      <c r="AGN7" s="57">
        <v>5.92</v>
      </c>
      <c r="AGO7" s="57"/>
      <c r="AGP7" s="57"/>
      <c r="AGQ7" s="57"/>
      <c r="AGR7" s="57"/>
      <c r="AGS7" s="57"/>
      <c r="AGT7" s="57"/>
      <c r="AGU7" s="57"/>
      <c r="AGV7" s="57"/>
      <c r="AGW7" s="57"/>
      <c r="AGX7" s="57"/>
      <c r="AGY7" s="57"/>
      <c r="AGZ7" s="57"/>
      <c r="AHA7" s="57"/>
      <c r="AHB7" s="57"/>
      <c r="AHC7" s="57"/>
      <c r="AHD7" s="57"/>
      <c r="AHE7" s="57"/>
      <c r="AHF7" s="57"/>
      <c r="AHG7" s="57"/>
      <c r="AHH7" s="57">
        <v>3.65</v>
      </c>
      <c r="AHI7" s="57"/>
      <c r="AHJ7" s="57"/>
      <c r="AHK7" s="57"/>
      <c r="AHL7" s="57"/>
      <c r="AHM7" s="57"/>
      <c r="AHN7" s="57"/>
      <c r="AHO7" s="57"/>
      <c r="AHP7" s="57"/>
      <c r="AHQ7" s="57"/>
      <c r="AHR7" s="57"/>
      <c r="AHS7" s="57"/>
      <c r="AHT7" s="57"/>
      <c r="AHU7" s="57"/>
      <c r="AHV7" s="57"/>
      <c r="AHW7" s="57"/>
      <c r="AHX7" s="57"/>
      <c r="AHY7" s="57"/>
      <c r="AHZ7" s="57">
        <v>2.23</v>
      </c>
      <c r="AIA7" s="57"/>
      <c r="AIB7" s="57"/>
      <c r="AIC7" s="57"/>
      <c r="AID7" s="57"/>
      <c r="AIE7" s="57"/>
      <c r="AIF7" s="57"/>
      <c r="AIG7" s="57"/>
      <c r="AIH7" s="57"/>
      <c r="AII7" s="57"/>
      <c r="AIJ7" s="57"/>
      <c r="AIK7" s="57"/>
      <c r="AIL7" s="57"/>
      <c r="AIM7" s="57"/>
      <c r="AIN7" s="57"/>
      <c r="AIO7" s="57"/>
      <c r="AIP7" s="57"/>
      <c r="AIQ7" s="57">
        <v>4.75</v>
      </c>
      <c r="AIR7" s="57"/>
      <c r="AIS7" s="57"/>
      <c r="AIT7" s="57">
        <v>4.7300000000000004</v>
      </c>
      <c r="AIU7" s="57"/>
      <c r="AIV7" s="57"/>
      <c r="AIW7" s="57">
        <v>5.47</v>
      </c>
      <c r="AIX7" s="57"/>
      <c r="AIY7" s="57"/>
      <c r="AIZ7" s="57"/>
      <c r="AJA7" s="57"/>
      <c r="AJB7" s="57"/>
      <c r="AJC7" s="57">
        <v>5.0199999999999996</v>
      </c>
      <c r="AJD7" s="57"/>
      <c r="AJE7" s="57">
        <v>4.3627170868347358</v>
      </c>
    </row>
    <row r="8" spans="1:941" x14ac:dyDescent="0.35">
      <c r="A8" s="55"/>
      <c r="B8" s="40">
        <v>44226</v>
      </c>
      <c r="C8" s="40">
        <f t="shared" si="3"/>
        <v>44226</v>
      </c>
      <c r="D8" s="4">
        <f>IF(EarningsPerDay[[#This Row],[Week '#]]&gt;=52,YEAR(EarningsPerDay[[#This Row],[Date]])-1,YEAR(EarningsPerDay[[#This Row],[Date]]))</f>
        <v>2021</v>
      </c>
      <c r="E8" s="4" t="str">
        <f>"QTR"&amp;IF(EarningsPerDay[[#This Row],[Week '#]] &lt;= 13, 1, IF(EarningsPerDay[[#This Row],[Week '#]] &lt;= 26, 2, IF(EarningsPerDay[[#This Row],[Week '#]] &lt;= 39, 3, 4)))</f>
        <v>QTR1</v>
      </c>
      <c r="F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" s="4">
        <f>IF(WEEKNUM(EarningsPerDay[[#This Row],[Date]], 2) = 53, 1, WEEKNUM(EarningsPerDay[[#This Row],[Date]],2))</f>
        <v>5</v>
      </c>
      <c r="H8" s="40" t="str">
        <f t="shared" si="0"/>
        <v>Saturday</v>
      </c>
      <c r="I8" s="106" t="str">
        <f>IF(_xlfn.XLOOKUP(EarningsPerDay[[#This Row],[Date]],Mileage[Date],Mileage[Start Time])="","",MROUND(_xlfn.XLOOKUP(EarningsPerDay[[#This Row],[Date]],Mileage[Date],Mileage[Start Time]),0.0208333333333333))</f>
        <v/>
      </c>
      <c r="J8" s="40" t="str" cm="1">
        <f t="array" ref="J8">IFERROR(VLOOKUP(MODE(IF(Combined[Date]=EarningsPerDay[[#This Row],[Date]],Combined[Area '#])),KPIs!$B$4:$C$7,2,FALSE),VLOOKUP(EarningsPerDay[[#This Row],[Date]],Combined[[Date]:[Primary Area]],8,FALSE))</f>
        <v>Portland</v>
      </c>
      <c r="K8" s="40" t="str">
        <f>_xlfn.XLOOKUP(EarningsPerDay[[#This Row],[Date]],Mileage[Date],Mileage[Weather])</f>
        <v>Clear</v>
      </c>
      <c r="L8" s="4">
        <f>_xlfn.XLOOKUP(EarningsPerDay[[#This Row],[Date]],Mileage[Date],Mileage[Hi Temp])</f>
        <v>29.1</v>
      </c>
      <c r="M8" s="12">
        <f>_xlfn.XLOOKUP(EarningsPerDay[[#This Row],[Date]],Mileage[Date],Mileage[Total Time])</f>
        <v>7.1666666666666661</v>
      </c>
      <c r="N8" s="4">
        <f>_xlfn.XLOOKUP(EarningsPerDay[[#This Row],[Date]],Mileage[Date],Mileage[Mileage])</f>
        <v>100.08170516352334</v>
      </c>
      <c r="O8" s="4">
        <f>SUMIF(Combined[Date],EarningsPerDay[[#This Row],[Date]],Combined[Trips])</f>
        <v>7</v>
      </c>
      <c r="P8">
        <f>COUNTIF(Combined[Date],EarningsPerDay[[#This Row],[Date]])</f>
        <v>1</v>
      </c>
      <c r="Q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" s="11">
        <f>SUMIF(Combined[Date],EarningsPerDay[[#This Row],[Date]],Combined[Earnings])</f>
        <v>100.51</v>
      </c>
      <c r="S8" s="11">
        <f ca="1">EarningsPerDay[[#This Row],[Gross Earnings]]-(EarningsPerDay[[#This Row],[Miles]]*CpM!$D$11)</f>
        <v>78.194472684177128</v>
      </c>
      <c r="T8" s="11">
        <f t="shared" si="1"/>
        <v>14.024651162790699</v>
      </c>
      <c r="U8" s="11">
        <f t="shared" ca="1" si="2"/>
        <v>10.910856653606112</v>
      </c>
      <c r="V8" s="11">
        <f>EarningsPerDay[[#This Row],[Gross Earnings]]/EarningsPerDay[[#This Row],[Deliveries]]</f>
        <v>14.358571428571429</v>
      </c>
      <c r="W8" s="11">
        <f>EarningsPerDay[[#This Row],[Gross Earnings]]/EarningsPerDay[[#This Row],[Miles]]</f>
        <v>1.0042794518316498</v>
      </c>
      <c r="X8" s="71">
        <f>EarningsPerDay[[#This Row],[Deliveries]]/EarningsPerDay[[#This Row],[Hours]]</f>
        <v>0.9767441860465117</v>
      </c>
      <c r="Y8" s="71">
        <f>EarningsPerDay[[#This Row],[Miles]]/EarningsPerDay[[#This Row],[Deliveries]]</f>
        <v>14.297386451931905</v>
      </c>
      <c r="Z8" s="81">
        <f>(EarningsPerDay[[#This Row],[Hours]]/EarningsPerDay[[#This Row],[Deliveries]])/24</f>
        <v>4.2658730158730153E-2</v>
      </c>
      <c r="AA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-3.1172843210802679</v>
      </c>
      <c r="AB8" s="11">
        <f>AVERAGEIFS(EarningsPerDay[Gross $/Hour],EarningsPerDay[Week '#], EarningsPerDay[[#This Row],[Week '#]], EarningsPerDay[DOW], EarningsPerDay[[#This Row],[DOW]])</f>
        <v>19.039721119304218</v>
      </c>
      <c r="AC8" s="11">
        <f>EarningsPerDay[[#This Row],[Gross $/Hour]] - EarningsPerDay[[#This Row],[Weekly Average Earnings]]</f>
        <v>-5.0150699565135195</v>
      </c>
      <c r="AD8" s="11">
        <f>(SUMIFS(EarningsPerDay[Gross Earnings], EarningsPerDay[Date],"&gt;="&amp;EarningsPerDay[[#This Row],[Date]]-89, EarningsPerDay[Date], "&lt;="&amp;EarningsPerDay[[#This Row],[Date]]))/90</f>
        <v>3.2642222222222221</v>
      </c>
      <c r="AE8" s="11"/>
      <c r="AI8" s="11"/>
      <c r="AJ8" s="195">
        <v>2026</v>
      </c>
      <c r="AK8" s="4">
        <v>133.47999999999999</v>
      </c>
      <c r="AL8" s="4">
        <v>2</v>
      </c>
      <c r="AT8" t="s">
        <v>48</v>
      </c>
      <c r="AZ8" s="8"/>
      <c r="BF8" s="7" t="s">
        <v>49</v>
      </c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>
        <v>3.9000000000000004</v>
      </c>
      <c r="CR8" s="57"/>
      <c r="CS8" s="57"/>
      <c r="CT8" s="57"/>
      <c r="CU8" s="57"/>
      <c r="CV8" s="57">
        <v>0.89999999999999991</v>
      </c>
      <c r="CW8" s="57"/>
      <c r="CX8" s="57"/>
      <c r="CY8" s="57"/>
      <c r="CZ8" s="57"/>
      <c r="DA8" s="57"/>
      <c r="DB8" s="57">
        <v>2.8</v>
      </c>
      <c r="DC8" s="57"/>
      <c r="DD8" s="57"/>
      <c r="DE8" s="57"/>
      <c r="DF8" s="57"/>
      <c r="DG8" s="57"/>
      <c r="DH8" s="57"/>
      <c r="DI8" s="57"/>
      <c r="DJ8" s="57">
        <v>2.8</v>
      </c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>
        <v>3.1</v>
      </c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>
        <v>3.1</v>
      </c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>
        <v>2.5</v>
      </c>
      <c r="FB8" s="57"/>
      <c r="FC8" s="57"/>
      <c r="FD8" s="57"/>
      <c r="FE8" s="57">
        <v>4</v>
      </c>
      <c r="FF8" s="57"/>
      <c r="FG8" s="57"/>
      <c r="FH8" s="57"/>
      <c r="FI8" s="57"/>
      <c r="FJ8" s="57"/>
      <c r="FK8" s="57"/>
      <c r="FL8" s="57"/>
      <c r="FM8" s="57">
        <v>1.1000000000000001</v>
      </c>
      <c r="FN8" s="57"/>
      <c r="FO8" s="57"/>
      <c r="FP8" s="57"/>
      <c r="FQ8" s="57">
        <v>3.5</v>
      </c>
      <c r="FR8" s="57"/>
      <c r="FS8" s="57"/>
      <c r="FT8" s="57"/>
      <c r="FU8" s="57"/>
      <c r="FV8" s="57"/>
      <c r="FW8" s="57"/>
      <c r="FX8" s="57"/>
      <c r="FY8" s="57">
        <v>2.6</v>
      </c>
      <c r="FZ8" s="57"/>
      <c r="GA8" s="57">
        <v>3.1</v>
      </c>
      <c r="GB8" s="57"/>
      <c r="GC8" s="57"/>
      <c r="GD8" s="57">
        <v>2.1</v>
      </c>
      <c r="GE8" s="57"/>
      <c r="GF8" s="57">
        <v>5.9</v>
      </c>
      <c r="GG8" s="57"/>
      <c r="GH8" s="57"/>
      <c r="GI8" s="57">
        <v>6.8</v>
      </c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>
        <v>3.3</v>
      </c>
      <c r="GU8" s="57"/>
      <c r="GV8" s="57"/>
      <c r="GW8" s="57"/>
      <c r="GX8" s="57"/>
      <c r="GY8" s="57"/>
      <c r="GZ8" s="57"/>
      <c r="HA8" s="57">
        <v>5.67</v>
      </c>
      <c r="HB8" s="57"/>
      <c r="HC8" s="57"/>
      <c r="HD8" s="57"/>
      <c r="HE8" s="57"/>
      <c r="HF8" s="57"/>
      <c r="HG8" s="57">
        <v>4.8</v>
      </c>
      <c r="HH8" s="57"/>
      <c r="HI8" s="57"/>
      <c r="HJ8" s="57"/>
      <c r="HK8" s="57"/>
      <c r="HL8" s="57"/>
      <c r="HM8" s="57"/>
      <c r="HN8" s="57">
        <v>5</v>
      </c>
      <c r="HO8" s="57"/>
      <c r="HP8" s="57"/>
      <c r="HQ8" s="57"/>
      <c r="HR8" s="57"/>
      <c r="HS8" s="57"/>
      <c r="HT8" s="57">
        <v>5.5</v>
      </c>
      <c r="HU8" s="57"/>
      <c r="HV8" s="57"/>
      <c r="HW8" s="57"/>
      <c r="HX8" s="57"/>
      <c r="HY8" s="57">
        <v>9.4</v>
      </c>
      <c r="HZ8" s="57"/>
      <c r="IA8" s="57"/>
      <c r="IB8" s="57"/>
      <c r="IC8" s="57"/>
      <c r="ID8" s="57"/>
      <c r="IE8" s="57"/>
      <c r="IF8" s="57"/>
      <c r="IG8" s="57"/>
      <c r="IH8" s="57"/>
      <c r="II8" s="57">
        <v>6.7</v>
      </c>
      <c r="IJ8" s="57"/>
      <c r="IK8" s="57"/>
      <c r="IL8" s="57"/>
      <c r="IM8" s="57"/>
      <c r="IN8" s="57">
        <v>6.2</v>
      </c>
      <c r="IO8" s="57"/>
      <c r="IP8" s="57"/>
      <c r="IQ8" s="57"/>
      <c r="IR8" s="57"/>
      <c r="IS8" s="57"/>
      <c r="IT8" s="57"/>
      <c r="IU8" s="57"/>
      <c r="IV8" s="57"/>
      <c r="IW8" s="57">
        <v>5.5</v>
      </c>
      <c r="IX8" s="57"/>
      <c r="IY8" s="57">
        <v>5.2</v>
      </c>
      <c r="IZ8" s="57"/>
      <c r="JA8" s="57"/>
      <c r="JB8" s="57"/>
      <c r="JC8" s="57"/>
      <c r="JD8" s="57"/>
      <c r="JE8" s="57"/>
      <c r="JF8" s="57"/>
      <c r="JG8" s="57">
        <v>5.3000000000000007</v>
      </c>
      <c r="JH8" s="57"/>
      <c r="JI8" s="57"/>
      <c r="JJ8" s="57"/>
      <c r="JK8" s="57">
        <v>7.2</v>
      </c>
      <c r="JL8" s="57"/>
      <c r="JM8" s="57"/>
      <c r="JN8" s="57"/>
      <c r="JO8" s="57"/>
      <c r="JP8" s="57"/>
      <c r="JQ8" s="57">
        <v>8.85</v>
      </c>
      <c r="JR8" s="57"/>
      <c r="JS8" s="57"/>
      <c r="JT8" s="57"/>
      <c r="JU8" s="57"/>
      <c r="JV8" s="57"/>
      <c r="JW8" s="57"/>
      <c r="JX8" s="57">
        <v>7.1</v>
      </c>
      <c r="JY8" s="57"/>
      <c r="JZ8" s="57"/>
      <c r="KA8" s="57"/>
      <c r="KB8" s="57"/>
      <c r="KC8" s="57">
        <v>4.9800000000000004</v>
      </c>
      <c r="KD8" s="57"/>
      <c r="KE8" s="57"/>
      <c r="KF8" s="57"/>
      <c r="KG8" s="57"/>
      <c r="KH8" s="57">
        <v>6.23</v>
      </c>
      <c r="KI8" s="57"/>
      <c r="KJ8" s="57"/>
      <c r="KK8" s="57">
        <v>6.52</v>
      </c>
      <c r="KL8" s="57"/>
      <c r="KM8" s="57"/>
      <c r="KN8" s="57">
        <v>6.28</v>
      </c>
      <c r="KO8" s="57"/>
      <c r="KP8" s="57"/>
      <c r="KQ8" s="57"/>
      <c r="KR8" s="57"/>
      <c r="KS8" s="57"/>
      <c r="KT8" s="57"/>
      <c r="KU8" s="57">
        <v>3.22</v>
      </c>
      <c r="KV8" s="57"/>
      <c r="KW8" s="57"/>
      <c r="KX8" s="57"/>
      <c r="KY8" s="57"/>
      <c r="KZ8" s="57"/>
      <c r="LA8" s="57">
        <v>5.12</v>
      </c>
      <c r="LB8" s="57"/>
      <c r="LC8" s="57">
        <v>4.17</v>
      </c>
      <c r="LD8" s="57"/>
      <c r="LE8" s="57"/>
      <c r="LF8" s="57"/>
      <c r="LG8" s="57"/>
      <c r="LH8" s="57"/>
      <c r="LI8" s="57"/>
      <c r="LJ8" s="57"/>
      <c r="LK8" s="57">
        <v>2.4300000000000002</v>
      </c>
      <c r="LL8" s="57"/>
      <c r="LM8" s="57"/>
      <c r="LN8" s="57"/>
      <c r="LO8" s="57"/>
      <c r="LP8" s="57">
        <v>5.12</v>
      </c>
      <c r="LQ8" s="57"/>
      <c r="LR8" s="57"/>
      <c r="LS8" s="57">
        <v>4.97</v>
      </c>
      <c r="LT8" s="57"/>
      <c r="LU8" s="57"/>
      <c r="LV8" s="57"/>
      <c r="LW8" s="57"/>
      <c r="LX8" s="57">
        <v>4.92</v>
      </c>
      <c r="LY8" s="57"/>
      <c r="LZ8" s="57"/>
      <c r="MA8" s="57"/>
      <c r="MB8" s="57">
        <v>4.3</v>
      </c>
      <c r="MC8" s="57"/>
      <c r="MD8" s="57"/>
      <c r="ME8" s="57">
        <v>5.6</v>
      </c>
      <c r="MF8" s="57"/>
      <c r="MG8" s="57"/>
      <c r="MH8" s="57"/>
      <c r="MI8" s="57"/>
      <c r="MJ8" s="57">
        <v>3.12</v>
      </c>
      <c r="MK8" s="57"/>
      <c r="ML8" s="57"/>
      <c r="MM8" s="57"/>
      <c r="MN8" s="57"/>
      <c r="MO8" s="57"/>
      <c r="MP8" s="57">
        <v>3.32</v>
      </c>
      <c r="MQ8" s="57"/>
      <c r="MR8" s="57"/>
      <c r="MS8" s="57"/>
      <c r="MT8" s="57"/>
      <c r="MU8" s="57">
        <v>3.7</v>
      </c>
      <c r="MV8" s="57"/>
      <c r="MW8" s="57"/>
      <c r="MX8" s="57"/>
      <c r="MY8" s="57"/>
      <c r="MZ8" s="57"/>
      <c r="NA8" s="57">
        <v>4.87</v>
      </c>
      <c r="NB8" s="57"/>
      <c r="NC8" s="57"/>
      <c r="ND8" s="57"/>
      <c r="NE8" s="57"/>
      <c r="NF8" s="57"/>
      <c r="NG8" s="57"/>
      <c r="NH8" s="57"/>
      <c r="NI8" s="57"/>
      <c r="NJ8" s="57"/>
      <c r="NK8" s="57"/>
      <c r="NL8" s="57"/>
      <c r="NM8" s="57"/>
      <c r="NN8" s="57">
        <v>5.05</v>
      </c>
      <c r="NO8" s="57"/>
      <c r="NP8" s="57"/>
      <c r="NQ8" s="57"/>
      <c r="NR8" s="57"/>
      <c r="NS8" s="57"/>
      <c r="NT8" s="57"/>
      <c r="NU8" s="57"/>
      <c r="NV8" s="57"/>
      <c r="NW8" s="57"/>
      <c r="NX8" s="57"/>
      <c r="NY8" s="57"/>
      <c r="NZ8" s="57"/>
      <c r="OA8" s="57"/>
      <c r="OB8" s="57"/>
      <c r="OC8" s="57"/>
      <c r="OD8" s="57">
        <v>2.92</v>
      </c>
      <c r="OE8" s="57"/>
      <c r="OF8" s="57"/>
      <c r="OG8" s="57">
        <v>4.0199999999999996</v>
      </c>
      <c r="OH8" s="57"/>
      <c r="OI8" s="57"/>
      <c r="OJ8" s="57"/>
      <c r="OK8" s="57"/>
      <c r="OL8" s="57">
        <v>3.25</v>
      </c>
      <c r="OM8" s="57"/>
      <c r="ON8" s="57"/>
      <c r="OO8" s="57"/>
      <c r="OP8" s="57"/>
      <c r="OQ8" s="57">
        <v>7.45</v>
      </c>
      <c r="OR8" s="57"/>
      <c r="OS8" s="57"/>
      <c r="OT8" s="57"/>
      <c r="OU8" s="57">
        <v>5.38</v>
      </c>
      <c r="OV8" s="57"/>
      <c r="OW8" s="57"/>
      <c r="OX8" s="57"/>
      <c r="OY8" s="57"/>
      <c r="OZ8" s="57">
        <v>0.9</v>
      </c>
      <c r="PA8" s="57"/>
      <c r="PB8" s="57"/>
      <c r="PC8" s="57">
        <v>2.5499999999999998</v>
      </c>
      <c r="PD8" s="57"/>
      <c r="PE8" s="57"/>
      <c r="PF8" s="57"/>
      <c r="PG8" s="57"/>
      <c r="PH8" s="57"/>
      <c r="PI8" s="57">
        <v>1.25</v>
      </c>
      <c r="PJ8" s="57"/>
      <c r="PK8" s="57"/>
      <c r="PL8" s="57">
        <v>4.08</v>
      </c>
      <c r="PM8" s="57"/>
      <c r="PN8" s="57"/>
      <c r="PO8" s="57"/>
      <c r="PP8" s="57"/>
      <c r="PQ8" s="57"/>
      <c r="PR8" s="57"/>
      <c r="PS8" s="57"/>
      <c r="PT8" s="57"/>
      <c r="PU8" s="57"/>
      <c r="PV8" s="57"/>
      <c r="PW8" s="57"/>
      <c r="PX8" s="57"/>
      <c r="PY8" s="57"/>
      <c r="PZ8" s="57"/>
      <c r="QA8" s="57"/>
      <c r="QB8" s="57"/>
      <c r="QC8" s="57"/>
      <c r="QD8" s="57"/>
      <c r="QE8" s="57"/>
      <c r="QF8" s="57"/>
      <c r="QG8" s="57"/>
      <c r="QH8" s="57"/>
      <c r="QI8" s="57"/>
      <c r="QJ8" s="57">
        <v>2.15</v>
      </c>
      <c r="QK8" s="57"/>
      <c r="QL8" s="57"/>
      <c r="QM8" s="57"/>
      <c r="QN8" s="57"/>
      <c r="QO8" s="57"/>
      <c r="QP8" s="57"/>
      <c r="QQ8" s="57"/>
      <c r="QR8" s="57">
        <v>4.0199999999999996</v>
      </c>
      <c r="QS8" s="57"/>
      <c r="QT8" s="57">
        <v>4.25</v>
      </c>
      <c r="QU8" s="57"/>
      <c r="QV8" s="57"/>
      <c r="QW8" s="57">
        <v>6.25</v>
      </c>
      <c r="QX8" s="57"/>
      <c r="QY8" s="57"/>
      <c r="QZ8" s="57"/>
      <c r="RA8" s="57"/>
      <c r="RB8" s="57"/>
      <c r="RC8" s="57"/>
      <c r="RD8" s="57"/>
      <c r="RE8" s="57"/>
      <c r="RF8" s="57"/>
      <c r="RG8" s="57"/>
      <c r="RH8" s="57"/>
      <c r="RI8" s="57"/>
      <c r="RJ8" s="57"/>
      <c r="RK8" s="57"/>
      <c r="RL8" s="57"/>
      <c r="RM8" s="57"/>
      <c r="RN8" s="57">
        <v>3.27</v>
      </c>
      <c r="RO8" s="57"/>
      <c r="RP8" s="57"/>
      <c r="RQ8" s="57"/>
      <c r="RR8" s="57"/>
      <c r="RS8" s="57"/>
      <c r="RT8" s="57"/>
      <c r="RU8" s="57"/>
      <c r="RV8" s="57">
        <v>3.87</v>
      </c>
      <c r="RW8" s="57"/>
      <c r="RX8" s="57"/>
      <c r="RY8" s="57"/>
      <c r="RZ8" s="57"/>
      <c r="SA8" s="57">
        <v>3.23</v>
      </c>
      <c r="SB8" s="57"/>
      <c r="SC8" s="57"/>
      <c r="SD8" s="57"/>
      <c r="SE8" s="57">
        <v>5.45</v>
      </c>
      <c r="SF8" s="57"/>
      <c r="SG8" s="57"/>
      <c r="SH8" s="57"/>
      <c r="SI8" s="57"/>
      <c r="SJ8" s="57"/>
      <c r="SK8" s="57"/>
      <c r="SL8" s="57"/>
      <c r="SM8" s="57"/>
      <c r="SN8" s="57"/>
      <c r="SO8" s="57"/>
      <c r="SP8" s="57">
        <v>4.58</v>
      </c>
      <c r="SQ8" s="57"/>
      <c r="SR8" s="57"/>
      <c r="SS8" s="57"/>
      <c r="ST8" s="57"/>
      <c r="SU8" s="57"/>
      <c r="SV8" s="57"/>
      <c r="SW8" s="57"/>
      <c r="SX8" s="57"/>
      <c r="SY8" s="57"/>
      <c r="SZ8" s="57"/>
      <c r="TA8" s="57">
        <v>4.1500000000000004</v>
      </c>
      <c r="TB8" s="57"/>
      <c r="TC8" s="57"/>
      <c r="TD8" s="57"/>
      <c r="TE8" s="57"/>
      <c r="TF8" s="57"/>
      <c r="TG8" s="57"/>
      <c r="TH8" s="57"/>
      <c r="TI8" s="57"/>
      <c r="TJ8" s="57"/>
      <c r="TK8" s="57"/>
      <c r="TL8" s="57"/>
      <c r="TM8" s="57"/>
      <c r="TN8" s="57"/>
      <c r="TO8" s="57"/>
      <c r="TP8" s="57"/>
      <c r="TQ8" s="57"/>
      <c r="TR8" s="57"/>
      <c r="TS8" s="57"/>
      <c r="TT8" s="57"/>
      <c r="TU8" s="57"/>
      <c r="TV8" s="57"/>
      <c r="TW8" s="57"/>
      <c r="TX8" s="57"/>
      <c r="TY8" s="57">
        <v>3.83</v>
      </c>
      <c r="TZ8" s="57"/>
      <c r="UA8" s="57"/>
      <c r="UB8" s="57"/>
      <c r="UC8" s="57"/>
      <c r="UD8" s="57"/>
      <c r="UE8" s="57">
        <v>5</v>
      </c>
      <c r="UF8" s="57"/>
      <c r="UG8" s="57"/>
      <c r="UH8" s="57"/>
      <c r="UI8" s="57"/>
      <c r="UJ8" s="57"/>
      <c r="UK8" s="57">
        <v>4.2</v>
      </c>
      <c r="UL8" s="57"/>
      <c r="UM8" s="57"/>
      <c r="UN8" s="57"/>
      <c r="UO8" s="57">
        <v>5.62</v>
      </c>
      <c r="UP8" s="57"/>
      <c r="UQ8" s="57"/>
      <c r="UR8" s="57"/>
      <c r="US8" s="57">
        <v>3.67</v>
      </c>
      <c r="UT8" s="57"/>
      <c r="UU8" s="57"/>
      <c r="UV8" s="57"/>
      <c r="UW8" s="57"/>
      <c r="UX8" s="57">
        <v>5.53</v>
      </c>
      <c r="UY8" s="57"/>
      <c r="UZ8" s="57"/>
      <c r="VA8" s="57"/>
      <c r="VB8" s="57"/>
      <c r="VC8" s="57"/>
      <c r="VD8" s="57"/>
      <c r="VE8" s="57">
        <v>6.13</v>
      </c>
      <c r="VF8" s="57"/>
      <c r="VG8" s="57"/>
      <c r="VH8" s="57"/>
      <c r="VI8" s="57"/>
      <c r="VJ8" s="57"/>
      <c r="VK8" s="57"/>
      <c r="VL8" s="57">
        <v>5.8</v>
      </c>
      <c r="VM8" s="57"/>
      <c r="VN8" s="57"/>
      <c r="VO8" s="57"/>
      <c r="VP8" s="57"/>
      <c r="VQ8" s="57"/>
      <c r="VR8" s="57">
        <v>5.55</v>
      </c>
      <c r="VS8" s="57"/>
      <c r="VT8" s="57"/>
      <c r="VU8" s="57"/>
      <c r="VV8" s="57"/>
      <c r="VW8" s="57"/>
      <c r="VX8" s="57">
        <v>5.98</v>
      </c>
      <c r="VY8" s="57"/>
      <c r="VZ8" s="57">
        <v>0.6</v>
      </c>
      <c r="WA8" s="57"/>
      <c r="WB8" s="57"/>
      <c r="WC8" s="57"/>
      <c r="WD8" s="57"/>
      <c r="WE8" s="57">
        <v>6.3</v>
      </c>
      <c r="WF8" s="57"/>
      <c r="WG8" s="57"/>
      <c r="WH8" s="57"/>
      <c r="WI8" s="57"/>
      <c r="WJ8" s="57"/>
      <c r="WK8" s="57"/>
      <c r="WL8" s="57"/>
      <c r="WM8" s="57"/>
      <c r="WN8" s="57"/>
      <c r="WO8" s="57"/>
      <c r="WP8" s="57">
        <v>4.7699999999999996</v>
      </c>
      <c r="WQ8" s="57"/>
      <c r="WR8" s="57"/>
      <c r="WS8" s="57"/>
      <c r="WT8" s="57"/>
      <c r="WU8" s="57"/>
      <c r="WV8" s="57"/>
      <c r="WW8" s="57"/>
      <c r="WX8" s="57"/>
      <c r="WY8" s="57"/>
      <c r="WZ8" s="57">
        <v>6.3</v>
      </c>
      <c r="XA8" s="57"/>
      <c r="XB8" s="57"/>
      <c r="XC8" s="57"/>
      <c r="XD8" s="57"/>
      <c r="XE8" s="57">
        <v>6.22</v>
      </c>
      <c r="XF8" s="57"/>
      <c r="XG8" s="57"/>
      <c r="XH8" s="57"/>
      <c r="XI8" s="57"/>
      <c r="XJ8" s="57"/>
      <c r="XK8" s="57"/>
      <c r="XL8" s="57"/>
      <c r="XM8" s="57">
        <v>3.58</v>
      </c>
      <c r="XN8" s="57"/>
      <c r="XO8" s="57"/>
      <c r="XP8" s="57"/>
      <c r="XQ8" s="57"/>
      <c r="XR8" s="57"/>
      <c r="XS8" s="57">
        <v>6.2</v>
      </c>
      <c r="XT8" s="57"/>
      <c r="XU8" s="57"/>
      <c r="XV8" s="57"/>
      <c r="XW8" s="57"/>
      <c r="XX8" s="57"/>
      <c r="XY8" s="57"/>
      <c r="XZ8" s="57"/>
      <c r="YA8" s="57"/>
      <c r="YB8" s="57"/>
      <c r="YC8" s="57"/>
      <c r="YD8" s="57"/>
      <c r="YE8" s="57"/>
      <c r="YF8" s="57"/>
      <c r="YG8" s="57"/>
      <c r="YH8" s="57"/>
      <c r="YI8" s="57"/>
      <c r="YJ8" s="57"/>
      <c r="YK8" s="57">
        <v>4.18</v>
      </c>
      <c r="YL8" s="57"/>
      <c r="YM8" s="57"/>
      <c r="YN8" s="57"/>
      <c r="YO8" s="57"/>
      <c r="YP8" s="57"/>
      <c r="YQ8" s="57"/>
      <c r="YR8" s="57"/>
      <c r="YS8" s="57"/>
      <c r="YT8" s="57"/>
      <c r="YU8" s="57"/>
      <c r="YV8" s="57"/>
      <c r="YW8" s="57"/>
      <c r="YX8" s="57"/>
      <c r="YY8" s="57"/>
      <c r="YZ8" s="57"/>
      <c r="ZA8" s="57">
        <v>2.58</v>
      </c>
      <c r="ZB8" s="57"/>
      <c r="ZC8" s="57"/>
      <c r="ZD8" s="57"/>
      <c r="ZE8" s="57"/>
      <c r="ZF8" s="57"/>
      <c r="ZG8" s="57">
        <v>0.6</v>
      </c>
      <c r="ZH8" s="57"/>
      <c r="ZI8" s="57"/>
      <c r="ZJ8" s="57"/>
      <c r="ZK8" s="57"/>
      <c r="ZL8" s="57"/>
      <c r="ZM8" s="57"/>
      <c r="ZN8" s="57"/>
      <c r="ZO8" s="57"/>
      <c r="ZP8" s="57"/>
      <c r="ZQ8" s="57">
        <v>2.12</v>
      </c>
      <c r="ZR8" s="57">
        <v>2.75</v>
      </c>
      <c r="ZS8" s="57"/>
      <c r="ZT8" s="57"/>
      <c r="ZU8" s="57"/>
      <c r="ZV8" s="57">
        <v>2.0699999999999998</v>
      </c>
      <c r="ZW8" s="57"/>
      <c r="ZX8" s="57"/>
      <c r="ZY8" s="57">
        <v>4.1500000000000004</v>
      </c>
      <c r="ZZ8" s="57"/>
      <c r="AAA8" s="57"/>
      <c r="AAB8" s="57"/>
      <c r="AAC8" s="57"/>
      <c r="AAD8" s="57"/>
      <c r="AAE8" s="57"/>
      <c r="AAF8" s="57"/>
      <c r="AAG8" s="57"/>
      <c r="AAH8" s="57"/>
      <c r="AAI8" s="57"/>
      <c r="AAJ8" s="57"/>
      <c r="AAK8" s="57">
        <v>1.1499999999999999</v>
      </c>
      <c r="AAL8" s="57"/>
      <c r="AAM8" s="57"/>
      <c r="AAN8" s="57"/>
      <c r="AAO8" s="57">
        <v>4.07</v>
      </c>
      <c r="AAP8" s="57"/>
      <c r="AAQ8" s="57"/>
      <c r="AAR8" s="57">
        <v>4.92</v>
      </c>
      <c r="AAS8" s="57"/>
      <c r="AAT8" s="57"/>
      <c r="AAU8" s="57"/>
      <c r="AAV8" s="57"/>
      <c r="AAW8" s="57"/>
      <c r="AAX8" s="57"/>
      <c r="AAY8" s="57"/>
      <c r="AAZ8" s="57"/>
      <c r="ABA8" s="57"/>
      <c r="ABB8" s="57"/>
      <c r="ABC8" s="57"/>
      <c r="ABD8" s="57">
        <v>5.03</v>
      </c>
      <c r="ABE8" s="57"/>
      <c r="ABF8" s="57"/>
      <c r="ABG8" s="57"/>
      <c r="ABH8" s="57"/>
      <c r="ABI8" s="57"/>
      <c r="ABJ8" s="57"/>
      <c r="ABK8" s="57"/>
      <c r="ABL8" s="57"/>
      <c r="ABM8" s="57"/>
      <c r="ABN8" s="57"/>
      <c r="ABO8" s="57"/>
      <c r="ABP8" s="57"/>
      <c r="ABQ8" s="57"/>
      <c r="ABR8" s="57"/>
      <c r="ABS8" s="57"/>
      <c r="ABT8" s="57"/>
      <c r="ABU8" s="57"/>
      <c r="ABV8" s="57">
        <v>3.93</v>
      </c>
      <c r="ABW8" s="57"/>
      <c r="ABX8" s="57"/>
      <c r="ABY8" s="57"/>
      <c r="ABZ8" s="57"/>
      <c r="ACA8" s="57"/>
      <c r="ACB8" s="57"/>
      <c r="ACC8" s="57"/>
      <c r="ACD8" s="57"/>
      <c r="ACE8" s="57"/>
      <c r="ACF8" s="57">
        <v>4.67</v>
      </c>
      <c r="ACG8" s="57"/>
      <c r="ACH8" s="57"/>
      <c r="ACI8" s="57"/>
      <c r="ACJ8" s="57"/>
      <c r="ACK8" s="57"/>
      <c r="ACL8" s="57">
        <v>5.8</v>
      </c>
      <c r="ACM8" s="57"/>
      <c r="ACN8" s="57"/>
      <c r="ACO8" s="57"/>
      <c r="ACP8" s="57"/>
      <c r="ACQ8" s="57"/>
      <c r="ACR8" s="57"/>
      <c r="ACS8" s="57"/>
      <c r="ACT8" s="57"/>
      <c r="ACU8" s="57"/>
      <c r="ACV8" s="57">
        <v>5.53</v>
      </c>
      <c r="ACW8" s="57"/>
      <c r="ACX8" s="57"/>
      <c r="ACY8" s="57"/>
      <c r="ACZ8" s="57">
        <v>4.82</v>
      </c>
      <c r="ADA8" s="57"/>
      <c r="ADB8" s="57"/>
      <c r="ADC8" s="57"/>
      <c r="ADD8" s="57"/>
      <c r="ADE8" s="57"/>
      <c r="ADF8" s="57"/>
      <c r="ADG8" s="57"/>
      <c r="ADH8" s="57"/>
      <c r="ADI8" s="57"/>
      <c r="ADJ8" s="57">
        <v>6.82</v>
      </c>
      <c r="ADK8" s="57"/>
      <c r="ADL8" s="57"/>
      <c r="ADM8" s="57">
        <v>3.12</v>
      </c>
      <c r="ADN8" s="57"/>
      <c r="ADO8" s="57"/>
      <c r="ADP8" s="57"/>
      <c r="ADQ8" s="57"/>
      <c r="ADR8" s="57"/>
      <c r="ADS8" s="57"/>
      <c r="ADT8" s="57"/>
      <c r="ADU8" s="57"/>
      <c r="ADV8" s="57"/>
      <c r="ADW8" s="57"/>
      <c r="ADX8" s="57"/>
      <c r="ADY8" s="57">
        <v>2.17</v>
      </c>
      <c r="ADZ8" s="57"/>
      <c r="AEA8" s="57"/>
      <c r="AEB8" s="57"/>
      <c r="AEC8" s="57"/>
      <c r="AED8" s="57">
        <v>9.92</v>
      </c>
      <c r="AEE8" s="57"/>
      <c r="AEF8" s="57"/>
      <c r="AEG8" s="57">
        <v>5.97</v>
      </c>
      <c r="AEH8" s="57"/>
      <c r="AEI8" s="57"/>
      <c r="AEJ8" s="57"/>
      <c r="AEK8" s="57"/>
      <c r="AEL8" s="57"/>
      <c r="AEM8" s="57"/>
      <c r="AEN8" s="57"/>
      <c r="AEO8" s="57"/>
      <c r="AEP8" s="57"/>
      <c r="AEQ8" s="57">
        <v>4.07</v>
      </c>
      <c r="AER8" s="57"/>
      <c r="AES8" s="57"/>
      <c r="AET8" s="57"/>
      <c r="AEU8" s="57"/>
      <c r="AEV8" s="57"/>
      <c r="AEW8" s="57">
        <v>6.88</v>
      </c>
      <c r="AEX8" s="57"/>
      <c r="AEY8" s="57"/>
      <c r="AEZ8" s="57"/>
      <c r="AFA8" s="57">
        <v>6.13</v>
      </c>
      <c r="AFB8" s="57"/>
      <c r="AFC8" s="57"/>
      <c r="AFD8" s="57"/>
      <c r="AFE8" s="57"/>
      <c r="AFF8" s="57">
        <v>1.37</v>
      </c>
      <c r="AFG8" s="57"/>
      <c r="AFH8" s="57"/>
      <c r="AFI8" s="57"/>
      <c r="AFJ8" s="57"/>
      <c r="AFK8" s="57">
        <v>5.43</v>
      </c>
      <c r="AFL8" s="57"/>
      <c r="AFM8" s="57"/>
      <c r="AFN8" s="57"/>
      <c r="AFO8" s="57"/>
      <c r="AFP8" s="57">
        <v>5.75</v>
      </c>
      <c r="AFQ8" s="57"/>
      <c r="AFR8" s="57"/>
      <c r="AFS8" s="57"/>
      <c r="AFT8" s="57"/>
      <c r="AFU8" s="57"/>
      <c r="AFV8" s="57"/>
      <c r="AFW8" s="57"/>
      <c r="AFX8" s="57"/>
      <c r="AFY8" s="57"/>
      <c r="AFZ8" s="57"/>
      <c r="AGA8" s="57">
        <v>2.58</v>
      </c>
      <c r="AGB8" s="57"/>
      <c r="AGC8" s="57"/>
      <c r="AGD8" s="57"/>
      <c r="AGE8" s="57"/>
      <c r="AGF8" s="57"/>
      <c r="AGG8" s="57"/>
      <c r="AGH8" s="57"/>
      <c r="AGI8" s="57"/>
      <c r="AGJ8" s="57"/>
      <c r="AGK8" s="57"/>
      <c r="AGL8" s="57"/>
      <c r="AGM8" s="57"/>
      <c r="AGN8" s="57"/>
      <c r="AGO8" s="57"/>
      <c r="AGP8" s="57"/>
      <c r="AGQ8" s="57"/>
      <c r="AGR8" s="57"/>
      <c r="AGS8" s="57"/>
      <c r="AGT8" s="57"/>
      <c r="AGU8" s="57"/>
      <c r="AGV8" s="57">
        <v>4.32</v>
      </c>
      <c r="AGW8" s="57"/>
      <c r="AGX8" s="57"/>
      <c r="AGY8" s="57"/>
      <c r="AGZ8" s="57"/>
      <c r="AHA8" s="57"/>
      <c r="AHB8" s="57"/>
      <c r="AHC8" s="57"/>
      <c r="AHD8" s="57"/>
      <c r="AHE8" s="57"/>
      <c r="AHF8" s="57"/>
      <c r="AHG8" s="57"/>
      <c r="AHH8" s="57"/>
      <c r="AHI8" s="57"/>
      <c r="AHJ8" s="57"/>
      <c r="AHK8" s="57"/>
      <c r="AHL8" s="57"/>
      <c r="AHM8" s="57">
        <v>6.78</v>
      </c>
      <c r="AHN8" s="57"/>
      <c r="AHO8" s="57"/>
      <c r="AHP8" s="57"/>
      <c r="AHQ8" s="57"/>
      <c r="AHR8" s="57"/>
      <c r="AHS8" s="57"/>
      <c r="AHT8" s="57"/>
      <c r="AHU8" s="57"/>
      <c r="AHV8" s="57">
        <v>0.43</v>
      </c>
      <c r="AHW8" s="57"/>
      <c r="AHX8" s="57"/>
      <c r="AHY8" s="57">
        <v>1.72</v>
      </c>
      <c r="AHZ8" s="57"/>
      <c r="AIA8" s="57"/>
      <c r="AIB8" s="57"/>
      <c r="AIC8" s="57"/>
      <c r="AID8" s="57"/>
      <c r="AIE8" s="57"/>
      <c r="AIF8" s="57"/>
      <c r="AIG8" s="57"/>
      <c r="AIH8" s="57"/>
      <c r="AII8" s="57"/>
      <c r="AIJ8" s="57"/>
      <c r="AIK8" s="57"/>
      <c r="AIL8" s="57"/>
      <c r="AIM8" s="57"/>
      <c r="AIN8" s="57"/>
      <c r="AIO8" s="57"/>
      <c r="AIP8" s="57"/>
      <c r="AIQ8" s="57"/>
      <c r="AIR8" s="57">
        <v>4.38</v>
      </c>
      <c r="AIS8" s="57"/>
      <c r="AIT8" s="57"/>
      <c r="AIU8" s="57"/>
      <c r="AIV8" s="57"/>
      <c r="AIW8" s="57"/>
      <c r="AIX8" s="57"/>
      <c r="AIY8" s="57"/>
      <c r="AIZ8" s="57"/>
      <c r="AJA8" s="57"/>
      <c r="AJB8" s="57"/>
      <c r="AJC8" s="57"/>
      <c r="AJD8" s="57"/>
      <c r="AJE8" s="57">
        <v>4.4168103448275868</v>
      </c>
    </row>
    <row r="9" spans="1:941" x14ac:dyDescent="0.35">
      <c r="A9" s="55"/>
      <c r="B9" s="40">
        <v>44227</v>
      </c>
      <c r="C9" s="40">
        <f t="shared" si="3"/>
        <v>44227</v>
      </c>
      <c r="D9" s="4">
        <f>IF(EarningsPerDay[[#This Row],[Week '#]]&gt;=52,YEAR(EarningsPerDay[[#This Row],[Date]])-1,YEAR(EarningsPerDay[[#This Row],[Date]]))</f>
        <v>2021</v>
      </c>
      <c r="E9" s="4" t="str">
        <f>"QTR"&amp;IF(EarningsPerDay[[#This Row],[Week '#]] &lt;= 13, 1, IF(EarningsPerDay[[#This Row],[Week '#]] &lt;= 26, 2, IF(EarningsPerDay[[#This Row],[Week '#]] &lt;= 39, 3, 4)))</f>
        <v>QTR1</v>
      </c>
      <c r="F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9" s="4">
        <f>IF(WEEKNUM(EarningsPerDay[[#This Row],[Date]], 2) = 53, 1, WEEKNUM(EarningsPerDay[[#This Row],[Date]],2))</f>
        <v>5</v>
      </c>
      <c r="H9" s="40" t="str">
        <f t="shared" si="0"/>
        <v>Sunday</v>
      </c>
      <c r="I9" s="106" t="str">
        <f>IF(_xlfn.XLOOKUP(EarningsPerDay[[#This Row],[Date]],Mileage[Date],Mileage[Start Time])="","",MROUND(_xlfn.XLOOKUP(EarningsPerDay[[#This Row],[Date]],Mileage[Date],Mileage[Start Time]),0.0208333333333333))</f>
        <v/>
      </c>
      <c r="J9" s="40" t="str" cm="1">
        <f t="array" ref="J9">IFERROR(VLOOKUP(MODE(IF(Combined[Date]=EarningsPerDay[[#This Row],[Date]],Combined[Area '#])),KPIs!$B$4:$C$7,2,FALSE),VLOOKUP(EarningsPerDay[[#This Row],[Date]],Combined[[Date]:[Primary Area]],8,FALSE))</f>
        <v>Lewiston</v>
      </c>
      <c r="K9" s="40" t="str">
        <f>_xlfn.XLOOKUP(EarningsPerDay[[#This Row],[Date]],Mileage[Date],Mileage[Weather])</f>
        <v>Partially Cloudy</v>
      </c>
      <c r="L9" s="4">
        <f>_xlfn.XLOOKUP(EarningsPerDay[[#This Row],[Date]],Mileage[Date],Mileage[Hi Temp])</f>
        <v>17.600000000000001</v>
      </c>
      <c r="M9" s="12">
        <f>_xlfn.XLOOKUP(EarningsPerDay[[#This Row],[Date]],Mileage[Date],Mileage[Total Time])</f>
        <v>2.35</v>
      </c>
      <c r="N9" s="4">
        <f>_xlfn.XLOOKUP(EarningsPerDay[[#This Row],[Date]],Mileage[Date],Mileage[Mileage])</f>
        <v>7.89235576923077</v>
      </c>
      <c r="O9" s="4">
        <f>SUMIF(Combined[Date],EarningsPerDay[[#This Row],[Date]],Combined[Trips])</f>
        <v>1</v>
      </c>
      <c r="P9">
        <f>COUNTIF(Combined[Date],EarningsPerDay[[#This Row],[Date]])</f>
        <v>1</v>
      </c>
      <c r="Q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" s="11">
        <f>SUMIF(Combined[Date],EarningsPerDay[[#This Row],[Date]],Combined[Earnings])</f>
        <v>8.68</v>
      </c>
      <c r="S9" s="11">
        <f ca="1">EarningsPerDay[[#This Row],[Gross Earnings]]-(EarningsPerDay[[#This Row],[Miles]]*CpM!$D$11)</f>
        <v>6.9202170260119367</v>
      </c>
      <c r="T9" s="11">
        <f t="shared" si="1"/>
        <v>3.6936170212765953</v>
      </c>
      <c r="U9" s="11">
        <f t="shared" ca="1" si="2"/>
        <v>2.9447732025582707</v>
      </c>
      <c r="V9" s="11">
        <f>EarningsPerDay[[#This Row],[Gross Earnings]]/EarningsPerDay[[#This Row],[Deliveries]]</f>
        <v>8.68</v>
      </c>
      <c r="W9" s="11">
        <f>EarningsPerDay[[#This Row],[Gross Earnings]]/EarningsPerDay[[#This Row],[Miles]]</f>
        <v>1.0997983686746546</v>
      </c>
      <c r="X9" s="71">
        <f>EarningsPerDay[[#This Row],[Deliveries]]/EarningsPerDay[[#This Row],[Hours]]</f>
        <v>0.42553191489361702</v>
      </c>
      <c r="Y9" s="71">
        <f>EarningsPerDay[[#This Row],[Miles]]/EarningsPerDay[[#This Row],[Deliveries]]</f>
        <v>7.89235576923077</v>
      </c>
      <c r="Z9" s="81">
        <f>(EarningsPerDay[[#This Row],[Hours]]/EarningsPerDay[[#This Row],[Deliveries]])/24</f>
        <v>9.7916666666666666E-2</v>
      </c>
      <c r="AA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9" s="11">
        <f>AVERAGEIFS(EarningsPerDay[Gross $/Hour],EarningsPerDay[Week '#], EarningsPerDay[[#This Row],[Week '#]], EarningsPerDay[DOW], EarningsPerDay[[#This Row],[DOW]])</f>
        <v>17.667121010638297</v>
      </c>
      <c r="AC9" s="11">
        <f>EarningsPerDay[[#This Row],[Gross $/Hour]] - EarningsPerDay[[#This Row],[Weekly Average Earnings]]</f>
        <v>-13.973503989361703</v>
      </c>
      <c r="AD9" s="11">
        <f>(SUMIFS(EarningsPerDay[Gross Earnings], EarningsPerDay[Date],"&gt;="&amp;EarningsPerDay[[#This Row],[Date]]-89, EarningsPerDay[Date], "&lt;="&amp;EarningsPerDay[[#This Row],[Date]]))/90</f>
        <v>3.3606666666666665</v>
      </c>
      <c r="AE9" s="11"/>
      <c r="AI9" s="11"/>
      <c r="AJ9" s="473">
        <v>46023</v>
      </c>
      <c r="AK9" s="4">
        <v>0.43</v>
      </c>
      <c r="AL9" s="4">
        <v>1</v>
      </c>
      <c r="AT9" t="s">
        <v>49</v>
      </c>
      <c r="AZ9" s="8"/>
      <c r="BF9" s="7" t="s">
        <v>50</v>
      </c>
      <c r="BG9" s="57">
        <v>4.333333333333333</v>
      </c>
      <c r="BH9" s="57"/>
      <c r="BI9" s="57">
        <v>2.0499999999999998</v>
      </c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>
        <v>4.3499999999999996</v>
      </c>
      <c r="BX9" s="57"/>
      <c r="BY9" s="57"/>
      <c r="BZ9" s="57"/>
      <c r="CA9" s="57">
        <v>2.5666666666666664</v>
      </c>
      <c r="CB9" s="57"/>
      <c r="CC9" s="57"/>
      <c r="CD9" s="57">
        <v>3.5999999999999996</v>
      </c>
      <c r="CE9" s="57"/>
      <c r="CF9" s="57"/>
      <c r="CG9" s="57"/>
      <c r="CH9" s="57"/>
      <c r="CI9" s="57">
        <v>7.13</v>
      </c>
      <c r="CJ9" s="57"/>
      <c r="CK9" s="57"/>
      <c r="CL9" s="57"/>
      <c r="CM9" s="57"/>
      <c r="CN9" s="57"/>
      <c r="CO9" s="57"/>
      <c r="CP9" s="57"/>
      <c r="CQ9" s="57"/>
      <c r="CR9" s="57">
        <v>5.7</v>
      </c>
      <c r="CS9" s="57"/>
      <c r="CT9" s="57">
        <v>1.9</v>
      </c>
      <c r="CU9" s="57"/>
      <c r="CV9" s="57"/>
      <c r="CW9" s="57">
        <v>1.9</v>
      </c>
      <c r="CX9" s="57"/>
      <c r="CY9" s="57"/>
      <c r="CZ9" s="57"/>
      <c r="DA9" s="57"/>
      <c r="DB9" s="57"/>
      <c r="DC9" s="57">
        <v>3</v>
      </c>
      <c r="DD9" s="57"/>
      <c r="DE9" s="57"/>
      <c r="DF9" s="57"/>
      <c r="DG9" s="57"/>
      <c r="DH9" s="57"/>
      <c r="DI9" s="57"/>
      <c r="DJ9" s="57"/>
      <c r="DK9" s="57"/>
      <c r="DL9" s="57"/>
      <c r="DM9" s="57">
        <v>4</v>
      </c>
      <c r="DN9" s="57"/>
      <c r="DO9" s="57"/>
      <c r="DP9" s="57"/>
      <c r="DQ9" s="57"/>
      <c r="DR9" s="57"/>
      <c r="DS9" s="57"/>
      <c r="DT9" s="57">
        <v>3.1</v>
      </c>
      <c r="DU9" s="57"/>
      <c r="DV9" s="57"/>
      <c r="DW9" s="57"/>
      <c r="DX9" s="57"/>
      <c r="DY9" s="57"/>
      <c r="DZ9" s="57"/>
      <c r="EA9" s="57"/>
      <c r="EB9" s="57"/>
      <c r="EC9" s="57"/>
      <c r="ED9" s="57">
        <v>2.6000000000000005</v>
      </c>
      <c r="EE9" s="57"/>
      <c r="EF9" s="57"/>
      <c r="EG9" s="57"/>
      <c r="EH9" s="57"/>
      <c r="EI9" s="57"/>
      <c r="EJ9" s="57"/>
      <c r="EK9" s="57"/>
      <c r="EL9" s="57">
        <v>3.1</v>
      </c>
      <c r="EM9" s="57"/>
      <c r="EN9" s="57"/>
      <c r="EO9" s="57"/>
      <c r="EP9" s="57"/>
      <c r="EQ9" s="57">
        <v>6.33</v>
      </c>
      <c r="ER9" s="57"/>
      <c r="ES9" s="57"/>
      <c r="ET9" s="57">
        <v>6.1</v>
      </c>
      <c r="EU9" s="57"/>
      <c r="EV9" s="57"/>
      <c r="EW9" s="57">
        <v>4.5</v>
      </c>
      <c r="EX9" s="57"/>
      <c r="EY9" s="57"/>
      <c r="EZ9" s="57"/>
      <c r="FA9" s="57"/>
      <c r="FB9" s="57"/>
      <c r="FC9" s="57"/>
      <c r="FD9" s="57"/>
      <c r="FE9" s="57"/>
      <c r="FF9" s="57"/>
      <c r="FG9" s="57"/>
      <c r="FH9" s="57"/>
      <c r="FI9" s="57"/>
      <c r="FJ9" s="57"/>
      <c r="FK9" s="57"/>
      <c r="FL9" s="57"/>
      <c r="FM9" s="57"/>
      <c r="FN9" s="57">
        <v>5.5</v>
      </c>
      <c r="FO9" s="57"/>
      <c r="FP9" s="57"/>
      <c r="FQ9" s="57"/>
      <c r="FR9" s="57"/>
      <c r="FS9" s="57"/>
      <c r="FT9" s="57">
        <v>8.4</v>
      </c>
      <c r="FU9" s="57"/>
      <c r="FV9" s="57"/>
      <c r="FW9" s="57"/>
      <c r="FX9" s="57"/>
      <c r="FY9" s="57"/>
      <c r="FZ9" s="57">
        <v>6.3000000000000007</v>
      </c>
      <c r="GA9" s="57"/>
      <c r="GB9" s="57">
        <v>2.4</v>
      </c>
      <c r="GC9" s="57"/>
      <c r="GD9" s="57"/>
      <c r="GE9" s="57">
        <v>3.9</v>
      </c>
      <c r="GF9" s="57"/>
      <c r="GG9" s="57">
        <v>9.1000000000000014</v>
      </c>
      <c r="GH9" s="57"/>
      <c r="GI9" s="57"/>
      <c r="GJ9" s="57"/>
      <c r="GK9" s="57"/>
      <c r="GL9" s="57">
        <v>3.5</v>
      </c>
      <c r="GM9" s="57"/>
      <c r="GN9" s="57"/>
      <c r="GO9" s="57"/>
      <c r="GP9" s="57">
        <v>4.5</v>
      </c>
      <c r="GQ9" s="57"/>
      <c r="GR9" s="57"/>
      <c r="GS9" s="57"/>
      <c r="GT9" s="57"/>
      <c r="GU9" s="57">
        <v>8.75</v>
      </c>
      <c r="GV9" s="57"/>
      <c r="GW9" s="57"/>
      <c r="GX9" s="57">
        <v>5.5</v>
      </c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>
        <v>5</v>
      </c>
      <c r="HP9" s="57"/>
      <c r="HQ9" s="57"/>
      <c r="HR9" s="57"/>
      <c r="HS9" s="57"/>
      <c r="HT9" s="57"/>
      <c r="HU9" s="57">
        <v>2.9</v>
      </c>
      <c r="HV9" s="57"/>
      <c r="HW9" s="57"/>
      <c r="HX9" s="57"/>
      <c r="HY9" s="57"/>
      <c r="HZ9" s="57">
        <v>5.4</v>
      </c>
      <c r="IA9" s="57"/>
      <c r="IB9" s="57"/>
      <c r="IC9" s="57"/>
      <c r="ID9" s="57"/>
      <c r="IE9" s="57">
        <v>2.5</v>
      </c>
      <c r="IF9" s="57"/>
      <c r="IG9" s="57"/>
      <c r="IH9" s="57"/>
      <c r="II9" s="57"/>
      <c r="IJ9" s="57">
        <v>5.8</v>
      </c>
      <c r="IK9" s="57"/>
      <c r="IL9" s="57"/>
      <c r="IM9" s="57"/>
      <c r="IN9" s="57"/>
      <c r="IO9" s="57">
        <v>7.6</v>
      </c>
      <c r="IP9" s="57"/>
      <c r="IQ9" s="57"/>
      <c r="IR9" s="57"/>
      <c r="IS9" s="57">
        <v>6.18</v>
      </c>
      <c r="IT9" s="57">
        <v>5.5</v>
      </c>
      <c r="IU9" s="57"/>
      <c r="IV9" s="57"/>
      <c r="IW9" s="57"/>
      <c r="IX9" s="57">
        <v>6.43</v>
      </c>
      <c r="IY9" s="57"/>
      <c r="IZ9" s="57">
        <v>8.32</v>
      </c>
      <c r="JA9" s="57"/>
      <c r="JB9" s="57"/>
      <c r="JC9" s="57">
        <v>5.8999999999999995</v>
      </c>
      <c r="JD9" s="57"/>
      <c r="JE9" s="57"/>
      <c r="JF9" s="57"/>
      <c r="JG9" s="57"/>
      <c r="JH9" s="57"/>
      <c r="JI9" s="57"/>
      <c r="JJ9" s="57"/>
      <c r="JK9" s="57"/>
      <c r="JL9" s="57">
        <v>4.5</v>
      </c>
      <c r="JM9" s="57"/>
      <c r="JN9" s="57"/>
      <c r="JO9" s="57"/>
      <c r="JP9" s="57"/>
      <c r="JQ9" s="57"/>
      <c r="JR9" s="57">
        <v>6.85</v>
      </c>
      <c r="JS9" s="57"/>
      <c r="JT9" s="57"/>
      <c r="JU9" s="57"/>
      <c r="JV9" s="57"/>
      <c r="JW9" s="57"/>
      <c r="JX9" s="57"/>
      <c r="JY9" s="57">
        <v>5.8</v>
      </c>
      <c r="JZ9" s="57"/>
      <c r="KA9" s="57"/>
      <c r="KB9" s="57"/>
      <c r="KC9" s="57"/>
      <c r="KD9" s="57"/>
      <c r="KE9" s="57"/>
      <c r="KF9" s="57"/>
      <c r="KG9" s="57"/>
      <c r="KH9" s="57"/>
      <c r="KI9" s="57">
        <v>9.07</v>
      </c>
      <c r="KJ9" s="57"/>
      <c r="KK9" s="57"/>
      <c r="KL9" s="57"/>
      <c r="KM9" s="57"/>
      <c r="KN9" s="57"/>
      <c r="KO9" s="57">
        <v>5.88</v>
      </c>
      <c r="KP9" s="57"/>
      <c r="KQ9" s="57"/>
      <c r="KR9" s="57"/>
      <c r="KS9" s="57"/>
      <c r="KT9" s="57"/>
      <c r="KU9" s="57"/>
      <c r="KV9" s="57">
        <v>6.45</v>
      </c>
      <c r="KW9" s="57"/>
      <c r="KX9" s="57"/>
      <c r="KY9" s="57"/>
      <c r="KZ9" s="57"/>
      <c r="LA9" s="57"/>
      <c r="LB9" s="57">
        <v>6.03</v>
      </c>
      <c r="LC9" s="57"/>
      <c r="LD9" s="57">
        <v>3.13</v>
      </c>
      <c r="LE9" s="57"/>
      <c r="LF9" s="57"/>
      <c r="LG9" s="57"/>
      <c r="LH9" s="57">
        <v>1.17</v>
      </c>
      <c r="LI9" s="57"/>
      <c r="LJ9" s="57"/>
      <c r="LK9" s="57"/>
      <c r="LL9" s="57">
        <v>3.63</v>
      </c>
      <c r="LM9" s="57"/>
      <c r="LN9" s="57"/>
      <c r="LO9" s="57"/>
      <c r="LP9" s="57"/>
      <c r="LQ9" s="57">
        <v>3.85</v>
      </c>
      <c r="LR9" s="57"/>
      <c r="LS9" s="57"/>
      <c r="LT9" s="57">
        <v>3.18</v>
      </c>
      <c r="LU9" s="57"/>
      <c r="LV9" s="57"/>
      <c r="LW9" s="57"/>
      <c r="LX9" s="57"/>
      <c r="LY9" s="57">
        <v>8.9499999999999993</v>
      </c>
      <c r="LZ9" s="57"/>
      <c r="MA9" s="57"/>
      <c r="MB9" s="57"/>
      <c r="MC9" s="57"/>
      <c r="MD9" s="57"/>
      <c r="ME9" s="57"/>
      <c r="MF9" s="57">
        <v>2.8</v>
      </c>
      <c r="MG9" s="57"/>
      <c r="MH9" s="57"/>
      <c r="MI9" s="57"/>
      <c r="MJ9" s="57"/>
      <c r="MK9" s="57">
        <v>3.43</v>
      </c>
      <c r="ML9" s="57"/>
      <c r="MM9" s="57"/>
      <c r="MN9" s="57"/>
      <c r="MO9" s="57"/>
      <c r="MP9" s="57"/>
      <c r="MQ9" s="57">
        <v>7.35</v>
      </c>
      <c r="MR9" s="57"/>
      <c r="MS9" s="57"/>
      <c r="MT9" s="57">
        <v>6.35</v>
      </c>
      <c r="MU9" s="57"/>
      <c r="MV9" s="57"/>
      <c r="MW9" s="57"/>
      <c r="MX9" s="57"/>
      <c r="MY9" s="57">
        <v>7.85</v>
      </c>
      <c r="MZ9" s="57"/>
      <c r="NA9" s="57"/>
      <c r="NB9" s="57">
        <v>5.08</v>
      </c>
      <c r="NC9" s="57">
        <v>5.43</v>
      </c>
      <c r="ND9" s="57"/>
      <c r="NE9" s="57"/>
      <c r="NF9" s="57"/>
      <c r="NG9" s="57">
        <v>5.07</v>
      </c>
      <c r="NH9" s="57"/>
      <c r="NI9" s="57">
        <v>7.85</v>
      </c>
      <c r="NJ9" s="57"/>
      <c r="NK9" s="57"/>
      <c r="NL9" s="57"/>
      <c r="NM9" s="57"/>
      <c r="NN9" s="57"/>
      <c r="NO9" s="57">
        <v>6.6</v>
      </c>
      <c r="NP9" s="57"/>
      <c r="NQ9" s="57"/>
      <c r="NR9" s="57"/>
      <c r="NS9" s="57"/>
      <c r="NT9" s="57"/>
      <c r="NU9" s="57"/>
      <c r="NV9" s="57"/>
      <c r="NW9" s="57"/>
      <c r="NX9" s="57"/>
      <c r="NY9" s="57">
        <v>4.28</v>
      </c>
      <c r="NZ9" s="57"/>
      <c r="OA9" s="57"/>
      <c r="OB9" s="57"/>
      <c r="OC9" s="57"/>
      <c r="OD9" s="57"/>
      <c r="OE9" s="57">
        <v>3.27</v>
      </c>
      <c r="OF9" s="57"/>
      <c r="OG9" s="57"/>
      <c r="OH9" s="57">
        <v>5.6</v>
      </c>
      <c r="OI9" s="57"/>
      <c r="OJ9" s="57"/>
      <c r="OK9" s="57"/>
      <c r="OL9" s="57"/>
      <c r="OM9" s="57">
        <v>7.03</v>
      </c>
      <c r="ON9" s="57"/>
      <c r="OO9" s="57"/>
      <c r="OP9" s="57"/>
      <c r="OQ9" s="57"/>
      <c r="OR9" s="57">
        <v>3.87</v>
      </c>
      <c r="OS9" s="57"/>
      <c r="OT9" s="57"/>
      <c r="OU9" s="57"/>
      <c r="OV9" s="57">
        <v>5.2</v>
      </c>
      <c r="OW9" s="57"/>
      <c r="OX9" s="57"/>
      <c r="OY9" s="57"/>
      <c r="OZ9" s="57"/>
      <c r="PA9" s="57"/>
      <c r="PB9" s="57"/>
      <c r="PC9" s="57"/>
      <c r="PD9" s="57">
        <v>0.63</v>
      </c>
      <c r="PE9" s="57"/>
      <c r="PF9" s="57"/>
      <c r="PG9" s="57"/>
      <c r="PH9" s="57"/>
      <c r="PI9" s="57"/>
      <c r="PJ9" s="57">
        <v>6.72</v>
      </c>
      <c r="PK9" s="57"/>
      <c r="PL9" s="57"/>
      <c r="PM9" s="57">
        <v>1.8</v>
      </c>
      <c r="PN9" s="57"/>
      <c r="PO9" s="57"/>
      <c r="PP9" s="57">
        <v>5.67</v>
      </c>
      <c r="PQ9" s="57"/>
      <c r="PR9" s="57"/>
      <c r="PS9" s="57"/>
      <c r="PT9" s="57"/>
      <c r="PU9" s="57"/>
      <c r="PV9" s="57"/>
      <c r="PW9" s="57"/>
      <c r="PX9" s="57"/>
      <c r="PY9" s="57"/>
      <c r="PZ9" s="57"/>
      <c r="QA9" s="57"/>
      <c r="QB9" s="57">
        <v>4.67</v>
      </c>
      <c r="QC9" s="57"/>
      <c r="QD9" s="57"/>
      <c r="QE9" s="57">
        <v>6.3</v>
      </c>
      <c r="QF9" s="57"/>
      <c r="QG9" s="57"/>
      <c r="QH9" s="57"/>
      <c r="QI9" s="57"/>
      <c r="QJ9" s="57"/>
      <c r="QK9" s="57">
        <v>0.87</v>
      </c>
      <c r="QL9" s="57"/>
      <c r="QM9" s="57"/>
      <c r="QN9" s="57"/>
      <c r="QO9" s="57">
        <v>6.55</v>
      </c>
      <c r="QP9" s="57"/>
      <c r="QQ9" s="57"/>
      <c r="QR9" s="57"/>
      <c r="QS9" s="57"/>
      <c r="QT9" s="57"/>
      <c r="QU9" s="57">
        <v>3.08</v>
      </c>
      <c r="QV9" s="57"/>
      <c r="QW9" s="57"/>
      <c r="QX9" s="57"/>
      <c r="QY9" s="57"/>
      <c r="QZ9" s="57">
        <v>4.9000000000000004</v>
      </c>
      <c r="RA9" s="57"/>
      <c r="RB9" s="57"/>
      <c r="RC9" s="57"/>
      <c r="RD9" s="57">
        <v>6.8</v>
      </c>
      <c r="RE9" s="57"/>
      <c r="RF9" s="57"/>
      <c r="RG9" s="57"/>
      <c r="RH9" s="57">
        <v>2.63</v>
      </c>
      <c r="RI9" s="57"/>
      <c r="RJ9" s="57"/>
      <c r="RK9" s="57"/>
      <c r="RL9" s="57"/>
      <c r="RM9" s="57"/>
      <c r="RN9" s="57"/>
      <c r="RO9" s="57"/>
      <c r="RP9" s="57"/>
      <c r="RQ9" s="57"/>
      <c r="RR9" s="57"/>
      <c r="RS9" s="57"/>
      <c r="RT9" s="57"/>
      <c r="RU9" s="57"/>
      <c r="RV9" s="57"/>
      <c r="RW9" s="57">
        <v>5.43</v>
      </c>
      <c r="RX9" s="57"/>
      <c r="RY9" s="57"/>
      <c r="RZ9" s="57"/>
      <c r="SA9" s="57"/>
      <c r="SB9" s="57">
        <v>5.3</v>
      </c>
      <c r="SC9" s="57"/>
      <c r="SD9" s="57"/>
      <c r="SE9" s="57"/>
      <c r="SF9" s="57">
        <v>5.83</v>
      </c>
      <c r="SG9" s="57"/>
      <c r="SH9" s="57"/>
      <c r="SI9" s="57"/>
      <c r="SJ9" s="57">
        <v>4.4800000000000004</v>
      </c>
      <c r="SK9" s="57"/>
      <c r="SL9" s="57"/>
      <c r="SM9" s="57"/>
      <c r="SN9" s="57"/>
      <c r="SO9" s="57"/>
      <c r="SP9" s="57"/>
      <c r="SQ9" s="57"/>
      <c r="SR9" s="57"/>
      <c r="SS9" s="57"/>
      <c r="ST9" s="57">
        <v>3.32</v>
      </c>
      <c r="SU9" s="57"/>
      <c r="SV9" s="57"/>
      <c r="SW9" s="57"/>
      <c r="SX9" s="57"/>
      <c r="SY9" s="57"/>
      <c r="SZ9" s="57"/>
      <c r="TA9" s="57"/>
      <c r="TB9" s="57">
        <v>3.77</v>
      </c>
      <c r="TC9" s="57"/>
      <c r="TD9" s="57"/>
      <c r="TE9" s="57"/>
      <c r="TF9" s="57"/>
      <c r="TG9" s="57"/>
      <c r="TH9" s="57">
        <v>5.23</v>
      </c>
      <c r="TI9" s="57"/>
      <c r="TJ9" s="57"/>
      <c r="TK9" s="57"/>
      <c r="TL9" s="57">
        <v>6.05</v>
      </c>
      <c r="TM9" s="57"/>
      <c r="TN9" s="57"/>
      <c r="TO9" s="57"/>
      <c r="TP9" s="57">
        <v>7.7</v>
      </c>
      <c r="TQ9" s="57"/>
      <c r="TR9" s="57"/>
      <c r="TS9" s="57"/>
      <c r="TT9" s="57">
        <v>4.0199999999999996</v>
      </c>
      <c r="TU9" s="57"/>
      <c r="TV9" s="57"/>
      <c r="TW9" s="57"/>
      <c r="TX9" s="57"/>
      <c r="TY9" s="57"/>
      <c r="TZ9" s="57">
        <v>5.08</v>
      </c>
      <c r="UA9" s="57"/>
      <c r="UB9" s="57"/>
      <c r="UC9" s="57"/>
      <c r="UD9" s="57"/>
      <c r="UE9" s="57"/>
      <c r="UF9" s="57">
        <v>5.45</v>
      </c>
      <c r="UG9" s="57"/>
      <c r="UH9" s="57"/>
      <c r="UI9" s="57"/>
      <c r="UJ9" s="57"/>
      <c r="UK9" s="57"/>
      <c r="UL9" s="57"/>
      <c r="UM9" s="57"/>
      <c r="UN9" s="57"/>
      <c r="UO9" s="57"/>
      <c r="UP9" s="57">
        <v>6.28</v>
      </c>
      <c r="UQ9" s="57"/>
      <c r="UR9" s="57"/>
      <c r="US9" s="57"/>
      <c r="UT9" s="57">
        <v>4.45</v>
      </c>
      <c r="UU9" s="57"/>
      <c r="UV9" s="57"/>
      <c r="UW9" s="57"/>
      <c r="UX9" s="57"/>
      <c r="UY9" s="57">
        <v>5.9</v>
      </c>
      <c r="UZ9" s="57"/>
      <c r="VA9" s="57"/>
      <c r="VB9" s="57"/>
      <c r="VC9" s="57"/>
      <c r="VD9" s="57"/>
      <c r="VE9" s="57"/>
      <c r="VF9" s="57">
        <v>6.08</v>
      </c>
      <c r="VG9" s="57"/>
      <c r="VH9" s="57"/>
      <c r="VI9" s="57"/>
      <c r="VJ9" s="57"/>
      <c r="VK9" s="57"/>
      <c r="VL9" s="57"/>
      <c r="VM9" s="57">
        <v>7.62</v>
      </c>
      <c r="VN9" s="57"/>
      <c r="VO9" s="57"/>
      <c r="VP9" s="57"/>
      <c r="VQ9" s="57"/>
      <c r="VR9" s="57"/>
      <c r="VS9" s="57">
        <v>4.7699999999999996</v>
      </c>
      <c r="VT9" s="57"/>
      <c r="VU9" s="57"/>
      <c r="VV9" s="57"/>
      <c r="VW9" s="57"/>
      <c r="VX9" s="57"/>
      <c r="VY9" s="57"/>
      <c r="VZ9" s="57"/>
      <c r="WA9" s="57">
        <v>6.28</v>
      </c>
      <c r="WB9" s="57"/>
      <c r="WC9" s="57"/>
      <c r="WD9" s="57"/>
      <c r="WE9" s="57"/>
      <c r="WF9" s="57">
        <v>7.23</v>
      </c>
      <c r="WG9" s="57"/>
      <c r="WH9" s="57"/>
      <c r="WI9" s="57"/>
      <c r="WJ9" s="57"/>
      <c r="WK9" s="57">
        <v>8.6999999999999993</v>
      </c>
      <c r="WL9" s="57"/>
      <c r="WM9" s="57"/>
      <c r="WN9" s="57"/>
      <c r="WO9" s="57"/>
      <c r="WP9" s="57"/>
      <c r="WQ9" s="57"/>
      <c r="WR9" s="57"/>
      <c r="WS9" s="57"/>
      <c r="WT9" s="57">
        <v>7.78</v>
      </c>
      <c r="WU9" s="57"/>
      <c r="WV9" s="57"/>
      <c r="WW9" s="57"/>
      <c r="WX9" s="57"/>
      <c r="WY9" s="57"/>
      <c r="WZ9" s="57"/>
      <c r="XA9" s="57">
        <v>6.57</v>
      </c>
      <c r="XB9" s="57"/>
      <c r="XC9" s="57"/>
      <c r="XD9" s="57"/>
      <c r="XE9" s="57"/>
      <c r="XF9" s="57">
        <v>7.52</v>
      </c>
      <c r="XG9" s="57"/>
      <c r="XH9" s="57"/>
      <c r="XI9" s="57"/>
      <c r="XJ9" s="57"/>
      <c r="XK9" s="57"/>
      <c r="XL9" s="57"/>
      <c r="XM9" s="57"/>
      <c r="XN9" s="57">
        <v>6.05</v>
      </c>
      <c r="XO9" s="57"/>
      <c r="XP9" s="57"/>
      <c r="XQ9" s="57"/>
      <c r="XR9" s="57"/>
      <c r="XS9" s="57"/>
      <c r="XT9" s="57">
        <v>7.1</v>
      </c>
      <c r="XU9" s="57"/>
      <c r="XV9" s="57"/>
      <c r="XW9" s="57">
        <v>7.13</v>
      </c>
      <c r="XX9" s="57"/>
      <c r="XY9" s="57"/>
      <c r="XZ9" s="57"/>
      <c r="YA9" s="57"/>
      <c r="YB9" s="57">
        <v>8.18</v>
      </c>
      <c r="YC9" s="57"/>
      <c r="YD9" s="57"/>
      <c r="YE9" s="57"/>
      <c r="YF9" s="57"/>
      <c r="YG9" s="57"/>
      <c r="YH9" s="57"/>
      <c r="YI9" s="57"/>
      <c r="YJ9" s="57"/>
      <c r="YK9" s="57"/>
      <c r="YL9" s="57">
        <v>6.5</v>
      </c>
      <c r="YM9" s="57"/>
      <c r="YN9" s="57"/>
      <c r="YO9" s="57"/>
      <c r="YP9" s="57"/>
      <c r="YQ9" s="57">
        <v>5.23</v>
      </c>
      <c r="YR9" s="57"/>
      <c r="YS9" s="57"/>
      <c r="YT9" s="57"/>
      <c r="YU9" s="57"/>
      <c r="YV9" s="57">
        <v>6.88</v>
      </c>
      <c r="YW9" s="57"/>
      <c r="YX9" s="57"/>
      <c r="YY9" s="57"/>
      <c r="YZ9" s="57"/>
      <c r="ZA9" s="57"/>
      <c r="ZB9" s="57"/>
      <c r="ZC9" s="57"/>
      <c r="ZD9" s="57">
        <v>6.27</v>
      </c>
      <c r="ZE9" s="57"/>
      <c r="ZF9" s="57"/>
      <c r="ZG9" s="57"/>
      <c r="ZH9" s="57">
        <v>3.83</v>
      </c>
      <c r="ZI9" s="57"/>
      <c r="ZJ9" s="57"/>
      <c r="ZK9" s="57">
        <v>5.97</v>
      </c>
      <c r="ZL9" s="57"/>
      <c r="ZM9" s="57"/>
      <c r="ZN9" s="57"/>
      <c r="ZO9" s="57">
        <v>2.02</v>
      </c>
      <c r="ZP9" s="57"/>
      <c r="ZQ9" s="57"/>
      <c r="ZR9" s="57"/>
      <c r="ZS9" s="57">
        <v>1.73</v>
      </c>
      <c r="ZT9" s="57"/>
      <c r="ZU9" s="57"/>
      <c r="ZV9" s="57"/>
      <c r="ZW9" s="57"/>
      <c r="ZX9" s="57"/>
      <c r="ZY9" s="57"/>
      <c r="ZZ9" s="57">
        <v>5.47</v>
      </c>
      <c r="AAA9" s="57"/>
      <c r="AAB9" s="57"/>
      <c r="AAC9" s="57"/>
      <c r="AAD9" s="57"/>
      <c r="AAE9" s="57">
        <v>5.03</v>
      </c>
      <c r="AAF9" s="57"/>
      <c r="AAG9" s="57"/>
      <c r="AAH9" s="57"/>
      <c r="AAI9" s="57"/>
      <c r="AAJ9" s="57"/>
      <c r="AAK9" s="57"/>
      <c r="AAL9" s="57">
        <v>3.6</v>
      </c>
      <c r="AAM9" s="57"/>
      <c r="AAN9" s="57"/>
      <c r="AAO9" s="57"/>
      <c r="AAP9" s="57"/>
      <c r="AAQ9" s="57"/>
      <c r="AAR9" s="57"/>
      <c r="AAS9" s="57">
        <v>8.6199999999999992</v>
      </c>
      <c r="AAT9" s="57"/>
      <c r="AAU9" s="57"/>
      <c r="AAV9" s="57"/>
      <c r="AAW9" s="57"/>
      <c r="AAX9" s="57"/>
      <c r="AAY9" s="57"/>
      <c r="AAZ9" s="57"/>
      <c r="ABA9" s="57"/>
      <c r="ABB9" s="57"/>
      <c r="ABC9" s="57"/>
      <c r="ABD9" s="57"/>
      <c r="ABE9" s="57"/>
      <c r="ABF9" s="57"/>
      <c r="ABG9" s="57"/>
      <c r="ABH9" s="57"/>
      <c r="ABI9" s="57">
        <v>6.82</v>
      </c>
      <c r="ABJ9" s="57"/>
      <c r="ABK9" s="57"/>
      <c r="ABL9" s="57"/>
      <c r="ABM9" s="57"/>
      <c r="ABN9" s="57">
        <v>3.98</v>
      </c>
      <c r="ABO9" s="57"/>
      <c r="ABP9" s="57"/>
      <c r="ABQ9" s="57"/>
      <c r="ABR9" s="57">
        <v>3.5</v>
      </c>
      <c r="ABS9" s="57"/>
      <c r="ABT9" s="57"/>
      <c r="ABU9" s="57"/>
      <c r="ABV9" s="57"/>
      <c r="ABW9" s="57"/>
      <c r="ABX9" s="57"/>
      <c r="ABY9" s="57"/>
      <c r="ABZ9" s="57">
        <v>4.5199999999999996</v>
      </c>
      <c r="ACA9" s="57"/>
      <c r="ACB9" s="57"/>
      <c r="ACC9" s="57"/>
      <c r="ACD9" s="57"/>
      <c r="ACE9" s="57"/>
      <c r="ACF9" s="57"/>
      <c r="ACG9" s="57"/>
      <c r="ACH9" s="57"/>
      <c r="ACI9" s="57"/>
      <c r="ACJ9" s="57"/>
      <c r="ACK9" s="57"/>
      <c r="ACL9" s="57"/>
      <c r="ACM9" s="57"/>
      <c r="ACN9" s="57"/>
      <c r="ACO9" s="57"/>
      <c r="ACP9" s="57"/>
      <c r="ACQ9" s="57"/>
      <c r="ACR9" s="57">
        <v>7.08</v>
      </c>
      <c r="ACS9" s="57"/>
      <c r="ACT9" s="57"/>
      <c r="ACU9" s="57"/>
      <c r="ACV9" s="57"/>
      <c r="ACW9" s="57"/>
      <c r="ACX9" s="57"/>
      <c r="ACY9" s="57"/>
      <c r="ACZ9" s="57"/>
      <c r="ADA9" s="57">
        <v>6.73</v>
      </c>
      <c r="ADB9" s="57"/>
      <c r="ADC9" s="57"/>
      <c r="ADD9" s="57"/>
      <c r="ADE9" s="57"/>
      <c r="ADF9" s="57">
        <v>4.97</v>
      </c>
      <c r="ADG9" s="57"/>
      <c r="ADH9" s="57"/>
      <c r="ADI9" s="57"/>
      <c r="ADJ9" s="57"/>
      <c r="ADK9" s="57">
        <v>3.93</v>
      </c>
      <c r="ADL9" s="57"/>
      <c r="ADM9" s="57"/>
      <c r="ADN9" s="57"/>
      <c r="ADO9" s="57"/>
      <c r="ADP9" s="57"/>
      <c r="ADQ9" s="57"/>
      <c r="ADR9" s="57"/>
      <c r="ADS9" s="57">
        <v>9.07</v>
      </c>
      <c r="ADT9" s="57"/>
      <c r="ADU9" s="57"/>
      <c r="ADV9" s="57"/>
      <c r="ADW9" s="57"/>
      <c r="ADX9" s="57"/>
      <c r="ADY9" s="57"/>
      <c r="ADZ9" s="57"/>
      <c r="AEA9" s="57">
        <v>5.37</v>
      </c>
      <c r="AEB9" s="57"/>
      <c r="AEC9" s="57"/>
      <c r="AED9" s="57"/>
      <c r="AEE9" s="57"/>
      <c r="AEF9" s="57"/>
      <c r="AEG9" s="57"/>
      <c r="AEH9" s="57">
        <v>6.45</v>
      </c>
      <c r="AEI9" s="57"/>
      <c r="AEJ9" s="57"/>
      <c r="AEK9" s="57">
        <v>3.18</v>
      </c>
      <c r="AEL9" s="57"/>
      <c r="AEM9" s="57"/>
      <c r="AEN9" s="57"/>
      <c r="AEO9" s="57"/>
      <c r="AEP9" s="57"/>
      <c r="AEQ9" s="57"/>
      <c r="AER9" s="57">
        <v>6.38</v>
      </c>
      <c r="AES9" s="57"/>
      <c r="AET9" s="57"/>
      <c r="AEU9" s="57"/>
      <c r="AEV9" s="57"/>
      <c r="AEW9" s="57"/>
      <c r="AEX9" s="57">
        <v>6.55</v>
      </c>
      <c r="AEY9" s="57"/>
      <c r="AEZ9" s="57"/>
      <c r="AFA9" s="57"/>
      <c r="AFB9" s="57">
        <v>6.98</v>
      </c>
      <c r="AFC9" s="57"/>
      <c r="AFD9" s="57"/>
      <c r="AFE9" s="57"/>
      <c r="AFF9" s="57"/>
      <c r="AFG9" s="57"/>
      <c r="AFH9" s="57"/>
      <c r="AFI9" s="57"/>
      <c r="AFJ9" s="57"/>
      <c r="AFK9" s="57"/>
      <c r="AFL9" s="57">
        <v>8.33</v>
      </c>
      <c r="AFM9" s="57"/>
      <c r="AFN9" s="57"/>
      <c r="AFO9" s="57"/>
      <c r="AFP9" s="57"/>
      <c r="AFQ9" s="57">
        <v>5.07</v>
      </c>
      <c r="AFR9" s="57"/>
      <c r="AFS9" s="57"/>
      <c r="AFT9" s="57"/>
      <c r="AFU9" s="57"/>
      <c r="AFV9" s="57">
        <v>5.63</v>
      </c>
      <c r="AFW9" s="57"/>
      <c r="AFX9" s="57"/>
      <c r="AFY9" s="57"/>
      <c r="AFZ9" s="57"/>
      <c r="AGA9" s="57"/>
      <c r="AGB9" s="57">
        <v>7.28</v>
      </c>
      <c r="AGC9" s="57"/>
      <c r="AGD9" s="57"/>
      <c r="AGE9" s="57">
        <v>5.22</v>
      </c>
      <c r="AGF9" s="57"/>
      <c r="AGG9" s="57"/>
      <c r="AGH9" s="57">
        <v>6.48</v>
      </c>
      <c r="AGI9" s="57"/>
      <c r="AGJ9" s="57"/>
      <c r="AGK9" s="57"/>
      <c r="AGL9" s="57"/>
      <c r="AGM9" s="57"/>
      <c r="AGN9" s="57"/>
      <c r="AGO9" s="57"/>
      <c r="AGP9" s="57"/>
      <c r="AGQ9" s="57"/>
      <c r="AGR9" s="57"/>
      <c r="AGS9" s="57">
        <v>2.1800000000000002</v>
      </c>
      <c r="AGT9" s="57"/>
      <c r="AGU9" s="57"/>
      <c r="AGV9" s="57"/>
      <c r="AGW9" s="57"/>
      <c r="AGX9" s="57"/>
      <c r="AGY9" s="57"/>
      <c r="AGZ9" s="57"/>
      <c r="AHA9" s="57">
        <v>0.4</v>
      </c>
      <c r="AHB9" s="57"/>
      <c r="AHC9" s="57"/>
      <c r="AHD9" s="57">
        <v>8.26</v>
      </c>
      <c r="AHE9" s="57"/>
      <c r="AHF9" s="57"/>
      <c r="AHG9" s="57"/>
      <c r="AHH9" s="57"/>
      <c r="AHI9" s="57"/>
      <c r="AHJ9" s="57"/>
      <c r="AHK9" s="57"/>
      <c r="AHL9" s="57"/>
      <c r="AHM9" s="57"/>
      <c r="AHN9" s="57">
        <v>5.58</v>
      </c>
      <c r="AHO9" s="57"/>
      <c r="AHP9" s="57"/>
      <c r="AHQ9" s="57"/>
      <c r="AHR9" s="57"/>
      <c r="AHS9" s="57">
        <v>3.87</v>
      </c>
      <c r="AHT9" s="57"/>
      <c r="AHU9" s="57"/>
      <c r="AHV9" s="57"/>
      <c r="AHW9" s="57"/>
      <c r="AHX9" s="57"/>
      <c r="AHY9" s="57"/>
      <c r="AHZ9" s="57"/>
      <c r="AIA9" s="57">
        <v>4.12</v>
      </c>
      <c r="AIB9" s="57"/>
      <c r="AIC9" s="57"/>
      <c r="AID9" s="57"/>
      <c r="AIE9" s="57"/>
      <c r="AIF9" s="57"/>
      <c r="AIG9" s="57"/>
      <c r="AIH9" s="57">
        <v>4.33</v>
      </c>
      <c r="AII9" s="57"/>
      <c r="AIJ9" s="57">
        <v>4.22</v>
      </c>
      <c r="AIK9" s="57"/>
      <c r="AIL9" s="57"/>
      <c r="AIM9" s="57"/>
      <c r="AIN9" s="57"/>
      <c r="AIO9" s="57">
        <v>3.97</v>
      </c>
      <c r="AIP9" s="57"/>
      <c r="AIQ9" s="57"/>
      <c r="AIR9" s="57"/>
      <c r="AIS9" s="57"/>
      <c r="AIT9" s="57"/>
      <c r="AIU9" s="57">
        <v>7.17</v>
      </c>
      <c r="AIV9" s="57">
        <v>3.1</v>
      </c>
      <c r="AIW9" s="57"/>
      <c r="AIX9" s="57"/>
      <c r="AIY9" s="57">
        <v>1.8</v>
      </c>
      <c r="AIZ9" s="57"/>
      <c r="AJA9" s="57"/>
      <c r="AJB9" s="57"/>
      <c r="AJC9" s="57"/>
      <c r="AJD9" s="57">
        <v>6.23</v>
      </c>
      <c r="AJE9" s="57">
        <v>5.2353594771241845</v>
      </c>
    </row>
    <row r="10" spans="1:941" ht="15" thickBot="1" x14ac:dyDescent="0.4">
      <c r="A10" s="55"/>
      <c r="B10" s="40">
        <v>44228</v>
      </c>
      <c r="C10" s="40">
        <f t="shared" si="3"/>
        <v>44228</v>
      </c>
      <c r="D10" s="4">
        <f>IF(EarningsPerDay[[#This Row],[Week '#]]&gt;=52,YEAR(EarningsPerDay[[#This Row],[Date]])-1,YEAR(EarningsPerDay[[#This Row],[Date]]))</f>
        <v>2021</v>
      </c>
      <c r="E10" s="4" t="str">
        <f>"QTR"&amp;IF(EarningsPerDay[[#This Row],[Week '#]] &lt;= 13, 1, IF(EarningsPerDay[[#This Row],[Week '#]] &lt;= 26, 2, IF(EarningsPerDay[[#This Row],[Week '#]] &lt;= 39, 3, 4)))</f>
        <v>QTR1</v>
      </c>
      <c r="F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0" s="4">
        <f>IF(WEEKNUM(EarningsPerDay[[#This Row],[Date]], 2) = 53, 1, WEEKNUM(EarningsPerDay[[#This Row],[Date]],2))</f>
        <v>6</v>
      </c>
      <c r="H10" s="40" t="str">
        <f t="shared" si="0"/>
        <v>Monday</v>
      </c>
      <c r="I10" s="106" t="str">
        <f>IF(_xlfn.XLOOKUP(EarningsPerDay[[#This Row],[Date]],Mileage[Date],Mileage[Start Time])="","",MROUND(_xlfn.XLOOKUP(EarningsPerDay[[#This Row],[Date]],Mileage[Date],Mileage[Start Time]),0.0208333333333333))</f>
        <v/>
      </c>
      <c r="J10" s="40" t="str" cm="1">
        <f t="array" ref="J10">IFERROR(VLOOKUP(MODE(IF(Combined[Date]=EarningsPerDay[[#This Row],[Date]],Combined[Area '#])),KPIs!$B$4:$C$7,2,FALSE),VLOOKUP(EarningsPerDay[[#This Row],[Date]],Combined[[Date]:[Primary Area]],8,FALSE))</f>
        <v>Portland</v>
      </c>
      <c r="K10" s="40" t="str">
        <f>_xlfn.XLOOKUP(EarningsPerDay[[#This Row],[Date]],Mileage[Date],Mileage[Weather])</f>
        <v>Rain / Snow Mix</v>
      </c>
      <c r="L10" s="4">
        <f>_xlfn.XLOOKUP(EarningsPerDay[[#This Row],[Date]],Mileage[Date],Mileage[Hi Temp])</f>
        <v>21.2</v>
      </c>
      <c r="M10" s="12">
        <f>_xlfn.XLOOKUP(EarningsPerDay[[#This Row],[Date]],Mileage[Date],Mileage[Total Time])</f>
        <v>2.15</v>
      </c>
      <c r="N10" s="4">
        <f>_xlfn.XLOOKUP(EarningsPerDay[[#This Row],[Date]],Mileage[Date],Mileage[Mileage])</f>
        <v>28.594772903863813</v>
      </c>
      <c r="O10" s="4">
        <f>SUMIF(Combined[Date],EarningsPerDay[[#This Row],[Date]],Combined[Trips])</f>
        <v>2</v>
      </c>
      <c r="P10">
        <f>COUNTIF(Combined[Date],EarningsPerDay[[#This Row],[Date]])</f>
        <v>1</v>
      </c>
      <c r="Q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" s="11">
        <f>SUMIF(Combined[Date],EarningsPerDay[[#This Row],[Date]],Combined[Earnings])</f>
        <v>24.85</v>
      </c>
      <c r="S10" s="11">
        <f ca="1">EarningsPerDay[[#This Row],[Gross Earnings]]-(EarningsPerDay[[#This Row],[Miles]]*CpM!$D$11)</f>
        <v>18.474135052622035</v>
      </c>
      <c r="T10" s="11">
        <f t="shared" si="1"/>
        <v>11.558139534883722</v>
      </c>
      <c r="U10" s="11">
        <f t="shared" ca="1" si="2"/>
        <v>8.5926209547079235</v>
      </c>
      <c r="V10" s="11">
        <f>EarningsPerDay[[#This Row],[Gross Earnings]]/EarningsPerDay[[#This Row],[Deliveries]]</f>
        <v>12.425000000000001</v>
      </c>
      <c r="W10" s="11">
        <f>EarningsPerDay[[#This Row],[Gross Earnings]]/EarningsPerDay[[#This Row],[Miles]]</f>
        <v>0.86903994948818752</v>
      </c>
      <c r="X10" s="71">
        <f>EarningsPerDay[[#This Row],[Deliveries]]/EarningsPerDay[[#This Row],[Hours]]</f>
        <v>0.93023255813953487</v>
      </c>
      <c r="Y10" s="71">
        <f>EarningsPerDay[[#This Row],[Miles]]/EarningsPerDay[[#This Row],[Deliveries]]</f>
        <v>14.297386451931906</v>
      </c>
      <c r="Z10" s="81">
        <f>(EarningsPerDay[[#This Row],[Hours]]/EarningsPerDay[[#This Row],[Deliveries]])/24</f>
        <v>4.4791666666666667E-2</v>
      </c>
      <c r="AA1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0" s="11">
        <f>AVERAGEIFS(EarningsPerDay[Gross $/Hour],EarningsPerDay[Week '#], EarningsPerDay[[#This Row],[Week '#]], EarningsPerDay[DOW], EarningsPerDay[[#This Row],[DOW]])</f>
        <v>16.370667853439272</v>
      </c>
      <c r="AC10" s="11">
        <f>EarningsPerDay[[#This Row],[Gross $/Hour]] - EarningsPerDay[[#This Row],[Weekly Average Earnings]]</f>
        <v>-4.8125283185555503</v>
      </c>
      <c r="AD10" s="11">
        <f>(SUMIFS(EarningsPerDay[Gross Earnings], EarningsPerDay[Date],"&gt;="&amp;EarningsPerDay[[#This Row],[Date]]-89, EarningsPerDay[Date], "&lt;="&amp;EarningsPerDay[[#This Row],[Date]]))/90</f>
        <v>3.6367777777777777</v>
      </c>
      <c r="AE10" s="11"/>
      <c r="AF10" s="6" t="s">
        <v>81</v>
      </c>
      <c r="AG10" t="s">
        <v>124</v>
      </c>
      <c r="AI10" s="11"/>
      <c r="AJ10" s="473">
        <v>46025</v>
      </c>
      <c r="AK10" s="4">
        <v>4.83</v>
      </c>
      <c r="AL10" s="4">
        <v>2</v>
      </c>
      <c r="AT10" t="s">
        <v>50</v>
      </c>
      <c r="AZ10" s="8"/>
      <c r="BF10" s="281" t="s">
        <v>51</v>
      </c>
      <c r="BG10" s="282"/>
      <c r="BH10" s="282">
        <v>3.1000000000000005</v>
      </c>
      <c r="BI10" s="282"/>
      <c r="BJ10" s="282"/>
      <c r="BK10" s="282"/>
      <c r="BL10" s="282">
        <v>7.1666666666666661</v>
      </c>
      <c r="BM10" s="282"/>
      <c r="BN10" s="282"/>
      <c r="BO10" s="282"/>
      <c r="BP10" s="282"/>
      <c r="BQ10" s="282"/>
      <c r="BR10" s="282">
        <v>5.2166666666666668</v>
      </c>
      <c r="BS10" s="282"/>
      <c r="BT10" s="282">
        <v>3.7166666666666668</v>
      </c>
      <c r="BU10" s="282"/>
      <c r="BV10" s="282"/>
      <c r="BW10" s="282"/>
      <c r="BX10" s="282">
        <v>0.70833333333333326</v>
      </c>
      <c r="BY10" s="282"/>
      <c r="BZ10" s="282"/>
      <c r="CA10" s="282"/>
      <c r="CB10" s="282"/>
      <c r="CC10" s="282"/>
      <c r="CD10" s="282"/>
      <c r="CE10" s="282"/>
      <c r="CF10" s="282"/>
      <c r="CG10" s="282">
        <v>7.8999999999999995</v>
      </c>
      <c r="CH10" s="282">
        <v>1.2</v>
      </c>
      <c r="CI10" s="282"/>
      <c r="CJ10" s="282">
        <v>2.67</v>
      </c>
      <c r="CK10" s="282"/>
      <c r="CL10" s="282"/>
      <c r="CM10" s="282"/>
      <c r="CN10" s="282"/>
      <c r="CO10" s="282"/>
      <c r="CP10" s="282"/>
      <c r="CQ10" s="282"/>
      <c r="CR10" s="282"/>
      <c r="CS10" s="282"/>
      <c r="CT10" s="282"/>
      <c r="CU10" s="282"/>
      <c r="CV10" s="282"/>
      <c r="CW10" s="282"/>
      <c r="CX10" s="282"/>
      <c r="CY10" s="282"/>
      <c r="CZ10" s="282">
        <v>2.9000000000000004</v>
      </c>
      <c r="DA10" s="282"/>
      <c r="DB10" s="282"/>
      <c r="DC10" s="282"/>
      <c r="DD10" s="282"/>
      <c r="DE10" s="282">
        <v>1.8</v>
      </c>
      <c r="DF10" s="282"/>
      <c r="DG10" s="282">
        <v>7</v>
      </c>
      <c r="DH10" s="282"/>
      <c r="DI10" s="282"/>
      <c r="DJ10" s="282"/>
      <c r="DK10" s="282">
        <v>6.4</v>
      </c>
      <c r="DL10" s="282"/>
      <c r="DM10" s="282"/>
      <c r="DN10" s="282">
        <v>4.8000000000000007</v>
      </c>
      <c r="DO10" s="282">
        <v>2.1</v>
      </c>
      <c r="DP10" s="282">
        <v>1.2</v>
      </c>
      <c r="DQ10" s="282"/>
      <c r="DR10" s="282"/>
      <c r="DS10" s="282"/>
      <c r="DT10" s="282"/>
      <c r="DU10" s="282"/>
      <c r="DV10" s="282"/>
      <c r="DW10" s="282">
        <v>7.3000000000000016</v>
      </c>
      <c r="DX10" s="282">
        <v>2.0999999999999996</v>
      </c>
      <c r="DY10" s="282"/>
      <c r="DZ10" s="282"/>
      <c r="EA10" s="282"/>
      <c r="EB10" s="282"/>
      <c r="EC10" s="282"/>
      <c r="ED10" s="282"/>
      <c r="EE10" s="282"/>
      <c r="EF10" s="282"/>
      <c r="EG10" s="282"/>
      <c r="EH10" s="282"/>
      <c r="EI10" s="282"/>
      <c r="EJ10" s="282"/>
      <c r="EK10" s="282"/>
      <c r="EL10" s="282"/>
      <c r="EM10" s="282"/>
      <c r="EN10" s="282"/>
      <c r="EO10" s="282">
        <v>11.5</v>
      </c>
      <c r="EP10" s="282"/>
      <c r="EQ10" s="282"/>
      <c r="ER10" s="282"/>
      <c r="ES10" s="282"/>
      <c r="ET10" s="282"/>
      <c r="EU10" s="282"/>
      <c r="EV10" s="282"/>
      <c r="EW10" s="282"/>
      <c r="EX10" s="282"/>
      <c r="EY10" s="282">
        <v>5.6</v>
      </c>
      <c r="EZ10" s="282"/>
      <c r="FA10" s="282"/>
      <c r="FB10" s="282"/>
      <c r="FC10" s="282">
        <v>5.5</v>
      </c>
      <c r="FD10" s="282"/>
      <c r="FE10" s="282"/>
      <c r="FF10" s="282"/>
      <c r="FG10" s="282"/>
      <c r="FH10" s="282"/>
      <c r="FI10" s="282">
        <v>4.5</v>
      </c>
      <c r="FJ10" s="282"/>
      <c r="FK10" s="282">
        <v>8.8000000000000007</v>
      </c>
      <c r="FL10" s="282"/>
      <c r="FM10" s="282"/>
      <c r="FN10" s="282"/>
      <c r="FO10" s="282">
        <v>4.42</v>
      </c>
      <c r="FP10" s="282"/>
      <c r="FQ10" s="282"/>
      <c r="FR10" s="282">
        <v>3.5</v>
      </c>
      <c r="FS10" s="282">
        <v>1.9</v>
      </c>
      <c r="FT10" s="282"/>
      <c r="FU10" s="282"/>
      <c r="FV10" s="282"/>
      <c r="FW10" s="282">
        <v>7.8000000000000007</v>
      </c>
      <c r="FX10" s="282"/>
      <c r="FY10" s="282"/>
      <c r="FZ10" s="282"/>
      <c r="GA10" s="282"/>
      <c r="GB10" s="282"/>
      <c r="GC10" s="282"/>
      <c r="GD10" s="282"/>
      <c r="GE10" s="282"/>
      <c r="GF10" s="282"/>
      <c r="GG10" s="282"/>
      <c r="GH10" s="282"/>
      <c r="GI10" s="282"/>
      <c r="GJ10" s="282">
        <v>6.8</v>
      </c>
      <c r="GK10" s="282"/>
      <c r="GL10" s="282"/>
      <c r="GM10" s="282">
        <v>6.1999999999999993</v>
      </c>
      <c r="GN10" s="282"/>
      <c r="GO10" s="282"/>
      <c r="GP10" s="282"/>
      <c r="GQ10" s="282">
        <v>9.07</v>
      </c>
      <c r="GR10" s="282"/>
      <c r="GS10" s="282"/>
      <c r="GT10" s="282"/>
      <c r="GU10" s="282"/>
      <c r="GV10" s="282"/>
      <c r="GW10" s="282"/>
      <c r="GX10" s="282"/>
      <c r="GY10" s="282">
        <v>6.2</v>
      </c>
      <c r="GZ10" s="282"/>
      <c r="HA10" s="282"/>
      <c r="HB10" s="282"/>
      <c r="HC10" s="282"/>
      <c r="HD10" s="282"/>
      <c r="HE10" s="282"/>
      <c r="HF10" s="282"/>
      <c r="HG10" s="282"/>
      <c r="HH10" s="282">
        <v>6.6999999999999993</v>
      </c>
      <c r="HI10" s="282"/>
      <c r="HJ10" s="282">
        <v>6.6999999999999993</v>
      </c>
      <c r="HK10" s="282"/>
      <c r="HL10" s="282"/>
      <c r="HM10" s="282"/>
      <c r="HN10" s="282"/>
      <c r="HO10" s="282"/>
      <c r="HP10" s="282">
        <v>8.73</v>
      </c>
      <c r="HQ10" s="282"/>
      <c r="HR10" s="282"/>
      <c r="HS10" s="282"/>
      <c r="HT10" s="282"/>
      <c r="HU10" s="282"/>
      <c r="HV10" s="282">
        <v>4.5</v>
      </c>
      <c r="HW10" s="282"/>
      <c r="HX10" s="282"/>
      <c r="HY10" s="282"/>
      <c r="HZ10" s="282"/>
      <c r="IA10" s="282"/>
      <c r="IB10" s="282"/>
      <c r="IC10" s="282"/>
      <c r="ID10" s="282"/>
      <c r="IE10" s="282"/>
      <c r="IF10" s="282"/>
      <c r="IG10" s="282"/>
      <c r="IH10" s="282"/>
      <c r="II10" s="282"/>
      <c r="IJ10" s="282"/>
      <c r="IK10" s="282"/>
      <c r="IL10" s="282"/>
      <c r="IM10" s="282"/>
      <c r="IN10" s="282"/>
      <c r="IO10" s="282"/>
      <c r="IP10" s="282">
        <v>5.9</v>
      </c>
      <c r="IQ10" s="282"/>
      <c r="IR10" s="282"/>
      <c r="IS10" s="282"/>
      <c r="IT10" s="282"/>
      <c r="IU10" s="282"/>
      <c r="IV10" s="282"/>
      <c r="IW10" s="282"/>
      <c r="IX10" s="282"/>
      <c r="IY10" s="282"/>
      <c r="IZ10" s="282"/>
      <c r="JA10" s="282"/>
      <c r="JB10" s="282"/>
      <c r="JC10" s="282"/>
      <c r="JD10" s="282">
        <v>5.1999999999999993</v>
      </c>
      <c r="JE10" s="282"/>
      <c r="JF10" s="282"/>
      <c r="JG10" s="282"/>
      <c r="JH10" s="282">
        <v>9.08</v>
      </c>
      <c r="JI10" s="282"/>
      <c r="JJ10" s="282"/>
      <c r="JK10" s="282"/>
      <c r="JL10" s="282"/>
      <c r="JM10" s="282"/>
      <c r="JN10" s="282"/>
      <c r="JO10" s="282"/>
      <c r="JP10" s="282"/>
      <c r="JQ10" s="282"/>
      <c r="JR10" s="282"/>
      <c r="JS10" s="282">
        <v>0.73</v>
      </c>
      <c r="JT10" s="282"/>
      <c r="JU10" s="282"/>
      <c r="JV10" s="282"/>
      <c r="JW10" s="282"/>
      <c r="JX10" s="282"/>
      <c r="JY10" s="282"/>
      <c r="JZ10" s="282"/>
      <c r="KA10" s="282"/>
      <c r="KB10" s="282"/>
      <c r="KC10" s="282"/>
      <c r="KD10" s="282"/>
      <c r="KE10" s="282"/>
      <c r="KF10" s="282"/>
      <c r="KG10" s="282"/>
      <c r="KH10" s="282"/>
      <c r="KI10" s="282"/>
      <c r="KJ10" s="282"/>
      <c r="KK10" s="282"/>
      <c r="KL10" s="282">
        <v>7.9</v>
      </c>
      <c r="KM10" s="282"/>
      <c r="KN10" s="282"/>
      <c r="KO10" s="282"/>
      <c r="KP10" s="282">
        <v>5.33</v>
      </c>
      <c r="KQ10" s="282"/>
      <c r="KR10" s="282"/>
      <c r="KS10" s="282"/>
      <c r="KT10" s="282"/>
      <c r="KU10" s="282"/>
      <c r="KV10" s="282"/>
      <c r="KW10" s="282">
        <v>4.13</v>
      </c>
      <c r="KX10" s="282"/>
      <c r="KY10" s="282"/>
      <c r="KZ10" s="282"/>
      <c r="LA10" s="282"/>
      <c r="LB10" s="282"/>
      <c r="LC10" s="282"/>
      <c r="LD10" s="282"/>
      <c r="LE10" s="282"/>
      <c r="LF10" s="282"/>
      <c r="LG10" s="282"/>
      <c r="LH10" s="282"/>
      <c r="LI10" s="282">
        <v>5.72</v>
      </c>
      <c r="LJ10" s="282"/>
      <c r="LK10" s="282"/>
      <c r="LL10" s="282"/>
      <c r="LM10" s="282">
        <v>6.2</v>
      </c>
      <c r="LN10" s="282"/>
      <c r="LO10" s="282"/>
      <c r="LP10" s="282"/>
      <c r="LQ10" s="282"/>
      <c r="LR10" s="282">
        <v>6.23</v>
      </c>
      <c r="LS10" s="282"/>
      <c r="LT10" s="282"/>
      <c r="LU10" s="282">
        <v>4.03</v>
      </c>
      <c r="LV10" s="282"/>
      <c r="LW10" s="282"/>
      <c r="LX10" s="282"/>
      <c r="LY10" s="282"/>
      <c r="LZ10" s="282">
        <v>4.58</v>
      </c>
      <c r="MA10" s="282"/>
      <c r="MB10" s="282"/>
      <c r="MC10" s="282">
        <v>5.62</v>
      </c>
      <c r="MD10" s="282"/>
      <c r="ME10" s="282"/>
      <c r="MF10" s="282"/>
      <c r="MG10" s="282">
        <v>6.2</v>
      </c>
      <c r="MH10" s="282"/>
      <c r="MI10" s="282"/>
      <c r="MJ10" s="282"/>
      <c r="MK10" s="282"/>
      <c r="ML10" s="282">
        <v>1.1299999999999999</v>
      </c>
      <c r="MM10" s="282"/>
      <c r="MN10" s="282"/>
      <c r="MO10" s="282"/>
      <c r="MP10" s="282"/>
      <c r="MQ10" s="282"/>
      <c r="MR10" s="282"/>
      <c r="MS10" s="282"/>
      <c r="MT10" s="282"/>
      <c r="MU10" s="282"/>
      <c r="MV10" s="282"/>
      <c r="MW10" s="282"/>
      <c r="MX10" s="282"/>
      <c r="MY10" s="282"/>
      <c r="MZ10" s="282"/>
      <c r="NA10" s="282"/>
      <c r="NB10" s="282"/>
      <c r="NC10" s="282"/>
      <c r="ND10" s="282">
        <v>4.2</v>
      </c>
      <c r="NE10" s="282"/>
      <c r="NF10" s="282"/>
      <c r="NG10" s="282"/>
      <c r="NH10" s="282"/>
      <c r="NI10" s="282"/>
      <c r="NJ10" s="282">
        <v>5.38</v>
      </c>
      <c r="NK10" s="282"/>
      <c r="NL10" s="282"/>
      <c r="NM10" s="282"/>
      <c r="NN10" s="282"/>
      <c r="NO10" s="282"/>
      <c r="NP10" s="282">
        <v>6.95</v>
      </c>
      <c r="NQ10" s="282"/>
      <c r="NR10" s="282"/>
      <c r="NS10" s="282"/>
      <c r="NT10" s="282">
        <v>8.92</v>
      </c>
      <c r="NU10" s="282"/>
      <c r="NV10" s="282">
        <v>8.57</v>
      </c>
      <c r="NW10" s="282"/>
      <c r="NX10" s="282"/>
      <c r="NY10" s="282"/>
      <c r="NZ10" s="282">
        <v>9.2200000000000006</v>
      </c>
      <c r="OA10" s="282"/>
      <c r="OB10" s="282"/>
      <c r="OC10" s="282"/>
      <c r="OD10" s="282"/>
      <c r="OE10" s="282"/>
      <c r="OF10" s="282"/>
      <c r="OG10" s="282"/>
      <c r="OH10" s="282"/>
      <c r="OI10" s="282">
        <v>5.37</v>
      </c>
      <c r="OJ10" s="282"/>
      <c r="OK10" s="282"/>
      <c r="OL10" s="282"/>
      <c r="OM10" s="282"/>
      <c r="ON10" s="282">
        <v>8.0299999999999994</v>
      </c>
      <c r="OO10" s="282"/>
      <c r="OP10" s="282"/>
      <c r="OQ10" s="282"/>
      <c r="OR10" s="282"/>
      <c r="OS10" s="282">
        <v>7.38</v>
      </c>
      <c r="OT10" s="282"/>
      <c r="OU10" s="282"/>
      <c r="OV10" s="282"/>
      <c r="OW10" s="282"/>
      <c r="OX10" s="282"/>
      <c r="OY10" s="282"/>
      <c r="OZ10" s="282"/>
      <c r="PA10" s="282">
        <v>5.17</v>
      </c>
      <c r="PB10" s="282"/>
      <c r="PC10" s="282"/>
      <c r="PD10" s="282"/>
      <c r="PE10" s="282">
        <v>9.42</v>
      </c>
      <c r="PF10" s="282"/>
      <c r="PG10" s="282"/>
      <c r="PH10" s="282"/>
      <c r="PI10" s="282"/>
      <c r="PJ10" s="282"/>
      <c r="PK10" s="282"/>
      <c r="PL10" s="282"/>
      <c r="PM10" s="282"/>
      <c r="PN10" s="282"/>
      <c r="PO10" s="282"/>
      <c r="PP10" s="282"/>
      <c r="PQ10" s="282"/>
      <c r="PR10" s="282"/>
      <c r="PS10" s="282"/>
      <c r="PT10" s="282"/>
      <c r="PU10" s="282"/>
      <c r="PV10" s="282"/>
      <c r="PW10" s="282">
        <v>6.63</v>
      </c>
      <c r="PX10" s="282"/>
      <c r="PY10" s="282"/>
      <c r="PZ10" s="282"/>
      <c r="QA10" s="282"/>
      <c r="QB10" s="282"/>
      <c r="QC10" s="282"/>
      <c r="QD10" s="282"/>
      <c r="QE10" s="282"/>
      <c r="QF10" s="282">
        <v>5.42</v>
      </c>
      <c r="QG10" s="282"/>
      <c r="QH10" s="282"/>
      <c r="QI10" s="282"/>
      <c r="QJ10" s="282"/>
      <c r="QK10" s="282"/>
      <c r="QL10" s="282"/>
      <c r="QM10" s="282"/>
      <c r="QN10" s="282"/>
      <c r="QO10" s="282"/>
      <c r="QP10" s="282"/>
      <c r="QQ10" s="282"/>
      <c r="QR10" s="282"/>
      <c r="QS10" s="282"/>
      <c r="QT10" s="282"/>
      <c r="QU10" s="282"/>
      <c r="QV10" s="282">
        <v>2.25</v>
      </c>
      <c r="QW10" s="282"/>
      <c r="QX10" s="282">
        <v>3.13</v>
      </c>
      <c r="QY10" s="282"/>
      <c r="QZ10" s="282"/>
      <c r="RA10" s="282">
        <v>3.82</v>
      </c>
      <c r="RB10" s="282"/>
      <c r="RC10" s="282"/>
      <c r="RD10" s="282"/>
      <c r="RE10" s="282"/>
      <c r="RF10" s="282"/>
      <c r="RG10" s="282"/>
      <c r="RH10" s="282"/>
      <c r="RI10" s="282">
        <v>5.32</v>
      </c>
      <c r="RJ10" s="282"/>
      <c r="RK10" s="282"/>
      <c r="RL10" s="282"/>
      <c r="RM10" s="282"/>
      <c r="RN10" s="282"/>
      <c r="RO10" s="282">
        <v>2.1</v>
      </c>
      <c r="RP10" s="282"/>
      <c r="RQ10" s="282"/>
      <c r="RR10" s="282"/>
      <c r="RS10" s="282">
        <v>5.08</v>
      </c>
      <c r="RT10" s="282"/>
      <c r="RU10" s="282"/>
      <c r="RV10" s="282"/>
      <c r="RW10" s="282"/>
      <c r="RX10" s="282">
        <v>4.47</v>
      </c>
      <c r="RY10" s="282"/>
      <c r="RZ10" s="282"/>
      <c r="SA10" s="282"/>
      <c r="SB10" s="282"/>
      <c r="SC10" s="282"/>
      <c r="SD10" s="282"/>
      <c r="SE10" s="282"/>
      <c r="SF10" s="282"/>
      <c r="SG10" s="282">
        <v>3.13</v>
      </c>
      <c r="SH10" s="282"/>
      <c r="SI10" s="282"/>
      <c r="SJ10" s="282"/>
      <c r="SK10" s="282">
        <v>4.88</v>
      </c>
      <c r="SL10" s="282"/>
      <c r="SM10" s="282"/>
      <c r="SN10" s="282"/>
      <c r="SO10" s="282"/>
      <c r="SP10" s="282"/>
      <c r="SQ10" s="282">
        <v>3.25</v>
      </c>
      <c r="SR10" s="282"/>
      <c r="SS10" s="282"/>
      <c r="ST10" s="282"/>
      <c r="SU10" s="282">
        <v>4.4800000000000004</v>
      </c>
      <c r="SV10" s="282"/>
      <c r="SW10" s="282"/>
      <c r="SX10" s="282">
        <v>7.55</v>
      </c>
      <c r="SY10" s="282"/>
      <c r="SZ10" s="282"/>
      <c r="TA10" s="282"/>
      <c r="TB10" s="282"/>
      <c r="TC10" s="282">
        <v>4.03</v>
      </c>
      <c r="TD10" s="282"/>
      <c r="TE10" s="282"/>
      <c r="TF10" s="282"/>
      <c r="TG10" s="282"/>
      <c r="TH10" s="282"/>
      <c r="TI10" s="282"/>
      <c r="TJ10" s="282"/>
      <c r="TK10" s="282"/>
      <c r="TL10" s="282"/>
      <c r="TM10" s="282">
        <v>3.6</v>
      </c>
      <c r="TN10" s="282"/>
      <c r="TO10" s="282"/>
      <c r="TP10" s="282"/>
      <c r="TQ10" s="282">
        <v>3.42</v>
      </c>
      <c r="TR10" s="282"/>
      <c r="TS10" s="282"/>
      <c r="TT10" s="282"/>
      <c r="TU10" s="282">
        <v>5.28</v>
      </c>
      <c r="TV10" s="282"/>
      <c r="TW10" s="282"/>
      <c r="TX10" s="282"/>
      <c r="TY10" s="282"/>
      <c r="TZ10" s="282"/>
      <c r="UA10" s="282">
        <v>4.9000000000000004</v>
      </c>
      <c r="UB10" s="282"/>
      <c r="UC10" s="282"/>
      <c r="UD10" s="282"/>
      <c r="UE10" s="282"/>
      <c r="UF10" s="282"/>
      <c r="UG10" s="282">
        <v>3.63</v>
      </c>
      <c r="UH10" s="282"/>
      <c r="UI10" s="282"/>
      <c r="UJ10" s="282"/>
      <c r="UK10" s="282"/>
      <c r="UL10" s="282"/>
      <c r="UM10" s="282"/>
      <c r="UN10" s="282"/>
      <c r="UO10" s="282"/>
      <c r="UP10" s="282"/>
      <c r="UQ10" s="282"/>
      <c r="UR10" s="282"/>
      <c r="US10" s="282"/>
      <c r="UT10" s="282"/>
      <c r="UU10" s="282"/>
      <c r="UV10" s="282"/>
      <c r="UW10" s="282"/>
      <c r="UX10" s="282"/>
      <c r="UY10" s="282"/>
      <c r="UZ10" s="282">
        <v>5.05</v>
      </c>
      <c r="VA10" s="282"/>
      <c r="VB10" s="282"/>
      <c r="VC10" s="282"/>
      <c r="VD10" s="282"/>
      <c r="VE10" s="282"/>
      <c r="VF10" s="282"/>
      <c r="VG10" s="282">
        <v>7.35</v>
      </c>
      <c r="VH10" s="282"/>
      <c r="VI10" s="282"/>
      <c r="VJ10" s="282"/>
      <c r="VK10" s="282"/>
      <c r="VL10" s="282"/>
      <c r="VM10" s="282"/>
      <c r="VN10" s="282">
        <v>5.93</v>
      </c>
      <c r="VO10" s="282"/>
      <c r="VP10" s="282"/>
      <c r="VQ10" s="282"/>
      <c r="VR10" s="282"/>
      <c r="VS10" s="282"/>
      <c r="VT10" s="282"/>
      <c r="VU10" s="282"/>
      <c r="VV10" s="282"/>
      <c r="VW10" s="282"/>
      <c r="VX10" s="282"/>
      <c r="VY10" s="282"/>
      <c r="VZ10" s="282"/>
      <c r="WA10" s="282"/>
      <c r="WB10" s="282"/>
      <c r="WC10" s="282"/>
      <c r="WD10" s="282"/>
      <c r="WE10" s="282"/>
      <c r="WF10" s="282"/>
      <c r="WG10" s="282">
        <v>6.92</v>
      </c>
      <c r="WH10" s="282"/>
      <c r="WI10" s="282"/>
      <c r="WJ10" s="282"/>
      <c r="WK10" s="282"/>
      <c r="WL10" s="282">
        <v>5.45</v>
      </c>
      <c r="WM10" s="282"/>
      <c r="WN10" s="282"/>
      <c r="WO10" s="282"/>
      <c r="WP10" s="282"/>
      <c r="WQ10" s="282">
        <v>7.62</v>
      </c>
      <c r="WR10" s="282"/>
      <c r="WS10" s="282"/>
      <c r="WT10" s="282"/>
      <c r="WU10" s="282">
        <v>7.63</v>
      </c>
      <c r="WV10" s="282"/>
      <c r="WW10" s="282"/>
      <c r="WX10" s="282"/>
      <c r="WY10" s="282"/>
      <c r="WZ10" s="282"/>
      <c r="XA10" s="282"/>
      <c r="XB10" s="282">
        <v>6.35</v>
      </c>
      <c r="XC10" s="282"/>
      <c r="XD10" s="282"/>
      <c r="XE10" s="282"/>
      <c r="XF10" s="282"/>
      <c r="XG10" s="282">
        <v>6.93</v>
      </c>
      <c r="XH10" s="282"/>
      <c r="XI10" s="282"/>
      <c r="XJ10" s="282"/>
      <c r="XK10" s="282"/>
      <c r="XL10" s="282"/>
      <c r="XM10" s="282"/>
      <c r="XN10" s="282"/>
      <c r="XO10" s="282">
        <v>3.95</v>
      </c>
      <c r="XP10" s="282"/>
      <c r="XQ10" s="282"/>
      <c r="XR10" s="282"/>
      <c r="XS10" s="282"/>
      <c r="XT10" s="282"/>
      <c r="XU10" s="282">
        <v>5.88</v>
      </c>
      <c r="XV10" s="282"/>
      <c r="XW10" s="282"/>
      <c r="XX10" s="282"/>
      <c r="XY10" s="282"/>
      <c r="XZ10" s="282"/>
      <c r="YA10" s="282"/>
      <c r="YB10" s="282"/>
      <c r="YC10" s="282"/>
      <c r="YD10" s="282"/>
      <c r="YE10" s="282">
        <v>6.75</v>
      </c>
      <c r="YF10" s="282"/>
      <c r="YG10" s="282"/>
      <c r="YH10" s="282">
        <v>3.82</v>
      </c>
      <c r="YI10" s="282"/>
      <c r="YJ10" s="282"/>
      <c r="YK10" s="282"/>
      <c r="YL10" s="282"/>
      <c r="YM10" s="282">
        <v>1.52</v>
      </c>
      <c r="YN10" s="282"/>
      <c r="YO10" s="282"/>
      <c r="YP10" s="282"/>
      <c r="YQ10" s="282"/>
      <c r="YR10" s="282"/>
      <c r="YS10" s="282"/>
      <c r="YT10" s="282"/>
      <c r="YU10" s="282"/>
      <c r="YV10" s="282"/>
      <c r="YW10" s="282">
        <v>6.3</v>
      </c>
      <c r="YX10" s="282"/>
      <c r="YY10" s="282"/>
      <c r="YZ10" s="282"/>
      <c r="ZA10" s="282"/>
      <c r="ZB10" s="282"/>
      <c r="ZC10" s="282"/>
      <c r="ZD10" s="282"/>
      <c r="ZE10" s="282">
        <v>8</v>
      </c>
      <c r="ZF10" s="282"/>
      <c r="ZG10" s="282"/>
      <c r="ZH10" s="282"/>
      <c r="ZI10" s="282"/>
      <c r="ZJ10" s="282"/>
      <c r="ZK10" s="282"/>
      <c r="ZL10" s="282"/>
      <c r="ZM10" s="282"/>
      <c r="ZN10" s="282"/>
      <c r="ZO10" s="282"/>
      <c r="ZP10" s="282"/>
      <c r="ZQ10" s="282"/>
      <c r="ZR10" s="282"/>
      <c r="ZS10" s="282"/>
      <c r="ZT10" s="282"/>
      <c r="ZU10" s="282"/>
      <c r="ZV10" s="282"/>
      <c r="ZW10" s="282">
        <v>6.78</v>
      </c>
      <c r="ZX10" s="282"/>
      <c r="ZY10" s="282"/>
      <c r="ZZ10" s="282"/>
      <c r="AAA10" s="282">
        <v>4.4000000000000004</v>
      </c>
      <c r="AAB10" s="282"/>
      <c r="AAC10" s="282"/>
      <c r="AAD10" s="282"/>
      <c r="AAE10" s="282"/>
      <c r="AAF10" s="282"/>
      <c r="AAG10" s="282"/>
      <c r="AAH10" s="282">
        <v>2</v>
      </c>
      <c r="AAI10" s="282"/>
      <c r="AAJ10" s="282"/>
      <c r="AAK10" s="282"/>
      <c r="AAL10" s="282"/>
      <c r="AAM10" s="282"/>
      <c r="AAN10" s="282"/>
      <c r="AAO10" s="282"/>
      <c r="AAP10" s="282">
        <v>3.2</v>
      </c>
      <c r="AAQ10" s="282"/>
      <c r="AAR10" s="282"/>
      <c r="AAS10" s="282"/>
      <c r="AAT10" s="282">
        <v>5.6</v>
      </c>
      <c r="AAU10" s="282"/>
      <c r="AAV10" s="282"/>
      <c r="AAW10" s="282">
        <v>5.3</v>
      </c>
      <c r="AAX10" s="282"/>
      <c r="AAY10" s="282"/>
      <c r="AAZ10" s="282">
        <v>6.85</v>
      </c>
      <c r="ABA10" s="282"/>
      <c r="ABB10" s="282"/>
      <c r="ABC10" s="282"/>
      <c r="ABD10" s="282"/>
      <c r="ABE10" s="282"/>
      <c r="ABF10" s="282"/>
      <c r="ABG10" s="282"/>
      <c r="ABH10" s="282"/>
      <c r="ABI10" s="282"/>
      <c r="ABJ10" s="282">
        <v>2.9</v>
      </c>
      <c r="ABK10" s="282"/>
      <c r="ABL10" s="282"/>
      <c r="ABM10" s="282"/>
      <c r="ABN10" s="282"/>
      <c r="ABO10" s="282"/>
      <c r="ABP10" s="282"/>
      <c r="ABQ10" s="282"/>
      <c r="ABR10" s="282"/>
      <c r="ABS10" s="282">
        <v>5.0199999999999996</v>
      </c>
      <c r="ABT10" s="282"/>
      <c r="ABU10" s="282"/>
      <c r="ABV10" s="282"/>
      <c r="ABW10" s="282"/>
      <c r="ABX10" s="282"/>
      <c r="ABY10" s="282"/>
      <c r="ABZ10" s="282"/>
      <c r="ACA10" s="282">
        <v>4.5999999999999996</v>
      </c>
      <c r="ACB10" s="282"/>
      <c r="ACC10" s="282"/>
      <c r="ACD10" s="282"/>
      <c r="ACE10" s="282"/>
      <c r="ACF10" s="282"/>
      <c r="ACG10" s="282">
        <v>3.42</v>
      </c>
      <c r="ACH10" s="282"/>
      <c r="ACI10" s="282"/>
      <c r="ACJ10" s="282"/>
      <c r="ACK10" s="282"/>
      <c r="ACL10" s="282"/>
      <c r="ACM10" s="282">
        <v>4.68</v>
      </c>
      <c r="ACN10" s="282"/>
      <c r="ACO10" s="282"/>
      <c r="ACP10" s="282"/>
      <c r="ACQ10" s="282"/>
      <c r="ACR10" s="282"/>
      <c r="ACS10" s="282">
        <v>5.53</v>
      </c>
      <c r="ACT10" s="282"/>
      <c r="ACU10" s="282"/>
      <c r="ACV10" s="282"/>
      <c r="ACW10" s="282"/>
      <c r="ACX10" s="282"/>
      <c r="ACY10" s="282"/>
      <c r="ACZ10" s="282"/>
      <c r="ADA10" s="282"/>
      <c r="ADB10" s="282"/>
      <c r="ADC10" s="282"/>
      <c r="ADD10" s="282"/>
      <c r="ADE10" s="282"/>
      <c r="ADF10" s="282"/>
      <c r="ADG10" s="282">
        <v>5.97</v>
      </c>
      <c r="ADH10" s="282"/>
      <c r="ADI10" s="282"/>
      <c r="ADJ10" s="282"/>
      <c r="ADK10" s="282"/>
      <c r="ADL10" s="282"/>
      <c r="ADM10" s="282"/>
      <c r="ADN10" s="282">
        <v>7.63</v>
      </c>
      <c r="ADO10" s="282"/>
      <c r="ADP10" s="282"/>
      <c r="ADQ10" s="282"/>
      <c r="ADR10" s="282"/>
      <c r="ADS10" s="282"/>
      <c r="ADT10" s="282">
        <v>1.28</v>
      </c>
      <c r="ADU10" s="282"/>
      <c r="ADV10" s="282"/>
      <c r="ADW10" s="282"/>
      <c r="ADX10" s="282"/>
      <c r="ADY10" s="282"/>
      <c r="ADZ10" s="282"/>
      <c r="AEA10" s="282"/>
      <c r="AEB10" s="282">
        <v>8.2200000000000006</v>
      </c>
      <c r="AEC10" s="282"/>
      <c r="AED10" s="282"/>
      <c r="AEE10" s="282"/>
      <c r="AEF10" s="282"/>
      <c r="AEG10" s="282"/>
      <c r="AEH10" s="282"/>
      <c r="AEI10" s="282"/>
      <c r="AEJ10" s="282"/>
      <c r="AEK10" s="282"/>
      <c r="AEL10" s="282">
        <v>6.57</v>
      </c>
      <c r="AEM10" s="282"/>
      <c r="AEN10" s="282"/>
      <c r="AEO10" s="282"/>
      <c r="AEP10" s="282"/>
      <c r="AEQ10" s="282"/>
      <c r="AER10" s="282"/>
      <c r="AES10" s="282">
        <v>7.33</v>
      </c>
      <c r="AET10" s="282"/>
      <c r="AEU10" s="282"/>
      <c r="AEV10" s="282"/>
      <c r="AEW10" s="282"/>
      <c r="AEX10" s="282"/>
      <c r="AEY10" s="282"/>
      <c r="AEZ10" s="282"/>
      <c r="AFA10" s="282"/>
      <c r="AFB10" s="282"/>
      <c r="AFC10" s="282"/>
      <c r="AFD10" s="282"/>
      <c r="AFE10" s="282"/>
      <c r="AFF10" s="282"/>
      <c r="AFG10" s="282">
        <v>6.92</v>
      </c>
      <c r="AFH10" s="282"/>
      <c r="AFI10" s="282"/>
      <c r="AFJ10" s="282"/>
      <c r="AFK10" s="282"/>
      <c r="AFL10" s="282"/>
      <c r="AFM10" s="282"/>
      <c r="AFN10" s="282"/>
      <c r="AFO10" s="282"/>
      <c r="AFP10" s="282"/>
      <c r="AFQ10" s="282"/>
      <c r="AFR10" s="282"/>
      <c r="AFS10" s="282"/>
      <c r="AFT10" s="282"/>
      <c r="AFU10" s="282"/>
      <c r="AFV10" s="282"/>
      <c r="AFW10" s="282">
        <v>7.47</v>
      </c>
      <c r="AFX10" s="282"/>
      <c r="AFY10" s="282"/>
      <c r="AFZ10" s="282"/>
      <c r="AGA10" s="282"/>
      <c r="AGB10" s="282"/>
      <c r="AGC10" s="282"/>
      <c r="AGD10" s="282"/>
      <c r="AGE10" s="282"/>
      <c r="AGF10" s="282"/>
      <c r="AGG10" s="282"/>
      <c r="AGH10" s="282"/>
      <c r="AGI10" s="282"/>
      <c r="AGJ10" s="282"/>
      <c r="AGK10" s="282">
        <v>4.67</v>
      </c>
      <c r="AGL10" s="282"/>
      <c r="AGM10" s="282"/>
      <c r="AGN10" s="282"/>
      <c r="AGO10" s="282">
        <v>5.55</v>
      </c>
      <c r="AGP10" s="282"/>
      <c r="AGQ10" s="282"/>
      <c r="AGR10" s="282"/>
      <c r="AGS10" s="282"/>
      <c r="AGT10" s="282">
        <v>6.3330000000000002</v>
      </c>
      <c r="AGU10" s="282"/>
      <c r="AGV10" s="282"/>
      <c r="AGW10" s="282">
        <v>2.33</v>
      </c>
      <c r="AGX10" s="282"/>
      <c r="AGY10" s="282"/>
      <c r="AGZ10" s="282"/>
      <c r="AHA10" s="282"/>
      <c r="AHB10" s="282"/>
      <c r="AHC10" s="282"/>
      <c r="AHD10" s="282"/>
      <c r="AHE10" s="282">
        <v>5.47</v>
      </c>
      <c r="AHF10" s="282"/>
      <c r="AHG10" s="282"/>
      <c r="AHH10" s="282"/>
      <c r="AHI10" s="282">
        <v>6.58</v>
      </c>
      <c r="AHJ10" s="282"/>
      <c r="AHK10" s="282"/>
      <c r="AHL10" s="282"/>
      <c r="AHM10" s="282"/>
      <c r="AHN10" s="282"/>
      <c r="AHO10" s="282">
        <v>6.83</v>
      </c>
      <c r="AHP10" s="282"/>
      <c r="AHQ10" s="282"/>
      <c r="AHR10" s="282"/>
      <c r="AHS10" s="282"/>
      <c r="AHT10" s="282"/>
      <c r="AHU10" s="282"/>
      <c r="AHV10" s="282"/>
      <c r="AHW10" s="282">
        <v>4.83</v>
      </c>
      <c r="AHX10" s="282"/>
      <c r="AHY10" s="282"/>
      <c r="AHZ10" s="282"/>
      <c r="AIA10" s="282"/>
      <c r="AIB10" s="282">
        <v>4.2699999999999996</v>
      </c>
      <c r="AIC10" s="282"/>
      <c r="AID10" s="282"/>
      <c r="AIE10" s="282">
        <v>4.62</v>
      </c>
      <c r="AIF10" s="282"/>
      <c r="AIG10" s="282"/>
      <c r="AIH10" s="282"/>
      <c r="AII10" s="282">
        <v>3.5</v>
      </c>
      <c r="AIJ10" s="282"/>
      <c r="AIK10" s="282">
        <v>4.9800000000000004</v>
      </c>
      <c r="AIL10" s="282"/>
      <c r="AIM10" s="282"/>
      <c r="AIN10" s="282"/>
      <c r="AIO10" s="282"/>
      <c r="AIP10" s="282"/>
      <c r="AIQ10" s="282"/>
      <c r="AIR10" s="282"/>
      <c r="AIS10" s="282"/>
      <c r="AIT10" s="282"/>
      <c r="AIU10" s="282"/>
      <c r="AIV10" s="282"/>
      <c r="AIW10" s="282"/>
      <c r="AIX10" s="282"/>
      <c r="AIY10" s="282"/>
      <c r="AIZ10" s="282"/>
      <c r="AJA10" s="282"/>
      <c r="AJB10" s="282"/>
      <c r="AJC10" s="282"/>
      <c r="AJD10" s="282"/>
      <c r="AJE10" s="282">
        <v>5.3158242894056853</v>
      </c>
    </row>
    <row r="11" spans="1:941" x14ac:dyDescent="0.35">
      <c r="A11" s="55"/>
      <c r="B11" s="40">
        <v>44229</v>
      </c>
      <c r="C11" s="40">
        <f t="shared" si="3"/>
        <v>44229</v>
      </c>
      <c r="D11" s="4">
        <f>IF(EarningsPerDay[[#This Row],[Week '#]]&gt;=52,YEAR(EarningsPerDay[[#This Row],[Date]])-1,YEAR(EarningsPerDay[[#This Row],[Date]]))</f>
        <v>2021</v>
      </c>
      <c r="E11" s="4" t="str">
        <f>"QTR"&amp;IF(EarningsPerDay[[#This Row],[Week '#]] &lt;= 13, 1, IF(EarningsPerDay[[#This Row],[Week '#]] &lt;= 26, 2, IF(EarningsPerDay[[#This Row],[Week '#]] &lt;= 39, 3, 4)))</f>
        <v>QTR1</v>
      </c>
      <c r="F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1" s="4">
        <f>IF(WEEKNUM(EarningsPerDay[[#This Row],[Date]], 2) = 53, 1, WEEKNUM(EarningsPerDay[[#This Row],[Date]],2))</f>
        <v>6</v>
      </c>
      <c r="H11" s="40" t="str">
        <f t="shared" si="0"/>
        <v>Tuesday</v>
      </c>
      <c r="I11" s="106" t="str">
        <f>IF(_xlfn.XLOOKUP(EarningsPerDay[[#This Row],[Date]],Mileage[Date],Mileage[Start Time])="","",MROUND(_xlfn.XLOOKUP(EarningsPerDay[[#This Row],[Date]],Mileage[Date],Mileage[Start Time]),0.0208333333333333))</f>
        <v/>
      </c>
      <c r="J11" s="40" t="str" cm="1">
        <f t="array" ref="J11">IFERROR(VLOOKUP(MODE(IF(Combined[Date]=EarningsPerDay[[#This Row],[Date]],Combined[Area '#])),KPIs!$B$4:$C$7,2,FALSE),VLOOKUP(EarningsPerDay[[#This Row],[Date]],Combined[[Date]:[Primary Area]],8,FALSE))</f>
        <v>Portland</v>
      </c>
      <c r="K11" s="40" t="str">
        <f>_xlfn.XLOOKUP(EarningsPerDay[[#This Row],[Date]],Mileage[Date],Mileage[Weather])</f>
        <v>Rain / Snow Mix</v>
      </c>
      <c r="L11" s="4">
        <f>_xlfn.XLOOKUP(EarningsPerDay[[#This Row],[Date]],Mileage[Date],Mileage[Hi Temp])</f>
        <v>31.9</v>
      </c>
      <c r="M11" s="12">
        <f>_xlfn.XLOOKUP(EarningsPerDay[[#This Row],[Date]],Mileage[Date],Mileage[Total Time])</f>
        <v>4.9666666666666668</v>
      </c>
      <c r="N11" s="4">
        <f>_xlfn.XLOOKUP(EarningsPerDay[[#This Row],[Date]],Mileage[Date],Mileage[Mileage])</f>
        <v>71.48693225965954</v>
      </c>
      <c r="O11" s="4">
        <f>SUMIF(Combined[Date],EarningsPerDay[[#This Row],[Date]],Combined[Trips])</f>
        <v>5</v>
      </c>
      <c r="P11">
        <f>COUNTIF(Combined[Date],EarningsPerDay[[#This Row],[Date]])</f>
        <v>1</v>
      </c>
      <c r="Q1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" s="11">
        <f>SUMIF(Combined[Date],EarningsPerDay[[#This Row],[Date]],Combined[Earnings])</f>
        <v>53.84</v>
      </c>
      <c r="S11" s="11">
        <f ca="1">EarningsPerDay[[#This Row],[Gross Earnings]]-(EarningsPerDay[[#This Row],[Miles]]*CpM!$D$11)</f>
        <v>37.90033763155509</v>
      </c>
      <c r="T11" s="11">
        <f t="shared" si="1"/>
        <v>10.840268456375838</v>
      </c>
      <c r="U11" s="11">
        <f t="shared" ca="1" si="2"/>
        <v>7.6309404627292121</v>
      </c>
      <c r="V11" s="11">
        <f>EarningsPerDay[[#This Row],[Gross Earnings]]/EarningsPerDay[[#This Row],[Deliveries]]</f>
        <v>10.768000000000001</v>
      </c>
      <c r="W11" s="11">
        <f>EarningsPerDay[[#This Row],[Gross Earnings]]/EarningsPerDay[[#This Row],[Miles]]</f>
        <v>0.75314464193873665</v>
      </c>
      <c r="X11" s="71">
        <f>EarningsPerDay[[#This Row],[Deliveries]]/EarningsPerDay[[#This Row],[Hours]]</f>
        <v>1.006711409395973</v>
      </c>
      <c r="Y11" s="71">
        <f>EarningsPerDay[[#This Row],[Miles]]/EarningsPerDay[[#This Row],[Deliveries]]</f>
        <v>14.297386451931908</v>
      </c>
      <c r="Z11" s="81">
        <f>(EarningsPerDay[[#This Row],[Hours]]/EarningsPerDay[[#This Row],[Deliveries]])/24</f>
        <v>4.1388888888888892E-2</v>
      </c>
      <c r="AA1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1" s="11">
        <f>AVERAGEIFS(EarningsPerDay[Gross $/Hour],EarningsPerDay[Week '#], EarningsPerDay[[#This Row],[Week '#]], EarningsPerDay[DOW], EarningsPerDay[[#This Row],[DOW]])</f>
        <v>23.735051355259746</v>
      </c>
      <c r="AC11" s="11">
        <f>EarningsPerDay[[#This Row],[Gross $/Hour]] - EarningsPerDay[[#This Row],[Weekly Average Earnings]]</f>
        <v>-12.894782898883907</v>
      </c>
      <c r="AD11" s="11">
        <f>(SUMIFS(EarningsPerDay[Gross Earnings], EarningsPerDay[Date],"&gt;="&amp;EarningsPerDay[[#This Row],[Date]]-89, EarningsPerDay[Date], "&lt;="&amp;EarningsPerDay[[#This Row],[Date]]))/90</f>
        <v>4.2349999999999994</v>
      </c>
      <c r="AE11" s="11"/>
      <c r="AF11" s="7" t="s">
        <v>126</v>
      </c>
      <c r="AG11" s="4">
        <v>6713.2736826634364</v>
      </c>
      <c r="AI11" s="11"/>
      <c r="AJ11" s="473">
        <v>46026</v>
      </c>
      <c r="AK11" s="4">
        <v>1.22</v>
      </c>
      <c r="AL11" s="4">
        <v>2</v>
      </c>
      <c r="AT11" t="s">
        <v>51</v>
      </c>
      <c r="AZ11" s="8"/>
      <c r="BF11" s="7" t="s">
        <v>88</v>
      </c>
      <c r="BG11" s="57">
        <f>SUM(BG4:BG10)</f>
        <v>4.333333333333333</v>
      </c>
      <c r="BH11" s="57">
        <f t="shared" ref="BH11:BK11" si="4">SUM(BH4:BH10)</f>
        <v>3.1000000000000005</v>
      </c>
      <c r="BI11" s="57">
        <f t="shared" si="4"/>
        <v>2.0499999999999998</v>
      </c>
      <c r="BJ11" s="57">
        <f t="shared" si="4"/>
        <v>6.6166666666666671</v>
      </c>
      <c r="BK11" s="57">
        <f t="shared" si="4"/>
        <v>3.6666666666666661</v>
      </c>
    </row>
    <row r="12" spans="1:941" x14ac:dyDescent="0.35">
      <c r="A12" s="55"/>
      <c r="B12" s="40">
        <v>44234</v>
      </c>
      <c r="C12" s="40">
        <f t="shared" si="3"/>
        <v>44234</v>
      </c>
      <c r="D12" s="4">
        <f>IF(EarningsPerDay[[#This Row],[Week '#]]&gt;=52,YEAR(EarningsPerDay[[#This Row],[Date]])-1,YEAR(EarningsPerDay[[#This Row],[Date]]))</f>
        <v>2021</v>
      </c>
      <c r="E12" s="4" t="str">
        <f>"QTR"&amp;IF(EarningsPerDay[[#This Row],[Week '#]] &lt;= 13, 1, IF(EarningsPerDay[[#This Row],[Week '#]] &lt;= 26, 2, IF(EarningsPerDay[[#This Row],[Week '#]] &lt;= 39, 3, 4)))</f>
        <v>QTR1</v>
      </c>
      <c r="F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2" s="4">
        <f>IF(WEEKNUM(EarningsPerDay[[#This Row],[Date]], 2) = 53, 1, WEEKNUM(EarningsPerDay[[#This Row],[Date]],2))</f>
        <v>6</v>
      </c>
      <c r="H12" s="40" t="str">
        <f t="shared" si="0"/>
        <v>Sunday</v>
      </c>
      <c r="I12" s="106" t="str">
        <f>IF(_xlfn.XLOOKUP(EarningsPerDay[[#This Row],[Date]],Mileage[Date],Mileage[Start Time])="","",MROUND(_xlfn.XLOOKUP(EarningsPerDay[[#This Row],[Date]],Mileage[Date],Mileage[Start Time]),0.0208333333333333))</f>
        <v/>
      </c>
      <c r="J12" s="40" t="str" cm="1">
        <f t="array" ref="J12">IFERROR(VLOOKUP(MODE(IF(Combined[Date]=EarningsPerDay[[#This Row],[Date]],Combined[Area '#])),KPIs!$B$4:$C$7,2,FALSE),VLOOKUP(EarningsPerDay[[#This Row],[Date]],Combined[[Date]:[Primary Area]],8,FALSE))</f>
        <v>Portland</v>
      </c>
      <c r="K12" s="40" t="str">
        <f>_xlfn.XLOOKUP(EarningsPerDay[[#This Row],[Date]],Mileage[Date],Mileage[Weather])</f>
        <v>Light Snow</v>
      </c>
      <c r="L12" s="4">
        <f>_xlfn.XLOOKUP(EarningsPerDay[[#This Row],[Date]],Mileage[Date],Mileage[Hi Temp])</f>
        <v>16.3</v>
      </c>
      <c r="M12" s="12">
        <f>_xlfn.XLOOKUP(EarningsPerDay[[#This Row],[Date]],Mileage[Date],Mileage[Total Time])</f>
        <v>5.4</v>
      </c>
      <c r="N12" s="4">
        <f>_xlfn.XLOOKUP(EarningsPerDay[[#This Row],[Date]],Mileage[Date],Mileage[Mileage])</f>
        <v>85.784318711591439</v>
      </c>
      <c r="O12" s="4">
        <f>SUMIF(Combined[Date],EarningsPerDay[[#This Row],[Date]],Combined[Trips])</f>
        <v>6</v>
      </c>
      <c r="P12">
        <f>COUNTIF(Combined[Date],EarningsPerDay[[#This Row],[Date]])</f>
        <v>1</v>
      </c>
      <c r="Q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" s="11">
        <f>SUMIF(Combined[Date],EarningsPerDay[[#This Row],[Date]],Combined[Earnings])</f>
        <v>74.709999999999994</v>
      </c>
      <c r="S12" s="11">
        <f ca="1">EarningsPerDay[[#This Row],[Gross Earnings]]-(EarningsPerDay[[#This Row],[Miles]]*CpM!$D$11)</f>
        <v>55.582405157866091</v>
      </c>
      <c r="T12" s="11">
        <f t="shared" si="1"/>
        <v>13.835185185185184</v>
      </c>
      <c r="U12" s="11">
        <f t="shared" ca="1" si="2"/>
        <v>10.293037992197423</v>
      </c>
      <c r="V12" s="11">
        <f>EarningsPerDay[[#This Row],[Gross Earnings]]/EarningsPerDay[[#This Row],[Deliveries]]</f>
        <v>12.451666666666666</v>
      </c>
      <c r="W12" s="11">
        <f>EarningsPerDay[[#This Row],[Gross Earnings]]/EarningsPerDay[[#This Row],[Miles]]</f>
        <v>0.87090509223692125</v>
      </c>
      <c r="X12" s="71">
        <f>EarningsPerDay[[#This Row],[Deliveries]]/EarningsPerDay[[#This Row],[Hours]]</f>
        <v>1.1111111111111109</v>
      </c>
      <c r="Y12" s="71">
        <f>EarningsPerDay[[#This Row],[Miles]]/EarningsPerDay[[#This Row],[Deliveries]]</f>
        <v>14.297386451931906</v>
      </c>
      <c r="Z12" s="81">
        <f>(EarningsPerDay[[#This Row],[Hours]]/EarningsPerDay[[#This Row],[Deliveries]])/24</f>
        <v>3.7499999999999999E-2</v>
      </c>
      <c r="AA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4.1019300901542692</v>
      </c>
      <c r="AB12" s="11">
        <f>AVERAGEIFS(EarningsPerDay[Gross $/Hour],EarningsPerDay[Week '#], EarningsPerDay[[#This Row],[Week '#]], EarningsPerDay[DOW], EarningsPerDay[[#This Row],[DOW]])</f>
        <v>20.128703703703703</v>
      </c>
      <c r="AC12" s="11">
        <f>EarningsPerDay[[#This Row],[Gross $/Hour]] - EarningsPerDay[[#This Row],[Weekly Average Earnings]]</f>
        <v>-6.2935185185185194</v>
      </c>
      <c r="AD12" s="11">
        <f>(SUMIFS(EarningsPerDay[Gross Earnings], EarningsPerDay[Date],"&gt;="&amp;EarningsPerDay[[#This Row],[Date]]-89, EarningsPerDay[Date], "&lt;="&amp;EarningsPerDay[[#This Row],[Date]]))/90</f>
        <v>5.0651111111111105</v>
      </c>
      <c r="AE12" s="11"/>
      <c r="AF12" s="7" t="s">
        <v>129</v>
      </c>
      <c r="AG12" s="4">
        <v>13716.86</v>
      </c>
      <c r="AI12" s="11"/>
      <c r="AJ12" s="473">
        <v>46030</v>
      </c>
      <c r="AK12" s="4">
        <v>1.72</v>
      </c>
      <c r="AL12" s="4">
        <v>1</v>
      </c>
      <c r="AT12" t="s">
        <v>88</v>
      </c>
      <c r="AZ12" s="8"/>
    </row>
    <row r="13" spans="1:941" x14ac:dyDescent="0.35">
      <c r="A13" s="55"/>
      <c r="B13" s="40">
        <v>44241</v>
      </c>
      <c r="C13" s="40">
        <f t="shared" si="3"/>
        <v>44241</v>
      </c>
      <c r="D13" s="4">
        <f>IF(EarningsPerDay[[#This Row],[Week '#]]&gt;=52,YEAR(EarningsPerDay[[#This Row],[Date]])-1,YEAR(EarningsPerDay[[#This Row],[Date]]))</f>
        <v>2021</v>
      </c>
      <c r="E13" s="4" t="str">
        <f>"QTR"&amp;IF(EarningsPerDay[[#This Row],[Week '#]] &lt;= 13, 1, IF(EarningsPerDay[[#This Row],[Week '#]] &lt;= 26, 2, IF(EarningsPerDay[[#This Row],[Week '#]] &lt;= 39, 3, 4)))</f>
        <v>QTR1</v>
      </c>
      <c r="F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3" s="4">
        <f>IF(WEEKNUM(EarningsPerDay[[#This Row],[Date]], 2) = 53, 1, WEEKNUM(EarningsPerDay[[#This Row],[Date]],2))</f>
        <v>7</v>
      </c>
      <c r="H13" s="40" t="str">
        <f t="shared" si="0"/>
        <v>Sunday</v>
      </c>
      <c r="I13" s="106" t="str">
        <f>IF(_xlfn.XLOOKUP(EarningsPerDay[[#This Row],[Date]],Mileage[Date],Mileage[Start Time])="","",MROUND(_xlfn.XLOOKUP(EarningsPerDay[[#This Row],[Date]],Mileage[Date],Mileage[Start Time]),0.0208333333333333))</f>
        <v/>
      </c>
      <c r="J13" s="40" t="str" cm="1">
        <f t="array" ref="J13">IFERROR(VLOOKUP(MODE(IF(Combined[Date]=EarningsPerDay[[#This Row],[Date]],Combined[Area '#])),KPIs!$B$4:$C$7,2,FALSE),VLOOKUP(EarningsPerDay[[#This Row],[Date]],Combined[[Date]:[Primary Area]],8,FALSE))</f>
        <v>Brunswick/Bath/Freeport</v>
      </c>
      <c r="K13" s="40" t="str">
        <f>_xlfn.XLOOKUP(EarningsPerDay[[#This Row],[Date]],Mileage[Date],Mileage[Weather])</f>
        <v>Partially Cloudy</v>
      </c>
      <c r="L13" s="4">
        <f>_xlfn.XLOOKUP(EarningsPerDay[[#This Row],[Date]],Mileage[Date],Mileage[Hi Temp])</f>
        <v>29.5</v>
      </c>
      <c r="M13" s="12">
        <f>_xlfn.XLOOKUP(EarningsPerDay[[#This Row],[Date]],Mileage[Date],Mileage[Total Time])</f>
        <v>6.25</v>
      </c>
      <c r="N13" s="4">
        <f>_xlfn.XLOOKUP(EarningsPerDay[[#This Row],[Date]],Mileage[Date],Mileage[Mileage])</f>
        <v>82.729474106140785</v>
      </c>
      <c r="O13" s="4">
        <f>SUMIF(Combined[Date],EarningsPerDay[[#This Row],[Date]],Combined[Trips])</f>
        <v>8</v>
      </c>
      <c r="P13">
        <f>COUNTIF(Combined[Date],EarningsPerDay[[#This Row],[Date]])</f>
        <v>1</v>
      </c>
      <c r="Q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" s="11">
        <f>SUMIF(Combined[Date],EarningsPerDay[[#This Row],[Date]],Combined[Earnings])</f>
        <v>174.88</v>
      </c>
      <c r="S13" s="11">
        <f ca="1">EarningsPerDay[[#This Row],[Gross Earnings]]-(EarningsPerDay[[#This Row],[Miles]]*CpM!$D$11)</f>
        <v>156.43355330704225</v>
      </c>
      <c r="T13" s="11">
        <f t="shared" si="1"/>
        <v>27.980799999999999</v>
      </c>
      <c r="U13" s="11">
        <f t="shared" ca="1" si="2"/>
        <v>25.02936852912676</v>
      </c>
      <c r="V13" s="11">
        <f>EarningsPerDay[[#This Row],[Gross Earnings]]/EarningsPerDay[[#This Row],[Deliveries]]</f>
        <v>21.86</v>
      </c>
      <c r="W13" s="11">
        <f>EarningsPerDay[[#This Row],[Gross Earnings]]/EarningsPerDay[[#This Row],[Miles]]</f>
        <v>2.1138778154884843</v>
      </c>
      <c r="X13" s="71">
        <f>EarningsPerDay[[#This Row],[Deliveries]]/EarningsPerDay[[#This Row],[Hours]]</f>
        <v>1.28</v>
      </c>
      <c r="Y13" s="71">
        <f>EarningsPerDay[[#This Row],[Miles]]/EarningsPerDay[[#This Row],[Deliveries]]</f>
        <v>10.341184263267598</v>
      </c>
      <c r="Z13" s="81">
        <f>(EarningsPerDay[[#This Row],[Hours]]/EarningsPerDay[[#This Row],[Deliveries]])/24</f>
        <v>3.2552083333333336E-2</v>
      </c>
      <c r="AA1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3" s="11">
        <f>AVERAGEIFS(EarningsPerDay[Gross $/Hour],EarningsPerDay[Week '#], EarningsPerDay[[#This Row],[Week '#]], EarningsPerDay[DOW], EarningsPerDay[[#This Row],[DOW]])</f>
        <v>22.500463167053098</v>
      </c>
      <c r="AC13" s="11">
        <f>EarningsPerDay[[#This Row],[Gross $/Hour]] - EarningsPerDay[[#This Row],[Weekly Average Earnings]]</f>
        <v>5.4803368329469002</v>
      </c>
      <c r="AD13" s="11">
        <f>(SUMIFS(EarningsPerDay[Gross Earnings], EarningsPerDay[Date],"&gt;="&amp;EarningsPerDay[[#This Row],[Date]]-89, EarningsPerDay[Date], "&lt;="&amp;EarningsPerDay[[#This Row],[Date]]))/90</f>
        <v>7.0082222222222219</v>
      </c>
      <c r="AE13" s="11"/>
      <c r="AF13" s="7" t="s">
        <v>179</v>
      </c>
      <c r="AG13" s="4">
        <v>17732.599999999999</v>
      </c>
      <c r="AI13" s="11"/>
      <c r="AJ13" s="473">
        <v>46036</v>
      </c>
      <c r="AK13" s="4">
        <v>2.23</v>
      </c>
      <c r="AL13" s="4">
        <v>2</v>
      </c>
    </row>
    <row r="14" spans="1:941" x14ac:dyDescent="0.35">
      <c r="A14" s="55"/>
      <c r="B14" s="40">
        <v>44247</v>
      </c>
      <c r="C14" s="40">
        <f t="shared" si="3"/>
        <v>44247</v>
      </c>
      <c r="D14" s="4">
        <f>IF(EarningsPerDay[[#This Row],[Week '#]]&gt;=52,YEAR(EarningsPerDay[[#This Row],[Date]])-1,YEAR(EarningsPerDay[[#This Row],[Date]]))</f>
        <v>2021</v>
      </c>
      <c r="E14" s="4" t="str">
        <f>"QTR"&amp;IF(EarningsPerDay[[#This Row],[Week '#]] &lt;= 13, 1, IF(EarningsPerDay[[#This Row],[Week '#]] &lt;= 26, 2, IF(EarningsPerDay[[#This Row],[Week '#]] &lt;= 39, 3, 4)))</f>
        <v>QTR1</v>
      </c>
      <c r="F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4" s="4">
        <f>IF(WEEKNUM(EarningsPerDay[[#This Row],[Date]], 2) = 53, 1, WEEKNUM(EarningsPerDay[[#This Row],[Date]],2))</f>
        <v>8</v>
      </c>
      <c r="H14" s="40" t="str">
        <f t="shared" si="0"/>
        <v>Saturday</v>
      </c>
      <c r="I14" s="106" t="str">
        <f>IF(_xlfn.XLOOKUP(EarningsPerDay[[#This Row],[Date]],Mileage[Date],Mileage[Start Time])="","",MROUND(_xlfn.XLOOKUP(EarningsPerDay[[#This Row],[Date]],Mileage[Date],Mileage[Start Time]),0.0208333333333333))</f>
        <v/>
      </c>
      <c r="J14" s="40" t="str" cm="1">
        <f t="array" ref="J14">IFERROR(VLOOKUP(MODE(IF(Combined[Date]=EarningsPerDay[[#This Row],[Date]],Combined[Area '#])),KPIs!$B$4:$C$7,2,FALSE),VLOOKUP(EarningsPerDay[[#This Row],[Date]],Combined[[Date]:[Primary Area]],8,FALSE))</f>
        <v>Brunswick/Bath/Freeport</v>
      </c>
      <c r="K14" s="40" t="str">
        <f>_xlfn.XLOOKUP(EarningsPerDay[[#This Row],[Date]],Mileage[Date],Mileage[Weather])</f>
        <v>Clear</v>
      </c>
      <c r="L14" s="4">
        <f>_xlfn.XLOOKUP(EarningsPerDay[[#This Row],[Date]],Mileage[Date],Mileage[Hi Temp])</f>
        <v>26.4</v>
      </c>
      <c r="M14" s="12">
        <f>_xlfn.XLOOKUP(EarningsPerDay[[#This Row],[Date]],Mileage[Date],Mileage[Total Time])</f>
        <v>5.2166666666666668</v>
      </c>
      <c r="N14" s="4">
        <f>_xlfn.XLOOKUP(EarningsPerDay[[#This Row],[Date]],Mileage[Date],Mileage[Mileage])</f>
        <v>103.41184263267598</v>
      </c>
      <c r="O14" s="4">
        <f>SUMIF(Combined[Date],EarningsPerDay[[#This Row],[Date]],Combined[Trips])</f>
        <v>10</v>
      </c>
      <c r="P14">
        <f>COUNTIF(Combined[Date],EarningsPerDay[[#This Row],[Date]])</f>
        <v>1</v>
      </c>
      <c r="Q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" s="11">
        <f>SUMIF(Combined[Date],EarningsPerDay[[#This Row],[Date]],Combined[Earnings])</f>
        <v>89.93</v>
      </c>
      <c r="S14" s="11">
        <f ca="1">EarningsPerDay[[#This Row],[Gross Earnings]]-(EarningsPerDay[[#This Row],[Miles]]*CpM!$D$11)</f>
        <v>66.871941633802834</v>
      </c>
      <c r="T14" s="11">
        <f t="shared" si="1"/>
        <v>17.238977635782749</v>
      </c>
      <c r="U14" s="11">
        <f t="shared" ca="1" si="2"/>
        <v>12.818902549610767</v>
      </c>
      <c r="V14" s="11">
        <f>EarningsPerDay[[#This Row],[Gross Earnings]]/EarningsPerDay[[#This Row],[Deliveries]]</f>
        <v>8.9930000000000003</v>
      </c>
      <c r="W14" s="11">
        <f>EarningsPerDay[[#This Row],[Gross Earnings]]/EarningsPerDay[[#This Row],[Miles]]</f>
        <v>0.86962960634437048</v>
      </c>
      <c r="X14" s="71">
        <f>EarningsPerDay[[#This Row],[Deliveries]]/EarningsPerDay[[#This Row],[Hours]]</f>
        <v>1.9169329073482428</v>
      </c>
      <c r="Y14" s="71">
        <f>EarningsPerDay[[#This Row],[Miles]]/EarningsPerDay[[#This Row],[Deliveries]]</f>
        <v>10.341184263267598</v>
      </c>
      <c r="Z14" s="81">
        <f>(EarningsPerDay[[#This Row],[Hours]]/EarningsPerDay[[#This Row],[Deliveries]])/24</f>
        <v>2.1736111111111112E-2</v>
      </c>
      <c r="AA1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" s="11">
        <f>AVERAGEIFS(EarningsPerDay[Gross $/Hour],EarningsPerDay[Week '#], EarningsPerDay[[#This Row],[Week '#]], EarningsPerDay[DOW], EarningsPerDay[[#This Row],[DOW]])</f>
        <v>29.384048741661168</v>
      </c>
      <c r="AC14" s="11">
        <f>EarningsPerDay[[#This Row],[Gross $/Hour]] - EarningsPerDay[[#This Row],[Weekly Average Earnings]]</f>
        <v>-12.145071105878419</v>
      </c>
      <c r="AD14" s="11">
        <f>(SUMIFS(EarningsPerDay[Gross Earnings], EarningsPerDay[Date],"&gt;="&amp;EarningsPerDay[[#This Row],[Date]]-89, EarningsPerDay[Date], "&lt;="&amp;EarningsPerDay[[#This Row],[Date]]))/90</f>
        <v>8.0074444444444453</v>
      </c>
      <c r="AE14" s="11"/>
      <c r="AF14" s="7" t="s">
        <v>277</v>
      </c>
      <c r="AG14" s="4">
        <v>22187.8</v>
      </c>
      <c r="AI14" s="11"/>
      <c r="AJ14" s="473">
        <v>46038</v>
      </c>
      <c r="AK14" s="4">
        <v>4.12</v>
      </c>
      <c r="AL14" s="4">
        <v>3</v>
      </c>
      <c r="BF14" s="280" t="s">
        <v>195</v>
      </c>
      <c r="BG14" s="280" t="s">
        <v>77</v>
      </c>
      <c r="BH14" s="280"/>
      <c r="BI14" s="280"/>
      <c r="BJ14" s="280"/>
    </row>
    <row r="15" spans="1:941" x14ac:dyDescent="0.35">
      <c r="A15" s="55"/>
      <c r="B15" s="40">
        <v>44248</v>
      </c>
      <c r="C15" s="40">
        <f t="shared" si="3"/>
        <v>44248</v>
      </c>
      <c r="D15" s="4">
        <f>IF(EarningsPerDay[[#This Row],[Week '#]]&gt;=52,YEAR(EarningsPerDay[[#This Row],[Date]])-1,YEAR(EarningsPerDay[[#This Row],[Date]]))</f>
        <v>2021</v>
      </c>
      <c r="E15" s="4" t="str">
        <f>"QTR"&amp;IF(EarningsPerDay[[#This Row],[Week '#]] &lt;= 13, 1, IF(EarningsPerDay[[#This Row],[Week '#]] &lt;= 26, 2, IF(EarningsPerDay[[#This Row],[Week '#]] &lt;= 39, 3, 4)))</f>
        <v>QTR1</v>
      </c>
      <c r="F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5" s="4">
        <f>IF(WEEKNUM(EarningsPerDay[[#This Row],[Date]], 2) = 53, 1, WEEKNUM(EarningsPerDay[[#This Row],[Date]],2))</f>
        <v>8</v>
      </c>
      <c r="H15" s="40" t="str">
        <f t="shared" si="0"/>
        <v>Sunday</v>
      </c>
      <c r="I15" s="106" t="str">
        <f>IF(_xlfn.XLOOKUP(EarningsPerDay[[#This Row],[Date]],Mileage[Date],Mileage[Start Time])="","",MROUND(_xlfn.XLOOKUP(EarningsPerDay[[#This Row],[Date]],Mileage[Date],Mileage[Start Time]),0.0208333333333333))</f>
        <v/>
      </c>
      <c r="J15" s="40" t="str" cm="1">
        <f t="array" ref="J15">IFERROR(VLOOKUP(MODE(IF(Combined[Date]=EarningsPerDay[[#This Row],[Date]],Combined[Area '#])),KPIs!$B$4:$C$7,2,FALSE),VLOOKUP(EarningsPerDay[[#This Row],[Date]],Combined[[Date]:[Primary Area]],8,FALSE))</f>
        <v>Brunswick/Bath/Freeport</v>
      </c>
      <c r="K15" s="40" t="str">
        <f>_xlfn.XLOOKUP(EarningsPerDay[[#This Row],[Date]],Mileage[Date],Mileage[Weather])</f>
        <v>Rain / Snow Mix</v>
      </c>
      <c r="L15" s="4">
        <f>_xlfn.XLOOKUP(EarningsPerDay[[#This Row],[Date]],Mileage[Date],Mileage[Hi Temp])</f>
        <v>36.1</v>
      </c>
      <c r="M15" s="12">
        <f>_xlfn.XLOOKUP(EarningsPerDay[[#This Row],[Date]],Mileage[Date],Mileage[Total Time])</f>
        <v>4.5999999999999996</v>
      </c>
      <c r="N15" s="4">
        <f>_xlfn.XLOOKUP(EarningsPerDay[[#This Row],[Date]],Mileage[Date],Mileage[Mileage])</f>
        <v>124.09421115921117</v>
      </c>
      <c r="O15" s="4">
        <f>SUMIF(Combined[Date],EarningsPerDay[[#This Row],[Date]],Combined[Trips])</f>
        <v>12</v>
      </c>
      <c r="P15">
        <f>COUNTIF(Combined[Date],EarningsPerDay[[#This Row],[Date]])</f>
        <v>1</v>
      </c>
      <c r="Q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" s="11">
        <f>SUMIF(Combined[Date],EarningsPerDay[[#This Row],[Date]],Combined[Earnings])</f>
        <v>90.75</v>
      </c>
      <c r="S15" s="11">
        <f ca="1">EarningsPerDay[[#This Row],[Gross Earnings]]-(EarningsPerDay[[#This Row],[Miles]]*CpM!$D$11)</f>
        <v>63.080329960563397</v>
      </c>
      <c r="T15" s="11">
        <f t="shared" si="1"/>
        <v>19.728260869565219</v>
      </c>
      <c r="U15" s="11">
        <f t="shared" ca="1" si="2"/>
        <v>13.713115208818131</v>
      </c>
      <c r="V15" s="11">
        <f>EarningsPerDay[[#This Row],[Gross Earnings]]/EarningsPerDay[[#This Row],[Deliveries]]</f>
        <v>7.5625</v>
      </c>
      <c r="W15" s="11">
        <f>EarningsPerDay[[#This Row],[Gross Earnings]]/EarningsPerDay[[#This Row],[Miles]]</f>
        <v>0.73129922139211634</v>
      </c>
      <c r="X15" s="71">
        <f>EarningsPerDay[[#This Row],[Deliveries]]/EarningsPerDay[[#This Row],[Hours]]</f>
        <v>2.6086956521739131</v>
      </c>
      <c r="Y15" s="71">
        <f>EarningsPerDay[[#This Row],[Miles]]/EarningsPerDay[[#This Row],[Deliveries]]</f>
        <v>10.341184263267598</v>
      </c>
      <c r="Z15" s="81">
        <f>(EarningsPerDay[[#This Row],[Hours]]/EarningsPerDay[[#This Row],[Deliveries]])/24</f>
        <v>1.5972222222222221E-2</v>
      </c>
      <c r="AA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-8.2525391304347799</v>
      </c>
      <c r="AB15" s="11">
        <f>AVERAGEIFS(EarningsPerDay[Gross $/Hour],EarningsPerDay[Week '#], EarningsPerDay[[#This Row],[Week '#]], EarningsPerDay[DOW], EarningsPerDay[[#This Row],[DOW]])</f>
        <v>19.728260869565219</v>
      </c>
      <c r="AC15" s="11">
        <f>EarningsPerDay[[#This Row],[Gross $/Hour]] - EarningsPerDay[[#This Row],[Weekly Average Earnings]]</f>
        <v>0</v>
      </c>
      <c r="AD15" s="11">
        <f>(SUMIFS(EarningsPerDay[Gross Earnings], EarningsPerDay[Date],"&gt;="&amp;EarningsPerDay[[#This Row],[Date]]-89, EarningsPerDay[Date], "&lt;="&amp;EarningsPerDay[[#This Row],[Date]]))/90</f>
        <v>9.0157777777777781</v>
      </c>
      <c r="AE15" s="11"/>
      <c r="AF15" s="7" t="s">
        <v>331</v>
      </c>
      <c r="AG15" s="4">
        <v>22834.399999999998</v>
      </c>
      <c r="AI15" s="11"/>
      <c r="AJ15" s="473">
        <v>46039</v>
      </c>
      <c r="AK15" s="4">
        <v>4.2699999999999996</v>
      </c>
      <c r="AL15" s="4">
        <v>2</v>
      </c>
      <c r="BF15" s="279" t="s">
        <v>81</v>
      </c>
      <c r="BG15" s="283" t="s">
        <v>100</v>
      </c>
      <c r="BH15" s="283" t="s">
        <v>101</v>
      </c>
      <c r="BI15" s="283" t="s">
        <v>76</v>
      </c>
      <c r="BJ15" s="283" t="s">
        <v>102</v>
      </c>
    </row>
    <row r="16" spans="1:941" x14ac:dyDescent="0.35">
      <c r="A16" s="55"/>
      <c r="B16" s="40">
        <v>44254</v>
      </c>
      <c r="C16" s="40">
        <f t="shared" si="3"/>
        <v>44254</v>
      </c>
      <c r="D16" s="4">
        <f>IF(EarningsPerDay[[#This Row],[Week '#]]&gt;=52,YEAR(EarningsPerDay[[#This Row],[Date]])-1,YEAR(EarningsPerDay[[#This Row],[Date]]))</f>
        <v>2021</v>
      </c>
      <c r="E16" s="4" t="str">
        <f>"QTR"&amp;IF(EarningsPerDay[[#This Row],[Week '#]] &lt;= 13, 1, IF(EarningsPerDay[[#This Row],[Week '#]] &lt;= 26, 2, IF(EarningsPerDay[[#This Row],[Week '#]] &lt;= 39, 3, 4)))</f>
        <v>QTR1</v>
      </c>
      <c r="F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6" s="4">
        <f>IF(WEEKNUM(EarningsPerDay[[#This Row],[Date]], 2) = 53, 1, WEEKNUM(EarningsPerDay[[#This Row],[Date]],2))</f>
        <v>9</v>
      </c>
      <c r="H16" s="40" t="str">
        <f t="shared" si="0"/>
        <v>Saturday</v>
      </c>
      <c r="I16" s="106" t="str">
        <f>IF(_xlfn.XLOOKUP(EarningsPerDay[[#This Row],[Date]],Mileage[Date],Mileage[Start Time])="","",MROUND(_xlfn.XLOOKUP(EarningsPerDay[[#This Row],[Date]],Mileage[Date],Mileage[Start Time]),0.0208333333333333))</f>
        <v/>
      </c>
      <c r="J16" s="40" t="str" cm="1">
        <f t="array" ref="J16">IFERROR(VLOOKUP(MODE(IF(Combined[Date]=EarningsPerDay[[#This Row],[Date]],Combined[Area '#])),KPIs!$B$4:$C$7,2,FALSE),VLOOKUP(EarningsPerDay[[#This Row],[Date]],Combined[[Date]:[Primary Area]],8,FALSE))</f>
        <v>Lewiston</v>
      </c>
      <c r="K16" s="40" t="str">
        <f>_xlfn.XLOOKUP(EarningsPerDay[[#This Row],[Date]],Mileage[Date],Mileage[Weather])</f>
        <v>Clear</v>
      </c>
      <c r="L16" s="4">
        <f>_xlfn.XLOOKUP(EarningsPerDay[[#This Row],[Date]],Mileage[Date],Mileage[Hi Temp])</f>
        <v>41.8</v>
      </c>
      <c r="M16" s="12">
        <f>_xlfn.XLOOKUP(EarningsPerDay[[#This Row],[Date]],Mileage[Date],Mileage[Total Time])</f>
        <v>3.7166666666666668</v>
      </c>
      <c r="N16" s="4">
        <f>_xlfn.XLOOKUP(EarningsPerDay[[#This Row],[Date]],Mileage[Date],Mileage[Mileage])</f>
        <v>63.13884615384616</v>
      </c>
      <c r="O16" s="4">
        <f>SUMIF(Combined[Date],EarningsPerDay[[#This Row],[Date]],Combined[Trips])</f>
        <v>8</v>
      </c>
      <c r="P16">
        <f>COUNTIF(Combined[Date],EarningsPerDay[[#This Row],[Date]])</f>
        <v>1</v>
      </c>
      <c r="Q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" s="11">
        <f>SUMIF(Combined[Date],EarningsPerDay[[#This Row],[Date]],Combined[Earnings])</f>
        <v>55.9</v>
      </c>
      <c r="S16" s="11">
        <f ca="1">EarningsPerDay[[#This Row],[Gross Earnings]]-(EarningsPerDay[[#This Row],[Miles]]*CpM!$D$11)</f>
        <v>41.821736208095494</v>
      </c>
      <c r="T16" s="11">
        <f t="shared" si="1"/>
        <v>15.040358744394618</v>
      </c>
      <c r="U16" s="11">
        <f t="shared" ca="1" si="2"/>
        <v>11.252485078411343</v>
      </c>
      <c r="V16" s="11">
        <f>EarningsPerDay[[#This Row],[Gross Earnings]]/EarningsPerDay[[#This Row],[Deliveries]]</f>
        <v>6.9874999999999998</v>
      </c>
      <c r="W16" s="11">
        <f>EarningsPerDay[[#This Row],[Gross Earnings]]/EarningsPerDay[[#This Row],[Miles]]</f>
        <v>0.88535035727121536</v>
      </c>
      <c r="X16" s="71">
        <f>EarningsPerDay[[#This Row],[Deliveries]]/EarningsPerDay[[#This Row],[Hours]]</f>
        <v>2.1524663677130045</v>
      </c>
      <c r="Y16" s="71">
        <f>EarningsPerDay[[#This Row],[Miles]]/EarningsPerDay[[#This Row],[Deliveries]]</f>
        <v>7.89235576923077</v>
      </c>
      <c r="Z16" s="81">
        <f>(EarningsPerDay[[#This Row],[Hours]]/EarningsPerDay[[#This Row],[Deliveries]])/24</f>
        <v>1.935763888888889E-2</v>
      </c>
      <c r="AA1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6" s="11">
        <f>AVERAGEIFS(EarningsPerDay[Gross $/Hour],EarningsPerDay[Week '#], EarningsPerDay[[#This Row],[Week '#]], EarningsPerDay[DOW], EarningsPerDay[[#This Row],[DOW]])</f>
        <v>23.647241099883558</v>
      </c>
      <c r="AC16" s="11">
        <f>EarningsPerDay[[#This Row],[Gross $/Hour]] - EarningsPerDay[[#This Row],[Weekly Average Earnings]]</f>
        <v>-8.6068823554889402</v>
      </c>
      <c r="AD16" s="11">
        <f>(SUMIFS(EarningsPerDay[Gross Earnings], EarningsPerDay[Date],"&gt;="&amp;EarningsPerDay[[#This Row],[Date]]-89, EarningsPerDay[Date], "&lt;="&amp;EarningsPerDay[[#This Row],[Date]]))/90</f>
        <v>9.6368888888888886</v>
      </c>
      <c r="AE16" s="11"/>
      <c r="AF16" s="7" t="s">
        <v>435</v>
      </c>
      <c r="AG16" s="4">
        <v>2938</v>
      </c>
      <c r="AI16" s="11"/>
      <c r="AJ16" s="473">
        <v>46040</v>
      </c>
      <c r="AK16" s="4">
        <v>1.63</v>
      </c>
      <c r="AL16" s="4">
        <v>1</v>
      </c>
      <c r="BF16" s="7" t="s">
        <v>45</v>
      </c>
      <c r="BG16" s="117">
        <f>BG4/BG$11</f>
        <v>0</v>
      </c>
      <c r="BH16" s="117">
        <f t="shared" ref="BH16:BJ16" si="5">BH4/BH$11</f>
        <v>0</v>
      </c>
      <c r="BI16" s="117">
        <f t="shared" si="5"/>
        <v>0</v>
      </c>
      <c r="BJ16" s="117">
        <f t="shared" si="5"/>
        <v>1</v>
      </c>
      <c r="BK16" s="117">
        <f t="shared" ref="BK16" si="6">BK4/BK$11</f>
        <v>1</v>
      </c>
    </row>
    <row r="17" spans="1:63" x14ac:dyDescent="0.35">
      <c r="A17" s="55"/>
      <c r="B17" s="40">
        <v>44256</v>
      </c>
      <c r="C17" s="40">
        <f t="shared" si="3"/>
        <v>44256</v>
      </c>
      <c r="D17" s="4">
        <f>IF(EarningsPerDay[[#This Row],[Week '#]]&gt;=52,YEAR(EarningsPerDay[[#This Row],[Date]])-1,YEAR(EarningsPerDay[[#This Row],[Date]]))</f>
        <v>2021</v>
      </c>
      <c r="E17" s="4" t="str">
        <f>"QTR"&amp;IF(EarningsPerDay[[#This Row],[Week '#]] &lt;= 13, 1, IF(EarningsPerDay[[#This Row],[Week '#]] &lt;= 26, 2, IF(EarningsPerDay[[#This Row],[Week '#]] &lt;= 39, 3, 4)))</f>
        <v>QTR1</v>
      </c>
      <c r="F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7" s="4">
        <f>IF(WEEKNUM(EarningsPerDay[[#This Row],[Date]], 2) = 53, 1, WEEKNUM(EarningsPerDay[[#This Row],[Date]],2))</f>
        <v>10</v>
      </c>
      <c r="H17" s="40" t="str">
        <f t="shared" si="0"/>
        <v>Monday</v>
      </c>
      <c r="I17" s="106" t="str">
        <f>IF(_xlfn.XLOOKUP(EarningsPerDay[[#This Row],[Date]],Mileage[Date],Mileage[Start Time])="","",MROUND(_xlfn.XLOOKUP(EarningsPerDay[[#This Row],[Date]],Mileage[Date],Mileage[Start Time]),0.0208333333333333))</f>
        <v/>
      </c>
      <c r="J17" s="40" t="str" cm="1">
        <f t="array" ref="J17">IFERROR(VLOOKUP(MODE(IF(Combined[Date]=EarningsPerDay[[#This Row],[Date]],Combined[Area '#])),KPIs!$B$4:$C$7,2,FALSE),VLOOKUP(EarningsPerDay[[#This Row],[Date]],Combined[[Date]:[Primary Area]],8,FALSE))</f>
        <v>Brunswick/Bath/Freeport</v>
      </c>
      <c r="K17" s="40" t="str">
        <f>_xlfn.XLOOKUP(EarningsPerDay[[#This Row],[Date]],Mileage[Date],Mileage[Weather])</f>
        <v>Partially Cloudy</v>
      </c>
      <c r="L17" s="4">
        <f>_xlfn.XLOOKUP(EarningsPerDay[[#This Row],[Date]],Mileage[Date],Mileage[Hi Temp])</f>
        <v>5.5</v>
      </c>
      <c r="M17" s="12">
        <f>_xlfn.XLOOKUP(EarningsPerDay[[#This Row],[Date]],Mileage[Date],Mileage[Total Time])</f>
        <v>1.8666666666666667</v>
      </c>
      <c r="N17" s="4">
        <f>_xlfn.XLOOKUP(EarningsPerDay[[#This Row],[Date]],Mileage[Date],Mileage[Mileage])</f>
        <v>41.364737053070392</v>
      </c>
      <c r="O17" s="4">
        <f>SUMIF(Combined[Date],EarningsPerDay[[#This Row],[Date]],Combined[Trips])</f>
        <v>4</v>
      </c>
      <c r="P17">
        <f>COUNTIF(Combined[Date],EarningsPerDay[[#This Row],[Date]])</f>
        <v>1</v>
      </c>
      <c r="Q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" s="11">
        <f>SUMIF(Combined[Date],EarningsPerDay[[#This Row],[Date]],Combined[Earnings])</f>
        <v>37.5</v>
      </c>
      <c r="S17" s="11">
        <f ca="1">EarningsPerDay[[#This Row],[Gross Earnings]]-(EarningsPerDay[[#This Row],[Miles]]*CpM!$D$11)</f>
        <v>28.276776653521132</v>
      </c>
      <c r="T17" s="11">
        <f t="shared" si="1"/>
        <v>20.089285714285715</v>
      </c>
      <c r="U17" s="11">
        <f t="shared" ca="1" si="2"/>
        <v>15.148273207243463</v>
      </c>
      <c r="V17" s="11">
        <f>EarningsPerDay[[#This Row],[Gross Earnings]]/EarningsPerDay[[#This Row],[Deliveries]]</f>
        <v>9.375</v>
      </c>
      <c r="W17" s="11">
        <f>EarningsPerDay[[#This Row],[Gross Earnings]]/EarningsPerDay[[#This Row],[Miles]]</f>
        <v>0.90656928271749948</v>
      </c>
      <c r="X17" s="71">
        <f>EarningsPerDay[[#This Row],[Deliveries]]/EarningsPerDay[[#This Row],[Hours]]</f>
        <v>2.1428571428571428</v>
      </c>
      <c r="Y17" s="71">
        <f>EarningsPerDay[[#This Row],[Miles]]/EarningsPerDay[[#This Row],[Deliveries]]</f>
        <v>10.341184263267598</v>
      </c>
      <c r="Z17" s="81">
        <f>(EarningsPerDay[[#This Row],[Hours]]/EarningsPerDay[[#This Row],[Deliveries]])/24</f>
        <v>1.9444444444444445E-2</v>
      </c>
      <c r="AA1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7" s="11">
        <f>AVERAGEIFS(EarningsPerDay[Gross $/Hour],EarningsPerDay[Week '#], EarningsPerDay[[#This Row],[Week '#]], EarningsPerDay[DOW], EarningsPerDay[[#This Row],[DOW]])</f>
        <v>24.199959675578484</v>
      </c>
      <c r="AC17" s="11">
        <f>EarningsPerDay[[#This Row],[Gross $/Hour]] - EarningsPerDay[[#This Row],[Weekly Average Earnings]]</f>
        <v>-4.1106739612927683</v>
      </c>
      <c r="AD17" s="11">
        <f>(SUMIFS(EarningsPerDay[Gross Earnings], EarningsPerDay[Date],"&gt;="&amp;EarningsPerDay[[#This Row],[Date]]-89, EarningsPerDay[Date], "&lt;="&amp;EarningsPerDay[[#This Row],[Date]]))/90</f>
        <v>10.053555555555556</v>
      </c>
      <c r="AE17" s="11"/>
      <c r="AF17" s="7" t="s">
        <v>88</v>
      </c>
      <c r="AG17" s="4">
        <v>86122.933682663468</v>
      </c>
      <c r="AI17" s="11"/>
      <c r="AJ17" s="473">
        <v>46041</v>
      </c>
      <c r="AK17" s="4">
        <v>4.47</v>
      </c>
      <c r="AL17" s="4">
        <v>2</v>
      </c>
      <c r="BF17" s="7" t="s">
        <v>46</v>
      </c>
      <c r="BG17" s="117">
        <f t="shared" ref="BG17:BJ22" si="7">BG5/BG$11</f>
        <v>0</v>
      </c>
      <c r="BH17" s="117">
        <f t="shared" si="7"/>
        <v>0</v>
      </c>
      <c r="BI17" s="117">
        <f t="shared" si="7"/>
        <v>0</v>
      </c>
      <c r="BJ17" s="117">
        <f t="shared" si="7"/>
        <v>0</v>
      </c>
      <c r="BK17" s="117">
        <f t="shared" ref="BK17" si="8">BK5/BK$11</f>
        <v>0</v>
      </c>
    </row>
    <row r="18" spans="1:63" x14ac:dyDescent="0.35">
      <c r="A18" s="55"/>
      <c r="B18" s="40">
        <v>44257</v>
      </c>
      <c r="C18" s="40">
        <f t="shared" si="3"/>
        <v>44257</v>
      </c>
      <c r="D18" s="4">
        <f>IF(EarningsPerDay[[#This Row],[Week '#]]&gt;=52,YEAR(EarningsPerDay[[#This Row],[Date]])-1,YEAR(EarningsPerDay[[#This Row],[Date]]))</f>
        <v>2021</v>
      </c>
      <c r="E18" s="4" t="str">
        <f>"QTR"&amp;IF(EarningsPerDay[[#This Row],[Week '#]] &lt;= 13, 1, IF(EarningsPerDay[[#This Row],[Week '#]] &lt;= 26, 2, IF(EarningsPerDay[[#This Row],[Week '#]] &lt;= 39, 3, 4)))</f>
        <v>QTR1</v>
      </c>
      <c r="F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8" s="4">
        <f>IF(WEEKNUM(EarningsPerDay[[#This Row],[Date]], 2) = 53, 1, WEEKNUM(EarningsPerDay[[#This Row],[Date]],2))</f>
        <v>10</v>
      </c>
      <c r="H18" s="40" t="str">
        <f t="shared" si="0"/>
        <v>Tuesday</v>
      </c>
      <c r="I18" s="106" t="str">
        <f>IF(_xlfn.XLOOKUP(EarningsPerDay[[#This Row],[Date]],Mileage[Date],Mileage[Start Time])="","",MROUND(_xlfn.XLOOKUP(EarningsPerDay[[#This Row],[Date]],Mileage[Date],Mileage[Start Time]),0.0208333333333333))</f>
        <v/>
      </c>
      <c r="J18" s="40" t="str" cm="1">
        <f t="array" ref="J18">IFERROR(VLOOKUP(MODE(IF(Combined[Date]=EarningsPerDay[[#This Row],[Date]],Combined[Area '#])),KPIs!$B$4:$C$7,2,FALSE),VLOOKUP(EarningsPerDay[[#This Row],[Date]],Combined[[Date]:[Primary Area]],8,FALSE))</f>
        <v>Lewiston</v>
      </c>
      <c r="K18" s="40" t="str">
        <f>_xlfn.XLOOKUP(EarningsPerDay[[#This Row],[Date]],Mileage[Date],Mileage[Weather])</f>
        <v>Partially Cloudy</v>
      </c>
      <c r="L18" s="4">
        <f>_xlfn.XLOOKUP(EarningsPerDay[[#This Row],[Date]],Mileage[Date],Mileage[Hi Temp])</f>
        <v>28.6</v>
      </c>
      <c r="M18" s="12">
        <f>_xlfn.XLOOKUP(EarningsPerDay[[#This Row],[Date]],Mileage[Date],Mileage[Total Time])</f>
        <v>1.5</v>
      </c>
      <c r="N18" s="4">
        <f>_xlfn.XLOOKUP(EarningsPerDay[[#This Row],[Date]],Mileage[Date],Mileage[Mileage])</f>
        <v>31.56942307692308</v>
      </c>
      <c r="O18" s="4">
        <f>SUMIF(Combined[Date],EarningsPerDay[[#This Row],[Date]],Combined[Trips])</f>
        <v>4</v>
      </c>
      <c r="P18">
        <f>COUNTIF(Combined[Date],EarningsPerDay[[#This Row],[Date]])</f>
        <v>1</v>
      </c>
      <c r="Q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" s="11">
        <f>SUMIF(Combined[Date],EarningsPerDay[[#This Row],[Date]],Combined[Earnings])</f>
        <v>29.5</v>
      </c>
      <c r="S18" s="11">
        <f ca="1">EarningsPerDay[[#This Row],[Gross Earnings]]-(EarningsPerDay[[#This Row],[Miles]]*CpM!$D$11)</f>
        <v>22.460868104047748</v>
      </c>
      <c r="T18" s="11">
        <f t="shared" si="1"/>
        <v>19.666666666666668</v>
      </c>
      <c r="U18" s="11">
        <f t="shared" ca="1" si="2"/>
        <v>14.973912069365165</v>
      </c>
      <c r="V18" s="11">
        <f>EarningsPerDay[[#This Row],[Gross Earnings]]/EarningsPerDay[[#This Row],[Deliveries]]</f>
        <v>7.375</v>
      </c>
      <c r="W18" s="11">
        <f>EarningsPerDay[[#This Row],[Gross Earnings]]/EarningsPerDay[[#This Row],[Miles]]</f>
        <v>0.93444849872990532</v>
      </c>
      <c r="X18" s="71">
        <f>EarningsPerDay[[#This Row],[Deliveries]]/EarningsPerDay[[#This Row],[Hours]]</f>
        <v>2.6666666666666665</v>
      </c>
      <c r="Y18" s="71">
        <f>EarningsPerDay[[#This Row],[Miles]]/EarningsPerDay[[#This Row],[Deliveries]]</f>
        <v>7.89235576923077</v>
      </c>
      <c r="Z18" s="81">
        <f>(EarningsPerDay[[#This Row],[Hours]]/EarningsPerDay[[#This Row],[Deliveries]])/24</f>
        <v>1.5625E-2</v>
      </c>
      <c r="AA1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8" s="11">
        <f>AVERAGEIFS(EarningsPerDay[Gross $/Hour],EarningsPerDay[Week '#], EarningsPerDay[[#This Row],[Week '#]], EarningsPerDay[DOW], EarningsPerDay[[#This Row],[DOW]])</f>
        <v>20.790663442097699</v>
      </c>
      <c r="AC18" s="11">
        <f>EarningsPerDay[[#This Row],[Gross $/Hour]] - EarningsPerDay[[#This Row],[Weekly Average Earnings]]</f>
        <v>-1.1239967754310314</v>
      </c>
      <c r="AD18" s="11">
        <f>(SUMIFS(EarningsPerDay[Gross Earnings], EarningsPerDay[Date],"&gt;="&amp;EarningsPerDay[[#This Row],[Date]]-89, EarningsPerDay[Date], "&lt;="&amp;EarningsPerDay[[#This Row],[Date]]))/90</f>
        <v>10.381333333333334</v>
      </c>
      <c r="AE18" s="11"/>
      <c r="AI18" s="11"/>
      <c r="AJ18" s="473">
        <v>46046</v>
      </c>
      <c r="AK18" s="4">
        <v>4.62</v>
      </c>
      <c r="AL18" s="4">
        <v>3</v>
      </c>
      <c r="BF18" s="7" t="s">
        <v>47</v>
      </c>
      <c r="BG18" s="117">
        <f t="shared" si="7"/>
        <v>0</v>
      </c>
      <c r="BH18" s="117">
        <f t="shared" si="7"/>
        <v>0</v>
      </c>
      <c r="BI18" s="117">
        <f t="shared" si="7"/>
        <v>0</v>
      </c>
      <c r="BJ18" s="117">
        <f t="shared" si="7"/>
        <v>0</v>
      </c>
      <c r="BK18" s="117">
        <f t="shared" ref="BK18" si="9">BK6/BK$11</f>
        <v>0</v>
      </c>
    </row>
    <row r="19" spans="1:63" x14ac:dyDescent="0.35">
      <c r="A19" s="55"/>
      <c r="B19" s="40">
        <v>44260</v>
      </c>
      <c r="C19" s="40">
        <f t="shared" si="3"/>
        <v>44260</v>
      </c>
      <c r="D19" s="4">
        <f>IF(EarningsPerDay[[#This Row],[Week '#]]&gt;=52,YEAR(EarningsPerDay[[#This Row],[Date]])-1,YEAR(EarningsPerDay[[#This Row],[Date]]))</f>
        <v>2021</v>
      </c>
      <c r="E19" s="4" t="str">
        <f>"QTR"&amp;IF(EarningsPerDay[[#This Row],[Week '#]] &lt;= 13, 1, IF(EarningsPerDay[[#This Row],[Week '#]] &lt;= 26, 2, IF(EarningsPerDay[[#This Row],[Week '#]] &lt;= 39, 3, 4)))</f>
        <v>QTR1</v>
      </c>
      <c r="F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9" s="4">
        <f>IF(WEEKNUM(EarningsPerDay[[#This Row],[Date]], 2) = 53, 1, WEEKNUM(EarningsPerDay[[#This Row],[Date]],2))</f>
        <v>10</v>
      </c>
      <c r="H19" s="40" t="str">
        <f t="shared" si="0"/>
        <v>Friday</v>
      </c>
      <c r="I19" s="106" t="str">
        <f>IF(_xlfn.XLOOKUP(EarningsPerDay[[#This Row],[Date]],Mileage[Date],Mileage[Start Time])="","",MROUND(_xlfn.XLOOKUP(EarningsPerDay[[#This Row],[Date]],Mileage[Date],Mileage[Start Time]),0.0208333333333333))</f>
        <v/>
      </c>
      <c r="J19" s="40" t="str" cm="1">
        <f t="array" ref="J19">IFERROR(VLOOKUP(MODE(IF(Combined[Date]=EarningsPerDay[[#This Row],[Date]],Combined[Area '#])),KPIs!$B$4:$C$7,2,FALSE),VLOOKUP(EarningsPerDay[[#This Row],[Date]],Combined[[Date]:[Primary Area]],8,FALSE))</f>
        <v>Portland</v>
      </c>
      <c r="K19" s="40" t="str">
        <f>_xlfn.XLOOKUP(EarningsPerDay[[#This Row],[Date]],Mileage[Date],Mileage[Weather])</f>
        <v>Partially Cloudy</v>
      </c>
      <c r="L19" s="4">
        <f>_xlfn.XLOOKUP(EarningsPerDay[[#This Row],[Date]],Mileage[Date],Mileage[Hi Temp])</f>
        <v>20.6</v>
      </c>
      <c r="M19" s="12">
        <f>_xlfn.XLOOKUP(EarningsPerDay[[#This Row],[Date]],Mileage[Date],Mileage[Total Time])</f>
        <v>4.3499999999999996</v>
      </c>
      <c r="N19" s="4">
        <f>_xlfn.XLOOKUP(EarningsPerDay[[#This Row],[Date]],Mileage[Date],Mileage[Mileage])</f>
        <v>100.08170516352334</v>
      </c>
      <c r="O19" s="4">
        <f>SUMIF(Combined[Date],EarningsPerDay[[#This Row],[Date]],Combined[Trips])</f>
        <v>7</v>
      </c>
      <c r="P19">
        <f>COUNTIF(Combined[Date],EarningsPerDay[[#This Row],[Date]])</f>
        <v>1</v>
      </c>
      <c r="Q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" s="11">
        <f>SUMIF(Combined[Date],EarningsPerDay[[#This Row],[Date]],Combined[Earnings])</f>
        <v>142.68</v>
      </c>
      <c r="S19" s="11">
        <f ca="1">EarningsPerDay[[#This Row],[Gross Earnings]]-(EarningsPerDay[[#This Row],[Miles]]*CpM!$D$11)</f>
        <v>120.36447268417713</v>
      </c>
      <c r="T19" s="11">
        <f t="shared" si="1"/>
        <v>32.800000000000004</v>
      </c>
      <c r="U19" s="11">
        <f t="shared" ca="1" si="2"/>
        <v>27.669993720500493</v>
      </c>
      <c r="V19" s="11">
        <f>EarningsPerDay[[#This Row],[Gross Earnings]]/EarningsPerDay[[#This Row],[Deliveries]]</f>
        <v>20.382857142857144</v>
      </c>
      <c r="W19" s="11">
        <f>EarningsPerDay[[#This Row],[Gross Earnings]]/EarningsPerDay[[#This Row],[Miles]]</f>
        <v>1.4256351824429387</v>
      </c>
      <c r="X19" s="71">
        <f>EarningsPerDay[[#This Row],[Deliveries]]/EarningsPerDay[[#This Row],[Hours]]</f>
        <v>1.6091954022988506</v>
      </c>
      <c r="Y19" s="71">
        <f>EarningsPerDay[[#This Row],[Miles]]/EarningsPerDay[[#This Row],[Deliveries]]</f>
        <v>14.297386451931905</v>
      </c>
      <c r="Z19" s="81">
        <f>(EarningsPerDay[[#This Row],[Hours]]/EarningsPerDay[[#This Row],[Deliveries]])/24</f>
        <v>2.5892857142857138E-2</v>
      </c>
      <c r="AA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26.926829268292686</v>
      </c>
      <c r="AB19" s="11">
        <f>AVERAGEIFS(EarningsPerDay[Gross $/Hour],EarningsPerDay[Week '#], EarningsPerDay[[#This Row],[Week '#]], EarningsPerDay[DOW], EarningsPerDay[[#This Row],[DOW]])</f>
        <v>31.220108445914899</v>
      </c>
      <c r="AC19" s="11">
        <f>EarningsPerDay[[#This Row],[Gross $/Hour]] - EarningsPerDay[[#This Row],[Weekly Average Earnings]]</f>
        <v>1.5798915540851048</v>
      </c>
      <c r="AD19" s="11">
        <f>(SUMIFS(EarningsPerDay[Gross Earnings], EarningsPerDay[Date],"&gt;="&amp;EarningsPerDay[[#This Row],[Date]]-89, EarningsPerDay[Date], "&lt;="&amp;EarningsPerDay[[#This Row],[Date]]))/90</f>
        <v>11.966666666666667</v>
      </c>
      <c r="AE19" s="11"/>
      <c r="AI19" s="11"/>
      <c r="AJ19" s="473">
        <v>46048</v>
      </c>
      <c r="AK19" s="4">
        <v>0.85</v>
      </c>
      <c r="AL19" s="4">
        <v>1</v>
      </c>
      <c r="AM19">
        <v>8760</v>
      </c>
      <c r="BF19" s="7" t="s">
        <v>48</v>
      </c>
      <c r="BG19" s="117">
        <f t="shared" si="7"/>
        <v>0</v>
      </c>
      <c r="BH19" s="117">
        <f t="shared" si="7"/>
        <v>0</v>
      </c>
      <c r="BI19" s="117">
        <f t="shared" si="7"/>
        <v>0</v>
      </c>
      <c r="BJ19" s="117">
        <f t="shared" si="7"/>
        <v>0</v>
      </c>
      <c r="BK19" s="117">
        <f t="shared" ref="BK19" si="10">BK7/BK$11</f>
        <v>0</v>
      </c>
    </row>
    <row r="20" spans="1:63" x14ac:dyDescent="0.35">
      <c r="A20" s="55"/>
      <c r="B20" s="40">
        <v>44261</v>
      </c>
      <c r="C20" s="40">
        <f t="shared" ref="C20:C31" si="11">B20</f>
        <v>44261</v>
      </c>
      <c r="D20" s="4">
        <f>IF(EarningsPerDay[[#This Row],[Week '#]]&gt;=52,YEAR(EarningsPerDay[[#This Row],[Date]])-1,YEAR(EarningsPerDay[[#This Row],[Date]]))</f>
        <v>2021</v>
      </c>
      <c r="E20" s="4" t="str">
        <f>"QTR"&amp;IF(EarningsPerDay[[#This Row],[Week '#]] &lt;= 13, 1, IF(EarningsPerDay[[#This Row],[Week '#]] &lt;= 26, 2, IF(EarningsPerDay[[#This Row],[Week '#]] &lt;= 39, 3, 4)))</f>
        <v>QTR1</v>
      </c>
      <c r="F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0" s="4">
        <f>IF(WEEKNUM(EarningsPerDay[[#This Row],[Date]], 2) = 53, 1, WEEKNUM(EarningsPerDay[[#This Row],[Date]],2))</f>
        <v>10</v>
      </c>
      <c r="H20" s="40" t="str">
        <f t="shared" si="0"/>
        <v>Saturday</v>
      </c>
      <c r="I20" s="106" t="str">
        <f>IF(_xlfn.XLOOKUP(EarningsPerDay[[#This Row],[Date]],Mileage[Date],Mileage[Start Time])="","",MROUND(_xlfn.XLOOKUP(EarningsPerDay[[#This Row],[Date]],Mileage[Date],Mileage[Start Time]),0.0208333333333333))</f>
        <v/>
      </c>
      <c r="J20" s="40" t="str" cm="1">
        <f t="array" ref="J20">IFERROR(VLOOKUP(MODE(IF(Combined[Date]=EarningsPerDay[[#This Row],[Date]],Combined[Area '#])),KPIs!$B$4:$C$7,2,FALSE),VLOOKUP(EarningsPerDay[[#This Row],[Date]],Combined[[Date]:[Primary Area]],8,FALSE))</f>
        <v>Brunswick/Bath/Freeport</v>
      </c>
      <c r="K20" s="40" t="str">
        <f>_xlfn.XLOOKUP(EarningsPerDay[[#This Row],[Date]],Mileage[Date],Mileage[Weather])</f>
        <v>Clear</v>
      </c>
      <c r="L20" s="4">
        <f>_xlfn.XLOOKUP(EarningsPerDay[[#This Row],[Date]],Mileage[Date],Mileage[Hi Temp])</f>
        <v>25.3</v>
      </c>
      <c r="M20" s="12">
        <f>_xlfn.XLOOKUP(EarningsPerDay[[#This Row],[Date]],Mileage[Date],Mileage[Total Time])</f>
        <v>0.70833333333333326</v>
      </c>
      <c r="N20" s="4">
        <f>_xlfn.XLOOKUP(EarningsPerDay[[#This Row],[Date]],Mileage[Date],Mileage[Mileage])</f>
        <v>20.682368526535196</v>
      </c>
      <c r="O20" s="4">
        <f>SUMIF(Combined[Date],EarningsPerDay[[#This Row],[Date]],Combined[Trips])</f>
        <v>2</v>
      </c>
      <c r="P20">
        <f>COUNTIF(Combined[Date],EarningsPerDay[[#This Row],[Date]])</f>
        <v>2</v>
      </c>
      <c r="Q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" s="11">
        <f>SUMIF(Combined[Date],EarningsPerDay[[#This Row],[Date]],Combined[Earnings])</f>
        <v>31.05</v>
      </c>
      <c r="S20" s="11">
        <f ca="1">EarningsPerDay[[#This Row],[Gross Earnings]]-(EarningsPerDay[[#This Row],[Miles]]*CpM!$D$11)</f>
        <v>26.438388326760567</v>
      </c>
      <c r="T20" s="11">
        <f t="shared" si="1"/>
        <v>43.835294117647067</v>
      </c>
      <c r="U20" s="11">
        <f t="shared" ca="1" si="2"/>
        <v>37.32478352013257</v>
      </c>
      <c r="V20" s="11">
        <f>EarningsPerDay[[#This Row],[Gross Earnings]]/EarningsPerDay[[#This Row],[Deliveries]]</f>
        <v>15.525</v>
      </c>
      <c r="W20" s="11">
        <f>EarningsPerDay[[#This Row],[Gross Earnings]]/EarningsPerDay[[#This Row],[Miles]]</f>
        <v>1.5012787321801793</v>
      </c>
      <c r="X20" s="71">
        <f>EarningsPerDay[[#This Row],[Deliveries]]/EarningsPerDay[[#This Row],[Hours]]</f>
        <v>2.8235294117647061</v>
      </c>
      <c r="Y20" s="71">
        <f>EarningsPerDay[[#This Row],[Miles]]/EarningsPerDay[[#This Row],[Deliveries]]</f>
        <v>10.341184263267598</v>
      </c>
      <c r="Z20" s="81">
        <f>(EarningsPerDay[[#This Row],[Hours]]/EarningsPerDay[[#This Row],[Deliveries]])/24</f>
        <v>1.4756944444444442E-2</v>
      </c>
      <c r="AA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26.596316481864317</v>
      </c>
      <c r="AB20" s="11">
        <f>AVERAGEIFS(EarningsPerDay[Gross $/Hour],EarningsPerDay[Week '#], EarningsPerDay[[#This Row],[Week '#]], EarningsPerDay[DOW], EarningsPerDay[[#This Row],[DOW]])</f>
        <v>30.543878208019763</v>
      </c>
      <c r="AC20" s="11">
        <f>EarningsPerDay[[#This Row],[Gross $/Hour]] - EarningsPerDay[[#This Row],[Weekly Average Earnings]]</f>
        <v>13.291415909627304</v>
      </c>
      <c r="AD20" s="11">
        <f>(SUMIFS(EarningsPerDay[Gross Earnings], EarningsPerDay[Date],"&gt;="&amp;EarningsPerDay[[#This Row],[Date]]-89, EarningsPerDay[Date], "&lt;="&amp;EarningsPerDay[[#This Row],[Date]]))/90</f>
        <v>12.311666666666666</v>
      </c>
      <c r="AE20" s="11"/>
      <c r="AI20" s="11"/>
      <c r="AJ20" s="473">
        <v>46054</v>
      </c>
      <c r="AK20" s="4">
        <v>4.4800000000000004</v>
      </c>
      <c r="AL20" s="4">
        <v>2</v>
      </c>
      <c r="BF20" s="7" t="s">
        <v>49</v>
      </c>
      <c r="BG20" s="117">
        <f t="shared" si="7"/>
        <v>0</v>
      </c>
      <c r="BH20" s="117">
        <f t="shared" si="7"/>
        <v>0</v>
      </c>
      <c r="BI20" s="117">
        <f t="shared" si="7"/>
        <v>0</v>
      </c>
      <c r="BJ20" s="117">
        <f t="shared" si="7"/>
        <v>0</v>
      </c>
      <c r="BK20" s="117">
        <f t="shared" ref="BK20" si="12">BK8/BK$11</f>
        <v>0</v>
      </c>
    </row>
    <row r="21" spans="1:63" x14ac:dyDescent="0.35">
      <c r="A21" s="55"/>
      <c r="B21" s="40">
        <v>44264</v>
      </c>
      <c r="C21" s="40">
        <f t="shared" si="11"/>
        <v>44264</v>
      </c>
      <c r="D21" s="4">
        <f>IF(EarningsPerDay[[#This Row],[Week '#]]&gt;=52,YEAR(EarningsPerDay[[#This Row],[Date]])-1,YEAR(EarningsPerDay[[#This Row],[Date]]))</f>
        <v>2021</v>
      </c>
      <c r="E21" s="4" t="str">
        <f>"QTR"&amp;IF(EarningsPerDay[[#This Row],[Week '#]] &lt;= 13, 1, IF(EarningsPerDay[[#This Row],[Week '#]] &lt;= 26, 2, IF(EarningsPerDay[[#This Row],[Week '#]] &lt;= 39, 3, 4)))</f>
        <v>QTR1</v>
      </c>
      <c r="F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" s="4">
        <f>IF(WEEKNUM(EarningsPerDay[[#This Row],[Date]], 2) = 53, 1, WEEKNUM(EarningsPerDay[[#This Row],[Date]],2))</f>
        <v>11</v>
      </c>
      <c r="H21" s="40" t="str">
        <f t="shared" si="0"/>
        <v>Tuesday</v>
      </c>
      <c r="I21" s="106" t="str">
        <f>IF(_xlfn.XLOOKUP(EarningsPerDay[[#This Row],[Date]],Mileage[Date],Mileage[Start Time])="","",MROUND(_xlfn.XLOOKUP(EarningsPerDay[[#This Row],[Date]],Mileage[Date],Mileage[Start Time]),0.0208333333333333))</f>
        <v/>
      </c>
      <c r="J21" s="40" t="str" cm="1">
        <f t="array" ref="J21">IFERROR(VLOOKUP(MODE(IF(Combined[Date]=EarningsPerDay[[#This Row],[Date]],Combined[Area '#])),KPIs!$B$4:$C$7,2,FALSE),VLOOKUP(EarningsPerDay[[#This Row],[Date]],Combined[[Date]:[Primary Area]],8,FALSE))</f>
        <v>Brunswick/Bath/Freeport</v>
      </c>
      <c r="K21" s="40" t="str">
        <f>_xlfn.XLOOKUP(EarningsPerDay[[#This Row],[Date]],Mileage[Date],Mileage[Weather])</f>
        <v>Clear</v>
      </c>
      <c r="L21" s="4">
        <f>_xlfn.XLOOKUP(EarningsPerDay[[#This Row],[Date]],Mileage[Date],Mileage[Hi Temp])</f>
        <v>40</v>
      </c>
      <c r="M21" s="12">
        <f>_xlfn.XLOOKUP(EarningsPerDay[[#This Row],[Date]],Mileage[Date],Mileage[Total Time])</f>
        <v>1.4416666666666664</v>
      </c>
      <c r="N21" s="4">
        <f>_xlfn.XLOOKUP(EarningsPerDay[[#This Row],[Date]],Mileage[Date],Mileage[Mileage])</f>
        <v>41.364737053070392</v>
      </c>
      <c r="O21" s="4">
        <f>SUMIF(Combined[Date],EarningsPerDay[[#This Row],[Date]],Combined[Trips])</f>
        <v>4</v>
      </c>
      <c r="P21">
        <f>COUNTIF(Combined[Date],EarningsPerDay[[#This Row],[Date]])</f>
        <v>2</v>
      </c>
      <c r="Q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" s="11">
        <f>SUMIF(Combined[Date],EarningsPerDay[[#This Row],[Date]],Combined[Earnings])</f>
        <v>70.41</v>
      </c>
      <c r="S21" s="11">
        <f ca="1">EarningsPerDay[[#This Row],[Gross Earnings]]-(EarningsPerDay[[#This Row],[Miles]]*CpM!$D$11)</f>
        <v>61.186776653521129</v>
      </c>
      <c r="T21" s="11">
        <f t="shared" si="1"/>
        <v>48.839306358381506</v>
      </c>
      <c r="U21" s="11">
        <f t="shared" ca="1" si="2"/>
        <v>42.441694788569578</v>
      </c>
      <c r="V21" s="11">
        <f>EarningsPerDay[[#This Row],[Gross Earnings]]/EarningsPerDay[[#This Row],[Deliveries]]</f>
        <v>17.602499999999999</v>
      </c>
      <c r="W21" s="11">
        <f>EarningsPerDay[[#This Row],[Gross Earnings]]/EarningsPerDay[[#This Row],[Miles]]</f>
        <v>1.7021744852303771</v>
      </c>
      <c r="X21" s="71">
        <f>EarningsPerDay[[#This Row],[Deliveries]]/EarningsPerDay[[#This Row],[Hours]]</f>
        <v>2.7745664739884397</v>
      </c>
      <c r="Y21" s="71">
        <f>EarningsPerDay[[#This Row],[Miles]]/EarningsPerDay[[#This Row],[Deliveries]]</f>
        <v>10.341184263267598</v>
      </c>
      <c r="Z21" s="81">
        <f>(EarningsPerDay[[#This Row],[Hours]]/EarningsPerDay[[#This Row],[Deliveries]])/24</f>
        <v>1.5017361111111108E-2</v>
      </c>
      <c r="AA2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1" s="11">
        <f>AVERAGEIFS(EarningsPerDay[Gross $/Hour],EarningsPerDay[Week '#], EarningsPerDay[[#This Row],[Week '#]], EarningsPerDay[DOW], EarningsPerDay[[#This Row],[DOW]])</f>
        <v>32.707806934860422</v>
      </c>
      <c r="AC21" s="11">
        <f>EarningsPerDay[[#This Row],[Gross $/Hour]] - EarningsPerDay[[#This Row],[Weekly Average Earnings]]</f>
        <v>16.131499423521085</v>
      </c>
      <c r="AD21" s="11">
        <f>(SUMIFS(EarningsPerDay[Gross Earnings], EarningsPerDay[Date],"&gt;="&amp;EarningsPerDay[[#This Row],[Date]]-89, EarningsPerDay[Date], "&lt;="&amp;EarningsPerDay[[#This Row],[Date]]))/90</f>
        <v>13.094000000000001</v>
      </c>
      <c r="AE21" s="11"/>
      <c r="AI21" s="11"/>
      <c r="AJ21" s="473">
        <v>46066</v>
      </c>
      <c r="AK21" s="4">
        <v>4.33</v>
      </c>
      <c r="AL21" s="4">
        <v>3</v>
      </c>
      <c r="BF21" s="7" t="s">
        <v>50</v>
      </c>
      <c r="BG21" s="117">
        <f t="shared" si="7"/>
        <v>1</v>
      </c>
      <c r="BH21" s="117">
        <f t="shared" si="7"/>
        <v>0</v>
      </c>
      <c r="BI21" s="117">
        <f t="shared" si="7"/>
        <v>1</v>
      </c>
      <c r="BJ21" s="117">
        <f t="shared" si="7"/>
        <v>0</v>
      </c>
      <c r="BK21" s="117">
        <f t="shared" ref="BK21" si="13">BK9/BK$11</f>
        <v>0</v>
      </c>
    </row>
    <row r="22" spans="1:63" ht="15" thickBot="1" x14ac:dyDescent="0.4">
      <c r="A22" s="55"/>
      <c r="B22" s="40">
        <v>44265</v>
      </c>
      <c r="C22" s="40">
        <f t="shared" si="11"/>
        <v>44265</v>
      </c>
      <c r="D22" s="4">
        <f>IF(EarningsPerDay[[#This Row],[Week '#]]&gt;=52,YEAR(EarningsPerDay[[#This Row],[Date]])-1,YEAR(EarningsPerDay[[#This Row],[Date]]))</f>
        <v>2021</v>
      </c>
      <c r="E22" s="4" t="str">
        <f>"QTR"&amp;IF(EarningsPerDay[[#This Row],[Week '#]] &lt;= 13, 1, IF(EarningsPerDay[[#This Row],[Week '#]] &lt;= 26, 2, IF(EarningsPerDay[[#This Row],[Week '#]] &lt;= 39, 3, 4)))</f>
        <v>QTR1</v>
      </c>
      <c r="F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2" s="4">
        <f>IF(WEEKNUM(EarningsPerDay[[#This Row],[Date]], 2) = 53, 1, WEEKNUM(EarningsPerDay[[#This Row],[Date]],2))</f>
        <v>11</v>
      </c>
      <c r="H22" s="40" t="str">
        <f t="shared" si="0"/>
        <v>Wednesday</v>
      </c>
      <c r="I22" s="106" t="str">
        <f>IF(_xlfn.XLOOKUP(EarningsPerDay[[#This Row],[Date]],Mileage[Date],Mileage[Start Time])="","",MROUND(_xlfn.XLOOKUP(EarningsPerDay[[#This Row],[Date]],Mileage[Date],Mileage[Start Time]),0.0208333333333333))</f>
        <v/>
      </c>
      <c r="J22" s="40" t="str" cm="1">
        <f t="array" ref="J22">IFERROR(VLOOKUP(MODE(IF(Combined[Date]=EarningsPerDay[[#This Row],[Date]],Combined[Area '#])),KPIs!$B$4:$C$7,2,FALSE),VLOOKUP(EarningsPerDay[[#This Row],[Date]],Combined[[Date]:[Primary Area]],8,FALSE))</f>
        <v>Brunswick/Bath/Freeport</v>
      </c>
      <c r="K22" s="40" t="str">
        <f>_xlfn.XLOOKUP(EarningsPerDay[[#This Row],[Date]],Mileage[Date],Mileage[Weather])</f>
        <v>Clear</v>
      </c>
      <c r="L22" s="4">
        <f>_xlfn.XLOOKUP(EarningsPerDay[[#This Row],[Date]],Mileage[Date],Mileage[Hi Temp])</f>
        <v>56.3</v>
      </c>
      <c r="M22" s="12">
        <f>_xlfn.XLOOKUP(EarningsPerDay[[#This Row],[Date]],Mileage[Date],Mileage[Total Time])</f>
        <v>1.6416666666666666</v>
      </c>
      <c r="N22" s="4">
        <f>_xlfn.XLOOKUP(EarningsPerDay[[#This Row],[Date]],Mileage[Date],Mileage[Mileage])</f>
        <v>41.364737053070392</v>
      </c>
      <c r="O22" s="4">
        <f>SUMIF(Combined[Date],EarningsPerDay[[#This Row],[Date]],Combined[Trips])</f>
        <v>4</v>
      </c>
      <c r="P22">
        <f>COUNTIF(Combined[Date],EarningsPerDay[[#This Row],[Date]])</f>
        <v>2</v>
      </c>
      <c r="Q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" s="11">
        <f>SUMIF(Combined[Date],EarningsPerDay[[#This Row],[Date]],Combined[Earnings])</f>
        <v>41.620000000000005</v>
      </c>
      <c r="S22" s="11">
        <f ca="1">EarningsPerDay[[#This Row],[Gross Earnings]]-(EarningsPerDay[[#This Row],[Miles]]*CpM!$D$11)</f>
        <v>32.396776653521137</v>
      </c>
      <c r="T22" s="11">
        <f t="shared" si="1"/>
        <v>25.352284263959394</v>
      </c>
      <c r="U22" s="11">
        <f t="shared" ca="1" si="2"/>
        <v>19.734077149352977</v>
      </c>
      <c r="V22" s="11">
        <f>EarningsPerDay[[#This Row],[Gross Earnings]]/EarningsPerDay[[#This Row],[Deliveries]]</f>
        <v>10.405000000000001</v>
      </c>
      <c r="W22" s="11">
        <f>EarningsPerDay[[#This Row],[Gross Earnings]]/EarningsPerDay[[#This Row],[Miles]]</f>
        <v>1.0061710279120621</v>
      </c>
      <c r="X22" s="71">
        <f>EarningsPerDay[[#This Row],[Deliveries]]/EarningsPerDay[[#This Row],[Hours]]</f>
        <v>2.436548223350254</v>
      </c>
      <c r="Y22" s="71">
        <f>EarningsPerDay[[#This Row],[Miles]]/EarningsPerDay[[#This Row],[Deliveries]]</f>
        <v>10.341184263267598</v>
      </c>
      <c r="Z22" s="81">
        <f>(EarningsPerDay[[#This Row],[Hours]]/EarningsPerDay[[#This Row],[Deliveries]])/24</f>
        <v>1.7100694444444443E-2</v>
      </c>
      <c r="AA2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2" s="11">
        <f>AVERAGEIFS(EarningsPerDay[Gross $/Hour],EarningsPerDay[Week '#], EarningsPerDay[[#This Row],[Week '#]], EarningsPerDay[DOW], EarningsPerDay[[#This Row],[DOW]])</f>
        <v>24.713285343418189</v>
      </c>
      <c r="AC22" s="11">
        <f>EarningsPerDay[[#This Row],[Gross $/Hour]] - EarningsPerDay[[#This Row],[Weekly Average Earnings]]</f>
        <v>0.638998920541205</v>
      </c>
      <c r="AD22" s="11">
        <f>(SUMIFS(EarningsPerDay[Gross Earnings], EarningsPerDay[Date],"&gt;="&amp;EarningsPerDay[[#This Row],[Date]]-89, EarningsPerDay[Date], "&lt;="&amp;EarningsPerDay[[#This Row],[Date]]))/90</f>
        <v>13.556444444444443</v>
      </c>
      <c r="AE22" s="11"/>
      <c r="AI22" s="11"/>
      <c r="AJ22" s="473">
        <v>46067</v>
      </c>
      <c r="AK22" s="4">
        <v>3.5</v>
      </c>
      <c r="AL22" s="4">
        <v>1</v>
      </c>
      <c r="BF22" s="281" t="s">
        <v>51</v>
      </c>
      <c r="BG22" s="284">
        <f t="shared" si="7"/>
        <v>0</v>
      </c>
      <c r="BH22" s="284">
        <f t="shared" si="7"/>
        <v>1</v>
      </c>
      <c r="BI22" s="284">
        <f t="shared" si="7"/>
        <v>0</v>
      </c>
      <c r="BJ22" s="284">
        <f t="shared" si="7"/>
        <v>0</v>
      </c>
      <c r="BK22" s="284">
        <f t="shared" ref="BK22" si="14">BK10/BK$11</f>
        <v>0</v>
      </c>
    </row>
    <row r="23" spans="1:63" x14ac:dyDescent="0.35">
      <c r="A23" s="55"/>
      <c r="B23" s="40">
        <v>44267</v>
      </c>
      <c r="C23" s="40">
        <f t="shared" si="11"/>
        <v>44267</v>
      </c>
      <c r="D23" s="4">
        <f>IF(EarningsPerDay[[#This Row],[Week '#]]&gt;=52,YEAR(EarningsPerDay[[#This Row],[Date]])-1,YEAR(EarningsPerDay[[#This Row],[Date]]))</f>
        <v>2021</v>
      </c>
      <c r="E23" s="4" t="str">
        <f>"QTR"&amp;IF(EarningsPerDay[[#This Row],[Week '#]] &lt;= 13, 1, IF(EarningsPerDay[[#This Row],[Week '#]] &lt;= 26, 2, IF(EarningsPerDay[[#This Row],[Week '#]] &lt;= 39, 3, 4)))</f>
        <v>QTR1</v>
      </c>
      <c r="F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3" s="4">
        <f>IF(WEEKNUM(EarningsPerDay[[#This Row],[Date]], 2) = 53, 1, WEEKNUM(EarningsPerDay[[#This Row],[Date]],2))</f>
        <v>11</v>
      </c>
      <c r="H23" s="40" t="str">
        <f t="shared" si="0"/>
        <v>Friday</v>
      </c>
      <c r="I23" s="106" t="str">
        <f>IF(_xlfn.XLOOKUP(EarningsPerDay[[#This Row],[Date]],Mileage[Date],Mileage[Start Time])="","",MROUND(_xlfn.XLOOKUP(EarningsPerDay[[#This Row],[Date]],Mileage[Date],Mileage[Start Time]),0.0208333333333333))</f>
        <v/>
      </c>
      <c r="J23" s="40" t="str" cm="1">
        <f t="array" ref="J23">IFERROR(VLOOKUP(MODE(IF(Combined[Date]=EarningsPerDay[[#This Row],[Date]],Combined[Area '#])),KPIs!$B$4:$C$7,2,FALSE),VLOOKUP(EarningsPerDay[[#This Row],[Date]],Combined[[Date]:[Primary Area]],8,FALSE))</f>
        <v>Brunswick/Bath/Freeport</v>
      </c>
      <c r="K23" s="40" t="str">
        <f>_xlfn.XLOOKUP(EarningsPerDay[[#This Row],[Date]],Mileage[Date],Mileage[Weather])</f>
        <v>Partially Cloudy</v>
      </c>
      <c r="L23" s="4">
        <f>_xlfn.XLOOKUP(EarningsPerDay[[#This Row],[Date]],Mileage[Date],Mileage[Hi Temp])</f>
        <v>32.299999999999997</v>
      </c>
      <c r="M23" s="12">
        <f>_xlfn.XLOOKUP(EarningsPerDay[[#This Row],[Date]],Mileage[Date],Mileage[Total Time])</f>
        <v>2.5666666666666664</v>
      </c>
      <c r="N23" s="4">
        <f>_xlfn.XLOOKUP(EarningsPerDay[[#This Row],[Date]],Mileage[Date],Mileage[Mileage])</f>
        <v>51.705921316337992</v>
      </c>
      <c r="O23" s="4">
        <f>SUMIF(Combined[Date],EarningsPerDay[[#This Row],[Date]],Combined[Trips])</f>
        <v>5</v>
      </c>
      <c r="P23">
        <f>COUNTIF(Combined[Date],EarningsPerDay[[#This Row],[Date]])</f>
        <v>2</v>
      </c>
      <c r="Q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" s="11">
        <f>SUMIF(Combined[Date],EarningsPerDay[[#This Row],[Date]],Combined[Earnings])</f>
        <v>40.86</v>
      </c>
      <c r="S23" s="11">
        <f ca="1">EarningsPerDay[[#This Row],[Gross Earnings]]-(EarningsPerDay[[#This Row],[Miles]]*CpM!$D$11)</f>
        <v>29.330970816901413</v>
      </c>
      <c r="T23" s="11">
        <f t="shared" si="1"/>
        <v>15.919480519480521</v>
      </c>
      <c r="U23" s="11">
        <f t="shared" ca="1" si="2"/>
        <v>11.427650967623928</v>
      </c>
      <c r="V23" s="11">
        <f>EarningsPerDay[[#This Row],[Gross Earnings]]/EarningsPerDay[[#This Row],[Deliveries]]</f>
        <v>8.1720000000000006</v>
      </c>
      <c r="W23" s="11">
        <f>EarningsPerDay[[#This Row],[Gross Earnings]]/EarningsPerDay[[#This Row],[Miles]]</f>
        <v>0.79023831235918995</v>
      </c>
      <c r="X23" s="71">
        <f>EarningsPerDay[[#This Row],[Deliveries]]/EarningsPerDay[[#This Row],[Hours]]</f>
        <v>1.9480519480519483</v>
      </c>
      <c r="Y23" s="71">
        <f>EarningsPerDay[[#This Row],[Miles]]/EarningsPerDay[[#This Row],[Deliveries]]</f>
        <v>10.341184263267598</v>
      </c>
      <c r="Z23" s="81">
        <f>(EarningsPerDay[[#This Row],[Hours]]/EarningsPerDay[[#This Row],[Deliveries]])/24</f>
        <v>2.1388888888888888E-2</v>
      </c>
      <c r="AA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9.4094805194805211</v>
      </c>
      <c r="AB23" s="11">
        <f>AVERAGEIFS(EarningsPerDay[Gross $/Hour],EarningsPerDay[Week '#], EarningsPerDay[[#This Row],[Week '#]], EarningsPerDay[DOW], EarningsPerDay[[#This Row],[DOW]])</f>
        <v>20.505198983639957</v>
      </c>
      <c r="AC23" s="11">
        <f>EarningsPerDay[[#This Row],[Gross $/Hour]] - EarningsPerDay[[#This Row],[Weekly Average Earnings]]</f>
        <v>-4.5857184641594362</v>
      </c>
      <c r="AD23" s="11">
        <f>(SUMIFS(EarningsPerDay[Gross Earnings], EarningsPerDay[Date],"&gt;="&amp;EarningsPerDay[[#This Row],[Date]]-89, EarningsPerDay[Date], "&lt;="&amp;EarningsPerDay[[#This Row],[Date]]))/90</f>
        <v>14.010444444444442</v>
      </c>
      <c r="AE23" s="11"/>
      <c r="AI23" s="11"/>
      <c r="AJ23" s="473">
        <v>46073</v>
      </c>
      <c r="AK23" s="4">
        <v>4.22</v>
      </c>
      <c r="AL23" s="4">
        <v>2</v>
      </c>
    </row>
    <row r="24" spans="1:63" x14ac:dyDescent="0.35">
      <c r="A24" s="55"/>
      <c r="B24" s="40">
        <v>44270</v>
      </c>
      <c r="C24" s="40">
        <f t="shared" si="11"/>
        <v>44270</v>
      </c>
      <c r="D24" s="4">
        <f>IF(EarningsPerDay[[#This Row],[Week '#]]&gt;=52,YEAR(EarningsPerDay[[#This Row],[Date]])-1,YEAR(EarningsPerDay[[#This Row],[Date]]))</f>
        <v>2021</v>
      </c>
      <c r="E24" s="4" t="str">
        <f>"QTR"&amp;IF(EarningsPerDay[[#This Row],[Week '#]] &lt;= 13, 1, IF(EarningsPerDay[[#This Row],[Week '#]] &lt;= 26, 2, IF(EarningsPerDay[[#This Row],[Week '#]] &lt;= 39, 3, 4)))</f>
        <v>QTR1</v>
      </c>
      <c r="F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4" s="4">
        <f>IF(WEEKNUM(EarningsPerDay[[#This Row],[Date]], 2) = 53, 1, WEEKNUM(EarningsPerDay[[#This Row],[Date]],2))</f>
        <v>12</v>
      </c>
      <c r="H24" s="40" t="str">
        <f t="shared" si="0"/>
        <v>Monday</v>
      </c>
      <c r="I24" s="106" t="str">
        <f>IF(_xlfn.XLOOKUP(EarningsPerDay[[#This Row],[Date]],Mileage[Date],Mileage[Start Time])="","",MROUND(_xlfn.XLOOKUP(EarningsPerDay[[#This Row],[Date]],Mileage[Date],Mileage[Start Time]),0.0208333333333333))</f>
        <v/>
      </c>
      <c r="J24" s="40" t="str" cm="1">
        <f t="array" ref="J24">IFERROR(VLOOKUP(MODE(IF(Combined[Date]=EarningsPerDay[[#This Row],[Date]],Combined[Area '#])),KPIs!$B$4:$C$7,2,FALSE),VLOOKUP(EarningsPerDay[[#This Row],[Date]],Combined[[Date]:[Primary Area]],8,FALSE))</f>
        <v>Brunswick/Bath/Freeport</v>
      </c>
      <c r="K24" s="40" t="str">
        <f>_xlfn.XLOOKUP(EarningsPerDay[[#This Row],[Date]],Mileage[Date],Mileage[Weather])</f>
        <v>Clear</v>
      </c>
      <c r="L24" s="4">
        <f>_xlfn.XLOOKUP(EarningsPerDay[[#This Row],[Date]],Mileage[Date],Mileage[Hi Temp])</f>
        <v>29.3</v>
      </c>
      <c r="M24" s="12">
        <f>_xlfn.XLOOKUP(EarningsPerDay[[#This Row],[Date]],Mileage[Date],Mileage[Total Time])</f>
        <v>2.541666666666667</v>
      </c>
      <c r="N24" s="4">
        <f>_xlfn.XLOOKUP(EarningsPerDay[[#This Row],[Date]],Mileage[Date],Mileage[Mileage])</f>
        <v>62.047105579605585</v>
      </c>
      <c r="O24" s="4">
        <f>SUMIF(Combined[Date],EarningsPerDay[[#This Row],[Date]],Combined[Trips])</f>
        <v>6</v>
      </c>
      <c r="P24">
        <f>COUNTIF(Combined[Date],EarningsPerDay[[#This Row],[Date]])</f>
        <v>2</v>
      </c>
      <c r="Q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" s="11">
        <f>SUMIF(Combined[Date],EarningsPerDay[[#This Row],[Date]],Combined[Earnings])</f>
        <v>82</v>
      </c>
      <c r="S24" s="11">
        <f ca="1">EarningsPerDay[[#This Row],[Gross Earnings]]-(EarningsPerDay[[#This Row],[Miles]]*CpM!$D$11)</f>
        <v>68.165164980281702</v>
      </c>
      <c r="T24" s="11">
        <f t="shared" si="1"/>
        <v>32.26229508196721</v>
      </c>
      <c r="U24" s="11">
        <f t="shared" ca="1" si="2"/>
        <v>26.819081303717386</v>
      </c>
      <c r="V24" s="11">
        <f>EarningsPerDay[[#This Row],[Gross Earnings]]/EarningsPerDay[[#This Row],[Deliveries]]</f>
        <v>13.666666666666666</v>
      </c>
      <c r="W24" s="11">
        <f>EarningsPerDay[[#This Row],[Gross Earnings]]/EarningsPerDay[[#This Row],[Miles]]</f>
        <v>1.3215765543615106</v>
      </c>
      <c r="X24" s="71">
        <f>EarningsPerDay[[#This Row],[Deliveries]]/EarningsPerDay[[#This Row],[Hours]]</f>
        <v>2.3606557377049175</v>
      </c>
      <c r="Y24" s="71">
        <f>EarningsPerDay[[#This Row],[Miles]]/EarningsPerDay[[#This Row],[Deliveries]]</f>
        <v>10.341184263267598</v>
      </c>
      <c r="Z24" s="81">
        <f>(EarningsPerDay[[#This Row],[Hours]]/EarningsPerDay[[#This Row],[Deliveries]])/24</f>
        <v>1.7650462962962965E-2</v>
      </c>
      <c r="AA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12.173009367681495</v>
      </c>
      <c r="AB24" s="11">
        <f>AVERAGEIFS(EarningsPerDay[Gross $/Hour],EarningsPerDay[Week '#], EarningsPerDay[[#This Row],[Week '#]], EarningsPerDay[DOW], EarningsPerDay[[#This Row],[DOW]])</f>
        <v>22.127564587674119</v>
      </c>
      <c r="AC24" s="11">
        <f>EarningsPerDay[[#This Row],[Gross $/Hour]] - EarningsPerDay[[#This Row],[Weekly Average Earnings]]</f>
        <v>10.134730494293091</v>
      </c>
      <c r="AD24" s="11">
        <f>(SUMIFS(EarningsPerDay[Gross Earnings], EarningsPerDay[Date],"&gt;="&amp;EarningsPerDay[[#This Row],[Date]]-89, EarningsPerDay[Date], "&lt;="&amp;EarningsPerDay[[#This Row],[Date]]))/90</f>
        <v>14.921555555555553</v>
      </c>
      <c r="AE24" s="11"/>
      <c r="AI24" s="11"/>
      <c r="AJ24" s="473">
        <v>46074</v>
      </c>
      <c r="AK24" s="4">
        <v>4.9800000000000004</v>
      </c>
      <c r="AL24" s="4">
        <v>1</v>
      </c>
      <c r="BF24" s="7" t="s">
        <v>297</v>
      </c>
      <c r="BG24" s="232">
        <f t="shared" ref="BG24:BJ24" si="15">AVERAGE(BG21:BG22)</f>
        <v>0.5</v>
      </c>
      <c r="BH24" s="232">
        <f t="shared" si="15"/>
        <v>0.5</v>
      </c>
      <c r="BI24" s="232">
        <f t="shared" si="15"/>
        <v>0.5</v>
      </c>
      <c r="BJ24" s="232">
        <f t="shared" si="15"/>
        <v>0</v>
      </c>
      <c r="BK24" s="232">
        <f>AVERAGE(BK21:BK22)</f>
        <v>0</v>
      </c>
    </row>
    <row r="25" spans="1:63" x14ac:dyDescent="0.35">
      <c r="A25" s="55"/>
      <c r="B25" s="40">
        <v>44272</v>
      </c>
      <c r="C25" s="40">
        <f t="shared" si="11"/>
        <v>44272</v>
      </c>
      <c r="D25" s="4">
        <f>IF(EarningsPerDay[[#This Row],[Week '#]]&gt;=52,YEAR(EarningsPerDay[[#This Row],[Date]])-1,YEAR(EarningsPerDay[[#This Row],[Date]]))</f>
        <v>2021</v>
      </c>
      <c r="E25" s="4" t="str">
        <f>"QTR"&amp;IF(EarningsPerDay[[#This Row],[Week '#]] &lt;= 13, 1, IF(EarningsPerDay[[#This Row],[Week '#]] &lt;= 26, 2, IF(EarningsPerDay[[#This Row],[Week '#]] &lt;= 39, 3, 4)))</f>
        <v>QTR1</v>
      </c>
      <c r="F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5" s="4">
        <f>IF(WEEKNUM(EarningsPerDay[[#This Row],[Date]], 2) = 53, 1, WEEKNUM(EarningsPerDay[[#This Row],[Date]],2))</f>
        <v>12</v>
      </c>
      <c r="H25" s="40" t="str">
        <f t="shared" si="0"/>
        <v>Wednesday</v>
      </c>
      <c r="I25" s="106" t="str">
        <f>IF(_xlfn.XLOOKUP(EarningsPerDay[[#This Row],[Date]],Mileage[Date],Mileage[Start Time])="","",MROUND(_xlfn.XLOOKUP(EarningsPerDay[[#This Row],[Date]],Mileage[Date],Mileage[Start Time]),0.0208333333333333))</f>
        <v/>
      </c>
      <c r="J25" s="40" t="str" cm="1">
        <f t="array" ref="J25">IFERROR(VLOOKUP(MODE(IF(Combined[Date]=EarningsPerDay[[#This Row],[Date]],Combined[Area '#])),KPIs!$B$4:$C$7,2,FALSE),VLOOKUP(EarningsPerDay[[#This Row],[Date]],Combined[[Date]:[Primary Area]],8,FALSE))</f>
        <v>Brunswick/Bath/Freeport</v>
      </c>
      <c r="K25" s="40" t="str">
        <f>_xlfn.XLOOKUP(EarningsPerDay[[#This Row],[Date]],Mileage[Date],Mileage[Weather])</f>
        <v>Rain</v>
      </c>
      <c r="L25" s="4">
        <f>_xlfn.XLOOKUP(EarningsPerDay[[#This Row],[Date]],Mileage[Date],Mileage[Hi Temp])</f>
        <v>42.3</v>
      </c>
      <c r="M25" s="12">
        <f>_xlfn.XLOOKUP(EarningsPerDay[[#This Row],[Date]],Mileage[Date],Mileage[Total Time])</f>
        <v>2.041666666666667</v>
      </c>
      <c r="N25" s="4">
        <f>_xlfn.XLOOKUP(EarningsPerDay[[#This Row],[Date]],Mileage[Date],Mileage[Mileage])</f>
        <v>72.388289842873192</v>
      </c>
      <c r="O25" s="4">
        <f>SUMIF(Combined[Date],EarningsPerDay[[#This Row],[Date]],Combined[Trips])</f>
        <v>7</v>
      </c>
      <c r="P25">
        <f>COUNTIF(Combined[Date],EarningsPerDay[[#This Row],[Date]])</f>
        <v>2</v>
      </c>
      <c r="Q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" s="11">
        <f>SUMIF(Combined[Date],EarningsPerDay[[#This Row],[Date]],Combined[Earnings])</f>
        <v>83.79</v>
      </c>
      <c r="S25" s="11">
        <f ca="1">EarningsPerDay[[#This Row],[Gross Earnings]]-(EarningsPerDay[[#This Row],[Miles]]*CpM!$D$11)</f>
        <v>67.649359143661982</v>
      </c>
      <c r="T25" s="11">
        <f t="shared" si="1"/>
        <v>41.04</v>
      </c>
      <c r="U25" s="11">
        <f t="shared" ca="1" si="2"/>
        <v>33.134379988732398</v>
      </c>
      <c r="V25" s="11">
        <f>EarningsPerDay[[#This Row],[Gross Earnings]]/EarningsPerDay[[#This Row],[Deliveries]]</f>
        <v>11.97</v>
      </c>
      <c r="W25" s="11">
        <f>EarningsPerDay[[#This Row],[Gross Earnings]]/EarningsPerDay[[#This Row],[Miles]]</f>
        <v>1.1575076601737033</v>
      </c>
      <c r="X25" s="71">
        <f>EarningsPerDay[[#This Row],[Deliveries]]/EarningsPerDay[[#This Row],[Hours]]</f>
        <v>3.4285714285714279</v>
      </c>
      <c r="Y25" s="71">
        <f>EarningsPerDay[[#This Row],[Miles]]/EarningsPerDay[[#This Row],[Deliveries]]</f>
        <v>10.341184263267598</v>
      </c>
      <c r="Z25" s="81">
        <f>(EarningsPerDay[[#This Row],[Hours]]/EarningsPerDay[[#This Row],[Deliveries]])/24</f>
        <v>1.2152777777777778E-2</v>
      </c>
      <c r="AA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15.687715736040605</v>
      </c>
      <c r="AB25" s="11">
        <f>AVERAGEIFS(EarningsPerDay[Gross $/Hour],EarningsPerDay[Week '#], EarningsPerDay[[#This Row],[Week '#]], EarningsPerDay[DOW], EarningsPerDay[[#This Row],[DOW]])</f>
        <v>26.505470302261681</v>
      </c>
      <c r="AC25" s="11">
        <f>EarningsPerDay[[#This Row],[Gross $/Hour]] - EarningsPerDay[[#This Row],[Weekly Average Earnings]]</f>
        <v>14.534529697738318</v>
      </c>
      <c r="AD25" s="11">
        <f>(SUMIFS(EarningsPerDay[Gross Earnings], EarningsPerDay[Date],"&gt;="&amp;EarningsPerDay[[#This Row],[Date]]-89, EarningsPerDay[Date], "&lt;="&amp;EarningsPerDay[[#This Row],[Date]]))/90</f>
        <v>15.852555555555552</v>
      </c>
      <c r="AE25" s="11"/>
      <c r="AI25" s="11"/>
      <c r="AJ25" s="473">
        <v>46083</v>
      </c>
      <c r="AK25" s="4">
        <v>4.87</v>
      </c>
      <c r="AL25" s="4">
        <v>1</v>
      </c>
      <c r="BF25" s="7" t="s">
        <v>93</v>
      </c>
      <c r="BG25" s="232">
        <f t="shared" ref="BG25:BJ25" si="16">AVERAGE(BG16:BG20)</f>
        <v>0</v>
      </c>
      <c r="BH25" s="232">
        <f t="shared" si="16"/>
        <v>0</v>
      </c>
      <c r="BI25" s="232">
        <f t="shared" si="16"/>
        <v>0</v>
      </c>
      <c r="BJ25" s="232">
        <f t="shared" si="16"/>
        <v>0.2</v>
      </c>
      <c r="BK25" s="232">
        <f>AVERAGE(BK16:BK20)</f>
        <v>0.2</v>
      </c>
    </row>
    <row r="26" spans="1:63" x14ac:dyDescent="0.35">
      <c r="A26" s="55"/>
      <c r="B26" s="40">
        <v>44274</v>
      </c>
      <c r="C26" s="40">
        <f t="shared" si="11"/>
        <v>44274</v>
      </c>
      <c r="D26" s="4">
        <f>IF(EarningsPerDay[[#This Row],[Week '#]]&gt;=52,YEAR(EarningsPerDay[[#This Row],[Date]])-1,YEAR(EarningsPerDay[[#This Row],[Date]]))</f>
        <v>2021</v>
      </c>
      <c r="E26" s="4" t="str">
        <f>"QTR"&amp;IF(EarningsPerDay[[#This Row],[Week '#]] &lt;= 13, 1, IF(EarningsPerDay[[#This Row],[Week '#]] &lt;= 26, 2, IF(EarningsPerDay[[#This Row],[Week '#]] &lt;= 39, 3, 4)))</f>
        <v>QTR1</v>
      </c>
      <c r="F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6" s="4">
        <f>IF(WEEKNUM(EarningsPerDay[[#This Row],[Date]], 2) = 53, 1, WEEKNUM(EarningsPerDay[[#This Row],[Date]],2))</f>
        <v>12</v>
      </c>
      <c r="H26" s="40" t="str">
        <f t="shared" si="0"/>
        <v>Friday</v>
      </c>
      <c r="I26" s="106" t="str">
        <f>IF(_xlfn.XLOOKUP(EarningsPerDay[[#This Row],[Date]],Mileage[Date],Mileage[Start Time])="","",MROUND(_xlfn.XLOOKUP(EarningsPerDay[[#This Row],[Date]],Mileage[Date],Mileage[Start Time]),0.0208333333333333))</f>
        <v/>
      </c>
      <c r="J26" s="40" t="str" cm="1">
        <f t="array" ref="J26">IFERROR(VLOOKUP(MODE(IF(Combined[Date]=EarningsPerDay[[#This Row],[Date]],Combined[Area '#])),KPIs!$B$4:$C$7,2,FALSE),VLOOKUP(EarningsPerDay[[#This Row],[Date]],Combined[[Date]:[Primary Area]],8,FALSE))</f>
        <v>Portland</v>
      </c>
      <c r="K26" s="40" t="str">
        <f>_xlfn.XLOOKUP(EarningsPerDay[[#This Row],[Date]],Mileage[Date],Mileage[Weather])</f>
        <v>Clear</v>
      </c>
      <c r="L26" s="4">
        <f>_xlfn.XLOOKUP(EarningsPerDay[[#This Row],[Date]],Mileage[Date],Mileage[Hi Temp])</f>
        <v>54.2</v>
      </c>
      <c r="M26" s="12">
        <f>_xlfn.XLOOKUP(EarningsPerDay[[#This Row],[Date]],Mileage[Date],Mileage[Total Time])</f>
        <v>3.5999999999999996</v>
      </c>
      <c r="N26" s="4">
        <f>_xlfn.XLOOKUP(EarningsPerDay[[#This Row],[Date]],Mileage[Date],Mileage[Mileage])</f>
        <v>85.784318711591439</v>
      </c>
      <c r="O26" s="4">
        <f>SUMIF(Combined[Date],EarningsPerDay[[#This Row],[Date]],Combined[Trips])</f>
        <v>6</v>
      </c>
      <c r="P26">
        <f>COUNTIF(Combined[Date],EarningsPerDay[[#This Row],[Date]])</f>
        <v>1</v>
      </c>
      <c r="Q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" s="11">
        <f>SUMIF(Combined[Date],EarningsPerDay[[#This Row],[Date]],Combined[Earnings])</f>
        <v>122.86</v>
      </c>
      <c r="S26" s="11">
        <f ca="1">EarningsPerDay[[#This Row],[Gross Earnings]]-(EarningsPerDay[[#This Row],[Miles]]*CpM!$D$11)</f>
        <v>103.7324051578661</v>
      </c>
      <c r="T26" s="11">
        <f t="shared" si="1"/>
        <v>34.12777777777778</v>
      </c>
      <c r="U26" s="11">
        <f t="shared" ca="1" si="2"/>
        <v>28.81455698829614</v>
      </c>
      <c r="V26" s="11">
        <f>EarningsPerDay[[#This Row],[Gross Earnings]]/EarningsPerDay[[#This Row],[Deliveries]]</f>
        <v>20.476666666666667</v>
      </c>
      <c r="W26" s="11">
        <f>EarningsPerDay[[#This Row],[Gross Earnings]]/EarningsPerDay[[#This Row],[Miles]]</f>
        <v>1.4321964881840203</v>
      </c>
      <c r="X26" s="71">
        <f>EarningsPerDay[[#This Row],[Deliveries]]/EarningsPerDay[[#This Row],[Hours]]</f>
        <v>1.6666666666666667</v>
      </c>
      <c r="Y26" s="71">
        <f>EarningsPerDay[[#This Row],[Miles]]/EarningsPerDay[[#This Row],[Deliveries]]</f>
        <v>14.297386451931906</v>
      </c>
      <c r="Z26" s="81">
        <f>(EarningsPerDay[[#This Row],[Hours]]/EarningsPerDay[[#This Row],[Deliveries]])/24</f>
        <v>2.4999999999999998E-2</v>
      </c>
      <c r="AA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14.791192411924118</v>
      </c>
      <c r="AB26" s="11">
        <f>AVERAGEIFS(EarningsPerDay[Gross $/Hour],EarningsPerDay[Week '#], EarningsPerDay[[#This Row],[Week '#]], EarningsPerDay[DOW], EarningsPerDay[[#This Row],[DOW]])</f>
        <v>24.852884451271549</v>
      </c>
      <c r="AC26" s="11">
        <f>EarningsPerDay[[#This Row],[Gross $/Hour]] - EarningsPerDay[[#This Row],[Weekly Average Earnings]]</f>
        <v>9.2748933265062306</v>
      </c>
      <c r="AD26" s="11">
        <f>(SUMIFS(EarningsPerDay[Gross Earnings], EarningsPerDay[Date],"&gt;="&amp;EarningsPerDay[[#This Row],[Date]]-89, EarningsPerDay[Date], "&lt;="&amp;EarningsPerDay[[#This Row],[Date]]))/90</f>
        <v>17.217666666666663</v>
      </c>
      <c r="AE26" s="11"/>
      <c r="AI26" s="11"/>
      <c r="AJ26" s="473">
        <v>46084</v>
      </c>
      <c r="AK26" s="4">
        <v>2.33</v>
      </c>
      <c r="AL26" s="4">
        <v>1</v>
      </c>
    </row>
    <row r="27" spans="1:63" x14ac:dyDescent="0.35">
      <c r="A27" s="55"/>
      <c r="B27" s="40">
        <v>44277</v>
      </c>
      <c r="C27" s="40">
        <f t="shared" si="11"/>
        <v>44277</v>
      </c>
      <c r="D27" s="4">
        <f>IF(EarningsPerDay[[#This Row],[Week '#]]&gt;=52,YEAR(EarningsPerDay[[#This Row],[Date]])-1,YEAR(EarningsPerDay[[#This Row],[Date]]))</f>
        <v>2021</v>
      </c>
      <c r="E27" s="4" t="str">
        <f>"QTR"&amp;IF(EarningsPerDay[[#This Row],[Week '#]] &lt;= 13, 1, IF(EarningsPerDay[[#This Row],[Week '#]] &lt;= 26, 2, IF(EarningsPerDay[[#This Row],[Week '#]] &lt;= 39, 3, 4)))</f>
        <v>QTR1</v>
      </c>
      <c r="F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7" s="4">
        <f>IF(WEEKNUM(EarningsPerDay[[#This Row],[Date]], 2) = 53, 1, WEEKNUM(EarningsPerDay[[#This Row],[Date]],2))</f>
        <v>13</v>
      </c>
      <c r="H27" s="40" t="str">
        <f t="shared" si="0"/>
        <v>Monday</v>
      </c>
      <c r="I2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7" s="40" t="str" cm="1">
        <f t="array" ref="J27">IFERROR(VLOOKUP(MODE(IF(Combined[Date]=EarningsPerDay[[#This Row],[Date]],Combined[Area '#])),KPIs!$B$4:$C$7,2,FALSE),VLOOKUP(EarningsPerDay[[#This Row],[Date]],Combined[[Date]:[Primary Area]],8,FALSE))</f>
        <v>Brunswick/Bath/Freeport</v>
      </c>
      <c r="K27" s="40" t="str">
        <f>_xlfn.XLOOKUP(EarningsPerDay[[#This Row],[Date]],Mileage[Date],Mileage[Weather])</f>
        <v>Partially Cloudy</v>
      </c>
      <c r="L27" s="4">
        <f>_xlfn.XLOOKUP(EarningsPerDay[[#This Row],[Date]],Mileage[Date],Mileage[Hi Temp])</f>
        <v>64.3</v>
      </c>
      <c r="M27" s="12">
        <f>_xlfn.XLOOKUP(EarningsPerDay[[#This Row],[Date]],Mileage[Date],Mileage[Total Time])</f>
        <v>2</v>
      </c>
      <c r="N27" s="4">
        <f>_xlfn.XLOOKUP(EarningsPerDay[[#This Row],[Date]],Mileage[Date],Mileage[Mileage])</f>
        <v>51.705921316337992</v>
      </c>
      <c r="O27" s="4">
        <f>SUMIF(Combined[Date],EarningsPerDay[[#This Row],[Date]],Combined[Trips])</f>
        <v>5</v>
      </c>
      <c r="P27">
        <f>COUNTIF(Combined[Date],EarningsPerDay[[#This Row],[Date]])</f>
        <v>2</v>
      </c>
      <c r="Q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" s="11">
        <f>SUMIF(Combined[Date],EarningsPerDay[[#This Row],[Date]],Combined[Earnings])</f>
        <v>67.849999999999994</v>
      </c>
      <c r="S27" s="11">
        <f ca="1">EarningsPerDay[[#This Row],[Gross Earnings]]-(EarningsPerDay[[#This Row],[Miles]]*CpM!$D$11)</f>
        <v>56.320970816901408</v>
      </c>
      <c r="T27" s="11">
        <f t="shared" si="1"/>
        <v>33.924999999999997</v>
      </c>
      <c r="U27" s="11">
        <f t="shared" ca="1" si="2"/>
        <v>28.160485408450704</v>
      </c>
      <c r="V27" s="11">
        <f>EarningsPerDay[[#This Row],[Gross Earnings]]/EarningsPerDay[[#This Row],[Deliveries]]</f>
        <v>13.569999999999999</v>
      </c>
      <c r="W27" s="11">
        <f>EarningsPerDay[[#This Row],[Gross Earnings]]/EarningsPerDay[[#This Row],[Miles]]</f>
        <v>1.3122288177574899</v>
      </c>
      <c r="X27" s="71">
        <f>EarningsPerDay[[#This Row],[Deliveries]]/EarningsPerDay[[#This Row],[Hours]]</f>
        <v>2.5</v>
      </c>
      <c r="Y27" s="71">
        <f>EarningsPerDay[[#This Row],[Miles]]/EarningsPerDay[[#This Row],[Deliveries]]</f>
        <v>10.341184263267598</v>
      </c>
      <c r="Z27" s="81">
        <f>(EarningsPerDay[[#This Row],[Hours]]/EarningsPerDay[[#This Row],[Deliveries]])/24</f>
        <v>1.6666666666666666E-2</v>
      </c>
      <c r="AA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7.7492096018735346</v>
      </c>
      <c r="AB27" s="11">
        <f>AVERAGEIFS(EarningsPerDay[Gross $/Hour],EarningsPerDay[Week '#], EarningsPerDay[[#This Row],[Week '#]], EarningsPerDay[DOW], EarningsPerDay[[#This Row],[DOW]])</f>
        <v>28.889867756914999</v>
      </c>
      <c r="AC27" s="11">
        <f>EarningsPerDay[[#This Row],[Gross $/Hour]] - EarningsPerDay[[#This Row],[Weekly Average Earnings]]</f>
        <v>5.0351322430849983</v>
      </c>
      <c r="AD27" s="11">
        <f>(SUMIFS(EarningsPerDay[Gross Earnings], EarningsPerDay[Date],"&gt;="&amp;EarningsPerDay[[#This Row],[Date]]-89, EarningsPerDay[Date], "&lt;="&amp;EarningsPerDay[[#This Row],[Date]]))/90</f>
        <v>17.97155555555555</v>
      </c>
      <c r="AE27" s="11"/>
      <c r="AI27" s="11"/>
      <c r="AJ27" s="473">
        <v>46087</v>
      </c>
      <c r="AK27" s="4">
        <v>3.1</v>
      </c>
      <c r="AL27" s="4">
        <v>2</v>
      </c>
    </row>
    <row r="28" spans="1:63" x14ac:dyDescent="0.35">
      <c r="A28" s="55"/>
      <c r="B28" s="40">
        <v>44279</v>
      </c>
      <c r="C28" s="40">
        <f t="shared" si="11"/>
        <v>44279</v>
      </c>
      <c r="D28" s="4">
        <f>IF(EarningsPerDay[[#This Row],[Week '#]]&gt;=52,YEAR(EarningsPerDay[[#This Row],[Date]])-1,YEAR(EarningsPerDay[[#This Row],[Date]]))</f>
        <v>2021</v>
      </c>
      <c r="E28" s="4" t="str">
        <f>"QTR"&amp;IF(EarningsPerDay[[#This Row],[Week '#]] &lt;= 13, 1, IF(EarningsPerDay[[#This Row],[Week '#]] &lt;= 26, 2, IF(EarningsPerDay[[#This Row],[Week '#]] &lt;= 39, 3, 4)))</f>
        <v>QTR1</v>
      </c>
      <c r="F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8" s="4">
        <f>IF(WEEKNUM(EarningsPerDay[[#This Row],[Date]], 2) = 53, 1, WEEKNUM(EarningsPerDay[[#This Row],[Date]],2))</f>
        <v>13</v>
      </c>
      <c r="H28" s="40" t="str">
        <f t="shared" si="0"/>
        <v>Wednesday</v>
      </c>
      <c r="I2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8" s="40" t="str" cm="1">
        <f t="array" ref="J28">IFERROR(VLOOKUP(MODE(IF(Combined[Date]=EarningsPerDay[[#This Row],[Date]],Combined[Area '#])),KPIs!$B$4:$C$7,2,FALSE),VLOOKUP(EarningsPerDay[[#This Row],[Date]],Combined[[Date]:[Primary Area]],8,FALSE))</f>
        <v>Brunswick/Bath/Freeport</v>
      </c>
      <c r="K28" s="40" t="str">
        <f>_xlfn.XLOOKUP(EarningsPerDay[[#This Row],[Date]],Mileage[Date],Mileage[Weather])</f>
        <v>Rain</v>
      </c>
      <c r="L28" s="4">
        <f>_xlfn.XLOOKUP(EarningsPerDay[[#This Row],[Date]],Mileage[Date],Mileage[Hi Temp])</f>
        <v>53.6</v>
      </c>
      <c r="M28" s="12">
        <f>_xlfn.XLOOKUP(EarningsPerDay[[#This Row],[Date]],Mileage[Date],Mileage[Total Time])</f>
        <v>2.5999999999999996</v>
      </c>
      <c r="N28" s="4">
        <f>_xlfn.XLOOKUP(EarningsPerDay[[#This Row],[Date]],Mileage[Date],Mileage[Mileage])</f>
        <v>62.047105579605585</v>
      </c>
      <c r="O28" s="4">
        <f>SUMIF(Combined[Date],EarningsPerDay[[#This Row],[Date]],Combined[Trips])</f>
        <v>6</v>
      </c>
      <c r="P28">
        <f>COUNTIF(Combined[Date],EarningsPerDay[[#This Row],[Date]])</f>
        <v>2</v>
      </c>
      <c r="Q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" s="11">
        <f>SUMIF(Combined[Date],EarningsPerDay[[#This Row],[Date]],Combined[Earnings])</f>
        <v>90.59</v>
      </c>
      <c r="S28" s="11">
        <f ca="1">EarningsPerDay[[#This Row],[Gross Earnings]]-(EarningsPerDay[[#This Row],[Miles]]*CpM!$D$11)</f>
        <v>76.755164980281705</v>
      </c>
      <c r="T28" s="11">
        <f t="shared" si="1"/>
        <v>34.842307692307699</v>
      </c>
      <c r="U28" s="11">
        <f t="shared" ca="1" si="2"/>
        <v>29.521217300108351</v>
      </c>
      <c r="V28" s="11">
        <f>EarningsPerDay[[#This Row],[Gross Earnings]]/EarningsPerDay[[#This Row],[Deliveries]]</f>
        <v>15.098333333333334</v>
      </c>
      <c r="W28" s="11">
        <f>EarningsPerDay[[#This Row],[Gross Earnings]]/EarningsPerDay[[#This Row],[Miles]]</f>
        <v>1.4600197568245028</v>
      </c>
      <c r="X28" s="71">
        <f>EarningsPerDay[[#This Row],[Deliveries]]/EarningsPerDay[[#This Row],[Hours]]</f>
        <v>2.3076923076923079</v>
      </c>
      <c r="Y28" s="71">
        <f>EarningsPerDay[[#This Row],[Miles]]/EarningsPerDay[[#This Row],[Deliveries]]</f>
        <v>10.341184263267598</v>
      </c>
      <c r="Z28" s="81">
        <f>(EarningsPerDay[[#This Row],[Hours]]/EarningsPerDay[[#This Row],[Deliveries]])/24</f>
        <v>1.8055555555555554E-2</v>
      </c>
      <c r="AA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1.6461655603280008</v>
      </c>
      <c r="AB28" s="11">
        <f>AVERAGEIFS(EarningsPerDay[Gross $/Hour],EarningsPerDay[Week '#], EarningsPerDay[[#This Row],[Week '#]], EarningsPerDay[DOW], EarningsPerDay[[#This Row],[DOW]])</f>
        <v>32.352077622229814</v>
      </c>
      <c r="AC28" s="11">
        <f>EarningsPerDay[[#This Row],[Gross $/Hour]] - EarningsPerDay[[#This Row],[Weekly Average Earnings]]</f>
        <v>2.4902300700778852</v>
      </c>
      <c r="AD28" s="11">
        <f>(SUMIFS(EarningsPerDay[Gross Earnings], EarningsPerDay[Date],"&gt;="&amp;EarningsPerDay[[#This Row],[Date]]-89, EarningsPerDay[Date], "&lt;="&amp;EarningsPerDay[[#This Row],[Date]]))/90</f>
        <v>18.978111111111104</v>
      </c>
      <c r="AE28" s="11"/>
      <c r="AI28" s="11"/>
      <c r="AJ28" s="473">
        <v>46091</v>
      </c>
      <c r="AK28" s="4">
        <v>4.05</v>
      </c>
      <c r="AL28" s="4">
        <v>2</v>
      </c>
    </row>
    <row r="29" spans="1:63" x14ac:dyDescent="0.35">
      <c r="A29" s="55"/>
      <c r="B29" s="40">
        <v>44282</v>
      </c>
      <c r="C29" s="40">
        <f t="shared" si="11"/>
        <v>44282</v>
      </c>
      <c r="D29" s="4">
        <f>IF(EarningsPerDay[[#This Row],[Week '#]]&gt;=52,YEAR(EarningsPerDay[[#This Row],[Date]])-1,YEAR(EarningsPerDay[[#This Row],[Date]]))</f>
        <v>2021</v>
      </c>
      <c r="E29" s="4" t="str">
        <f>"QTR"&amp;IF(EarningsPerDay[[#This Row],[Week '#]] &lt;= 13, 1, IF(EarningsPerDay[[#This Row],[Week '#]] &lt;= 26, 2, IF(EarningsPerDay[[#This Row],[Week '#]] &lt;= 39, 3, 4)))</f>
        <v>QTR1</v>
      </c>
      <c r="F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9" s="4">
        <f>IF(WEEKNUM(EarningsPerDay[[#This Row],[Date]], 2) = 53, 1, WEEKNUM(EarningsPerDay[[#This Row],[Date]],2))</f>
        <v>13</v>
      </c>
      <c r="H29" s="40" t="str">
        <f t="shared" si="0"/>
        <v>Saturday</v>
      </c>
      <c r="I29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29" s="40" t="str" cm="1">
        <f t="array" ref="J29">IFERROR(VLOOKUP(MODE(IF(Combined[Date]=EarningsPerDay[[#This Row],[Date]],Combined[Area '#])),KPIs!$B$4:$C$7,2,FALSE),VLOOKUP(EarningsPerDay[[#This Row],[Date]],Combined[[Date]:[Primary Area]],8,FALSE))</f>
        <v>Brunswick/Bath/Freeport</v>
      </c>
      <c r="K29" s="40" t="str">
        <f>_xlfn.XLOOKUP(EarningsPerDay[[#This Row],[Date]],Mileage[Date],Mileage[Weather])</f>
        <v>Rain</v>
      </c>
      <c r="L29" s="4">
        <f>_xlfn.XLOOKUP(EarningsPerDay[[#This Row],[Date]],Mileage[Date],Mileage[Hi Temp])</f>
        <v>38.9</v>
      </c>
      <c r="M29" s="12">
        <f>_xlfn.XLOOKUP(EarningsPerDay[[#This Row],[Date]],Mileage[Date],Mileage[Total Time])</f>
        <v>7.8999999999999995</v>
      </c>
      <c r="N29" s="4">
        <f>_xlfn.XLOOKUP(EarningsPerDay[[#This Row],[Date]],Mileage[Date],Mileage[Mileage])</f>
        <v>175.80013247554916</v>
      </c>
      <c r="O29" s="4">
        <f>SUMIF(Combined[Date],EarningsPerDay[[#This Row],[Date]],Combined[Trips])</f>
        <v>17</v>
      </c>
      <c r="P29">
        <f>COUNTIF(Combined[Date],EarningsPerDay[[#This Row],[Date]])</f>
        <v>2</v>
      </c>
      <c r="Q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" s="11">
        <f>SUMIF(Combined[Date],EarningsPerDay[[#This Row],[Date]],Combined[Earnings])</f>
        <v>257.05</v>
      </c>
      <c r="S29" s="11">
        <f ca="1">EarningsPerDay[[#This Row],[Gross Earnings]]-(EarningsPerDay[[#This Row],[Miles]]*CpM!$D$11)</f>
        <v>217.85130077746481</v>
      </c>
      <c r="T29" s="11">
        <f t="shared" si="1"/>
        <v>32.537974683544306</v>
      </c>
      <c r="U29" s="11">
        <f t="shared" ca="1" si="2"/>
        <v>27.576114022463901</v>
      </c>
      <c r="V29" s="11">
        <f>EarningsPerDay[[#This Row],[Gross Earnings]]/EarningsPerDay[[#This Row],[Deliveries]]</f>
        <v>15.120588235294118</v>
      </c>
      <c r="W29" s="11">
        <f>EarningsPerDay[[#This Row],[Gross Earnings]]/EarningsPerDay[[#This Row],[Miles]]</f>
        <v>1.4621718219453068</v>
      </c>
      <c r="X29" s="71">
        <f>EarningsPerDay[[#This Row],[Deliveries]]/EarningsPerDay[[#This Row],[Hours]]</f>
        <v>2.1518987341772156</v>
      </c>
      <c r="Y29" s="71">
        <f>EarningsPerDay[[#This Row],[Miles]]/EarningsPerDay[[#This Row],[Deliveries]]</f>
        <v>10.341184263267598</v>
      </c>
      <c r="Z29" s="81">
        <f>(EarningsPerDay[[#This Row],[Hours]]/EarningsPerDay[[#This Row],[Deliveries]])/24</f>
        <v>1.9362745098039213E-2</v>
      </c>
      <c r="AA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2.0008388068293996</v>
      </c>
      <c r="AB29" s="11">
        <f>AVERAGEIFS(EarningsPerDay[Gross $/Hour],EarningsPerDay[Week '#], EarningsPerDay[[#This Row],[Week '#]], EarningsPerDay[DOW], EarningsPerDay[[#This Row],[DOW]])</f>
        <v>30.297774755848877</v>
      </c>
      <c r="AC29" s="11">
        <f>EarningsPerDay[[#This Row],[Gross $/Hour]] - EarningsPerDay[[#This Row],[Weekly Average Earnings]]</f>
        <v>2.2401999276954285</v>
      </c>
      <c r="AD29" s="11">
        <f>(SUMIFS(EarningsPerDay[Gross Earnings], EarningsPerDay[Date],"&gt;="&amp;EarningsPerDay[[#This Row],[Date]]-89, EarningsPerDay[Date], "&lt;="&amp;EarningsPerDay[[#This Row],[Date]]))/90</f>
        <v>21.834222222222216</v>
      </c>
      <c r="AE29" s="11"/>
      <c r="AI29" s="11"/>
      <c r="AJ29" s="473">
        <v>46094</v>
      </c>
      <c r="AK29" s="4">
        <v>3.97</v>
      </c>
      <c r="AL29" s="4">
        <v>3</v>
      </c>
    </row>
    <row r="30" spans="1:63" x14ac:dyDescent="0.35">
      <c r="A30" s="55"/>
      <c r="B30" s="40">
        <v>44289</v>
      </c>
      <c r="C30" s="40">
        <f t="shared" si="11"/>
        <v>44289</v>
      </c>
      <c r="D30" s="4">
        <f>IF(EarningsPerDay[[#This Row],[Week '#]]&gt;=52,YEAR(EarningsPerDay[[#This Row],[Date]])-1,YEAR(EarningsPerDay[[#This Row],[Date]]))</f>
        <v>2021</v>
      </c>
      <c r="E30" s="4" t="str">
        <f>"QTR"&amp;IF(EarningsPerDay[[#This Row],[Week '#]] &lt;= 13, 1, IF(EarningsPerDay[[#This Row],[Week '#]] &lt;= 26, 2, IF(EarningsPerDay[[#This Row],[Week '#]] &lt;= 39, 3, 4)))</f>
        <v>QTR2</v>
      </c>
      <c r="F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0" s="4">
        <f>IF(WEEKNUM(EarningsPerDay[[#This Row],[Date]], 2) = 53, 1, WEEKNUM(EarningsPerDay[[#This Row],[Date]],2))</f>
        <v>14</v>
      </c>
      <c r="H30" s="40" t="str">
        <f t="shared" si="0"/>
        <v>Saturday</v>
      </c>
      <c r="I30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30" s="40" t="str" cm="1">
        <f t="array" ref="J30">IFERROR(VLOOKUP(MODE(IF(Combined[Date]=EarningsPerDay[[#This Row],[Date]],Combined[Area '#])),KPIs!$B$4:$C$7,2,FALSE),VLOOKUP(EarningsPerDay[[#This Row],[Date]],Combined[[Date]:[Primary Area]],8,FALSE))</f>
        <v>Brunswick/Bath/Freeport</v>
      </c>
      <c r="K30" s="40" t="str">
        <f>_xlfn.XLOOKUP(EarningsPerDay[[#This Row],[Date]],Mileage[Date],Mileage[Weather])</f>
        <v>Clear</v>
      </c>
      <c r="L30" s="4">
        <f>_xlfn.XLOOKUP(EarningsPerDay[[#This Row],[Date]],Mileage[Date],Mileage[Hi Temp])</f>
        <v>56.4</v>
      </c>
      <c r="M30" s="12">
        <f>_xlfn.XLOOKUP(EarningsPerDay[[#This Row],[Date]],Mileage[Date],Mileage[Total Time])</f>
        <v>1.2</v>
      </c>
      <c r="N30" s="4">
        <f>_xlfn.XLOOKUP(EarningsPerDay[[#This Row],[Date]],Mileage[Date],Mileage[Mileage])</f>
        <v>31.023552789802793</v>
      </c>
      <c r="O30" s="4">
        <f>SUMIF(Combined[Date],EarningsPerDay[[#This Row],[Date]],Combined[Trips])</f>
        <v>3</v>
      </c>
      <c r="P30">
        <f>COUNTIF(Combined[Date],EarningsPerDay[[#This Row],[Date]])</f>
        <v>2</v>
      </c>
      <c r="Q3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" s="11">
        <f>SUMIF(Combined[Date],EarningsPerDay[[#This Row],[Date]],Combined[Earnings])</f>
        <v>35.739999999999995</v>
      </c>
      <c r="S30" s="11">
        <f ca="1">EarningsPerDay[[#This Row],[Gross Earnings]]-(EarningsPerDay[[#This Row],[Miles]]*CpM!$D$11)</f>
        <v>28.822582490140846</v>
      </c>
      <c r="T30" s="11">
        <f t="shared" si="1"/>
        <v>29.783333333333331</v>
      </c>
      <c r="U30" s="11">
        <f t="shared" ca="1" si="2"/>
        <v>24.018818741784038</v>
      </c>
      <c r="V30" s="11">
        <f>EarningsPerDay[[#This Row],[Gross Earnings]]/EarningsPerDay[[#This Row],[Deliveries]]</f>
        <v>11.913333333333332</v>
      </c>
      <c r="W30" s="11">
        <f>EarningsPerDay[[#This Row],[Gross Earnings]]/EarningsPerDay[[#This Row],[Miles]]</f>
        <v>1.1520279525092776</v>
      </c>
      <c r="X30" s="71">
        <f>EarningsPerDay[[#This Row],[Deliveries]]/EarningsPerDay[[#This Row],[Hours]]</f>
        <v>2.5</v>
      </c>
      <c r="Y30" s="71">
        <f>EarningsPerDay[[#This Row],[Miles]]/EarningsPerDay[[#This Row],[Deliveries]]</f>
        <v>10.341184263267598</v>
      </c>
      <c r="Z30" s="81">
        <f>(EarningsPerDay[[#This Row],[Hours]]/EarningsPerDay[[#This Row],[Deliveries]])/24</f>
        <v>1.6666666666666666E-2</v>
      </c>
      <c r="AA3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0" s="11">
        <f>AVERAGEIFS(EarningsPerDay[Gross $/Hour],EarningsPerDay[Week '#], EarningsPerDay[[#This Row],[Week '#]], EarningsPerDay[DOW], EarningsPerDay[[#This Row],[DOW]])</f>
        <v>21.691133638317044</v>
      </c>
      <c r="AC30" s="11">
        <f>EarningsPerDay[[#This Row],[Gross $/Hour]] - EarningsPerDay[[#This Row],[Weekly Average Earnings]]</f>
        <v>8.0921996950162871</v>
      </c>
      <c r="AD30" s="11">
        <f>(SUMIFS(EarningsPerDay[Gross Earnings], EarningsPerDay[Date],"&gt;="&amp;EarningsPerDay[[#This Row],[Date]]-89, EarningsPerDay[Date], "&lt;="&amp;EarningsPerDay[[#This Row],[Date]]))/90</f>
        <v>21.327444444444438</v>
      </c>
      <c r="AE30" s="11"/>
      <c r="AI30" s="11"/>
      <c r="AJ30" s="473">
        <v>46098</v>
      </c>
      <c r="AK30" s="4">
        <v>3.75</v>
      </c>
      <c r="AL30" s="4">
        <v>2</v>
      </c>
    </row>
    <row r="31" spans="1:63" x14ac:dyDescent="0.35">
      <c r="A31" s="55"/>
      <c r="B31" s="40">
        <v>44302</v>
      </c>
      <c r="C31" s="40">
        <f t="shared" si="11"/>
        <v>44302</v>
      </c>
      <c r="D31" s="4">
        <f>IF(EarningsPerDay[[#This Row],[Week '#]]&gt;=52,YEAR(EarningsPerDay[[#This Row],[Date]])-1,YEAR(EarningsPerDay[[#This Row],[Date]]))</f>
        <v>2021</v>
      </c>
      <c r="E31" s="4" t="str">
        <f>"QTR"&amp;IF(EarningsPerDay[[#This Row],[Week '#]] &lt;= 13, 1, IF(EarningsPerDay[[#This Row],[Week '#]] &lt;= 26, 2, IF(EarningsPerDay[[#This Row],[Week '#]] &lt;= 39, 3, 4)))</f>
        <v>QTR2</v>
      </c>
      <c r="F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1" s="4">
        <f>IF(WEEKNUM(EarningsPerDay[[#This Row],[Date]], 2) = 53, 1, WEEKNUM(EarningsPerDay[[#This Row],[Date]],2))</f>
        <v>16</v>
      </c>
      <c r="H31" s="40" t="str">
        <f t="shared" si="0"/>
        <v>Friday</v>
      </c>
      <c r="I3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" s="40" t="str" cm="1">
        <f t="array" ref="J31">IFERROR(VLOOKUP(MODE(IF(Combined[Date]=EarningsPerDay[[#This Row],[Date]],Combined[Area '#])),KPIs!$B$4:$C$7,2,FALSE),VLOOKUP(EarningsPerDay[[#This Row],[Date]],Combined[[Date]:[Primary Area]],8,FALSE))</f>
        <v>Portland</v>
      </c>
      <c r="K31" s="40" t="str">
        <f>_xlfn.XLOOKUP(EarningsPerDay[[#This Row],[Date]],Mileage[Date],Mileage[Weather])</f>
        <v>Rain / Snow Mix</v>
      </c>
      <c r="L31" s="4">
        <f>_xlfn.XLOOKUP(EarningsPerDay[[#This Row],[Date]],Mileage[Date],Mileage[Hi Temp])</f>
        <v>40.799999999999997</v>
      </c>
      <c r="M31" s="12">
        <f>_xlfn.XLOOKUP(EarningsPerDay[[#This Row],[Date]],Mileage[Date],Mileage[Total Time])</f>
        <v>7.13</v>
      </c>
      <c r="N31" s="4">
        <f>_xlfn.XLOOKUP(EarningsPerDay[[#This Row],[Date]],Mileage[Date],Mileage[Mileage])</f>
        <v>188</v>
      </c>
      <c r="O31" s="4">
        <f>SUMIF(Combined[Date],EarningsPerDay[[#This Row],[Date]],Combined[Trips])</f>
        <v>12</v>
      </c>
      <c r="P31">
        <f>COUNTIF(Combined[Date],EarningsPerDay[[#This Row],[Date]])</f>
        <v>2</v>
      </c>
      <c r="Q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" s="11">
        <f>SUMIF(Combined[Date],EarningsPerDay[[#This Row],[Date]],Combined[Earnings])</f>
        <v>139.62</v>
      </c>
      <c r="S31" s="11">
        <f ca="1">EarningsPerDay[[#This Row],[Gross Earnings]]-(EarningsPerDay[[#This Row],[Miles]]*CpM!$D$11)</f>
        <v>97.701058585882649</v>
      </c>
      <c r="T31" s="11">
        <f t="shared" si="1"/>
        <v>19.582047685834503</v>
      </c>
      <c r="U31" s="11">
        <f t="shared" ca="1" si="2"/>
        <v>13.702813265902195</v>
      </c>
      <c r="V31" s="11">
        <f>EarningsPerDay[[#This Row],[Gross Earnings]]/EarningsPerDay[[#This Row],[Deliveries]]</f>
        <v>11.635</v>
      </c>
      <c r="W31" s="11">
        <f>EarningsPerDay[[#This Row],[Gross Earnings]]/EarningsPerDay[[#This Row],[Miles]]</f>
        <v>0.74265957446808517</v>
      </c>
      <c r="X31" s="71">
        <f>EarningsPerDay[[#This Row],[Deliveries]]/EarningsPerDay[[#This Row],[Hours]]</f>
        <v>1.6830294530154277</v>
      </c>
      <c r="Y31" s="71">
        <f>EarningsPerDay[[#This Row],[Miles]]/EarningsPerDay[[#This Row],[Deliveries]]</f>
        <v>15.666666666666666</v>
      </c>
      <c r="Z31" s="81">
        <f>(EarningsPerDay[[#This Row],[Hours]]/EarningsPerDay[[#This Row],[Deliveries]])/24</f>
        <v>2.4756944444444443E-2</v>
      </c>
      <c r="AA3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1" s="11">
        <f>AVERAGEIFS(EarningsPerDay[Gross $/Hour],EarningsPerDay[Week '#], EarningsPerDay[[#This Row],[Week '#]], EarningsPerDay[DOW], EarningsPerDay[[#This Row],[DOW]])</f>
        <v>19.08828752450929</v>
      </c>
      <c r="AC31" s="11">
        <f>EarningsPerDay[[#This Row],[Gross $/Hour]] - EarningsPerDay[[#This Row],[Weekly Average Earnings]]</f>
        <v>0.49376016132521272</v>
      </c>
      <c r="AD31" s="11">
        <f>(SUMIFS(EarningsPerDay[Gross Earnings], EarningsPerDay[Date],"&gt;="&amp;EarningsPerDay[[#This Row],[Date]]-89, EarningsPerDay[Date], "&lt;="&amp;EarningsPerDay[[#This Row],[Date]]))/90</f>
        <v>22.034666666666659</v>
      </c>
      <c r="AE31" s="11"/>
      <c r="AI31" s="11"/>
      <c r="AJ31" s="473">
        <v>46106</v>
      </c>
      <c r="AK31" s="4">
        <v>4.75</v>
      </c>
      <c r="AL31" s="4">
        <v>3</v>
      </c>
    </row>
    <row r="32" spans="1:63" x14ac:dyDescent="0.35">
      <c r="A32" s="55"/>
      <c r="B32" s="40">
        <v>44303</v>
      </c>
      <c r="C32" s="40">
        <f t="shared" ref="C32:C46" si="17">B32</f>
        <v>44303</v>
      </c>
      <c r="D32" s="4">
        <f>IF(EarningsPerDay[[#This Row],[Week '#]]&gt;=52,YEAR(EarningsPerDay[[#This Row],[Date]])-1,YEAR(EarningsPerDay[[#This Row],[Date]]))</f>
        <v>2021</v>
      </c>
      <c r="E32" s="4" t="str">
        <f>"QTR"&amp;IF(EarningsPerDay[[#This Row],[Week '#]] &lt;= 13, 1, IF(EarningsPerDay[[#This Row],[Week '#]] &lt;= 26, 2, IF(EarningsPerDay[[#This Row],[Week '#]] &lt;= 39, 3, 4)))</f>
        <v>QTR2</v>
      </c>
      <c r="F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" s="4">
        <f>IF(WEEKNUM(EarningsPerDay[[#This Row],[Date]], 2) = 53, 1, WEEKNUM(EarningsPerDay[[#This Row],[Date]],2))</f>
        <v>16</v>
      </c>
      <c r="H32" s="40" t="str">
        <f t="shared" ref="H32:H46" si="18">TEXT(B32,"DDDD")</f>
        <v>Saturday</v>
      </c>
      <c r="I3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2" s="40" t="str" cm="1">
        <f t="array" ref="J32">IFERROR(VLOOKUP(MODE(IF(Combined[Date]=EarningsPerDay[[#This Row],[Date]],Combined[Area '#])),KPIs!$B$4:$C$7,2,FALSE),VLOOKUP(EarningsPerDay[[#This Row],[Date]],Combined[[Date]:[Primary Area]],8,FALSE))</f>
        <v>Brunswick/Bath/Freeport</v>
      </c>
      <c r="K32" s="40" t="str">
        <f>_xlfn.XLOOKUP(EarningsPerDay[[#This Row],[Date]],Mileage[Date],Mileage[Weather])</f>
        <v>Partially Cloudy</v>
      </c>
      <c r="L32" s="4">
        <f>_xlfn.XLOOKUP(EarningsPerDay[[#This Row],[Date]],Mileage[Date],Mileage[Hi Temp])</f>
        <v>50.9</v>
      </c>
      <c r="M32" s="12">
        <f>_xlfn.XLOOKUP(EarningsPerDay[[#This Row],[Date]],Mileage[Date],Mileage[Total Time])</f>
        <v>2.67</v>
      </c>
      <c r="N32" s="4">
        <f>_xlfn.XLOOKUP(EarningsPerDay[[#This Row],[Date]],Mileage[Date],Mileage[Mileage])</f>
        <v>73</v>
      </c>
      <c r="O32" s="4">
        <f>SUMIF(Combined[Date],EarningsPerDay[[#This Row],[Date]],Combined[Trips])</f>
        <v>6</v>
      </c>
      <c r="P32">
        <f>COUNTIF(Combined[Date],EarningsPerDay[[#This Row],[Date]])</f>
        <v>2</v>
      </c>
      <c r="Q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" s="11">
        <f>SUMIF(Combined[Date],EarningsPerDay[[#This Row],[Date]],Combined[Earnings])</f>
        <v>83.039999999999992</v>
      </c>
      <c r="S32" s="11">
        <f ca="1">EarningsPerDay[[#This Row],[Gross Earnings]]-(EarningsPerDay[[#This Row],[Miles]]*CpM!$D$11)</f>
        <v>66.762964238135268</v>
      </c>
      <c r="T32" s="11">
        <f t="shared" si="1"/>
        <v>31.101123595505616</v>
      </c>
      <c r="U32" s="11">
        <f t="shared" ca="1" si="2"/>
        <v>25.00485551990085</v>
      </c>
      <c r="V32" s="11">
        <f>EarningsPerDay[[#This Row],[Gross Earnings]]/EarningsPerDay[[#This Row],[Deliveries]]</f>
        <v>13.839999999999998</v>
      </c>
      <c r="W32" s="11">
        <f>EarningsPerDay[[#This Row],[Gross Earnings]]/EarningsPerDay[[#This Row],[Miles]]</f>
        <v>1.1375342465753424</v>
      </c>
      <c r="X32" s="71">
        <f>EarningsPerDay[[#This Row],[Deliveries]]/EarningsPerDay[[#This Row],[Hours]]</f>
        <v>2.2471910112359552</v>
      </c>
      <c r="Y32" s="71">
        <f>EarningsPerDay[[#This Row],[Miles]]/EarningsPerDay[[#This Row],[Deliveries]]</f>
        <v>12.166666666666666</v>
      </c>
      <c r="Z32" s="81">
        <f>(EarningsPerDay[[#This Row],[Hours]]/EarningsPerDay[[#This Row],[Deliveries]])/24</f>
        <v>1.8541666666666668E-2</v>
      </c>
      <c r="AA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1.3177902621722843</v>
      </c>
      <c r="AB32" s="11">
        <f>AVERAGEIFS(EarningsPerDay[Gross $/Hour],EarningsPerDay[Week '#], EarningsPerDay[[#This Row],[Week '#]], EarningsPerDay[DOW], EarningsPerDay[[#This Row],[DOW]])</f>
        <v>24.77708469395462</v>
      </c>
      <c r="AC32" s="11">
        <f>EarningsPerDay[[#This Row],[Gross $/Hour]] - EarningsPerDay[[#This Row],[Weekly Average Earnings]]</f>
        <v>6.3240389015509955</v>
      </c>
      <c r="AD32" s="11">
        <f>(SUMIFS(EarningsPerDay[Gross Earnings], EarningsPerDay[Date],"&gt;="&amp;EarningsPerDay[[#This Row],[Date]]-89, EarningsPerDay[Date], "&lt;="&amp;EarningsPerDay[[#This Row],[Date]]))/90</f>
        <v>22.557888888888883</v>
      </c>
      <c r="AE32" s="11"/>
      <c r="AI32" s="11"/>
      <c r="AJ32" s="473">
        <v>46107</v>
      </c>
      <c r="AK32" s="4">
        <v>4.38</v>
      </c>
      <c r="AL32" s="4">
        <v>2</v>
      </c>
    </row>
    <row r="33" spans="1:38" x14ac:dyDescent="0.35">
      <c r="A33" s="55"/>
      <c r="B33" s="40">
        <v>44304</v>
      </c>
      <c r="C33" s="40">
        <f t="shared" si="17"/>
        <v>44304</v>
      </c>
      <c r="D33" s="4">
        <f>IF(EarningsPerDay[[#This Row],[Week '#]]&gt;=52,YEAR(EarningsPerDay[[#This Row],[Date]])-1,YEAR(EarningsPerDay[[#This Row],[Date]]))</f>
        <v>2021</v>
      </c>
      <c r="E33" s="4" t="str">
        <f>"QTR"&amp;IF(EarningsPerDay[[#This Row],[Week '#]] &lt;= 13, 1, IF(EarningsPerDay[[#This Row],[Week '#]] &lt;= 26, 2, IF(EarningsPerDay[[#This Row],[Week '#]] &lt;= 39, 3, 4)))</f>
        <v>QTR2</v>
      </c>
      <c r="F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3" s="4">
        <f>IF(WEEKNUM(EarningsPerDay[[#This Row],[Date]], 2) = 53, 1, WEEKNUM(EarningsPerDay[[#This Row],[Date]],2))</f>
        <v>16</v>
      </c>
      <c r="H33" s="40" t="str">
        <f t="shared" si="18"/>
        <v>Sunday</v>
      </c>
      <c r="I33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33" s="40" t="str" cm="1">
        <f t="array" ref="J33">IFERROR(VLOOKUP(MODE(IF(Combined[Date]=EarningsPerDay[[#This Row],[Date]],Combined[Area '#])),KPIs!$B$4:$C$7,2,FALSE),VLOOKUP(EarningsPerDay[[#This Row],[Date]],Combined[[Date]:[Primary Area]],8,FALSE))</f>
        <v>Portland</v>
      </c>
      <c r="K33" s="40" t="str">
        <f>_xlfn.XLOOKUP(EarningsPerDay[[#This Row],[Date]],Mileage[Date],Mileage[Weather])</f>
        <v>Rain</v>
      </c>
      <c r="L33" s="4">
        <f>_xlfn.XLOOKUP(EarningsPerDay[[#This Row],[Date]],Mileage[Date],Mileage[Hi Temp])</f>
        <v>61.9</v>
      </c>
      <c r="M33" s="12">
        <f>_xlfn.XLOOKUP(EarningsPerDay[[#This Row],[Date]],Mileage[Date],Mileage[Total Time])</f>
        <v>1.88</v>
      </c>
      <c r="N33" s="4">
        <f>_xlfn.XLOOKUP(EarningsPerDay[[#This Row],[Date]],Mileage[Date],Mileage[Mileage])</f>
        <v>19</v>
      </c>
      <c r="O33" s="4">
        <f>SUMIF(Combined[Date],EarningsPerDay[[#This Row],[Date]],Combined[Trips])</f>
        <v>4</v>
      </c>
      <c r="P33">
        <f>COUNTIF(Combined[Date],EarningsPerDay[[#This Row],[Date]])</f>
        <v>1</v>
      </c>
      <c r="Q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" s="11">
        <f>SUMIF(Combined[Date],EarningsPerDay[[#This Row],[Date]],Combined[Earnings])</f>
        <v>30.67</v>
      </c>
      <c r="S33" s="11">
        <f ca="1">EarningsPerDay[[#This Row],[Gross Earnings]]-(EarningsPerDay[[#This Row],[Miles]]*CpM!$D$11)</f>
        <v>26.433511240062607</v>
      </c>
      <c r="T33" s="11">
        <f t="shared" si="1"/>
        <v>16.313829787234045</v>
      </c>
      <c r="U33" s="11">
        <f t="shared" ca="1" si="2"/>
        <v>14.060378319182238</v>
      </c>
      <c r="V33" s="11">
        <f>EarningsPerDay[[#This Row],[Gross Earnings]]/EarningsPerDay[[#This Row],[Deliveries]]</f>
        <v>7.6675000000000004</v>
      </c>
      <c r="W33" s="11">
        <f>EarningsPerDay[[#This Row],[Gross Earnings]]/EarningsPerDay[[#This Row],[Miles]]</f>
        <v>1.6142105263157895</v>
      </c>
      <c r="X33" s="71">
        <f>EarningsPerDay[[#This Row],[Deliveries]]/EarningsPerDay[[#This Row],[Hours]]</f>
        <v>2.1276595744680851</v>
      </c>
      <c r="Y33" s="71">
        <f>EarningsPerDay[[#This Row],[Miles]]/EarningsPerDay[[#This Row],[Deliveries]]</f>
        <v>4.75</v>
      </c>
      <c r="Z33" s="81">
        <f>(EarningsPerDay[[#This Row],[Hours]]/EarningsPerDay[[#This Row],[Deliveries]])/24</f>
        <v>1.9583333333333331E-2</v>
      </c>
      <c r="AA3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3" s="11">
        <f>AVERAGEIFS(EarningsPerDay[Gross $/Hour],EarningsPerDay[Week '#], EarningsPerDay[[#This Row],[Week '#]], EarningsPerDay[DOW], EarningsPerDay[[#This Row],[DOW]])</f>
        <v>21.420832419390219</v>
      </c>
      <c r="AC33" s="11">
        <f>EarningsPerDay[[#This Row],[Gross $/Hour]] - EarningsPerDay[[#This Row],[Weekly Average Earnings]]</f>
        <v>-5.1070026321561741</v>
      </c>
      <c r="AD33" s="11">
        <f>(SUMIFS(EarningsPerDay[Gross Earnings], EarningsPerDay[Date],"&gt;="&amp;EarningsPerDay[[#This Row],[Date]]-89, EarningsPerDay[Date], "&lt;="&amp;EarningsPerDay[[#This Row],[Date]]))/90</f>
        <v>22.898666666666664</v>
      </c>
      <c r="AE33" s="11"/>
      <c r="AH33" s="11"/>
      <c r="AI33" s="11"/>
      <c r="AJ33" s="473">
        <v>46126</v>
      </c>
      <c r="AK33" s="4">
        <v>3.12</v>
      </c>
      <c r="AL33" s="4">
        <v>1</v>
      </c>
    </row>
    <row r="34" spans="1:38" x14ac:dyDescent="0.35">
      <c r="A34" s="55"/>
      <c r="B34" s="40">
        <v>44311</v>
      </c>
      <c r="C34" s="40">
        <f t="shared" si="17"/>
        <v>44311</v>
      </c>
      <c r="D34" s="4">
        <f>IF(EarningsPerDay[[#This Row],[Week '#]]&gt;=52,YEAR(EarningsPerDay[[#This Row],[Date]])-1,YEAR(EarningsPerDay[[#This Row],[Date]]))</f>
        <v>2021</v>
      </c>
      <c r="E34" s="4" t="str">
        <f>"QTR"&amp;IF(EarningsPerDay[[#This Row],[Week '#]] &lt;= 13, 1, IF(EarningsPerDay[[#This Row],[Week '#]] &lt;= 26, 2, IF(EarningsPerDay[[#This Row],[Week '#]] &lt;= 39, 3, 4)))</f>
        <v>QTR2</v>
      </c>
      <c r="F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4" s="4">
        <f>IF(WEEKNUM(EarningsPerDay[[#This Row],[Date]], 2) = 53, 1, WEEKNUM(EarningsPerDay[[#This Row],[Date]],2))</f>
        <v>17</v>
      </c>
      <c r="H34" s="40" t="str">
        <f t="shared" si="18"/>
        <v>Sunday</v>
      </c>
      <c r="I34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34" s="40" t="str" cm="1">
        <f t="array" ref="J34">IFERROR(VLOOKUP(MODE(IF(Combined[Date]=EarningsPerDay[[#This Row],[Date]],Combined[Area '#])),KPIs!$B$4:$C$7,2,FALSE),VLOOKUP(EarningsPerDay[[#This Row],[Date]],Combined[[Date]:[Primary Area]],8,FALSE))</f>
        <v>Brunswick/Bath/Freeport</v>
      </c>
      <c r="K34" s="40" t="str">
        <f>_xlfn.XLOOKUP(EarningsPerDay[[#This Row],[Date]],Mileage[Date],Mileage[Weather])</f>
        <v>Rain</v>
      </c>
      <c r="L34" s="4">
        <f>_xlfn.XLOOKUP(EarningsPerDay[[#This Row],[Date]],Mileage[Date],Mileage[Hi Temp])</f>
        <v>44.4</v>
      </c>
      <c r="M34" s="12">
        <f>_xlfn.XLOOKUP(EarningsPerDay[[#This Row],[Date]],Mileage[Date],Mileage[Total Time])</f>
        <v>1.9</v>
      </c>
      <c r="N34" s="4">
        <f>_xlfn.XLOOKUP(EarningsPerDay[[#This Row],[Date]],Mileage[Date],Mileage[Mileage])</f>
        <v>51.705921316337992</v>
      </c>
      <c r="O34" s="4">
        <f>SUMIF(Combined[Date],EarningsPerDay[[#This Row],[Date]],Combined[Trips])</f>
        <v>5</v>
      </c>
      <c r="P34">
        <f>COUNTIF(Combined[Date],EarningsPerDay[[#This Row],[Date]])</f>
        <v>2</v>
      </c>
      <c r="Q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" s="11">
        <f>SUMIF(Combined[Date],EarningsPerDay[[#This Row],[Date]],Combined[Earnings])</f>
        <v>41</v>
      </c>
      <c r="S34" s="11">
        <f ca="1">EarningsPerDay[[#This Row],[Gross Earnings]]-(EarningsPerDay[[#This Row],[Miles]]*CpM!$D$11)</f>
        <v>29.470970816901414</v>
      </c>
      <c r="T34" s="11">
        <f t="shared" si="1"/>
        <v>21.578947368421055</v>
      </c>
      <c r="U34" s="11">
        <f t="shared" ca="1" si="2"/>
        <v>15.511037272053377</v>
      </c>
      <c r="V34" s="11">
        <f>EarningsPerDay[[#This Row],[Gross Earnings]]/EarningsPerDay[[#This Row],[Deliveries]]</f>
        <v>8.1999999999999993</v>
      </c>
      <c r="W34" s="11">
        <f>EarningsPerDay[[#This Row],[Gross Earnings]]/EarningsPerDay[[#This Row],[Miles]]</f>
        <v>0.79294593261690616</v>
      </c>
      <c r="X34" s="71">
        <f>EarningsPerDay[[#This Row],[Deliveries]]/EarningsPerDay[[#This Row],[Hours]]</f>
        <v>2.6315789473684212</v>
      </c>
      <c r="Y34" s="71">
        <f>EarningsPerDay[[#This Row],[Miles]]/EarningsPerDay[[#This Row],[Deliveries]]</f>
        <v>10.341184263267598</v>
      </c>
      <c r="Z34" s="81">
        <f>(EarningsPerDay[[#This Row],[Hours]]/EarningsPerDay[[#This Row],[Deliveries]])/24</f>
        <v>1.5833333333333335E-2</v>
      </c>
      <c r="AA3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4" s="11">
        <f>AVERAGEIFS(EarningsPerDay[Gross $/Hour],EarningsPerDay[Week '#], EarningsPerDay[[#This Row],[Week '#]], EarningsPerDay[DOW], EarningsPerDay[[#This Row],[DOW]])</f>
        <v>18.958528045340856</v>
      </c>
      <c r="AC34" s="11">
        <f>EarningsPerDay[[#This Row],[Gross $/Hour]] - EarningsPerDay[[#This Row],[Weekly Average Earnings]]</f>
        <v>2.6204193230801991</v>
      </c>
      <c r="AD34" s="11">
        <f>(SUMIFS(EarningsPerDay[Gross Earnings], EarningsPerDay[Date],"&gt;="&amp;EarningsPerDay[[#This Row],[Date]]-89, EarningsPerDay[Date], "&lt;="&amp;EarningsPerDay[[#This Row],[Date]]))/90</f>
        <v>23.354222222222219</v>
      </c>
      <c r="AE34" s="11"/>
      <c r="AH34" s="11"/>
      <c r="AI34" s="11"/>
      <c r="AJ34" s="473">
        <v>46134</v>
      </c>
      <c r="AK34" s="4">
        <v>4.7300000000000004</v>
      </c>
      <c r="AL34" s="4">
        <v>2</v>
      </c>
    </row>
    <row r="35" spans="1:38" x14ac:dyDescent="0.35">
      <c r="A35" s="55"/>
      <c r="B35" s="40">
        <v>44318</v>
      </c>
      <c r="C35" s="40">
        <f t="shared" si="17"/>
        <v>44318</v>
      </c>
      <c r="D35" s="4">
        <f>IF(EarningsPerDay[[#This Row],[Week '#]]&gt;=52,YEAR(EarningsPerDay[[#This Row],[Date]])-1,YEAR(EarningsPerDay[[#This Row],[Date]]))</f>
        <v>2021</v>
      </c>
      <c r="E35" s="4" t="str">
        <f>"QTR"&amp;IF(EarningsPerDay[[#This Row],[Week '#]] &lt;= 13, 1, IF(EarningsPerDay[[#This Row],[Week '#]] &lt;= 26, 2, IF(EarningsPerDay[[#This Row],[Week '#]] &lt;= 39, 3, 4)))</f>
        <v>QTR2</v>
      </c>
      <c r="F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5" s="4">
        <f>IF(WEEKNUM(EarningsPerDay[[#This Row],[Date]], 2) = 53, 1, WEEKNUM(EarningsPerDay[[#This Row],[Date]],2))</f>
        <v>18</v>
      </c>
      <c r="H35" s="40" t="str">
        <f t="shared" si="18"/>
        <v>Sunday</v>
      </c>
      <c r="I35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5" s="40" t="str" cm="1">
        <f t="array" ref="J35">IFERROR(VLOOKUP(MODE(IF(Combined[Date]=EarningsPerDay[[#This Row],[Date]],Combined[Area '#])),KPIs!$B$4:$C$7,2,FALSE),VLOOKUP(EarningsPerDay[[#This Row],[Date]],Combined[[Date]:[Primary Area]],8,FALSE))</f>
        <v>Brunswick/Bath/Freeport</v>
      </c>
      <c r="K35" s="40" t="str">
        <f>_xlfn.XLOOKUP(EarningsPerDay[[#This Row],[Date]],Mileage[Date],Mileage[Weather])</f>
        <v>Partially Cloudy</v>
      </c>
      <c r="L35" s="4">
        <f>_xlfn.XLOOKUP(EarningsPerDay[[#This Row],[Date]],Mileage[Date],Mileage[Hi Temp])</f>
        <v>56.8</v>
      </c>
      <c r="M35" s="12">
        <f>_xlfn.XLOOKUP(EarningsPerDay[[#This Row],[Date]],Mileage[Date],Mileage[Total Time])</f>
        <v>3.4999999999999996</v>
      </c>
      <c r="N35" s="4">
        <f>_xlfn.XLOOKUP(EarningsPerDay[[#This Row],[Date]],Mileage[Date],Mileage[Mileage])</f>
        <v>62.047105579605585</v>
      </c>
      <c r="O35" s="4">
        <f>SUMIF(Combined[Date],EarningsPerDay[[#This Row],[Date]],Combined[Trips])</f>
        <v>6</v>
      </c>
      <c r="P35">
        <f>COUNTIF(Combined[Date],EarningsPerDay[[#This Row],[Date]])</f>
        <v>2</v>
      </c>
      <c r="Q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" s="11">
        <f>SUMIF(Combined[Date],EarningsPerDay[[#This Row],[Date]],Combined[Earnings])</f>
        <v>41</v>
      </c>
      <c r="S35" s="11">
        <f ca="1">EarningsPerDay[[#This Row],[Gross Earnings]]-(EarningsPerDay[[#This Row],[Miles]]*CpM!$D$11)</f>
        <v>27.165164980281698</v>
      </c>
      <c r="T35" s="11">
        <f t="shared" si="1"/>
        <v>11.714285714285715</v>
      </c>
      <c r="U35" s="11">
        <f t="shared" ca="1" si="2"/>
        <v>7.7614757086519148</v>
      </c>
      <c r="V35" s="11">
        <f>EarningsPerDay[[#This Row],[Gross Earnings]]/EarningsPerDay[[#This Row],[Deliveries]]</f>
        <v>6.833333333333333</v>
      </c>
      <c r="W35" s="11">
        <f>EarningsPerDay[[#This Row],[Gross Earnings]]/EarningsPerDay[[#This Row],[Miles]]</f>
        <v>0.66078827718075528</v>
      </c>
      <c r="X35" s="71">
        <f>EarningsPerDay[[#This Row],[Deliveries]]/EarningsPerDay[[#This Row],[Hours]]</f>
        <v>1.7142857142857144</v>
      </c>
      <c r="Y35" s="71">
        <f>EarningsPerDay[[#This Row],[Miles]]/EarningsPerDay[[#This Row],[Deliveries]]</f>
        <v>10.341184263267598</v>
      </c>
      <c r="Z35" s="81">
        <f>(EarningsPerDay[[#This Row],[Hours]]/EarningsPerDay[[#This Row],[Deliveries]])/24</f>
        <v>2.4305555555555552E-2</v>
      </c>
      <c r="AA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-9.8646616541353396</v>
      </c>
      <c r="AB35" s="11">
        <f>AVERAGEIFS(EarningsPerDay[Gross $/Hour],EarningsPerDay[Week '#], EarningsPerDay[[#This Row],[Week '#]], EarningsPerDay[DOW], EarningsPerDay[[#This Row],[DOW]])</f>
        <v>19.246597619330164</v>
      </c>
      <c r="AC35" s="11">
        <f>EarningsPerDay[[#This Row],[Gross $/Hour]] - EarningsPerDay[[#This Row],[Weekly Average Earnings]]</f>
        <v>-7.5323119050444483</v>
      </c>
      <c r="AD35" s="11">
        <f>(SUMIFS(EarningsPerDay[Gross Earnings], EarningsPerDay[Date],"&gt;="&amp;EarningsPerDay[[#This Row],[Date]]-89, EarningsPerDay[Date], "&lt;="&amp;EarningsPerDay[[#This Row],[Date]]))/90</f>
        <v>22.320444444444441</v>
      </c>
      <c r="AE35" s="11"/>
      <c r="AH35" s="11"/>
      <c r="AI35" s="11"/>
      <c r="AJ35" s="473">
        <v>46136</v>
      </c>
      <c r="AK35" s="4">
        <v>7.17</v>
      </c>
      <c r="AL35" s="4">
        <v>3</v>
      </c>
    </row>
    <row r="36" spans="1:38" x14ac:dyDescent="0.35">
      <c r="A36" s="55"/>
      <c r="B36" s="40">
        <v>44319</v>
      </c>
      <c r="C36" s="40">
        <f t="shared" si="17"/>
        <v>44319</v>
      </c>
      <c r="D36" s="4">
        <f>IF(EarningsPerDay[[#This Row],[Week '#]]&gt;=52,YEAR(EarningsPerDay[[#This Row],[Date]])-1,YEAR(EarningsPerDay[[#This Row],[Date]]))</f>
        <v>2021</v>
      </c>
      <c r="E36" s="4" t="str">
        <f>"QTR"&amp;IF(EarningsPerDay[[#This Row],[Week '#]] &lt;= 13, 1, IF(EarningsPerDay[[#This Row],[Week '#]] &lt;= 26, 2, IF(EarningsPerDay[[#This Row],[Week '#]] &lt;= 39, 3, 4)))</f>
        <v>QTR2</v>
      </c>
      <c r="F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6" s="4">
        <f>IF(WEEKNUM(EarningsPerDay[[#This Row],[Date]], 2) = 53, 1, WEEKNUM(EarningsPerDay[[#This Row],[Date]],2))</f>
        <v>19</v>
      </c>
      <c r="H36" s="40" t="str">
        <f t="shared" si="18"/>
        <v>Monday</v>
      </c>
      <c r="I3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6" s="40" t="str" cm="1">
        <f t="array" ref="J36">IFERROR(VLOOKUP(MODE(IF(Combined[Date]=EarningsPerDay[[#This Row],[Date]],Combined[Area '#])),KPIs!$B$4:$C$7,2,FALSE),VLOOKUP(EarningsPerDay[[#This Row],[Date]],Combined[[Date]:[Primary Area]],8,FALSE))</f>
        <v>Brunswick/Bath/Freeport</v>
      </c>
      <c r="K36" s="40" t="str">
        <f>_xlfn.XLOOKUP(EarningsPerDay[[#This Row],[Date]],Mileage[Date],Mileage[Weather])</f>
        <v>Overcast</v>
      </c>
      <c r="L36" s="4">
        <f>_xlfn.XLOOKUP(EarningsPerDay[[#This Row],[Date]],Mileage[Date],Mileage[Hi Temp])</f>
        <v>61.1</v>
      </c>
      <c r="M36" s="12">
        <f>_xlfn.XLOOKUP(EarningsPerDay[[#This Row],[Date]],Mileage[Date],Mileage[Total Time])</f>
        <v>3.1</v>
      </c>
      <c r="N36" s="4">
        <f>_xlfn.XLOOKUP(EarningsPerDay[[#This Row],[Date]],Mileage[Date],Mileage[Mileage])</f>
        <v>72.388289842873192</v>
      </c>
      <c r="O36" s="4">
        <f>SUMIF(Combined[Date],EarningsPerDay[[#This Row],[Date]],Combined[Trips])</f>
        <v>7</v>
      </c>
      <c r="P36">
        <f>COUNTIF(Combined[Date],EarningsPerDay[[#This Row],[Date]])</f>
        <v>2</v>
      </c>
      <c r="Q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" s="11">
        <f>SUMIF(Combined[Date],EarningsPerDay[[#This Row],[Date]],Combined[Earnings])</f>
        <v>74.13</v>
      </c>
      <c r="S36" s="11">
        <f ca="1">EarningsPerDay[[#This Row],[Gross Earnings]]-(EarningsPerDay[[#This Row],[Miles]]*CpM!$D$11)</f>
        <v>57.989359143661972</v>
      </c>
      <c r="T36" s="11">
        <f t="shared" si="1"/>
        <v>23.912903225806449</v>
      </c>
      <c r="U36" s="11">
        <f t="shared" ca="1" si="2"/>
        <v>18.70624488505225</v>
      </c>
      <c r="V36" s="11">
        <f>EarningsPerDay[[#This Row],[Gross Earnings]]/EarningsPerDay[[#This Row],[Deliveries]]</f>
        <v>10.59</v>
      </c>
      <c r="W36" s="11">
        <f>EarningsPerDay[[#This Row],[Gross Earnings]]/EarningsPerDay[[#This Row],[Miles]]</f>
        <v>1.0240606617576873</v>
      </c>
      <c r="X36" s="71">
        <f>EarningsPerDay[[#This Row],[Deliveries]]/EarningsPerDay[[#This Row],[Hours]]</f>
        <v>2.258064516129032</v>
      </c>
      <c r="Y36" s="71">
        <f>EarningsPerDay[[#This Row],[Miles]]/EarningsPerDay[[#This Row],[Deliveries]]</f>
        <v>10.341184263267598</v>
      </c>
      <c r="Z36" s="81">
        <f>(EarningsPerDay[[#This Row],[Hours]]/EarningsPerDay[[#This Row],[Deliveries]])/24</f>
        <v>1.8452380952380953E-2</v>
      </c>
      <c r="AA3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6" s="11">
        <f>AVERAGEIFS(EarningsPerDay[Gross $/Hour],EarningsPerDay[Week '#], EarningsPerDay[[#This Row],[Week '#]], EarningsPerDay[DOW], EarningsPerDay[[#This Row],[DOW]])</f>
        <v>20.570186793111567</v>
      </c>
      <c r="AC36" s="11">
        <f>EarningsPerDay[[#This Row],[Gross $/Hour]] - EarningsPerDay[[#This Row],[Weekly Average Earnings]]</f>
        <v>3.3427164326948819</v>
      </c>
      <c r="AD36" s="11">
        <f>(SUMIFS(EarningsPerDay[Gross Earnings], EarningsPerDay[Date],"&gt;="&amp;EarningsPerDay[[#This Row],[Date]]-89, EarningsPerDay[Date], "&lt;="&amp;EarningsPerDay[[#This Row],[Date]]))/90</f>
        <v>22.545888888888886</v>
      </c>
      <c r="AE36" s="11"/>
      <c r="AH36" s="11"/>
      <c r="AI36" s="11"/>
      <c r="AJ36" s="473">
        <v>46141</v>
      </c>
      <c r="AK36" s="4">
        <v>5.47</v>
      </c>
      <c r="AL36" s="4">
        <v>2</v>
      </c>
    </row>
    <row r="37" spans="1:38" x14ac:dyDescent="0.35">
      <c r="A37" s="55"/>
      <c r="B37" s="40">
        <v>44320</v>
      </c>
      <c r="C37" s="40">
        <f t="shared" si="17"/>
        <v>44320</v>
      </c>
      <c r="D37" s="4">
        <f>IF(EarningsPerDay[[#This Row],[Week '#]]&gt;=52,YEAR(EarningsPerDay[[#This Row],[Date]])-1,YEAR(EarningsPerDay[[#This Row],[Date]]))</f>
        <v>2021</v>
      </c>
      <c r="E37" s="4" t="str">
        <f>"QTR"&amp;IF(EarningsPerDay[[#This Row],[Week '#]] &lt;= 13, 1, IF(EarningsPerDay[[#This Row],[Week '#]] &lt;= 26, 2, IF(EarningsPerDay[[#This Row],[Week '#]] &lt;= 39, 3, 4)))</f>
        <v>QTR2</v>
      </c>
      <c r="F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7" s="4">
        <f>IF(WEEKNUM(EarningsPerDay[[#This Row],[Date]], 2) = 53, 1, WEEKNUM(EarningsPerDay[[#This Row],[Date]],2))</f>
        <v>19</v>
      </c>
      <c r="H37" s="40" t="str">
        <f t="shared" si="18"/>
        <v>Tuesday</v>
      </c>
      <c r="I37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37" s="40" t="str" cm="1">
        <f t="array" ref="J37">IFERROR(VLOOKUP(MODE(IF(Combined[Date]=EarningsPerDay[[#This Row],[Date]],Combined[Area '#])),KPIs!$B$4:$C$7,2,FALSE),VLOOKUP(EarningsPerDay[[#This Row],[Date]],Combined[[Date]:[Primary Area]],8,FALSE))</f>
        <v>Brunswick/Bath/Freeport</v>
      </c>
      <c r="K37" s="40" t="str">
        <f>_xlfn.XLOOKUP(EarningsPerDay[[#This Row],[Date]],Mileage[Date],Mileage[Weather])</f>
        <v>Rain</v>
      </c>
      <c r="L37" s="4">
        <f>_xlfn.XLOOKUP(EarningsPerDay[[#This Row],[Date]],Mileage[Date],Mileage[Hi Temp])</f>
        <v>50</v>
      </c>
      <c r="M37" s="12">
        <f>_xlfn.XLOOKUP(EarningsPerDay[[#This Row],[Date]],Mileage[Date],Mileage[Total Time])</f>
        <v>1.4000000000000001</v>
      </c>
      <c r="N37" s="4">
        <f>_xlfn.XLOOKUP(EarningsPerDay[[#This Row],[Date]],Mileage[Date],Mileage[Mileage])</f>
        <v>31.023552789802793</v>
      </c>
      <c r="O37" s="4">
        <f>SUMIF(Combined[Date],EarningsPerDay[[#This Row],[Date]],Combined[Trips])</f>
        <v>3</v>
      </c>
      <c r="P37">
        <f>COUNTIF(Combined[Date],EarningsPerDay[[#This Row],[Date]])</f>
        <v>2</v>
      </c>
      <c r="Q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" s="11">
        <f>SUMIF(Combined[Date],EarningsPerDay[[#This Row],[Date]],Combined[Earnings])</f>
        <v>26</v>
      </c>
      <c r="S37" s="11">
        <f ca="1">EarningsPerDay[[#This Row],[Gross Earnings]]-(EarningsPerDay[[#This Row],[Miles]]*CpM!$D$11)</f>
        <v>19.082582490140851</v>
      </c>
      <c r="T37" s="11">
        <f t="shared" si="1"/>
        <v>18.571428571428569</v>
      </c>
      <c r="U37" s="11">
        <f t="shared" ca="1" si="2"/>
        <v>13.630416064386321</v>
      </c>
      <c r="V37" s="11">
        <f>EarningsPerDay[[#This Row],[Gross Earnings]]/EarningsPerDay[[#This Row],[Deliveries]]</f>
        <v>8.6666666666666661</v>
      </c>
      <c r="W37" s="11">
        <f>EarningsPerDay[[#This Row],[Gross Earnings]]/EarningsPerDay[[#This Row],[Miles]]</f>
        <v>0.83807293691217732</v>
      </c>
      <c r="X37" s="71">
        <f>EarningsPerDay[[#This Row],[Deliveries]]/EarningsPerDay[[#This Row],[Hours]]</f>
        <v>2.1428571428571428</v>
      </c>
      <c r="Y37" s="71">
        <f>EarningsPerDay[[#This Row],[Miles]]/EarningsPerDay[[#This Row],[Deliveries]]</f>
        <v>10.341184263267598</v>
      </c>
      <c r="Z37" s="81">
        <f>(EarningsPerDay[[#This Row],[Hours]]/EarningsPerDay[[#This Row],[Deliveries]])/24</f>
        <v>1.9444444444444448E-2</v>
      </c>
      <c r="AA3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7" s="11">
        <f>AVERAGEIFS(EarningsPerDay[Gross $/Hour],EarningsPerDay[Week '#], EarningsPerDay[[#This Row],[Week '#]], EarningsPerDay[DOW], EarningsPerDay[[#This Row],[DOW]])</f>
        <v>18.163573021829258</v>
      </c>
      <c r="AC37" s="11">
        <f>EarningsPerDay[[#This Row],[Gross $/Hour]] - EarningsPerDay[[#This Row],[Weekly Average Earnings]]</f>
        <v>0.40785554959931147</v>
      </c>
      <c r="AD37" s="11">
        <f>(SUMIFS(EarningsPerDay[Gross Earnings], EarningsPerDay[Date],"&gt;="&amp;EarningsPerDay[[#This Row],[Date]]-89, EarningsPerDay[Date], "&lt;="&amp;EarningsPerDay[[#This Row],[Date]]))/90</f>
        <v>22.834777777777774</v>
      </c>
      <c r="AE37" s="11"/>
      <c r="AH37" s="11"/>
      <c r="AI37" s="11"/>
      <c r="AJ37" s="473">
        <v>46146</v>
      </c>
      <c r="AK37" s="4">
        <v>3.75</v>
      </c>
      <c r="AL37" s="4">
        <v>3</v>
      </c>
    </row>
    <row r="38" spans="1:38" x14ac:dyDescent="0.35">
      <c r="A38" s="55"/>
      <c r="B38" s="40">
        <v>44321</v>
      </c>
      <c r="C38" s="40">
        <f t="shared" si="17"/>
        <v>44321</v>
      </c>
      <c r="D38" s="4">
        <f>IF(EarningsPerDay[[#This Row],[Week '#]]&gt;=52,YEAR(EarningsPerDay[[#This Row],[Date]])-1,YEAR(EarningsPerDay[[#This Row],[Date]]))</f>
        <v>2021</v>
      </c>
      <c r="E38" s="4" t="str">
        <f>"QTR"&amp;IF(EarningsPerDay[[#This Row],[Week '#]] &lt;= 13, 1, IF(EarningsPerDay[[#This Row],[Week '#]] &lt;= 26, 2, IF(EarningsPerDay[[#This Row],[Week '#]] &lt;= 39, 3, 4)))</f>
        <v>QTR2</v>
      </c>
      <c r="F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8" s="4">
        <f>IF(WEEKNUM(EarningsPerDay[[#This Row],[Date]], 2) = 53, 1, WEEKNUM(EarningsPerDay[[#This Row],[Date]],2))</f>
        <v>19</v>
      </c>
      <c r="H38" s="40" t="str">
        <f t="shared" si="18"/>
        <v>Wednesday</v>
      </c>
      <c r="I3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8" s="40" t="str" cm="1">
        <f t="array" ref="J38">IFERROR(VLOOKUP(MODE(IF(Combined[Date]=EarningsPerDay[[#This Row],[Date]],Combined[Area '#])),KPIs!$B$4:$C$7,2,FALSE),VLOOKUP(EarningsPerDay[[#This Row],[Date]],Combined[[Date]:[Primary Area]],8,FALSE))</f>
        <v>Brunswick/Bath/Freeport</v>
      </c>
      <c r="K38" s="40" t="str">
        <f>_xlfn.XLOOKUP(EarningsPerDay[[#This Row],[Date]],Mileage[Date],Mileage[Weather])</f>
        <v>Rain</v>
      </c>
      <c r="L38" s="4">
        <f>_xlfn.XLOOKUP(EarningsPerDay[[#This Row],[Date]],Mileage[Date],Mileage[Hi Temp])</f>
        <v>58.7</v>
      </c>
      <c r="M38" s="12">
        <f>_xlfn.XLOOKUP(EarningsPerDay[[#This Row],[Date]],Mileage[Date],Mileage[Total Time])</f>
        <v>2.8</v>
      </c>
      <c r="N38" s="4">
        <f>_xlfn.XLOOKUP(EarningsPerDay[[#This Row],[Date]],Mileage[Date],Mileage[Mileage])</f>
        <v>72.388289842873192</v>
      </c>
      <c r="O38" s="4">
        <f>SUMIF(Combined[Date],EarningsPerDay[[#This Row],[Date]],Combined[Trips])</f>
        <v>7</v>
      </c>
      <c r="P38">
        <f>COUNTIF(Combined[Date],EarningsPerDay[[#This Row],[Date]])</f>
        <v>1</v>
      </c>
      <c r="Q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" s="11">
        <f>SUMIF(Combined[Date],EarningsPerDay[[#This Row],[Date]],Combined[Earnings])</f>
        <v>104.94</v>
      </c>
      <c r="S38" s="11">
        <f ca="1">EarningsPerDay[[#This Row],[Gross Earnings]]-(EarningsPerDay[[#This Row],[Miles]]*CpM!$D$11)</f>
        <v>88.799359143661974</v>
      </c>
      <c r="T38" s="11">
        <f t="shared" si="1"/>
        <v>37.478571428571428</v>
      </c>
      <c r="U38" s="11">
        <f t="shared" ca="1" si="2"/>
        <v>31.714056837022135</v>
      </c>
      <c r="V38" s="11">
        <f>EarningsPerDay[[#This Row],[Gross Earnings]]/EarningsPerDay[[#This Row],[Deliveries]]</f>
        <v>14.991428571428571</v>
      </c>
      <c r="W38" s="11">
        <f>EarningsPerDay[[#This Row],[Gross Earnings]]/EarningsPerDay[[#This Row],[Miles]]</f>
        <v>1.4496819890038002</v>
      </c>
      <c r="X38" s="71">
        <f>EarningsPerDay[[#This Row],[Deliveries]]/EarningsPerDay[[#This Row],[Hours]]</f>
        <v>2.5</v>
      </c>
      <c r="Y38" s="71">
        <f>EarningsPerDay[[#This Row],[Miles]]/EarningsPerDay[[#This Row],[Deliveries]]</f>
        <v>10.341184263267598</v>
      </c>
      <c r="Z38" s="81">
        <f>(EarningsPerDay[[#This Row],[Hours]]/EarningsPerDay[[#This Row],[Deliveries]])/24</f>
        <v>1.6666666666666666E-2</v>
      </c>
      <c r="AA3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8" s="11">
        <f>AVERAGEIFS(EarningsPerDay[Gross $/Hour],EarningsPerDay[Week '#], EarningsPerDay[[#This Row],[Week '#]], EarningsPerDay[DOW], EarningsPerDay[[#This Row],[DOW]])</f>
        <v>24.426643904418047</v>
      </c>
      <c r="AC38" s="11">
        <f>EarningsPerDay[[#This Row],[Gross $/Hour]] - EarningsPerDay[[#This Row],[Weekly Average Earnings]]</f>
        <v>13.051927524153381</v>
      </c>
      <c r="AD38" s="11">
        <f>(SUMIFS(EarningsPerDay[Gross Earnings], EarningsPerDay[Date],"&gt;="&amp;EarningsPerDay[[#This Row],[Date]]-89, EarningsPerDay[Date], "&lt;="&amp;EarningsPerDay[[#This Row],[Date]]))/90</f>
        <v>24.000777777777774</v>
      </c>
      <c r="AE38" s="11"/>
      <c r="AH38" s="11"/>
      <c r="AI38" s="11"/>
      <c r="AJ38" s="473">
        <v>46150</v>
      </c>
      <c r="AK38" s="4">
        <v>1.8</v>
      </c>
      <c r="AL38" s="4">
        <v>2</v>
      </c>
    </row>
    <row r="39" spans="1:38" x14ac:dyDescent="0.35">
      <c r="A39" s="55"/>
      <c r="B39" s="40">
        <v>44322</v>
      </c>
      <c r="C39" s="40">
        <f t="shared" si="17"/>
        <v>44322</v>
      </c>
      <c r="D39" s="4">
        <f>IF(EarningsPerDay[[#This Row],[Week '#]]&gt;=52,YEAR(EarningsPerDay[[#This Row],[Date]])-1,YEAR(EarningsPerDay[[#This Row],[Date]]))</f>
        <v>2021</v>
      </c>
      <c r="E39" s="4" t="str">
        <f>"QTR"&amp;IF(EarningsPerDay[[#This Row],[Week '#]] &lt;= 13, 1, IF(EarningsPerDay[[#This Row],[Week '#]] &lt;= 26, 2, IF(EarningsPerDay[[#This Row],[Week '#]] &lt;= 39, 3, 4)))</f>
        <v>QTR2</v>
      </c>
      <c r="F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9" s="4">
        <f>IF(WEEKNUM(EarningsPerDay[[#This Row],[Date]], 2) = 53, 1, WEEKNUM(EarningsPerDay[[#This Row],[Date]],2))</f>
        <v>19</v>
      </c>
      <c r="H39" s="40" t="str">
        <f t="shared" si="18"/>
        <v>Thursday</v>
      </c>
      <c r="I3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9" s="40" t="str" cm="1">
        <f t="array" ref="J39">IFERROR(VLOOKUP(MODE(IF(Combined[Date]=EarningsPerDay[[#This Row],[Date]],Combined[Area '#])),KPIs!$B$4:$C$7,2,FALSE),VLOOKUP(EarningsPerDay[[#This Row],[Date]],Combined[[Date]:[Primary Area]],8,FALSE))</f>
        <v>Portland</v>
      </c>
      <c r="K39" s="40" t="str">
        <f>_xlfn.XLOOKUP(EarningsPerDay[[#This Row],[Date]],Mileage[Date],Mileage[Weather])</f>
        <v>Clear</v>
      </c>
      <c r="L39" s="4">
        <f>_xlfn.XLOOKUP(EarningsPerDay[[#This Row],[Date]],Mileage[Date],Mileage[Hi Temp])</f>
        <v>59.6</v>
      </c>
      <c r="M39" s="12">
        <f>_xlfn.XLOOKUP(EarningsPerDay[[#This Row],[Date]],Mileage[Date],Mileage[Total Time])</f>
        <v>3.9000000000000004</v>
      </c>
      <c r="N39" s="4">
        <f>_xlfn.XLOOKUP(EarningsPerDay[[#This Row],[Date]],Mileage[Date],Mileage[Mileage])</f>
        <v>85.784318711591439</v>
      </c>
      <c r="O39" s="4">
        <f>SUMIF(Combined[Date],EarningsPerDay[[#This Row],[Date]],Combined[Trips])</f>
        <v>6</v>
      </c>
      <c r="P39">
        <f>COUNTIF(Combined[Date],EarningsPerDay[[#This Row],[Date]])</f>
        <v>2</v>
      </c>
      <c r="Q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9" s="11">
        <f>SUMIF(Combined[Date],EarningsPerDay[[#This Row],[Date]],Combined[Earnings])</f>
        <v>66.97</v>
      </c>
      <c r="S39" s="11">
        <f ca="1">EarningsPerDay[[#This Row],[Gross Earnings]]-(EarningsPerDay[[#This Row],[Miles]]*CpM!$D$11)</f>
        <v>47.842405157866096</v>
      </c>
      <c r="T39" s="11">
        <f t="shared" si="1"/>
        <v>17.171794871794869</v>
      </c>
      <c r="U39" s="11">
        <f t="shared" ca="1" si="2"/>
        <v>12.267283373811818</v>
      </c>
      <c r="V39" s="11">
        <f>EarningsPerDay[[#This Row],[Gross Earnings]]/EarningsPerDay[[#This Row],[Deliveries]]</f>
        <v>11.161666666666667</v>
      </c>
      <c r="W39" s="11">
        <f>EarningsPerDay[[#This Row],[Gross Earnings]]/EarningsPerDay[[#This Row],[Miles]]</f>
        <v>0.78067881176692033</v>
      </c>
      <c r="X39" s="71">
        <f>EarningsPerDay[[#This Row],[Deliveries]]/EarningsPerDay[[#This Row],[Hours]]</f>
        <v>1.5384615384615383</v>
      </c>
      <c r="Y39" s="71">
        <f>EarningsPerDay[[#This Row],[Miles]]/EarningsPerDay[[#This Row],[Deliveries]]</f>
        <v>14.297386451931906</v>
      </c>
      <c r="Z39" s="81">
        <f>(EarningsPerDay[[#This Row],[Hours]]/EarningsPerDay[[#This Row],[Deliveries]])/24</f>
        <v>2.7083333333333334E-2</v>
      </c>
      <c r="AA3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9" s="11">
        <f>AVERAGEIFS(EarningsPerDay[Gross $/Hour],EarningsPerDay[Week '#], EarningsPerDay[[#This Row],[Week '#]], EarningsPerDay[DOW], EarningsPerDay[[#This Row],[DOW]])</f>
        <v>21.385404996263951</v>
      </c>
      <c r="AC39" s="11">
        <f>EarningsPerDay[[#This Row],[Gross $/Hour]] - EarningsPerDay[[#This Row],[Weekly Average Earnings]]</f>
        <v>-4.2136101244690813</v>
      </c>
      <c r="AD39" s="11">
        <f>(SUMIFS(EarningsPerDay[Gross Earnings], EarningsPerDay[Date],"&gt;="&amp;EarningsPerDay[[#This Row],[Date]]-89, EarningsPerDay[Date], "&lt;="&amp;EarningsPerDay[[#This Row],[Date]]))/90</f>
        <v>24.744888888888884</v>
      </c>
      <c r="AE39" s="11"/>
      <c r="AH39" s="11"/>
      <c r="AI39" s="11"/>
      <c r="AJ39" s="473">
        <v>46153</v>
      </c>
      <c r="AK39" s="4">
        <v>3.15</v>
      </c>
      <c r="AL39" s="4">
        <v>3</v>
      </c>
    </row>
    <row r="40" spans="1:38" x14ac:dyDescent="0.35">
      <c r="A40" s="55"/>
      <c r="B40" s="40">
        <v>44323</v>
      </c>
      <c r="C40" s="40">
        <f t="shared" si="17"/>
        <v>44323</v>
      </c>
      <c r="D40" s="4">
        <f>IF(EarningsPerDay[[#This Row],[Week '#]]&gt;=52,YEAR(EarningsPerDay[[#This Row],[Date]])-1,YEAR(EarningsPerDay[[#This Row],[Date]]))</f>
        <v>2021</v>
      </c>
      <c r="E40" s="4" t="str">
        <f>"QTR"&amp;IF(EarningsPerDay[[#This Row],[Week '#]] &lt;= 13, 1, IF(EarningsPerDay[[#This Row],[Week '#]] &lt;= 26, 2, IF(EarningsPerDay[[#This Row],[Week '#]] &lt;= 39, 3, 4)))</f>
        <v>QTR2</v>
      </c>
      <c r="F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0" s="4">
        <f>IF(WEEKNUM(EarningsPerDay[[#This Row],[Date]], 2) = 53, 1, WEEKNUM(EarningsPerDay[[#This Row],[Date]],2))</f>
        <v>19</v>
      </c>
      <c r="H40" s="40" t="str">
        <f t="shared" si="18"/>
        <v>Friday</v>
      </c>
      <c r="I4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" s="40" t="str" cm="1">
        <f t="array" ref="J40">IFERROR(VLOOKUP(MODE(IF(Combined[Date]=EarningsPerDay[[#This Row],[Date]],Combined[Area '#])),KPIs!$B$4:$C$7,2,FALSE),VLOOKUP(EarningsPerDay[[#This Row],[Date]],Combined[[Date]:[Primary Area]],8,FALSE))</f>
        <v>Portland</v>
      </c>
      <c r="K40" s="40" t="str">
        <f>_xlfn.XLOOKUP(EarningsPerDay[[#This Row],[Date]],Mileage[Date],Mileage[Weather])</f>
        <v>Partially Cloudy</v>
      </c>
      <c r="L40" s="4">
        <f>_xlfn.XLOOKUP(EarningsPerDay[[#This Row],[Date]],Mileage[Date],Mileage[Hi Temp])</f>
        <v>53.8</v>
      </c>
      <c r="M40" s="12">
        <f>_xlfn.XLOOKUP(EarningsPerDay[[#This Row],[Date]],Mileage[Date],Mileage[Total Time])</f>
        <v>5.7</v>
      </c>
      <c r="N40" s="4">
        <f>_xlfn.XLOOKUP(EarningsPerDay[[#This Row],[Date]],Mileage[Date],Mileage[Mileage])</f>
        <v>157.27125097125096</v>
      </c>
      <c r="O40" s="4">
        <f>SUMIF(Combined[Date],EarningsPerDay[[#This Row],[Date]],Combined[Trips])</f>
        <v>11</v>
      </c>
      <c r="P40">
        <f>COUNTIF(Combined[Date],EarningsPerDay[[#This Row],[Date]])</f>
        <v>2</v>
      </c>
      <c r="Q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" s="11">
        <f>SUMIF(Combined[Date],EarningsPerDay[[#This Row],[Date]],Combined[Earnings])</f>
        <v>86.57</v>
      </c>
      <c r="S40" s="11">
        <f ca="1">EarningsPerDay[[#This Row],[Gross Earnings]]-(EarningsPerDay[[#This Row],[Miles]]*CpM!$D$11)</f>
        <v>51.502742789421177</v>
      </c>
      <c r="T40" s="11">
        <f t="shared" si="1"/>
        <v>15.187719298245613</v>
      </c>
      <c r="U40" s="11">
        <f t="shared" ca="1" si="2"/>
        <v>9.0355689104247681</v>
      </c>
      <c r="V40" s="11">
        <f>EarningsPerDay[[#This Row],[Gross Earnings]]/EarningsPerDay[[#This Row],[Deliveries]]</f>
        <v>7.8699999999999992</v>
      </c>
      <c r="W40" s="11">
        <f>EarningsPerDay[[#This Row],[Gross Earnings]]/EarningsPerDay[[#This Row],[Miles]]</f>
        <v>0.55045025372008327</v>
      </c>
      <c r="X40" s="71">
        <f>EarningsPerDay[[#This Row],[Deliveries]]/EarningsPerDay[[#This Row],[Hours]]</f>
        <v>1.9298245614035088</v>
      </c>
      <c r="Y40" s="71">
        <f>EarningsPerDay[[#This Row],[Miles]]/EarningsPerDay[[#This Row],[Deliveries]]</f>
        <v>14.297386451931906</v>
      </c>
      <c r="Z40" s="81">
        <f>(EarningsPerDay[[#This Row],[Hours]]/EarningsPerDay[[#This Row],[Deliveries]])/24</f>
        <v>2.1590909090909091E-2</v>
      </c>
      <c r="AA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-4.3943283875888905</v>
      </c>
      <c r="AB40" s="11">
        <f>AVERAGEIFS(EarningsPerDay[Gross $/Hour],EarningsPerDay[Week '#], EarningsPerDay[[#This Row],[Week '#]], EarningsPerDay[DOW], EarningsPerDay[[#This Row],[DOW]])</f>
        <v>15.596737876437123</v>
      </c>
      <c r="AC40" s="11">
        <f>EarningsPerDay[[#This Row],[Gross $/Hour]] - EarningsPerDay[[#This Row],[Weekly Average Earnings]]</f>
        <v>-0.40901857819151033</v>
      </c>
      <c r="AD40" s="11">
        <f>(SUMIFS(EarningsPerDay[Gross Earnings], EarningsPerDay[Date],"&gt;="&amp;EarningsPerDay[[#This Row],[Date]]-89, EarningsPerDay[Date], "&lt;="&amp;EarningsPerDay[[#This Row],[Date]]))/90</f>
        <v>25.706777777777774</v>
      </c>
      <c r="AE40" s="11"/>
      <c r="AH40" s="11"/>
      <c r="AI40" s="11"/>
      <c r="AJ40" s="473">
        <v>46154</v>
      </c>
      <c r="AK40" s="4">
        <v>3.57</v>
      </c>
      <c r="AL40" s="4">
        <v>2</v>
      </c>
    </row>
    <row r="41" spans="1:38" x14ac:dyDescent="0.35">
      <c r="A41" s="55"/>
      <c r="B41" s="40">
        <v>44328</v>
      </c>
      <c r="C41" s="40">
        <f t="shared" si="17"/>
        <v>44328</v>
      </c>
      <c r="D41" s="4">
        <f>IF(EarningsPerDay[[#This Row],[Week '#]]&gt;=52,YEAR(EarningsPerDay[[#This Row],[Date]])-1,YEAR(EarningsPerDay[[#This Row],[Date]]))</f>
        <v>2021</v>
      </c>
      <c r="E41" s="4" t="str">
        <f>"QTR"&amp;IF(EarningsPerDay[[#This Row],[Week '#]] &lt;= 13, 1, IF(EarningsPerDay[[#This Row],[Week '#]] &lt;= 26, 2, IF(EarningsPerDay[[#This Row],[Week '#]] &lt;= 39, 3, 4)))</f>
        <v>QTR2</v>
      </c>
      <c r="F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1" s="4">
        <f>IF(WEEKNUM(EarningsPerDay[[#This Row],[Date]], 2) = 53, 1, WEEKNUM(EarningsPerDay[[#This Row],[Date]],2))</f>
        <v>20</v>
      </c>
      <c r="H41" s="40" t="str">
        <f t="shared" si="18"/>
        <v>Wednesday</v>
      </c>
      <c r="I4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1" s="40" t="str" cm="1">
        <f t="array" ref="J41">IFERROR(VLOOKUP(MODE(IF(Combined[Date]=EarningsPerDay[[#This Row],[Date]],Combined[Area '#])),KPIs!$B$4:$C$7,2,FALSE),VLOOKUP(EarningsPerDay[[#This Row],[Date]],Combined[[Date]:[Primary Area]],8,FALSE))</f>
        <v>Brunswick/Bath/Freeport</v>
      </c>
      <c r="K41" s="40" t="str">
        <f>_xlfn.XLOOKUP(EarningsPerDay[[#This Row],[Date]],Mileage[Date],Mileage[Weather])</f>
        <v>Partially Cloudy</v>
      </c>
      <c r="L41" s="4">
        <f>_xlfn.XLOOKUP(EarningsPerDay[[#This Row],[Date]],Mileage[Date],Mileage[Hi Temp])</f>
        <v>67</v>
      </c>
      <c r="M41" s="12">
        <f>_xlfn.XLOOKUP(EarningsPerDay[[#This Row],[Date]],Mileage[Date],Mileage[Total Time])</f>
        <v>4.3000000000000007</v>
      </c>
      <c r="N41" s="4">
        <f>_xlfn.XLOOKUP(EarningsPerDay[[#This Row],[Date]],Mileage[Date],Mileage[Mileage])</f>
        <v>113.75302689594358</v>
      </c>
      <c r="O41" s="4">
        <f>SUMIF(Combined[Date],EarningsPerDay[[#This Row],[Date]],Combined[Trips])</f>
        <v>11</v>
      </c>
      <c r="P41">
        <f>COUNTIF(Combined[Date],EarningsPerDay[[#This Row],[Date]])</f>
        <v>2</v>
      </c>
      <c r="Q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" s="11">
        <f>SUMIF(Combined[Date],EarningsPerDay[[#This Row],[Date]],Combined[Earnings])</f>
        <v>146.07999999999998</v>
      </c>
      <c r="S41" s="11">
        <f ca="1">EarningsPerDay[[#This Row],[Gross Earnings]]-(EarningsPerDay[[#This Row],[Miles]]*CpM!$D$11)</f>
        <v>120.7161357971831</v>
      </c>
      <c r="T41" s="11">
        <f t="shared" si="1"/>
        <v>33.972093023255802</v>
      </c>
      <c r="U41" s="11">
        <f t="shared" ca="1" si="2"/>
        <v>28.073519952833273</v>
      </c>
      <c r="V41" s="11">
        <f>EarningsPerDay[[#This Row],[Gross Earnings]]/EarningsPerDay[[#This Row],[Deliveries]]</f>
        <v>13.28</v>
      </c>
      <c r="W41" s="11">
        <f>EarningsPerDay[[#This Row],[Gross Earnings]]/EarningsPerDay[[#This Row],[Miles]]</f>
        <v>1.2841856079454286</v>
      </c>
      <c r="X41" s="71">
        <f>EarningsPerDay[[#This Row],[Deliveries]]/EarningsPerDay[[#This Row],[Hours]]</f>
        <v>2.5581395348837206</v>
      </c>
      <c r="Y41" s="71">
        <f>EarningsPerDay[[#This Row],[Miles]]/EarningsPerDay[[#This Row],[Deliveries]]</f>
        <v>10.341184263267598</v>
      </c>
      <c r="Z41" s="81">
        <f>(EarningsPerDay[[#This Row],[Hours]]/EarningsPerDay[[#This Row],[Deliveries]])/24</f>
        <v>1.6287878787878792E-2</v>
      </c>
      <c r="AA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-3.5064784053156259</v>
      </c>
      <c r="AB41" s="11">
        <f>AVERAGEIFS(EarningsPerDay[Gross $/Hour],EarningsPerDay[Week '#], EarningsPerDay[[#This Row],[Week '#]], EarningsPerDay[DOW], EarningsPerDay[[#This Row],[DOW]])</f>
        <v>24.268423200414826</v>
      </c>
      <c r="AC41" s="11">
        <f>EarningsPerDay[[#This Row],[Gross $/Hour]] - EarningsPerDay[[#This Row],[Weekly Average Earnings]]</f>
        <v>9.7036698228409755</v>
      </c>
      <c r="AD41" s="11">
        <f>(SUMIFS(EarningsPerDay[Gross Earnings], EarningsPerDay[Date],"&gt;="&amp;EarningsPerDay[[#This Row],[Date]]-89, EarningsPerDay[Date], "&lt;="&amp;EarningsPerDay[[#This Row],[Date]]))/90</f>
        <v>26.499777777777773</v>
      </c>
      <c r="AE41" s="11"/>
      <c r="AH41" s="11"/>
      <c r="AI41" s="11"/>
      <c r="AJ41" s="473">
        <v>46159</v>
      </c>
      <c r="AK41" s="4">
        <v>6.37</v>
      </c>
      <c r="AL41" s="4">
        <v>3</v>
      </c>
    </row>
    <row r="42" spans="1:38" x14ac:dyDescent="0.35">
      <c r="A42" s="55"/>
      <c r="B42" s="40">
        <v>44330</v>
      </c>
      <c r="C42" s="40">
        <f t="shared" si="17"/>
        <v>44330</v>
      </c>
      <c r="D42" s="4">
        <f>IF(EarningsPerDay[[#This Row],[Week '#]]&gt;=52,YEAR(EarningsPerDay[[#This Row],[Date]])-1,YEAR(EarningsPerDay[[#This Row],[Date]]))</f>
        <v>2021</v>
      </c>
      <c r="E42" s="4" t="str">
        <f>"QTR"&amp;IF(EarningsPerDay[[#This Row],[Week '#]] &lt;= 13, 1, IF(EarningsPerDay[[#This Row],[Week '#]] &lt;= 26, 2, IF(EarningsPerDay[[#This Row],[Week '#]] &lt;= 39, 3, 4)))</f>
        <v>QTR2</v>
      </c>
      <c r="F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2" s="4">
        <f>IF(WEEKNUM(EarningsPerDay[[#This Row],[Date]], 2) = 53, 1, WEEKNUM(EarningsPerDay[[#This Row],[Date]],2))</f>
        <v>20</v>
      </c>
      <c r="H42" s="40" t="str">
        <f t="shared" si="18"/>
        <v>Friday</v>
      </c>
      <c r="I4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2" s="40" t="str" cm="1">
        <f t="array" ref="J42">IFERROR(VLOOKUP(MODE(IF(Combined[Date]=EarningsPerDay[[#This Row],[Date]],Combined[Area '#])),KPIs!$B$4:$C$7,2,FALSE),VLOOKUP(EarningsPerDay[[#This Row],[Date]],Combined[[Date]:[Primary Area]],8,FALSE))</f>
        <v>Portland</v>
      </c>
      <c r="K42" s="40" t="str">
        <f>_xlfn.XLOOKUP(EarningsPerDay[[#This Row],[Date]],Mileage[Date],Mileage[Weather])</f>
        <v>Rain</v>
      </c>
      <c r="L42" s="4">
        <f>_xlfn.XLOOKUP(EarningsPerDay[[#This Row],[Date]],Mileage[Date],Mileage[Hi Temp])</f>
        <v>73.8</v>
      </c>
      <c r="M42" s="12">
        <f>_xlfn.XLOOKUP(EarningsPerDay[[#This Row],[Date]],Mileage[Date],Mileage[Total Time])</f>
        <v>1.9</v>
      </c>
      <c r="N42" s="4">
        <f>_xlfn.XLOOKUP(EarningsPerDay[[#This Row],[Date]],Mileage[Date],Mileage[Mileage])</f>
        <v>57.189545807727626</v>
      </c>
      <c r="O42" s="4">
        <f>SUMIF(Combined[Date],EarningsPerDay[[#This Row],[Date]],Combined[Trips])</f>
        <v>4</v>
      </c>
      <c r="P42">
        <f>COUNTIF(Combined[Date],EarningsPerDay[[#This Row],[Date]])</f>
        <v>1</v>
      </c>
      <c r="Q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2" s="11">
        <f>SUMIF(Combined[Date],EarningsPerDay[[#This Row],[Date]],Combined[Earnings])</f>
        <v>86.24</v>
      </c>
      <c r="S42" s="11">
        <f ca="1">EarningsPerDay[[#This Row],[Gross Earnings]]-(EarningsPerDay[[#This Row],[Miles]]*CpM!$D$11)</f>
        <v>73.488270105244055</v>
      </c>
      <c r="T42" s="11">
        <f t="shared" si="1"/>
        <v>45.389473684210529</v>
      </c>
      <c r="U42" s="11">
        <f t="shared" ca="1" si="2"/>
        <v>38.678036897496874</v>
      </c>
      <c r="V42" s="11">
        <f>EarningsPerDay[[#This Row],[Gross Earnings]]/EarningsPerDay[[#This Row],[Deliveries]]</f>
        <v>21.56</v>
      </c>
      <c r="W42" s="11">
        <f>EarningsPerDay[[#This Row],[Gross Earnings]]/EarningsPerDay[[#This Row],[Miles]]</f>
        <v>1.5079679123513337</v>
      </c>
      <c r="X42" s="71">
        <f>EarningsPerDay[[#This Row],[Deliveries]]/EarningsPerDay[[#This Row],[Hours]]</f>
        <v>2.1052631578947367</v>
      </c>
      <c r="Y42" s="71">
        <f>EarningsPerDay[[#This Row],[Miles]]/EarningsPerDay[[#This Row],[Deliveries]]</f>
        <v>14.297386451931906</v>
      </c>
      <c r="Z42" s="81">
        <f>(EarningsPerDay[[#This Row],[Hours]]/EarningsPerDay[[#This Row],[Deliveries]])/24</f>
        <v>1.9791666666666666E-2</v>
      </c>
      <c r="AA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28.004590192170472</v>
      </c>
      <c r="AB42" s="11">
        <f>AVERAGEIFS(EarningsPerDay[Gross $/Hour],EarningsPerDay[Week '#], EarningsPerDay[[#This Row],[Week '#]], EarningsPerDay[DOW], EarningsPerDay[[#This Row],[DOW]])</f>
        <v>26.162300455424486</v>
      </c>
      <c r="AC42" s="11">
        <f>EarningsPerDay[[#This Row],[Gross $/Hour]] - EarningsPerDay[[#This Row],[Weekly Average Earnings]]</f>
        <v>19.227173228786043</v>
      </c>
      <c r="AD42" s="11">
        <f>(SUMIFS(EarningsPerDay[Gross Earnings], EarningsPerDay[Date],"&gt;="&amp;EarningsPerDay[[#This Row],[Date]]-89, EarningsPerDay[Date], "&lt;="&amp;EarningsPerDay[[#This Row],[Date]]))/90</f>
        <v>27.457999999999991</v>
      </c>
      <c r="AE42" s="11"/>
      <c r="AH42" s="11"/>
      <c r="AI42" s="11"/>
      <c r="AJ42" s="473">
        <v>46162</v>
      </c>
      <c r="AK42" s="4">
        <v>5.0199999999999996</v>
      </c>
      <c r="AL42" s="4">
        <v>3</v>
      </c>
    </row>
    <row r="43" spans="1:38" x14ac:dyDescent="0.35">
      <c r="A43" s="55"/>
      <c r="B43" s="40">
        <v>44333</v>
      </c>
      <c r="C43" s="40">
        <f t="shared" si="17"/>
        <v>44333</v>
      </c>
      <c r="D43" s="4">
        <f>IF(EarningsPerDay[[#This Row],[Week '#]]&gt;=52,YEAR(EarningsPerDay[[#This Row],[Date]])-1,YEAR(EarningsPerDay[[#This Row],[Date]]))</f>
        <v>2021</v>
      </c>
      <c r="E43" s="4" t="str">
        <f>"QTR"&amp;IF(EarningsPerDay[[#This Row],[Week '#]] &lt;= 13, 1, IF(EarningsPerDay[[#This Row],[Week '#]] &lt;= 26, 2, IF(EarningsPerDay[[#This Row],[Week '#]] &lt;= 39, 3, 4)))</f>
        <v>QTR2</v>
      </c>
      <c r="F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3" s="4">
        <f>IF(WEEKNUM(EarningsPerDay[[#This Row],[Date]], 2) = 53, 1, WEEKNUM(EarningsPerDay[[#This Row],[Date]],2))</f>
        <v>21</v>
      </c>
      <c r="H43" s="40" t="str">
        <f t="shared" si="18"/>
        <v>Monday</v>
      </c>
      <c r="I4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" s="40" t="str" cm="1">
        <f t="array" ref="J43">IFERROR(VLOOKUP(MODE(IF(Combined[Date]=EarningsPerDay[[#This Row],[Date]],Combined[Area '#])),KPIs!$B$4:$C$7,2,FALSE),VLOOKUP(EarningsPerDay[[#This Row],[Date]],Combined[[Date]:[Primary Area]],8,FALSE))</f>
        <v>Brunswick/Bath/Freeport</v>
      </c>
      <c r="K43" s="40" t="str">
        <f>_xlfn.XLOOKUP(EarningsPerDay[[#This Row],[Date]],Mileage[Date],Mileage[Weather])</f>
        <v>Partially Cloudy</v>
      </c>
      <c r="L43" s="4">
        <f>_xlfn.XLOOKUP(EarningsPerDay[[#This Row],[Date]],Mileage[Date],Mileage[Hi Temp])</f>
        <v>77.400000000000006</v>
      </c>
      <c r="M43" s="12">
        <f>_xlfn.XLOOKUP(EarningsPerDay[[#This Row],[Date]],Mileage[Date],Mileage[Total Time])</f>
        <v>4.6999999999999993</v>
      </c>
      <c r="N43" s="4">
        <f>_xlfn.XLOOKUP(EarningsPerDay[[#This Row],[Date]],Mileage[Date],Mileage[Mileage])</f>
        <v>93.070658369408378</v>
      </c>
      <c r="O43" s="4">
        <f>SUMIF(Combined[Date],EarningsPerDay[[#This Row],[Date]],Combined[Trips])</f>
        <v>9</v>
      </c>
      <c r="P43">
        <f>COUNTIF(Combined[Date],EarningsPerDay[[#This Row],[Date]])</f>
        <v>2</v>
      </c>
      <c r="Q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3" s="11">
        <f>SUMIF(Combined[Date],EarningsPerDay[[#This Row],[Date]],Combined[Earnings])</f>
        <v>79.72999999999999</v>
      </c>
      <c r="S43" s="11">
        <f ca="1">EarningsPerDay[[#This Row],[Gross Earnings]]-(EarningsPerDay[[#This Row],[Miles]]*CpM!$D$11)</f>
        <v>58.977747470422536</v>
      </c>
      <c r="T43" s="11">
        <f t="shared" si="1"/>
        <v>16.963829787234044</v>
      </c>
      <c r="U43" s="11">
        <f t="shared" ca="1" si="2"/>
        <v>12.548456908600542</v>
      </c>
      <c r="V43" s="11">
        <f>EarningsPerDay[[#This Row],[Gross Earnings]]/EarningsPerDay[[#This Row],[Deliveries]]</f>
        <v>8.8588888888888881</v>
      </c>
      <c r="W43" s="11">
        <f>EarningsPerDay[[#This Row],[Gross Earnings]]/EarningsPerDay[[#This Row],[Miles]]</f>
        <v>0.85666096487189602</v>
      </c>
      <c r="X43" s="71">
        <f>EarningsPerDay[[#This Row],[Deliveries]]/EarningsPerDay[[#This Row],[Hours]]</f>
        <v>1.9148936170212769</v>
      </c>
      <c r="Y43" s="71">
        <f>EarningsPerDay[[#This Row],[Miles]]/EarningsPerDay[[#This Row],[Deliveries]]</f>
        <v>10.341184263267598</v>
      </c>
      <c r="Z43" s="81">
        <f>(EarningsPerDay[[#This Row],[Hours]]/EarningsPerDay[[#This Row],[Deliveries]])/24</f>
        <v>2.1759259259259256E-2</v>
      </c>
      <c r="AA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-6.9490734385724053</v>
      </c>
      <c r="AB43" s="11">
        <f>AVERAGEIFS(EarningsPerDay[Gross $/Hour],EarningsPerDay[Week '#], EarningsPerDay[[#This Row],[Week '#]], EarningsPerDay[DOW], EarningsPerDay[[#This Row],[DOW]])</f>
        <v>15.443940210072718</v>
      </c>
      <c r="AC43" s="11">
        <f>EarningsPerDay[[#This Row],[Gross $/Hour]] - EarningsPerDay[[#This Row],[Weekly Average Earnings]]</f>
        <v>1.5198895771613259</v>
      </c>
      <c r="AD43" s="11">
        <f>(SUMIFS(EarningsPerDay[Gross Earnings], EarningsPerDay[Date],"&gt;="&amp;EarningsPerDay[[#This Row],[Date]]-89, EarningsPerDay[Date], "&lt;="&amp;EarningsPerDay[[#This Row],[Date]]))/90</f>
        <v>26.400777777777776</v>
      </c>
      <c r="AE43" s="11"/>
      <c r="AH43" s="11"/>
      <c r="AI43" s="11"/>
      <c r="AJ43" s="473">
        <v>46164</v>
      </c>
      <c r="AK43" s="4">
        <v>6.23</v>
      </c>
      <c r="AL43" s="4">
        <v>1</v>
      </c>
    </row>
    <row r="44" spans="1:38" x14ac:dyDescent="0.35">
      <c r="A44" s="55"/>
      <c r="B44" s="40">
        <v>44336</v>
      </c>
      <c r="C44" s="40">
        <f t="shared" si="17"/>
        <v>44336</v>
      </c>
      <c r="D44" s="4">
        <f>IF(EarningsPerDay[[#This Row],[Week '#]]&gt;=52,YEAR(EarningsPerDay[[#This Row],[Date]])-1,YEAR(EarningsPerDay[[#This Row],[Date]]))</f>
        <v>2021</v>
      </c>
      <c r="E44" s="4" t="str">
        <f>"QTR"&amp;IF(EarningsPerDay[[#This Row],[Week '#]] &lt;= 13, 1, IF(EarningsPerDay[[#This Row],[Week '#]] &lt;= 26, 2, IF(EarningsPerDay[[#This Row],[Week '#]] &lt;= 39, 3, 4)))</f>
        <v>QTR2</v>
      </c>
      <c r="F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4" s="4">
        <f>IF(WEEKNUM(EarningsPerDay[[#This Row],[Date]], 2) = 53, 1, WEEKNUM(EarningsPerDay[[#This Row],[Date]],2))</f>
        <v>21</v>
      </c>
      <c r="H44" s="40" t="str">
        <f t="shared" si="18"/>
        <v>Thursday</v>
      </c>
      <c r="I4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4" s="40" t="str" cm="1">
        <f t="array" ref="J44">IFERROR(VLOOKUP(MODE(IF(Combined[Date]=EarningsPerDay[[#This Row],[Date]],Combined[Area '#])),KPIs!$B$4:$C$7,2,FALSE),VLOOKUP(EarningsPerDay[[#This Row],[Date]],Combined[[Date]:[Primary Area]],8,FALSE))</f>
        <v>Brunswick/Bath/Freeport</v>
      </c>
      <c r="K44" s="40" t="str">
        <f>_xlfn.XLOOKUP(EarningsPerDay[[#This Row],[Date]],Mileage[Date],Mileage[Weather])</f>
        <v>Rain</v>
      </c>
      <c r="L44" s="4">
        <f>_xlfn.XLOOKUP(EarningsPerDay[[#This Row],[Date]],Mileage[Date],Mileage[Hi Temp])</f>
        <v>73.400000000000006</v>
      </c>
      <c r="M44" s="12">
        <f>_xlfn.XLOOKUP(EarningsPerDay[[#This Row],[Date]],Mileage[Date],Mileage[Total Time])</f>
        <v>0.89999999999999991</v>
      </c>
      <c r="N44" s="4">
        <f>_xlfn.XLOOKUP(EarningsPerDay[[#This Row],[Date]],Mileage[Date],Mileage[Mileage])</f>
        <v>22</v>
      </c>
      <c r="O44" s="4">
        <f>SUMIF(Combined[Date],EarningsPerDay[[#This Row],[Date]],Combined[Trips])</f>
        <v>2</v>
      </c>
      <c r="P44">
        <f>COUNTIF(Combined[Date],EarningsPerDay[[#This Row],[Date]])</f>
        <v>1</v>
      </c>
      <c r="Q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" s="11">
        <f>SUMIF(Combined[Date],EarningsPerDay[[#This Row],[Date]],Combined[Earnings])</f>
        <v>19.61</v>
      </c>
      <c r="S44" s="11">
        <f ca="1">EarningsPerDay[[#This Row],[Gross Earnings]]-(EarningsPerDay[[#This Row],[Miles]]*CpM!$D$11)</f>
        <v>14.704591962177755</v>
      </c>
      <c r="T44" s="11">
        <f t="shared" si="1"/>
        <v>21.788888888888891</v>
      </c>
      <c r="U44" s="11">
        <f t="shared" ca="1" si="2"/>
        <v>16.33843551353084</v>
      </c>
      <c r="V44" s="11">
        <f>EarningsPerDay[[#This Row],[Gross Earnings]]/EarningsPerDay[[#This Row],[Deliveries]]</f>
        <v>9.8049999999999997</v>
      </c>
      <c r="W44" s="11">
        <f>EarningsPerDay[[#This Row],[Gross Earnings]]/EarningsPerDay[[#This Row],[Miles]]</f>
        <v>0.89136363636363636</v>
      </c>
      <c r="X44" s="71">
        <f>EarningsPerDay[[#This Row],[Deliveries]]/EarningsPerDay[[#This Row],[Hours]]</f>
        <v>2.2222222222222223</v>
      </c>
      <c r="Y44" s="71">
        <f>EarningsPerDay[[#This Row],[Miles]]/EarningsPerDay[[#This Row],[Deliveries]]</f>
        <v>11</v>
      </c>
      <c r="Z44" s="81">
        <f>(EarningsPerDay[[#This Row],[Hours]]/EarningsPerDay[[#This Row],[Deliveries]])/24</f>
        <v>1.8749999999999999E-2</v>
      </c>
      <c r="AA4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44" s="11">
        <f>AVERAGEIFS(EarningsPerDay[Gross $/Hour],EarningsPerDay[Week '#], EarningsPerDay[[#This Row],[Week '#]], EarningsPerDay[DOW], EarningsPerDay[[#This Row],[DOW]])</f>
        <v>19.770465325238188</v>
      </c>
      <c r="AC44" s="11">
        <f>EarningsPerDay[[#This Row],[Gross $/Hour]] - EarningsPerDay[[#This Row],[Weekly Average Earnings]]</f>
        <v>2.0184235636507033</v>
      </c>
      <c r="AD44" s="11">
        <f>(SUMIFS(EarningsPerDay[Gross Earnings], EarningsPerDay[Date],"&gt;="&amp;EarningsPerDay[[#This Row],[Date]]-89, EarningsPerDay[Date], "&lt;="&amp;EarningsPerDay[[#This Row],[Date]]))/90</f>
        <v>26.618666666666666</v>
      </c>
      <c r="AE44" s="11"/>
      <c r="AH44" s="11"/>
      <c r="AI44" s="11"/>
      <c r="AJ44" s="195" t="s">
        <v>88</v>
      </c>
      <c r="AK44" s="4">
        <v>4126.5928611111121</v>
      </c>
      <c r="AL44" s="4">
        <v>2.3786848072562359</v>
      </c>
    </row>
    <row r="45" spans="1:38" x14ac:dyDescent="0.35">
      <c r="A45" s="55"/>
      <c r="B45" s="40">
        <v>44337</v>
      </c>
      <c r="C45" s="40">
        <f t="shared" si="17"/>
        <v>44337</v>
      </c>
      <c r="D45" s="4">
        <f>IF(EarningsPerDay[[#This Row],[Week '#]]&gt;=52,YEAR(EarningsPerDay[[#This Row],[Date]])-1,YEAR(EarningsPerDay[[#This Row],[Date]]))</f>
        <v>2021</v>
      </c>
      <c r="E45" s="4" t="str">
        <f>"QTR"&amp;IF(EarningsPerDay[[#This Row],[Week '#]] &lt;= 13, 1, IF(EarningsPerDay[[#This Row],[Week '#]] &lt;= 26, 2, IF(EarningsPerDay[[#This Row],[Week '#]] &lt;= 39, 3, 4)))</f>
        <v>QTR2</v>
      </c>
      <c r="F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" s="4">
        <f>IF(WEEKNUM(EarningsPerDay[[#This Row],[Date]], 2) = 53, 1, WEEKNUM(EarningsPerDay[[#This Row],[Date]],2))</f>
        <v>21</v>
      </c>
      <c r="H45" s="40" t="str">
        <f t="shared" si="18"/>
        <v>Friday</v>
      </c>
      <c r="I45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45" s="40" t="str" cm="1">
        <f t="array" ref="J45">IFERROR(VLOOKUP(MODE(IF(Combined[Date]=EarningsPerDay[[#This Row],[Date]],Combined[Area '#])),KPIs!$B$4:$C$7,2,FALSE),VLOOKUP(EarningsPerDay[[#This Row],[Date]],Combined[[Date]:[Primary Area]],8,FALSE))</f>
        <v>Portland</v>
      </c>
      <c r="K45" s="40" t="str">
        <f>_xlfn.XLOOKUP(EarningsPerDay[[#This Row],[Date]],Mileage[Date],Mileage[Weather])</f>
        <v>Partially Cloudy</v>
      </c>
      <c r="L45" s="4">
        <f>_xlfn.XLOOKUP(EarningsPerDay[[#This Row],[Date]],Mileage[Date],Mileage[Hi Temp])</f>
        <v>77.900000000000006</v>
      </c>
      <c r="M45" s="12">
        <f>_xlfn.XLOOKUP(EarningsPerDay[[#This Row],[Date]],Mileage[Date],Mileage[Total Time])</f>
        <v>1.9</v>
      </c>
      <c r="N45" s="4">
        <f>_xlfn.XLOOKUP(EarningsPerDay[[#This Row],[Date]],Mileage[Date],Mileage[Mileage])</f>
        <v>63.9</v>
      </c>
      <c r="O45" s="4">
        <f>SUMIF(Combined[Date],EarningsPerDay[[#This Row],[Date]],Combined[Trips])</f>
        <v>3</v>
      </c>
      <c r="P45">
        <f>COUNTIF(Combined[Date],EarningsPerDay[[#This Row],[Date]])</f>
        <v>1</v>
      </c>
      <c r="Q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" s="11">
        <f>SUMIF(Combined[Date],EarningsPerDay[[#This Row],[Date]],Combined[Earnings])</f>
        <v>43.87</v>
      </c>
      <c r="S45" s="11">
        <f ca="1">EarningsPerDay[[#This Row],[Gross Earnings]]-(EarningsPerDay[[#This Row],[Miles]]*CpM!$D$11)</f>
        <v>29.62201938105266</v>
      </c>
      <c r="T45" s="11">
        <f t="shared" si="1"/>
        <v>23.089473684210525</v>
      </c>
      <c r="U45" s="11">
        <f t="shared" ca="1" si="2"/>
        <v>15.590536516343505</v>
      </c>
      <c r="V45" s="11">
        <f>EarningsPerDay[[#This Row],[Gross Earnings]]/EarningsPerDay[[#This Row],[Deliveries]]</f>
        <v>14.623333333333333</v>
      </c>
      <c r="W45" s="11">
        <f>EarningsPerDay[[#This Row],[Gross Earnings]]/EarningsPerDay[[#This Row],[Miles]]</f>
        <v>0.68654147104851326</v>
      </c>
      <c r="X45" s="71">
        <f>EarningsPerDay[[#This Row],[Deliveries]]/EarningsPerDay[[#This Row],[Hours]]</f>
        <v>1.5789473684210527</v>
      </c>
      <c r="Y45" s="71">
        <f>EarningsPerDay[[#This Row],[Miles]]/EarningsPerDay[[#This Row],[Deliveries]]</f>
        <v>21.3</v>
      </c>
      <c r="Z45" s="81">
        <f>(EarningsPerDay[[#This Row],[Hours]]/EarningsPerDay[[#This Row],[Deliveries]])/24</f>
        <v>2.6388888888888889E-2</v>
      </c>
      <c r="AA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-3.6302732052196873</v>
      </c>
      <c r="AB45" s="11">
        <f>AVERAGEIFS(EarningsPerDay[Gross $/Hour],EarningsPerDay[Week '#], EarningsPerDay[[#This Row],[Week '#]], EarningsPerDay[DOW], EarningsPerDay[[#This Row],[DOW]])</f>
        <v>17.27594486567542</v>
      </c>
      <c r="AC45" s="11">
        <f>EarningsPerDay[[#This Row],[Gross $/Hour]] - EarningsPerDay[[#This Row],[Weekly Average Earnings]]</f>
        <v>5.8135288185351044</v>
      </c>
      <c r="AD45" s="11">
        <f>(SUMIFS(EarningsPerDay[Gross Earnings], EarningsPerDay[Date],"&gt;="&amp;EarningsPerDay[[#This Row],[Date]]-89, EarningsPerDay[Date], "&lt;="&amp;EarningsPerDay[[#This Row],[Date]]))/90</f>
        <v>26.106888888888889</v>
      </c>
      <c r="AE45" s="11"/>
      <c r="AH45" s="11"/>
      <c r="AI45" s="11"/>
    </row>
    <row r="46" spans="1:38" x14ac:dyDescent="0.35">
      <c r="A46" s="55"/>
      <c r="B46" s="40">
        <v>44339</v>
      </c>
      <c r="C46" s="40">
        <f t="shared" si="17"/>
        <v>44339</v>
      </c>
      <c r="D46" s="4">
        <f>IF(EarningsPerDay[[#This Row],[Week '#]]&gt;=52,YEAR(EarningsPerDay[[#This Row],[Date]])-1,YEAR(EarningsPerDay[[#This Row],[Date]]))</f>
        <v>2021</v>
      </c>
      <c r="E46" s="4" t="str">
        <f>"QTR"&amp;IF(EarningsPerDay[[#This Row],[Week '#]] &lt;= 13, 1, IF(EarningsPerDay[[#This Row],[Week '#]] &lt;= 26, 2, IF(EarningsPerDay[[#This Row],[Week '#]] &lt;= 39, 3, 4)))</f>
        <v>QTR2</v>
      </c>
      <c r="F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6" s="4">
        <f>IF(WEEKNUM(EarningsPerDay[[#This Row],[Date]], 2) = 53, 1, WEEKNUM(EarningsPerDay[[#This Row],[Date]],2))</f>
        <v>21</v>
      </c>
      <c r="H46" s="40" t="str">
        <f t="shared" si="18"/>
        <v>Sunday</v>
      </c>
      <c r="I46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46" s="40" t="str" cm="1">
        <f t="array" ref="J46">IFERROR(VLOOKUP(MODE(IF(Combined[Date]=EarningsPerDay[[#This Row],[Date]],Combined[Area '#])),KPIs!$B$4:$C$7,2,FALSE),VLOOKUP(EarningsPerDay[[#This Row],[Date]],Combined[[Date]:[Primary Area]],8,FALSE))</f>
        <v>Portland</v>
      </c>
      <c r="K46" s="40" t="str">
        <f>_xlfn.XLOOKUP(EarningsPerDay[[#This Row],[Date]],Mileage[Date],Mileage[Weather])</f>
        <v>Clear</v>
      </c>
      <c r="L46" s="4">
        <f>_xlfn.XLOOKUP(EarningsPerDay[[#This Row],[Date]],Mileage[Date],Mileage[Hi Temp])</f>
        <v>62.2</v>
      </c>
      <c r="M46" s="12">
        <f>_xlfn.XLOOKUP(EarningsPerDay[[#This Row],[Date]],Mileage[Date],Mileage[Total Time])</f>
        <v>6.6000000000000014</v>
      </c>
      <c r="N46" s="4">
        <f>_xlfn.XLOOKUP(EarningsPerDay[[#This Row],[Date]],Mileage[Date],Mileage[Mileage])</f>
        <v>142</v>
      </c>
      <c r="O46" s="4">
        <f>SUMIF(Combined[Date],EarningsPerDay[[#This Row],[Date]],Combined[Trips])</f>
        <v>14</v>
      </c>
      <c r="P46">
        <f>COUNTIF(Combined[Date],EarningsPerDay[[#This Row],[Date]])</f>
        <v>2</v>
      </c>
      <c r="Q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" s="11">
        <f>SUMIF(Combined[Date],EarningsPerDay[[#This Row],[Date]],Combined[Earnings])</f>
        <v>189.8</v>
      </c>
      <c r="S46" s="11">
        <f ca="1">EarningsPerDay[[#This Row],[Gross Earnings]]-(EarningsPerDay[[#This Row],[Miles]]*CpM!$D$11)</f>
        <v>158.13782084678371</v>
      </c>
      <c r="T46" s="11">
        <f t="shared" si="1"/>
        <v>28.757575757575754</v>
      </c>
      <c r="U46" s="11">
        <f t="shared" ca="1" si="2"/>
        <v>23.960275885876314</v>
      </c>
      <c r="V46" s="11">
        <f>EarningsPerDay[[#This Row],[Gross Earnings]]/EarningsPerDay[[#This Row],[Deliveries]]</f>
        <v>13.557142857142859</v>
      </c>
      <c r="W46" s="11">
        <f>EarningsPerDay[[#This Row],[Gross Earnings]]/EarningsPerDay[[#This Row],[Miles]]</f>
        <v>1.3366197183098592</v>
      </c>
      <c r="X46" s="71">
        <f>EarningsPerDay[[#This Row],[Deliveries]]/EarningsPerDay[[#This Row],[Hours]]</f>
        <v>2.1212121212121207</v>
      </c>
      <c r="Y46" s="71">
        <f>EarningsPerDay[[#This Row],[Miles]]/EarningsPerDay[[#This Row],[Deliveries]]</f>
        <v>10.142857142857142</v>
      </c>
      <c r="Z46" s="81">
        <f>(EarningsPerDay[[#This Row],[Hours]]/EarningsPerDay[[#This Row],[Deliveries]])/24</f>
        <v>1.9642857142857146E-2</v>
      </c>
      <c r="AA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12.443745970341709</v>
      </c>
      <c r="AB46" s="11">
        <f>AVERAGEIFS(EarningsPerDay[Gross $/Hour],EarningsPerDay[Week '#], EarningsPerDay[[#This Row],[Week '#]], EarningsPerDay[DOW], EarningsPerDay[[#This Row],[DOW]])</f>
        <v>18.720893141945773</v>
      </c>
      <c r="AC46" s="11">
        <f>EarningsPerDay[[#This Row],[Gross $/Hour]] - EarningsPerDay[[#This Row],[Weekly Average Earnings]]</f>
        <v>10.036682615629982</v>
      </c>
      <c r="AD46" s="11">
        <f>(SUMIFS(EarningsPerDay[Gross Earnings], EarningsPerDay[Date],"&gt;="&amp;EarningsPerDay[[#This Row],[Date]]-89, EarningsPerDay[Date], "&lt;="&amp;EarningsPerDay[[#This Row],[Date]]))/90</f>
        <v>27.207444444444445</v>
      </c>
      <c r="AE46" s="11"/>
      <c r="AH46" s="11"/>
      <c r="AI46" s="11"/>
    </row>
    <row r="47" spans="1:38" x14ac:dyDescent="0.35">
      <c r="A47" s="55"/>
      <c r="B47" s="40">
        <v>44342</v>
      </c>
      <c r="C47" s="40">
        <f t="shared" ref="C47:C110" si="19">B47</f>
        <v>44342</v>
      </c>
      <c r="D47" s="4">
        <f>IF(EarningsPerDay[[#This Row],[Week '#]]&gt;=52,YEAR(EarningsPerDay[[#This Row],[Date]])-1,YEAR(EarningsPerDay[[#This Row],[Date]]))</f>
        <v>2021</v>
      </c>
      <c r="E47" s="4" t="str">
        <f>"QTR"&amp;IF(EarningsPerDay[[#This Row],[Week '#]] &lt;= 13, 1, IF(EarningsPerDay[[#This Row],[Week '#]] &lt;= 26, 2, IF(EarningsPerDay[[#This Row],[Week '#]] &lt;= 39, 3, 4)))</f>
        <v>QTR2</v>
      </c>
      <c r="F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7" s="4">
        <f>IF(WEEKNUM(EarningsPerDay[[#This Row],[Date]], 2) = 53, 1, WEEKNUM(EarningsPerDay[[#This Row],[Date]],2))</f>
        <v>22</v>
      </c>
      <c r="H47" s="40" t="str">
        <f t="shared" ref="H47:H110" si="20">TEXT(B47,"DDDD")</f>
        <v>Wednesday</v>
      </c>
      <c r="I4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7" s="40" t="str" cm="1">
        <f t="array" ref="J47">IFERROR(VLOOKUP(MODE(IF(Combined[Date]=EarningsPerDay[[#This Row],[Date]],Combined[Area '#])),KPIs!$B$4:$C$7,2,FALSE),VLOOKUP(EarningsPerDay[[#This Row],[Date]],Combined[[Date]:[Primary Area]],8,FALSE))</f>
        <v>Lewiston</v>
      </c>
      <c r="K47" s="40" t="str">
        <f>_xlfn.XLOOKUP(EarningsPerDay[[#This Row],[Date]],Mileage[Date],Mileage[Weather])</f>
        <v>Rain</v>
      </c>
      <c r="L47" s="4">
        <f>_xlfn.XLOOKUP(EarningsPerDay[[#This Row],[Date]],Mileage[Date],Mileage[Hi Temp])</f>
        <v>71.3</v>
      </c>
      <c r="M47" s="12">
        <f>_xlfn.XLOOKUP(EarningsPerDay[[#This Row],[Date]],Mileage[Date],Mileage[Total Time])</f>
        <v>3.9000000000000004</v>
      </c>
      <c r="N47" s="4">
        <f>_xlfn.XLOOKUP(EarningsPerDay[[#This Row],[Date]],Mileage[Date],Mileage[Mileage])</f>
        <v>54</v>
      </c>
      <c r="O47" s="4">
        <f>SUMIF(Combined[Date],EarningsPerDay[[#This Row],[Date]],Combined[Trips])</f>
        <v>13</v>
      </c>
      <c r="P47">
        <f>COUNTIF(Combined[Date],EarningsPerDay[[#This Row],[Date]])</f>
        <v>2</v>
      </c>
      <c r="Q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" s="11">
        <f>SUMIF(Combined[Date],EarningsPerDay[[#This Row],[Date]],Combined[Earnings])</f>
        <v>102.85</v>
      </c>
      <c r="S47" s="11">
        <f ca="1">EarningsPerDay[[#This Row],[Gross Earnings]]-(EarningsPerDay[[#This Row],[Miles]]*CpM!$D$11)</f>
        <v>90.809452998072672</v>
      </c>
      <c r="T47" s="11">
        <f t="shared" si="1"/>
        <v>26.371794871794869</v>
      </c>
      <c r="U47" s="11">
        <f t="shared" ca="1" si="2"/>
        <v>23.284475127710941</v>
      </c>
      <c r="V47" s="11">
        <f>EarningsPerDay[[#This Row],[Gross Earnings]]/EarningsPerDay[[#This Row],[Deliveries]]</f>
        <v>7.911538461538461</v>
      </c>
      <c r="W47" s="11">
        <f>EarningsPerDay[[#This Row],[Gross Earnings]]/EarningsPerDay[[#This Row],[Miles]]</f>
        <v>1.9046296296296295</v>
      </c>
      <c r="X47" s="71">
        <f>EarningsPerDay[[#This Row],[Deliveries]]/EarningsPerDay[[#This Row],[Hours]]</f>
        <v>3.333333333333333</v>
      </c>
      <c r="Y47" s="71">
        <f>EarningsPerDay[[#This Row],[Miles]]/EarningsPerDay[[#This Row],[Deliveries]]</f>
        <v>4.1538461538461542</v>
      </c>
      <c r="Z47" s="81">
        <f>(EarningsPerDay[[#This Row],[Hours]]/EarningsPerDay[[#This Row],[Deliveries]])/24</f>
        <v>1.2500000000000002E-2</v>
      </c>
      <c r="AA4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47" s="11">
        <f>AVERAGEIFS(EarningsPerDay[Gross $/Hour],EarningsPerDay[Week '#], EarningsPerDay[[#This Row],[Week '#]], EarningsPerDay[DOW], EarningsPerDay[[#This Row],[DOW]])</f>
        <v>21.882177824775361</v>
      </c>
      <c r="AC47" s="11">
        <f>EarningsPerDay[[#This Row],[Gross $/Hour]] - EarningsPerDay[[#This Row],[Weekly Average Earnings]]</f>
        <v>4.4896170470195074</v>
      </c>
      <c r="AD47" s="11">
        <f>(SUMIFS(EarningsPerDay[Gross Earnings], EarningsPerDay[Date],"&gt;="&amp;EarningsPerDay[[#This Row],[Date]]-89, EarningsPerDay[Date], "&lt;="&amp;EarningsPerDay[[#This Row],[Date]]))/90</f>
        <v>28.350222222222222</v>
      </c>
      <c r="AE47" s="11"/>
      <c r="AH47" s="11"/>
      <c r="AI47" s="11"/>
    </row>
    <row r="48" spans="1:38" x14ac:dyDescent="0.35">
      <c r="A48" s="55"/>
      <c r="B48" s="40">
        <v>44345</v>
      </c>
      <c r="C48" s="40">
        <f t="shared" si="19"/>
        <v>44345</v>
      </c>
      <c r="D48" s="4">
        <f>IF(EarningsPerDay[[#This Row],[Week '#]]&gt;=52,YEAR(EarningsPerDay[[#This Row],[Date]])-1,YEAR(EarningsPerDay[[#This Row],[Date]]))</f>
        <v>2021</v>
      </c>
      <c r="E48" s="4" t="str">
        <f>"QTR"&amp;IF(EarningsPerDay[[#This Row],[Week '#]] &lt;= 13, 1, IF(EarningsPerDay[[#This Row],[Week '#]] &lt;= 26, 2, IF(EarningsPerDay[[#This Row],[Week '#]] &lt;= 39, 3, 4)))</f>
        <v>QTR2</v>
      </c>
      <c r="F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8" s="4">
        <f>IF(WEEKNUM(EarningsPerDay[[#This Row],[Date]], 2) = 53, 1, WEEKNUM(EarningsPerDay[[#This Row],[Date]],2))</f>
        <v>22</v>
      </c>
      <c r="H48" s="40" t="str">
        <f t="shared" si="20"/>
        <v>Saturday</v>
      </c>
      <c r="I4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8" s="40" t="str" cm="1">
        <f t="array" ref="J48">IFERROR(VLOOKUP(MODE(IF(Combined[Date]=EarningsPerDay[[#This Row],[Date]],Combined[Area '#])),KPIs!$B$4:$C$7,2,FALSE),VLOOKUP(EarningsPerDay[[#This Row],[Date]],Combined[[Date]:[Primary Area]],8,FALSE))</f>
        <v>Brunswick/Bath/Freeport</v>
      </c>
      <c r="K48" s="40" t="str">
        <f>_xlfn.XLOOKUP(EarningsPerDay[[#This Row],[Date]],Mileage[Date],Mileage[Weather])</f>
        <v>Rain</v>
      </c>
      <c r="L48" s="4">
        <f>_xlfn.XLOOKUP(EarningsPerDay[[#This Row],[Date]],Mileage[Date],Mileage[Hi Temp])</f>
        <v>54.1</v>
      </c>
      <c r="M48" s="12">
        <f>_xlfn.XLOOKUP(EarningsPerDay[[#This Row],[Date]],Mileage[Date],Mileage[Total Time])</f>
        <v>2.9000000000000004</v>
      </c>
      <c r="N48" s="4">
        <f>_xlfn.XLOOKUP(EarningsPerDay[[#This Row],[Date]],Mileage[Date],Mileage[Mileage])</f>
        <v>60</v>
      </c>
      <c r="O48" s="4">
        <f>SUMIF(Combined[Date],EarningsPerDay[[#This Row],[Date]],Combined[Trips])</f>
        <v>7</v>
      </c>
      <c r="P48">
        <f>COUNTIF(Combined[Date],EarningsPerDay[[#This Row],[Date]])</f>
        <v>2</v>
      </c>
      <c r="Q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" s="11">
        <f>SUMIF(Combined[Date],EarningsPerDay[[#This Row],[Date]],Combined[Earnings])</f>
        <v>66.5</v>
      </c>
      <c r="S48" s="11">
        <f ca="1">EarningsPerDay[[#This Row],[Gross Earnings]]-(EarningsPerDay[[#This Row],[Miles]]*CpM!$D$11)</f>
        <v>53.12161444230297</v>
      </c>
      <c r="T48" s="11">
        <f t="shared" si="1"/>
        <v>22.931034482758619</v>
      </c>
      <c r="U48" s="11">
        <f t="shared" ca="1" si="2"/>
        <v>18.317798083552745</v>
      </c>
      <c r="V48" s="11">
        <f>EarningsPerDay[[#This Row],[Gross Earnings]]/EarningsPerDay[[#This Row],[Deliveries]]</f>
        <v>9.5</v>
      </c>
      <c r="W48" s="11">
        <f>EarningsPerDay[[#This Row],[Gross Earnings]]/EarningsPerDay[[#This Row],[Miles]]</f>
        <v>1.1083333333333334</v>
      </c>
      <c r="X48" s="71">
        <f>EarningsPerDay[[#This Row],[Deliveries]]/EarningsPerDay[[#This Row],[Hours]]</f>
        <v>2.4137931034482754</v>
      </c>
      <c r="Y48" s="71">
        <f>EarningsPerDay[[#This Row],[Miles]]/EarningsPerDay[[#This Row],[Deliveries]]</f>
        <v>8.5714285714285712</v>
      </c>
      <c r="Z48" s="81">
        <f>(EarningsPerDay[[#This Row],[Hours]]/EarningsPerDay[[#This Row],[Deliveries]])/24</f>
        <v>1.7261904761904763E-2</v>
      </c>
      <c r="AA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-7.5111939816608526</v>
      </c>
      <c r="AB48" s="11">
        <f>AVERAGEIFS(EarningsPerDay[Gross $/Hour],EarningsPerDay[Week '#], EarningsPerDay[[#This Row],[Week '#]], EarningsPerDay[DOW], EarningsPerDay[[#This Row],[DOW]])</f>
        <v>26.586309320587226</v>
      </c>
      <c r="AC48" s="11">
        <f>EarningsPerDay[[#This Row],[Gross $/Hour]] - EarningsPerDay[[#This Row],[Weekly Average Earnings]]</f>
        <v>-3.6552748378286068</v>
      </c>
      <c r="AD48" s="11">
        <f>(SUMIFS(EarningsPerDay[Gross Earnings], EarningsPerDay[Date],"&gt;="&amp;EarningsPerDay[[#This Row],[Date]]-89, EarningsPerDay[Date], "&lt;="&amp;EarningsPerDay[[#This Row],[Date]]))/90</f>
        <v>28.468</v>
      </c>
      <c r="AE48" s="11"/>
      <c r="AH48" s="11"/>
      <c r="AI48" s="11"/>
    </row>
    <row r="49" spans="1:35" x14ac:dyDescent="0.35">
      <c r="A49" s="55"/>
      <c r="B49" s="40">
        <v>44347</v>
      </c>
      <c r="C49" s="40">
        <f t="shared" si="19"/>
        <v>44347</v>
      </c>
      <c r="D49" s="4">
        <f>IF(EarningsPerDay[[#This Row],[Week '#]]&gt;=52,YEAR(EarningsPerDay[[#This Row],[Date]])-1,YEAR(EarningsPerDay[[#This Row],[Date]]))</f>
        <v>2021</v>
      </c>
      <c r="E49" s="4" t="str">
        <f>"QTR"&amp;IF(EarningsPerDay[[#This Row],[Week '#]] &lt;= 13, 1, IF(EarningsPerDay[[#This Row],[Week '#]] &lt;= 26, 2, IF(EarningsPerDay[[#This Row],[Week '#]] &lt;= 39, 3, 4)))</f>
        <v>QTR2</v>
      </c>
      <c r="F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9" s="4">
        <f>IF(WEEKNUM(EarningsPerDay[[#This Row],[Date]], 2) = 53, 1, WEEKNUM(EarningsPerDay[[#This Row],[Date]],2))</f>
        <v>23</v>
      </c>
      <c r="H49" s="40" t="str">
        <f t="shared" si="20"/>
        <v>Monday</v>
      </c>
      <c r="I49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49" s="40" t="str" cm="1">
        <f t="array" ref="J49">IFERROR(VLOOKUP(MODE(IF(Combined[Date]=EarningsPerDay[[#This Row],[Date]],Combined[Area '#])),KPIs!$B$4:$C$7,2,FALSE),VLOOKUP(EarningsPerDay[[#This Row],[Date]],Combined[[Date]:[Primary Area]],8,FALSE))</f>
        <v>Brunswick/Bath/Freeport</v>
      </c>
      <c r="K49" s="40" t="str">
        <f>_xlfn.XLOOKUP(EarningsPerDay[[#This Row],[Date]],Mileage[Date],Mileage[Weather])</f>
        <v>Clear</v>
      </c>
      <c r="L49" s="4">
        <f>_xlfn.XLOOKUP(EarningsPerDay[[#This Row],[Date]],Mileage[Date],Mileage[Hi Temp])</f>
        <v>74.5</v>
      </c>
      <c r="M49" s="12">
        <f>_xlfn.XLOOKUP(EarningsPerDay[[#This Row],[Date]],Mileage[Date],Mileage[Total Time])</f>
        <v>4.2</v>
      </c>
      <c r="N49" s="4">
        <f>_xlfn.XLOOKUP(EarningsPerDay[[#This Row],[Date]],Mileage[Date],Mileage[Mileage])</f>
        <v>89</v>
      </c>
      <c r="O49" s="4">
        <f>SUMIF(Combined[Date],EarningsPerDay[[#This Row],[Date]],Combined[Trips])</f>
        <v>11</v>
      </c>
      <c r="P49">
        <f>COUNTIF(Combined[Date],EarningsPerDay[[#This Row],[Date]])</f>
        <v>2</v>
      </c>
      <c r="Q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" s="11">
        <f>SUMIF(Combined[Date],EarningsPerDay[[#This Row],[Date]],Combined[Earnings])</f>
        <v>98.360000000000014</v>
      </c>
      <c r="S49" s="11">
        <f ca="1">EarningsPerDay[[#This Row],[Gross Earnings]]-(EarningsPerDay[[#This Row],[Miles]]*CpM!$D$11)</f>
        <v>78.515394756082756</v>
      </c>
      <c r="T49" s="11">
        <f t="shared" si="1"/>
        <v>23.419047619047621</v>
      </c>
      <c r="U49" s="11">
        <f t="shared" ca="1" si="2"/>
        <v>18.694141608591131</v>
      </c>
      <c r="V49" s="11">
        <f>EarningsPerDay[[#This Row],[Gross Earnings]]/EarningsPerDay[[#This Row],[Deliveries]]</f>
        <v>8.9418181818181832</v>
      </c>
      <c r="W49" s="11">
        <f>EarningsPerDay[[#This Row],[Gross Earnings]]/EarningsPerDay[[#This Row],[Miles]]</f>
        <v>1.1051685393258428</v>
      </c>
      <c r="X49" s="71">
        <f>EarningsPerDay[[#This Row],[Deliveries]]/EarningsPerDay[[#This Row],[Hours]]</f>
        <v>2.6190476190476191</v>
      </c>
      <c r="Y49" s="71">
        <f>EarningsPerDay[[#This Row],[Miles]]/EarningsPerDay[[#This Row],[Deliveries]]</f>
        <v>8.0909090909090917</v>
      </c>
      <c r="Z49" s="81">
        <f>(EarningsPerDay[[#This Row],[Hours]]/EarningsPerDay[[#This Row],[Deliveries]])/24</f>
        <v>1.5909090909090911E-2</v>
      </c>
      <c r="AA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2.9806811125273747</v>
      </c>
      <c r="AB49" s="11">
        <f>AVERAGEIFS(EarningsPerDay[Gross $/Hour],EarningsPerDay[Week '#], EarningsPerDay[[#This Row],[Week '#]], EarningsPerDay[DOW], EarningsPerDay[[#This Row],[DOW]])</f>
        <v>22.182309988289532</v>
      </c>
      <c r="AC49" s="11">
        <f>EarningsPerDay[[#This Row],[Gross $/Hour]] - EarningsPerDay[[#This Row],[Weekly Average Earnings]]</f>
        <v>1.2367376307580891</v>
      </c>
      <c r="AD49" s="11">
        <f>(SUMIFS(EarningsPerDay[Gross Earnings], EarningsPerDay[Date],"&gt;="&amp;EarningsPerDay[[#This Row],[Date]]-89, EarningsPerDay[Date], "&lt;="&amp;EarningsPerDay[[#This Row],[Date]]))/90</f>
        <v>28.816444444444446</v>
      </c>
      <c r="AE49" s="11"/>
      <c r="AH49" s="11"/>
      <c r="AI49" s="11"/>
    </row>
    <row r="50" spans="1:35" x14ac:dyDescent="0.35">
      <c r="A50" s="55"/>
      <c r="B50" s="40">
        <v>44350</v>
      </c>
      <c r="C50" s="40">
        <f t="shared" si="19"/>
        <v>44350</v>
      </c>
      <c r="D50" s="4">
        <f>IF(EarningsPerDay[[#This Row],[Week '#]]&gt;=52,YEAR(EarningsPerDay[[#This Row],[Date]])-1,YEAR(EarningsPerDay[[#This Row],[Date]]))</f>
        <v>2021</v>
      </c>
      <c r="E50" s="4" t="str">
        <f>"QTR"&amp;IF(EarningsPerDay[[#This Row],[Week '#]] &lt;= 13, 1, IF(EarningsPerDay[[#This Row],[Week '#]] &lt;= 26, 2, IF(EarningsPerDay[[#This Row],[Week '#]] &lt;= 39, 3, 4)))</f>
        <v>QTR2</v>
      </c>
      <c r="F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0" s="4">
        <f>IF(WEEKNUM(EarningsPerDay[[#This Row],[Date]], 2) = 53, 1, WEEKNUM(EarningsPerDay[[#This Row],[Date]],2))</f>
        <v>23</v>
      </c>
      <c r="H50" s="40" t="str">
        <f t="shared" si="20"/>
        <v>Thursday</v>
      </c>
      <c r="I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" s="40" t="str" cm="1">
        <f t="array" ref="J50">IFERROR(VLOOKUP(MODE(IF(Combined[Date]=EarningsPerDay[[#This Row],[Date]],Combined[Area '#])),KPIs!$B$4:$C$7,2,FALSE),VLOOKUP(EarningsPerDay[[#This Row],[Date]],Combined[[Date]:[Primary Area]],8,FALSE))</f>
        <v>Lewiston</v>
      </c>
      <c r="K50" s="40" t="str">
        <f>_xlfn.XLOOKUP(EarningsPerDay[[#This Row],[Date]],Mileage[Date],Mileage[Weather])</f>
        <v>Rain</v>
      </c>
      <c r="L50" s="4">
        <f>_xlfn.XLOOKUP(EarningsPerDay[[#This Row],[Date]],Mileage[Date],Mileage[Hi Temp])</f>
        <v>77</v>
      </c>
      <c r="M50" s="12">
        <f>_xlfn.XLOOKUP(EarningsPerDay[[#This Row],[Date]],Mileage[Date],Mileage[Total Time])</f>
        <v>2.8</v>
      </c>
      <c r="N50" s="4">
        <f>_xlfn.XLOOKUP(EarningsPerDay[[#This Row],[Date]],Mileage[Date],Mileage[Mileage])</f>
        <v>42</v>
      </c>
      <c r="O50" s="4">
        <f>SUMIF(Combined[Date],EarningsPerDay[[#This Row],[Date]],Combined[Trips])</f>
        <v>6</v>
      </c>
      <c r="P50">
        <f>COUNTIF(Combined[Date],EarningsPerDay[[#This Row],[Date]])</f>
        <v>2</v>
      </c>
      <c r="Q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" s="11">
        <f>SUMIF(Combined[Date],EarningsPerDay[[#This Row],[Date]],Combined[Earnings])</f>
        <v>56</v>
      </c>
      <c r="S50" s="11">
        <f ca="1">EarningsPerDay[[#This Row],[Gross Earnings]]-(EarningsPerDay[[#This Row],[Miles]]*CpM!$D$11)</f>
        <v>46.635130109612078</v>
      </c>
      <c r="T50" s="11">
        <f t="shared" si="1"/>
        <v>20</v>
      </c>
      <c r="U50" s="11">
        <f t="shared" ca="1" si="2"/>
        <v>16.655403610575743</v>
      </c>
      <c r="V50" s="11">
        <f>EarningsPerDay[[#This Row],[Gross Earnings]]/EarningsPerDay[[#This Row],[Deliveries]]</f>
        <v>9.3333333333333339</v>
      </c>
      <c r="W50" s="11">
        <f>EarningsPerDay[[#This Row],[Gross Earnings]]/EarningsPerDay[[#This Row],[Miles]]</f>
        <v>1.3333333333333333</v>
      </c>
      <c r="X50" s="71">
        <f>EarningsPerDay[[#This Row],[Deliveries]]/EarningsPerDay[[#This Row],[Hours]]</f>
        <v>2.1428571428571428</v>
      </c>
      <c r="Y50" s="71">
        <f>EarningsPerDay[[#This Row],[Miles]]/EarningsPerDay[[#This Row],[Deliveries]]</f>
        <v>7</v>
      </c>
      <c r="Z50" s="81">
        <f>(EarningsPerDay[[#This Row],[Hours]]/EarningsPerDay[[#This Row],[Deliveries]])/24</f>
        <v>1.9444444444444441E-2</v>
      </c>
      <c r="AA5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0" s="11">
        <f>AVERAGEIFS(EarningsPerDay[Gross $/Hour],EarningsPerDay[Week '#], EarningsPerDay[[#This Row],[Week '#]], EarningsPerDay[DOW], EarningsPerDay[[#This Row],[DOW]])</f>
        <v>27.094757647407121</v>
      </c>
      <c r="AC50" s="11">
        <f>EarningsPerDay[[#This Row],[Gross $/Hour]] - EarningsPerDay[[#This Row],[Weekly Average Earnings]]</f>
        <v>-7.0947576474071212</v>
      </c>
      <c r="AD50" s="11">
        <f>(SUMIFS(EarningsPerDay[Gross Earnings], EarningsPerDay[Date],"&gt;="&amp;EarningsPerDay[[#This Row],[Date]]-89, EarningsPerDay[Date], "&lt;="&amp;EarningsPerDay[[#This Row],[Date]]))/90</f>
        <v>27.853333333333335</v>
      </c>
      <c r="AE50" s="11"/>
      <c r="AH50" s="11"/>
      <c r="AI50" s="11"/>
    </row>
    <row r="51" spans="1:35" x14ac:dyDescent="0.35">
      <c r="A51" s="55"/>
      <c r="B51" s="40">
        <v>44351</v>
      </c>
      <c r="C51" s="40">
        <f t="shared" si="19"/>
        <v>44351</v>
      </c>
      <c r="D51" s="4">
        <f>IF(EarningsPerDay[[#This Row],[Week '#]]&gt;=52,YEAR(EarningsPerDay[[#This Row],[Date]])-1,YEAR(EarningsPerDay[[#This Row],[Date]]))</f>
        <v>2021</v>
      </c>
      <c r="E51" s="4" t="str">
        <f>"QTR"&amp;IF(EarningsPerDay[[#This Row],[Week '#]] &lt;= 13, 1, IF(EarningsPerDay[[#This Row],[Week '#]] &lt;= 26, 2, IF(EarningsPerDay[[#This Row],[Week '#]] &lt;= 39, 3, 4)))</f>
        <v>QTR2</v>
      </c>
      <c r="F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1" s="4">
        <f>IF(WEEKNUM(EarningsPerDay[[#This Row],[Date]], 2) = 53, 1, WEEKNUM(EarningsPerDay[[#This Row],[Date]],2))</f>
        <v>23</v>
      </c>
      <c r="H51" s="40" t="str">
        <f t="shared" si="20"/>
        <v>Friday</v>
      </c>
      <c r="I5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1" s="40" t="str" cm="1">
        <f t="array" ref="J51">IFERROR(VLOOKUP(MODE(IF(Combined[Date]=EarningsPerDay[[#This Row],[Date]],Combined[Area '#])),KPIs!$B$4:$C$7,2,FALSE),VLOOKUP(EarningsPerDay[[#This Row],[Date]],Combined[[Date]:[Primary Area]],8,FALSE))</f>
        <v>Lewiston</v>
      </c>
      <c r="K51" s="40" t="str">
        <f>_xlfn.XLOOKUP(EarningsPerDay[[#This Row],[Date]],Mileage[Date],Mileage[Weather])</f>
        <v>Clear</v>
      </c>
      <c r="L51" s="4">
        <f>_xlfn.XLOOKUP(EarningsPerDay[[#This Row],[Date]],Mileage[Date],Mileage[Hi Temp])</f>
        <v>85</v>
      </c>
      <c r="M51" s="12">
        <f>_xlfn.XLOOKUP(EarningsPerDay[[#This Row],[Date]],Mileage[Date],Mileage[Total Time])</f>
        <v>3</v>
      </c>
      <c r="N51" s="4">
        <f>_xlfn.XLOOKUP(EarningsPerDay[[#This Row],[Date]],Mileage[Date],Mileage[Mileage])</f>
        <v>52</v>
      </c>
      <c r="O51" s="4">
        <f>SUMIF(Combined[Date],EarningsPerDay[[#This Row],[Date]],Combined[Trips])</f>
        <v>8</v>
      </c>
      <c r="P51">
        <f>COUNTIF(Combined[Date],EarningsPerDay[[#This Row],[Date]])</f>
        <v>2</v>
      </c>
      <c r="Q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" s="11">
        <f>SUMIF(Combined[Date],EarningsPerDay[[#This Row],[Date]],Combined[Earnings])</f>
        <v>77.39</v>
      </c>
      <c r="S51" s="11">
        <f ca="1">EarningsPerDay[[#This Row],[Gross Earnings]]-(EarningsPerDay[[#This Row],[Miles]]*CpM!$D$11)</f>
        <v>65.795399183329238</v>
      </c>
      <c r="T51" s="11">
        <f t="shared" si="1"/>
        <v>25.796666666666667</v>
      </c>
      <c r="U51" s="11">
        <f t="shared" ca="1" si="2"/>
        <v>21.931799727776411</v>
      </c>
      <c r="V51" s="11">
        <f>EarningsPerDay[[#This Row],[Gross Earnings]]/EarningsPerDay[[#This Row],[Deliveries]]</f>
        <v>9.6737500000000001</v>
      </c>
      <c r="W51" s="11">
        <f>EarningsPerDay[[#This Row],[Gross Earnings]]/EarningsPerDay[[#This Row],[Miles]]</f>
        <v>1.4882692307692307</v>
      </c>
      <c r="X51" s="71">
        <f>EarningsPerDay[[#This Row],[Deliveries]]/EarningsPerDay[[#This Row],[Hours]]</f>
        <v>2.6666666666666665</v>
      </c>
      <c r="Y51" s="71">
        <f>EarningsPerDay[[#This Row],[Miles]]/EarningsPerDay[[#This Row],[Deliveries]]</f>
        <v>6.5</v>
      </c>
      <c r="Z51" s="81">
        <f>(EarningsPerDay[[#This Row],[Hours]]/EarningsPerDay[[#This Row],[Deliveries]])/24</f>
        <v>1.5625E-2</v>
      </c>
      <c r="AA5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1" s="11">
        <f>AVERAGEIFS(EarningsPerDay[Gross $/Hour],EarningsPerDay[Week '#], EarningsPerDay[[#This Row],[Week '#]], EarningsPerDay[DOW], EarningsPerDay[[#This Row],[DOW]])</f>
        <v>20.101809097414456</v>
      </c>
      <c r="AC51" s="11">
        <f>EarningsPerDay[[#This Row],[Gross $/Hour]] - EarningsPerDay[[#This Row],[Weekly Average Earnings]]</f>
        <v>5.6948575692522105</v>
      </c>
      <c r="AD51" s="11">
        <f>(SUMIFS(EarningsPerDay[Gross Earnings], EarningsPerDay[Date],"&gt;="&amp;EarningsPerDay[[#This Row],[Date]]-89, EarningsPerDay[Date], "&lt;="&amp;EarningsPerDay[[#This Row],[Date]]))/90</f>
        <v>28.368222222222222</v>
      </c>
      <c r="AE51" s="11"/>
      <c r="AH51" s="11"/>
      <c r="AI51" s="11"/>
    </row>
    <row r="52" spans="1:35" x14ac:dyDescent="0.35">
      <c r="A52" s="55"/>
      <c r="B52" s="40">
        <v>44354</v>
      </c>
      <c r="C52" s="40">
        <f t="shared" si="19"/>
        <v>44354</v>
      </c>
      <c r="D52" s="4">
        <f>IF(EarningsPerDay[[#This Row],[Week '#]]&gt;=52,YEAR(EarningsPerDay[[#This Row],[Date]])-1,YEAR(EarningsPerDay[[#This Row],[Date]]))</f>
        <v>2021</v>
      </c>
      <c r="E52" s="4" t="str">
        <f>"QTR"&amp;IF(EarningsPerDay[[#This Row],[Week '#]] &lt;= 13, 1, IF(EarningsPerDay[[#This Row],[Week '#]] &lt;= 26, 2, IF(EarningsPerDay[[#This Row],[Week '#]] &lt;= 39, 3, 4)))</f>
        <v>QTR2</v>
      </c>
      <c r="F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" s="4">
        <f>IF(WEEKNUM(EarningsPerDay[[#This Row],[Date]], 2) = 53, 1, WEEKNUM(EarningsPerDay[[#This Row],[Date]],2))</f>
        <v>24</v>
      </c>
      <c r="H52" s="40" t="str">
        <f t="shared" si="20"/>
        <v>Monday</v>
      </c>
      <c r="I5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2" s="40" t="str" cm="1">
        <f t="array" ref="J52">IFERROR(VLOOKUP(MODE(IF(Combined[Date]=EarningsPerDay[[#This Row],[Date]],Combined[Area '#])),KPIs!$B$4:$C$7,2,FALSE),VLOOKUP(EarningsPerDay[[#This Row],[Date]],Combined[[Date]:[Primary Area]],8,FALSE))</f>
        <v>Lewiston</v>
      </c>
      <c r="K52" s="40" t="str">
        <f>_xlfn.XLOOKUP(EarningsPerDay[[#This Row],[Date]],Mileage[Date],Mileage[Weather])</f>
        <v>Clear</v>
      </c>
      <c r="L52" s="4">
        <f>_xlfn.XLOOKUP(EarningsPerDay[[#This Row],[Date]],Mileage[Date],Mileage[Hi Temp])</f>
        <v>90.1</v>
      </c>
      <c r="M52" s="12">
        <f>_xlfn.XLOOKUP(EarningsPerDay[[#This Row],[Date]],Mileage[Date],Mileage[Total Time])</f>
        <v>2.5</v>
      </c>
      <c r="N52" s="4">
        <f>_xlfn.XLOOKUP(EarningsPerDay[[#This Row],[Date]],Mileage[Date],Mileage[Mileage])</f>
        <v>45</v>
      </c>
      <c r="O52" s="4">
        <f>SUMIF(Combined[Date],EarningsPerDay[[#This Row],[Date]],Combined[Trips])</f>
        <v>5</v>
      </c>
      <c r="P52">
        <f>COUNTIF(Combined[Date],EarningsPerDay[[#This Row],[Date]])</f>
        <v>2</v>
      </c>
      <c r="Q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" s="11">
        <f>SUMIF(Combined[Date],EarningsPerDay[[#This Row],[Date]],Combined[Earnings])</f>
        <v>24.75</v>
      </c>
      <c r="S52" s="11">
        <f ca="1">EarningsPerDay[[#This Row],[Gross Earnings]]-(EarningsPerDay[[#This Row],[Miles]]*CpM!$D$11)</f>
        <v>14.716210831727228</v>
      </c>
      <c r="T52" s="11">
        <f t="shared" si="1"/>
        <v>9.9</v>
      </c>
      <c r="U52" s="11">
        <f t="shared" ca="1" si="2"/>
        <v>5.8864843326908911</v>
      </c>
      <c r="V52" s="11">
        <f>EarningsPerDay[[#This Row],[Gross Earnings]]/EarningsPerDay[[#This Row],[Deliveries]]</f>
        <v>4.95</v>
      </c>
      <c r="W52" s="11">
        <f>EarningsPerDay[[#This Row],[Gross Earnings]]/EarningsPerDay[[#This Row],[Miles]]</f>
        <v>0.55000000000000004</v>
      </c>
      <c r="X52" s="71">
        <f>EarningsPerDay[[#This Row],[Deliveries]]/EarningsPerDay[[#This Row],[Hours]]</f>
        <v>2</v>
      </c>
      <c r="Y52" s="71">
        <f>EarningsPerDay[[#This Row],[Miles]]/EarningsPerDay[[#This Row],[Deliveries]]</f>
        <v>9</v>
      </c>
      <c r="Z52" s="81">
        <f>(EarningsPerDay[[#This Row],[Hours]]/EarningsPerDay[[#This Row],[Deliveries]])/24</f>
        <v>2.0833333333333332E-2</v>
      </c>
      <c r="AA5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2" s="11">
        <f>AVERAGEIFS(EarningsPerDay[Gross $/Hour],EarningsPerDay[Week '#], EarningsPerDay[[#This Row],[Week '#]], EarningsPerDay[DOW], EarningsPerDay[[#This Row],[DOW]])</f>
        <v>18.7884790163058</v>
      </c>
      <c r="AC52" s="11">
        <f>EarningsPerDay[[#This Row],[Gross $/Hour]] - EarningsPerDay[[#This Row],[Weekly Average Earnings]]</f>
        <v>-8.8884790163057996</v>
      </c>
      <c r="AD52" s="11">
        <f>(SUMIFS(EarningsPerDay[Gross Earnings], EarningsPerDay[Date],"&gt;="&amp;EarningsPerDay[[#This Row],[Date]]-89, EarningsPerDay[Date], "&lt;="&amp;EarningsPerDay[[#This Row],[Date]]))/90</f>
        <v>27.860888888888891</v>
      </c>
      <c r="AE52" s="11"/>
      <c r="AH52" s="11"/>
      <c r="AI52" s="11"/>
    </row>
    <row r="53" spans="1:35" x14ac:dyDescent="0.35">
      <c r="A53" s="55"/>
      <c r="B53" s="40">
        <v>44359</v>
      </c>
      <c r="C53" s="40">
        <f t="shared" si="19"/>
        <v>44359</v>
      </c>
      <c r="D53" s="4">
        <f>IF(EarningsPerDay[[#This Row],[Week '#]]&gt;=52,YEAR(EarningsPerDay[[#This Row],[Date]])-1,YEAR(EarningsPerDay[[#This Row],[Date]]))</f>
        <v>2021</v>
      </c>
      <c r="E53" s="4" t="str">
        <f>"QTR"&amp;IF(EarningsPerDay[[#This Row],[Week '#]] &lt;= 13, 1, IF(EarningsPerDay[[#This Row],[Week '#]] &lt;= 26, 2, IF(EarningsPerDay[[#This Row],[Week '#]] &lt;= 39, 3, 4)))</f>
        <v>QTR2</v>
      </c>
      <c r="F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3" s="4">
        <f>IF(WEEKNUM(EarningsPerDay[[#This Row],[Date]], 2) = 53, 1, WEEKNUM(EarningsPerDay[[#This Row],[Date]],2))</f>
        <v>24</v>
      </c>
      <c r="H53" s="40" t="str">
        <f t="shared" si="20"/>
        <v>Saturday</v>
      </c>
      <c r="I53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53" s="40" t="str" cm="1">
        <f t="array" ref="J53">IFERROR(VLOOKUP(MODE(IF(Combined[Date]=EarningsPerDay[[#This Row],[Date]],Combined[Area '#])),KPIs!$B$4:$C$7,2,FALSE),VLOOKUP(EarningsPerDay[[#This Row],[Date]],Combined[[Date]:[Primary Area]],8,FALSE))</f>
        <v>Portland</v>
      </c>
      <c r="K53" s="40" t="str">
        <f>_xlfn.XLOOKUP(EarningsPerDay[[#This Row],[Date]],Mileage[Date],Mileage[Weather])</f>
        <v>Clear</v>
      </c>
      <c r="L53" s="4">
        <f>_xlfn.XLOOKUP(EarningsPerDay[[#This Row],[Date]],Mileage[Date],Mileage[Hi Temp])</f>
        <v>80.099999999999994</v>
      </c>
      <c r="M53" s="12">
        <f>_xlfn.XLOOKUP(EarningsPerDay[[#This Row],[Date]],Mileage[Date],Mileage[Total Time])</f>
        <v>1.8</v>
      </c>
      <c r="N53" s="4">
        <f>_xlfn.XLOOKUP(EarningsPerDay[[#This Row],[Date]],Mileage[Date],Mileage[Mileage])</f>
        <v>31</v>
      </c>
      <c r="O53" s="4">
        <f>SUMIF(Combined[Date],EarningsPerDay[[#This Row],[Date]],Combined[Trips])</f>
        <v>2</v>
      </c>
      <c r="P53">
        <f>COUNTIF(Combined[Date],EarningsPerDay[[#This Row],[Date]])</f>
        <v>1</v>
      </c>
      <c r="Q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" s="11">
        <f>SUMIF(Combined[Date],EarningsPerDay[[#This Row],[Date]],Combined[Earnings])</f>
        <v>26.34</v>
      </c>
      <c r="S53" s="11">
        <f ca="1">EarningsPerDay[[#This Row],[Gross Earnings]]-(EarningsPerDay[[#This Row],[Miles]]*CpM!$D$11)</f>
        <v>19.427834128523202</v>
      </c>
      <c r="T53" s="11">
        <f t="shared" si="1"/>
        <v>14.633333333333333</v>
      </c>
      <c r="U53" s="11">
        <f t="shared" ca="1" si="2"/>
        <v>10.79324118251289</v>
      </c>
      <c r="V53" s="11">
        <f>EarningsPerDay[[#This Row],[Gross Earnings]]/EarningsPerDay[[#This Row],[Deliveries]]</f>
        <v>13.17</v>
      </c>
      <c r="W53" s="11">
        <f>EarningsPerDay[[#This Row],[Gross Earnings]]/EarningsPerDay[[#This Row],[Miles]]</f>
        <v>0.84967741935483876</v>
      </c>
      <c r="X53" s="71">
        <f>EarningsPerDay[[#This Row],[Deliveries]]/EarningsPerDay[[#This Row],[Hours]]</f>
        <v>1.1111111111111112</v>
      </c>
      <c r="Y53" s="71">
        <f>EarningsPerDay[[#This Row],[Miles]]/EarningsPerDay[[#This Row],[Deliveries]]</f>
        <v>15.5</v>
      </c>
      <c r="Z53" s="81">
        <f>(EarningsPerDay[[#This Row],[Hours]]/EarningsPerDay[[#This Row],[Deliveries]])/24</f>
        <v>3.7499999999999999E-2</v>
      </c>
      <c r="AA5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3" s="11">
        <f>AVERAGEIFS(EarningsPerDay[Gross $/Hour],EarningsPerDay[Week '#], EarningsPerDay[[#This Row],[Week '#]], EarningsPerDay[DOW], EarningsPerDay[[#This Row],[DOW]])</f>
        <v>22.337827564977648</v>
      </c>
      <c r="AC53" s="11">
        <f>EarningsPerDay[[#This Row],[Gross $/Hour]] - EarningsPerDay[[#This Row],[Weekly Average Earnings]]</f>
        <v>-7.7044942316443148</v>
      </c>
      <c r="AD53" s="11">
        <f>(SUMIFS(EarningsPerDay[Gross Earnings], EarningsPerDay[Date],"&gt;="&amp;EarningsPerDay[[#This Row],[Date]]-89, EarningsPerDay[Date], "&lt;="&amp;EarningsPerDay[[#This Row],[Date]]))/90</f>
        <v>27.237111111111112</v>
      </c>
      <c r="AE53" s="11"/>
      <c r="AH53" s="11"/>
      <c r="AI53" s="11"/>
    </row>
    <row r="54" spans="1:35" x14ac:dyDescent="0.35">
      <c r="A54" s="55"/>
      <c r="B54" s="40">
        <v>44361</v>
      </c>
      <c r="C54" s="40">
        <f t="shared" si="19"/>
        <v>44361</v>
      </c>
      <c r="D54" s="4">
        <f>IF(EarningsPerDay[[#This Row],[Week '#]]&gt;=52,YEAR(EarningsPerDay[[#This Row],[Date]])-1,YEAR(EarningsPerDay[[#This Row],[Date]]))</f>
        <v>2021</v>
      </c>
      <c r="E54" s="4" t="str">
        <f>"QTR"&amp;IF(EarningsPerDay[[#This Row],[Week '#]] &lt;= 13, 1, IF(EarningsPerDay[[#This Row],[Week '#]] &lt;= 26, 2, IF(EarningsPerDay[[#This Row],[Week '#]] &lt;= 39, 3, 4)))</f>
        <v>QTR2</v>
      </c>
      <c r="F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4" s="4">
        <f>IF(WEEKNUM(EarningsPerDay[[#This Row],[Date]], 2) = 53, 1, WEEKNUM(EarningsPerDay[[#This Row],[Date]],2))</f>
        <v>25</v>
      </c>
      <c r="H54" s="40" t="str">
        <f t="shared" si="20"/>
        <v>Monday</v>
      </c>
      <c r="I54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54" s="40" t="str" cm="1">
        <f t="array" ref="J54">IFERROR(VLOOKUP(MODE(IF(Combined[Date]=EarningsPerDay[[#This Row],[Date]],Combined[Area '#])),KPIs!$B$4:$C$7,2,FALSE),VLOOKUP(EarningsPerDay[[#This Row],[Date]],Combined[[Date]:[Primary Area]],8,FALSE))</f>
        <v>Brunswick/Bath/Freeport</v>
      </c>
      <c r="K54" s="40" t="str">
        <f>_xlfn.XLOOKUP(EarningsPerDay[[#This Row],[Date]],Mileage[Date],Mileage[Weather])</f>
        <v>Rain</v>
      </c>
      <c r="L54" s="4">
        <f>_xlfn.XLOOKUP(EarningsPerDay[[#This Row],[Date]],Mileage[Date],Mileage[Hi Temp])</f>
        <v>67.2</v>
      </c>
      <c r="M54" s="12">
        <f>_xlfn.XLOOKUP(EarningsPerDay[[#This Row],[Date]],Mileage[Date],Mileage[Total Time])</f>
        <v>2.7</v>
      </c>
      <c r="N54" s="4">
        <f>_xlfn.XLOOKUP(EarningsPerDay[[#This Row],[Date]],Mileage[Date],Mileage[Mileage])</f>
        <v>57</v>
      </c>
      <c r="O54" s="4">
        <f>SUMIF(Combined[Date],EarningsPerDay[[#This Row],[Date]],Combined[Trips])</f>
        <v>4</v>
      </c>
      <c r="P54">
        <f>COUNTIF(Combined[Date],EarningsPerDay[[#This Row],[Date]])</f>
        <v>2</v>
      </c>
      <c r="Q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" s="11">
        <f>SUMIF(Combined[Date],EarningsPerDay[[#This Row],[Date]],Combined[Earnings])</f>
        <v>35.75</v>
      </c>
      <c r="S54" s="11">
        <f ca="1">EarningsPerDay[[#This Row],[Gross Earnings]]-(EarningsPerDay[[#This Row],[Miles]]*CpM!$D$11)</f>
        <v>23.040533720187824</v>
      </c>
      <c r="T54" s="11">
        <f t="shared" si="1"/>
        <v>13.24074074074074</v>
      </c>
      <c r="U54" s="11">
        <f t="shared" ca="1" si="2"/>
        <v>8.5335310074769719</v>
      </c>
      <c r="V54" s="11">
        <f>EarningsPerDay[[#This Row],[Gross Earnings]]/EarningsPerDay[[#This Row],[Deliveries]]</f>
        <v>8.9375</v>
      </c>
      <c r="W54" s="11">
        <f>EarningsPerDay[[#This Row],[Gross Earnings]]/EarningsPerDay[[#This Row],[Miles]]</f>
        <v>0.6271929824561403</v>
      </c>
      <c r="X54" s="71">
        <f>EarningsPerDay[[#This Row],[Deliveries]]/EarningsPerDay[[#This Row],[Hours]]</f>
        <v>1.4814814814814814</v>
      </c>
      <c r="Y54" s="71">
        <f>EarningsPerDay[[#This Row],[Miles]]/EarningsPerDay[[#This Row],[Deliveries]]</f>
        <v>14.25</v>
      </c>
      <c r="Z54" s="81">
        <f>(EarningsPerDay[[#This Row],[Hours]]/EarningsPerDay[[#This Row],[Deliveries]])/24</f>
        <v>2.8125000000000001E-2</v>
      </c>
      <c r="AA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-8.1911861366219618</v>
      </c>
      <c r="AB54" s="11">
        <f>AVERAGEIFS(EarningsPerDay[Gross $/Hour],EarningsPerDay[Week '#], EarningsPerDay[[#This Row],[Week '#]], EarningsPerDay[DOW], EarningsPerDay[[#This Row],[DOW]])</f>
        <v>19.273030658110066</v>
      </c>
      <c r="AC54" s="11">
        <f>EarningsPerDay[[#This Row],[Gross $/Hour]] - EarningsPerDay[[#This Row],[Weekly Average Earnings]]</f>
        <v>-6.0322899173693258</v>
      </c>
      <c r="AD54" s="11">
        <f>(SUMIFS(EarningsPerDay[Gross Earnings], EarningsPerDay[Date],"&gt;="&amp;EarningsPerDay[[#This Row],[Date]]-89, EarningsPerDay[Date], "&lt;="&amp;EarningsPerDay[[#This Row],[Date]]))/90</f>
        <v>26.723222222222223</v>
      </c>
      <c r="AE54" s="11"/>
      <c r="AH54" s="11"/>
      <c r="AI54" s="11"/>
    </row>
    <row r="55" spans="1:35" x14ac:dyDescent="0.35">
      <c r="A55" s="55"/>
      <c r="B55" s="40">
        <v>44366</v>
      </c>
      <c r="C55" s="40">
        <f t="shared" si="19"/>
        <v>44366</v>
      </c>
      <c r="D55" s="4">
        <f>IF(EarningsPerDay[[#This Row],[Week '#]]&gt;=52,YEAR(EarningsPerDay[[#This Row],[Date]])-1,YEAR(EarningsPerDay[[#This Row],[Date]]))</f>
        <v>2021</v>
      </c>
      <c r="E55" s="4" t="str">
        <f>"QTR"&amp;IF(EarningsPerDay[[#This Row],[Week '#]] &lt;= 13, 1, IF(EarningsPerDay[[#This Row],[Week '#]] &lt;= 26, 2, IF(EarningsPerDay[[#This Row],[Week '#]] &lt;= 39, 3, 4)))</f>
        <v>QTR2</v>
      </c>
      <c r="F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5" s="4">
        <f>IF(WEEKNUM(EarningsPerDay[[#This Row],[Date]], 2) = 53, 1, WEEKNUM(EarningsPerDay[[#This Row],[Date]],2))</f>
        <v>25</v>
      </c>
      <c r="H55" s="40" t="str">
        <f t="shared" si="20"/>
        <v>Saturday</v>
      </c>
      <c r="I55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55" s="40" t="str" cm="1">
        <f t="array" ref="J55">IFERROR(VLOOKUP(MODE(IF(Combined[Date]=EarningsPerDay[[#This Row],[Date]],Combined[Area '#])),KPIs!$B$4:$C$7,2,FALSE),VLOOKUP(EarningsPerDay[[#This Row],[Date]],Combined[[Date]:[Primary Area]],8,FALSE))</f>
        <v>Portland</v>
      </c>
      <c r="K55" s="40" t="str">
        <f>_xlfn.XLOOKUP(EarningsPerDay[[#This Row],[Date]],Mileage[Date],Mileage[Weather])</f>
        <v>Partially Cloudy</v>
      </c>
      <c r="L55" s="4">
        <f>_xlfn.XLOOKUP(EarningsPerDay[[#This Row],[Date]],Mileage[Date],Mileage[Hi Temp])</f>
        <v>83</v>
      </c>
      <c r="M55" s="12">
        <f>_xlfn.XLOOKUP(EarningsPerDay[[#This Row],[Date]],Mileage[Date],Mileage[Total Time])</f>
        <v>7</v>
      </c>
      <c r="N55" s="4">
        <f>_xlfn.XLOOKUP(EarningsPerDay[[#This Row],[Date]],Mileage[Date],Mileage[Mileage])</f>
        <v>171</v>
      </c>
      <c r="O55" s="4">
        <f>SUMIF(Combined[Date],EarningsPerDay[[#This Row],[Date]],Combined[Trips])</f>
        <v>15</v>
      </c>
      <c r="P55">
        <f>COUNTIF(Combined[Date],EarningsPerDay[[#This Row],[Date]])</f>
        <v>2</v>
      </c>
      <c r="Q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" s="11">
        <f>SUMIF(Combined[Date],EarningsPerDay[[#This Row],[Date]],Combined[Earnings])</f>
        <v>142.98000000000002</v>
      </c>
      <c r="S55" s="11">
        <f ca="1">EarningsPerDay[[#This Row],[Gross Earnings]]-(EarningsPerDay[[#This Row],[Miles]]*CpM!$D$11)</f>
        <v>104.85160116056349</v>
      </c>
      <c r="T55" s="11">
        <f t="shared" si="1"/>
        <v>20.425714285714289</v>
      </c>
      <c r="U55" s="11">
        <f t="shared" ca="1" si="2"/>
        <v>14.978800165794784</v>
      </c>
      <c r="V55" s="11">
        <f>EarningsPerDay[[#This Row],[Gross Earnings]]/EarningsPerDay[[#This Row],[Deliveries]]</f>
        <v>9.5320000000000018</v>
      </c>
      <c r="W55" s="11">
        <f>EarningsPerDay[[#This Row],[Gross Earnings]]/EarningsPerDay[[#This Row],[Miles]]</f>
        <v>0.83614035087719307</v>
      </c>
      <c r="X55" s="71">
        <f>EarningsPerDay[[#This Row],[Deliveries]]/EarningsPerDay[[#This Row],[Hours]]</f>
        <v>2.1428571428571428</v>
      </c>
      <c r="Y55" s="71">
        <f>EarningsPerDay[[#This Row],[Miles]]/EarningsPerDay[[#This Row],[Deliveries]]</f>
        <v>11.4</v>
      </c>
      <c r="Z55" s="81">
        <f>(EarningsPerDay[[#This Row],[Hours]]/EarningsPerDay[[#This Row],[Deliveries]])/24</f>
        <v>1.9444444444444445E-2</v>
      </c>
      <c r="AA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5.792380952380956</v>
      </c>
      <c r="AB55" s="11">
        <f>AVERAGEIFS(EarningsPerDay[Gross $/Hour],EarningsPerDay[Week '#], EarningsPerDay[[#This Row],[Week '#]], EarningsPerDay[DOW], EarningsPerDay[[#This Row],[DOW]])</f>
        <v>22.879063937501609</v>
      </c>
      <c r="AC55" s="11">
        <f>EarningsPerDay[[#This Row],[Gross $/Hour]] - EarningsPerDay[[#This Row],[Weekly Average Earnings]]</f>
        <v>-2.4533496517873203</v>
      </c>
      <c r="AD55" s="11">
        <f>(SUMIFS(EarningsPerDay[Gross Earnings], EarningsPerDay[Date],"&gt;="&amp;EarningsPerDay[[#This Row],[Date]]-89, EarningsPerDay[Date], "&lt;="&amp;EarningsPerDay[[#This Row],[Date]]))/90</f>
        <v>26.015777777777775</v>
      </c>
      <c r="AE55" s="11"/>
      <c r="AH55" s="11"/>
      <c r="AI55" s="11"/>
    </row>
    <row r="56" spans="1:35" x14ac:dyDescent="0.35">
      <c r="A56" s="55"/>
      <c r="B56" s="40">
        <v>44367</v>
      </c>
      <c r="C56" s="40">
        <f t="shared" si="19"/>
        <v>44367</v>
      </c>
      <c r="D56" s="4">
        <f>IF(EarningsPerDay[[#This Row],[Week '#]]&gt;=52,YEAR(EarningsPerDay[[#This Row],[Date]])-1,YEAR(EarningsPerDay[[#This Row],[Date]]))</f>
        <v>2021</v>
      </c>
      <c r="E56" s="4" t="str">
        <f>"QTR"&amp;IF(EarningsPerDay[[#This Row],[Week '#]] &lt;= 13, 1, IF(EarningsPerDay[[#This Row],[Week '#]] &lt;= 26, 2, IF(EarningsPerDay[[#This Row],[Week '#]] &lt;= 39, 3, 4)))</f>
        <v>QTR2</v>
      </c>
      <c r="F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6" s="4">
        <f>IF(WEEKNUM(EarningsPerDay[[#This Row],[Date]], 2) = 53, 1, WEEKNUM(EarningsPerDay[[#This Row],[Date]],2))</f>
        <v>25</v>
      </c>
      <c r="H56" s="40" t="str">
        <f t="shared" si="20"/>
        <v>Sunday</v>
      </c>
      <c r="I56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56" s="40" t="str" cm="1">
        <f t="array" ref="J56">IFERROR(VLOOKUP(MODE(IF(Combined[Date]=EarningsPerDay[[#This Row],[Date]],Combined[Area '#])),KPIs!$B$4:$C$7,2,FALSE),VLOOKUP(EarningsPerDay[[#This Row],[Date]],Combined[[Date]:[Primary Area]],8,FALSE))</f>
        <v>Portland</v>
      </c>
      <c r="K56" s="40" t="str">
        <f>_xlfn.XLOOKUP(EarningsPerDay[[#This Row],[Date]],Mileage[Date],Mileage[Weather])</f>
        <v>Partially Cloudy</v>
      </c>
      <c r="L56" s="4">
        <f>_xlfn.XLOOKUP(EarningsPerDay[[#This Row],[Date]],Mileage[Date],Mileage[Hi Temp])</f>
        <v>83.8</v>
      </c>
      <c r="M56" s="12">
        <f>_xlfn.XLOOKUP(EarningsPerDay[[#This Row],[Date]],Mileage[Date],Mileage[Total Time])</f>
        <v>2.9000000000000004</v>
      </c>
      <c r="N56" s="4">
        <f>_xlfn.XLOOKUP(EarningsPerDay[[#This Row],[Date]],Mileage[Date],Mileage[Mileage])</f>
        <v>69</v>
      </c>
      <c r="O56" s="4">
        <f>SUMIF(Combined[Date],EarningsPerDay[[#This Row],[Date]],Combined[Trips])</f>
        <v>5</v>
      </c>
      <c r="P56">
        <f>COUNTIF(Combined[Date],EarningsPerDay[[#This Row],[Date]])</f>
        <v>2</v>
      </c>
      <c r="Q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" s="11">
        <f>SUMIF(Combined[Date],EarningsPerDay[[#This Row],[Date]],Combined[Earnings])</f>
        <v>110.89</v>
      </c>
      <c r="S56" s="11">
        <f ca="1">EarningsPerDay[[#This Row],[Gross Earnings]]-(EarningsPerDay[[#This Row],[Miles]]*CpM!$D$11)</f>
        <v>95.504856608648424</v>
      </c>
      <c r="T56" s="11">
        <f t="shared" si="1"/>
        <v>38.237931034482756</v>
      </c>
      <c r="U56" s="11">
        <f t="shared" ca="1" si="2"/>
        <v>32.932709175396006</v>
      </c>
      <c r="V56" s="11">
        <f>EarningsPerDay[[#This Row],[Gross Earnings]]/EarningsPerDay[[#This Row],[Deliveries]]</f>
        <v>22.178000000000001</v>
      </c>
      <c r="W56" s="11">
        <f>EarningsPerDay[[#This Row],[Gross Earnings]]/EarningsPerDay[[#This Row],[Miles]]</f>
        <v>1.6071014492753624</v>
      </c>
      <c r="X56" s="71">
        <f>EarningsPerDay[[#This Row],[Deliveries]]/EarningsPerDay[[#This Row],[Hours]]</f>
        <v>1.7241379310344827</v>
      </c>
      <c r="Y56" s="71">
        <f>EarningsPerDay[[#This Row],[Miles]]/EarningsPerDay[[#This Row],[Deliveries]]</f>
        <v>13.8</v>
      </c>
      <c r="Z56" s="81">
        <f>(EarningsPerDay[[#This Row],[Hours]]/EarningsPerDay[[#This Row],[Deliveries]])/24</f>
        <v>2.416666666666667E-2</v>
      </c>
      <c r="AA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15.702228262077856</v>
      </c>
      <c r="AB56" s="11">
        <f>AVERAGEIFS(EarningsPerDay[Gross $/Hour],EarningsPerDay[Week '#], EarningsPerDay[[#This Row],[Week '#]], EarningsPerDay[DOW], EarningsPerDay[[#This Row],[DOW]])</f>
        <v>24.167933971299817</v>
      </c>
      <c r="AC56" s="11">
        <f>EarningsPerDay[[#This Row],[Gross $/Hour]] - EarningsPerDay[[#This Row],[Weekly Average Earnings]]</f>
        <v>14.069997063182939</v>
      </c>
      <c r="AD56" s="11">
        <f>(SUMIFS(EarningsPerDay[Gross Earnings], EarningsPerDay[Date],"&gt;="&amp;EarningsPerDay[[#This Row],[Date]]-89, EarningsPerDay[Date], "&lt;="&amp;EarningsPerDay[[#This Row],[Date]]))/90</f>
        <v>26.494</v>
      </c>
      <c r="AE56" s="11"/>
      <c r="AH56" s="11"/>
      <c r="AI56" s="11"/>
    </row>
    <row r="57" spans="1:35" x14ac:dyDescent="0.35">
      <c r="A57" s="55"/>
      <c r="B57" s="40">
        <v>44369</v>
      </c>
      <c r="C57" s="40">
        <f t="shared" si="19"/>
        <v>44369</v>
      </c>
      <c r="D57" s="4">
        <f>IF(EarningsPerDay[[#This Row],[Week '#]]&gt;=52,YEAR(EarningsPerDay[[#This Row],[Date]])-1,YEAR(EarningsPerDay[[#This Row],[Date]]))</f>
        <v>2021</v>
      </c>
      <c r="E57" s="4" t="str">
        <f>"QTR"&amp;IF(EarningsPerDay[[#This Row],[Week '#]] &lt;= 13, 1, IF(EarningsPerDay[[#This Row],[Week '#]] &lt;= 26, 2, IF(EarningsPerDay[[#This Row],[Week '#]] &lt;= 39, 3, 4)))</f>
        <v>QTR2</v>
      </c>
      <c r="F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7" s="4">
        <f>IF(WEEKNUM(EarningsPerDay[[#This Row],[Date]], 2) = 53, 1, WEEKNUM(EarningsPerDay[[#This Row],[Date]],2))</f>
        <v>26</v>
      </c>
      <c r="H57" s="40" t="str">
        <f t="shared" si="20"/>
        <v>Tuesday</v>
      </c>
      <c r="I57" s="106">
        <f>IF(_xlfn.XLOOKUP(EarningsPerDay[[#This Row],[Date]],Mileage[Date],Mileage[Start Time])="","",MROUND(_xlfn.XLOOKUP(EarningsPerDay[[#This Row],[Date]],Mileage[Date],Mileage[Start Time]),0.0208333333333333))</f>
        <v>0.8541666666666653</v>
      </c>
      <c r="J57" s="40" t="str" cm="1">
        <f t="array" ref="J57">IFERROR(VLOOKUP(MODE(IF(Combined[Date]=EarningsPerDay[[#This Row],[Date]],Combined[Area '#])),KPIs!$B$4:$C$7,2,FALSE),VLOOKUP(EarningsPerDay[[#This Row],[Date]],Combined[[Date]:[Primary Area]],8,FALSE))</f>
        <v>Brunswick/Bath/Freeport</v>
      </c>
      <c r="K57" s="40" t="str">
        <f>_xlfn.XLOOKUP(EarningsPerDay[[#This Row],[Date]],Mileage[Date],Mileage[Weather])</f>
        <v>Rain</v>
      </c>
      <c r="L57" s="4">
        <f>_xlfn.XLOOKUP(EarningsPerDay[[#This Row],[Date]],Mileage[Date],Mileage[Hi Temp])</f>
        <v>70.2</v>
      </c>
      <c r="M57" s="12">
        <f>_xlfn.XLOOKUP(EarningsPerDay[[#This Row],[Date]],Mileage[Date],Mileage[Total Time])</f>
        <v>1.8</v>
      </c>
      <c r="N57" s="4">
        <f>_xlfn.XLOOKUP(EarningsPerDay[[#This Row],[Date]],Mileage[Date],Mileage[Mileage])</f>
        <v>40</v>
      </c>
      <c r="O57" s="4">
        <f>SUMIF(Combined[Date],EarningsPerDay[[#This Row],[Date]],Combined[Trips])</f>
        <v>2</v>
      </c>
      <c r="P57">
        <f>COUNTIF(Combined[Date],EarningsPerDay[[#This Row],[Date]])</f>
        <v>2</v>
      </c>
      <c r="Q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" s="11">
        <f>SUMIF(Combined[Date],EarningsPerDay[[#This Row],[Date]],Combined[Earnings])</f>
        <v>32.910000000000004</v>
      </c>
      <c r="S57" s="11">
        <f ca="1">EarningsPerDay[[#This Row],[Gross Earnings]]-(EarningsPerDay[[#This Row],[Miles]]*CpM!$D$11)</f>
        <v>23.991076294868648</v>
      </c>
      <c r="T57" s="11">
        <f t="shared" si="1"/>
        <v>18.283333333333335</v>
      </c>
      <c r="U57" s="11">
        <f t="shared" ca="1" si="2"/>
        <v>13.32837571937147</v>
      </c>
      <c r="V57" s="11">
        <f>EarningsPerDay[[#This Row],[Gross Earnings]]/EarningsPerDay[[#This Row],[Deliveries]]</f>
        <v>16.455000000000002</v>
      </c>
      <c r="W57" s="11">
        <f>EarningsPerDay[[#This Row],[Gross Earnings]]/EarningsPerDay[[#This Row],[Miles]]</f>
        <v>0.82275000000000009</v>
      </c>
      <c r="X57" s="71">
        <f>EarningsPerDay[[#This Row],[Deliveries]]/EarningsPerDay[[#This Row],[Hours]]</f>
        <v>1.1111111111111112</v>
      </c>
      <c r="Y57" s="71">
        <f>EarningsPerDay[[#This Row],[Miles]]/EarningsPerDay[[#This Row],[Deliveries]]</f>
        <v>20</v>
      </c>
      <c r="Z57" s="81">
        <f>(EarningsPerDay[[#This Row],[Hours]]/EarningsPerDay[[#This Row],[Deliveries]])/24</f>
        <v>3.7499999999999999E-2</v>
      </c>
      <c r="AA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-0.28809523809523441</v>
      </c>
      <c r="AB57" s="11">
        <f>AVERAGEIFS(EarningsPerDay[Gross $/Hour],EarningsPerDay[Week '#], EarningsPerDay[[#This Row],[Week '#]], EarningsPerDay[DOW], EarningsPerDay[[#This Row],[DOW]])</f>
        <v>20.492635020175374</v>
      </c>
      <c r="AC57" s="11">
        <f>EarningsPerDay[[#This Row],[Gross $/Hour]] - EarningsPerDay[[#This Row],[Weekly Average Earnings]]</f>
        <v>-2.2093016868420392</v>
      </c>
      <c r="AD57" s="11">
        <f>(SUMIFS(EarningsPerDay[Gross Earnings], EarningsPerDay[Date],"&gt;="&amp;EarningsPerDay[[#This Row],[Date]]-89, EarningsPerDay[Date], "&lt;="&amp;EarningsPerDay[[#This Row],[Date]]))/90</f>
        <v>25.853111111111104</v>
      </c>
      <c r="AE57" s="11"/>
      <c r="AH57" s="11"/>
      <c r="AI57" s="11"/>
    </row>
    <row r="58" spans="1:35" x14ac:dyDescent="0.35">
      <c r="A58" s="55"/>
      <c r="B58" s="40">
        <v>44371</v>
      </c>
      <c r="C58" s="40">
        <f t="shared" si="19"/>
        <v>44371</v>
      </c>
      <c r="D58" s="4">
        <f>IF(EarningsPerDay[[#This Row],[Week '#]]&gt;=52,YEAR(EarningsPerDay[[#This Row],[Date]])-1,YEAR(EarningsPerDay[[#This Row],[Date]]))</f>
        <v>2021</v>
      </c>
      <c r="E58" s="4" t="str">
        <f>"QTR"&amp;IF(EarningsPerDay[[#This Row],[Week '#]] &lt;= 13, 1, IF(EarningsPerDay[[#This Row],[Week '#]] &lt;= 26, 2, IF(EarningsPerDay[[#This Row],[Week '#]] &lt;= 39, 3, 4)))</f>
        <v>QTR2</v>
      </c>
      <c r="F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8" s="4">
        <f>IF(WEEKNUM(EarningsPerDay[[#This Row],[Date]], 2) = 53, 1, WEEKNUM(EarningsPerDay[[#This Row],[Date]],2))</f>
        <v>26</v>
      </c>
      <c r="H58" s="40" t="str">
        <f t="shared" si="20"/>
        <v>Thursday</v>
      </c>
      <c r="I5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8" s="40" t="str" cm="1">
        <f t="array" ref="J58">IFERROR(VLOOKUP(MODE(IF(Combined[Date]=EarningsPerDay[[#This Row],[Date]],Combined[Area '#])),KPIs!$B$4:$C$7,2,FALSE),VLOOKUP(EarningsPerDay[[#This Row],[Date]],Combined[[Date]:[Primary Area]],8,FALSE))</f>
        <v>Brunswick/Bath/Freeport</v>
      </c>
      <c r="K58" s="40" t="str">
        <f>_xlfn.XLOOKUP(EarningsPerDay[[#This Row],[Date]],Mileage[Date],Mileage[Weather])</f>
        <v>Rain</v>
      </c>
      <c r="L58" s="4">
        <f>_xlfn.XLOOKUP(EarningsPerDay[[#This Row],[Date]],Mileage[Date],Mileage[Hi Temp])</f>
        <v>67.900000000000006</v>
      </c>
      <c r="M58" s="12">
        <f>_xlfn.XLOOKUP(EarningsPerDay[[#This Row],[Date]],Mileage[Date],Mileage[Total Time])</f>
        <v>2.8</v>
      </c>
      <c r="N58" s="4">
        <f>_xlfn.XLOOKUP(EarningsPerDay[[#This Row],[Date]],Mileage[Date],Mileage[Mileage])</f>
        <v>45</v>
      </c>
      <c r="O58" s="4">
        <f>SUMIF(Combined[Date],EarningsPerDay[[#This Row],[Date]],Combined[Trips])</f>
        <v>8</v>
      </c>
      <c r="P58">
        <f>COUNTIF(Combined[Date],EarningsPerDay[[#This Row],[Date]])</f>
        <v>2</v>
      </c>
      <c r="Q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" s="11">
        <f>SUMIF(Combined[Date],EarningsPerDay[[#This Row],[Date]],Combined[Earnings])</f>
        <v>68.81</v>
      </c>
      <c r="S58" s="11">
        <f ca="1">EarningsPerDay[[#This Row],[Gross Earnings]]-(EarningsPerDay[[#This Row],[Miles]]*CpM!$D$11)</f>
        <v>58.776210831727226</v>
      </c>
      <c r="T58" s="11">
        <f t="shared" si="1"/>
        <v>24.575000000000003</v>
      </c>
      <c r="U58" s="11">
        <f t="shared" ca="1" si="2"/>
        <v>20.991503868474013</v>
      </c>
      <c r="V58" s="11">
        <f>EarningsPerDay[[#This Row],[Gross Earnings]]/EarningsPerDay[[#This Row],[Deliveries]]</f>
        <v>8.6012500000000003</v>
      </c>
      <c r="W58" s="11">
        <f>EarningsPerDay[[#This Row],[Gross Earnings]]/EarningsPerDay[[#This Row],[Miles]]</f>
        <v>1.5291111111111111</v>
      </c>
      <c r="X58" s="71">
        <f>EarningsPerDay[[#This Row],[Deliveries]]/EarningsPerDay[[#This Row],[Hours]]</f>
        <v>2.8571428571428572</v>
      </c>
      <c r="Y58" s="71">
        <f>EarningsPerDay[[#This Row],[Miles]]/EarningsPerDay[[#This Row],[Deliveries]]</f>
        <v>5.625</v>
      </c>
      <c r="Z58" s="81">
        <f>(EarningsPerDay[[#This Row],[Hours]]/EarningsPerDay[[#This Row],[Deliveries]])/24</f>
        <v>1.4583333333333332E-2</v>
      </c>
      <c r="AA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2.7861111111111114</v>
      </c>
      <c r="AB58" s="11">
        <f>AVERAGEIFS(EarningsPerDay[Gross $/Hour],EarningsPerDay[Week '#], EarningsPerDay[[#This Row],[Week '#]], EarningsPerDay[DOW], EarningsPerDay[[#This Row],[DOW]])</f>
        <v>24.575000000000003</v>
      </c>
      <c r="AC58" s="11">
        <f>EarningsPerDay[[#This Row],[Gross $/Hour]] - EarningsPerDay[[#This Row],[Weekly Average Earnings]]</f>
        <v>0</v>
      </c>
      <c r="AD58" s="11">
        <f>(SUMIFS(EarningsPerDay[Gross Earnings], EarningsPerDay[Date],"&gt;="&amp;EarningsPerDay[[#This Row],[Date]]-89, EarningsPerDay[Date], "&lt;="&amp;EarningsPerDay[[#This Row],[Date]]))/90</f>
        <v>26.617666666666658</v>
      </c>
      <c r="AE58" s="11"/>
      <c r="AH58" s="11"/>
      <c r="AI58" s="11"/>
    </row>
    <row r="59" spans="1:35" x14ac:dyDescent="0.35">
      <c r="A59" s="55"/>
      <c r="B59" s="40">
        <v>44373</v>
      </c>
      <c r="C59" s="40">
        <f t="shared" si="19"/>
        <v>44373</v>
      </c>
      <c r="D59" s="4">
        <f>IF(EarningsPerDay[[#This Row],[Week '#]]&gt;=52,YEAR(EarningsPerDay[[#This Row],[Date]])-1,YEAR(EarningsPerDay[[#This Row],[Date]]))</f>
        <v>2021</v>
      </c>
      <c r="E59" s="4" t="str">
        <f>"QTR"&amp;IF(EarningsPerDay[[#This Row],[Week '#]] &lt;= 13, 1, IF(EarningsPerDay[[#This Row],[Week '#]] &lt;= 26, 2, IF(EarningsPerDay[[#This Row],[Week '#]] &lt;= 39, 3, 4)))</f>
        <v>QTR2</v>
      </c>
      <c r="F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9" s="4">
        <f>IF(WEEKNUM(EarningsPerDay[[#This Row],[Date]], 2) = 53, 1, WEEKNUM(EarningsPerDay[[#This Row],[Date]],2))</f>
        <v>26</v>
      </c>
      <c r="H59" s="40" t="str">
        <f t="shared" si="20"/>
        <v>Saturday</v>
      </c>
      <c r="I59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59" s="40" t="str" cm="1">
        <f t="array" ref="J59">IFERROR(VLOOKUP(MODE(IF(Combined[Date]=EarningsPerDay[[#This Row],[Date]],Combined[Area '#])),KPIs!$B$4:$C$7,2,FALSE),VLOOKUP(EarningsPerDay[[#This Row],[Date]],Combined[[Date]:[Primary Area]],8,FALSE))</f>
        <v>Portland</v>
      </c>
      <c r="K59" s="40" t="str">
        <f>_xlfn.XLOOKUP(EarningsPerDay[[#This Row],[Date]],Mileage[Date],Mileage[Weather])</f>
        <v>Clear</v>
      </c>
      <c r="L59" s="4">
        <f>_xlfn.XLOOKUP(EarningsPerDay[[#This Row],[Date]],Mileage[Date],Mileage[Hi Temp])</f>
        <v>93.1</v>
      </c>
      <c r="M59" s="12">
        <f>_xlfn.XLOOKUP(EarningsPerDay[[#This Row],[Date]],Mileage[Date],Mileage[Total Time])</f>
        <v>6.4</v>
      </c>
      <c r="N59" s="4">
        <f>_xlfn.XLOOKUP(EarningsPerDay[[#This Row],[Date]],Mileage[Date],Mileage[Mileage])</f>
        <v>112.99999999999999</v>
      </c>
      <c r="O59" s="4">
        <f>SUMIF(Combined[Date],EarningsPerDay[[#This Row],[Date]],Combined[Trips])</f>
        <v>18</v>
      </c>
      <c r="P59">
        <f>COUNTIF(Combined[Date],EarningsPerDay[[#This Row],[Date]])</f>
        <v>2</v>
      </c>
      <c r="Q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" s="11">
        <f>SUMIF(Combined[Date],EarningsPerDay[[#This Row],[Date]],Combined[Earnings])</f>
        <v>134.35999999999999</v>
      </c>
      <c r="S59" s="11">
        <f ca="1">EarningsPerDay[[#This Row],[Gross Earnings]]-(EarningsPerDay[[#This Row],[Miles]]*CpM!$D$11)</f>
        <v>109.16404053300391</v>
      </c>
      <c r="T59" s="11">
        <f t="shared" si="1"/>
        <v>20.993749999999995</v>
      </c>
      <c r="U59" s="11">
        <f t="shared" ca="1" si="2"/>
        <v>17.056881333281861</v>
      </c>
      <c r="V59" s="11">
        <f>EarningsPerDay[[#This Row],[Gross Earnings]]/EarningsPerDay[[#This Row],[Deliveries]]</f>
        <v>7.4644444444444433</v>
      </c>
      <c r="W59" s="11">
        <f>EarningsPerDay[[#This Row],[Gross Earnings]]/EarningsPerDay[[#This Row],[Miles]]</f>
        <v>1.1890265486725664</v>
      </c>
      <c r="X59" s="71">
        <f>EarningsPerDay[[#This Row],[Deliveries]]/EarningsPerDay[[#This Row],[Hours]]</f>
        <v>2.8125</v>
      </c>
      <c r="Y59" s="71">
        <f>EarningsPerDay[[#This Row],[Miles]]/EarningsPerDay[[#This Row],[Deliveries]]</f>
        <v>6.2777777777777768</v>
      </c>
      <c r="Z59" s="81">
        <f>(EarningsPerDay[[#This Row],[Hours]]/EarningsPerDay[[#This Row],[Deliveries]])/24</f>
        <v>1.4814814814814815E-2</v>
      </c>
      <c r="AA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3.464226190476186</v>
      </c>
      <c r="AB59" s="11">
        <f>AVERAGEIFS(EarningsPerDay[Gross $/Hour],EarningsPerDay[Week '#], EarningsPerDay[[#This Row],[Week '#]], EarningsPerDay[DOW], EarningsPerDay[[#This Row],[DOW]])</f>
        <v>20.115540994623654</v>
      </c>
      <c r="AC59" s="11">
        <f>EarningsPerDay[[#This Row],[Gross $/Hour]] - EarningsPerDay[[#This Row],[Weekly Average Earnings]]</f>
        <v>0.87820900537634117</v>
      </c>
      <c r="AD59" s="11">
        <f>(SUMIFS(EarningsPerDay[Gross Earnings], EarningsPerDay[Date],"&gt;="&amp;EarningsPerDay[[#This Row],[Date]]-89, EarningsPerDay[Date], "&lt;="&amp;EarningsPerDay[[#This Row],[Date]]))/90</f>
        <v>25.254444444444445</v>
      </c>
      <c r="AE59" s="11"/>
      <c r="AH59" s="11"/>
      <c r="AI59" s="11"/>
    </row>
    <row r="60" spans="1:35" x14ac:dyDescent="0.35">
      <c r="A60" s="55"/>
      <c r="B60" s="40">
        <v>44376</v>
      </c>
      <c r="C60" s="40">
        <f t="shared" si="19"/>
        <v>44376</v>
      </c>
      <c r="D60" s="4">
        <f>IF(EarningsPerDay[[#This Row],[Week '#]]&gt;=52,YEAR(EarningsPerDay[[#This Row],[Date]])-1,YEAR(EarningsPerDay[[#This Row],[Date]]))</f>
        <v>2021</v>
      </c>
      <c r="E60" s="4" t="str">
        <f>"QTR"&amp;IF(EarningsPerDay[[#This Row],[Week '#]] &lt;= 13, 1, IF(EarningsPerDay[[#This Row],[Week '#]] &lt;= 26, 2, IF(EarningsPerDay[[#This Row],[Week '#]] &lt;= 39, 3, 4)))</f>
        <v>QTR3</v>
      </c>
      <c r="F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0" s="4">
        <f>IF(WEEKNUM(EarningsPerDay[[#This Row],[Date]], 2) = 53, 1, WEEKNUM(EarningsPerDay[[#This Row],[Date]],2))</f>
        <v>27</v>
      </c>
      <c r="H60" s="40" t="str">
        <f t="shared" si="20"/>
        <v>Tuesday</v>
      </c>
      <c r="I6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0" s="40" t="str" cm="1">
        <f t="array" ref="J60">IFERROR(VLOOKUP(MODE(IF(Combined[Date]=EarningsPerDay[[#This Row],[Date]],Combined[Area '#])),KPIs!$B$4:$C$7,2,FALSE),VLOOKUP(EarningsPerDay[[#This Row],[Date]],Combined[[Date]:[Primary Area]],8,FALSE))</f>
        <v>Brunswick/Bath/Freeport</v>
      </c>
      <c r="K60" s="40" t="str">
        <f>_xlfn.XLOOKUP(EarningsPerDay[[#This Row],[Date]],Mileage[Date],Mileage[Weather])</f>
        <v>Rain</v>
      </c>
      <c r="L60" s="4">
        <f>_xlfn.XLOOKUP(EarningsPerDay[[#This Row],[Date]],Mileage[Date],Mileage[Hi Temp])</f>
        <v>95.3</v>
      </c>
      <c r="M60" s="12">
        <f>_xlfn.XLOOKUP(EarningsPerDay[[#This Row],[Date]],Mileage[Date],Mileage[Total Time])</f>
        <v>3.8</v>
      </c>
      <c r="N60" s="4">
        <f>_xlfn.XLOOKUP(EarningsPerDay[[#This Row],[Date]],Mileage[Date],Mileage[Mileage])</f>
        <v>72</v>
      </c>
      <c r="O60" s="4">
        <f>SUMIF(Combined[Date],EarningsPerDay[[#This Row],[Date]],Combined[Trips])</f>
        <v>9</v>
      </c>
      <c r="P60">
        <f>COUNTIF(Combined[Date],EarningsPerDay[[#This Row],[Date]])</f>
        <v>2</v>
      </c>
      <c r="Q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" s="11">
        <f>SUMIF(Combined[Date],EarningsPerDay[[#This Row],[Date]],Combined[Earnings])</f>
        <v>98.18</v>
      </c>
      <c r="S60" s="11">
        <f ca="1">EarningsPerDay[[#This Row],[Gross Earnings]]-(EarningsPerDay[[#This Row],[Miles]]*CpM!$D$11)</f>
        <v>82.125937330763577</v>
      </c>
      <c r="T60" s="11">
        <f t="shared" si="1"/>
        <v>25.836842105263162</v>
      </c>
      <c r="U60" s="11">
        <f t="shared" ca="1" si="2"/>
        <v>21.612088771253575</v>
      </c>
      <c r="V60" s="11">
        <f>EarningsPerDay[[#This Row],[Gross Earnings]]/EarningsPerDay[[#This Row],[Deliveries]]</f>
        <v>10.908888888888889</v>
      </c>
      <c r="W60" s="11">
        <f>EarningsPerDay[[#This Row],[Gross Earnings]]/EarningsPerDay[[#This Row],[Miles]]</f>
        <v>1.3636111111111111</v>
      </c>
      <c r="X60" s="71">
        <f>EarningsPerDay[[#This Row],[Deliveries]]/EarningsPerDay[[#This Row],[Hours]]</f>
        <v>2.3684210526315792</v>
      </c>
      <c r="Y60" s="71">
        <f>EarningsPerDay[[#This Row],[Miles]]/EarningsPerDay[[#This Row],[Deliveries]]</f>
        <v>8</v>
      </c>
      <c r="Z60" s="81">
        <f>(EarningsPerDay[[#This Row],[Hours]]/EarningsPerDay[[#This Row],[Deliveries]])/24</f>
        <v>1.7592592592592594E-2</v>
      </c>
      <c r="AA6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0" s="11">
        <f>AVERAGEIFS(EarningsPerDay[Gross $/Hour],EarningsPerDay[Week '#], EarningsPerDay[[#This Row],[Week '#]], EarningsPerDay[DOW], EarningsPerDay[[#This Row],[DOW]])</f>
        <v>20.191072811871479</v>
      </c>
      <c r="AC60" s="11">
        <f>EarningsPerDay[[#This Row],[Gross $/Hour]] - EarningsPerDay[[#This Row],[Weekly Average Earnings]]</f>
        <v>5.6457692933916839</v>
      </c>
      <c r="AD60" s="11">
        <f>(SUMIFS(EarningsPerDay[Gross Earnings], EarningsPerDay[Date],"&gt;="&amp;EarningsPerDay[[#This Row],[Date]]-89, EarningsPerDay[Date], "&lt;="&amp;EarningsPerDay[[#This Row],[Date]]))/90</f>
        <v>26.345333333333333</v>
      </c>
      <c r="AE60" s="11"/>
      <c r="AH60" s="11"/>
      <c r="AI60" s="11"/>
    </row>
    <row r="61" spans="1:35" x14ac:dyDescent="0.35">
      <c r="A61" s="55"/>
      <c r="B61" s="40">
        <v>44379</v>
      </c>
      <c r="C61" s="40">
        <f t="shared" si="19"/>
        <v>44379</v>
      </c>
      <c r="D61" s="4">
        <f>IF(EarningsPerDay[[#This Row],[Week '#]]&gt;=52,YEAR(EarningsPerDay[[#This Row],[Date]])-1,YEAR(EarningsPerDay[[#This Row],[Date]]))</f>
        <v>2021</v>
      </c>
      <c r="E61" s="4" t="str">
        <f>"QTR"&amp;IF(EarningsPerDay[[#This Row],[Week '#]] &lt;= 13, 1, IF(EarningsPerDay[[#This Row],[Week '#]] &lt;= 26, 2, IF(EarningsPerDay[[#This Row],[Week '#]] &lt;= 39, 3, 4)))</f>
        <v>QTR3</v>
      </c>
      <c r="F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1" s="4">
        <f>IF(WEEKNUM(EarningsPerDay[[#This Row],[Date]], 2) = 53, 1, WEEKNUM(EarningsPerDay[[#This Row],[Date]],2))</f>
        <v>27</v>
      </c>
      <c r="H61" s="40" t="str">
        <f t="shared" si="20"/>
        <v>Friday</v>
      </c>
      <c r="I6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1" s="40" t="str" cm="1">
        <f t="array" ref="J61">IFERROR(VLOOKUP(MODE(IF(Combined[Date]=EarningsPerDay[[#This Row],[Date]],Combined[Area '#])),KPIs!$B$4:$C$7,2,FALSE),VLOOKUP(EarningsPerDay[[#This Row],[Date]],Combined[[Date]:[Primary Area]],8,FALSE))</f>
        <v>Portland</v>
      </c>
      <c r="K61" s="40" t="str">
        <f>_xlfn.XLOOKUP(EarningsPerDay[[#This Row],[Date]],Mileage[Date],Mileage[Weather])</f>
        <v>Rain</v>
      </c>
      <c r="L61" s="4">
        <f>_xlfn.XLOOKUP(EarningsPerDay[[#This Row],[Date]],Mileage[Date],Mileage[Hi Temp])</f>
        <v>58.1</v>
      </c>
      <c r="M61" s="12">
        <f>_xlfn.XLOOKUP(EarningsPerDay[[#This Row],[Date]],Mileage[Date],Mileage[Total Time])</f>
        <v>4</v>
      </c>
      <c r="N61" s="4">
        <f>_xlfn.XLOOKUP(EarningsPerDay[[#This Row],[Date]],Mileage[Date],Mileage[Mileage])</f>
        <v>95.6</v>
      </c>
      <c r="O61" s="4">
        <f>SUMIF(Combined[Date],EarningsPerDay[[#This Row],[Date]],Combined[Trips])</f>
        <v>7</v>
      </c>
      <c r="P61">
        <f>COUNTIF(Combined[Date],EarningsPerDay[[#This Row],[Date]])</f>
        <v>2</v>
      </c>
      <c r="Q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" s="11">
        <f>SUMIF(Combined[Date],EarningsPerDay[[#This Row],[Date]],Combined[Earnings])</f>
        <v>50.5</v>
      </c>
      <c r="S61" s="11">
        <f ca="1">EarningsPerDay[[#This Row],[Gross Earnings]]-(EarningsPerDay[[#This Row],[Miles]]*CpM!$D$11)</f>
        <v>29.183772344736067</v>
      </c>
      <c r="T61" s="11">
        <f t="shared" si="1"/>
        <v>12.625</v>
      </c>
      <c r="U61" s="11">
        <f t="shared" ca="1" si="2"/>
        <v>7.2959430861840167</v>
      </c>
      <c r="V61" s="11">
        <f>EarningsPerDay[[#This Row],[Gross Earnings]]/EarningsPerDay[[#This Row],[Deliveries]]</f>
        <v>7.2142857142857144</v>
      </c>
      <c r="W61" s="11">
        <f>EarningsPerDay[[#This Row],[Gross Earnings]]/EarningsPerDay[[#This Row],[Miles]]</f>
        <v>0.52824267782426781</v>
      </c>
      <c r="X61" s="71">
        <f>EarningsPerDay[[#This Row],[Deliveries]]/EarningsPerDay[[#This Row],[Hours]]</f>
        <v>1.75</v>
      </c>
      <c r="Y61" s="71">
        <f>EarningsPerDay[[#This Row],[Miles]]/EarningsPerDay[[#This Row],[Deliveries]]</f>
        <v>13.657142857142857</v>
      </c>
      <c r="Z61" s="81">
        <f>(EarningsPerDay[[#This Row],[Hours]]/EarningsPerDay[[#This Row],[Deliveries]])/24</f>
        <v>2.3809523809523808E-2</v>
      </c>
      <c r="AA6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1" s="11">
        <f>AVERAGEIFS(EarningsPerDay[Gross $/Hour],EarningsPerDay[Week '#], EarningsPerDay[[#This Row],[Week '#]], EarningsPerDay[DOW], EarningsPerDay[[#This Row],[DOW]])</f>
        <v>18.630277777777778</v>
      </c>
      <c r="AC61" s="11">
        <f>EarningsPerDay[[#This Row],[Gross $/Hour]] - EarningsPerDay[[#This Row],[Weekly Average Earnings]]</f>
        <v>-6.0052777777777777</v>
      </c>
      <c r="AD61" s="11">
        <f>(SUMIFS(EarningsPerDay[Gross Earnings], EarningsPerDay[Date],"&gt;="&amp;EarningsPerDay[[#This Row],[Date]]-89, EarningsPerDay[Date], "&lt;="&amp;EarningsPerDay[[#This Row],[Date]]))/90</f>
        <v>26.509333333333331</v>
      </c>
      <c r="AE61" s="11"/>
      <c r="AH61" s="11"/>
      <c r="AI61" s="11"/>
    </row>
    <row r="62" spans="1:35" x14ac:dyDescent="0.35">
      <c r="A62" s="55"/>
      <c r="B62" s="40">
        <v>44380</v>
      </c>
      <c r="C62" s="40">
        <f t="shared" si="19"/>
        <v>44380</v>
      </c>
      <c r="D62" s="4">
        <f>IF(EarningsPerDay[[#This Row],[Week '#]]&gt;=52,YEAR(EarningsPerDay[[#This Row],[Date]])-1,YEAR(EarningsPerDay[[#This Row],[Date]]))</f>
        <v>2021</v>
      </c>
      <c r="E62" s="4" t="str">
        <f>"QTR"&amp;IF(EarningsPerDay[[#This Row],[Week '#]] &lt;= 13, 1, IF(EarningsPerDay[[#This Row],[Week '#]] &lt;= 26, 2, IF(EarningsPerDay[[#This Row],[Week '#]] &lt;= 39, 3, 4)))</f>
        <v>QTR3</v>
      </c>
      <c r="F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2" s="4">
        <f>IF(WEEKNUM(EarningsPerDay[[#This Row],[Date]], 2) = 53, 1, WEEKNUM(EarningsPerDay[[#This Row],[Date]],2))</f>
        <v>27</v>
      </c>
      <c r="H62" s="40" t="str">
        <f t="shared" si="20"/>
        <v>Saturday</v>
      </c>
      <c r="I6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62" s="40" t="str" cm="1">
        <f t="array" ref="J62">IFERROR(VLOOKUP(MODE(IF(Combined[Date]=EarningsPerDay[[#This Row],[Date]],Combined[Area '#])),KPIs!$B$4:$C$7,2,FALSE),VLOOKUP(EarningsPerDay[[#This Row],[Date]],Combined[[Date]:[Primary Area]],8,FALSE))</f>
        <v>Brunswick/Bath/Freeport</v>
      </c>
      <c r="K62" s="40" t="str">
        <f>_xlfn.XLOOKUP(EarningsPerDay[[#This Row],[Date]],Mileage[Date],Mileage[Weather])</f>
        <v>Rain</v>
      </c>
      <c r="L62" s="4">
        <f>_xlfn.XLOOKUP(EarningsPerDay[[#This Row],[Date]],Mileage[Date],Mileage[Hi Temp])</f>
        <v>58.2</v>
      </c>
      <c r="M62" s="12">
        <f>_xlfn.XLOOKUP(EarningsPerDay[[#This Row],[Date]],Mileage[Date],Mileage[Total Time])</f>
        <v>4.8000000000000007</v>
      </c>
      <c r="N62" s="4">
        <f>_xlfn.XLOOKUP(EarningsPerDay[[#This Row],[Date]],Mileage[Date],Mileage[Mileage])</f>
        <v>52.5</v>
      </c>
      <c r="O62" s="4">
        <f>SUMIF(Combined[Date],EarningsPerDay[[#This Row],[Date]],Combined[Trips])</f>
        <v>7</v>
      </c>
      <c r="P62">
        <f>COUNTIF(Combined[Date],EarningsPerDay[[#This Row],[Date]])</f>
        <v>2</v>
      </c>
      <c r="Q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" s="11">
        <f>SUMIF(Combined[Date],EarningsPerDay[[#This Row],[Date]],Combined[Earnings])</f>
        <v>52</v>
      </c>
      <c r="S62" s="11">
        <f ca="1">EarningsPerDay[[#This Row],[Gross Earnings]]-(EarningsPerDay[[#This Row],[Miles]]*CpM!$D$11)</f>
        <v>40.293912637015097</v>
      </c>
      <c r="T62" s="11">
        <f t="shared" si="1"/>
        <v>10.833333333333332</v>
      </c>
      <c r="U62" s="11">
        <f t="shared" ca="1" si="2"/>
        <v>8.3945651327114774</v>
      </c>
      <c r="V62" s="11">
        <f>EarningsPerDay[[#This Row],[Gross Earnings]]/EarningsPerDay[[#This Row],[Deliveries]]</f>
        <v>7.4285714285714288</v>
      </c>
      <c r="W62" s="11">
        <f>EarningsPerDay[[#This Row],[Gross Earnings]]/EarningsPerDay[[#This Row],[Miles]]</f>
        <v>0.99047619047619051</v>
      </c>
      <c r="X62" s="71">
        <f>EarningsPerDay[[#This Row],[Deliveries]]/EarningsPerDay[[#This Row],[Hours]]</f>
        <v>1.458333333333333</v>
      </c>
      <c r="Y62" s="71">
        <f>EarningsPerDay[[#This Row],[Miles]]/EarningsPerDay[[#This Row],[Deliveries]]</f>
        <v>7.5</v>
      </c>
      <c r="Z62" s="81">
        <f>(EarningsPerDay[[#This Row],[Hours]]/EarningsPerDay[[#This Row],[Deliveries]])/24</f>
        <v>2.8571428571428577E-2</v>
      </c>
      <c r="AA6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2" s="11">
        <f>AVERAGEIFS(EarningsPerDay[Gross $/Hour],EarningsPerDay[Week '#], EarningsPerDay[[#This Row],[Week '#]], EarningsPerDay[DOW], EarningsPerDay[[#This Row],[DOW]])</f>
        <v>15.768926865123115</v>
      </c>
      <c r="AC62" s="11">
        <f>EarningsPerDay[[#This Row],[Gross $/Hour]] - EarningsPerDay[[#This Row],[Weekly Average Earnings]]</f>
        <v>-4.9355935317897828</v>
      </c>
      <c r="AD62" s="11">
        <f>(SUMIFS(EarningsPerDay[Gross Earnings], EarningsPerDay[Date],"&gt;="&amp;EarningsPerDay[[#This Row],[Date]]-89, EarningsPerDay[Date], "&lt;="&amp;EarningsPerDay[[#This Row],[Date]]))/90</f>
        <v>27.087111111111106</v>
      </c>
      <c r="AE62" s="11"/>
      <c r="AH62" s="11"/>
      <c r="AI62" s="11"/>
    </row>
    <row r="63" spans="1:35" x14ac:dyDescent="0.35">
      <c r="A63" s="55"/>
      <c r="B63" s="40">
        <v>44401</v>
      </c>
      <c r="C63" s="40">
        <f t="shared" si="19"/>
        <v>44401</v>
      </c>
      <c r="D63" s="4">
        <f>IF(EarningsPerDay[[#This Row],[Week '#]]&gt;=52,YEAR(EarningsPerDay[[#This Row],[Date]])-1,YEAR(EarningsPerDay[[#This Row],[Date]]))</f>
        <v>2021</v>
      </c>
      <c r="E63" s="4" t="str">
        <f>"QTR"&amp;IF(EarningsPerDay[[#This Row],[Week '#]] &lt;= 13, 1, IF(EarningsPerDay[[#This Row],[Week '#]] &lt;= 26, 2, IF(EarningsPerDay[[#This Row],[Week '#]] &lt;= 39, 3, 4)))</f>
        <v>QTR3</v>
      </c>
      <c r="F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3" s="4">
        <f>IF(WEEKNUM(EarningsPerDay[[#This Row],[Date]], 2) = 53, 1, WEEKNUM(EarningsPerDay[[#This Row],[Date]],2))</f>
        <v>30</v>
      </c>
      <c r="H63" s="40" t="str">
        <f t="shared" si="20"/>
        <v>Saturday</v>
      </c>
      <c r="I6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3" s="40" t="str" cm="1">
        <f t="array" ref="J63">IFERROR(VLOOKUP(MODE(IF(Combined[Date]=EarningsPerDay[[#This Row],[Date]],Combined[Area '#])),KPIs!$B$4:$C$7,2,FALSE),VLOOKUP(EarningsPerDay[[#This Row],[Date]],Combined[[Date]:[Primary Area]],8,FALSE))</f>
        <v>Brunswick/Bath/Freeport</v>
      </c>
      <c r="K63" s="40" t="str">
        <f>_xlfn.XLOOKUP(EarningsPerDay[[#This Row],[Date]],Mileage[Date],Mileage[Weather])</f>
        <v>Rain</v>
      </c>
      <c r="L63" s="4">
        <f>_xlfn.XLOOKUP(EarningsPerDay[[#This Row],[Date]],Mileage[Date],Mileage[Hi Temp])</f>
        <v>69.599999999999994</v>
      </c>
      <c r="M63" s="12">
        <f>_xlfn.XLOOKUP(EarningsPerDay[[#This Row],[Date]],Mileage[Date],Mileage[Total Time])</f>
        <v>2.1</v>
      </c>
      <c r="N63" s="4">
        <f>_xlfn.XLOOKUP(EarningsPerDay[[#This Row],[Date]],Mileage[Date],Mileage[Mileage])</f>
        <v>58</v>
      </c>
      <c r="O63" s="4">
        <f>SUMIF(Combined[Date],EarningsPerDay[[#This Row],[Date]],Combined[Trips])</f>
        <v>3</v>
      </c>
      <c r="P63">
        <f>COUNTIF(Combined[Date],EarningsPerDay[[#This Row],[Date]])</f>
        <v>2</v>
      </c>
      <c r="Q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" s="11">
        <f>SUMIF(Combined[Date],EarningsPerDay[[#This Row],[Date]],Combined[Earnings])</f>
        <v>24</v>
      </c>
      <c r="S63" s="11">
        <f ca="1">EarningsPerDay[[#This Row],[Gross Earnings]]-(EarningsPerDay[[#This Row],[Miles]]*CpM!$D$11)</f>
        <v>11.067560627559539</v>
      </c>
      <c r="T63" s="11">
        <f t="shared" si="1"/>
        <v>11.428571428571429</v>
      </c>
      <c r="U63" s="11">
        <f t="shared" ca="1" si="2"/>
        <v>5.2702669655045424</v>
      </c>
      <c r="V63" s="11">
        <f>EarningsPerDay[[#This Row],[Gross Earnings]]/EarningsPerDay[[#This Row],[Deliveries]]</f>
        <v>8</v>
      </c>
      <c r="W63" s="11">
        <f>EarningsPerDay[[#This Row],[Gross Earnings]]/EarningsPerDay[[#This Row],[Miles]]</f>
        <v>0.41379310344827586</v>
      </c>
      <c r="X63" s="71">
        <f>EarningsPerDay[[#This Row],[Deliveries]]/EarningsPerDay[[#This Row],[Hours]]</f>
        <v>1.4285714285714286</v>
      </c>
      <c r="Y63" s="71">
        <f>EarningsPerDay[[#This Row],[Miles]]/EarningsPerDay[[#This Row],[Deliveries]]</f>
        <v>19.333333333333332</v>
      </c>
      <c r="Z63" s="81">
        <f>(EarningsPerDay[[#This Row],[Hours]]/EarningsPerDay[[#This Row],[Deliveries]])/24</f>
        <v>2.9166666666666671E-2</v>
      </c>
      <c r="AA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0.59523809523809668</v>
      </c>
      <c r="AB63" s="11">
        <f>AVERAGEIFS(EarningsPerDay[Gross $/Hour],EarningsPerDay[Week '#], EarningsPerDay[[#This Row],[Week '#]], EarningsPerDay[DOW], EarningsPerDay[[#This Row],[DOW]])</f>
        <v>18.936657968408081</v>
      </c>
      <c r="AC63" s="11">
        <f>EarningsPerDay[[#This Row],[Gross $/Hour]] - EarningsPerDay[[#This Row],[Weekly Average Earnings]]</f>
        <v>-7.5080865398366523</v>
      </c>
      <c r="AD63" s="11">
        <f>(SUMIFS(EarningsPerDay[Gross Earnings], EarningsPerDay[Date],"&gt;="&amp;EarningsPerDay[[#This Row],[Date]]-89, EarningsPerDay[Date], "&lt;="&amp;EarningsPerDay[[#This Row],[Date]]))/90</f>
        <v>24.083444444444446</v>
      </c>
      <c r="AE63" s="11"/>
      <c r="AH63" s="11"/>
      <c r="AI63" s="11"/>
    </row>
    <row r="64" spans="1:35" x14ac:dyDescent="0.35">
      <c r="A64" s="55"/>
      <c r="B64" s="40">
        <v>44408</v>
      </c>
      <c r="C64" s="40">
        <f t="shared" si="19"/>
        <v>44408</v>
      </c>
      <c r="D64" s="4">
        <f>IF(EarningsPerDay[[#This Row],[Week '#]]&gt;=52,YEAR(EarningsPerDay[[#This Row],[Date]])-1,YEAR(EarningsPerDay[[#This Row],[Date]]))</f>
        <v>2021</v>
      </c>
      <c r="E64" s="4" t="str">
        <f>"QTR"&amp;IF(EarningsPerDay[[#This Row],[Week '#]] &lt;= 13, 1, IF(EarningsPerDay[[#This Row],[Week '#]] &lt;= 26, 2, IF(EarningsPerDay[[#This Row],[Week '#]] &lt;= 39, 3, 4)))</f>
        <v>QTR3</v>
      </c>
      <c r="F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4" s="4">
        <f>IF(WEEKNUM(EarningsPerDay[[#This Row],[Date]], 2) = 53, 1, WEEKNUM(EarningsPerDay[[#This Row],[Date]],2))</f>
        <v>31</v>
      </c>
      <c r="H64" s="40" t="str">
        <f t="shared" si="20"/>
        <v>Saturday</v>
      </c>
      <c r="I64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64" s="40" t="str" cm="1">
        <f t="array" ref="J64">IFERROR(VLOOKUP(MODE(IF(Combined[Date]=EarningsPerDay[[#This Row],[Date]],Combined[Area '#])),KPIs!$B$4:$C$7,2,FALSE),VLOOKUP(EarningsPerDay[[#This Row],[Date]],Combined[[Date]:[Primary Area]],8,FALSE))</f>
        <v>Brunswick/Bath/Freeport</v>
      </c>
      <c r="K64" s="40" t="str">
        <f>_xlfn.XLOOKUP(EarningsPerDay[[#This Row],[Date]],Mileage[Date],Mileage[Weather])</f>
        <v>Partially Cloudy</v>
      </c>
      <c r="L64" s="4">
        <f>_xlfn.XLOOKUP(EarningsPerDay[[#This Row],[Date]],Mileage[Date],Mileage[Hi Temp])</f>
        <v>74.3</v>
      </c>
      <c r="M64" s="12">
        <f>_xlfn.XLOOKUP(EarningsPerDay[[#This Row],[Date]],Mileage[Date],Mileage[Total Time])</f>
        <v>1.2</v>
      </c>
      <c r="N64" s="4">
        <f>_xlfn.XLOOKUP(EarningsPerDay[[#This Row],[Date]],Mileage[Date],Mileage[Mileage])</f>
        <v>16.5</v>
      </c>
      <c r="O64" s="4">
        <f>SUMIF(Combined[Date],EarningsPerDay[[#This Row],[Date]],Combined[Trips])</f>
        <v>3</v>
      </c>
      <c r="P64">
        <f>COUNTIF(Combined[Date],EarningsPerDay[[#This Row],[Date]])</f>
        <v>2</v>
      </c>
      <c r="Q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" s="11">
        <f>SUMIF(Combined[Date],EarningsPerDay[[#This Row],[Date]],Combined[Earnings])</f>
        <v>28.2</v>
      </c>
      <c r="S64" s="11">
        <f ca="1">EarningsPerDay[[#This Row],[Gross Earnings]]-(EarningsPerDay[[#This Row],[Miles]]*CpM!$D$11)</f>
        <v>24.520943971633315</v>
      </c>
      <c r="T64" s="11">
        <f t="shared" si="1"/>
        <v>23.5</v>
      </c>
      <c r="U64" s="11">
        <f t="shared" ca="1" si="2"/>
        <v>20.434119976361096</v>
      </c>
      <c r="V64" s="11">
        <f>EarningsPerDay[[#This Row],[Gross Earnings]]/EarningsPerDay[[#This Row],[Deliveries]]</f>
        <v>9.4</v>
      </c>
      <c r="W64" s="11">
        <f>EarningsPerDay[[#This Row],[Gross Earnings]]/EarningsPerDay[[#This Row],[Miles]]</f>
        <v>1.709090909090909</v>
      </c>
      <c r="X64" s="71">
        <f>EarningsPerDay[[#This Row],[Deliveries]]/EarningsPerDay[[#This Row],[Hours]]</f>
        <v>2.5</v>
      </c>
      <c r="Y64" s="71">
        <f>EarningsPerDay[[#This Row],[Miles]]/EarningsPerDay[[#This Row],[Deliveries]]</f>
        <v>5.5</v>
      </c>
      <c r="Z64" s="81">
        <f>(EarningsPerDay[[#This Row],[Hours]]/EarningsPerDay[[#This Row],[Deliveries]])/24</f>
        <v>1.6666666666666666E-2</v>
      </c>
      <c r="AA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12.36904761904762</v>
      </c>
      <c r="AB64" s="11">
        <f>AVERAGEIFS(EarningsPerDay[Gross $/Hour],EarningsPerDay[Week '#], EarningsPerDay[[#This Row],[Week '#]], EarningsPerDay[DOW], EarningsPerDay[[#This Row],[DOW]])</f>
        <v>22.885934984497997</v>
      </c>
      <c r="AC64" s="11">
        <f>EarningsPerDay[[#This Row],[Gross $/Hour]] - EarningsPerDay[[#This Row],[Weekly Average Earnings]]</f>
        <v>0.61406501550200332</v>
      </c>
      <c r="AD64" s="11">
        <f>(SUMIFS(EarningsPerDay[Gross Earnings], EarningsPerDay[Date],"&gt;="&amp;EarningsPerDay[[#This Row],[Date]]-89, EarningsPerDay[Date], "&lt;="&amp;EarningsPerDay[[#This Row],[Date]]))/90</f>
        <v>23.941222222222223</v>
      </c>
      <c r="AE64" s="11"/>
      <c r="AH64" s="11"/>
      <c r="AI64" s="11"/>
    </row>
    <row r="65" spans="1:35" x14ac:dyDescent="0.35">
      <c r="A65" s="55"/>
      <c r="B65" s="40">
        <v>44409</v>
      </c>
      <c r="C65" s="40">
        <f t="shared" si="19"/>
        <v>44409</v>
      </c>
      <c r="D65" s="4">
        <f>IF(EarningsPerDay[[#This Row],[Week '#]]&gt;=52,YEAR(EarningsPerDay[[#This Row],[Date]])-1,YEAR(EarningsPerDay[[#This Row],[Date]]))</f>
        <v>2021</v>
      </c>
      <c r="E65" s="4" t="str">
        <f>"QTR"&amp;IF(EarningsPerDay[[#This Row],[Week '#]] &lt;= 13, 1, IF(EarningsPerDay[[#This Row],[Week '#]] &lt;= 26, 2, IF(EarningsPerDay[[#This Row],[Week '#]] &lt;= 39, 3, 4)))</f>
        <v>QTR3</v>
      </c>
      <c r="F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5" s="4">
        <f>IF(WEEKNUM(EarningsPerDay[[#This Row],[Date]], 2) = 53, 1, WEEKNUM(EarningsPerDay[[#This Row],[Date]],2))</f>
        <v>31</v>
      </c>
      <c r="H65" s="40" t="str">
        <f t="shared" si="20"/>
        <v>Sunday</v>
      </c>
      <c r="I6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5" s="40" t="str" cm="1">
        <f t="array" ref="J65">IFERROR(VLOOKUP(MODE(IF(Combined[Date]=EarningsPerDay[[#This Row],[Date]],Combined[Area '#])),KPIs!$B$4:$C$7,2,FALSE),VLOOKUP(EarningsPerDay[[#This Row],[Date]],Combined[[Date]:[Primary Area]],8,FALSE))</f>
        <v>Brunswick/Bath/Freeport</v>
      </c>
      <c r="K65" s="40" t="str">
        <f>_xlfn.XLOOKUP(EarningsPerDay[[#This Row],[Date]],Mileage[Date],Mileage[Weather])</f>
        <v>Rain</v>
      </c>
      <c r="L65" s="4">
        <f>_xlfn.XLOOKUP(EarningsPerDay[[#This Row],[Date]],Mileage[Date],Mileage[Hi Temp])</f>
        <v>74.2</v>
      </c>
      <c r="M65" s="12">
        <f>_xlfn.XLOOKUP(EarningsPerDay[[#This Row],[Date]],Mileage[Date],Mileage[Total Time])</f>
        <v>1.9</v>
      </c>
      <c r="N65" s="4">
        <f>_xlfn.XLOOKUP(EarningsPerDay[[#This Row],[Date]],Mileage[Date],Mileage[Mileage])</f>
        <v>47.4</v>
      </c>
      <c r="O65" s="4">
        <f>SUMIF(Combined[Date],EarningsPerDay[[#This Row],[Date]],Combined[Trips])</f>
        <v>2</v>
      </c>
      <c r="P65">
        <f>COUNTIF(Combined[Date],EarningsPerDay[[#This Row],[Date]])</f>
        <v>1</v>
      </c>
      <c r="Q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" s="11">
        <f>SUMIF(Combined[Date],EarningsPerDay[[#This Row],[Date]],Combined[Earnings])</f>
        <v>27.8</v>
      </c>
      <c r="S65" s="11">
        <f ca="1">EarningsPerDay[[#This Row],[Gross Earnings]]-(EarningsPerDay[[#This Row],[Miles]]*CpM!$D$11)</f>
        <v>17.231075409419347</v>
      </c>
      <c r="T65" s="11">
        <f t="shared" si="1"/>
        <v>14.631578947368421</v>
      </c>
      <c r="U65" s="11">
        <f t="shared" ca="1" si="2"/>
        <v>9.0689870575891298</v>
      </c>
      <c r="V65" s="11">
        <f>EarningsPerDay[[#This Row],[Gross Earnings]]/EarningsPerDay[[#This Row],[Deliveries]]</f>
        <v>13.9</v>
      </c>
      <c r="W65" s="11">
        <f>EarningsPerDay[[#This Row],[Gross Earnings]]/EarningsPerDay[[#This Row],[Miles]]</f>
        <v>0.5864978902953587</v>
      </c>
      <c r="X65" s="71">
        <f>EarningsPerDay[[#This Row],[Deliveries]]/EarningsPerDay[[#This Row],[Hours]]</f>
        <v>1.0526315789473684</v>
      </c>
      <c r="Y65" s="71">
        <f>EarningsPerDay[[#This Row],[Miles]]/EarningsPerDay[[#This Row],[Deliveries]]</f>
        <v>23.7</v>
      </c>
      <c r="Z65" s="81">
        <f>(EarningsPerDay[[#This Row],[Hours]]/EarningsPerDay[[#This Row],[Deliveries]])/24</f>
        <v>3.9583333333333331E-2</v>
      </c>
      <c r="AA6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5" s="11">
        <f>AVERAGEIFS(EarningsPerDay[Gross $/Hour],EarningsPerDay[Week '#], EarningsPerDay[[#This Row],[Week '#]], EarningsPerDay[DOW], EarningsPerDay[[#This Row],[DOW]])</f>
        <v>16.999446431613013</v>
      </c>
      <c r="AC65" s="11">
        <f>EarningsPerDay[[#This Row],[Gross $/Hour]] - EarningsPerDay[[#This Row],[Weekly Average Earnings]]</f>
        <v>-2.3678674842445915</v>
      </c>
      <c r="AD65" s="11">
        <f>(SUMIFS(EarningsPerDay[Gross Earnings], EarningsPerDay[Date],"&gt;="&amp;EarningsPerDay[[#This Row],[Date]]-89, EarningsPerDay[Date], "&lt;="&amp;EarningsPerDay[[#This Row],[Date]]))/90</f>
        <v>23.426444444444446</v>
      </c>
      <c r="AE65" s="11"/>
      <c r="AH65" s="11"/>
      <c r="AI65" s="11"/>
    </row>
    <row r="66" spans="1:35" x14ac:dyDescent="0.35">
      <c r="A66" s="55"/>
      <c r="B66" s="40">
        <v>44438</v>
      </c>
      <c r="C66" s="40">
        <f t="shared" si="19"/>
        <v>44438</v>
      </c>
      <c r="D66" s="4">
        <f>IF(EarningsPerDay[[#This Row],[Week '#]]&gt;=52,YEAR(EarningsPerDay[[#This Row],[Date]])-1,YEAR(EarningsPerDay[[#This Row],[Date]]))</f>
        <v>2021</v>
      </c>
      <c r="E66" s="4" t="str">
        <f>"QTR"&amp;IF(EarningsPerDay[[#This Row],[Week '#]] &lt;= 13, 1, IF(EarningsPerDay[[#This Row],[Week '#]] &lt;= 26, 2, IF(EarningsPerDay[[#This Row],[Week '#]] &lt;= 39, 3, 4)))</f>
        <v>QTR3</v>
      </c>
      <c r="F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6" s="4">
        <f>IF(WEEKNUM(EarningsPerDay[[#This Row],[Date]], 2) = 53, 1, WEEKNUM(EarningsPerDay[[#This Row],[Date]],2))</f>
        <v>36</v>
      </c>
      <c r="H66" s="40" t="str">
        <f t="shared" si="20"/>
        <v>Monday</v>
      </c>
      <c r="I6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6" s="40" t="str" cm="1">
        <f t="array" ref="J66">IFERROR(VLOOKUP(MODE(IF(Combined[Date]=EarningsPerDay[[#This Row],[Date]],Combined[Area '#])),KPIs!$B$4:$C$7,2,FALSE),VLOOKUP(EarningsPerDay[[#This Row],[Date]],Combined[[Date]:[Primary Area]],8,FALSE))</f>
        <v>Brunswick/Bath/Freeport</v>
      </c>
      <c r="K66" s="40" t="str">
        <f>_xlfn.XLOOKUP(EarningsPerDay[[#This Row],[Date]],Mileage[Date],Mileage[Weather])</f>
        <v>Rain</v>
      </c>
      <c r="L66" s="4">
        <f>_xlfn.XLOOKUP(EarningsPerDay[[#This Row],[Date]],Mileage[Date],Mileage[Hi Temp])</f>
        <v>82.2</v>
      </c>
      <c r="M66" s="12">
        <f>_xlfn.XLOOKUP(EarningsPerDay[[#This Row],[Date]],Mileage[Date],Mileage[Total Time])</f>
        <v>1.1000000000000001</v>
      </c>
      <c r="N66" s="4">
        <f>_xlfn.XLOOKUP(EarningsPerDay[[#This Row],[Date]],Mileage[Date],Mileage[Mileage])</f>
        <v>13.5</v>
      </c>
      <c r="O66" s="4">
        <f>SUMIF(Combined[Date],EarningsPerDay[[#This Row],[Date]],Combined[Trips])</f>
        <v>2</v>
      </c>
      <c r="P66">
        <f>COUNTIF(Combined[Date],EarningsPerDay[[#This Row],[Date]])</f>
        <v>1</v>
      </c>
      <c r="Q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" s="11">
        <f>SUMIF(Combined[Date],EarningsPerDay[[#This Row],[Date]],Combined[Earnings])</f>
        <v>16</v>
      </c>
      <c r="S66" s="11">
        <f ca="1">EarningsPerDay[[#This Row],[Gross Earnings]]-(EarningsPerDay[[#This Row],[Miles]]*CpM!$D$11)</f>
        <v>12.989863249518169</v>
      </c>
      <c r="T66" s="11">
        <f t="shared" si="1"/>
        <v>14.545454545454545</v>
      </c>
      <c r="U66" s="11">
        <f t="shared" ca="1" si="2"/>
        <v>11.808966590471062</v>
      </c>
      <c r="V66" s="11">
        <f>EarningsPerDay[[#This Row],[Gross Earnings]]/EarningsPerDay[[#This Row],[Deliveries]]</f>
        <v>8</v>
      </c>
      <c r="W66" s="11">
        <f>EarningsPerDay[[#This Row],[Gross Earnings]]/EarningsPerDay[[#This Row],[Miles]]</f>
        <v>1.1851851851851851</v>
      </c>
      <c r="X66" s="71">
        <f>EarningsPerDay[[#This Row],[Deliveries]]/EarningsPerDay[[#This Row],[Hours]]</f>
        <v>1.8181818181818181</v>
      </c>
      <c r="Y66" s="71">
        <f>EarningsPerDay[[#This Row],[Miles]]/EarningsPerDay[[#This Row],[Deliveries]]</f>
        <v>6.75</v>
      </c>
      <c r="Z66" s="81">
        <f>(EarningsPerDay[[#This Row],[Hours]]/EarningsPerDay[[#This Row],[Deliveries]])/24</f>
        <v>2.2916666666666669E-2</v>
      </c>
      <c r="AA6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6" s="11">
        <f>AVERAGEIFS(EarningsPerDay[Gross $/Hour],EarningsPerDay[Week '#], EarningsPerDay[[#This Row],[Week '#]], EarningsPerDay[DOW], EarningsPerDay[[#This Row],[DOW]])</f>
        <v>21.854789288246266</v>
      </c>
      <c r="AC66" s="11">
        <f>EarningsPerDay[[#This Row],[Gross $/Hour]] - EarningsPerDay[[#This Row],[Weekly Average Earnings]]</f>
        <v>-7.3093347427917212</v>
      </c>
      <c r="AD66" s="11">
        <f>(SUMIFS(EarningsPerDay[Gross Earnings], EarningsPerDay[Date],"&gt;="&amp;EarningsPerDay[[#This Row],[Date]]-89, EarningsPerDay[Date], "&lt;="&amp;EarningsPerDay[[#This Row],[Date]]))/90</f>
        <v>11.187333333333335</v>
      </c>
      <c r="AE66" s="11"/>
      <c r="AH66" s="11"/>
      <c r="AI66" s="11"/>
    </row>
    <row r="67" spans="1:35" x14ac:dyDescent="0.35">
      <c r="A67" s="55"/>
      <c r="B67" s="40">
        <v>44439</v>
      </c>
      <c r="C67" s="40">
        <f t="shared" si="19"/>
        <v>44439</v>
      </c>
      <c r="D67" s="4">
        <f>IF(EarningsPerDay[[#This Row],[Week '#]]&gt;=52,YEAR(EarningsPerDay[[#This Row],[Date]])-1,YEAR(EarningsPerDay[[#This Row],[Date]]))</f>
        <v>2021</v>
      </c>
      <c r="E67" s="4" t="str">
        <f>"QTR"&amp;IF(EarningsPerDay[[#This Row],[Week '#]] &lt;= 13, 1, IF(EarningsPerDay[[#This Row],[Week '#]] &lt;= 26, 2, IF(EarningsPerDay[[#This Row],[Week '#]] &lt;= 39, 3, 4)))</f>
        <v>QTR3</v>
      </c>
      <c r="F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7" s="4">
        <f>IF(WEEKNUM(EarningsPerDay[[#This Row],[Date]], 2) = 53, 1, WEEKNUM(EarningsPerDay[[#This Row],[Date]],2))</f>
        <v>36</v>
      </c>
      <c r="H67" s="40" t="str">
        <f t="shared" si="20"/>
        <v>Tuesday</v>
      </c>
      <c r="I67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7" s="40" t="str" cm="1">
        <f t="array" ref="J67">IFERROR(VLOOKUP(MODE(IF(Combined[Date]=EarningsPerDay[[#This Row],[Date]],Combined[Area '#])),KPIs!$B$4:$C$7,2,FALSE),VLOOKUP(EarningsPerDay[[#This Row],[Date]],Combined[[Date]:[Primary Area]],8,FALSE))</f>
        <v>Brunswick/Bath/Freeport</v>
      </c>
      <c r="K67" s="40" t="str">
        <f>_xlfn.XLOOKUP(EarningsPerDay[[#This Row],[Date]],Mileage[Date],Mileage[Weather])</f>
        <v>Rain</v>
      </c>
      <c r="L67" s="4">
        <f>_xlfn.XLOOKUP(EarningsPerDay[[#This Row],[Date]],Mileage[Date],Mileage[Hi Temp])</f>
        <v>73.400000000000006</v>
      </c>
      <c r="M67" s="12">
        <f>_xlfn.XLOOKUP(EarningsPerDay[[#This Row],[Date]],Mileage[Date],Mileage[Total Time])</f>
        <v>2.3000000000000003</v>
      </c>
      <c r="N67" s="4">
        <f>_xlfn.XLOOKUP(EarningsPerDay[[#This Row],[Date]],Mileage[Date],Mileage[Mileage])</f>
        <v>37.1</v>
      </c>
      <c r="O67" s="4">
        <f>SUMIF(Combined[Date],EarningsPerDay[[#This Row],[Date]],Combined[Trips])</f>
        <v>6</v>
      </c>
      <c r="P67">
        <f>COUNTIF(Combined[Date],EarningsPerDay[[#This Row],[Date]])</f>
        <v>2</v>
      </c>
      <c r="Q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" s="11">
        <f>SUMIF(Combined[Date],EarningsPerDay[[#This Row],[Date]],Combined[Earnings])</f>
        <v>53.66</v>
      </c>
      <c r="S67" s="11">
        <f ca="1">EarningsPerDay[[#This Row],[Gross Earnings]]-(EarningsPerDay[[#This Row],[Miles]]*CpM!$D$11)</f>
        <v>45.387698263490662</v>
      </c>
      <c r="T67" s="11">
        <f t="shared" ref="T67:T130" si="21">R67/M67</f>
        <v>23.330434782608691</v>
      </c>
      <c r="U67" s="11">
        <f t="shared" ref="U67:U130" ca="1" si="22">S67/M67</f>
        <v>19.733781853691589</v>
      </c>
      <c r="V67" s="11">
        <f>EarningsPerDay[[#This Row],[Gross Earnings]]/EarningsPerDay[[#This Row],[Deliveries]]</f>
        <v>8.9433333333333334</v>
      </c>
      <c r="W67" s="11">
        <f>EarningsPerDay[[#This Row],[Gross Earnings]]/EarningsPerDay[[#This Row],[Miles]]</f>
        <v>1.4463611859838272</v>
      </c>
      <c r="X67" s="71">
        <f>EarningsPerDay[[#This Row],[Deliveries]]/EarningsPerDay[[#This Row],[Hours]]</f>
        <v>2.6086956521739126</v>
      </c>
      <c r="Y67" s="71">
        <f>EarningsPerDay[[#This Row],[Miles]]/EarningsPerDay[[#This Row],[Deliveries]]</f>
        <v>6.1833333333333336</v>
      </c>
      <c r="Z67" s="81">
        <f>(EarningsPerDay[[#This Row],[Hours]]/EarningsPerDay[[#This Row],[Deliveries]])/24</f>
        <v>1.5972222222222224E-2</v>
      </c>
      <c r="AA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-2.5064073226544714</v>
      </c>
      <c r="AB67" s="11">
        <f>AVERAGEIFS(EarningsPerDay[Gross $/Hour],EarningsPerDay[Week '#], EarningsPerDay[[#This Row],[Week '#]], EarningsPerDay[DOW], EarningsPerDay[[#This Row],[DOW]])</f>
        <v>21.806363018460878</v>
      </c>
      <c r="AC67" s="11">
        <f>EarningsPerDay[[#This Row],[Gross $/Hour]] - EarningsPerDay[[#This Row],[Weekly Average Earnings]]</f>
        <v>1.5240717641478128</v>
      </c>
      <c r="AD67" s="11">
        <f>(SUMIFS(EarningsPerDay[Gross Earnings], EarningsPerDay[Date],"&gt;="&amp;EarningsPerDay[[#This Row],[Date]]-89, EarningsPerDay[Date], "&lt;="&amp;EarningsPerDay[[#This Row],[Date]]))/90</f>
        <v>11.783555555555559</v>
      </c>
      <c r="AE67" s="11"/>
      <c r="AH67" s="11"/>
      <c r="AI67" s="11"/>
    </row>
    <row r="68" spans="1:35" x14ac:dyDescent="0.35">
      <c r="A68" s="55"/>
      <c r="B68" s="40">
        <v>44449</v>
      </c>
      <c r="C68" s="40">
        <f t="shared" si="19"/>
        <v>44449</v>
      </c>
      <c r="D68" s="4">
        <f>IF(EarningsPerDay[[#This Row],[Week '#]]&gt;=52,YEAR(EarningsPerDay[[#This Row],[Date]])-1,YEAR(EarningsPerDay[[#This Row],[Date]]))</f>
        <v>2021</v>
      </c>
      <c r="E68" s="4" t="str">
        <f>"QTR"&amp;IF(EarningsPerDay[[#This Row],[Week '#]] &lt;= 13, 1, IF(EarningsPerDay[[#This Row],[Week '#]] &lt;= 26, 2, IF(EarningsPerDay[[#This Row],[Week '#]] &lt;= 39, 3, 4)))</f>
        <v>QTR3</v>
      </c>
      <c r="F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8" s="4">
        <f>IF(WEEKNUM(EarningsPerDay[[#This Row],[Date]], 2) = 53, 1, WEEKNUM(EarningsPerDay[[#This Row],[Date]],2))</f>
        <v>37</v>
      </c>
      <c r="H68" s="40" t="str">
        <f t="shared" si="20"/>
        <v>Friday</v>
      </c>
      <c r="I6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8" s="40" t="str" cm="1">
        <f t="array" ref="J68">IFERROR(VLOOKUP(MODE(IF(Combined[Date]=EarningsPerDay[[#This Row],[Date]],Combined[Area '#])),KPIs!$B$4:$C$7,2,FALSE),VLOOKUP(EarningsPerDay[[#This Row],[Date]],Combined[[Date]:[Primary Area]],8,FALSE))</f>
        <v>Brunswick/Bath/Freeport</v>
      </c>
      <c r="K68" s="40" t="str">
        <f>_xlfn.XLOOKUP(EarningsPerDay[[#This Row],[Date]],Mileage[Date],Mileage[Weather])</f>
        <v>Clear</v>
      </c>
      <c r="L68" s="4">
        <f>_xlfn.XLOOKUP(EarningsPerDay[[#This Row],[Date]],Mileage[Date],Mileage[Hi Temp])</f>
        <v>73.099999999999994</v>
      </c>
      <c r="M68" s="12">
        <f>_xlfn.XLOOKUP(EarningsPerDay[[#This Row],[Date]],Mileage[Date],Mileage[Total Time])</f>
        <v>3.1</v>
      </c>
      <c r="N68" s="4">
        <f>_xlfn.XLOOKUP(EarningsPerDay[[#This Row],[Date]],Mileage[Date],Mileage[Mileage])</f>
        <v>50.099999999999994</v>
      </c>
      <c r="O68" s="4">
        <f>SUMIF(Combined[Date],EarningsPerDay[[#This Row],[Date]],Combined[Trips])</f>
        <v>10</v>
      </c>
      <c r="P68">
        <f>COUNTIF(Combined[Date],EarningsPerDay[[#This Row],[Date]])</f>
        <v>1</v>
      </c>
      <c r="Q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" s="11">
        <f>SUMIF(Combined[Date],EarningsPerDay[[#This Row],[Date]],Combined[Earnings])</f>
        <v>83.36</v>
      </c>
      <c r="S68" s="11">
        <f ca="1">EarningsPerDay[[#This Row],[Gross Earnings]]-(EarningsPerDay[[#This Row],[Miles]]*CpM!$D$11)</f>
        <v>72.189048059322985</v>
      </c>
      <c r="T68" s="11">
        <f t="shared" si="21"/>
        <v>26.890322580645162</v>
      </c>
      <c r="U68" s="11">
        <f t="shared" ca="1" si="22"/>
        <v>23.2867896965558</v>
      </c>
      <c r="V68" s="11">
        <f>EarningsPerDay[[#This Row],[Gross Earnings]]/EarningsPerDay[[#This Row],[Deliveries]]</f>
        <v>8.3360000000000003</v>
      </c>
      <c r="W68" s="11">
        <f>EarningsPerDay[[#This Row],[Gross Earnings]]/EarningsPerDay[[#This Row],[Miles]]</f>
        <v>1.6638722554890222</v>
      </c>
      <c r="X68" s="71">
        <f>EarningsPerDay[[#This Row],[Deliveries]]/EarningsPerDay[[#This Row],[Hours]]</f>
        <v>3.225806451612903</v>
      </c>
      <c r="Y68" s="71">
        <f>EarningsPerDay[[#This Row],[Miles]]/EarningsPerDay[[#This Row],[Deliveries]]</f>
        <v>5.01</v>
      </c>
      <c r="Z68" s="81">
        <f>(EarningsPerDay[[#This Row],[Hours]]/EarningsPerDay[[#This Row],[Deliveries]])/24</f>
        <v>1.2916666666666667E-2</v>
      </c>
      <c r="AA6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68" s="11">
        <f>AVERAGEIFS(EarningsPerDay[Gross $/Hour],EarningsPerDay[Week '#], EarningsPerDay[[#This Row],[Week '#]], EarningsPerDay[DOW], EarningsPerDay[[#This Row],[DOW]])</f>
        <v>27.690267905647875</v>
      </c>
      <c r="AC68" s="11">
        <f>EarningsPerDay[[#This Row],[Gross $/Hour]] - EarningsPerDay[[#This Row],[Weekly Average Earnings]]</f>
        <v>-0.79994532500271376</v>
      </c>
      <c r="AD68" s="11">
        <f>(SUMIFS(EarningsPerDay[Gross Earnings], EarningsPerDay[Date],"&gt;="&amp;EarningsPerDay[[#This Row],[Date]]-89, EarningsPerDay[Date], "&lt;="&amp;EarningsPerDay[[#This Row],[Date]]))/90</f>
        <v>10.66</v>
      </c>
      <c r="AE68" s="11"/>
      <c r="AH68" s="11"/>
      <c r="AI68" s="11"/>
    </row>
    <row r="69" spans="1:35" x14ac:dyDescent="0.35">
      <c r="A69" s="55"/>
      <c r="B69" s="40">
        <v>44451</v>
      </c>
      <c r="C69" s="40">
        <f t="shared" si="19"/>
        <v>44451</v>
      </c>
      <c r="D69" s="4">
        <f>IF(EarningsPerDay[[#This Row],[Week '#]]&gt;=52,YEAR(EarningsPerDay[[#This Row],[Date]])-1,YEAR(EarningsPerDay[[#This Row],[Date]]))</f>
        <v>2021</v>
      </c>
      <c r="E69" s="4" t="str">
        <f>"QTR"&amp;IF(EarningsPerDay[[#This Row],[Week '#]] &lt;= 13, 1, IF(EarningsPerDay[[#This Row],[Week '#]] &lt;= 26, 2, IF(EarningsPerDay[[#This Row],[Week '#]] &lt;= 39, 3, 4)))</f>
        <v>QTR3</v>
      </c>
      <c r="F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9" s="4">
        <f>IF(WEEKNUM(EarningsPerDay[[#This Row],[Date]], 2) = 53, 1, WEEKNUM(EarningsPerDay[[#This Row],[Date]],2))</f>
        <v>37</v>
      </c>
      <c r="H69" s="40" t="str">
        <f t="shared" si="20"/>
        <v>Sunday</v>
      </c>
      <c r="I69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69" s="40" t="str" cm="1">
        <f t="array" ref="J69">IFERROR(VLOOKUP(MODE(IF(Combined[Date]=EarningsPerDay[[#This Row],[Date]],Combined[Area '#])),KPIs!$B$4:$C$7,2,FALSE),VLOOKUP(EarningsPerDay[[#This Row],[Date]],Combined[[Date]:[Primary Area]],8,FALSE))</f>
        <v>Brunswick/Bath/Freeport</v>
      </c>
      <c r="K69" s="40" t="str">
        <f>_xlfn.XLOOKUP(EarningsPerDay[[#This Row],[Date]],Mileage[Date],Mileage[Weather])</f>
        <v>Clear</v>
      </c>
      <c r="L69" s="4">
        <f>_xlfn.XLOOKUP(EarningsPerDay[[#This Row],[Date]],Mileage[Date],Mileage[Hi Temp])</f>
        <v>74.3</v>
      </c>
      <c r="M69" s="12">
        <f>_xlfn.XLOOKUP(EarningsPerDay[[#This Row],[Date]],Mileage[Date],Mileage[Total Time])</f>
        <v>0.5</v>
      </c>
      <c r="N69" s="4">
        <f>_xlfn.XLOOKUP(EarningsPerDay[[#This Row],[Date]],Mileage[Date],Mileage[Mileage])</f>
        <v>13.3</v>
      </c>
      <c r="O69" s="4">
        <f>SUMIF(Combined[Date],EarningsPerDay[[#This Row],[Date]],Combined[Trips])</f>
        <v>2</v>
      </c>
      <c r="P69">
        <f>COUNTIF(Combined[Date],EarningsPerDay[[#This Row],[Date]])</f>
        <v>1</v>
      </c>
      <c r="Q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" s="11">
        <f>SUMIF(Combined[Date],EarningsPerDay[[#This Row],[Date]],Combined[Earnings])</f>
        <v>20.149999999999999</v>
      </c>
      <c r="S69" s="11">
        <f ca="1">EarningsPerDay[[#This Row],[Gross Earnings]]-(EarningsPerDay[[#This Row],[Miles]]*CpM!$D$11)</f>
        <v>17.184457868043822</v>
      </c>
      <c r="T69" s="11">
        <f t="shared" si="21"/>
        <v>40.299999999999997</v>
      </c>
      <c r="U69" s="11">
        <f t="shared" ca="1" si="22"/>
        <v>34.368915736087644</v>
      </c>
      <c r="V69" s="11">
        <f>EarningsPerDay[[#This Row],[Gross Earnings]]/EarningsPerDay[[#This Row],[Deliveries]]</f>
        <v>10.074999999999999</v>
      </c>
      <c r="W69" s="11">
        <f>EarningsPerDay[[#This Row],[Gross Earnings]]/EarningsPerDay[[#This Row],[Miles]]</f>
        <v>1.5150375939849623</v>
      </c>
      <c r="X69" s="71">
        <f>EarningsPerDay[[#This Row],[Deliveries]]/EarningsPerDay[[#This Row],[Hours]]</f>
        <v>4</v>
      </c>
      <c r="Y69" s="71">
        <f>EarningsPerDay[[#This Row],[Miles]]/EarningsPerDay[[#This Row],[Deliveries]]</f>
        <v>6.65</v>
      </c>
      <c r="Z69" s="81">
        <f>(EarningsPerDay[[#This Row],[Hours]]/EarningsPerDay[[#This Row],[Deliveries]])/24</f>
        <v>1.0416666666666666E-2</v>
      </c>
      <c r="AA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25.668421052631576</v>
      </c>
      <c r="AB69" s="11">
        <f>AVERAGEIFS(EarningsPerDay[Gross $/Hour],EarningsPerDay[Week '#], EarningsPerDay[[#This Row],[Week '#]], EarningsPerDay[DOW], EarningsPerDay[[#This Row],[DOW]])</f>
        <v>25.652020692468419</v>
      </c>
      <c r="AC69" s="11">
        <f>EarningsPerDay[[#This Row],[Gross $/Hour]] - EarningsPerDay[[#This Row],[Weekly Average Earnings]]</f>
        <v>14.647979307531578</v>
      </c>
      <c r="AD69" s="11">
        <f>(SUMIFS(EarningsPerDay[Gross Earnings], EarningsPerDay[Date],"&gt;="&amp;EarningsPerDay[[#This Row],[Date]]-89, EarningsPerDay[Date], "&lt;="&amp;EarningsPerDay[[#This Row],[Date]]))/90</f>
        <v>10.486666666666668</v>
      </c>
      <c r="AE69" s="11"/>
      <c r="AH69" s="11"/>
      <c r="AI69" s="11"/>
    </row>
    <row r="70" spans="1:35" x14ac:dyDescent="0.35">
      <c r="A70" s="55"/>
      <c r="B70" s="40">
        <v>44455</v>
      </c>
      <c r="C70" s="40">
        <f t="shared" si="19"/>
        <v>44455</v>
      </c>
      <c r="D70" s="4">
        <f>IF(EarningsPerDay[[#This Row],[Week '#]]&gt;=52,YEAR(EarningsPerDay[[#This Row],[Date]])-1,YEAR(EarningsPerDay[[#This Row],[Date]]))</f>
        <v>2021</v>
      </c>
      <c r="E70" s="4" t="str">
        <f>"QTR"&amp;IF(EarningsPerDay[[#This Row],[Week '#]] &lt;= 13, 1, IF(EarningsPerDay[[#This Row],[Week '#]] &lt;= 26, 2, IF(EarningsPerDay[[#This Row],[Week '#]] &lt;= 39, 3, 4)))</f>
        <v>QTR3</v>
      </c>
      <c r="F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0" s="4">
        <f>IF(WEEKNUM(EarningsPerDay[[#This Row],[Date]], 2) = 53, 1, WEEKNUM(EarningsPerDay[[#This Row],[Date]],2))</f>
        <v>38</v>
      </c>
      <c r="H70" s="40" t="str">
        <f t="shared" si="20"/>
        <v>Thursday</v>
      </c>
      <c r="I7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0" s="40" t="str" cm="1">
        <f t="array" ref="J70">IFERROR(VLOOKUP(MODE(IF(Combined[Date]=EarningsPerDay[[#This Row],[Date]],Combined[Area '#])),KPIs!$B$4:$C$7,2,FALSE),VLOOKUP(EarningsPerDay[[#This Row],[Date]],Combined[[Date]:[Primary Area]],8,FALSE))</f>
        <v>Brunswick/Bath/Freeport</v>
      </c>
      <c r="K70" s="40" t="str">
        <f>_xlfn.XLOOKUP(EarningsPerDay[[#This Row],[Date]],Mileage[Date],Mileage[Weather])</f>
        <v>Partially Cloudy</v>
      </c>
      <c r="L70" s="4">
        <f>_xlfn.XLOOKUP(EarningsPerDay[[#This Row],[Date]],Mileage[Date],Mileage[Hi Temp])</f>
        <v>72</v>
      </c>
      <c r="M70" s="12">
        <f>_xlfn.XLOOKUP(EarningsPerDay[[#This Row],[Date]],Mileage[Date],Mileage[Total Time])</f>
        <v>3.1</v>
      </c>
      <c r="N70" s="4">
        <f>_xlfn.XLOOKUP(EarningsPerDay[[#This Row],[Date]],Mileage[Date],Mileage[Mileage])</f>
        <v>76.8</v>
      </c>
      <c r="O70" s="4">
        <f>SUMIF(Combined[Date],EarningsPerDay[[#This Row],[Date]],Combined[Trips])</f>
        <v>4</v>
      </c>
      <c r="P70">
        <f>COUNTIF(Combined[Date],EarningsPerDay[[#This Row],[Date]])</f>
        <v>1</v>
      </c>
      <c r="Q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" s="11">
        <f>SUMIF(Combined[Date],EarningsPerDay[[#This Row],[Date]],Combined[Earnings])</f>
        <v>39.5</v>
      </c>
      <c r="S70" s="11">
        <f ca="1">EarningsPerDay[[#This Row],[Gross Earnings]]-(EarningsPerDay[[#This Row],[Miles]]*CpM!$D$11)</f>
        <v>22.375666486147804</v>
      </c>
      <c r="T70" s="11">
        <f t="shared" si="21"/>
        <v>12.741935483870968</v>
      </c>
      <c r="U70" s="11">
        <f t="shared" ca="1" si="22"/>
        <v>7.2179569310154204</v>
      </c>
      <c r="V70" s="11">
        <f>EarningsPerDay[[#This Row],[Gross Earnings]]/EarningsPerDay[[#This Row],[Deliveries]]</f>
        <v>9.875</v>
      </c>
      <c r="W70" s="11">
        <f>EarningsPerDay[[#This Row],[Gross Earnings]]/EarningsPerDay[[#This Row],[Miles]]</f>
        <v>0.51432291666666674</v>
      </c>
      <c r="X70" s="71">
        <f>EarningsPerDay[[#This Row],[Deliveries]]/EarningsPerDay[[#This Row],[Hours]]</f>
        <v>1.2903225806451613</v>
      </c>
      <c r="Y70" s="71">
        <f>EarningsPerDay[[#This Row],[Miles]]/EarningsPerDay[[#This Row],[Deliveries]]</f>
        <v>19.2</v>
      </c>
      <c r="Z70" s="81">
        <f>(EarningsPerDay[[#This Row],[Hours]]/EarningsPerDay[[#This Row],[Deliveries]])/24</f>
        <v>3.229166666666667E-2</v>
      </c>
      <c r="AA7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0" s="11">
        <f>AVERAGEIFS(EarningsPerDay[Gross $/Hour],EarningsPerDay[Week '#], EarningsPerDay[[#This Row],[Week '#]], EarningsPerDay[DOW], EarningsPerDay[[#This Row],[DOW]])</f>
        <v>19.309961720695359</v>
      </c>
      <c r="AC70" s="11">
        <f>EarningsPerDay[[#This Row],[Gross $/Hour]] - EarningsPerDay[[#This Row],[Weekly Average Earnings]]</f>
        <v>-6.5680262368243909</v>
      </c>
      <c r="AD70" s="11">
        <f>(SUMIFS(EarningsPerDay[Gross Earnings], EarningsPerDay[Date],"&gt;="&amp;EarningsPerDay[[#This Row],[Date]]-89, EarningsPerDay[Date], "&lt;="&amp;EarningsPerDay[[#This Row],[Date]]))/90</f>
        <v>10.925555555555556</v>
      </c>
      <c r="AE70" s="11"/>
      <c r="AH70" s="11"/>
      <c r="AI70" s="11"/>
    </row>
    <row r="71" spans="1:35" x14ac:dyDescent="0.35">
      <c r="A71" s="55"/>
      <c r="B71" s="40">
        <v>44464</v>
      </c>
      <c r="C71" s="40">
        <f t="shared" si="19"/>
        <v>44464</v>
      </c>
      <c r="D71" s="4">
        <f>IF(EarningsPerDay[[#This Row],[Week '#]]&gt;=52,YEAR(EarningsPerDay[[#This Row],[Date]])-1,YEAR(EarningsPerDay[[#This Row],[Date]]))</f>
        <v>2021</v>
      </c>
      <c r="E71" s="4" t="str">
        <f>"QTR"&amp;IF(EarningsPerDay[[#This Row],[Week '#]] &lt;= 13, 1, IF(EarningsPerDay[[#This Row],[Week '#]] &lt;= 26, 2, IF(EarningsPerDay[[#This Row],[Week '#]] &lt;= 39, 3, 4)))</f>
        <v>QTR3</v>
      </c>
      <c r="F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1" s="4">
        <f>IF(WEEKNUM(EarningsPerDay[[#This Row],[Date]], 2) = 53, 1, WEEKNUM(EarningsPerDay[[#This Row],[Date]],2))</f>
        <v>39</v>
      </c>
      <c r="H71" s="40" t="str">
        <f t="shared" si="20"/>
        <v>Saturday</v>
      </c>
      <c r="I71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71" s="40" t="str" cm="1">
        <f t="array" ref="J71">IFERROR(VLOOKUP(MODE(IF(Combined[Date]=EarningsPerDay[[#This Row],[Date]],Combined[Area '#])),KPIs!$B$4:$C$7,2,FALSE),VLOOKUP(EarningsPerDay[[#This Row],[Date]],Combined[[Date]:[Primary Area]],8,FALSE))</f>
        <v>Brunswick/Bath/Freeport</v>
      </c>
      <c r="K71" s="40" t="str">
        <f>_xlfn.XLOOKUP(EarningsPerDay[[#This Row],[Date]],Mileage[Date],Mileage[Weather])</f>
        <v>Rain</v>
      </c>
      <c r="L71" s="4">
        <f>_xlfn.XLOOKUP(EarningsPerDay[[#This Row],[Date]],Mileage[Date],Mileage[Hi Temp])</f>
        <v>69.7</v>
      </c>
      <c r="M71" s="12">
        <f>_xlfn.XLOOKUP(EarningsPerDay[[#This Row],[Date]],Mileage[Date],Mileage[Total Time])</f>
        <v>7.3000000000000016</v>
      </c>
      <c r="N71" s="4">
        <f>_xlfn.XLOOKUP(EarningsPerDay[[#This Row],[Date]],Mileage[Date],Mileage[Mileage])</f>
        <v>152.30000000000001</v>
      </c>
      <c r="O71" s="4">
        <f>SUMIF(Combined[Date],EarningsPerDay[[#This Row],[Date]],Combined[Trips])</f>
        <v>16</v>
      </c>
      <c r="P71">
        <f>COUNTIF(Combined[Date],EarningsPerDay[[#This Row],[Date]])</f>
        <v>2</v>
      </c>
      <c r="Q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" s="11">
        <f>SUMIF(Combined[Date],EarningsPerDay[[#This Row],[Date]],Combined[Earnings])</f>
        <v>179.39999999999998</v>
      </c>
      <c r="S71" s="11">
        <f ca="1">EarningsPerDay[[#This Row],[Gross Earnings]]-(EarningsPerDay[[#This Row],[Miles]]*CpM!$D$11)</f>
        <v>145.44119799271235</v>
      </c>
      <c r="T71" s="11">
        <f t="shared" si="21"/>
        <v>24.575342465753415</v>
      </c>
      <c r="U71" s="11">
        <f t="shared" ca="1" si="22"/>
        <v>19.923451779823605</v>
      </c>
      <c r="V71" s="11">
        <f>EarningsPerDay[[#This Row],[Gross Earnings]]/EarningsPerDay[[#This Row],[Deliveries]]</f>
        <v>11.212499999999999</v>
      </c>
      <c r="W71" s="11">
        <f>EarningsPerDay[[#This Row],[Gross Earnings]]/EarningsPerDay[[#This Row],[Miles]]</f>
        <v>1.1779382797110962</v>
      </c>
      <c r="X71" s="71">
        <f>EarningsPerDay[[#This Row],[Deliveries]]/EarningsPerDay[[#This Row],[Hours]]</f>
        <v>2.1917808219178077</v>
      </c>
      <c r="Y71" s="71">
        <f>EarningsPerDay[[#This Row],[Miles]]/EarningsPerDay[[#This Row],[Deliveries]]</f>
        <v>9.5187500000000007</v>
      </c>
      <c r="Z71" s="81">
        <f>(EarningsPerDay[[#This Row],[Hours]]/EarningsPerDay[[#This Row],[Deliveries]])/24</f>
        <v>1.9010416666666672E-2</v>
      </c>
      <c r="AA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9.3213742117851623</v>
      </c>
      <c r="AB71" s="11">
        <f>AVERAGEIFS(EarningsPerDay[Gross $/Hour],EarningsPerDay[Week '#], EarningsPerDay[[#This Row],[Week '#]], EarningsPerDay[DOW], EarningsPerDay[[#This Row],[DOW]])</f>
        <v>26.218122565395614</v>
      </c>
      <c r="AC71" s="11">
        <f>EarningsPerDay[[#This Row],[Gross $/Hour]] - EarningsPerDay[[#This Row],[Weekly Average Earnings]]</f>
        <v>-1.6427800996421986</v>
      </c>
      <c r="AD71" s="11">
        <f>(SUMIFS(EarningsPerDay[Gross Earnings], EarningsPerDay[Date],"&gt;="&amp;EarningsPerDay[[#This Row],[Date]]-89, EarningsPerDay[Date], "&lt;="&amp;EarningsPerDay[[#This Row],[Date]]))/90</f>
        <v>7.4749999999999996</v>
      </c>
      <c r="AE71" s="11"/>
      <c r="AH71" s="11"/>
      <c r="AI71" s="11"/>
    </row>
    <row r="72" spans="1:35" x14ac:dyDescent="0.35">
      <c r="A72" s="55"/>
      <c r="B72" s="40">
        <v>44471</v>
      </c>
      <c r="C72" s="40">
        <f t="shared" si="19"/>
        <v>44471</v>
      </c>
      <c r="D72" s="4">
        <f>IF(EarningsPerDay[[#This Row],[Week '#]]&gt;=52,YEAR(EarningsPerDay[[#This Row],[Date]])-1,YEAR(EarningsPerDay[[#This Row],[Date]]))</f>
        <v>2021</v>
      </c>
      <c r="E72" s="4" t="str">
        <f>"QTR"&amp;IF(EarningsPerDay[[#This Row],[Week '#]] &lt;= 13, 1, IF(EarningsPerDay[[#This Row],[Week '#]] &lt;= 26, 2, IF(EarningsPerDay[[#This Row],[Week '#]] &lt;= 39, 3, 4)))</f>
        <v>QTR4</v>
      </c>
      <c r="F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72" s="4">
        <f>IF(WEEKNUM(EarningsPerDay[[#This Row],[Date]], 2) = 53, 1, WEEKNUM(EarningsPerDay[[#This Row],[Date]],2))</f>
        <v>40</v>
      </c>
      <c r="H72" s="40" t="str">
        <f t="shared" si="20"/>
        <v>Saturday</v>
      </c>
      <c r="I7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2" s="40" t="str" cm="1">
        <f t="array" ref="J72">IFERROR(VLOOKUP(MODE(IF(Combined[Date]=EarningsPerDay[[#This Row],[Date]],Combined[Area '#])),KPIs!$B$4:$C$7,2,FALSE),VLOOKUP(EarningsPerDay[[#This Row],[Date]],Combined[[Date]:[Primary Area]],8,FALSE))</f>
        <v>Brunswick/Bath/Freeport</v>
      </c>
      <c r="K72" s="40" t="str">
        <f>_xlfn.XLOOKUP(EarningsPerDay[[#This Row],[Date]],Mileage[Date],Mileage[Weather])</f>
        <v>Rain</v>
      </c>
      <c r="L72" s="4">
        <f>_xlfn.XLOOKUP(EarningsPerDay[[#This Row],[Date]],Mileage[Date],Mileage[Hi Temp])</f>
        <v>55.4</v>
      </c>
      <c r="M72" s="12">
        <f>_xlfn.XLOOKUP(EarningsPerDay[[#This Row],[Date]],Mileage[Date],Mileage[Total Time])</f>
        <v>2.0999999999999996</v>
      </c>
      <c r="N72" s="4">
        <f>_xlfn.XLOOKUP(EarningsPerDay[[#This Row],[Date]],Mileage[Date],Mileage[Mileage])</f>
        <v>40</v>
      </c>
      <c r="O72" s="4">
        <f>SUMIF(Combined[Date],EarningsPerDay[[#This Row],[Date]],Combined[Trips])</f>
        <v>5</v>
      </c>
      <c r="P72">
        <f>COUNTIF(Combined[Date],EarningsPerDay[[#This Row],[Date]])</f>
        <v>1</v>
      </c>
      <c r="Q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" s="11">
        <f>SUMIF(Combined[Date],EarningsPerDay[[#This Row],[Date]],Combined[Earnings])</f>
        <v>35.75</v>
      </c>
      <c r="S72" s="11">
        <f ca="1">EarningsPerDay[[#This Row],[Gross Earnings]]-(EarningsPerDay[[#This Row],[Miles]]*CpM!$D$11)</f>
        <v>26.831076294868645</v>
      </c>
      <c r="T72" s="11">
        <f t="shared" si="21"/>
        <v>17.023809523809526</v>
      </c>
      <c r="U72" s="11">
        <f t="shared" ca="1" si="22"/>
        <v>12.7767029975565</v>
      </c>
      <c r="V72" s="11">
        <f>EarningsPerDay[[#This Row],[Gross Earnings]]/EarningsPerDay[[#This Row],[Deliveries]]</f>
        <v>7.15</v>
      </c>
      <c r="W72" s="11">
        <f>EarningsPerDay[[#This Row],[Gross Earnings]]/EarningsPerDay[[#This Row],[Miles]]</f>
        <v>0.89375000000000004</v>
      </c>
      <c r="X72" s="71">
        <f>EarningsPerDay[[#This Row],[Deliveries]]/EarningsPerDay[[#This Row],[Hours]]</f>
        <v>2.3809523809523814</v>
      </c>
      <c r="Y72" s="71">
        <f>EarningsPerDay[[#This Row],[Miles]]/EarningsPerDay[[#This Row],[Deliveries]]</f>
        <v>8</v>
      </c>
      <c r="Z72" s="81">
        <f>(EarningsPerDay[[#This Row],[Hours]]/EarningsPerDay[[#This Row],[Deliveries]])/24</f>
        <v>1.7499999999999998E-2</v>
      </c>
      <c r="AA7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2" s="11">
        <f>AVERAGEIFS(EarningsPerDay[Gross $/Hour],EarningsPerDay[Week '#], EarningsPerDay[[#This Row],[Week '#]], EarningsPerDay[DOW], EarningsPerDay[[#This Row],[DOW]])</f>
        <v>19.21857142857143</v>
      </c>
      <c r="AC72" s="11">
        <f>EarningsPerDay[[#This Row],[Gross $/Hour]] - EarningsPerDay[[#This Row],[Weekly Average Earnings]]</f>
        <v>-2.1947619047619042</v>
      </c>
      <c r="AD72" s="11">
        <f>(SUMIFS(EarningsPerDay[Gross Earnings], EarningsPerDay[Date],"&gt;="&amp;EarningsPerDay[[#This Row],[Date]]-89, EarningsPerDay[Date], "&lt;="&amp;EarningsPerDay[[#This Row],[Date]]))/90</f>
        <v>5.6424444444444442</v>
      </c>
      <c r="AE72" s="11"/>
      <c r="AH72" s="11"/>
      <c r="AI72" s="11"/>
    </row>
    <row r="73" spans="1:35" x14ac:dyDescent="0.35">
      <c r="A73" s="55"/>
      <c r="B73" s="40">
        <v>44479</v>
      </c>
      <c r="C73" s="40">
        <f t="shared" si="19"/>
        <v>44479</v>
      </c>
      <c r="D73" s="4">
        <f>IF(EarningsPerDay[[#This Row],[Week '#]]&gt;=52,YEAR(EarningsPerDay[[#This Row],[Date]])-1,YEAR(EarningsPerDay[[#This Row],[Date]]))</f>
        <v>2021</v>
      </c>
      <c r="E73" s="4" t="str">
        <f>"QTR"&amp;IF(EarningsPerDay[[#This Row],[Week '#]] &lt;= 13, 1, IF(EarningsPerDay[[#This Row],[Week '#]] &lt;= 26, 2, IF(EarningsPerDay[[#This Row],[Week '#]] &lt;= 39, 3, 4)))</f>
        <v>QTR4</v>
      </c>
      <c r="F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73" s="4">
        <f>IF(WEEKNUM(EarningsPerDay[[#This Row],[Date]], 2) = 53, 1, WEEKNUM(EarningsPerDay[[#This Row],[Date]],2))</f>
        <v>41</v>
      </c>
      <c r="H73" s="40" t="str">
        <f t="shared" si="20"/>
        <v>Sunday</v>
      </c>
      <c r="I7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3" s="40" t="str" cm="1">
        <f t="array" ref="J73">IFERROR(VLOOKUP(MODE(IF(Combined[Date]=EarningsPerDay[[#This Row],[Date]],Combined[Area '#])),KPIs!$B$4:$C$7,2,FALSE),VLOOKUP(EarningsPerDay[[#This Row],[Date]],Combined[[Date]:[Primary Area]],8,FALSE))</f>
        <v>Brunswick/Bath/Freeport</v>
      </c>
      <c r="K73" s="40" t="str">
        <f>_xlfn.XLOOKUP(EarningsPerDay[[#This Row],[Date]],Mileage[Date],Mileage[Weather])</f>
        <v>Partially Cloudy</v>
      </c>
      <c r="L73" s="4">
        <f>_xlfn.XLOOKUP(EarningsPerDay[[#This Row],[Date]],Mileage[Date],Mileage[Hi Temp])</f>
        <v>67.599999999999994</v>
      </c>
      <c r="M73" s="12">
        <f>_xlfn.XLOOKUP(EarningsPerDay[[#This Row],[Date]],Mileage[Date],Mileage[Total Time])</f>
        <v>1.2</v>
      </c>
      <c r="N73" s="4">
        <f>_xlfn.XLOOKUP(EarningsPerDay[[#This Row],[Date]],Mileage[Date],Mileage[Mileage])</f>
        <v>35</v>
      </c>
      <c r="O73" s="4">
        <f>SUMIF(Combined[Date],EarningsPerDay[[#This Row],[Date]],Combined[Trips])</f>
        <v>2</v>
      </c>
      <c r="P73">
        <f>COUNTIF(Combined[Date],EarningsPerDay[[#This Row],[Date]])</f>
        <v>1</v>
      </c>
      <c r="Q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" s="11">
        <f>SUMIF(Combined[Date],EarningsPerDay[[#This Row],[Date]],Combined[Earnings])</f>
        <v>22.5</v>
      </c>
      <c r="S73" s="11">
        <f ca="1">EarningsPerDay[[#This Row],[Gross Earnings]]-(EarningsPerDay[[#This Row],[Miles]]*CpM!$D$11)</f>
        <v>14.695941758010065</v>
      </c>
      <c r="T73" s="11">
        <f t="shared" si="21"/>
        <v>18.75</v>
      </c>
      <c r="U73" s="11">
        <f t="shared" ca="1" si="22"/>
        <v>12.246618131675055</v>
      </c>
      <c r="V73" s="11">
        <f>EarningsPerDay[[#This Row],[Gross Earnings]]/EarningsPerDay[[#This Row],[Deliveries]]</f>
        <v>11.25</v>
      </c>
      <c r="W73" s="11">
        <f>EarningsPerDay[[#This Row],[Gross Earnings]]/EarningsPerDay[[#This Row],[Miles]]</f>
        <v>0.6428571428571429</v>
      </c>
      <c r="X73" s="71">
        <f>EarningsPerDay[[#This Row],[Deliveries]]/EarningsPerDay[[#This Row],[Hours]]</f>
        <v>1.6666666666666667</v>
      </c>
      <c r="Y73" s="71">
        <f>EarningsPerDay[[#This Row],[Miles]]/EarningsPerDay[[#This Row],[Deliveries]]</f>
        <v>17.5</v>
      </c>
      <c r="Z73" s="81">
        <f>(EarningsPerDay[[#This Row],[Hours]]/EarningsPerDay[[#This Row],[Deliveries]])/24</f>
        <v>2.4999999999999998E-2</v>
      </c>
      <c r="AA7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3" s="11">
        <f>AVERAGEIFS(EarningsPerDay[Gross $/Hour],EarningsPerDay[Week '#], EarningsPerDay[[#This Row],[Week '#]], EarningsPerDay[DOW], EarningsPerDay[[#This Row],[DOW]])</f>
        <v>18.75</v>
      </c>
      <c r="AC73" s="11">
        <f>EarningsPerDay[[#This Row],[Gross $/Hour]] - EarningsPerDay[[#This Row],[Weekly Average Earnings]]</f>
        <v>0</v>
      </c>
      <c r="AD73" s="11">
        <f>(SUMIFS(EarningsPerDay[Gross Earnings], EarningsPerDay[Date],"&gt;="&amp;EarningsPerDay[[#This Row],[Date]]-89, EarningsPerDay[Date], "&lt;="&amp;EarningsPerDay[[#This Row],[Date]]))/90</f>
        <v>5.8924444444444442</v>
      </c>
      <c r="AE73" s="11"/>
      <c r="AH73" s="11"/>
      <c r="AI73" s="11"/>
    </row>
    <row r="74" spans="1:35" x14ac:dyDescent="0.35">
      <c r="A74" s="55"/>
      <c r="B74" s="40">
        <v>44480</v>
      </c>
      <c r="C74" s="40">
        <f t="shared" si="19"/>
        <v>44480</v>
      </c>
      <c r="D74" s="4">
        <f>IF(EarningsPerDay[[#This Row],[Week '#]]&gt;=52,YEAR(EarningsPerDay[[#This Row],[Date]])-1,YEAR(EarningsPerDay[[#This Row],[Date]]))</f>
        <v>2021</v>
      </c>
      <c r="E74" s="4" t="str">
        <f>"QTR"&amp;IF(EarningsPerDay[[#This Row],[Week '#]] &lt;= 13, 1, IF(EarningsPerDay[[#This Row],[Week '#]] &lt;= 26, 2, IF(EarningsPerDay[[#This Row],[Week '#]] &lt;= 39, 3, 4)))</f>
        <v>QTR4</v>
      </c>
      <c r="F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74" s="4">
        <f>IF(WEEKNUM(EarningsPerDay[[#This Row],[Date]], 2) = 53, 1, WEEKNUM(EarningsPerDay[[#This Row],[Date]],2))</f>
        <v>42</v>
      </c>
      <c r="H74" s="40" t="str">
        <f t="shared" si="20"/>
        <v>Monday</v>
      </c>
      <c r="I7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4" s="40" t="str" cm="1">
        <f t="array" ref="J74">IFERROR(VLOOKUP(MODE(IF(Combined[Date]=EarningsPerDay[[#This Row],[Date]],Combined[Area '#])),KPIs!$B$4:$C$7,2,FALSE),VLOOKUP(EarningsPerDay[[#This Row],[Date]],Combined[[Date]:[Primary Area]],8,FALSE))</f>
        <v>Brunswick/Bath/Freeport</v>
      </c>
      <c r="K74" s="40" t="str">
        <f>_xlfn.XLOOKUP(EarningsPerDay[[#This Row],[Date]],Mileage[Date],Mileage[Weather])</f>
        <v>Partially Cloudy</v>
      </c>
      <c r="L74" s="4">
        <f>_xlfn.XLOOKUP(EarningsPerDay[[#This Row],[Date]],Mileage[Date],Mileage[Hi Temp])</f>
        <v>74.599999999999994</v>
      </c>
      <c r="M74" s="12">
        <f>_xlfn.XLOOKUP(EarningsPerDay[[#This Row],[Date]],Mileage[Date],Mileage[Total Time])</f>
        <v>2.2999999999999998</v>
      </c>
      <c r="N74" s="4">
        <f>_xlfn.XLOOKUP(EarningsPerDay[[#This Row],[Date]],Mileage[Date],Mileage[Mileage])</f>
        <v>43.199999999999996</v>
      </c>
      <c r="O74" s="4">
        <f>SUMIF(Combined[Date],EarningsPerDay[[#This Row],[Date]],Combined[Trips])</f>
        <v>3</v>
      </c>
      <c r="P74">
        <f>COUNTIF(Combined[Date],EarningsPerDay[[#This Row],[Date]])</f>
        <v>1</v>
      </c>
      <c r="Q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4" s="11">
        <f>SUMIF(Combined[Date],EarningsPerDay[[#This Row],[Date]],Combined[Earnings])</f>
        <v>43.75</v>
      </c>
      <c r="S74" s="11">
        <f ca="1">EarningsPerDay[[#This Row],[Gross Earnings]]-(EarningsPerDay[[#This Row],[Miles]]*CpM!$D$11)</f>
        <v>34.117562398458141</v>
      </c>
      <c r="T74" s="11">
        <f t="shared" si="21"/>
        <v>19.021739130434785</v>
      </c>
      <c r="U74" s="11">
        <f t="shared" ca="1" si="22"/>
        <v>14.833722781938324</v>
      </c>
      <c r="V74" s="11">
        <f>EarningsPerDay[[#This Row],[Gross Earnings]]/EarningsPerDay[[#This Row],[Deliveries]]</f>
        <v>14.583333333333334</v>
      </c>
      <c r="W74" s="11">
        <f>EarningsPerDay[[#This Row],[Gross Earnings]]/EarningsPerDay[[#This Row],[Miles]]</f>
        <v>1.0127314814814816</v>
      </c>
      <c r="X74" s="71">
        <f>EarningsPerDay[[#This Row],[Deliveries]]/EarningsPerDay[[#This Row],[Hours]]</f>
        <v>1.3043478260869565</v>
      </c>
      <c r="Y74" s="71">
        <f>EarningsPerDay[[#This Row],[Miles]]/EarningsPerDay[[#This Row],[Deliveries]]</f>
        <v>14.399999999999999</v>
      </c>
      <c r="Z74" s="81">
        <f>(EarningsPerDay[[#This Row],[Hours]]/EarningsPerDay[[#This Row],[Deliveries]])/24</f>
        <v>3.1944444444444442E-2</v>
      </c>
      <c r="AA7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4" s="11">
        <f>AVERAGEIFS(EarningsPerDay[Gross $/Hour],EarningsPerDay[Week '#], EarningsPerDay[[#This Row],[Week '#]], EarningsPerDay[DOW], EarningsPerDay[[#This Row],[DOW]])</f>
        <v>24.193893597623301</v>
      </c>
      <c r="AC74" s="11">
        <f>EarningsPerDay[[#This Row],[Gross $/Hour]] - EarningsPerDay[[#This Row],[Weekly Average Earnings]]</f>
        <v>-5.1721544671885162</v>
      </c>
      <c r="AD74" s="11">
        <f>(SUMIFS(EarningsPerDay[Gross Earnings], EarningsPerDay[Date],"&gt;="&amp;EarningsPerDay[[#This Row],[Date]]-89, EarningsPerDay[Date], "&lt;="&amp;EarningsPerDay[[#This Row],[Date]]))/90</f>
        <v>6.3785555555555549</v>
      </c>
      <c r="AE74" s="11"/>
      <c r="AH74" s="11"/>
      <c r="AI74" s="11"/>
    </row>
    <row r="75" spans="1:35" x14ac:dyDescent="0.35">
      <c r="A75" s="55"/>
      <c r="B75" s="40">
        <v>44493</v>
      </c>
      <c r="C75" s="40">
        <f t="shared" si="19"/>
        <v>44493</v>
      </c>
      <c r="D75" s="4">
        <f>IF(EarningsPerDay[[#This Row],[Week '#]]&gt;=52,YEAR(EarningsPerDay[[#This Row],[Date]])-1,YEAR(EarningsPerDay[[#This Row],[Date]]))</f>
        <v>2021</v>
      </c>
      <c r="E75" s="4" t="str">
        <f>"QTR"&amp;IF(EarningsPerDay[[#This Row],[Week '#]] &lt;= 13, 1, IF(EarningsPerDay[[#This Row],[Week '#]] &lt;= 26, 2, IF(EarningsPerDay[[#This Row],[Week '#]] &lt;= 39, 3, 4)))</f>
        <v>QTR4</v>
      </c>
      <c r="F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75" s="4">
        <f>IF(WEEKNUM(EarningsPerDay[[#This Row],[Date]], 2) = 53, 1, WEEKNUM(EarningsPerDay[[#This Row],[Date]],2))</f>
        <v>43</v>
      </c>
      <c r="H75" s="40" t="str">
        <f t="shared" si="20"/>
        <v>Sunday</v>
      </c>
      <c r="I75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75" s="40" t="str" cm="1">
        <f t="array" ref="J75">IFERROR(VLOOKUP(MODE(IF(Combined[Date]=EarningsPerDay[[#This Row],[Date]],Combined[Area '#])),KPIs!$B$4:$C$7,2,FALSE),VLOOKUP(EarningsPerDay[[#This Row],[Date]],Combined[[Date]:[Primary Area]],8,FALSE))</f>
        <v>Brunswick/Bath/Freeport</v>
      </c>
      <c r="K75" s="40" t="str">
        <f>_xlfn.XLOOKUP(EarningsPerDay[[#This Row],[Date]],Mileage[Date],Mileage[Weather])</f>
        <v>Rain</v>
      </c>
      <c r="L75" s="4">
        <f>_xlfn.XLOOKUP(EarningsPerDay[[#This Row],[Date]],Mileage[Date],Mileage[Hi Temp])</f>
        <v>42.9</v>
      </c>
      <c r="M75" s="12">
        <f>_xlfn.XLOOKUP(EarningsPerDay[[#This Row],[Date]],Mileage[Date],Mileage[Total Time])</f>
        <v>5.3999999999999995</v>
      </c>
      <c r="N75" s="4">
        <f>_xlfn.XLOOKUP(EarningsPerDay[[#This Row],[Date]],Mileage[Date],Mileage[Mileage])</f>
        <v>100</v>
      </c>
      <c r="O75" s="4">
        <f>SUMIF(Combined[Date],EarningsPerDay[[#This Row],[Date]],Combined[Trips])</f>
        <v>14</v>
      </c>
      <c r="P75">
        <f>COUNTIF(Combined[Date],EarningsPerDay[[#This Row],[Date]])</f>
        <v>2</v>
      </c>
      <c r="Q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" s="11">
        <f>SUMIF(Combined[Date],EarningsPerDay[[#This Row],[Date]],Combined[Earnings])</f>
        <v>137.51</v>
      </c>
      <c r="S75" s="11">
        <f ca="1">EarningsPerDay[[#This Row],[Gross Earnings]]-(EarningsPerDay[[#This Row],[Miles]]*CpM!$D$11)</f>
        <v>115.21269073717161</v>
      </c>
      <c r="T75" s="11">
        <f t="shared" si="21"/>
        <v>25.464814814814815</v>
      </c>
      <c r="U75" s="11">
        <f t="shared" ca="1" si="22"/>
        <v>21.335683469846597</v>
      </c>
      <c r="V75" s="11">
        <f>EarningsPerDay[[#This Row],[Gross Earnings]]/EarningsPerDay[[#This Row],[Deliveries]]</f>
        <v>9.8221428571428557</v>
      </c>
      <c r="W75" s="11">
        <f>EarningsPerDay[[#This Row],[Gross Earnings]]/EarningsPerDay[[#This Row],[Miles]]</f>
        <v>1.3751</v>
      </c>
      <c r="X75" s="71">
        <f>EarningsPerDay[[#This Row],[Deliveries]]/EarningsPerDay[[#This Row],[Hours]]</f>
        <v>2.592592592592593</v>
      </c>
      <c r="Y75" s="71">
        <f>EarningsPerDay[[#This Row],[Miles]]/EarningsPerDay[[#This Row],[Deliveries]]</f>
        <v>7.1428571428571432</v>
      </c>
      <c r="Z75" s="81">
        <f>(EarningsPerDay[[#This Row],[Hours]]/EarningsPerDay[[#This Row],[Deliveries]])/24</f>
        <v>1.607142857142857E-2</v>
      </c>
      <c r="AA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6.7148148148148152</v>
      </c>
      <c r="AB75" s="11">
        <f>AVERAGEIFS(EarningsPerDay[Gross $/Hour],EarningsPerDay[Week '#], EarningsPerDay[[#This Row],[Week '#]], EarningsPerDay[DOW], EarningsPerDay[[#This Row],[DOW]])</f>
        <v>24.648174146068314</v>
      </c>
      <c r="AC75" s="11">
        <f>EarningsPerDay[[#This Row],[Gross $/Hour]] - EarningsPerDay[[#This Row],[Weekly Average Earnings]]</f>
        <v>0.81664066874650132</v>
      </c>
      <c r="AD75" s="11">
        <f>(SUMIFS(EarningsPerDay[Gross Earnings], EarningsPerDay[Date],"&gt;="&amp;EarningsPerDay[[#This Row],[Date]]-89, EarningsPerDay[Date], "&lt;="&amp;EarningsPerDay[[#This Row],[Date]]))/90</f>
        <v>7.6397777777777769</v>
      </c>
      <c r="AE75" s="11"/>
      <c r="AH75" s="11"/>
      <c r="AI75" s="11"/>
    </row>
    <row r="76" spans="1:35" x14ac:dyDescent="0.35">
      <c r="A76" s="55"/>
      <c r="B76" s="40">
        <v>44494</v>
      </c>
      <c r="C76" s="40">
        <f t="shared" si="19"/>
        <v>44494</v>
      </c>
      <c r="D76" s="4">
        <f>IF(EarningsPerDay[[#This Row],[Week '#]]&gt;=52,YEAR(EarningsPerDay[[#This Row],[Date]])-1,YEAR(EarningsPerDay[[#This Row],[Date]]))</f>
        <v>2021</v>
      </c>
      <c r="E76" s="4" t="str">
        <f>"QTR"&amp;IF(EarningsPerDay[[#This Row],[Week '#]] &lt;= 13, 1, IF(EarningsPerDay[[#This Row],[Week '#]] &lt;= 26, 2, IF(EarningsPerDay[[#This Row],[Week '#]] &lt;= 39, 3, 4)))</f>
        <v>QTR4</v>
      </c>
      <c r="F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6" s="4">
        <f>IF(WEEKNUM(EarningsPerDay[[#This Row],[Date]], 2) = 53, 1, WEEKNUM(EarningsPerDay[[#This Row],[Date]],2))</f>
        <v>44</v>
      </c>
      <c r="H76" s="40" t="str">
        <f t="shared" si="20"/>
        <v>Monday</v>
      </c>
      <c r="I7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6" s="40" t="str" cm="1">
        <f t="array" ref="J76">IFERROR(VLOOKUP(MODE(IF(Combined[Date]=EarningsPerDay[[#This Row],[Date]],Combined[Area '#])),KPIs!$B$4:$C$7,2,FALSE),VLOOKUP(EarningsPerDay[[#This Row],[Date]],Combined[[Date]:[Primary Area]],8,FALSE))</f>
        <v>Brunswick/Bath/Freeport</v>
      </c>
      <c r="K76" s="40" t="str">
        <f>_xlfn.XLOOKUP(EarningsPerDay[[#This Row],[Date]],Mileage[Date],Mileage[Weather])</f>
        <v>Rain</v>
      </c>
      <c r="L76" s="4">
        <f>_xlfn.XLOOKUP(EarningsPerDay[[#This Row],[Date]],Mileage[Date],Mileage[Hi Temp])</f>
        <v>43.9</v>
      </c>
      <c r="M76" s="12">
        <f>_xlfn.XLOOKUP(EarningsPerDay[[#This Row],[Date]],Mileage[Date],Mileage[Total Time])</f>
        <v>3.9</v>
      </c>
      <c r="N76" s="4">
        <f>_xlfn.XLOOKUP(EarningsPerDay[[#This Row],[Date]],Mileage[Date],Mileage[Mileage])</f>
        <v>72.400000000000006</v>
      </c>
      <c r="O76" s="4">
        <f>SUMIF(Combined[Date],EarningsPerDay[[#This Row],[Date]],Combined[Trips])</f>
        <v>9</v>
      </c>
      <c r="P76">
        <f>COUNTIF(Combined[Date],EarningsPerDay[[#This Row],[Date]])</f>
        <v>2</v>
      </c>
      <c r="Q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" s="11">
        <f>SUMIF(Combined[Date],EarningsPerDay[[#This Row],[Date]],Combined[Earnings])</f>
        <v>80.210000000000008</v>
      </c>
      <c r="S76" s="11">
        <f ca="1">EarningsPerDay[[#This Row],[Gross Earnings]]-(EarningsPerDay[[#This Row],[Miles]]*CpM!$D$11)</f>
        <v>64.066748093712249</v>
      </c>
      <c r="T76" s="11">
        <f t="shared" si="21"/>
        <v>20.56666666666667</v>
      </c>
      <c r="U76" s="11">
        <f t="shared" ca="1" si="22"/>
        <v>16.427371306080065</v>
      </c>
      <c r="V76" s="11">
        <f>EarningsPerDay[[#This Row],[Gross Earnings]]/EarningsPerDay[[#This Row],[Deliveries]]</f>
        <v>8.9122222222222227</v>
      </c>
      <c r="W76" s="11">
        <f>EarningsPerDay[[#This Row],[Gross Earnings]]/EarningsPerDay[[#This Row],[Miles]]</f>
        <v>1.1078729281767956</v>
      </c>
      <c r="X76" s="71">
        <f>EarningsPerDay[[#This Row],[Deliveries]]/EarningsPerDay[[#This Row],[Hours]]</f>
        <v>2.3076923076923079</v>
      </c>
      <c r="Y76" s="71">
        <f>EarningsPerDay[[#This Row],[Miles]]/EarningsPerDay[[#This Row],[Deliveries]]</f>
        <v>8.0444444444444443</v>
      </c>
      <c r="Z76" s="81">
        <f>(EarningsPerDay[[#This Row],[Hours]]/EarningsPerDay[[#This Row],[Deliveries]])/24</f>
        <v>1.8055555555555557E-2</v>
      </c>
      <c r="AA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1.5449275362318851</v>
      </c>
      <c r="AB76" s="11">
        <f>AVERAGEIFS(EarningsPerDay[Gross $/Hour],EarningsPerDay[Week '#], EarningsPerDay[[#This Row],[Week '#]], EarningsPerDay[DOW], EarningsPerDay[[#This Row],[DOW]])</f>
        <v>23.348653143428958</v>
      </c>
      <c r="AC76" s="11">
        <f>EarningsPerDay[[#This Row],[Gross $/Hour]] - EarningsPerDay[[#This Row],[Weekly Average Earnings]]</f>
        <v>-2.7819864767622882</v>
      </c>
      <c r="AD76" s="11">
        <f>(SUMIFS(EarningsPerDay[Gross Earnings], EarningsPerDay[Date],"&gt;="&amp;EarningsPerDay[[#This Row],[Date]]-89, EarningsPerDay[Date], "&lt;="&amp;EarningsPerDay[[#This Row],[Date]]))/90</f>
        <v>8.5309999999999988</v>
      </c>
      <c r="AE76" s="11"/>
      <c r="AH76" s="11"/>
      <c r="AI76" s="11"/>
    </row>
    <row r="77" spans="1:35" x14ac:dyDescent="0.35">
      <c r="A77" s="55"/>
      <c r="B77" s="40">
        <v>44502</v>
      </c>
      <c r="C77" s="40">
        <f t="shared" si="19"/>
        <v>44502</v>
      </c>
      <c r="D77" s="4">
        <f>IF(EarningsPerDay[[#This Row],[Week '#]]&gt;=52,YEAR(EarningsPerDay[[#This Row],[Date]])-1,YEAR(EarningsPerDay[[#This Row],[Date]]))</f>
        <v>2021</v>
      </c>
      <c r="E77" s="4" t="str">
        <f>"QTR"&amp;IF(EarningsPerDay[[#This Row],[Week '#]] &lt;= 13, 1, IF(EarningsPerDay[[#This Row],[Week '#]] &lt;= 26, 2, IF(EarningsPerDay[[#This Row],[Week '#]] &lt;= 39, 3, 4)))</f>
        <v>QTR4</v>
      </c>
      <c r="F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7" s="4">
        <f>IF(WEEKNUM(EarningsPerDay[[#This Row],[Date]], 2) = 53, 1, WEEKNUM(EarningsPerDay[[#This Row],[Date]],2))</f>
        <v>45</v>
      </c>
      <c r="H77" s="40" t="str">
        <f t="shared" si="20"/>
        <v>Tuesday</v>
      </c>
      <c r="I7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7" s="40" t="str" cm="1">
        <f t="array" ref="J77">IFERROR(VLOOKUP(MODE(IF(Combined[Date]=EarningsPerDay[[#This Row],[Date]],Combined[Area '#])),KPIs!$B$4:$C$7,2,FALSE),VLOOKUP(EarningsPerDay[[#This Row],[Date]],Combined[[Date]:[Primary Area]],8,FALSE))</f>
        <v>Brunswick/Bath/Freeport</v>
      </c>
      <c r="K77" s="40" t="str">
        <f>_xlfn.XLOOKUP(EarningsPerDay[[#This Row],[Date]],Mileage[Date],Mileage[Weather])</f>
        <v>Partially Cloudy</v>
      </c>
      <c r="L77" s="4">
        <f>_xlfn.XLOOKUP(EarningsPerDay[[#This Row],[Date]],Mileage[Date],Mileage[Hi Temp])</f>
        <v>47.5</v>
      </c>
      <c r="M77" s="12">
        <f>_xlfn.XLOOKUP(EarningsPerDay[[#This Row],[Date]],Mileage[Date],Mileage[Total Time])</f>
        <v>1.2</v>
      </c>
      <c r="N77" s="4">
        <f>_xlfn.XLOOKUP(EarningsPerDay[[#This Row],[Date]],Mileage[Date],Mileage[Mileage])</f>
        <v>11</v>
      </c>
      <c r="O77" s="4">
        <f>SUMIF(Combined[Date],EarningsPerDay[[#This Row],[Date]],Combined[Trips])</f>
        <v>4</v>
      </c>
      <c r="P77">
        <f>COUNTIF(Combined[Date],EarningsPerDay[[#This Row],[Date]])</f>
        <v>1</v>
      </c>
      <c r="Q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" s="11">
        <f>SUMIF(Combined[Date],EarningsPerDay[[#This Row],[Date]],Combined[Earnings])</f>
        <v>27.5</v>
      </c>
      <c r="S77" s="11">
        <f ca="1">EarningsPerDay[[#This Row],[Gross Earnings]]-(EarningsPerDay[[#This Row],[Miles]]*CpM!$D$11)</f>
        <v>25.04729598108888</v>
      </c>
      <c r="T77" s="11">
        <f t="shared" si="21"/>
        <v>22.916666666666668</v>
      </c>
      <c r="U77" s="11">
        <f t="shared" ca="1" si="22"/>
        <v>20.872746650907402</v>
      </c>
      <c r="V77" s="11">
        <f>EarningsPerDay[[#This Row],[Gross Earnings]]/EarningsPerDay[[#This Row],[Deliveries]]</f>
        <v>6.875</v>
      </c>
      <c r="W77" s="11">
        <f>EarningsPerDay[[#This Row],[Gross Earnings]]/EarningsPerDay[[#This Row],[Miles]]</f>
        <v>2.5</v>
      </c>
      <c r="X77" s="71">
        <f>EarningsPerDay[[#This Row],[Deliveries]]/EarningsPerDay[[#This Row],[Hours]]</f>
        <v>3.3333333333333335</v>
      </c>
      <c r="Y77" s="71">
        <f>EarningsPerDay[[#This Row],[Miles]]/EarningsPerDay[[#This Row],[Deliveries]]</f>
        <v>2.75</v>
      </c>
      <c r="Z77" s="81">
        <f>(EarningsPerDay[[#This Row],[Hours]]/EarningsPerDay[[#This Row],[Deliveries]])/24</f>
        <v>1.2499999999999999E-2</v>
      </c>
      <c r="AA7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7" s="11">
        <f>AVERAGEIFS(EarningsPerDay[Gross $/Hour],EarningsPerDay[Week '#], EarningsPerDay[[#This Row],[Week '#]], EarningsPerDay[DOW], EarningsPerDay[[#This Row],[DOW]])</f>
        <v>24.067332496186882</v>
      </c>
      <c r="AC77" s="11">
        <f>EarningsPerDay[[#This Row],[Gross $/Hour]] - EarningsPerDay[[#This Row],[Weekly Average Earnings]]</f>
        <v>-1.1506658295202143</v>
      </c>
      <c r="AD77" s="11">
        <f>(SUMIFS(EarningsPerDay[Gross Earnings], EarningsPerDay[Date],"&gt;="&amp;EarningsPerDay[[#This Row],[Date]]-89, EarningsPerDay[Date], "&lt;="&amp;EarningsPerDay[[#This Row],[Date]]))/90</f>
        <v>8.2143333333333324</v>
      </c>
      <c r="AE77" s="11"/>
      <c r="AH77" s="11"/>
      <c r="AI77" s="11"/>
    </row>
    <row r="78" spans="1:35" x14ac:dyDescent="0.35">
      <c r="A78" s="55"/>
      <c r="B78" s="40">
        <v>44505</v>
      </c>
      <c r="C78" s="40">
        <f t="shared" si="19"/>
        <v>44505</v>
      </c>
      <c r="D78" s="4">
        <f>IF(EarningsPerDay[[#This Row],[Week '#]]&gt;=52,YEAR(EarningsPerDay[[#This Row],[Date]])-1,YEAR(EarningsPerDay[[#This Row],[Date]]))</f>
        <v>2021</v>
      </c>
      <c r="E78" s="4" t="str">
        <f>"QTR"&amp;IF(EarningsPerDay[[#This Row],[Week '#]] &lt;= 13, 1, IF(EarningsPerDay[[#This Row],[Week '#]] &lt;= 26, 2, IF(EarningsPerDay[[#This Row],[Week '#]] &lt;= 39, 3, 4)))</f>
        <v>QTR4</v>
      </c>
      <c r="F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8" s="4">
        <f>IF(WEEKNUM(EarningsPerDay[[#This Row],[Date]], 2) = 53, 1, WEEKNUM(EarningsPerDay[[#This Row],[Date]],2))</f>
        <v>45</v>
      </c>
      <c r="H78" s="40" t="str">
        <f t="shared" si="20"/>
        <v>Friday</v>
      </c>
      <c r="I7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8" s="40" t="str" cm="1">
        <f t="array" ref="J78">IFERROR(VLOOKUP(MODE(IF(Combined[Date]=EarningsPerDay[[#This Row],[Date]],Combined[Area '#])),KPIs!$B$4:$C$7,2,FALSE),VLOOKUP(EarningsPerDay[[#This Row],[Date]],Combined[[Date]:[Primary Area]],8,FALSE))</f>
        <v>Brunswick/Bath/Freeport</v>
      </c>
      <c r="K78" s="40" t="str">
        <f>_xlfn.XLOOKUP(EarningsPerDay[[#This Row],[Date]],Mileage[Date],Mileage[Weather])</f>
        <v>Clear</v>
      </c>
      <c r="L78" s="4">
        <f>_xlfn.XLOOKUP(EarningsPerDay[[#This Row],[Date]],Mileage[Date],Mileage[Hi Temp])</f>
        <v>48.2</v>
      </c>
      <c r="M78" s="12">
        <f>_xlfn.XLOOKUP(EarningsPerDay[[#This Row],[Date]],Mileage[Date],Mileage[Total Time])</f>
        <v>2.6000000000000005</v>
      </c>
      <c r="N78" s="4">
        <f>_xlfn.XLOOKUP(EarningsPerDay[[#This Row],[Date]],Mileage[Date],Mileage[Mileage])</f>
        <v>58</v>
      </c>
      <c r="O78" s="4">
        <f>SUMIF(Combined[Date],EarningsPerDay[[#This Row],[Date]],Combined[Trips])</f>
        <v>6</v>
      </c>
      <c r="P78">
        <f>COUNTIF(Combined[Date],EarningsPerDay[[#This Row],[Date]])</f>
        <v>2</v>
      </c>
      <c r="Q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" s="11">
        <f>SUMIF(Combined[Date],EarningsPerDay[[#This Row],[Date]],Combined[Earnings])</f>
        <v>77.099999999999994</v>
      </c>
      <c r="S78" s="11">
        <f ca="1">EarningsPerDay[[#This Row],[Gross Earnings]]-(EarningsPerDay[[#This Row],[Miles]]*CpM!$D$11)</f>
        <v>64.167560627559538</v>
      </c>
      <c r="T78" s="11">
        <f t="shared" si="21"/>
        <v>29.653846153846146</v>
      </c>
      <c r="U78" s="11">
        <f t="shared" ca="1" si="22"/>
        <v>24.679831010599816</v>
      </c>
      <c r="V78" s="11">
        <f>EarningsPerDay[[#This Row],[Gross Earnings]]/EarningsPerDay[[#This Row],[Deliveries]]</f>
        <v>12.85</v>
      </c>
      <c r="W78" s="11">
        <f>EarningsPerDay[[#This Row],[Gross Earnings]]/EarningsPerDay[[#This Row],[Miles]]</f>
        <v>1.329310344827586</v>
      </c>
      <c r="X78" s="71">
        <f>EarningsPerDay[[#This Row],[Deliveries]]/EarningsPerDay[[#This Row],[Hours]]</f>
        <v>2.307692307692307</v>
      </c>
      <c r="Y78" s="71">
        <f>EarningsPerDay[[#This Row],[Miles]]/EarningsPerDay[[#This Row],[Deliveries]]</f>
        <v>9.6666666666666661</v>
      </c>
      <c r="Z78" s="81">
        <f>(EarningsPerDay[[#This Row],[Hours]]/EarningsPerDay[[#This Row],[Deliveries]])/24</f>
        <v>1.8055555555555557E-2</v>
      </c>
      <c r="AA7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8" s="11">
        <f>AVERAGEIFS(EarningsPerDay[Gross $/Hour],EarningsPerDay[Week '#], EarningsPerDay[[#This Row],[Week '#]], EarningsPerDay[DOW], EarningsPerDay[[#This Row],[DOW]])</f>
        <v>21.69064414780944</v>
      </c>
      <c r="AC78" s="11">
        <f>EarningsPerDay[[#This Row],[Gross $/Hour]] - EarningsPerDay[[#This Row],[Weekly Average Earnings]]</f>
        <v>7.9632020060367061</v>
      </c>
      <c r="AD78" s="11">
        <f>(SUMIFS(EarningsPerDay[Gross Earnings], EarningsPerDay[Date],"&gt;="&amp;EarningsPerDay[[#This Row],[Date]]-89, EarningsPerDay[Date], "&lt;="&amp;EarningsPerDay[[#This Row],[Date]]))/90</f>
        <v>9.0709999999999997</v>
      </c>
      <c r="AE78" s="11"/>
      <c r="AH78" s="11"/>
      <c r="AI78" s="11"/>
    </row>
    <row r="79" spans="1:35" x14ac:dyDescent="0.35">
      <c r="A79" s="55"/>
      <c r="B79" s="40">
        <v>44507</v>
      </c>
      <c r="C79" s="40">
        <f t="shared" si="19"/>
        <v>44507</v>
      </c>
      <c r="D79" s="4">
        <f>IF(EarningsPerDay[[#This Row],[Week '#]]&gt;=52,YEAR(EarningsPerDay[[#This Row],[Date]])-1,YEAR(EarningsPerDay[[#This Row],[Date]]))</f>
        <v>2021</v>
      </c>
      <c r="E79" s="4" t="str">
        <f>"QTR"&amp;IF(EarningsPerDay[[#This Row],[Week '#]] &lt;= 13, 1, IF(EarningsPerDay[[#This Row],[Week '#]] &lt;= 26, 2, IF(EarningsPerDay[[#This Row],[Week '#]] &lt;= 39, 3, 4)))</f>
        <v>QTR4</v>
      </c>
      <c r="F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9" s="4">
        <f>IF(WEEKNUM(EarningsPerDay[[#This Row],[Date]], 2) = 53, 1, WEEKNUM(EarningsPerDay[[#This Row],[Date]],2))</f>
        <v>45</v>
      </c>
      <c r="H79" s="40" t="str">
        <f t="shared" si="20"/>
        <v>Sunday</v>
      </c>
      <c r="I79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79" s="40" t="str" cm="1">
        <f t="array" ref="J79">IFERROR(VLOOKUP(MODE(IF(Combined[Date]=EarningsPerDay[[#This Row],[Date]],Combined[Area '#])),KPIs!$B$4:$C$7,2,FALSE),VLOOKUP(EarningsPerDay[[#This Row],[Date]],Combined[[Date]:[Primary Area]],8,FALSE))</f>
        <v>Lewiston</v>
      </c>
      <c r="K79" s="40" t="str">
        <f>_xlfn.XLOOKUP(EarningsPerDay[[#This Row],[Date]],Mileage[Date],Mileage[Weather])</f>
        <v>Clear</v>
      </c>
      <c r="L79" s="4">
        <f>_xlfn.XLOOKUP(EarningsPerDay[[#This Row],[Date]],Mileage[Date],Mileage[Hi Temp])</f>
        <v>60.5</v>
      </c>
      <c r="M79" s="12">
        <f>_xlfn.XLOOKUP(EarningsPerDay[[#This Row],[Date]],Mileage[Date],Mileage[Total Time])</f>
        <v>1.9000000000000001</v>
      </c>
      <c r="N79" s="4">
        <f>_xlfn.XLOOKUP(EarningsPerDay[[#This Row],[Date]],Mileage[Date],Mileage[Mileage])</f>
        <v>19.299999999999997</v>
      </c>
      <c r="O79" s="4">
        <f>SUMIF(Combined[Date],EarningsPerDay[[#This Row],[Date]],Combined[Trips])</f>
        <v>5</v>
      </c>
      <c r="P79">
        <f>COUNTIF(Combined[Date],EarningsPerDay[[#This Row],[Date]])</f>
        <v>2</v>
      </c>
      <c r="Q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" s="11">
        <f>SUMIF(Combined[Date],EarningsPerDay[[#This Row],[Date]],Combined[Earnings])</f>
        <v>40.4</v>
      </c>
      <c r="S79" s="11">
        <f ca="1">EarningsPerDay[[#This Row],[Gross Earnings]]-(EarningsPerDay[[#This Row],[Miles]]*CpM!$D$11)</f>
        <v>36.096619312274122</v>
      </c>
      <c r="T79" s="11">
        <f t="shared" si="21"/>
        <v>21.263157894736839</v>
      </c>
      <c r="U79" s="11">
        <f t="shared" ca="1" si="22"/>
        <v>18.998220690670589</v>
      </c>
      <c r="V79" s="11">
        <f>EarningsPerDay[[#This Row],[Gross Earnings]]/EarningsPerDay[[#This Row],[Deliveries]]</f>
        <v>8.08</v>
      </c>
      <c r="W79" s="11">
        <f>EarningsPerDay[[#This Row],[Gross Earnings]]/EarningsPerDay[[#This Row],[Miles]]</f>
        <v>2.0932642487046635</v>
      </c>
      <c r="X79" s="71">
        <f>EarningsPerDay[[#This Row],[Deliveries]]/EarningsPerDay[[#This Row],[Hours]]</f>
        <v>2.6315789473684208</v>
      </c>
      <c r="Y79" s="71">
        <f>EarningsPerDay[[#This Row],[Miles]]/EarningsPerDay[[#This Row],[Deliveries]]</f>
        <v>3.8599999999999994</v>
      </c>
      <c r="Z79" s="81">
        <f>(EarningsPerDay[[#This Row],[Hours]]/EarningsPerDay[[#This Row],[Deliveries]])/24</f>
        <v>1.5833333333333335E-2</v>
      </c>
      <c r="AA7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79" s="11">
        <f>AVERAGEIFS(EarningsPerDay[Gross $/Hour],EarningsPerDay[Week '#], EarningsPerDay[[#This Row],[Week '#]], EarningsPerDay[DOW], EarningsPerDay[[#This Row],[DOW]])</f>
        <v>21.263157894736839</v>
      </c>
      <c r="AC79" s="11">
        <f>EarningsPerDay[[#This Row],[Gross $/Hour]] - EarningsPerDay[[#This Row],[Weekly Average Earnings]]</f>
        <v>0</v>
      </c>
      <c r="AD79" s="11">
        <f>(SUMIFS(EarningsPerDay[Gross Earnings], EarningsPerDay[Date],"&gt;="&amp;EarningsPerDay[[#This Row],[Date]]-89, EarningsPerDay[Date], "&lt;="&amp;EarningsPerDay[[#This Row],[Date]]))/90</f>
        <v>9.5198888888888877</v>
      </c>
      <c r="AE79" s="11"/>
      <c r="AH79" s="11"/>
      <c r="AI79" s="11"/>
    </row>
    <row r="80" spans="1:35" x14ac:dyDescent="0.35">
      <c r="A80" s="55"/>
      <c r="B80" s="40">
        <v>44509</v>
      </c>
      <c r="C80" s="40">
        <f t="shared" si="19"/>
        <v>44509</v>
      </c>
      <c r="D80" s="4">
        <f>IF(EarningsPerDay[[#This Row],[Week '#]]&gt;=52,YEAR(EarningsPerDay[[#This Row],[Date]])-1,YEAR(EarningsPerDay[[#This Row],[Date]]))</f>
        <v>2021</v>
      </c>
      <c r="E80" s="4" t="str">
        <f>"QTR"&amp;IF(EarningsPerDay[[#This Row],[Week '#]] &lt;= 13, 1, IF(EarningsPerDay[[#This Row],[Week '#]] &lt;= 26, 2, IF(EarningsPerDay[[#This Row],[Week '#]] &lt;= 39, 3, 4)))</f>
        <v>QTR4</v>
      </c>
      <c r="F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0" s="4">
        <f>IF(WEEKNUM(EarningsPerDay[[#This Row],[Date]], 2) = 53, 1, WEEKNUM(EarningsPerDay[[#This Row],[Date]],2))</f>
        <v>46</v>
      </c>
      <c r="H80" s="40" t="str">
        <f t="shared" si="20"/>
        <v>Tuesday</v>
      </c>
      <c r="I8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0" s="40" t="str" cm="1">
        <f t="array" ref="J80">IFERROR(VLOOKUP(MODE(IF(Combined[Date]=EarningsPerDay[[#This Row],[Date]],Combined[Area '#])),KPIs!$B$4:$C$7,2,FALSE),VLOOKUP(EarningsPerDay[[#This Row],[Date]],Combined[[Date]:[Primary Area]],8,FALSE))</f>
        <v>Brunswick/Bath/Freeport</v>
      </c>
      <c r="K80" s="40" t="str">
        <f>_xlfn.XLOOKUP(EarningsPerDay[[#This Row],[Date]],Mileage[Date],Mileage[Weather])</f>
        <v>Rain</v>
      </c>
      <c r="L80" s="4">
        <f>_xlfn.XLOOKUP(EarningsPerDay[[#This Row],[Date]],Mileage[Date],Mileage[Hi Temp])</f>
        <v>54.9</v>
      </c>
      <c r="M80" s="12">
        <f>_xlfn.XLOOKUP(EarningsPerDay[[#This Row],[Date]],Mileage[Date],Mileage[Total Time])</f>
        <v>3.3999999999999995</v>
      </c>
      <c r="N80" s="4">
        <f>_xlfn.XLOOKUP(EarningsPerDay[[#This Row],[Date]],Mileage[Date],Mileage[Mileage])</f>
        <v>82</v>
      </c>
      <c r="O80" s="4">
        <f>SUMIF(Combined[Date],EarningsPerDay[[#This Row],[Date]],Combined[Trips])</f>
        <v>9</v>
      </c>
      <c r="P80">
        <f>COUNTIF(Combined[Date],EarningsPerDay[[#This Row],[Date]])</f>
        <v>2</v>
      </c>
      <c r="Q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" s="11">
        <f>SUMIF(Combined[Date],EarningsPerDay[[#This Row],[Date]],Combined[Earnings])</f>
        <v>119.74</v>
      </c>
      <c r="S80" s="11">
        <f ca="1">EarningsPerDay[[#This Row],[Gross Earnings]]-(EarningsPerDay[[#This Row],[Miles]]*CpM!$D$11)</f>
        <v>101.45620640448072</v>
      </c>
      <c r="T80" s="11">
        <f t="shared" si="21"/>
        <v>35.21764705882353</v>
      </c>
      <c r="U80" s="11">
        <f t="shared" ca="1" si="22"/>
        <v>29.840060707200216</v>
      </c>
      <c r="V80" s="11">
        <f>EarningsPerDay[[#This Row],[Gross Earnings]]/EarningsPerDay[[#This Row],[Deliveries]]</f>
        <v>13.304444444444444</v>
      </c>
      <c r="W80" s="11">
        <f>EarningsPerDay[[#This Row],[Gross Earnings]]/EarningsPerDay[[#This Row],[Miles]]</f>
        <v>1.4602439024390244</v>
      </c>
      <c r="X80" s="71">
        <f>EarningsPerDay[[#This Row],[Deliveries]]/EarningsPerDay[[#This Row],[Hours]]</f>
        <v>2.6470588235294121</v>
      </c>
      <c r="Y80" s="71">
        <f>EarningsPerDay[[#This Row],[Miles]]/EarningsPerDay[[#This Row],[Deliveries]]</f>
        <v>9.1111111111111107</v>
      </c>
      <c r="Z80" s="81">
        <f>(EarningsPerDay[[#This Row],[Hours]]/EarningsPerDay[[#This Row],[Deliveries]])/24</f>
        <v>1.5740740740740739E-2</v>
      </c>
      <c r="AA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12.300980392156863</v>
      </c>
      <c r="AB80" s="11">
        <f>AVERAGEIFS(EarningsPerDay[Gross $/Hour],EarningsPerDay[Week '#], EarningsPerDay[[#This Row],[Week '#]], EarningsPerDay[DOW], EarningsPerDay[[#This Row],[DOW]])</f>
        <v>27.181628668598059</v>
      </c>
      <c r="AC80" s="11">
        <f>EarningsPerDay[[#This Row],[Gross $/Hour]] - EarningsPerDay[[#This Row],[Weekly Average Earnings]]</f>
        <v>8.0360183902254718</v>
      </c>
      <c r="AD80" s="11">
        <f>(SUMIFS(EarningsPerDay[Gross Earnings], EarningsPerDay[Date],"&gt;="&amp;EarningsPerDay[[#This Row],[Date]]-89, EarningsPerDay[Date], "&lt;="&amp;EarningsPerDay[[#This Row],[Date]]))/90</f>
        <v>10.850333333333333</v>
      </c>
      <c r="AE80" s="11"/>
      <c r="AH80" s="11"/>
      <c r="AI80" s="11"/>
    </row>
    <row r="81" spans="1:35" x14ac:dyDescent="0.35">
      <c r="A81" s="55"/>
      <c r="B81" s="40">
        <v>44511</v>
      </c>
      <c r="C81" s="40">
        <f t="shared" si="19"/>
        <v>44511</v>
      </c>
      <c r="D81" s="4">
        <f>IF(EarningsPerDay[[#This Row],[Week '#]]&gt;=52,YEAR(EarningsPerDay[[#This Row],[Date]])-1,YEAR(EarningsPerDay[[#This Row],[Date]]))</f>
        <v>2021</v>
      </c>
      <c r="E81" s="4" t="str">
        <f>"QTR"&amp;IF(EarningsPerDay[[#This Row],[Week '#]] &lt;= 13, 1, IF(EarningsPerDay[[#This Row],[Week '#]] &lt;= 26, 2, IF(EarningsPerDay[[#This Row],[Week '#]] &lt;= 39, 3, 4)))</f>
        <v>QTR4</v>
      </c>
      <c r="F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1" s="4">
        <f>IF(WEEKNUM(EarningsPerDay[[#This Row],[Date]], 2) = 53, 1, WEEKNUM(EarningsPerDay[[#This Row],[Date]],2))</f>
        <v>46</v>
      </c>
      <c r="H81" s="40" t="str">
        <f t="shared" si="20"/>
        <v>Thursday</v>
      </c>
      <c r="I8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1" s="40" t="str" cm="1">
        <f t="array" ref="J81">IFERROR(VLOOKUP(MODE(IF(Combined[Date]=EarningsPerDay[[#This Row],[Date]],Combined[Area '#])),KPIs!$B$4:$C$7,2,FALSE),VLOOKUP(EarningsPerDay[[#This Row],[Date]],Combined[[Date]:[Primary Area]],8,FALSE))</f>
        <v>Brunswick/Bath/Freeport</v>
      </c>
      <c r="K81" s="40" t="str">
        <f>_xlfn.XLOOKUP(EarningsPerDay[[#This Row],[Date]],Mileage[Date],Mileage[Weather])</f>
        <v>Rain</v>
      </c>
      <c r="L81" s="4">
        <f>_xlfn.XLOOKUP(EarningsPerDay[[#This Row],[Date]],Mileage[Date],Mileage[Hi Temp])</f>
        <v>57.1</v>
      </c>
      <c r="M81" s="12">
        <f>_xlfn.XLOOKUP(EarningsPerDay[[#This Row],[Date]],Mileage[Date],Mileage[Total Time])</f>
        <v>3.1</v>
      </c>
      <c r="N81" s="4">
        <f>_xlfn.XLOOKUP(EarningsPerDay[[#This Row],[Date]],Mileage[Date],Mileage[Mileage])</f>
        <v>90.7</v>
      </c>
      <c r="O81" s="4">
        <f>SUMIF(Combined[Date],EarningsPerDay[[#This Row],[Date]],Combined[Trips])</f>
        <v>9</v>
      </c>
      <c r="P81">
        <f>COUNTIF(Combined[Date],EarningsPerDay[[#This Row],[Date]])</f>
        <v>3</v>
      </c>
      <c r="Q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" s="11">
        <f>SUMIF(Combined[Date],EarningsPerDay[[#This Row],[Date]],Combined[Earnings])</f>
        <v>83.23</v>
      </c>
      <c r="S81" s="11">
        <f ca="1">EarningsPerDay[[#This Row],[Gross Earnings]]-(EarningsPerDay[[#This Row],[Miles]]*CpM!$D$11)</f>
        <v>63.006340498614662</v>
      </c>
      <c r="T81" s="11">
        <f t="shared" si="21"/>
        <v>26.848387096774193</v>
      </c>
      <c r="U81" s="11">
        <f t="shared" ca="1" si="22"/>
        <v>20.324625967295052</v>
      </c>
      <c r="V81" s="11">
        <f>EarningsPerDay[[#This Row],[Gross Earnings]]/EarningsPerDay[[#This Row],[Deliveries]]</f>
        <v>9.2477777777777774</v>
      </c>
      <c r="W81" s="11">
        <f>EarningsPerDay[[#This Row],[Gross Earnings]]/EarningsPerDay[[#This Row],[Miles]]</f>
        <v>0.91764057331863291</v>
      </c>
      <c r="X81" s="71">
        <f>EarningsPerDay[[#This Row],[Deliveries]]/EarningsPerDay[[#This Row],[Hours]]</f>
        <v>2.903225806451613</v>
      </c>
      <c r="Y81" s="71">
        <f>EarningsPerDay[[#This Row],[Miles]]/EarningsPerDay[[#This Row],[Deliveries]]</f>
        <v>10.077777777777778</v>
      </c>
      <c r="Z81" s="81">
        <f>(EarningsPerDay[[#This Row],[Hours]]/EarningsPerDay[[#This Row],[Deliveries]])/24</f>
        <v>1.4351851851851852E-2</v>
      </c>
      <c r="AA8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1" s="11">
        <f>AVERAGEIFS(EarningsPerDay[Gross $/Hour],EarningsPerDay[Week '#], EarningsPerDay[[#This Row],[Week '#]], EarningsPerDay[DOW], EarningsPerDay[[#This Row],[DOW]])</f>
        <v>19.260211523840557</v>
      </c>
      <c r="AC81" s="11">
        <f>EarningsPerDay[[#This Row],[Gross $/Hour]] - EarningsPerDay[[#This Row],[Weekly Average Earnings]]</f>
        <v>7.5881755729336362</v>
      </c>
      <c r="AD81" s="11">
        <f>(SUMIFS(EarningsPerDay[Gross Earnings], EarningsPerDay[Date],"&gt;="&amp;EarningsPerDay[[#This Row],[Date]]-89, EarningsPerDay[Date], "&lt;="&amp;EarningsPerDay[[#This Row],[Date]]))/90</f>
        <v>11.77511111111111</v>
      </c>
      <c r="AE81" s="11"/>
      <c r="AH81" s="11"/>
      <c r="AI81" s="11"/>
    </row>
    <row r="82" spans="1:35" x14ac:dyDescent="0.35">
      <c r="A82" s="55"/>
      <c r="B82" s="40">
        <v>44514</v>
      </c>
      <c r="C82" s="40">
        <f t="shared" si="19"/>
        <v>44514</v>
      </c>
      <c r="D82" s="4">
        <f>IF(EarningsPerDay[[#This Row],[Week '#]]&gt;=52,YEAR(EarningsPerDay[[#This Row],[Date]])-1,YEAR(EarningsPerDay[[#This Row],[Date]]))</f>
        <v>2021</v>
      </c>
      <c r="E82" s="4" t="str">
        <f>"QTR"&amp;IF(EarningsPerDay[[#This Row],[Week '#]] &lt;= 13, 1, IF(EarningsPerDay[[#This Row],[Week '#]] &lt;= 26, 2, IF(EarningsPerDay[[#This Row],[Week '#]] &lt;= 39, 3, 4)))</f>
        <v>QTR4</v>
      </c>
      <c r="F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2" s="4">
        <f>IF(WEEKNUM(EarningsPerDay[[#This Row],[Date]], 2) = 53, 1, WEEKNUM(EarningsPerDay[[#This Row],[Date]],2))</f>
        <v>46</v>
      </c>
      <c r="H82" s="40" t="str">
        <f t="shared" si="20"/>
        <v>Sunday</v>
      </c>
      <c r="I8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2" s="40" t="str" cm="1">
        <f t="array" ref="J82">IFERROR(VLOOKUP(MODE(IF(Combined[Date]=EarningsPerDay[[#This Row],[Date]],Combined[Area '#])),KPIs!$B$4:$C$7,2,FALSE),VLOOKUP(EarningsPerDay[[#This Row],[Date]],Combined[[Date]:[Primary Area]],8,FALSE))</f>
        <v>Lewiston</v>
      </c>
      <c r="K82" s="40" t="str">
        <f>_xlfn.XLOOKUP(EarningsPerDay[[#This Row],[Date]],Mileage[Date],Mileage[Weather])</f>
        <v>Rain</v>
      </c>
      <c r="L82" s="4">
        <f>_xlfn.XLOOKUP(EarningsPerDay[[#This Row],[Date]],Mileage[Date],Mileage[Hi Temp])</f>
        <v>39.1</v>
      </c>
      <c r="M82" s="12">
        <f>_xlfn.XLOOKUP(EarningsPerDay[[#This Row],[Date]],Mileage[Date],Mileage[Total Time])</f>
        <v>4.8000000000000007</v>
      </c>
      <c r="N82" s="4">
        <f>_xlfn.XLOOKUP(EarningsPerDay[[#This Row],[Date]],Mileage[Date],Mileage[Mileage])</f>
        <v>71.900000000000006</v>
      </c>
      <c r="O82" s="4">
        <f>SUMIF(Combined[Date],EarningsPerDay[[#This Row],[Date]],Combined[Trips])</f>
        <v>12</v>
      </c>
      <c r="P82">
        <f>COUNTIF(Combined[Date],EarningsPerDay[[#This Row],[Date]])</f>
        <v>2</v>
      </c>
      <c r="Q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" s="11">
        <f>SUMIF(Combined[Date],EarningsPerDay[[#This Row],[Date]],Combined[Earnings])</f>
        <v>102.44999999999999</v>
      </c>
      <c r="S82" s="11">
        <f ca="1">EarningsPerDay[[#This Row],[Gross Earnings]]-(EarningsPerDay[[#This Row],[Miles]]*CpM!$D$11)</f>
        <v>86.418234640026384</v>
      </c>
      <c r="T82" s="11">
        <f t="shared" si="21"/>
        <v>21.343749999999993</v>
      </c>
      <c r="U82" s="11">
        <f t="shared" ca="1" si="22"/>
        <v>18.003798883338828</v>
      </c>
      <c r="V82" s="11">
        <f>EarningsPerDay[[#This Row],[Gross Earnings]]/EarningsPerDay[[#This Row],[Deliveries]]</f>
        <v>8.5374999999999996</v>
      </c>
      <c r="W82" s="11">
        <f>EarningsPerDay[[#This Row],[Gross Earnings]]/EarningsPerDay[[#This Row],[Miles]]</f>
        <v>1.424895688456189</v>
      </c>
      <c r="X82" s="71">
        <f>EarningsPerDay[[#This Row],[Deliveries]]/EarningsPerDay[[#This Row],[Hours]]</f>
        <v>2.4999999999999996</v>
      </c>
      <c r="Y82" s="71">
        <f>EarningsPerDay[[#This Row],[Miles]]/EarningsPerDay[[#This Row],[Deliveries]]</f>
        <v>5.9916666666666671</v>
      </c>
      <c r="Z82" s="81">
        <f>(EarningsPerDay[[#This Row],[Hours]]/EarningsPerDay[[#This Row],[Deliveries]])/24</f>
        <v>1.666666666666667E-2</v>
      </c>
      <c r="AA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8.0592105263153968E-2</v>
      </c>
      <c r="AB82" s="11">
        <f>AVERAGEIFS(EarningsPerDay[Gross $/Hour],EarningsPerDay[Week '#], EarningsPerDay[[#This Row],[Week '#]], EarningsPerDay[DOW], EarningsPerDay[[#This Row],[DOW]])</f>
        <v>23.328185483870968</v>
      </c>
      <c r="AC82" s="11">
        <f>EarningsPerDay[[#This Row],[Gross $/Hour]] - EarningsPerDay[[#This Row],[Weekly Average Earnings]]</f>
        <v>-1.9844354838709748</v>
      </c>
      <c r="AD82" s="11">
        <f>(SUMIFS(EarningsPerDay[Gross Earnings], EarningsPerDay[Date],"&gt;="&amp;EarningsPerDay[[#This Row],[Date]]-89, EarningsPerDay[Date], "&lt;="&amp;EarningsPerDay[[#This Row],[Date]]))/90</f>
        <v>12.913444444444444</v>
      </c>
      <c r="AE82" s="11"/>
      <c r="AH82" s="11"/>
      <c r="AI82" s="11"/>
    </row>
    <row r="83" spans="1:35" x14ac:dyDescent="0.35">
      <c r="A83" s="55"/>
      <c r="B83" s="40">
        <v>44515</v>
      </c>
      <c r="C83" s="40">
        <f t="shared" si="19"/>
        <v>44515</v>
      </c>
      <c r="D83" s="4">
        <f>IF(EarningsPerDay[[#This Row],[Week '#]]&gt;=52,YEAR(EarningsPerDay[[#This Row],[Date]])-1,YEAR(EarningsPerDay[[#This Row],[Date]]))</f>
        <v>2021</v>
      </c>
      <c r="E83" s="4" t="str">
        <f>"QTR"&amp;IF(EarningsPerDay[[#This Row],[Week '#]] &lt;= 13, 1, IF(EarningsPerDay[[#This Row],[Week '#]] &lt;= 26, 2, IF(EarningsPerDay[[#This Row],[Week '#]] &lt;= 39, 3, 4)))</f>
        <v>QTR4</v>
      </c>
      <c r="F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3" s="4">
        <f>IF(WEEKNUM(EarningsPerDay[[#This Row],[Date]], 2) = 53, 1, WEEKNUM(EarningsPerDay[[#This Row],[Date]],2))</f>
        <v>47</v>
      </c>
      <c r="H83" s="40" t="str">
        <f t="shared" si="20"/>
        <v>Monday</v>
      </c>
      <c r="I8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3" s="40" t="str" cm="1">
        <f t="array" ref="J83">IFERROR(VLOOKUP(MODE(IF(Combined[Date]=EarningsPerDay[[#This Row],[Date]],Combined[Area '#])),KPIs!$B$4:$C$7,2,FALSE),VLOOKUP(EarningsPerDay[[#This Row],[Date]],Combined[[Date]:[Primary Area]],8,FALSE))</f>
        <v>Portland</v>
      </c>
      <c r="K83" s="40" t="str">
        <f>_xlfn.XLOOKUP(EarningsPerDay[[#This Row],[Date]],Mileage[Date],Mileage[Weather])</f>
        <v>Partially Cloudy</v>
      </c>
      <c r="L83" s="4">
        <f>_xlfn.XLOOKUP(EarningsPerDay[[#This Row],[Date]],Mileage[Date],Mileage[Hi Temp])</f>
        <v>37.1</v>
      </c>
      <c r="M83" s="12">
        <f>_xlfn.XLOOKUP(EarningsPerDay[[#This Row],[Date]],Mileage[Date],Mileage[Total Time])</f>
        <v>6</v>
      </c>
      <c r="N83" s="4">
        <f>_xlfn.XLOOKUP(EarningsPerDay[[#This Row],[Date]],Mileage[Date],Mileage[Mileage])</f>
        <v>132.19999999999999</v>
      </c>
      <c r="O83" s="4">
        <f>SUMIF(Combined[Date],EarningsPerDay[[#This Row],[Date]],Combined[Trips])</f>
        <v>13</v>
      </c>
      <c r="P83">
        <f>COUNTIF(Combined[Date],EarningsPerDay[[#This Row],[Date]])</f>
        <v>2</v>
      </c>
      <c r="Q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" s="11">
        <f>SUMIF(Combined[Date],EarningsPerDay[[#This Row],[Date]],Combined[Earnings])</f>
        <v>116.81</v>
      </c>
      <c r="S83" s="11">
        <f ca="1">EarningsPerDay[[#This Row],[Gross Earnings]]-(EarningsPerDay[[#This Row],[Miles]]*CpM!$D$11)</f>
        <v>87.332957154540878</v>
      </c>
      <c r="T83" s="11">
        <f t="shared" si="21"/>
        <v>19.468333333333334</v>
      </c>
      <c r="U83" s="11">
        <f t="shared" ca="1" si="22"/>
        <v>14.555492859090146</v>
      </c>
      <c r="V83" s="11">
        <f>EarningsPerDay[[#This Row],[Gross Earnings]]/EarningsPerDay[[#This Row],[Deliveries]]</f>
        <v>8.985384615384616</v>
      </c>
      <c r="W83" s="11">
        <f>EarningsPerDay[[#This Row],[Gross Earnings]]/EarningsPerDay[[#This Row],[Miles]]</f>
        <v>0.88358547655068087</v>
      </c>
      <c r="X83" s="71">
        <f>EarningsPerDay[[#This Row],[Deliveries]]/EarningsPerDay[[#This Row],[Hours]]</f>
        <v>2.1666666666666665</v>
      </c>
      <c r="Y83" s="71">
        <f>EarningsPerDay[[#This Row],[Miles]]/EarningsPerDay[[#This Row],[Deliveries]]</f>
        <v>10.169230769230769</v>
      </c>
      <c r="Z83" s="81">
        <f>(EarningsPerDay[[#This Row],[Hours]]/EarningsPerDay[[#This Row],[Deliveries]])/24</f>
        <v>1.9230769230769232E-2</v>
      </c>
      <c r="AA8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3" s="11">
        <f>AVERAGEIFS(EarningsPerDay[Gross $/Hour],EarningsPerDay[Week '#], EarningsPerDay[[#This Row],[Week '#]], EarningsPerDay[DOW], EarningsPerDay[[#This Row],[DOW]])</f>
        <v>25.390434083182001</v>
      </c>
      <c r="AC83" s="11">
        <f>EarningsPerDay[[#This Row],[Gross $/Hour]] - EarningsPerDay[[#This Row],[Weekly Average Earnings]]</f>
        <v>-5.9221007498486671</v>
      </c>
      <c r="AD83" s="11">
        <f>(SUMIFS(EarningsPerDay[Gross Earnings], EarningsPerDay[Date],"&gt;="&amp;EarningsPerDay[[#This Row],[Date]]-89, EarningsPerDay[Date], "&lt;="&amp;EarningsPerDay[[#This Row],[Date]]))/90</f>
        <v>14.211333333333332</v>
      </c>
      <c r="AE83" s="11"/>
      <c r="AH83" s="11"/>
      <c r="AI83" s="11"/>
    </row>
    <row r="84" spans="1:35" x14ac:dyDescent="0.35">
      <c r="A84" s="55"/>
      <c r="B84" s="40">
        <v>44516</v>
      </c>
      <c r="C84" s="40">
        <f t="shared" si="19"/>
        <v>44516</v>
      </c>
      <c r="D84" s="4">
        <f>IF(EarningsPerDay[[#This Row],[Week '#]]&gt;=52,YEAR(EarningsPerDay[[#This Row],[Date]])-1,YEAR(EarningsPerDay[[#This Row],[Date]]))</f>
        <v>2021</v>
      </c>
      <c r="E84" s="4" t="str">
        <f>"QTR"&amp;IF(EarningsPerDay[[#This Row],[Week '#]] &lt;= 13, 1, IF(EarningsPerDay[[#This Row],[Week '#]] &lt;= 26, 2, IF(EarningsPerDay[[#This Row],[Week '#]] &lt;= 39, 3, 4)))</f>
        <v>QTR4</v>
      </c>
      <c r="F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4" s="4">
        <f>IF(WEEKNUM(EarningsPerDay[[#This Row],[Date]], 2) = 53, 1, WEEKNUM(EarningsPerDay[[#This Row],[Date]],2))</f>
        <v>47</v>
      </c>
      <c r="H84" s="40" t="str">
        <f t="shared" si="20"/>
        <v>Tuesday</v>
      </c>
      <c r="I8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4" s="40" t="str" cm="1">
        <f t="array" ref="J84">IFERROR(VLOOKUP(MODE(IF(Combined[Date]=EarningsPerDay[[#This Row],[Date]],Combined[Area '#])),KPIs!$B$4:$C$7,2,FALSE),VLOOKUP(EarningsPerDay[[#This Row],[Date]],Combined[[Date]:[Primary Area]],8,FALSE))</f>
        <v>Portland</v>
      </c>
      <c r="K84" s="40" t="str">
        <f>_xlfn.XLOOKUP(EarningsPerDay[[#This Row],[Date]],Mileage[Date],Mileage[Weather])</f>
        <v>Partially Cloudy</v>
      </c>
      <c r="L84" s="4">
        <f>_xlfn.XLOOKUP(EarningsPerDay[[#This Row],[Date]],Mileage[Date],Mileage[Hi Temp])</f>
        <v>38.700000000000003</v>
      </c>
      <c r="M84" s="12">
        <f>_xlfn.XLOOKUP(EarningsPerDay[[#This Row],[Date]],Mileage[Date],Mileage[Total Time])</f>
        <v>5</v>
      </c>
      <c r="N84" s="4">
        <f>_xlfn.XLOOKUP(EarningsPerDay[[#This Row],[Date]],Mileage[Date],Mileage[Mileage])</f>
        <v>96.699999999999989</v>
      </c>
      <c r="O84" s="4">
        <f>SUMIF(Combined[Date],EarningsPerDay[[#This Row],[Date]],Combined[Trips])</f>
        <v>11</v>
      </c>
      <c r="P84">
        <f>COUNTIF(Combined[Date],EarningsPerDay[[#This Row],[Date]])</f>
        <v>2</v>
      </c>
      <c r="Q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" s="11">
        <f>SUMIF(Combined[Date],EarningsPerDay[[#This Row],[Date]],Combined[Earnings])</f>
        <v>87.539999999999992</v>
      </c>
      <c r="S84" s="11">
        <f ca="1">EarningsPerDay[[#This Row],[Gross Earnings]]-(EarningsPerDay[[#This Row],[Miles]]*CpM!$D$11)</f>
        <v>65.978501942844957</v>
      </c>
      <c r="T84" s="11">
        <f t="shared" si="21"/>
        <v>17.507999999999999</v>
      </c>
      <c r="U84" s="11">
        <f t="shared" ca="1" si="22"/>
        <v>13.195700388568991</v>
      </c>
      <c r="V84" s="11">
        <f>EarningsPerDay[[#This Row],[Gross Earnings]]/EarningsPerDay[[#This Row],[Deliveries]]</f>
        <v>7.9581818181818171</v>
      </c>
      <c r="W84" s="11">
        <f>EarningsPerDay[[#This Row],[Gross Earnings]]/EarningsPerDay[[#This Row],[Miles]]</f>
        <v>0.90527404343329887</v>
      </c>
      <c r="X84" s="71">
        <f>EarningsPerDay[[#This Row],[Deliveries]]/EarningsPerDay[[#This Row],[Hours]]</f>
        <v>2.2000000000000002</v>
      </c>
      <c r="Y84" s="71">
        <f>EarningsPerDay[[#This Row],[Miles]]/EarningsPerDay[[#This Row],[Deliveries]]</f>
        <v>8.7909090909090892</v>
      </c>
      <c r="Z84" s="81">
        <f>(EarningsPerDay[[#This Row],[Hours]]/EarningsPerDay[[#This Row],[Deliveries]])/24</f>
        <v>1.893939393939394E-2</v>
      </c>
      <c r="AA8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4" s="11">
        <f>AVERAGEIFS(EarningsPerDay[Gross $/Hour],EarningsPerDay[Week '#], EarningsPerDay[[#This Row],[Week '#]], EarningsPerDay[DOW], EarningsPerDay[[#This Row],[DOW]])</f>
        <v>23.298678975611001</v>
      </c>
      <c r="AC84" s="11">
        <f>EarningsPerDay[[#This Row],[Gross $/Hour]] - EarningsPerDay[[#This Row],[Weekly Average Earnings]]</f>
        <v>-5.7906789756110015</v>
      </c>
      <c r="AD84" s="11">
        <f>(SUMIFS(EarningsPerDay[Gross Earnings], EarningsPerDay[Date],"&gt;="&amp;EarningsPerDay[[#This Row],[Date]]-89, EarningsPerDay[Date], "&lt;="&amp;EarningsPerDay[[#This Row],[Date]]))/90</f>
        <v>15.183999999999999</v>
      </c>
      <c r="AE84" s="11"/>
      <c r="AH84" s="11"/>
      <c r="AI84" s="11"/>
    </row>
    <row r="85" spans="1:35" x14ac:dyDescent="0.35">
      <c r="A85" s="55"/>
      <c r="B85" s="40">
        <v>44517</v>
      </c>
      <c r="C85" s="40">
        <f t="shared" si="19"/>
        <v>44517</v>
      </c>
      <c r="D85" s="4">
        <f>IF(EarningsPerDay[[#This Row],[Week '#]]&gt;=52,YEAR(EarningsPerDay[[#This Row],[Date]])-1,YEAR(EarningsPerDay[[#This Row],[Date]]))</f>
        <v>2021</v>
      </c>
      <c r="E85" s="4" t="str">
        <f>"QTR"&amp;IF(EarningsPerDay[[#This Row],[Week '#]] &lt;= 13, 1, IF(EarningsPerDay[[#This Row],[Week '#]] &lt;= 26, 2, IF(EarningsPerDay[[#This Row],[Week '#]] &lt;= 39, 3, 4)))</f>
        <v>QTR4</v>
      </c>
      <c r="F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5" s="4">
        <f>IF(WEEKNUM(EarningsPerDay[[#This Row],[Date]], 2) = 53, 1, WEEKNUM(EarningsPerDay[[#This Row],[Date]],2))</f>
        <v>47</v>
      </c>
      <c r="H85" s="40" t="str">
        <f t="shared" si="20"/>
        <v>Wednesday</v>
      </c>
      <c r="I8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5" s="40" t="str" cm="1">
        <f t="array" ref="J85">IFERROR(VLOOKUP(MODE(IF(Combined[Date]=EarningsPerDay[[#This Row],[Date]],Combined[Area '#])),KPIs!$B$4:$C$7,2,FALSE),VLOOKUP(EarningsPerDay[[#This Row],[Date]],Combined[[Date]:[Primary Area]],8,FALSE))</f>
        <v>Portland</v>
      </c>
      <c r="K85" s="40" t="str">
        <f>_xlfn.XLOOKUP(EarningsPerDay[[#This Row],[Date]],Mileage[Date],Mileage[Weather])</f>
        <v>Rain</v>
      </c>
      <c r="L85" s="4">
        <f>_xlfn.XLOOKUP(EarningsPerDay[[#This Row],[Date]],Mileage[Date],Mileage[Hi Temp])</f>
        <v>58.6</v>
      </c>
      <c r="M85" s="12">
        <f>_xlfn.XLOOKUP(EarningsPerDay[[#This Row],[Date]],Mileage[Date],Mileage[Total Time])</f>
        <v>1.7</v>
      </c>
      <c r="N85" s="4">
        <f>_xlfn.XLOOKUP(EarningsPerDay[[#This Row],[Date]],Mileage[Date],Mileage[Mileage])</f>
        <v>52</v>
      </c>
      <c r="O85" s="4">
        <f>SUMIF(Combined[Date],EarningsPerDay[[#This Row],[Date]],Combined[Trips])</f>
        <v>2</v>
      </c>
      <c r="P85">
        <f>COUNTIF(Combined[Date],EarningsPerDay[[#This Row],[Date]])</f>
        <v>1</v>
      </c>
      <c r="Q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" s="11">
        <f>SUMIF(Combined[Date],EarningsPerDay[[#This Row],[Date]],Combined[Earnings])</f>
        <v>13.25</v>
      </c>
      <c r="S85" s="11">
        <f ca="1">EarningsPerDay[[#This Row],[Gross Earnings]]-(EarningsPerDay[[#This Row],[Miles]]*CpM!$D$11)</f>
        <v>1.6553991833292407</v>
      </c>
      <c r="T85" s="11">
        <f t="shared" si="21"/>
        <v>7.7941176470588234</v>
      </c>
      <c r="U85" s="11">
        <f t="shared" ca="1" si="22"/>
        <v>0.97376422548778874</v>
      </c>
      <c r="V85" s="11">
        <f>EarningsPerDay[[#This Row],[Gross Earnings]]/EarningsPerDay[[#This Row],[Deliveries]]</f>
        <v>6.625</v>
      </c>
      <c r="W85" s="11">
        <f>EarningsPerDay[[#This Row],[Gross Earnings]]/EarningsPerDay[[#This Row],[Miles]]</f>
        <v>0.25480769230769229</v>
      </c>
      <c r="X85" s="71">
        <f>EarningsPerDay[[#This Row],[Deliveries]]/EarningsPerDay[[#This Row],[Hours]]</f>
        <v>1.1764705882352942</v>
      </c>
      <c r="Y85" s="71">
        <f>EarningsPerDay[[#This Row],[Miles]]/EarningsPerDay[[#This Row],[Deliveries]]</f>
        <v>26</v>
      </c>
      <c r="Z85" s="81">
        <f>(EarningsPerDay[[#This Row],[Hours]]/EarningsPerDay[[#This Row],[Deliveries]])/24</f>
        <v>3.5416666666666666E-2</v>
      </c>
      <c r="AA8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5" s="11">
        <f>AVERAGEIFS(EarningsPerDay[Gross $/Hour],EarningsPerDay[Week '#], EarningsPerDay[[#This Row],[Week '#]], EarningsPerDay[DOW], EarningsPerDay[[#This Row],[DOW]])</f>
        <v>7.7941176470588234</v>
      </c>
      <c r="AC85" s="11">
        <f>EarningsPerDay[[#This Row],[Gross $/Hour]] - EarningsPerDay[[#This Row],[Weekly Average Earnings]]</f>
        <v>0</v>
      </c>
      <c r="AD85" s="11">
        <f>(SUMIFS(EarningsPerDay[Gross Earnings], EarningsPerDay[Date],"&gt;="&amp;EarningsPerDay[[#This Row],[Date]]-89, EarningsPerDay[Date], "&lt;="&amp;EarningsPerDay[[#This Row],[Date]]))/90</f>
        <v>15.331222222222221</v>
      </c>
      <c r="AE85" s="11"/>
      <c r="AH85" s="11"/>
      <c r="AI85" s="11"/>
    </row>
    <row r="86" spans="1:35" x14ac:dyDescent="0.35">
      <c r="A86" s="55"/>
      <c r="B86" s="40">
        <v>44519</v>
      </c>
      <c r="C86" s="40">
        <f t="shared" si="19"/>
        <v>44519</v>
      </c>
      <c r="D86" s="4">
        <f>IF(EarningsPerDay[[#This Row],[Week '#]]&gt;=52,YEAR(EarningsPerDay[[#This Row],[Date]])-1,YEAR(EarningsPerDay[[#This Row],[Date]]))</f>
        <v>2021</v>
      </c>
      <c r="E86" s="4" t="str">
        <f>"QTR"&amp;IF(EarningsPerDay[[#This Row],[Week '#]] &lt;= 13, 1, IF(EarningsPerDay[[#This Row],[Week '#]] &lt;= 26, 2, IF(EarningsPerDay[[#This Row],[Week '#]] &lt;= 39, 3, 4)))</f>
        <v>QTR4</v>
      </c>
      <c r="F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6" s="4">
        <f>IF(WEEKNUM(EarningsPerDay[[#This Row],[Date]], 2) = 53, 1, WEEKNUM(EarningsPerDay[[#This Row],[Date]],2))</f>
        <v>47</v>
      </c>
      <c r="H86" s="40" t="str">
        <f t="shared" si="20"/>
        <v>Friday</v>
      </c>
      <c r="I86" s="106">
        <f>IF(_xlfn.XLOOKUP(EarningsPerDay[[#This Row],[Date]],Mileage[Date],Mileage[Start Time])="","",MROUND(_xlfn.XLOOKUP(EarningsPerDay[[#This Row],[Date]],Mileage[Date],Mileage[Start Time]),0.0208333333333333))</f>
        <v>0.91666666666666519</v>
      </c>
      <c r="J86" s="40" t="str" cm="1">
        <f t="array" ref="J86">IFERROR(VLOOKUP(MODE(IF(Combined[Date]=EarningsPerDay[[#This Row],[Date]],Combined[Area '#])),KPIs!$B$4:$C$7,2,FALSE),VLOOKUP(EarningsPerDay[[#This Row],[Date]],Combined[[Date]:[Primary Area]],8,FALSE))</f>
        <v>Lewiston</v>
      </c>
      <c r="K86" s="40" t="str">
        <f>_xlfn.XLOOKUP(EarningsPerDay[[#This Row],[Date]],Mileage[Date],Mileage[Weather])</f>
        <v>Clear</v>
      </c>
      <c r="L86" s="4">
        <f>_xlfn.XLOOKUP(EarningsPerDay[[#This Row],[Date]],Mileage[Date],Mileage[Hi Temp])</f>
        <v>42.4</v>
      </c>
      <c r="M86" s="12">
        <f>_xlfn.XLOOKUP(EarningsPerDay[[#This Row],[Date]],Mileage[Date],Mileage[Total Time])</f>
        <v>3.1</v>
      </c>
      <c r="N86" s="4">
        <f>_xlfn.XLOOKUP(EarningsPerDay[[#This Row],[Date]],Mileage[Date],Mileage[Mileage])</f>
        <v>74</v>
      </c>
      <c r="O86" s="4">
        <f>SUMIF(Combined[Date],EarningsPerDay[[#This Row],[Date]],Combined[Trips])</f>
        <v>8</v>
      </c>
      <c r="P86">
        <f>COUNTIF(Combined[Date],EarningsPerDay[[#This Row],[Date]])</f>
        <v>3</v>
      </c>
      <c r="Q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" s="11">
        <f>SUMIF(Combined[Date],EarningsPerDay[[#This Row],[Date]],Combined[Earnings])</f>
        <v>73.03</v>
      </c>
      <c r="S86" s="11">
        <f ca="1">EarningsPerDay[[#This Row],[Gross Earnings]]-(EarningsPerDay[[#This Row],[Miles]]*CpM!$D$11)</f>
        <v>56.529991145506997</v>
      </c>
      <c r="T86" s="11">
        <f t="shared" si="21"/>
        <v>23.558064516129033</v>
      </c>
      <c r="U86" s="11">
        <f t="shared" ca="1" si="22"/>
        <v>18.235481014679674</v>
      </c>
      <c r="V86" s="11">
        <f>EarningsPerDay[[#This Row],[Gross Earnings]]/EarningsPerDay[[#This Row],[Deliveries]]</f>
        <v>9.1287500000000001</v>
      </c>
      <c r="W86" s="11">
        <f>EarningsPerDay[[#This Row],[Gross Earnings]]/EarningsPerDay[[#This Row],[Miles]]</f>
        <v>0.98689189189189186</v>
      </c>
      <c r="X86" s="71">
        <f>EarningsPerDay[[#This Row],[Deliveries]]/EarningsPerDay[[#This Row],[Hours]]</f>
        <v>2.5806451612903225</v>
      </c>
      <c r="Y86" s="71">
        <f>EarningsPerDay[[#This Row],[Miles]]/EarningsPerDay[[#This Row],[Deliveries]]</f>
        <v>9.25</v>
      </c>
      <c r="Z86" s="81">
        <f>(EarningsPerDay[[#This Row],[Hours]]/EarningsPerDay[[#This Row],[Deliveries]])/24</f>
        <v>1.6145833333333335E-2</v>
      </c>
      <c r="AA8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6" s="11">
        <f>AVERAGEIFS(EarningsPerDay[Gross $/Hour],EarningsPerDay[Week '#], EarningsPerDay[[#This Row],[Week '#]], EarningsPerDay[DOW], EarningsPerDay[[#This Row],[DOW]])</f>
        <v>22.73915602398818</v>
      </c>
      <c r="AC86" s="11">
        <f>EarningsPerDay[[#This Row],[Gross $/Hour]] - EarningsPerDay[[#This Row],[Weekly Average Earnings]]</f>
        <v>0.81890849214085293</v>
      </c>
      <c r="AD86" s="11">
        <f>(SUMIFS(EarningsPerDay[Gross Earnings], EarningsPerDay[Date],"&gt;="&amp;EarningsPerDay[[#This Row],[Date]]-89, EarningsPerDay[Date], "&lt;="&amp;EarningsPerDay[[#This Row],[Date]]))/90</f>
        <v>16.142666666666667</v>
      </c>
      <c r="AE86" s="11"/>
      <c r="AH86" s="11"/>
      <c r="AI86" s="11"/>
    </row>
    <row r="87" spans="1:35" x14ac:dyDescent="0.35">
      <c r="A87" s="55"/>
      <c r="B87" s="40">
        <v>44521</v>
      </c>
      <c r="C87" s="40">
        <f t="shared" si="19"/>
        <v>44521</v>
      </c>
      <c r="D87" s="4">
        <f>IF(EarningsPerDay[[#This Row],[Week '#]]&gt;=52,YEAR(EarningsPerDay[[#This Row],[Date]])-1,YEAR(EarningsPerDay[[#This Row],[Date]]))</f>
        <v>2021</v>
      </c>
      <c r="E87" s="4" t="str">
        <f>"QTR"&amp;IF(EarningsPerDay[[#This Row],[Week '#]] &lt;= 13, 1, IF(EarningsPerDay[[#This Row],[Week '#]] &lt;= 26, 2, IF(EarningsPerDay[[#This Row],[Week '#]] &lt;= 39, 3, 4)))</f>
        <v>QTR4</v>
      </c>
      <c r="F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7" s="4">
        <f>IF(WEEKNUM(EarningsPerDay[[#This Row],[Date]], 2) = 53, 1, WEEKNUM(EarningsPerDay[[#This Row],[Date]],2))</f>
        <v>47</v>
      </c>
      <c r="H87" s="40" t="str">
        <f t="shared" si="20"/>
        <v>Sunday</v>
      </c>
      <c r="I8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7" s="40" t="str" cm="1">
        <f t="array" ref="J87">IFERROR(VLOOKUP(MODE(IF(Combined[Date]=EarningsPerDay[[#This Row],[Date]],Combined[Area '#])),KPIs!$B$4:$C$7,2,FALSE),VLOOKUP(EarningsPerDay[[#This Row],[Date]],Combined[[Date]:[Primary Area]],8,FALSE))</f>
        <v>Lewiston</v>
      </c>
      <c r="K87" s="40" t="str">
        <f>_xlfn.XLOOKUP(EarningsPerDay[[#This Row],[Date]],Mileage[Date],Mileage[Weather])</f>
        <v>Rain</v>
      </c>
      <c r="L87" s="4">
        <f>_xlfn.XLOOKUP(EarningsPerDay[[#This Row],[Date]],Mileage[Date],Mileage[Hi Temp])</f>
        <v>52</v>
      </c>
      <c r="M87" s="12">
        <f>_xlfn.XLOOKUP(EarningsPerDay[[#This Row],[Date]],Mileage[Date],Mileage[Total Time])</f>
        <v>3.4000000000000004</v>
      </c>
      <c r="N87" s="4">
        <f>_xlfn.XLOOKUP(EarningsPerDay[[#This Row],[Date]],Mileage[Date],Mileage[Mileage])</f>
        <v>71</v>
      </c>
      <c r="O87" s="4">
        <f>SUMIF(Combined[Date],EarningsPerDay[[#This Row],[Date]],Combined[Trips])</f>
        <v>6</v>
      </c>
      <c r="P87">
        <f>COUNTIF(Combined[Date],EarningsPerDay[[#This Row],[Date]])</f>
        <v>2</v>
      </c>
      <c r="Q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" s="11">
        <f>SUMIF(Combined[Date],EarningsPerDay[[#This Row],[Date]],Combined[Earnings])</f>
        <v>63.25</v>
      </c>
      <c r="S87" s="11">
        <f ca="1">EarningsPerDay[[#This Row],[Gross Earnings]]-(EarningsPerDay[[#This Row],[Miles]]*CpM!$D$11)</f>
        <v>47.41891042339185</v>
      </c>
      <c r="T87" s="11">
        <f t="shared" si="21"/>
        <v>18.602941176470587</v>
      </c>
      <c r="U87" s="11">
        <f t="shared" ca="1" si="22"/>
        <v>13.946738359821131</v>
      </c>
      <c r="V87" s="11">
        <f>EarningsPerDay[[#This Row],[Gross Earnings]]/EarningsPerDay[[#This Row],[Deliveries]]</f>
        <v>10.541666666666666</v>
      </c>
      <c r="W87" s="11">
        <f>EarningsPerDay[[#This Row],[Gross Earnings]]/EarningsPerDay[[#This Row],[Miles]]</f>
        <v>0.89084507042253525</v>
      </c>
      <c r="X87" s="71">
        <f>EarningsPerDay[[#This Row],[Deliveries]]/EarningsPerDay[[#This Row],[Hours]]</f>
        <v>1.7647058823529409</v>
      </c>
      <c r="Y87" s="71">
        <f>EarningsPerDay[[#This Row],[Miles]]/EarningsPerDay[[#This Row],[Deliveries]]</f>
        <v>11.833333333333334</v>
      </c>
      <c r="Z87" s="81">
        <f>(EarningsPerDay[[#This Row],[Hours]]/EarningsPerDay[[#This Row],[Deliveries]])/24</f>
        <v>2.3611111111111114E-2</v>
      </c>
      <c r="AA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-2.7005127708978307</v>
      </c>
      <c r="AB87" s="11">
        <f>AVERAGEIFS(EarningsPerDay[Gross $/Hour],EarningsPerDay[Week '#], EarningsPerDay[[#This Row],[Week '#]], EarningsPerDay[DOW], EarningsPerDay[[#This Row],[DOW]])</f>
        <v>16.126771793054569</v>
      </c>
      <c r="AC87" s="11">
        <f>EarningsPerDay[[#This Row],[Gross $/Hour]] - EarningsPerDay[[#This Row],[Weekly Average Earnings]]</f>
        <v>2.4761693834160177</v>
      </c>
      <c r="AD87" s="11">
        <f>(SUMIFS(EarningsPerDay[Gross Earnings], EarningsPerDay[Date],"&gt;="&amp;EarningsPerDay[[#This Row],[Date]]-89, EarningsPerDay[Date], "&lt;="&amp;EarningsPerDay[[#This Row],[Date]]))/90</f>
        <v>16.845444444444443</v>
      </c>
      <c r="AE87" s="11"/>
      <c r="AH87" s="11"/>
      <c r="AI87" s="11"/>
    </row>
    <row r="88" spans="1:35" x14ac:dyDescent="0.35">
      <c r="A88" s="55"/>
      <c r="B88" s="40">
        <v>44522</v>
      </c>
      <c r="C88" s="40">
        <f t="shared" si="19"/>
        <v>44522</v>
      </c>
      <c r="D88" s="4">
        <f>IF(EarningsPerDay[[#This Row],[Week '#]]&gt;=52,YEAR(EarningsPerDay[[#This Row],[Date]])-1,YEAR(EarningsPerDay[[#This Row],[Date]]))</f>
        <v>2021</v>
      </c>
      <c r="E88" s="4" t="str">
        <f>"QTR"&amp;IF(EarningsPerDay[[#This Row],[Week '#]] &lt;= 13, 1, IF(EarningsPerDay[[#This Row],[Week '#]] &lt;= 26, 2, IF(EarningsPerDay[[#This Row],[Week '#]] &lt;= 39, 3, 4)))</f>
        <v>QTR4</v>
      </c>
      <c r="F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8" s="4">
        <f>IF(WEEKNUM(EarningsPerDay[[#This Row],[Date]], 2) = 53, 1, WEEKNUM(EarningsPerDay[[#This Row],[Date]],2))</f>
        <v>48</v>
      </c>
      <c r="H88" s="40" t="str">
        <f t="shared" si="20"/>
        <v>Monday</v>
      </c>
      <c r="I8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88" s="40" t="str" cm="1">
        <f t="array" ref="J88">IFERROR(VLOOKUP(MODE(IF(Combined[Date]=EarningsPerDay[[#This Row],[Date]],Combined[Area '#])),KPIs!$B$4:$C$7,2,FALSE),VLOOKUP(EarningsPerDay[[#This Row],[Date]],Combined[[Date]:[Primary Area]],8,FALSE))</f>
        <v>Brunswick/Bath/Freeport</v>
      </c>
      <c r="K88" s="40" t="str">
        <f>_xlfn.XLOOKUP(EarningsPerDay[[#This Row],[Date]],Mileage[Date],Mileage[Weather])</f>
        <v>Clear</v>
      </c>
      <c r="L88" s="4">
        <f>_xlfn.XLOOKUP(EarningsPerDay[[#This Row],[Date]],Mileage[Date],Mileage[Hi Temp])</f>
        <v>30.7</v>
      </c>
      <c r="M88" s="12">
        <f>_xlfn.XLOOKUP(EarningsPerDay[[#This Row],[Date]],Mileage[Date],Mileage[Total Time])</f>
        <v>4.2</v>
      </c>
      <c r="N88" s="4">
        <f>_xlfn.XLOOKUP(EarningsPerDay[[#This Row],[Date]],Mileage[Date],Mileage[Mileage])</f>
        <v>84</v>
      </c>
      <c r="O88" s="4">
        <f>SUMIF(Combined[Date],EarningsPerDay[[#This Row],[Date]],Combined[Trips])</f>
        <v>11</v>
      </c>
      <c r="P88">
        <f>COUNTIF(Combined[Date],EarningsPerDay[[#This Row],[Date]])</f>
        <v>2</v>
      </c>
      <c r="Q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" s="11">
        <f>SUMIF(Combined[Date],EarningsPerDay[[#This Row],[Date]],Combined[Earnings])</f>
        <v>120</v>
      </c>
      <c r="S88" s="11">
        <f ca="1">EarningsPerDay[[#This Row],[Gross Earnings]]-(EarningsPerDay[[#This Row],[Miles]]*CpM!$D$11)</f>
        <v>101.27026021922416</v>
      </c>
      <c r="T88" s="11">
        <f t="shared" si="21"/>
        <v>28.571428571428569</v>
      </c>
      <c r="U88" s="11">
        <f t="shared" ca="1" si="22"/>
        <v>24.111966718862892</v>
      </c>
      <c r="V88" s="11">
        <f>EarningsPerDay[[#This Row],[Gross Earnings]]/EarningsPerDay[[#This Row],[Deliveries]]</f>
        <v>10.909090909090908</v>
      </c>
      <c r="W88" s="11">
        <f>EarningsPerDay[[#This Row],[Gross Earnings]]/EarningsPerDay[[#This Row],[Miles]]</f>
        <v>1.4285714285714286</v>
      </c>
      <c r="X88" s="71">
        <f>EarningsPerDay[[#This Row],[Deliveries]]/EarningsPerDay[[#This Row],[Hours]]</f>
        <v>2.6190476190476191</v>
      </c>
      <c r="Y88" s="71">
        <f>EarningsPerDay[[#This Row],[Miles]]/EarningsPerDay[[#This Row],[Deliveries]]</f>
        <v>7.6363636363636367</v>
      </c>
      <c r="Z88" s="81">
        <f>(EarningsPerDay[[#This Row],[Hours]]/EarningsPerDay[[#This Row],[Deliveries]])/24</f>
        <v>1.5909090909090911E-2</v>
      </c>
      <c r="AA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8.7772256728778402</v>
      </c>
      <c r="AB88" s="11">
        <f>AVERAGEIFS(EarningsPerDay[Gross $/Hour],EarningsPerDay[Week '#], EarningsPerDay[[#This Row],[Week '#]], EarningsPerDay[DOW], EarningsPerDay[[#This Row],[DOW]])</f>
        <v>22.7536390170972</v>
      </c>
      <c r="AC88" s="11">
        <f>EarningsPerDay[[#This Row],[Gross $/Hour]] - EarningsPerDay[[#This Row],[Weekly Average Earnings]]</f>
        <v>5.8177895543313696</v>
      </c>
      <c r="AD88" s="11">
        <f>(SUMIFS(EarningsPerDay[Gross Earnings], EarningsPerDay[Date],"&gt;="&amp;EarningsPerDay[[#This Row],[Date]]-89, EarningsPerDay[Date], "&lt;="&amp;EarningsPerDay[[#This Row],[Date]]))/90</f>
        <v>18.178777777777778</v>
      </c>
      <c r="AE88" s="11"/>
      <c r="AH88" s="11"/>
      <c r="AI88" s="11"/>
    </row>
    <row r="89" spans="1:35" x14ac:dyDescent="0.35">
      <c r="A89" s="55"/>
      <c r="B89" s="40">
        <v>44527</v>
      </c>
      <c r="C89" s="40">
        <f t="shared" si="19"/>
        <v>44527</v>
      </c>
      <c r="D89" s="4">
        <f>IF(EarningsPerDay[[#This Row],[Week '#]]&gt;=52,YEAR(EarningsPerDay[[#This Row],[Date]])-1,YEAR(EarningsPerDay[[#This Row],[Date]]))</f>
        <v>2021</v>
      </c>
      <c r="E89" s="4" t="str">
        <f>"QTR"&amp;IF(EarningsPerDay[[#This Row],[Week '#]] &lt;= 13, 1, IF(EarningsPerDay[[#This Row],[Week '#]] &lt;= 26, 2, IF(EarningsPerDay[[#This Row],[Week '#]] &lt;= 39, 3, 4)))</f>
        <v>QTR4</v>
      </c>
      <c r="F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9" s="4">
        <f>IF(WEEKNUM(EarningsPerDay[[#This Row],[Date]], 2) = 53, 1, WEEKNUM(EarningsPerDay[[#This Row],[Date]],2))</f>
        <v>48</v>
      </c>
      <c r="H89" s="40" t="str">
        <f t="shared" si="20"/>
        <v>Saturday</v>
      </c>
      <c r="I89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89" s="40" t="str" cm="1">
        <f t="array" ref="J89">IFERROR(VLOOKUP(MODE(IF(Combined[Date]=EarningsPerDay[[#This Row],[Date]],Combined[Area '#])),KPIs!$B$4:$C$7,2,FALSE),VLOOKUP(EarningsPerDay[[#This Row],[Date]],Combined[[Date]:[Primary Area]],8,FALSE))</f>
        <v>Portland</v>
      </c>
      <c r="K89" s="40" t="str">
        <f>_xlfn.XLOOKUP(EarningsPerDay[[#This Row],[Date]],Mileage[Date],Mileage[Weather])</f>
        <v>Partially Cloudy</v>
      </c>
      <c r="L89" s="4">
        <f>_xlfn.XLOOKUP(EarningsPerDay[[#This Row],[Date]],Mileage[Date],Mileage[Hi Temp])</f>
        <v>30.6</v>
      </c>
      <c r="M89" s="12">
        <f>_xlfn.XLOOKUP(EarningsPerDay[[#This Row],[Date]],Mileage[Date],Mileage[Total Time])</f>
        <v>11.5</v>
      </c>
      <c r="N89" s="4">
        <f>_xlfn.XLOOKUP(EarningsPerDay[[#This Row],[Date]],Mileage[Date],Mileage[Mileage])</f>
        <v>247</v>
      </c>
      <c r="O89" s="4">
        <f>SUMIF(Combined[Date],EarningsPerDay[[#This Row],[Date]],Combined[Trips])</f>
        <v>26</v>
      </c>
      <c r="P89">
        <f>COUNTIF(Combined[Date],EarningsPerDay[[#This Row],[Date]])</f>
        <v>3</v>
      </c>
      <c r="Q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9" s="11">
        <f>SUMIF(Combined[Date],EarningsPerDay[[#This Row],[Date]],Combined[Earnings])</f>
        <v>280.45</v>
      </c>
      <c r="S89" s="11">
        <f ca="1">EarningsPerDay[[#This Row],[Gross Earnings]]-(EarningsPerDay[[#This Row],[Miles]]*CpM!$D$11)</f>
        <v>225.37564612081388</v>
      </c>
      <c r="T89" s="11">
        <f t="shared" si="21"/>
        <v>24.38695652173913</v>
      </c>
      <c r="U89" s="11">
        <f t="shared" ca="1" si="22"/>
        <v>19.59788227137512</v>
      </c>
      <c r="V89" s="11">
        <f>EarningsPerDay[[#This Row],[Gross Earnings]]/EarningsPerDay[[#This Row],[Deliveries]]</f>
        <v>10.786538461538461</v>
      </c>
      <c r="W89" s="11">
        <f>EarningsPerDay[[#This Row],[Gross Earnings]]/EarningsPerDay[[#This Row],[Miles]]</f>
        <v>1.1354251012145749</v>
      </c>
      <c r="X89" s="71">
        <f>EarningsPerDay[[#This Row],[Deliveries]]/EarningsPerDay[[#This Row],[Hours]]</f>
        <v>2.2608695652173911</v>
      </c>
      <c r="Y89" s="71">
        <f>EarningsPerDay[[#This Row],[Miles]]/EarningsPerDay[[#This Row],[Deliveries]]</f>
        <v>9.5</v>
      </c>
      <c r="Z89" s="81">
        <f>(EarningsPerDay[[#This Row],[Hours]]/EarningsPerDay[[#This Row],[Deliveries]])/24</f>
        <v>1.842948717948718E-2</v>
      </c>
      <c r="AA8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89" s="11">
        <f>AVERAGEIFS(EarningsPerDay[Gross $/Hour],EarningsPerDay[Week '#], EarningsPerDay[[#This Row],[Week '#]], EarningsPerDay[DOW], EarningsPerDay[[#This Row],[DOW]])</f>
        <v>20.137597751187688</v>
      </c>
      <c r="AC89" s="11">
        <f>EarningsPerDay[[#This Row],[Gross $/Hour]] - EarningsPerDay[[#This Row],[Weekly Average Earnings]]</f>
        <v>4.2493587705514422</v>
      </c>
      <c r="AD89" s="11">
        <f>(SUMIFS(EarningsPerDay[Gross Earnings], EarningsPerDay[Date],"&gt;="&amp;EarningsPerDay[[#This Row],[Date]]-89, EarningsPerDay[Date], "&lt;="&amp;EarningsPerDay[[#This Row],[Date]]))/90</f>
        <v>21.294888888888888</v>
      </c>
      <c r="AE89" s="11"/>
      <c r="AH89" s="11"/>
      <c r="AI89" s="11"/>
    </row>
    <row r="90" spans="1:35" x14ac:dyDescent="0.35">
      <c r="A90" s="55"/>
      <c r="B90" s="40">
        <v>44529</v>
      </c>
      <c r="C90" s="40">
        <f t="shared" si="19"/>
        <v>44529</v>
      </c>
      <c r="D90" s="4">
        <f>IF(EarningsPerDay[[#This Row],[Week '#]]&gt;=52,YEAR(EarningsPerDay[[#This Row],[Date]])-1,YEAR(EarningsPerDay[[#This Row],[Date]]))</f>
        <v>2021</v>
      </c>
      <c r="E90" s="4" t="str">
        <f>"QTR"&amp;IF(EarningsPerDay[[#This Row],[Week '#]] &lt;= 13, 1, IF(EarningsPerDay[[#This Row],[Week '#]] &lt;= 26, 2, IF(EarningsPerDay[[#This Row],[Week '#]] &lt;= 39, 3, 4)))</f>
        <v>QTR4</v>
      </c>
      <c r="F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90" s="4">
        <f>IF(WEEKNUM(EarningsPerDay[[#This Row],[Date]], 2) = 53, 1, WEEKNUM(EarningsPerDay[[#This Row],[Date]],2))</f>
        <v>49</v>
      </c>
      <c r="H90" s="40" t="str">
        <f t="shared" si="20"/>
        <v>Monday</v>
      </c>
      <c r="I9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90" s="40" t="str" cm="1">
        <f t="array" ref="J90">IFERROR(VLOOKUP(MODE(IF(Combined[Date]=EarningsPerDay[[#This Row],[Date]],Combined[Area '#])),KPIs!$B$4:$C$7,2,FALSE),VLOOKUP(EarningsPerDay[[#This Row],[Date]],Combined[[Date]:[Primary Area]],8,FALSE))</f>
        <v>Lewiston</v>
      </c>
      <c r="K90" s="40" t="str">
        <f>_xlfn.XLOOKUP(EarningsPerDay[[#This Row],[Date]],Mileage[Date],Mileage[Weather])</f>
        <v>Partially Cloudy</v>
      </c>
      <c r="L90" s="4">
        <f>_xlfn.XLOOKUP(EarningsPerDay[[#This Row],[Date]],Mileage[Date],Mileage[Hi Temp])</f>
        <v>31.7</v>
      </c>
      <c r="M90" s="12">
        <f>_xlfn.XLOOKUP(EarningsPerDay[[#This Row],[Date]],Mileage[Date],Mileage[Total Time])</f>
        <v>4.9000000000000004</v>
      </c>
      <c r="N90" s="4">
        <f>_xlfn.XLOOKUP(EarningsPerDay[[#This Row],[Date]],Mileage[Date],Mileage[Mileage])</f>
        <v>86.8</v>
      </c>
      <c r="O90" s="4">
        <f>SUMIF(Combined[Date],EarningsPerDay[[#This Row],[Date]],Combined[Trips])</f>
        <v>14</v>
      </c>
      <c r="P90">
        <f>COUNTIF(Combined[Date],EarningsPerDay[[#This Row],[Date]])</f>
        <v>2</v>
      </c>
      <c r="Q9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0" s="11">
        <f>SUMIF(Combined[Date],EarningsPerDay[[#This Row],[Date]],Combined[Earnings])</f>
        <v>113</v>
      </c>
      <c r="S90" s="11">
        <f ca="1">EarningsPerDay[[#This Row],[Gross Earnings]]-(EarningsPerDay[[#This Row],[Miles]]*CpM!$D$11)</f>
        <v>93.645935559864967</v>
      </c>
      <c r="T90" s="11">
        <f t="shared" si="21"/>
        <v>23.061224489795915</v>
      </c>
      <c r="U90" s="11">
        <f t="shared" ca="1" si="22"/>
        <v>19.111415420380602</v>
      </c>
      <c r="V90" s="11">
        <f>EarningsPerDay[[#This Row],[Gross Earnings]]/EarningsPerDay[[#This Row],[Deliveries]]</f>
        <v>8.0714285714285712</v>
      </c>
      <c r="W90" s="11">
        <f>EarningsPerDay[[#This Row],[Gross Earnings]]/EarningsPerDay[[#This Row],[Miles]]</f>
        <v>1.3018433179723503</v>
      </c>
      <c r="X90" s="71">
        <f>EarningsPerDay[[#This Row],[Deliveries]]/EarningsPerDay[[#This Row],[Hours]]</f>
        <v>2.8571428571428568</v>
      </c>
      <c r="Y90" s="71">
        <f>EarningsPerDay[[#This Row],[Miles]]/EarningsPerDay[[#This Row],[Deliveries]]</f>
        <v>6.2</v>
      </c>
      <c r="Z90" s="81">
        <f>(EarningsPerDay[[#This Row],[Hours]]/EarningsPerDay[[#This Row],[Deliveries]])/24</f>
        <v>1.4583333333333335E-2</v>
      </c>
      <c r="AA9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90" s="11">
        <f>AVERAGEIFS(EarningsPerDay[Gross $/Hour],EarningsPerDay[Week '#], EarningsPerDay[[#This Row],[Week '#]], EarningsPerDay[DOW], EarningsPerDay[[#This Row],[DOW]])</f>
        <v>21.442841149708883</v>
      </c>
      <c r="AC90" s="11">
        <f>EarningsPerDay[[#This Row],[Gross $/Hour]] - EarningsPerDay[[#This Row],[Weekly Average Earnings]]</f>
        <v>1.618383340087032</v>
      </c>
      <c r="AD90" s="11">
        <f>(SUMIFS(EarningsPerDay[Gross Earnings], EarningsPerDay[Date],"&gt;="&amp;EarningsPerDay[[#This Row],[Date]]-89, EarningsPerDay[Date], "&lt;="&amp;EarningsPerDay[[#This Row],[Date]]))/90</f>
        <v>21.776444444444444</v>
      </c>
      <c r="AE90" s="11"/>
      <c r="AH90" s="11"/>
      <c r="AI90" s="11"/>
    </row>
    <row r="91" spans="1:35" x14ac:dyDescent="0.35">
      <c r="A91" s="55"/>
      <c r="B91" s="40">
        <v>44533</v>
      </c>
      <c r="C91" s="40">
        <f t="shared" si="19"/>
        <v>44533</v>
      </c>
      <c r="D91" s="4">
        <f>IF(EarningsPerDay[[#This Row],[Week '#]]&gt;=52,YEAR(EarningsPerDay[[#This Row],[Date]])-1,YEAR(EarningsPerDay[[#This Row],[Date]]))</f>
        <v>2021</v>
      </c>
      <c r="E91" s="4" t="str">
        <f>"QTR"&amp;IF(EarningsPerDay[[#This Row],[Week '#]] &lt;= 13, 1, IF(EarningsPerDay[[#This Row],[Week '#]] &lt;= 26, 2, IF(EarningsPerDay[[#This Row],[Week '#]] &lt;= 39, 3, 4)))</f>
        <v>QTR4</v>
      </c>
      <c r="F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91" s="4">
        <f>IF(WEEKNUM(EarningsPerDay[[#This Row],[Date]], 2) = 53, 1, WEEKNUM(EarningsPerDay[[#This Row],[Date]],2))</f>
        <v>49</v>
      </c>
      <c r="H91" s="40" t="str">
        <f t="shared" si="20"/>
        <v>Friday</v>
      </c>
      <c r="I9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91" s="40" t="str" cm="1">
        <f t="array" ref="J91">IFERROR(VLOOKUP(MODE(IF(Combined[Date]=EarningsPerDay[[#This Row],[Date]],Combined[Area '#])),KPIs!$B$4:$C$7,2,FALSE),VLOOKUP(EarningsPerDay[[#This Row],[Date]],Combined[[Date]:[Primary Area]],8,FALSE))</f>
        <v>Portland</v>
      </c>
      <c r="K91" s="40" t="str">
        <f>_xlfn.XLOOKUP(EarningsPerDay[[#This Row],[Date]],Mileage[Date],Mileage[Weather])</f>
        <v>Clear</v>
      </c>
      <c r="L91" s="4">
        <f>_xlfn.XLOOKUP(EarningsPerDay[[#This Row],[Date]],Mileage[Date],Mileage[Hi Temp])</f>
        <v>31.5</v>
      </c>
      <c r="M91" s="12">
        <f>_xlfn.XLOOKUP(EarningsPerDay[[#This Row],[Date]],Mileage[Date],Mileage[Total Time])</f>
        <v>6.33</v>
      </c>
      <c r="N91" s="4">
        <f>_xlfn.XLOOKUP(EarningsPerDay[[#This Row],[Date]],Mileage[Date],Mileage[Mileage])</f>
        <v>143</v>
      </c>
      <c r="O91" s="4">
        <f>SUMIF(Combined[Date],EarningsPerDay[[#This Row],[Date]],Combined[Trips])</f>
        <v>11</v>
      </c>
      <c r="P91">
        <f>COUNTIF(Combined[Date],EarningsPerDay[[#This Row],[Date]])</f>
        <v>3</v>
      </c>
      <c r="Q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1" s="11">
        <f>SUMIF(Combined[Date],EarningsPerDay[[#This Row],[Date]],Combined[Earnings])</f>
        <v>115.66</v>
      </c>
      <c r="S91" s="11">
        <f ca="1">EarningsPerDay[[#This Row],[Gross Earnings]]-(EarningsPerDay[[#This Row],[Miles]]*CpM!$D$11)</f>
        <v>83.774847754155417</v>
      </c>
      <c r="T91" s="11">
        <f t="shared" si="21"/>
        <v>18.271721958925749</v>
      </c>
      <c r="U91" s="11">
        <f t="shared" ca="1" si="22"/>
        <v>13.234573104921866</v>
      </c>
      <c r="V91" s="11">
        <f>EarningsPerDay[[#This Row],[Gross Earnings]]/EarningsPerDay[[#This Row],[Deliveries]]</f>
        <v>10.514545454545454</v>
      </c>
      <c r="W91" s="11">
        <f>EarningsPerDay[[#This Row],[Gross Earnings]]/EarningsPerDay[[#This Row],[Miles]]</f>
        <v>0.80881118881118874</v>
      </c>
      <c r="X91" s="71">
        <f>EarningsPerDay[[#This Row],[Deliveries]]/EarningsPerDay[[#This Row],[Hours]]</f>
        <v>1.7377567140600316</v>
      </c>
      <c r="Y91" s="71">
        <f>EarningsPerDay[[#This Row],[Miles]]/EarningsPerDay[[#This Row],[Deliveries]]</f>
        <v>13</v>
      </c>
      <c r="Z91" s="81">
        <f>(EarningsPerDay[[#This Row],[Hours]]/EarningsPerDay[[#This Row],[Deliveries]])/24</f>
        <v>2.3977272727272726E-2</v>
      </c>
      <c r="AA9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91" s="11">
        <f>AVERAGEIFS(EarningsPerDay[Gross $/Hour],EarningsPerDay[Week '#], EarningsPerDay[[#This Row],[Week '#]], EarningsPerDay[DOW], EarningsPerDay[[#This Row],[DOW]])</f>
        <v>20.150712464611388</v>
      </c>
      <c r="AC91" s="11">
        <f>EarningsPerDay[[#This Row],[Gross $/Hour]] - EarningsPerDay[[#This Row],[Weekly Average Earnings]]</f>
        <v>-1.8789905056856391</v>
      </c>
      <c r="AD91" s="11">
        <f>(SUMIFS(EarningsPerDay[Gross Earnings], EarningsPerDay[Date],"&gt;="&amp;EarningsPerDay[[#This Row],[Date]]-89, EarningsPerDay[Date], "&lt;="&amp;EarningsPerDay[[#This Row],[Date]]))/90</f>
        <v>23.061555555555554</v>
      </c>
      <c r="AE91" s="11"/>
      <c r="AH91" s="11"/>
      <c r="AI91" s="11"/>
    </row>
    <row r="92" spans="1:35" x14ac:dyDescent="0.35">
      <c r="A92" s="55"/>
      <c r="B92" s="40">
        <v>44536</v>
      </c>
      <c r="C92" s="40">
        <f t="shared" si="19"/>
        <v>44536</v>
      </c>
      <c r="D92" s="4">
        <f>IF(EarningsPerDay[[#This Row],[Week '#]]&gt;=52,YEAR(EarningsPerDay[[#This Row],[Date]])-1,YEAR(EarningsPerDay[[#This Row],[Date]]))</f>
        <v>2021</v>
      </c>
      <c r="E92" s="4" t="str">
        <f>"QTR"&amp;IF(EarningsPerDay[[#This Row],[Week '#]] &lt;= 13, 1, IF(EarningsPerDay[[#This Row],[Week '#]] &lt;= 26, 2, IF(EarningsPerDay[[#This Row],[Week '#]] &lt;= 39, 3, 4)))</f>
        <v>QTR4</v>
      </c>
      <c r="F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92" s="4">
        <f>IF(WEEKNUM(EarningsPerDay[[#This Row],[Date]], 2) = 53, 1, WEEKNUM(EarningsPerDay[[#This Row],[Date]],2))</f>
        <v>50</v>
      </c>
      <c r="H92" s="40" t="str">
        <f t="shared" si="20"/>
        <v>Monday</v>
      </c>
      <c r="I9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92" s="40" t="str" cm="1">
        <f t="array" ref="J92">IFERROR(VLOOKUP(MODE(IF(Combined[Date]=EarningsPerDay[[#This Row],[Date]],Combined[Area '#])),KPIs!$B$4:$C$7,2,FALSE),VLOOKUP(EarningsPerDay[[#This Row],[Date]],Combined[[Date]:[Primary Area]],8,FALSE))</f>
        <v>Brunswick/Bath/Freeport</v>
      </c>
      <c r="K92" s="40" t="str">
        <f>_xlfn.XLOOKUP(EarningsPerDay[[#This Row],[Date]],Mileage[Date],Mileage[Weather])</f>
        <v>Rain</v>
      </c>
      <c r="L92" s="4">
        <f>_xlfn.XLOOKUP(EarningsPerDay[[#This Row],[Date]],Mileage[Date],Mileage[Hi Temp])</f>
        <v>38.9</v>
      </c>
      <c r="M92" s="12">
        <f>_xlfn.XLOOKUP(EarningsPerDay[[#This Row],[Date]],Mileage[Date],Mileage[Total Time])</f>
        <v>4.8</v>
      </c>
      <c r="N92" s="4">
        <f>_xlfn.XLOOKUP(EarningsPerDay[[#This Row],[Date]],Mileage[Date],Mileage[Mileage])</f>
        <v>130.1</v>
      </c>
      <c r="O92" s="4">
        <f>SUMIF(Combined[Date],EarningsPerDay[[#This Row],[Date]],Combined[Trips])</f>
        <v>11</v>
      </c>
      <c r="P92">
        <f>COUNTIF(Combined[Date],EarningsPerDay[[#This Row],[Date]])</f>
        <v>3</v>
      </c>
      <c r="Q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2" s="11">
        <f>SUMIF(Combined[Date],EarningsPerDay[[#This Row],[Date]],Combined[Earnings])</f>
        <v>117.21000000000001</v>
      </c>
      <c r="S92" s="11">
        <f ca="1">EarningsPerDay[[#This Row],[Gross Earnings]]-(EarningsPerDay[[#This Row],[Miles]]*CpM!$D$11)</f>
        <v>88.201200649060283</v>
      </c>
      <c r="T92" s="11">
        <f t="shared" si="21"/>
        <v>24.418750000000003</v>
      </c>
      <c r="U92" s="11">
        <f t="shared" ca="1" si="22"/>
        <v>18.375250135220892</v>
      </c>
      <c r="V92" s="11">
        <f>EarningsPerDay[[#This Row],[Gross Earnings]]/EarningsPerDay[[#This Row],[Deliveries]]</f>
        <v>10.655454545454546</v>
      </c>
      <c r="W92" s="11">
        <f>EarningsPerDay[[#This Row],[Gross Earnings]]/EarningsPerDay[[#This Row],[Miles]]</f>
        <v>0.90092236740968501</v>
      </c>
      <c r="X92" s="71">
        <f>EarningsPerDay[[#This Row],[Deliveries]]/EarningsPerDay[[#This Row],[Hours]]</f>
        <v>2.291666666666667</v>
      </c>
      <c r="Y92" s="71">
        <f>EarningsPerDay[[#This Row],[Miles]]/EarningsPerDay[[#This Row],[Deliveries]]</f>
        <v>11.827272727272726</v>
      </c>
      <c r="Z92" s="81">
        <f>(EarningsPerDay[[#This Row],[Hours]]/EarningsPerDay[[#This Row],[Deliveries]])/24</f>
        <v>1.8181818181818181E-2</v>
      </c>
      <c r="AA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1.6988052104899936</v>
      </c>
      <c r="AB92" s="11">
        <f>AVERAGEIFS(EarningsPerDay[Gross $/Hour],EarningsPerDay[Week '#], EarningsPerDay[[#This Row],[Week '#]], EarningsPerDay[DOW], EarningsPerDay[[#This Row],[DOW]])</f>
        <v>22.79137036513114</v>
      </c>
      <c r="AC92" s="11">
        <f>EarningsPerDay[[#This Row],[Gross $/Hour]] - EarningsPerDay[[#This Row],[Weekly Average Earnings]]</f>
        <v>1.6273796348688627</v>
      </c>
      <c r="AD92" s="11">
        <f>(SUMIFS(EarningsPerDay[Gross Earnings], EarningsPerDay[Date],"&gt;="&amp;EarningsPerDay[[#This Row],[Date]]-89, EarningsPerDay[Date], "&lt;="&amp;EarningsPerDay[[#This Row],[Date]]))/90</f>
        <v>24.363888888888887</v>
      </c>
      <c r="AE92" s="11"/>
      <c r="AH92" s="11"/>
      <c r="AI92" s="11"/>
    </row>
    <row r="93" spans="1:35" x14ac:dyDescent="0.35">
      <c r="A93" s="55"/>
      <c r="B93" s="40">
        <v>44537</v>
      </c>
      <c r="C93" s="40">
        <f t="shared" si="19"/>
        <v>44537</v>
      </c>
      <c r="D93" s="4">
        <f>IF(EarningsPerDay[[#This Row],[Week '#]]&gt;=52,YEAR(EarningsPerDay[[#This Row],[Date]])-1,YEAR(EarningsPerDay[[#This Row],[Date]]))</f>
        <v>2021</v>
      </c>
      <c r="E93" s="4" t="str">
        <f>"QTR"&amp;IF(EarningsPerDay[[#This Row],[Week '#]] &lt;= 13, 1, IF(EarningsPerDay[[#This Row],[Week '#]] &lt;= 26, 2, IF(EarningsPerDay[[#This Row],[Week '#]] &lt;= 39, 3, 4)))</f>
        <v>QTR4</v>
      </c>
      <c r="F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93" s="4">
        <f>IF(WEEKNUM(EarningsPerDay[[#This Row],[Date]], 2) = 53, 1, WEEKNUM(EarningsPerDay[[#This Row],[Date]],2))</f>
        <v>50</v>
      </c>
      <c r="H93" s="40" t="str">
        <f t="shared" si="20"/>
        <v>Tuesday</v>
      </c>
      <c r="I9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93" s="40" t="str" cm="1">
        <f t="array" ref="J93">IFERROR(VLOOKUP(MODE(IF(Combined[Date]=EarningsPerDay[[#This Row],[Date]],Combined[Area '#])),KPIs!$B$4:$C$7,2,FALSE),VLOOKUP(EarningsPerDay[[#This Row],[Date]],Combined[[Date]:[Primary Area]],8,FALSE))</f>
        <v>Lewiston</v>
      </c>
      <c r="K93" s="40" t="str">
        <f>_xlfn.XLOOKUP(EarningsPerDay[[#This Row],[Date]],Mileage[Date],Mileage[Weather])</f>
        <v>Light Snow</v>
      </c>
      <c r="L93" s="4">
        <f>_xlfn.XLOOKUP(EarningsPerDay[[#This Row],[Date]],Mileage[Date],Mileage[Hi Temp])</f>
        <v>23</v>
      </c>
      <c r="M93" s="12">
        <f>_xlfn.XLOOKUP(EarningsPerDay[[#This Row],[Date]],Mileage[Date],Mileage[Total Time])</f>
        <v>2.2000000000000002</v>
      </c>
      <c r="N93" s="4">
        <f>_xlfn.XLOOKUP(EarningsPerDay[[#This Row],[Date]],Mileage[Date],Mileage[Mileage])</f>
        <v>38.1</v>
      </c>
      <c r="O93" s="4">
        <f>SUMIF(Combined[Date],EarningsPerDay[[#This Row],[Date]],Combined[Trips])</f>
        <v>6</v>
      </c>
      <c r="P93">
        <f>COUNTIF(Combined[Date],EarningsPerDay[[#This Row],[Date]])</f>
        <v>2</v>
      </c>
      <c r="Q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3" s="11">
        <f>SUMIF(Combined[Date],EarningsPerDay[[#This Row],[Date]],Combined[Earnings])</f>
        <v>62.57</v>
      </c>
      <c r="S93" s="11">
        <f ca="1">EarningsPerDay[[#This Row],[Gross Earnings]]-(EarningsPerDay[[#This Row],[Miles]]*CpM!$D$11)</f>
        <v>54.074725170862386</v>
      </c>
      <c r="T93" s="11">
        <f t="shared" si="21"/>
        <v>28.440909090909088</v>
      </c>
      <c r="U93" s="11">
        <f t="shared" ca="1" si="22"/>
        <v>24.579420532210175</v>
      </c>
      <c r="V93" s="11">
        <f>EarningsPerDay[[#This Row],[Gross Earnings]]/EarningsPerDay[[#This Row],[Deliveries]]</f>
        <v>10.428333333333333</v>
      </c>
      <c r="W93" s="11">
        <f>EarningsPerDay[[#This Row],[Gross Earnings]]/EarningsPerDay[[#This Row],[Miles]]</f>
        <v>1.642257217847769</v>
      </c>
      <c r="X93" s="71">
        <f>EarningsPerDay[[#This Row],[Deliveries]]/EarningsPerDay[[#This Row],[Hours]]</f>
        <v>2.7272727272727271</v>
      </c>
      <c r="Y93" s="71">
        <f>EarningsPerDay[[#This Row],[Miles]]/EarningsPerDay[[#This Row],[Deliveries]]</f>
        <v>6.3500000000000005</v>
      </c>
      <c r="Z93" s="81">
        <f>(EarningsPerDay[[#This Row],[Hours]]/EarningsPerDay[[#This Row],[Deliveries]])/24</f>
        <v>1.5277777777777779E-2</v>
      </c>
      <c r="AA9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93" s="11">
        <f>AVERAGEIFS(EarningsPerDay[Gross $/Hour],EarningsPerDay[Week '#], EarningsPerDay[[#This Row],[Week '#]], EarningsPerDay[DOW], EarningsPerDay[[#This Row],[DOW]])</f>
        <v>23.001121212121209</v>
      </c>
      <c r="AC93" s="11">
        <f>EarningsPerDay[[#This Row],[Gross $/Hour]] - EarningsPerDay[[#This Row],[Weekly Average Earnings]]</f>
        <v>5.4397878787878788</v>
      </c>
      <c r="AD93" s="11">
        <f>(SUMIFS(EarningsPerDay[Gross Earnings], EarningsPerDay[Date],"&gt;="&amp;EarningsPerDay[[#This Row],[Date]]-89, EarningsPerDay[Date], "&lt;="&amp;EarningsPerDay[[#This Row],[Date]]))/90</f>
        <v>25.059111111111115</v>
      </c>
      <c r="AE93" s="11"/>
      <c r="AH93" s="11"/>
      <c r="AI93" s="11"/>
    </row>
    <row r="94" spans="1:35" x14ac:dyDescent="0.35">
      <c r="A94" s="55"/>
      <c r="B94" s="40">
        <v>44540</v>
      </c>
      <c r="C94" s="40">
        <f t="shared" si="19"/>
        <v>44540</v>
      </c>
      <c r="D94" s="4">
        <f>IF(EarningsPerDay[[#This Row],[Week '#]]&gt;=52,YEAR(EarningsPerDay[[#This Row],[Date]])-1,YEAR(EarningsPerDay[[#This Row],[Date]]))</f>
        <v>2021</v>
      </c>
      <c r="E94" s="4" t="str">
        <f>"QTR"&amp;IF(EarningsPerDay[[#This Row],[Week '#]] &lt;= 13, 1, IF(EarningsPerDay[[#This Row],[Week '#]] &lt;= 26, 2, IF(EarningsPerDay[[#This Row],[Week '#]] &lt;= 39, 3, 4)))</f>
        <v>QTR4</v>
      </c>
      <c r="F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94" s="4">
        <f>IF(WEEKNUM(EarningsPerDay[[#This Row],[Date]], 2) = 53, 1, WEEKNUM(EarningsPerDay[[#This Row],[Date]],2))</f>
        <v>50</v>
      </c>
      <c r="H94" s="40" t="str">
        <f t="shared" si="20"/>
        <v>Friday</v>
      </c>
      <c r="I9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94" s="40" t="str" cm="1">
        <f t="array" ref="J94">IFERROR(VLOOKUP(MODE(IF(Combined[Date]=EarningsPerDay[[#This Row],[Date]],Combined[Area '#])),KPIs!$B$4:$C$7,2,FALSE),VLOOKUP(EarningsPerDay[[#This Row],[Date]],Combined[[Date]:[Primary Area]],8,FALSE))</f>
        <v>Portland</v>
      </c>
      <c r="K94" s="40" t="str">
        <f>_xlfn.XLOOKUP(EarningsPerDay[[#This Row],[Date]],Mileage[Date],Mileage[Weather])</f>
        <v>Rain / Snow Mix</v>
      </c>
      <c r="L94" s="4">
        <f>_xlfn.XLOOKUP(EarningsPerDay[[#This Row],[Date]],Mileage[Date],Mileage[Hi Temp])</f>
        <v>44.2</v>
      </c>
      <c r="M94" s="12">
        <f>_xlfn.XLOOKUP(EarningsPerDay[[#This Row],[Date]],Mileage[Date],Mileage[Total Time])</f>
        <v>6.1</v>
      </c>
      <c r="N94" s="4">
        <f>_xlfn.XLOOKUP(EarningsPerDay[[#This Row],[Date]],Mileage[Date],Mileage[Mileage])</f>
        <v>128.9</v>
      </c>
      <c r="O94" s="4">
        <f>SUMIF(Combined[Date],EarningsPerDay[[#This Row],[Date]],Combined[Trips])</f>
        <v>11</v>
      </c>
      <c r="P94">
        <f>COUNTIF(Combined[Date],EarningsPerDay[[#This Row],[Date]])</f>
        <v>3</v>
      </c>
      <c r="Q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4" s="11">
        <f>SUMIF(Combined[Date],EarningsPerDay[[#This Row],[Date]],Combined[Earnings])</f>
        <v>109.35</v>
      </c>
      <c r="S94" s="11">
        <f ca="1">EarningsPerDay[[#This Row],[Gross Earnings]]-(EarningsPerDay[[#This Row],[Miles]]*CpM!$D$11)</f>
        <v>80.608768360214214</v>
      </c>
      <c r="T94" s="11">
        <f t="shared" si="21"/>
        <v>17.926229508196723</v>
      </c>
      <c r="U94" s="11">
        <f t="shared" ca="1" si="22"/>
        <v>13.214552190199052</v>
      </c>
      <c r="V94" s="11">
        <f>EarningsPerDay[[#This Row],[Gross Earnings]]/EarningsPerDay[[#This Row],[Deliveries]]</f>
        <v>9.9409090909090896</v>
      </c>
      <c r="W94" s="11">
        <f>EarningsPerDay[[#This Row],[Gross Earnings]]/EarningsPerDay[[#This Row],[Miles]]</f>
        <v>0.84833204034134979</v>
      </c>
      <c r="X94" s="71">
        <f>EarningsPerDay[[#This Row],[Deliveries]]/EarningsPerDay[[#This Row],[Hours]]</f>
        <v>1.8032786885245902</v>
      </c>
      <c r="Y94" s="71">
        <f>EarningsPerDay[[#This Row],[Miles]]/EarningsPerDay[[#This Row],[Deliveries]]</f>
        <v>11.718181818181819</v>
      </c>
      <c r="Z94" s="81">
        <f>(EarningsPerDay[[#This Row],[Hours]]/EarningsPerDay[[#This Row],[Deliveries]])/24</f>
        <v>2.3106060606060606E-2</v>
      </c>
      <c r="AA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-0.34549245072902579</v>
      </c>
      <c r="AB94" s="11">
        <f>AVERAGEIFS(EarningsPerDay[Gross $/Hour],EarningsPerDay[Week '#], EarningsPerDay[[#This Row],[Week '#]], EarningsPerDay[DOW], EarningsPerDay[[#This Row],[DOW]])</f>
        <v>21.738060193229416</v>
      </c>
      <c r="AC94" s="11">
        <f>EarningsPerDay[[#This Row],[Gross $/Hour]] - EarningsPerDay[[#This Row],[Weekly Average Earnings]]</f>
        <v>-3.8118306850326924</v>
      </c>
      <c r="AD94" s="11">
        <f>(SUMIFS(EarningsPerDay[Gross Earnings], EarningsPerDay[Date],"&gt;="&amp;EarningsPerDay[[#This Row],[Date]]-89, EarningsPerDay[Date], "&lt;="&amp;EarningsPerDay[[#This Row],[Date]]))/90</f>
        <v>25.347888888888889</v>
      </c>
      <c r="AE94" s="11"/>
      <c r="AH94" s="11"/>
      <c r="AI94" s="11"/>
    </row>
    <row r="95" spans="1:35" x14ac:dyDescent="0.35">
      <c r="A95" s="55"/>
      <c r="B95" s="40">
        <v>44545</v>
      </c>
      <c r="C95" s="40">
        <f t="shared" si="19"/>
        <v>44545</v>
      </c>
      <c r="D95" s="4">
        <f>IF(EarningsPerDay[[#This Row],[Week '#]]&gt;=52,YEAR(EarningsPerDay[[#This Row],[Date]])-1,YEAR(EarningsPerDay[[#This Row],[Date]]))</f>
        <v>2021</v>
      </c>
      <c r="E95" s="4" t="str">
        <f>"QTR"&amp;IF(EarningsPerDay[[#This Row],[Week '#]] &lt;= 13, 1, IF(EarningsPerDay[[#This Row],[Week '#]] &lt;= 26, 2, IF(EarningsPerDay[[#This Row],[Week '#]] &lt;= 39, 3, 4)))</f>
        <v>QTR4</v>
      </c>
      <c r="F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95" s="4">
        <f>IF(WEEKNUM(EarningsPerDay[[#This Row],[Date]], 2) = 53, 1, WEEKNUM(EarningsPerDay[[#This Row],[Date]],2))</f>
        <v>51</v>
      </c>
      <c r="H95" s="40" t="str">
        <f t="shared" si="20"/>
        <v>Wednesday</v>
      </c>
      <c r="I9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95" s="40" t="str" cm="1">
        <f t="array" ref="J95">IFERROR(VLOOKUP(MODE(IF(Combined[Date]=EarningsPerDay[[#This Row],[Date]],Combined[Area '#])),KPIs!$B$4:$C$7,2,FALSE),VLOOKUP(EarningsPerDay[[#This Row],[Date]],Combined[[Date]:[Primary Area]],8,FALSE))</f>
        <v>Brunswick/Bath/Freeport</v>
      </c>
      <c r="K95" s="40" t="str">
        <f>_xlfn.XLOOKUP(EarningsPerDay[[#This Row],[Date]],Mileage[Date],Mileage[Weather])</f>
        <v>Rain / Snow Mix</v>
      </c>
      <c r="L95" s="4">
        <f>_xlfn.XLOOKUP(EarningsPerDay[[#This Row],[Date]],Mileage[Date],Mileage[Hi Temp])</f>
        <v>41.1</v>
      </c>
      <c r="M95" s="12">
        <f>_xlfn.XLOOKUP(EarningsPerDay[[#This Row],[Date]],Mileage[Date],Mileage[Total Time])</f>
        <v>3.5</v>
      </c>
      <c r="N95" s="4">
        <f>_xlfn.XLOOKUP(EarningsPerDay[[#This Row],[Date]],Mileage[Date],Mileage[Mileage])</f>
        <v>72.5</v>
      </c>
      <c r="O95" s="4">
        <f>SUMIF(Combined[Date],EarningsPerDay[[#This Row],[Date]],Combined[Trips])</f>
        <v>8</v>
      </c>
      <c r="P95">
        <f>COUNTIF(Combined[Date],EarningsPerDay[[#This Row],[Date]])</f>
        <v>2</v>
      </c>
      <c r="Q9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5" s="11">
        <f>SUMIF(Combined[Date],EarningsPerDay[[#This Row],[Date]],Combined[Earnings])</f>
        <v>79.55</v>
      </c>
      <c r="S95" s="11">
        <f ca="1">EarningsPerDay[[#This Row],[Gross Earnings]]-(EarningsPerDay[[#This Row],[Miles]]*CpM!$D$11)</f>
        <v>63.38445078444942</v>
      </c>
      <c r="T95" s="11">
        <f t="shared" si="21"/>
        <v>22.728571428571428</v>
      </c>
      <c r="U95" s="11">
        <f t="shared" ca="1" si="22"/>
        <v>18.109843081271261</v>
      </c>
      <c r="V95" s="11">
        <f>EarningsPerDay[[#This Row],[Gross Earnings]]/EarningsPerDay[[#This Row],[Deliveries]]</f>
        <v>9.9437499999999996</v>
      </c>
      <c r="W95" s="11">
        <f>EarningsPerDay[[#This Row],[Gross Earnings]]/EarningsPerDay[[#This Row],[Miles]]</f>
        <v>1.0972413793103448</v>
      </c>
      <c r="X95" s="71">
        <f>EarningsPerDay[[#This Row],[Deliveries]]/EarningsPerDay[[#This Row],[Hours]]</f>
        <v>2.2857142857142856</v>
      </c>
      <c r="Y95" s="71">
        <f>EarningsPerDay[[#This Row],[Miles]]/EarningsPerDay[[#This Row],[Deliveries]]</f>
        <v>9.0625</v>
      </c>
      <c r="Z95" s="81">
        <f>(EarningsPerDay[[#This Row],[Hours]]/EarningsPerDay[[#This Row],[Deliveries]])/24</f>
        <v>1.8229166666666668E-2</v>
      </c>
      <c r="AA9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95" s="11">
        <f>AVERAGEIFS(EarningsPerDay[Gross $/Hour],EarningsPerDay[Week '#], EarningsPerDay[[#This Row],[Week '#]], EarningsPerDay[DOW], EarningsPerDay[[#This Row],[DOW]])</f>
        <v>20.743564993564995</v>
      </c>
      <c r="AC95" s="11">
        <f>EarningsPerDay[[#This Row],[Gross $/Hour]] - EarningsPerDay[[#This Row],[Weekly Average Earnings]]</f>
        <v>1.9850064350064329</v>
      </c>
      <c r="AD95" s="11">
        <f>(SUMIFS(EarningsPerDay[Gross Earnings], EarningsPerDay[Date],"&gt;="&amp;EarningsPerDay[[#This Row],[Date]]-89, EarningsPerDay[Date], "&lt;="&amp;EarningsPerDay[[#This Row],[Date]]))/90</f>
        <v>25.568999999999999</v>
      </c>
      <c r="AE95" s="11"/>
      <c r="AH95" s="11"/>
      <c r="AI95" s="11"/>
    </row>
    <row r="96" spans="1:35" x14ac:dyDescent="0.35">
      <c r="A96" s="55"/>
      <c r="B96" s="40">
        <v>44557</v>
      </c>
      <c r="C96" s="40">
        <f t="shared" si="19"/>
        <v>44557</v>
      </c>
      <c r="D96" s="4">
        <f>IF(EarningsPerDay[[#This Row],[Week '#]]&gt;=52,YEAR(EarningsPerDay[[#This Row],[Date]])-1,YEAR(EarningsPerDay[[#This Row],[Date]]))</f>
        <v>2021</v>
      </c>
      <c r="E96" s="4" t="str">
        <f>"QTR"&amp;IF(EarningsPerDay[[#This Row],[Week '#]] &lt;= 13, 1, IF(EarningsPerDay[[#This Row],[Week '#]] &lt;= 26, 2, IF(EarningsPerDay[[#This Row],[Week '#]] &lt;= 39, 3, 4)))</f>
        <v>QTR1</v>
      </c>
      <c r="F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96" s="4">
        <f>IF(WEEKNUM(EarningsPerDay[[#This Row],[Date]], 2) = 53, 1, WEEKNUM(EarningsPerDay[[#This Row],[Date]],2))</f>
        <v>1</v>
      </c>
      <c r="H96" s="40" t="str">
        <f t="shared" si="20"/>
        <v>Monday</v>
      </c>
      <c r="I96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96" s="40" t="str" cm="1">
        <f t="array" ref="J96">IFERROR(VLOOKUP(MODE(IF(Combined[Date]=EarningsPerDay[[#This Row],[Date]],Combined[Area '#])),KPIs!$B$4:$C$7,2,FALSE),VLOOKUP(EarningsPerDay[[#This Row],[Date]],Combined[[Date]:[Primary Area]],8,FALSE))</f>
        <v>Brunswick/Bath/Freeport</v>
      </c>
      <c r="K96" s="40" t="str">
        <f>_xlfn.XLOOKUP(EarningsPerDay[[#This Row],[Date]],Mileage[Date],Mileage[Weather])</f>
        <v>Rain / Snow Mix</v>
      </c>
      <c r="L96" s="4">
        <f>_xlfn.XLOOKUP(EarningsPerDay[[#This Row],[Date]],Mileage[Date],Mileage[Hi Temp])</f>
        <v>32.799999999999997</v>
      </c>
      <c r="M96" s="12">
        <f>_xlfn.XLOOKUP(EarningsPerDay[[#This Row],[Date]],Mileage[Date],Mileage[Total Time])</f>
        <v>1.5</v>
      </c>
      <c r="N96" s="4">
        <f>_xlfn.XLOOKUP(EarningsPerDay[[#This Row],[Date]],Mileage[Date],Mileage[Mileage])</f>
        <v>34.299999999999997</v>
      </c>
      <c r="O96" s="4">
        <f>SUMIF(Combined[Date],EarningsPerDay[[#This Row],[Date]],Combined[Trips])</f>
        <v>2</v>
      </c>
      <c r="P96">
        <f>COUNTIF(Combined[Date],EarningsPerDay[[#This Row],[Date]])</f>
        <v>1</v>
      </c>
      <c r="Q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6" s="11">
        <f>SUMIF(Combined[Date],EarningsPerDay[[#This Row],[Date]],Combined[Earnings])</f>
        <v>40.049999999999997</v>
      </c>
      <c r="S96" s="11">
        <f ca="1">EarningsPerDay[[#This Row],[Gross Earnings]]-(EarningsPerDay[[#This Row],[Miles]]*CpM!$D$11)</f>
        <v>32.402022922849866</v>
      </c>
      <c r="T96" s="11">
        <f t="shared" si="21"/>
        <v>26.7</v>
      </c>
      <c r="U96" s="11">
        <f t="shared" ca="1" si="22"/>
        <v>21.601348615233245</v>
      </c>
      <c r="V96" s="11">
        <f>EarningsPerDay[[#This Row],[Gross Earnings]]/EarningsPerDay[[#This Row],[Deliveries]]</f>
        <v>20.024999999999999</v>
      </c>
      <c r="W96" s="11">
        <f>EarningsPerDay[[#This Row],[Gross Earnings]]/EarningsPerDay[[#This Row],[Miles]]</f>
        <v>1.1676384839650147</v>
      </c>
      <c r="X96" s="71">
        <f>EarningsPerDay[[#This Row],[Deliveries]]/EarningsPerDay[[#This Row],[Hours]]</f>
        <v>1.3333333333333333</v>
      </c>
      <c r="Y96" s="71">
        <f>EarningsPerDay[[#This Row],[Miles]]/EarningsPerDay[[#This Row],[Deliveries]]</f>
        <v>17.149999999999999</v>
      </c>
      <c r="Z96" s="81">
        <f>(EarningsPerDay[[#This Row],[Hours]]/EarningsPerDay[[#This Row],[Deliveries]])/24</f>
        <v>3.125E-2</v>
      </c>
      <c r="AA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-2.0588602654176391</v>
      </c>
      <c r="AB96" s="11">
        <f>AVERAGEIFS(EarningsPerDay[Gross $/Hour],EarningsPerDay[Week '#], EarningsPerDay[[#This Row],[Week '#]], EarningsPerDay[DOW], EarningsPerDay[[#This Row],[DOW]])</f>
        <v>22.603731343283581</v>
      </c>
      <c r="AC96" s="11">
        <f>EarningsPerDay[[#This Row],[Gross $/Hour]] - EarningsPerDay[[#This Row],[Weekly Average Earnings]]</f>
        <v>4.0962686567164184</v>
      </c>
      <c r="AD96" s="11">
        <f>(SUMIFS(EarningsPerDay[Gross Earnings], EarningsPerDay[Date],"&gt;="&amp;EarningsPerDay[[#This Row],[Date]]-89, EarningsPerDay[Date], "&lt;="&amp;EarningsPerDay[[#This Row],[Date]]))/90</f>
        <v>24.020666666666667</v>
      </c>
      <c r="AE96" s="11"/>
      <c r="AH96" s="11"/>
      <c r="AI96" s="11"/>
    </row>
    <row r="97" spans="1:35" x14ac:dyDescent="0.35">
      <c r="A97" s="55"/>
      <c r="B97" s="40">
        <v>44561</v>
      </c>
      <c r="C97" s="40">
        <f t="shared" si="19"/>
        <v>44561</v>
      </c>
      <c r="D97" s="4">
        <f>IF(EarningsPerDay[[#This Row],[Week '#]]&gt;=52,YEAR(EarningsPerDay[[#This Row],[Date]])-1,YEAR(EarningsPerDay[[#This Row],[Date]]))</f>
        <v>2021</v>
      </c>
      <c r="E97" s="4" t="str">
        <f>"QTR"&amp;IF(EarningsPerDay[[#This Row],[Week '#]] &lt;= 13, 1, IF(EarningsPerDay[[#This Row],[Week '#]] &lt;= 26, 2, IF(EarningsPerDay[[#This Row],[Week '#]] &lt;= 39, 3, 4)))</f>
        <v>QTR1</v>
      </c>
      <c r="F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97" s="4">
        <f>IF(WEEKNUM(EarningsPerDay[[#This Row],[Date]], 2) = 53, 1, WEEKNUM(EarningsPerDay[[#This Row],[Date]],2))</f>
        <v>1</v>
      </c>
      <c r="H97" s="40" t="str">
        <f t="shared" si="20"/>
        <v>Friday</v>
      </c>
      <c r="I97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97" s="40" t="str" cm="1">
        <f t="array" ref="J97">IFERROR(VLOOKUP(MODE(IF(Combined[Date]=EarningsPerDay[[#This Row],[Date]],Combined[Area '#])),KPIs!$B$4:$C$7,2,FALSE),VLOOKUP(EarningsPerDay[[#This Row],[Date]],Combined[[Date]:[Primary Area]],8,FALSE))</f>
        <v>Brunswick/Bath/Freeport</v>
      </c>
      <c r="K97" s="40" t="str">
        <f>_xlfn.XLOOKUP(EarningsPerDay[[#This Row],[Date]],Mileage[Date],Mileage[Weather])</f>
        <v>Rain / Snow Mix</v>
      </c>
      <c r="L97" s="4">
        <f>_xlfn.XLOOKUP(EarningsPerDay[[#This Row],[Date]],Mileage[Date],Mileage[Hi Temp])</f>
        <v>37.799999999999997</v>
      </c>
      <c r="M97" s="12">
        <f>_xlfn.XLOOKUP(EarningsPerDay[[#This Row],[Date]],Mileage[Date],Mileage[Total Time])</f>
        <v>4.5</v>
      </c>
      <c r="N97" s="4">
        <f>_xlfn.XLOOKUP(EarningsPerDay[[#This Row],[Date]],Mileage[Date],Mileage[Mileage])</f>
        <v>109.2</v>
      </c>
      <c r="O97" s="4">
        <f>SUMIF(Combined[Date],EarningsPerDay[[#This Row],[Date]],Combined[Trips])</f>
        <v>10</v>
      </c>
      <c r="P97">
        <f>COUNTIF(Combined[Date],EarningsPerDay[[#This Row],[Date]])</f>
        <v>2</v>
      </c>
      <c r="Q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7" s="11">
        <f>SUMIF(Combined[Date],EarningsPerDay[[#This Row],[Date]],Combined[Earnings])</f>
        <v>150.18</v>
      </c>
      <c r="S97" s="11">
        <f ca="1">EarningsPerDay[[#This Row],[Gross Earnings]]-(EarningsPerDay[[#This Row],[Miles]]*CpM!$D$11)</f>
        <v>125.83133828499142</v>
      </c>
      <c r="T97" s="11">
        <f t="shared" si="21"/>
        <v>33.373333333333335</v>
      </c>
      <c r="U97" s="11">
        <f t="shared" ca="1" si="22"/>
        <v>27.962519618886983</v>
      </c>
      <c r="V97" s="11">
        <f>EarningsPerDay[[#This Row],[Gross Earnings]]/EarningsPerDay[[#This Row],[Deliveries]]</f>
        <v>15.018000000000001</v>
      </c>
      <c r="W97" s="11">
        <f>EarningsPerDay[[#This Row],[Gross Earnings]]/EarningsPerDay[[#This Row],[Miles]]</f>
        <v>1.3752747252747253</v>
      </c>
      <c r="X97" s="71">
        <f>EarningsPerDay[[#This Row],[Deliveries]]/EarningsPerDay[[#This Row],[Hours]]</f>
        <v>2.2222222222222223</v>
      </c>
      <c r="Y97" s="71">
        <f>EarningsPerDay[[#This Row],[Miles]]/EarningsPerDay[[#This Row],[Deliveries]]</f>
        <v>10.92</v>
      </c>
      <c r="Z97" s="81">
        <f>(EarningsPerDay[[#This Row],[Hours]]/EarningsPerDay[[#This Row],[Deliveries]])/24</f>
        <v>1.8749999999999999E-2</v>
      </c>
      <c r="AA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22.158593073593075</v>
      </c>
      <c r="AB97" s="11">
        <f>AVERAGEIFS(EarningsPerDay[Gross $/Hour],EarningsPerDay[Week '#], EarningsPerDay[[#This Row],[Week '#]], EarningsPerDay[DOW], EarningsPerDay[[#This Row],[DOW]])</f>
        <v>19.988788031661809</v>
      </c>
      <c r="AC97" s="11">
        <f>EarningsPerDay[[#This Row],[Gross $/Hour]] - EarningsPerDay[[#This Row],[Weekly Average Earnings]]</f>
        <v>13.384545301671526</v>
      </c>
      <c r="AD97" s="11">
        <f>(SUMIFS(EarningsPerDay[Gross Earnings], EarningsPerDay[Date],"&gt;="&amp;EarningsPerDay[[#This Row],[Date]]-89, EarningsPerDay[Date], "&lt;="&amp;EarningsPerDay[[#This Row],[Date]]))/90</f>
        <v>25.292111111111112</v>
      </c>
      <c r="AE97" s="11"/>
      <c r="AH97" s="11"/>
      <c r="AI97" s="11"/>
    </row>
    <row r="98" spans="1:35" x14ac:dyDescent="0.35">
      <c r="A98" s="55"/>
      <c r="B98" s="40">
        <v>44572</v>
      </c>
      <c r="C98" s="40">
        <f t="shared" si="19"/>
        <v>44572</v>
      </c>
      <c r="D98" s="4">
        <f>IF(EarningsPerDay[[#This Row],[Week '#]]&gt;=52,YEAR(EarningsPerDay[[#This Row],[Date]])-1,YEAR(EarningsPerDay[[#This Row],[Date]]))</f>
        <v>2022</v>
      </c>
      <c r="E98" s="4" t="str">
        <f>"QTR"&amp;IF(EarningsPerDay[[#This Row],[Week '#]] &lt;= 13, 1, IF(EarningsPerDay[[#This Row],[Week '#]] &lt;= 26, 2, IF(EarningsPerDay[[#This Row],[Week '#]] &lt;= 39, 3, 4)))</f>
        <v>QTR1</v>
      </c>
      <c r="F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98" s="4">
        <f>IF(WEEKNUM(EarningsPerDay[[#This Row],[Date]], 2) = 53, 1, WEEKNUM(EarningsPerDay[[#This Row],[Date]],2))</f>
        <v>3</v>
      </c>
      <c r="H98" s="40" t="str">
        <f t="shared" si="20"/>
        <v>Tuesday</v>
      </c>
      <c r="I9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98" s="40" t="str" cm="1">
        <f t="array" ref="J98">IFERROR(VLOOKUP(MODE(IF(Combined[Date]=EarningsPerDay[[#This Row],[Date]],Combined[Area '#])),KPIs!$B$4:$C$7,2,FALSE),VLOOKUP(EarningsPerDay[[#This Row],[Date]],Combined[[Date]:[Primary Area]],8,FALSE))</f>
        <v>Brunswick/Bath/Freeport</v>
      </c>
      <c r="K98" s="40" t="str">
        <f>_xlfn.XLOOKUP(EarningsPerDay[[#This Row],[Date]],Mileage[Date],Mileage[Weather])</f>
        <v>Partially Cloudy</v>
      </c>
      <c r="L98" s="4">
        <f>_xlfn.XLOOKUP(EarningsPerDay[[#This Row],[Date]],Mileage[Date],Mileage[Hi Temp])</f>
        <v>24.1</v>
      </c>
      <c r="M98" s="12">
        <f>_xlfn.XLOOKUP(EarningsPerDay[[#This Row],[Date]],Mileage[Date],Mileage[Total Time])</f>
        <v>3.9000000000000004</v>
      </c>
      <c r="N98" s="4">
        <f>_xlfn.XLOOKUP(EarningsPerDay[[#This Row],[Date]],Mileage[Date],Mileage[Mileage])</f>
        <v>81.3</v>
      </c>
      <c r="O98" s="4">
        <f>SUMIF(Combined[Date],EarningsPerDay[[#This Row],[Date]],Combined[Trips])</f>
        <v>8</v>
      </c>
      <c r="P98">
        <f>COUNTIF(Combined[Date],EarningsPerDay[[#This Row],[Date]])</f>
        <v>2</v>
      </c>
      <c r="Q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8" s="11">
        <f>SUMIF(Combined[Date],EarningsPerDay[[#This Row],[Date]],Combined[Earnings])</f>
        <v>79.45</v>
      </c>
      <c r="S98" s="11">
        <f ca="1">EarningsPerDay[[#This Row],[Gross Earnings]]-(EarningsPerDay[[#This Row],[Miles]]*CpM!$D$11)</f>
        <v>61.32228756932053</v>
      </c>
      <c r="T98" s="11">
        <f t="shared" si="21"/>
        <v>20.371794871794872</v>
      </c>
      <c r="U98" s="11">
        <f t="shared" ca="1" si="22"/>
        <v>15.723663479312956</v>
      </c>
      <c r="V98" s="11">
        <f>EarningsPerDay[[#This Row],[Gross Earnings]]/EarningsPerDay[[#This Row],[Deliveries]]</f>
        <v>9.9312500000000004</v>
      </c>
      <c r="W98" s="11">
        <f>EarningsPerDay[[#This Row],[Gross Earnings]]/EarningsPerDay[[#This Row],[Miles]]</f>
        <v>0.97724477244772456</v>
      </c>
      <c r="X98" s="71">
        <f>EarningsPerDay[[#This Row],[Deliveries]]/EarningsPerDay[[#This Row],[Hours]]</f>
        <v>2.0512820512820511</v>
      </c>
      <c r="Y98" s="71">
        <f>EarningsPerDay[[#This Row],[Miles]]/EarningsPerDay[[#This Row],[Deliveries]]</f>
        <v>10.1625</v>
      </c>
      <c r="Z98" s="81">
        <f>(EarningsPerDay[[#This Row],[Hours]]/EarningsPerDay[[#This Row],[Deliveries]])/24</f>
        <v>2.0312500000000001E-2</v>
      </c>
      <c r="AA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-28.467511486586634</v>
      </c>
      <c r="AB98" s="11">
        <f>AVERAGEIFS(EarningsPerDay[Gross $/Hour],EarningsPerDay[Week '#], EarningsPerDay[[#This Row],[Week '#]], EarningsPerDay[DOW], EarningsPerDay[[#This Row],[DOW]])</f>
        <v>24.309841019700176</v>
      </c>
      <c r="AC98" s="11">
        <f>EarningsPerDay[[#This Row],[Gross $/Hour]] - EarningsPerDay[[#This Row],[Weekly Average Earnings]]</f>
        <v>-3.9380461479053039</v>
      </c>
      <c r="AD98" s="11">
        <f>(SUMIFS(EarningsPerDay[Gross Earnings], EarningsPerDay[Date],"&gt;="&amp;EarningsPerDay[[#This Row],[Date]]-89, EarningsPerDay[Date], "&lt;="&amp;EarningsPerDay[[#This Row],[Date]]))/90</f>
        <v>25.438777777777769</v>
      </c>
      <c r="AE98" s="11"/>
      <c r="AH98" s="11"/>
      <c r="AI98" s="11"/>
    </row>
    <row r="99" spans="1:35" x14ac:dyDescent="0.35">
      <c r="A99" s="55"/>
      <c r="B99" s="40">
        <v>44576</v>
      </c>
      <c r="C99" s="40">
        <f t="shared" si="19"/>
        <v>44576</v>
      </c>
      <c r="D99" s="4">
        <f>IF(EarningsPerDay[[#This Row],[Week '#]]&gt;=52,YEAR(EarningsPerDay[[#This Row],[Date]])-1,YEAR(EarningsPerDay[[#This Row],[Date]]))</f>
        <v>2022</v>
      </c>
      <c r="E99" s="4" t="str">
        <f>"QTR"&amp;IF(EarningsPerDay[[#This Row],[Week '#]] &lt;= 13, 1, IF(EarningsPerDay[[#This Row],[Week '#]] &lt;= 26, 2, IF(EarningsPerDay[[#This Row],[Week '#]] &lt;= 39, 3, 4)))</f>
        <v>QTR1</v>
      </c>
      <c r="F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99" s="4">
        <f>IF(WEEKNUM(EarningsPerDay[[#This Row],[Date]], 2) = 53, 1, WEEKNUM(EarningsPerDay[[#This Row],[Date]],2))</f>
        <v>3</v>
      </c>
      <c r="H99" s="40" t="str">
        <f t="shared" si="20"/>
        <v>Saturday</v>
      </c>
      <c r="I99" s="106">
        <f>IF(_xlfn.XLOOKUP(EarningsPerDay[[#This Row],[Date]],Mileage[Date],Mileage[Start Time])="","",MROUND(_xlfn.XLOOKUP(EarningsPerDay[[#This Row],[Date]],Mileage[Date],Mileage[Start Time]),0.0208333333333333))</f>
        <v>0.47916666666666591</v>
      </c>
      <c r="J99" s="40" t="str" cm="1">
        <f t="array" ref="J99">IFERROR(VLOOKUP(MODE(IF(Combined[Date]=EarningsPerDay[[#This Row],[Date]],Combined[Area '#])),KPIs!$B$4:$C$7,2,FALSE),VLOOKUP(EarningsPerDay[[#This Row],[Date]],Combined[[Date]:[Primary Area]],8,FALSE))</f>
        <v>Lewiston</v>
      </c>
      <c r="K99" s="40" t="str">
        <f>_xlfn.XLOOKUP(EarningsPerDay[[#This Row],[Date]],Mileage[Date],Mileage[Weather])</f>
        <v>Clear</v>
      </c>
      <c r="L99" s="4">
        <f>_xlfn.XLOOKUP(EarningsPerDay[[#This Row],[Date]],Mileage[Date],Mileage[Hi Temp])</f>
        <v>19.7</v>
      </c>
      <c r="M99" s="12">
        <f>_xlfn.XLOOKUP(EarningsPerDay[[#This Row],[Date]],Mileage[Date],Mileage[Total Time])</f>
        <v>5.6</v>
      </c>
      <c r="N99" s="4">
        <f>_xlfn.XLOOKUP(EarningsPerDay[[#This Row],[Date]],Mileage[Date],Mileage[Mileage])</f>
        <v>116.89999999999999</v>
      </c>
      <c r="O99" s="4">
        <f>SUMIF(Combined[Date],EarningsPerDay[[#This Row],[Date]],Combined[Trips])</f>
        <v>14</v>
      </c>
      <c r="P99">
        <f>COUNTIF(Combined[Date],EarningsPerDay[[#This Row],[Date]])</f>
        <v>3</v>
      </c>
      <c r="Q9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99" s="11">
        <f>SUMIF(Combined[Date],EarningsPerDay[[#This Row],[Date]],Combined[Earnings])</f>
        <v>100.25</v>
      </c>
      <c r="S99" s="11">
        <f ca="1">EarningsPerDay[[#This Row],[Gross Earnings]]-(EarningsPerDay[[#This Row],[Miles]]*CpM!$D$11)</f>
        <v>74.184445471753619</v>
      </c>
      <c r="T99" s="11">
        <f t="shared" si="21"/>
        <v>17.901785714285715</v>
      </c>
      <c r="U99" s="11">
        <f t="shared" ca="1" si="22"/>
        <v>13.247222405670289</v>
      </c>
      <c r="V99" s="11">
        <f>EarningsPerDay[[#This Row],[Gross Earnings]]/EarningsPerDay[[#This Row],[Deliveries]]</f>
        <v>7.1607142857142856</v>
      </c>
      <c r="W99" s="11">
        <f>EarningsPerDay[[#This Row],[Gross Earnings]]/EarningsPerDay[[#This Row],[Miles]]</f>
        <v>0.85757057313943552</v>
      </c>
      <c r="X99" s="71">
        <f>EarningsPerDay[[#This Row],[Deliveries]]/EarningsPerDay[[#This Row],[Hours]]</f>
        <v>2.5</v>
      </c>
      <c r="Y99" s="71">
        <f>EarningsPerDay[[#This Row],[Miles]]/EarningsPerDay[[#This Row],[Deliveries]]</f>
        <v>8.35</v>
      </c>
      <c r="Z99" s="81">
        <f>(EarningsPerDay[[#This Row],[Hours]]/EarningsPerDay[[#This Row],[Deliveries]])/24</f>
        <v>1.6666666666666666E-2</v>
      </c>
      <c r="AA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2.861426969891097</v>
      </c>
      <c r="AB99" s="11">
        <f>AVERAGEIFS(EarningsPerDay[Gross $/Hour],EarningsPerDay[Week '#], EarningsPerDay[[#This Row],[Week '#]], EarningsPerDay[DOW], EarningsPerDay[[#This Row],[DOW]])</f>
        <v>22.144434801112787</v>
      </c>
      <c r="AC99" s="11">
        <f>EarningsPerDay[[#This Row],[Gross $/Hour]] - EarningsPerDay[[#This Row],[Weekly Average Earnings]]</f>
        <v>-4.2426490868270719</v>
      </c>
      <c r="AD99" s="11">
        <f>(SUMIFS(EarningsPerDay[Gross Earnings], EarningsPerDay[Date],"&gt;="&amp;EarningsPerDay[[#This Row],[Date]]-89, EarningsPerDay[Date], "&lt;="&amp;EarningsPerDay[[#This Row],[Date]]))/90</f>
        <v>26.55266666666666</v>
      </c>
      <c r="AE99" s="11"/>
      <c r="AH99" s="11"/>
      <c r="AI99" s="11"/>
    </row>
    <row r="100" spans="1:35" x14ac:dyDescent="0.35">
      <c r="A100" s="55"/>
      <c r="B100" s="40">
        <v>44585</v>
      </c>
      <c r="C100" s="40">
        <f t="shared" si="19"/>
        <v>44585</v>
      </c>
      <c r="D100" s="4">
        <f>IF(EarningsPerDay[[#This Row],[Week '#]]&gt;=52,YEAR(EarningsPerDay[[#This Row],[Date]])-1,YEAR(EarningsPerDay[[#This Row],[Date]]))</f>
        <v>2022</v>
      </c>
      <c r="E100" s="4" t="str">
        <f>"QTR"&amp;IF(EarningsPerDay[[#This Row],[Week '#]] &lt;= 13, 1, IF(EarningsPerDay[[#This Row],[Week '#]] &lt;= 26, 2, IF(EarningsPerDay[[#This Row],[Week '#]] &lt;= 39, 3, 4)))</f>
        <v>QTR1</v>
      </c>
      <c r="F1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100" s="4">
        <f>IF(WEEKNUM(EarningsPerDay[[#This Row],[Date]], 2) = 53, 1, WEEKNUM(EarningsPerDay[[#This Row],[Date]],2))</f>
        <v>5</v>
      </c>
      <c r="H100" s="40" t="str">
        <f t="shared" si="20"/>
        <v>Monday</v>
      </c>
      <c r="I10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00" s="40" t="str" cm="1">
        <f t="array" ref="J100">IFERROR(VLOOKUP(MODE(IF(Combined[Date]=EarningsPerDay[[#This Row],[Date]],Combined[Area '#])),KPIs!$B$4:$C$7,2,FALSE),VLOOKUP(EarningsPerDay[[#This Row],[Date]],Combined[[Date]:[Primary Area]],8,FALSE))</f>
        <v>Brunswick/Bath/Freeport</v>
      </c>
      <c r="K100" s="40" t="str">
        <f>_xlfn.XLOOKUP(EarningsPerDay[[#This Row],[Date]],Mileage[Date],Mileage[Weather])</f>
        <v>Light Snow</v>
      </c>
      <c r="L100" s="4">
        <f>_xlfn.XLOOKUP(EarningsPerDay[[#This Row],[Date]],Mileage[Date],Mileage[Hi Temp])</f>
        <v>29.7</v>
      </c>
      <c r="M100" s="12">
        <f>_xlfn.XLOOKUP(EarningsPerDay[[#This Row],[Date]],Mileage[Date],Mileage[Total Time])</f>
        <v>1.8</v>
      </c>
      <c r="N100" s="4">
        <f>_xlfn.XLOOKUP(EarningsPerDay[[#This Row],[Date]],Mileage[Date],Mileage[Mileage])</f>
        <v>46.4</v>
      </c>
      <c r="O100" s="4">
        <f>SUMIF(Combined[Date],EarningsPerDay[[#This Row],[Date]],Combined[Trips])</f>
        <v>4</v>
      </c>
      <c r="P100">
        <f>COUNTIF(Combined[Date],EarningsPerDay[[#This Row],[Date]])</f>
        <v>2</v>
      </c>
      <c r="Q1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0" s="11">
        <f>SUMIF(Combined[Date],EarningsPerDay[[#This Row],[Date]],Combined[Earnings])</f>
        <v>38.43</v>
      </c>
      <c r="S100" s="11">
        <f ca="1">EarningsPerDay[[#This Row],[Gross Earnings]]-(EarningsPerDay[[#This Row],[Miles]]*CpM!$D$11)</f>
        <v>28.084048502047629</v>
      </c>
      <c r="T100" s="11">
        <f t="shared" si="21"/>
        <v>21.349999999999998</v>
      </c>
      <c r="U100" s="11">
        <f t="shared" ca="1" si="22"/>
        <v>15.602249167804239</v>
      </c>
      <c r="V100" s="11">
        <f>EarningsPerDay[[#This Row],[Gross Earnings]]/EarningsPerDay[[#This Row],[Deliveries]]</f>
        <v>9.6074999999999999</v>
      </c>
      <c r="W100" s="11">
        <f>EarningsPerDay[[#This Row],[Gross Earnings]]/EarningsPerDay[[#This Row],[Miles]]</f>
        <v>0.82823275862068968</v>
      </c>
      <c r="X100" s="71">
        <f>EarningsPerDay[[#This Row],[Deliveries]]/EarningsPerDay[[#This Row],[Hours]]</f>
        <v>2.2222222222222223</v>
      </c>
      <c r="Y100" s="71">
        <f>EarningsPerDay[[#This Row],[Miles]]/EarningsPerDay[[#This Row],[Deliveries]]</f>
        <v>11.6</v>
      </c>
      <c r="Z100" s="81">
        <f>(EarningsPerDay[[#This Row],[Hours]]/EarningsPerDay[[#This Row],[Deliveries]])/24</f>
        <v>1.8749999999999999E-2</v>
      </c>
      <c r="AA1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-6.8941451990632316</v>
      </c>
      <c r="AB100" s="11">
        <f>AVERAGEIFS(EarningsPerDay[Gross $/Hour],EarningsPerDay[Week '#], EarningsPerDay[[#This Row],[Week '#]], EarningsPerDay[DOW], EarningsPerDay[[#This Row],[DOW]])</f>
        <v>23.522058823529413</v>
      </c>
      <c r="AC100" s="11">
        <f>EarningsPerDay[[#This Row],[Gross $/Hour]] - EarningsPerDay[[#This Row],[Weekly Average Earnings]]</f>
        <v>-2.1720588235294152</v>
      </c>
      <c r="AD100" s="11">
        <f>(SUMIFS(EarningsPerDay[Gross Earnings], EarningsPerDay[Date],"&gt;="&amp;EarningsPerDay[[#This Row],[Date]]-89, EarningsPerDay[Date], "&lt;="&amp;EarningsPerDay[[#This Row],[Date]]))/90</f>
        <v>24.560555555555553</v>
      </c>
      <c r="AE100" s="11"/>
      <c r="AH100" s="11"/>
      <c r="AI100" s="11"/>
    </row>
    <row r="101" spans="1:35" x14ac:dyDescent="0.35">
      <c r="B101" s="40">
        <v>44595</v>
      </c>
      <c r="C101" s="40">
        <f t="shared" si="19"/>
        <v>44595</v>
      </c>
      <c r="D101" s="4">
        <f>IF(EarningsPerDay[[#This Row],[Week '#]]&gt;=52,YEAR(EarningsPerDay[[#This Row],[Date]])-1,YEAR(EarningsPerDay[[#This Row],[Date]]))</f>
        <v>2022</v>
      </c>
      <c r="E101" s="4" t="str">
        <f>"QTR"&amp;IF(EarningsPerDay[[#This Row],[Week '#]] &lt;= 13, 1, IF(EarningsPerDay[[#This Row],[Week '#]] &lt;= 26, 2, IF(EarningsPerDay[[#This Row],[Week '#]] &lt;= 39, 3, 4)))</f>
        <v>QTR1</v>
      </c>
      <c r="F1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01" s="4">
        <f>IF(WEEKNUM(EarningsPerDay[[#This Row],[Date]], 2) = 53, 1, WEEKNUM(EarningsPerDay[[#This Row],[Date]],2))</f>
        <v>6</v>
      </c>
      <c r="H101" s="40" t="str">
        <f t="shared" si="20"/>
        <v>Thursday</v>
      </c>
      <c r="I10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01" s="40" t="str" cm="1">
        <f t="array" ref="J101">IFERROR(VLOOKUP(MODE(IF(Combined[Date]=EarningsPerDay[[#This Row],[Date]],Combined[Area '#])),KPIs!$B$4:$C$7,2,FALSE),VLOOKUP(EarningsPerDay[[#This Row],[Date]],Combined[[Date]:[Primary Area]],8,FALSE))</f>
        <v>Brunswick/Bath/Freeport</v>
      </c>
      <c r="K101" s="40" t="str">
        <f>_xlfn.XLOOKUP(EarningsPerDay[[#This Row],[Date]],Mileage[Date],Mileage[Weather])</f>
        <v>Snow Storm</v>
      </c>
      <c r="L101" s="4">
        <f>_xlfn.XLOOKUP(EarningsPerDay[[#This Row],[Date]],Mileage[Date],Mileage[Hi Temp])</f>
        <v>24.4</v>
      </c>
      <c r="M101" s="12">
        <f>_xlfn.XLOOKUP(EarningsPerDay[[#This Row],[Date]],Mileage[Date],Mileage[Total Time])</f>
        <v>2.5</v>
      </c>
      <c r="N101" s="4">
        <f>_xlfn.XLOOKUP(EarningsPerDay[[#This Row],[Date]],Mileage[Date],Mileage[Mileage])</f>
        <v>49.8</v>
      </c>
      <c r="O101" s="4">
        <f>SUMIF(Combined[Date],EarningsPerDay[[#This Row],[Date]],Combined[Trips])</f>
        <v>8</v>
      </c>
      <c r="P101">
        <f>COUNTIF(Combined[Date],EarningsPerDay[[#This Row],[Date]])</f>
        <v>1</v>
      </c>
      <c r="Q1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1" s="11">
        <f>SUMIF(Combined[Date],EarningsPerDay[[#This Row],[Date]],Combined[Earnings])</f>
        <v>55.89</v>
      </c>
      <c r="S101" s="11">
        <f ca="1">EarningsPerDay[[#This Row],[Gross Earnings]]-(EarningsPerDay[[#This Row],[Miles]]*CpM!$D$11)</f>
        <v>44.785939987111469</v>
      </c>
      <c r="T101" s="11">
        <f t="shared" si="21"/>
        <v>22.356000000000002</v>
      </c>
      <c r="U101" s="11">
        <f t="shared" ca="1" si="22"/>
        <v>17.914375994844587</v>
      </c>
      <c r="V101" s="11">
        <f>EarningsPerDay[[#This Row],[Gross Earnings]]/EarningsPerDay[[#This Row],[Deliveries]]</f>
        <v>6.9862500000000001</v>
      </c>
      <c r="W101" s="11">
        <f>EarningsPerDay[[#This Row],[Gross Earnings]]/EarningsPerDay[[#This Row],[Miles]]</f>
        <v>1.1222891566265061</v>
      </c>
      <c r="X101" s="71">
        <f>EarningsPerDay[[#This Row],[Deliveries]]/EarningsPerDay[[#This Row],[Hours]]</f>
        <v>3.2</v>
      </c>
      <c r="Y101" s="71">
        <f>EarningsPerDay[[#This Row],[Miles]]/EarningsPerDay[[#This Row],[Deliveries]]</f>
        <v>6.2249999999999996</v>
      </c>
      <c r="Z101" s="81">
        <f>(EarningsPerDay[[#This Row],[Hours]]/EarningsPerDay[[#This Row],[Deliveries]])/24</f>
        <v>1.3020833333333334E-2</v>
      </c>
      <c r="AA10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01" s="11">
        <f>AVERAGEIFS(EarningsPerDay[Gross $/Hour],EarningsPerDay[Week '#], EarningsPerDay[[#This Row],[Week '#]], EarningsPerDay[DOW], EarningsPerDay[[#This Row],[DOW]])</f>
        <v>20.232614280015955</v>
      </c>
      <c r="AC101" s="11">
        <f>EarningsPerDay[[#This Row],[Gross $/Hour]] - EarningsPerDay[[#This Row],[Weekly Average Earnings]]</f>
        <v>2.1233857199840465</v>
      </c>
      <c r="AD101" s="11">
        <f>(SUMIFS(EarningsPerDay[Gross Earnings], EarningsPerDay[Date],"&gt;="&amp;EarningsPerDay[[#This Row],[Date]]-89, EarningsPerDay[Date], "&lt;="&amp;EarningsPerDay[[#This Row],[Date]]))/90</f>
        <v>24.019333333333332</v>
      </c>
      <c r="AE101" s="11"/>
      <c r="AH101" s="11"/>
      <c r="AI101" s="11"/>
    </row>
    <row r="102" spans="1:35" x14ac:dyDescent="0.35">
      <c r="B102" s="40">
        <v>44600</v>
      </c>
      <c r="C102" s="40">
        <f t="shared" si="19"/>
        <v>44600</v>
      </c>
      <c r="D102" s="4">
        <f>IF(EarningsPerDay[[#This Row],[Week '#]]&gt;=52,YEAR(EarningsPerDay[[#This Row],[Date]])-1,YEAR(EarningsPerDay[[#This Row],[Date]]))</f>
        <v>2022</v>
      </c>
      <c r="E102" s="4" t="str">
        <f>"QTR"&amp;IF(EarningsPerDay[[#This Row],[Week '#]] &lt;= 13, 1, IF(EarningsPerDay[[#This Row],[Week '#]] &lt;= 26, 2, IF(EarningsPerDay[[#This Row],[Week '#]] &lt;= 39, 3, 4)))</f>
        <v>QTR1</v>
      </c>
      <c r="F1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02" s="4">
        <f>IF(WEEKNUM(EarningsPerDay[[#This Row],[Date]], 2) = 53, 1, WEEKNUM(EarningsPerDay[[#This Row],[Date]],2))</f>
        <v>7</v>
      </c>
      <c r="H102" s="40" t="str">
        <f t="shared" si="20"/>
        <v>Tuesday</v>
      </c>
      <c r="I10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102" s="40" t="str" cm="1">
        <f t="array" ref="J102">IFERROR(VLOOKUP(MODE(IF(Combined[Date]=EarningsPerDay[[#This Row],[Date]],Combined[Area '#])),KPIs!$B$4:$C$7,2,FALSE),VLOOKUP(EarningsPerDay[[#This Row],[Date]],Combined[[Date]:[Primary Area]],8,FALSE))</f>
        <v>Brunswick/Bath/Freeport</v>
      </c>
      <c r="K102" s="40" t="str">
        <f>_xlfn.XLOOKUP(EarningsPerDay[[#This Row],[Date]],Mileage[Date],Mileage[Weather])</f>
        <v>Clear</v>
      </c>
      <c r="L102" s="4">
        <f>_xlfn.XLOOKUP(EarningsPerDay[[#This Row],[Date]],Mileage[Date],Mileage[Hi Temp])</f>
        <v>38.700000000000003</v>
      </c>
      <c r="M102" s="12">
        <f>_xlfn.XLOOKUP(EarningsPerDay[[#This Row],[Date]],Mileage[Date],Mileage[Total Time])</f>
        <v>3.3</v>
      </c>
      <c r="N102" s="4">
        <f>_xlfn.XLOOKUP(EarningsPerDay[[#This Row],[Date]],Mileage[Date],Mileage[Mileage])</f>
        <v>76</v>
      </c>
      <c r="O102" s="4">
        <f>SUMIF(Combined[Date],EarningsPerDay[[#This Row],[Date]],Combined[Trips])</f>
        <v>6</v>
      </c>
      <c r="P102">
        <f>COUNTIF(Combined[Date],EarningsPerDay[[#This Row],[Date]])</f>
        <v>2</v>
      </c>
      <c r="Q1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2" s="11">
        <f>SUMIF(Combined[Date],EarningsPerDay[[#This Row],[Date]],Combined[Earnings])</f>
        <v>110.74</v>
      </c>
      <c r="S102" s="11">
        <f ca="1">EarningsPerDay[[#This Row],[Gross Earnings]]-(EarningsPerDay[[#This Row],[Miles]]*CpM!$D$11)</f>
        <v>93.794044960250432</v>
      </c>
      <c r="T102" s="11">
        <f t="shared" si="21"/>
        <v>33.557575757575755</v>
      </c>
      <c r="U102" s="11">
        <f t="shared" ca="1" si="22"/>
        <v>28.422437866742555</v>
      </c>
      <c r="V102" s="11">
        <f>EarningsPerDay[[#This Row],[Gross Earnings]]/EarningsPerDay[[#This Row],[Deliveries]]</f>
        <v>18.456666666666667</v>
      </c>
      <c r="W102" s="11">
        <f>EarningsPerDay[[#This Row],[Gross Earnings]]/EarningsPerDay[[#This Row],[Miles]]</f>
        <v>1.4571052631578947</v>
      </c>
      <c r="X102" s="71">
        <f>EarningsPerDay[[#This Row],[Deliveries]]/EarningsPerDay[[#This Row],[Hours]]</f>
        <v>1.8181818181818183</v>
      </c>
      <c r="Y102" s="71">
        <f>EarningsPerDay[[#This Row],[Miles]]/EarningsPerDay[[#This Row],[Deliveries]]</f>
        <v>12.666666666666666</v>
      </c>
      <c r="Z102" s="81">
        <f>(EarningsPerDay[[#This Row],[Hours]]/EarningsPerDay[[#This Row],[Deliveries]])/24</f>
        <v>2.2916666666666665E-2</v>
      </c>
      <c r="AA1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-1.0479748575124361</v>
      </c>
      <c r="AB102" s="11">
        <f>AVERAGEIFS(EarningsPerDay[Gross $/Hour],EarningsPerDay[Week '#], EarningsPerDay[[#This Row],[Week '#]], EarningsPerDay[DOW], EarningsPerDay[[#This Row],[DOW]])</f>
        <v>27.074867409256267</v>
      </c>
      <c r="AC102" s="11">
        <f>EarningsPerDay[[#This Row],[Gross $/Hour]] - EarningsPerDay[[#This Row],[Weekly Average Earnings]]</f>
        <v>6.4827083483194876</v>
      </c>
      <c r="AD102" s="11">
        <f>(SUMIFS(EarningsPerDay[Gross Earnings], EarningsPerDay[Date],"&gt;="&amp;EarningsPerDay[[#This Row],[Date]]-89, EarningsPerDay[Date], "&lt;="&amp;EarningsPerDay[[#This Row],[Date]]))/90</f>
        <v>23.470444444444446</v>
      </c>
      <c r="AE102" s="11"/>
      <c r="AH102" s="11"/>
      <c r="AI102" s="11"/>
    </row>
    <row r="103" spans="1:35" x14ac:dyDescent="0.35">
      <c r="B103" s="40">
        <v>44604</v>
      </c>
      <c r="C103" s="40">
        <f t="shared" si="19"/>
        <v>44604</v>
      </c>
      <c r="D103" s="4">
        <f>IF(EarningsPerDay[[#This Row],[Week '#]]&gt;=52,YEAR(EarningsPerDay[[#This Row],[Date]])-1,YEAR(EarningsPerDay[[#This Row],[Date]]))</f>
        <v>2022</v>
      </c>
      <c r="E103" s="4" t="str">
        <f>"QTR"&amp;IF(EarningsPerDay[[#This Row],[Week '#]] &lt;= 13, 1, IF(EarningsPerDay[[#This Row],[Week '#]] &lt;= 26, 2, IF(EarningsPerDay[[#This Row],[Week '#]] &lt;= 39, 3, 4)))</f>
        <v>QTR1</v>
      </c>
      <c r="F1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03" s="4">
        <f>IF(WEEKNUM(EarningsPerDay[[#This Row],[Date]], 2) = 53, 1, WEEKNUM(EarningsPerDay[[#This Row],[Date]],2))</f>
        <v>7</v>
      </c>
      <c r="H103" s="40" t="str">
        <f t="shared" si="20"/>
        <v>Saturday</v>
      </c>
      <c r="I103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103" s="40" t="str" cm="1">
        <f t="array" ref="J103">IFERROR(VLOOKUP(MODE(IF(Combined[Date]=EarningsPerDay[[#This Row],[Date]],Combined[Area '#])),KPIs!$B$4:$C$7,2,FALSE),VLOOKUP(EarningsPerDay[[#This Row],[Date]],Combined[[Date]:[Primary Area]],8,FALSE))</f>
        <v>Brunswick/Bath/Freeport</v>
      </c>
      <c r="K103" s="40" t="str">
        <f>_xlfn.XLOOKUP(EarningsPerDay[[#This Row],[Date]],Mileage[Date],Mileage[Weather])</f>
        <v>Light Snow</v>
      </c>
      <c r="L103" s="4">
        <f>_xlfn.XLOOKUP(EarningsPerDay[[#This Row],[Date]],Mileage[Date],Mileage[Hi Temp])</f>
        <v>23.6</v>
      </c>
      <c r="M103" s="12">
        <f>_xlfn.XLOOKUP(EarningsPerDay[[#This Row],[Date]],Mileage[Date],Mileage[Total Time])</f>
        <v>5.5</v>
      </c>
      <c r="N103" s="4">
        <f>_xlfn.XLOOKUP(EarningsPerDay[[#This Row],[Date]],Mileage[Date],Mileage[Mileage])</f>
        <v>87.4</v>
      </c>
      <c r="O103" s="4">
        <f>SUMIF(Combined[Date],EarningsPerDay[[#This Row],[Date]],Combined[Trips])</f>
        <v>14</v>
      </c>
      <c r="P103">
        <f>COUNTIF(Combined[Date],EarningsPerDay[[#This Row],[Date]])</f>
        <v>1</v>
      </c>
      <c r="Q1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3" s="11">
        <f>SUMIF(Combined[Date],EarningsPerDay[[#This Row],[Date]],Combined[Earnings])</f>
        <v>102.55</v>
      </c>
      <c r="S103" s="11">
        <f ca="1">EarningsPerDay[[#This Row],[Gross Earnings]]-(EarningsPerDay[[#This Row],[Miles]]*CpM!$D$11)</f>
        <v>83.062151704287984</v>
      </c>
      <c r="T103" s="11">
        <f t="shared" si="21"/>
        <v>18.645454545454545</v>
      </c>
      <c r="U103" s="11">
        <f t="shared" ca="1" si="22"/>
        <v>15.102209400779634</v>
      </c>
      <c r="V103" s="11">
        <f>EarningsPerDay[[#This Row],[Gross Earnings]]/EarningsPerDay[[#This Row],[Deliveries]]</f>
        <v>7.3250000000000002</v>
      </c>
      <c r="W103" s="11">
        <f>EarningsPerDay[[#This Row],[Gross Earnings]]/EarningsPerDay[[#This Row],[Miles]]</f>
        <v>1.173340961098398</v>
      </c>
      <c r="X103" s="71">
        <f>EarningsPerDay[[#This Row],[Deliveries]]/EarningsPerDay[[#This Row],[Hours]]</f>
        <v>2.5454545454545454</v>
      </c>
      <c r="Y103" s="71">
        <f>EarningsPerDay[[#This Row],[Miles]]/EarningsPerDay[[#This Row],[Deliveries]]</f>
        <v>6.2428571428571429</v>
      </c>
      <c r="Z103" s="81">
        <f>(EarningsPerDay[[#This Row],[Hours]]/EarningsPerDay[[#This Row],[Deliveries]])/24</f>
        <v>1.636904761904762E-2</v>
      </c>
      <c r="AA1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-12.558627600203494</v>
      </c>
      <c r="AB103" s="11">
        <f>AVERAGEIFS(EarningsPerDay[Gross $/Hour],EarningsPerDay[Week '#], EarningsPerDay[[#This Row],[Week '#]], EarningsPerDay[DOW], EarningsPerDay[[#This Row],[DOW]])</f>
        <v>22.316988072985641</v>
      </c>
      <c r="AC103" s="11">
        <f>EarningsPerDay[[#This Row],[Gross $/Hour]] - EarningsPerDay[[#This Row],[Weekly Average Earnings]]</f>
        <v>-3.6715335275310963</v>
      </c>
      <c r="AD103" s="11">
        <f>(SUMIFS(EarningsPerDay[Gross Earnings], EarningsPerDay[Date],"&gt;="&amp;EarningsPerDay[[#This Row],[Date]]-89, EarningsPerDay[Date], "&lt;="&amp;EarningsPerDay[[#This Row],[Date]]))/90</f>
        <v>22.546777777777777</v>
      </c>
      <c r="AE103" s="11"/>
      <c r="AH103" s="11"/>
      <c r="AI103" s="11"/>
    </row>
    <row r="104" spans="1:35" x14ac:dyDescent="0.35">
      <c r="B104" s="40">
        <v>44606</v>
      </c>
      <c r="C104" s="40">
        <f t="shared" si="19"/>
        <v>44606</v>
      </c>
      <c r="D104" s="4">
        <f>IF(EarningsPerDay[[#This Row],[Week '#]]&gt;=52,YEAR(EarningsPerDay[[#This Row],[Date]])-1,YEAR(EarningsPerDay[[#This Row],[Date]]))</f>
        <v>2022</v>
      </c>
      <c r="E104" s="4" t="str">
        <f>"QTR"&amp;IF(EarningsPerDay[[#This Row],[Week '#]] &lt;= 13, 1, IF(EarningsPerDay[[#This Row],[Week '#]] &lt;= 26, 2, IF(EarningsPerDay[[#This Row],[Week '#]] &lt;= 39, 3, 4)))</f>
        <v>QTR1</v>
      </c>
      <c r="F1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04" s="4">
        <f>IF(WEEKNUM(EarningsPerDay[[#This Row],[Date]], 2) = 53, 1, WEEKNUM(EarningsPerDay[[#This Row],[Date]],2))</f>
        <v>8</v>
      </c>
      <c r="H104" s="40" t="str">
        <f t="shared" si="20"/>
        <v>Monday</v>
      </c>
      <c r="I10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04" s="40" t="str" cm="1">
        <f t="array" ref="J104">IFERROR(VLOOKUP(MODE(IF(Combined[Date]=EarningsPerDay[[#This Row],[Date]],Combined[Area '#])),KPIs!$B$4:$C$7,2,FALSE),VLOOKUP(EarningsPerDay[[#This Row],[Date]],Combined[[Date]:[Primary Area]],8,FALSE))</f>
        <v>Brunswick/Bath/Freeport</v>
      </c>
      <c r="K104" s="40" t="str">
        <f>_xlfn.XLOOKUP(EarningsPerDay[[#This Row],[Date]],Mileage[Date],Mileage[Weather])</f>
        <v>Clear</v>
      </c>
      <c r="L104" s="4">
        <f>_xlfn.XLOOKUP(EarningsPerDay[[#This Row],[Date]],Mileage[Date],Mileage[Hi Temp])</f>
        <v>16.7</v>
      </c>
      <c r="M104" s="12">
        <f>_xlfn.XLOOKUP(EarningsPerDay[[#This Row],[Date]],Mileage[Date],Mileage[Total Time])</f>
        <v>0.8</v>
      </c>
      <c r="N104" s="4">
        <f>_xlfn.XLOOKUP(EarningsPerDay[[#This Row],[Date]],Mileage[Date],Mileage[Mileage])</f>
        <v>19.3</v>
      </c>
      <c r="O104" s="4">
        <f>SUMIF(Combined[Date],EarningsPerDay[[#This Row],[Date]],Combined[Trips])</f>
        <v>2</v>
      </c>
      <c r="P104">
        <f>COUNTIF(Combined[Date],EarningsPerDay[[#This Row],[Date]])</f>
        <v>1</v>
      </c>
      <c r="Q1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4" s="11">
        <f>SUMIF(Combined[Date],EarningsPerDay[[#This Row],[Date]],Combined[Earnings])</f>
        <v>21.75</v>
      </c>
      <c r="S104" s="11">
        <f ca="1">EarningsPerDay[[#This Row],[Gross Earnings]]-(EarningsPerDay[[#This Row],[Miles]]*CpM!$D$11)</f>
        <v>17.446619312274123</v>
      </c>
      <c r="T104" s="11">
        <f t="shared" si="21"/>
        <v>27.1875</v>
      </c>
      <c r="U104" s="11">
        <f t="shared" ca="1" si="22"/>
        <v>21.808274140342654</v>
      </c>
      <c r="V104" s="11">
        <f>EarningsPerDay[[#This Row],[Gross Earnings]]/EarningsPerDay[[#This Row],[Deliveries]]</f>
        <v>10.875</v>
      </c>
      <c r="W104" s="11">
        <f>EarningsPerDay[[#This Row],[Gross Earnings]]/EarningsPerDay[[#This Row],[Miles]]</f>
        <v>1.1269430051813472</v>
      </c>
      <c r="X104" s="71">
        <f>EarningsPerDay[[#This Row],[Deliveries]]/EarningsPerDay[[#This Row],[Hours]]</f>
        <v>2.5</v>
      </c>
      <c r="Y104" s="71">
        <f>EarningsPerDay[[#This Row],[Miles]]/EarningsPerDay[[#This Row],[Deliveries]]</f>
        <v>9.65</v>
      </c>
      <c r="Z104" s="81">
        <f>(EarningsPerDay[[#This Row],[Hours]]/EarningsPerDay[[#This Row],[Deliveries]])/24</f>
        <v>1.6666666666666666E-2</v>
      </c>
      <c r="AA1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0.32218384074941397</v>
      </c>
      <c r="AB104" s="11">
        <f>AVERAGEIFS(EarningsPerDay[Gross $/Hour],EarningsPerDay[Week '#], EarningsPerDay[[#This Row],[Week '#]], EarningsPerDay[DOW], EarningsPerDay[[#This Row],[DOW]])</f>
        <v>27.049491626794261</v>
      </c>
      <c r="AC104" s="11">
        <f>EarningsPerDay[[#This Row],[Gross $/Hour]] - EarningsPerDay[[#This Row],[Weekly Average Earnings]]</f>
        <v>0.13800837320573933</v>
      </c>
      <c r="AD104" s="11">
        <f>(SUMIFS(EarningsPerDay[Gross Earnings], EarningsPerDay[Date],"&gt;="&amp;EarningsPerDay[[#This Row],[Date]]-89, EarningsPerDay[Date], "&lt;="&amp;EarningsPerDay[[#This Row],[Date]]))/90</f>
        <v>20.517888888888891</v>
      </c>
      <c r="AE104" s="11"/>
      <c r="AH104" s="11"/>
      <c r="AI104" s="11"/>
    </row>
    <row r="105" spans="1:35" x14ac:dyDescent="0.35">
      <c r="B105" s="40">
        <v>44616</v>
      </c>
      <c r="C105" s="40">
        <f t="shared" si="19"/>
        <v>44616</v>
      </c>
      <c r="D105" s="4">
        <f>IF(EarningsPerDay[[#This Row],[Week '#]]&gt;=52,YEAR(EarningsPerDay[[#This Row],[Date]])-1,YEAR(EarningsPerDay[[#This Row],[Date]]))</f>
        <v>2022</v>
      </c>
      <c r="E105" s="4" t="str">
        <f>"QTR"&amp;IF(EarningsPerDay[[#This Row],[Week '#]] &lt;= 13, 1, IF(EarningsPerDay[[#This Row],[Week '#]] &lt;= 26, 2, IF(EarningsPerDay[[#This Row],[Week '#]] &lt;= 39, 3, 4)))</f>
        <v>QTR1</v>
      </c>
      <c r="F1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05" s="4">
        <f>IF(WEEKNUM(EarningsPerDay[[#This Row],[Date]], 2) = 53, 1, WEEKNUM(EarningsPerDay[[#This Row],[Date]],2))</f>
        <v>9</v>
      </c>
      <c r="H105" s="40" t="str">
        <f t="shared" si="20"/>
        <v>Thursday</v>
      </c>
      <c r="I10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05" s="40" t="str" cm="1">
        <f t="array" ref="J105">IFERROR(VLOOKUP(MODE(IF(Combined[Date]=EarningsPerDay[[#This Row],[Date]],Combined[Area '#])),KPIs!$B$4:$C$7,2,FALSE),VLOOKUP(EarningsPerDay[[#This Row],[Date]],Combined[[Date]:[Primary Area]],8,FALSE))</f>
        <v>Lewiston</v>
      </c>
      <c r="K105" s="40" t="str">
        <f>_xlfn.XLOOKUP(EarningsPerDay[[#This Row],[Date]],Mileage[Date],Mileage[Weather])</f>
        <v>Snow Storm</v>
      </c>
      <c r="L105" s="4">
        <f>_xlfn.XLOOKUP(EarningsPerDay[[#This Row],[Date]],Mileage[Date],Mileage[Hi Temp])</f>
        <v>17.3</v>
      </c>
      <c r="M105" s="12">
        <f>_xlfn.XLOOKUP(EarningsPerDay[[#This Row],[Date]],Mileage[Date],Mileage[Total Time])</f>
        <v>4</v>
      </c>
      <c r="N105" s="4">
        <f>_xlfn.XLOOKUP(EarningsPerDay[[#This Row],[Date]],Mileage[Date],Mileage[Mileage])</f>
        <v>59</v>
      </c>
      <c r="O105" s="4">
        <f>SUMIF(Combined[Date],EarningsPerDay[[#This Row],[Date]],Combined[Trips])</f>
        <v>10</v>
      </c>
      <c r="P105">
        <f>COUNTIF(Combined[Date],EarningsPerDay[[#This Row],[Date]])</f>
        <v>2</v>
      </c>
      <c r="Q1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5" s="11">
        <f>SUMIF(Combined[Date],EarningsPerDay[[#This Row],[Date]],Combined[Earnings])</f>
        <v>72.930000000000007</v>
      </c>
      <c r="S105" s="11">
        <f ca="1">EarningsPerDay[[#This Row],[Gross Earnings]]-(EarningsPerDay[[#This Row],[Miles]]*CpM!$D$11)</f>
        <v>59.774587534931257</v>
      </c>
      <c r="T105" s="11">
        <f t="shared" si="21"/>
        <v>18.232500000000002</v>
      </c>
      <c r="U105" s="11">
        <f t="shared" ca="1" si="22"/>
        <v>14.943646883732814</v>
      </c>
      <c r="V105" s="11">
        <f>EarningsPerDay[[#This Row],[Gross Earnings]]/EarningsPerDay[[#This Row],[Deliveries]]</f>
        <v>7.293000000000001</v>
      </c>
      <c r="W105" s="11">
        <f>EarningsPerDay[[#This Row],[Gross Earnings]]/EarningsPerDay[[#This Row],[Miles]]</f>
        <v>1.2361016949152543</v>
      </c>
      <c r="X105" s="71">
        <f>EarningsPerDay[[#This Row],[Deliveries]]/EarningsPerDay[[#This Row],[Hours]]</f>
        <v>2.5</v>
      </c>
      <c r="Y105" s="71">
        <f>EarningsPerDay[[#This Row],[Miles]]/EarningsPerDay[[#This Row],[Deliveries]]</f>
        <v>5.9</v>
      </c>
      <c r="Z105" s="81">
        <f>(EarningsPerDay[[#This Row],[Hours]]/EarningsPerDay[[#This Row],[Deliveries]])/24</f>
        <v>1.6666666666666666E-2</v>
      </c>
      <c r="AA10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05" s="11">
        <f>AVERAGEIFS(EarningsPerDay[Gross $/Hour],EarningsPerDay[Week '#], EarningsPerDay[[#This Row],[Week '#]], EarningsPerDay[DOW], EarningsPerDay[[#This Row],[DOW]])</f>
        <v>23.055098920863308</v>
      </c>
      <c r="AC105" s="11">
        <f>EarningsPerDay[[#This Row],[Gross $/Hour]] - EarningsPerDay[[#This Row],[Weekly Average Earnings]]</f>
        <v>-4.8225989208633067</v>
      </c>
      <c r="AD105" s="11">
        <f>(SUMIFS(EarningsPerDay[Gross Earnings], EarningsPerDay[Date],"&gt;="&amp;EarningsPerDay[[#This Row],[Date]]-89, EarningsPerDay[Date], "&lt;="&amp;EarningsPerDay[[#This Row],[Date]]))/90</f>
        <v>18.333444444444446</v>
      </c>
      <c r="AE105" s="11"/>
      <c r="AH105" s="11"/>
      <c r="AI105" s="11"/>
    </row>
    <row r="106" spans="1:35" x14ac:dyDescent="0.35">
      <c r="B106" s="40">
        <v>44619</v>
      </c>
      <c r="C106" s="40">
        <f t="shared" si="19"/>
        <v>44619</v>
      </c>
      <c r="D106" s="4">
        <f>IF(EarningsPerDay[[#This Row],[Week '#]]&gt;=52,YEAR(EarningsPerDay[[#This Row],[Date]])-1,YEAR(EarningsPerDay[[#This Row],[Date]]))</f>
        <v>2022</v>
      </c>
      <c r="E106" s="4" t="str">
        <f>"QTR"&amp;IF(EarningsPerDay[[#This Row],[Week '#]] &lt;= 13, 1, IF(EarningsPerDay[[#This Row],[Week '#]] &lt;= 26, 2, IF(EarningsPerDay[[#This Row],[Week '#]] &lt;= 39, 3, 4)))</f>
        <v>QTR1</v>
      </c>
      <c r="F1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06" s="4">
        <f>IF(WEEKNUM(EarningsPerDay[[#This Row],[Date]], 2) = 53, 1, WEEKNUM(EarningsPerDay[[#This Row],[Date]],2))</f>
        <v>9</v>
      </c>
      <c r="H106" s="40" t="str">
        <f t="shared" si="20"/>
        <v>Sunday</v>
      </c>
      <c r="I10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06" s="40" t="str" cm="1">
        <f t="array" ref="J106">IFERROR(VLOOKUP(MODE(IF(Combined[Date]=EarningsPerDay[[#This Row],[Date]],Combined[Area '#])),KPIs!$B$4:$C$7,2,FALSE),VLOOKUP(EarningsPerDay[[#This Row],[Date]],Combined[[Date]:[Primary Area]],8,FALSE))</f>
        <v>Portland</v>
      </c>
      <c r="K106" s="40" t="str">
        <f>_xlfn.XLOOKUP(EarningsPerDay[[#This Row],[Date]],Mileage[Date],Mileage[Weather])</f>
        <v>Clear</v>
      </c>
      <c r="L106" s="4">
        <f>_xlfn.XLOOKUP(EarningsPerDay[[#This Row],[Date]],Mileage[Date],Mileage[Hi Temp])</f>
        <v>11</v>
      </c>
      <c r="M106" s="12">
        <f>_xlfn.XLOOKUP(EarningsPerDay[[#This Row],[Date]],Mileage[Date],Mileage[Total Time])</f>
        <v>5.5</v>
      </c>
      <c r="N106" s="4">
        <f>_xlfn.XLOOKUP(EarningsPerDay[[#This Row],[Date]],Mileage[Date],Mileage[Mileage])</f>
        <v>90.6</v>
      </c>
      <c r="O106" s="4">
        <f>SUMIF(Combined[Date],EarningsPerDay[[#This Row],[Date]],Combined[Trips])</f>
        <v>16</v>
      </c>
      <c r="P106">
        <f>COUNTIF(Combined[Date],EarningsPerDay[[#This Row],[Date]])</f>
        <v>2</v>
      </c>
      <c r="Q1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6" s="11">
        <f>SUMIF(Combined[Date],EarningsPerDay[[#This Row],[Date]],Combined[Earnings])</f>
        <v>145.1</v>
      </c>
      <c r="S106" s="11">
        <f ca="1">EarningsPerDay[[#This Row],[Gross Earnings]]-(EarningsPerDay[[#This Row],[Miles]]*CpM!$D$11)</f>
        <v>124.89863780787748</v>
      </c>
      <c r="T106" s="11">
        <f t="shared" si="21"/>
        <v>26.381818181818179</v>
      </c>
      <c r="U106" s="11">
        <f t="shared" ca="1" si="22"/>
        <v>22.708843237795904</v>
      </c>
      <c r="V106" s="11">
        <f>EarningsPerDay[[#This Row],[Gross Earnings]]/EarningsPerDay[[#This Row],[Deliveries]]</f>
        <v>9.0687499999999996</v>
      </c>
      <c r="W106" s="11">
        <f>EarningsPerDay[[#This Row],[Gross Earnings]]/EarningsPerDay[[#This Row],[Miles]]</f>
        <v>1.6015452538631347</v>
      </c>
      <c r="X106" s="71">
        <f>EarningsPerDay[[#This Row],[Deliveries]]/EarningsPerDay[[#This Row],[Hours]]</f>
        <v>2.9090909090909092</v>
      </c>
      <c r="Y106" s="71">
        <f>EarningsPerDay[[#This Row],[Miles]]/EarningsPerDay[[#This Row],[Deliveries]]</f>
        <v>5.6624999999999996</v>
      </c>
      <c r="Z106" s="81">
        <f>(EarningsPerDay[[#This Row],[Hours]]/EarningsPerDay[[#This Row],[Deliveries]])/24</f>
        <v>1.4322916666666666E-2</v>
      </c>
      <c r="AA1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15.28125305673584</v>
      </c>
      <c r="AB106" s="11">
        <f>AVERAGEIFS(EarningsPerDay[Gross $/Hour],EarningsPerDay[Week '#], EarningsPerDay[[#This Row],[Week '#]], EarningsPerDay[DOW], EarningsPerDay[[#This Row],[DOW]])</f>
        <v>27.871502575489643</v>
      </c>
      <c r="AC106" s="11">
        <f>EarningsPerDay[[#This Row],[Gross $/Hour]] - EarningsPerDay[[#This Row],[Weekly Average Earnings]]</f>
        <v>-1.4896843936714639</v>
      </c>
      <c r="AD106" s="11">
        <f>(SUMIFS(EarningsPerDay[Gross Earnings], EarningsPerDay[Date],"&gt;="&amp;EarningsPerDay[[#This Row],[Date]]-89, EarningsPerDay[Date], "&lt;="&amp;EarningsPerDay[[#This Row],[Date]]))/90</f>
        <v>15.573999999999998</v>
      </c>
      <c r="AE106" s="11"/>
      <c r="AH106" s="11"/>
      <c r="AI106" s="11"/>
    </row>
    <row r="107" spans="1:35" x14ac:dyDescent="0.35">
      <c r="B107" s="40">
        <v>44620</v>
      </c>
      <c r="C107" s="40">
        <f t="shared" si="19"/>
        <v>44620</v>
      </c>
      <c r="D107" s="4">
        <f>IF(EarningsPerDay[[#This Row],[Week '#]]&gt;=52,YEAR(EarningsPerDay[[#This Row],[Date]])-1,YEAR(EarningsPerDay[[#This Row],[Date]]))</f>
        <v>2022</v>
      </c>
      <c r="E107" s="4" t="str">
        <f>"QTR"&amp;IF(EarningsPerDay[[#This Row],[Week '#]] &lt;= 13, 1, IF(EarningsPerDay[[#This Row],[Week '#]] &lt;= 26, 2, IF(EarningsPerDay[[#This Row],[Week '#]] &lt;= 39, 3, 4)))</f>
        <v>QTR1</v>
      </c>
      <c r="F1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07" s="4">
        <f>IF(WEEKNUM(EarningsPerDay[[#This Row],[Date]], 2) = 53, 1, WEEKNUM(EarningsPerDay[[#This Row],[Date]],2))</f>
        <v>10</v>
      </c>
      <c r="H107" s="40" t="str">
        <f t="shared" si="20"/>
        <v>Monday</v>
      </c>
      <c r="I10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07" s="40" t="str" cm="1">
        <f t="array" ref="J107">IFERROR(VLOOKUP(MODE(IF(Combined[Date]=EarningsPerDay[[#This Row],[Date]],Combined[Area '#])),KPIs!$B$4:$C$7,2,FALSE),VLOOKUP(EarningsPerDay[[#This Row],[Date]],Combined[[Date]:[Primary Area]],8,FALSE))</f>
        <v>Brunswick/Bath/Freeport</v>
      </c>
      <c r="K107" s="40" t="str">
        <f>_xlfn.XLOOKUP(EarningsPerDay[[#This Row],[Date]],Mileage[Date],Mileage[Weather])</f>
        <v>Light Snow</v>
      </c>
      <c r="L107" s="4">
        <f>_xlfn.XLOOKUP(EarningsPerDay[[#This Row],[Date]],Mileage[Date],Mileage[Hi Temp])</f>
        <v>27.8</v>
      </c>
      <c r="M107" s="12">
        <f>_xlfn.XLOOKUP(EarningsPerDay[[#This Row],[Date]],Mileage[Date],Mileage[Total Time])</f>
        <v>5.3</v>
      </c>
      <c r="N107" s="4">
        <f>_xlfn.XLOOKUP(EarningsPerDay[[#This Row],[Date]],Mileage[Date],Mileage[Mileage])</f>
        <v>119.19999999999999</v>
      </c>
      <c r="O107" s="4">
        <f>SUMIF(Combined[Date],EarningsPerDay[[#This Row],[Date]],Combined[Trips])</f>
        <v>11</v>
      </c>
      <c r="P107">
        <f>COUNTIF(Combined[Date],EarningsPerDay[[#This Row],[Date]])</f>
        <v>2</v>
      </c>
      <c r="Q1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7" s="11">
        <f>SUMIF(Combined[Date],EarningsPerDay[[#This Row],[Date]],Combined[Earnings])</f>
        <v>122.35</v>
      </c>
      <c r="S107" s="11">
        <f ca="1">EarningsPerDay[[#This Row],[Gross Earnings]]-(EarningsPerDay[[#This Row],[Miles]]*CpM!$D$11)</f>
        <v>95.771607358708565</v>
      </c>
      <c r="T107" s="11">
        <f t="shared" si="21"/>
        <v>23.084905660377359</v>
      </c>
      <c r="U107" s="11">
        <f t="shared" ca="1" si="22"/>
        <v>18.070114595982748</v>
      </c>
      <c r="V107" s="11">
        <f>EarningsPerDay[[#This Row],[Gross Earnings]]/EarningsPerDay[[#This Row],[Deliveries]]</f>
        <v>11.122727272727273</v>
      </c>
      <c r="W107" s="11">
        <f>EarningsPerDay[[#This Row],[Gross Earnings]]/EarningsPerDay[[#This Row],[Miles]]</f>
        <v>1.0264261744966443</v>
      </c>
      <c r="X107" s="71">
        <f>EarningsPerDay[[#This Row],[Deliveries]]/EarningsPerDay[[#This Row],[Hours]]</f>
        <v>2.0754716981132075</v>
      </c>
      <c r="Y107" s="71">
        <f>EarningsPerDay[[#This Row],[Miles]]/EarningsPerDay[[#This Row],[Deliveries]]</f>
        <v>10.836363636363636</v>
      </c>
      <c r="Z107" s="81">
        <f>(EarningsPerDay[[#This Row],[Hours]]/EarningsPerDay[[#This Row],[Deliveries]])/24</f>
        <v>2.0075757575757577E-2</v>
      </c>
      <c r="AA1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-3.8341078056647966</v>
      </c>
      <c r="AB107" s="11">
        <f>AVERAGEIFS(EarningsPerDay[Gross $/Hour],EarningsPerDay[Week '#], EarningsPerDay[[#This Row],[Week '#]], EarningsPerDay[DOW], EarningsPerDay[[#This Row],[DOW]])</f>
        <v>24.199959675578484</v>
      </c>
      <c r="AC107" s="11">
        <f>EarningsPerDay[[#This Row],[Gross $/Hour]] - EarningsPerDay[[#This Row],[Weekly Average Earnings]]</f>
        <v>-1.1150540152011246</v>
      </c>
      <c r="AD107" s="11">
        <f>(SUMIFS(EarningsPerDay[Gross Earnings], EarningsPerDay[Date],"&gt;="&amp;EarningsPerDay[[#This Row],[Date]]-89, EarningsPerDay[Date], "&lt;="&amp;EarningsPerDay[[#This Row],[Date]]))/90</f>
        <v>16.93344444444444</v>
      </c>
      <c r="AE107" s="11"/>
      <c r="AH107" s="11"/>
      <c r="AI107" s="11"/>
    </row>
    <row r="108" spans="1:35" x14ac:dyDescent="0.35">
      <c r="B108" s="40">
        <v>44627</v>
      </c>
      <c r="C108" s="40">
        <f t="shared" si="19"/>
        <v>44627</v>
      </c>
      <c r="D108" s="4">
        <f>IF(EarningsPerDay[[#This Row],[Week '#]]&gt;=52,YEAR(EarningsPerDay[[#This Row],[Date]])-1,YEAR(EarningsPerDay[[#This Row],[Date]]))</f>
        <v>2022</v>
      </c>
      <c r="E108" s="4" t="str">
        <f>"QTR"&amp;IF(EarningsPerDay[[#This Row],[Week '#]] &lt;= 13, 1, IF(EarningsPerDay[[#This Row],[Week '#]] &lt;= 26, 2, IF(EarningsPerDay[[#This Row],[Week '#]] &lt;= 39, 3, 4)))</f>
        <v>QTR1</v>
      </c>
      <c r="F1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08" s="4">
        <f>IF(WEEKNUM(EarningsPerDay[[#This Row],[Date]], 2) = 53, 1, WEEKNUM(EarningsPerDay[[#This Row],[Date]],2))</f>
        <v>11</v>
      </c>
      <c r="H108" s="40" t="str">
        <f t="shared" si="20"/>
        <v>Monday</v>
      </c>
      <c r="I10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08" s="40" t="str" cm="1">
        <f t="array" ref="J108">IFERROR(VLOOKUP(MODE(IF(Combined[Date]=EarningsPerDay[[#This Row],[Date]],Combined[Area '#])),KPIs!$B$4:$C$7,2,FALSE),VLOOKUP(EarningsPerDay[[#This Row],[Date]],Combined[[Date]:[Primary Area]],8,FALSE))</f>
        <v>Brunswick/Bath/Freeport</v>
      </c>
      <c r="K108" s="40" t="str">
        <f>_xlfn.XLOOKUP(EarningsPerDay[[#This Row],[Date]],Mileage[Date],Mileage[Weather])</f>
        <v>Rain</v>
      </c>
      <c r="L108" s="4">
        <f>_xlfn.XLOOKUP(EarningsPerDay[[#This Row],[Date]],Mileage[Date],Mileage[Hi Temp])</f>
        <v>36.5</v>
      </c>
      <c r="M108" s="12">
        <f>_xlfn.XLOOKUP(EarningsPerDay[[#This Row],[Date]],Mileage[Date],Mileage[Total Time])</f>
        <v>2.2999999999999998</v>
      </c>
      <c r="N108" s="4">
        <f>_xlfn.XLOOKUP(EarningsPerDay[[#This Row],[Date]],Mileage[Date],Mileage[Mileage])</f>
        <v>54.3</v>
      </c>
      <c r="O108" s="4">
        <f>SUMIF(Combined[Date],EarningsPerDay[[#This Row],[Date]],Combined[Trips])</f>
        <v>6</v>
      </c>
      <c r="P108">
        <f>COUNTIF(Combined[Date],EarningsPerDay[[#This Row],[Date]])</f>
        <v>2</v>
      </c>
      <c r="Q10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8" s="11">
        <f>SUMIF(Combined[Date],EarningsPerDay[[#This Row],[Date]],Combined[Earnings])</f>
        <v>72.14</v>
      </c>
      <c r="S108" s="11">
        <f ca="1">EarningsPerDay[[#This Row],[Gross Earnings]]-(EarningsPerDay[[#This Row],[Miles]]*CpM!$D$11)</f>
        <v>60.032561070284189</v>
      </c>
      <c r="T108" s="11">
        <f t="shared" si="21"/>
        <v>31.365217391304352</v>
      </c>
      <c r="U108" s="11">
        <f t="shared" ca="1" si="22"/>
        <v>26.101113508819214</v>
      </c>
      <c r="V108" s="11">
        <f>EarningsPerDay[[#This Row],[Gross Earnings]]/EarningsPerDay[[#This Row],[Deliveries]]</f>
        <v>12.023333333333333</v>
      </c>
      <c r="W108" s="11">
        <f>EarningsPerDay[[#This Row],[Gross Earnings]]/EarningsPerDay[[#This Row],[Miles]]</f>
        <v>1.3285451197053408</v>
      </c>
      <c r="X108" s="71">
        <f>EarningsPerDay[[#This Row],[Deliveries]]/EarningsPerDay[[#This Row],[Hours]]</f>
        <v>2.6086956521739131</v>
      </c>
      <c r="Y108" s="71">
        <f>EarningsPerDay[[#This Row],[Miles]]/EarningsPerDay[[#This Row],[Deliveries]]</f>
        <v>9.0499999999999989</v>
      </c>
      <c r="Z108" s="81">
        <f>(EarningsPerDay[[#This Row],[Hours]]/EarningsPerDay[[#This Row],[Deliveries]])/24</f>
        <v>1.5972222222222221E-2</v>
      </c>
      <c r="AA1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4.9939336117857387</v>
      </c>
      <c r="AB108" s="11">
        <f>AVERAGEIFS(EarningsPerDay[Gross $/Hour],EarningsPerDay[Week '#], EarningsPerDay[[#This Row],[Week '#]], EarningsPerDay[DOW], EarningsPerDay[[#This Row],[DOW]])</f>
        <v>26.303037502761384</v>
      </c>
      <c r="AC108" s="11">
        <f>EarningsPerDay[[#This Row],[Gross $/Hour]] - EarningsPerDay[[#This Row],[Weekly Average Earnings]]</f>
        <v>5.0621798885429676</v>
      </c>
      <c r="AD108" s="11">
        <f>(SUMIFS(EarningsPerDay[Gross Earnings], EarningsPerDay[Date],"&gt;="&amp;EarningsPerDay[[#This Row],[Date]]-89, EarningsPerDay[Date], "&lt;="&amp;EarningsPerDay[[#This Row],[Date]]))/90</f>
        <v>14.452333333333332</v>
      </c>
      <c r="AE108" s="11"/>
      <c r="AH108" s="11"/>
      <c r="AI108" s="11"/>
    </row>
    <row r="109" spans="1:35" x14ac:dyDescent="0.35">
      <c r="B109" s="40">
        <v>44632</v>
      </c>
      <c r="C109" s="40">
        <f t="shared" si="19"/>
        <v>44632</v>
      </c>
      <c r="D109" s="4">
        <f>IF(EarningsPerDay[[#This Row],[Week '#]]&gt;=52,YEAR(EarningsPerDay[[#This Row],[Date]])-1,YEAR(EarningsPerDay[[#This Row],[Date]]))</f>
        <v>2022</v>
      </c>
      <c r="E109" s="4" t="str">
        <f>"QTR"&amp;IF(EarningsPerDay[[#This Row],[Week '#]] &lt;= 13, 1, IF(EarningsPerDay[[#This Row],[Week '#]] &lt;= 26, 2, IF(EarningsPerDay[[#This Row],[Week '#]] &lt;= 39, 3, 4)))</f>
        <v>QTR1</v>
      </c>
      <c r="F1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09" s="4">
        <f>IF(WEEKNUM(EarningsPerDay[[#This Row],[Date]], 2) = 53, 1, WEEKNUM(EarningsPerDay[[#This Row],[Date]],2))</f>
        <v>11</v>
      </c>
      <c r="H109" s="40" t="str">
        <f t="shared" si="20"/>
        <v>Saturday</v>
      </c>
      <c r="I109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109" s="40" t="str" cm="1">
        <f t="array" ref="J109">IFERROR(VLOOKUP(MODE(IF(Combined[Date]=EarningsPerDay[[#This Row],[Date]],Combined[Area '#])),KPIs!$B$4:$C$7,2,FALSE),VLOOKUP(EarningsPerDay[[#This Row],[Date]],Combined[[Date]:[Primary Area]],8,FALSE))</f>
        <v>Brunswick/Bath/Freeport</v>
      </c>
      <c r="K109" s="40" t="str">
        <f>_xlfn.XLOOKUP(EarningsPerDay[[#This Row],[Date]],Mileage[Date],Mileage[Weather])</f>
        <v>Partially Cloudy</v>
      </c>
      <c r="L109" s="4">
        <f>_xlfn.XLOOKUP(EarningsPerDay[[#This Row],[Date]],Mileage[Date],Mileage[Hi Temp])</f>
        <v>22.8</v>
      </c>
      <c r="M109" s="12">
        <f>_xlfn.XLOOKUP(EarningsPerDay[[#This Row],[Date]],Mileage[Date],Mileage[Total Time])</f>
        <v>4.5</v>
      </c>
      <c r="N109" s="4">
        <f>_xlfn.XLOOKUP(EarningsPerDay[[#This Row],[Date]],Mileage[Date],Mileage[Mileage])</f>
        <v>115.60000000000001</v>
      </c>
      <c r="O109" s="4">
        <f>SUMIF(Combined[Date],EarningsPerDay[[#This Row],[Date]],Combined[Trips])</f>
        <v>11</v>
      </c>
      <c r="P109">
        <f>COUNTIF(Combined[Date],EarningsPerDay[[#This Row],[Date]])</f>
        <v>2</v>
      </c>
      <c r="Q1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09" s="11">
        <f>SUMIF(Combined[Date],EarningsPerDay[[#This Row],[Date]],Combined[Earnings])</f>
        <v>145.13999999999999</v>
      </c>
      <c r="S109" s="11">
        <f ca="1">EarningsPerDay[[#This Row],[Gross Earnings]]-(EarningsPerDay[[#This Row],[Miles]]*CpM!$D$11)</f>
        <v>119.36431049217038</v>
      </c>
      <c r="T109" s="11">
        <f t="shared" si="21"/>
        <v>32.25333333333333</v>
      </c>
      <c r="U109" s="11">
        <f t="shared" ca="1" si="22"/>
        <v>26.525402331593416</v>
      </c>
      <c r="V109" s="11">
        <f>EarningsPerDay[[#This Row],[Gross Earnings]]/EarningsPerDay[[#This Row],[Deliveries]]</f>
        <v>13.194545454545453</v>
      </c>
      <c r="W109" s="11">
        <f>EarningsPerDay[[#This Row],[Gross Earnings]]/EarningsPerDay[[#This Row],[Miles]]</f>
        <v>1.2555363321799307</v>
      </c>
      <c r="X109" s="71">
        <f>EarningsPerDay[[#This Row],[Deliveries]]/EarningsPerDay[[#This Row],[Hours]]</f>
        <v>2.4444444444444446</v>
      </c>
      <c r="Y109" s="71">
        <f>EarningsPerDay[[#This Row],[Miles]]/EarningsPerDay[[#This Row],[Deliveries]]</f>
        <v>10.50909090909091</v>
      </c>
      <c r="Z109" s="81">
        <f>(EarningsPerDay[[#This Row],[Hours]]/EarningsPerDay[[#This Row],[Deliveries]])/24</f>
        <v>1.7045454545454548E-2</v>
      </c>
      <c r="AA1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4.1889080877261655</v>
      </c>
      <c r="AB109" s="11">
        <f>AVERAGEIFS(EarningsPerDay[Gross $/Hour],EarningsPerDay[Week '#], EarningsPerDay[[#This Row],[Week '#]], EarningsPerDay[DOW], EarningsPerDay[[#This Row],[DOW]])</f>
        <v>24.294742211193824</v>
      </c>
      <c r="AC109" s="11">
        <f>EarningsPerDay[[#This Row],[Gross $/Hour]] - EarningsPerDay[[#This Row],[Weekly Average Earnings]]</f>
        <v>7.9585911221395058</v>
      </c>
      <c r="AD109" s="11">
        <f>(SUMIFS(EarningsPerDay[Gross Earnings], EarningsPerDay[Date],"&gt;="&amp;EarningsPerDay[[#This Row],[Date]]-89, EarningsPerDay[Date], "&lt;="&amp;EarningsPerDay[[#This Row],[Date]]))/90</f>
        <v>14.85</v>
      </c>
      <c r="AE109" s="11"/>
      <c r="AH109" s="11"/>
      <c r="AI109" s="11"/>
    </row>
    <row r="110" spans="1:35" x14ac:dyDescent="0.35">
      <c r="B110" s="40">
        <v>44634</v>
      </c>
      <c r="C110" s="40">
        <f t="shared" si="19"/>
        <v>44634</v>
      </c>
      <c r="D110" s="4">
        <f>IF(EarningsPerDay[[#This Row],[Week '#]]&gt;=52,YEAR(EarningsPerDay[[#This Row],[Date]])-1,YEAR(EarningsPerDay[[#This Row],[Date]]))</f>
        <v>2022</v>
      </c>
      <c r="E110" s="4" t="str">
        <f>"QTR"&amp;IF(EarningsPerDay[[#This Row],[Week '#]] &lt;= 13, 1, IF(EarningsPerDay[[#This Row],[Week '#]] &lt;= 26, 2, IF(EarningsPerDay[[#This Row],[Week '#]] &lt;= 39, 3, 4)))</f>
        <v>QTR1</v>
      </c>
      <c r="F1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10" s="4">
        <f>IF(WEEKNUM(EarningsPerDay[[#This Row],[Date]], 2) = 53, 1, WEEKNUM(EarningsPerDay[[#This Row],[Date]],2))</f>
        <v>12</v>
      </c>
      <c r="H110" s="40" t="str">
        <f t="shared" si="20"/>
        <v>Monday</v>
      </c>
      <c r="I11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10" s="40" t="str" cm="1">
        <f t="array" ref="J110">IFERROR(VLOOKUP(MODE(IF(Combined[Date]=EarningsPerDay[[#This Row],[Date]],Combined[Area '#])),KPIs!$B$4:$C$7,2,FALSE),VLOOKUP(EarningsPerDay[[#This Row],[Date]],Combined[[Date]:[Primary Area]],8,FALSE))</f>
        <v>Brunswick/Bath/Freeport</v>
      </c>
      <c r="K110" s="40" t="str">
        <f>_xlfn.XLOOKUP(EarningsPerDay[[#This Row],[Date]],Mileage[Date],Mileage[Weather])</f>
        <v>Rain</v>
      </c>
      <c r="L110" s="4">
        <f>_xlfn.XLOOKUP(EarningsPerDay[[#This Row],[Date]],Mileage[Date],Mileage[Hi Temp])</f>
        <v>49</v>
      </c>
      <c r="M110" s="12">
        <f>_xlfn.XLOOKUP(EarningsPerDay[[#This Row],[Date]],Mileage[Date],Mileage[Total Time])</f>
        <v>4.8</v>
      </c>
      <c r="N110" s="4">
        <f>_xlfn.XLOOKUP(EarningsPerDay[[#This Row],[Date]],Mileage[Date],Mileage[Mileage])</f>
        <v>86</v>
      </c>
      <c r="O110" s="4">
        <f>SUMIF(Combined[Date],EarningsPerDay[[#This Row],[Date]],Combined[Trips])</f>
        <v>11</v>
      </c>
      <c r="P110">
        <f>COUNTIF(Combined[Date],EarningsPerDay[[#This Row],[Date]])</f>
        <v>2</v>
      </c>
      <c r="Q1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0" s="11">
        <f>SUMIF(Combined[Date],EarningsPerDay[[#This Row],[Date]],Combined[Earnings])</f>
        <v>88.67</v>
      </c>
      <c r="S110" s="11">
        <f ca="1">EarningsPerDay[[#This Row],[Gross Earnings]]-(EarningsPerDay[[#This Row],[Miles]]*CpM!$D$11)</f>
        <v>69.494314033967598</v>
      </c>
      <c r="T110" s="11">
        <f t="shared" si="21"/>
        <v>18.472916666666666</v>
      </c>
      <c r="U110" s="11">
        <f t="shared" ca="1" si="22"/>
        <v>14.477982090409917</v>
      </c>
      <c r="V110" s="11">
        <f>EarningsPerDay[[#This Row],[Gross Earnings]]/EarningsPerDay[[#This Row],[Deliveries]]</f>
        <v>8.0609090909090906</v>
      </c>
      <c r="W110" s="11">
        <f>EarningsPerDay[[#This Row],[Gross Earnings]]/EarningsPerDay[[#This Row],[Miles]]</f>
        <v>1.0310465116279071</v>
      </c>
      <c r="X110" s="71">
        <f>EarningsPerDay[[#This Row],[Deliveries]]/EarningsPerDay[[#This Row],[Hours]]</f>
        <v>2.291666666666667</v>
      </c>
      <c r="Y110" s="71">
        <f>EarningsPerDay[[#This Row],[Miles]]/EarningsPerDay[[#This Row],[Deliveries]]</f>
        <v>7.8181818181818183</v>
      </c>
      <c r="Z110" s="81">
        <f>(EarningsPerDay[[#This Row],[Hours]]/EarningsPerDay[[#This Row],[Deliveries]])/24</f>
        <v>1.8181818181818181E-2</v>
      </c>
      <c r="AA1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-8.5226088143251637</v>
      </c>
      <c r="AB110" s="11">
        <f>AVERAGEIFS(EarningsPerDay[Gross $/Hour],EarningsPerDay[Week '#], EarningsPerDay[[#This Row],[Week '#]], EarningsPerDay[DOW], EarningsPerDay[[#This Row],[DOW]])</f>
        <v>22.127564587674119</v>
      </c>
      <c r="AC110" s="11">
        <f>EarningsPerDay[[#This Row],[Gross $/Hour]] - EarningsPerDay[[#This Row],[Weekly Average Earnings]]</f>
        <v>-3.6546479210074523</v>
      </c>
      <c r="AD110" s="11">
        <f>(SUMIFS(EarningsPerDay[Gross Earnings], EarningsPerDay[Date],"&gt;="&amp;EarningsPerDay[[#This Row],[Date]]-89, EarningsPerDay[Date], "&lt;="&amp;EarningsPerDay[[#This Row],[Date]]))/90</f>
        <v>15.835222222222223</v>
      </c>
      <c r="AE110" s="11"/>
      <c r="AH110" s="11"/>
      <c r="AI110" s="11"/>
    </row>
    <row r="111" spans="1:35" x14ac:dyDescent="0.35">
      <c r="B111" s="40">
        <v>44639</v>
      </c>
      <c r="C111" s="40">
        <f t="shared" ref="C111:C174" si="23">B111</f>
        <v>44639</v>
      </c>
      <c r="D111" s="4">
        <f>IF(EarningsPerDay[[#This Row],[Week '#]]&gt;=52,YEAR(EarningsPerDay[[#This Row],[Date]])-1,YEAR(EarningsPerDay[[#This Row],[Date]]))</f>
        <v>2022</v>
      </c>
      <c r="E111" s="4" t="str">
        <f>"QTR"&amp;IF(EarningsPerDay[[#This Row],[Week '#]] &lt;= 13, 1, IF(EarningsPerDay[[#This Row],[Week '#]] &lt;= 26, 2, IF(EarningsPerDay[[#This Row],[Week '#]] &lt;= 39, 3, 4)))</f>
        <v>QTR1</v>
      </c>
      <c r="F1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11" s="4">
        <f>IF(WEEKNUM(EarningsPerDay[[#This Row],[Date]], 2) = 53, 1, WEEKNUM(EarningsPerDay[[#This Row],[Date]],2))</f>
        <v>12</v>
      </c>
      <c r="H111" s="40" t="str">
        <f t="shared" ref="H111:H174" si="24">TEXT(B111,"DDDD")</f>
        <v>Saturday</v>
      </c>
      <c r="I111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111" s="40" t="str" cm="1">
        <f t="array" ref="J111">IFERROR(VLOOKUP(MODE(IF(Combined[Date]=EarningsPerDay[[#This Row],[Date]],Combined[Area '#])),KPIs!$B$4:$C$7,2,FALSE),VLOOKUP(EarningsPerDay[[#This Row],[Date]],Combined[[Date]:[Primary Area]],8,FALSE))</f>
        <v>Brunswick/Bath/Freeport</v>
      </c>
      <c r="K111" s="40" t="str">
        <f>_xlfn.XLOOKUP(EarningsPerDay[[#This Row],[Date]],Mileage[Date],Mileage[Weather])</f>
        <v>Rain</v>
      </c>
      <c r="L111" s="4">
        <f>_xlfn.XLOOKUP(EarningsPerDay[[#This Row],[Date]],Mileage[Date],Mileage[Hi Temp])</f>
        <v>49.1</v>
      </c>
      <c r="M111" s="12">
        <f>_xlfn.XLOOKUP(EarningsPerDay[[#This Row],[Date]],Mileage[Date],Mileage[Total Time])</f>
        <v>8.8000000000000007</v>
      </c>
      <c r="N111" s="4">
        <f>_xlfn.XLOOKUP(EarningsPerDay[[#This Row],[Date]],Mileage[Date],Mileage[Mileage])</f>
        <v>176</v>
      </c>
      <c r="O111" s="4">
        <f>SUMIF(Combined[Date],EarningsPerDay[[#This Row],[Date]],Combined[Trips])</f>
        <v>23</v>
      </c>
      <c r="P111">
        <f>COUNTIF(Combined[Date],EarningsPerDay[[#This Row],[Date]])</f>
        <v>4</v>
      </c>
      <c r="Q11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1" s="11">
        <f>SUMIF(Combined[Date],EarningsPerDay[[#This Row],[Date]],Combined[Earnings])</f>
        <v>222.43</v>
      </c>
      <c r="S111" s="11">
        <f ca="1">EarningsPerDay[[#This Row],[Gross Earnings]]-(EarningsPerDay[[#This Row],[Miles]]*CpM!$D$11)</f>
        <v>183.18673569742205</v>
      </c>
      <c r="T111" s="11">
        <f t="shared" si="21"/>
        <v>25.276136363636361</v>
      </c>
      <c r="U111" s="11">
        <f t="shared" ca="1" si="22"/>
        <v>20.816674511070687</v>
      </c>
      <c r="V111" s="11">
        <f>EarningsPerDay[[#This Row],[Gross Earnings]]/EarningsPerDay[[#This Row],[Deliveries]]</f>
        <v>9.6708695652173908</v>
      </c>
      <c r="W111" s="11">
        <f>EarningsPerDay[[#This Row],[Gross Earnings]]/EarningsPerDay[[#This Row],[Miles]]</f>
        <v>1.2638068181818183</v>
      </c>
      <c r="X111" s="71">
        <f>EarningsPerDay[[#This Row],[Deliveries]]/EarningsPerDay[[#This Row],[Hours]]</f>
        <v>2.6136363636363633</v>
      </c>
      <c r="Y111" s="71">
        <f>EarningsPerDay[[#This Row],[Miles]]/EarningsPerDay[[#This Row],[Deliveries]]</f>
        <v>7.6521739130434785</v>
      </c>
      <c r="Z111" s="81">
        <f>(EarningsPerDay[[#This Row],[Hours]]/EarningsPerDay[[#This Row],[Deliveries]])/24</f>
        <v>1.5942028985507246E-2</v>
      </c>
      <c r="AA1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-3.6260704995160395</v>
      </c>
      <c r="AB111" s="11">
        <f>AVERAGEIFS(EarningsPerDay[Gross $/Hour],EarningsPerDay[Week '#], EarningsPerDay[[#This Row],[Week '#]], EarningsPerDay[DOW], EarningsPerDay[[#This Row],[DOW]])</f>
        <v>21.037978186413866</v>
      </c>
      <c r="AC111" s="11">
        <f>EarningsPerDay[[#This Row],[Gross $/Hour]] - EarningsPerDay[[#This Row],[Weekly Average Earnings]]</f>
        <v>4.2381581772224948</v>
      </c>
      <c r="AD111" s="11">
        <f>(SUMIFS(EarningsPerDay[Gross Earnings], EarningsPerDay[Date],"&gt;="&amp;EarningsPerDay[[#This Row],[Date]]-89, EarningsPerDay[Date], "&lt;="&amp;EarningsPerDay[[#This Row],[Date]]))/90</f>
        <v>17.422777777777782</v>
      </c>
      <c r="AE111" s="11"/>
      <c r="AH111" s="11"/>
      <c r="AI111" s="11"/>
    </row>
    <row r="112" spans="1:35" x14ac:dyDescent="0.35">
      <c r="B112" s="40">
        <v>44640</v>
      </c>
      <c r="C112" s="40">
        <f t="shared" si="23"/>
        <v>44640</v>
      </c>
      <c r="D112" s="4">
        <f>IF(EarningsPerDay[[#This Row],[Week '#]]&gt;=52,YEAR(EarningsPerDay[[#This Row],[Date]])-1,YEAR(EarningsPerDay[[#This Row],[Date]]))</f>
        <v>2022</v>
      </c>
      <c r="E112" s="4" t="str">
        <f>"QTR"&amp;IF(EarningsPerDay[[#This Row],[Week '#]] &lt;= 13, 1, IF(EarningsPerDay[[#This Row],[Week '#]] &lt;= 26, 2, IF(EarningsPerDay[[#This Row],[Week '#]] &lt;= 39, 3, 4)))</f>
        <v>QTR1</v>
      </c>
      <c r="F1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12" s="4">
        <f>IF(WEEKNUM(EarningsPerDay[[#This Row],[Date]], 2) = 53, 1, WEEKNUM(EarningsPerDay[[#This Row],[Date]],2))</f>
        <v>12</v>
      </c>
      <c r="H112" s="40" t="str">
        <f t="shared" si="24"/>
        <v>Sunday</v>
      </c>
      <c r="I112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112" s="40" t="str" cm="1">
        <f t="array" ref="J112">IFERROR(VLOOKUP(MODE(IF(Combined[Date]=EarningsPerDay[[#This Row],[Date]],Combined[Area '#])),KPIs!$B$4:$C$7,2,FALSE),VLOOKUP(EarningsPerDay[[#This Row],[Date]],Combined[[Date]:[Primary Area]],8,FALSE))</f>
        <v>Brunswick/Bath/Freeport</v>
      </c>
      <c r="K112" s="40" t="str">
        <f>_xlfn.XLOOKUP(EarningsPerDay[[#This Row],[Date]],Mileage[Date],Mileage[Weather])</f>
        <v>Rain</v>
      </c>
      <c r="L112" s="4">
        <f>_xlfn.XLOOKUP(EarningsPerDay[[#This Row],[Date]],Mileage[Date],Mileage[Hi Temp])</f>
        <v>43.1</v>
      </c>
      <c r="M112" s="12">
        <f>_xlfn.XLOOKUP(EarningsPerDay[[#This Row],[Date]],Mileage[Date],Mileage[Total Time])</f>
        <v>4</v>
      </c>
      <c r="N112" s="4">
        <f>_xlfn.XLOOKUP(EarningsPerDay[[#This Row],[Date]],Mileage[Date],Mileage[Mileage])</f>
        <v>80</v>
      </c>
      <c r="O112" s="4">
        <f>SUMIF(Combined[Date],EarningsPerDay[[#This Row],[Date]],Combined[Trips])</f>
        <v>13</v>
      </c>
      <c r="P112">
        <f>COUNTIF(Combined[Date],EarningsPerDay[[#This Row],[Date]])</f>
        <v>2</v>
      </c>
      <c r="Q1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2" s="11">
        <f>SUMIF(Combined[Date],EarningsPerDay[[#This Row],[Date]],Combined[Earnings])</f>
        <v>110.7</v>
      </c>
      <c r="S112" s="11">
        <f ca="1">EarningsPerDay[[#This Row],[Gross Earnings]]-(EarningsPerDay[[#This Row],[Miles]]*CpM!$D$11)</f>
        <v>92.862152589737292</v>
      </c>
      <c r="T112" s="11">
        <f t="shared" si="21"/>
        <v>27.675000000000001</v>
      </c>
      <c r="U112" s="11">
        <f t="shared" ca="1" si="22"/>
        <v>23.215538147434323</v>
      </c>
      <c r="V112" s="11">
        <f>EarningsPerDay[[#This Row],[Gross Earnings]]/EarningsPerDay[[#This Row],[Deliveries]]</f>
        <v>8.5153846153846153</v>
      </c>
      <c r="W112" s="11">
        <f>EarningsPerDay[[#This Row],[Gross Earnings]]/EarningsPerDay[[#This Row],[Miles]]</f>
        <v>1.38375</v>
      </c>
      <c r="X112" s="71">
        <f>EarningsPerDay[[#This Row],[Deliveries]]/EarningsPerDay[[#This Row],[Hours]]</f>
        <v>3.25</v>
      </c>
      <c r="Y112" s="71">
        <f>EarningsPerDay[[#This Row],[Miles]]/EarningsPerDay[[#This Row],[Deliveries]]</f>
        <v>6.1538461538461542</v>
      </c>
      <c r="Z112" s="81">
        <f>(EarningsPerDay[[#This Row],[Hours]]/EarningsPerDay[[#This Row],[Deliveries]])/24</f>
        <v>1.2820512820512822E-2</v>
      </c>
      <c r="AA1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3.8204695652173903</v>
      </c>
      <c r="AB112" s="11">
        <f>AVERAGEIFS(EarningsPerDay[Gross $/Hour],EarningsPerDay[Week '#], EarningsPerDay[[#This Row],[Week '#]], EarningsPerDay[DOW], EarningsPerDay[[#This Row],[DOW]])</f>
        <v>23.040660270880359</v>
      </c>
      <c r="AC112" s="11">
        <f>EarningsPerDay[[#This Row],[Gross $/Hour]] - EarningsPerDay[[#This Row],[Weekly Average Earnings]]</f>
        <v>4.6343397291196418</v>
      </c>
      <c r="AD112" s="11">
        <f>(SUMIFS(EarningsPerDay[Gross Earnings], EarningsPerDay[Date],"&gt;="&amp;EarningsPerDay[[#This Row],[Date]]-89, EarningsPerDay[Date], "&lt;="&amp;EarningsPerDay[[#This Row],[Date]]))/90</f>
        <v>18.652777777777782</v>
      </c>
      <c r="AE112" s="11"/>
      <c r="AH112" s="11"/>
      <c r="AI112" s="11"/>
    </row>
    <row r="113" spans="2:35" x14ac:dyDescent="0.35">
      <c r="B113" s="40">
        <v>44644</v>
      </c>
      <c r="C113" s="40">
        <f t="shared" si="23"/>
        <v>44644</v>
      </c>
      <c r="D113" s="4">
        <f>IF(EarningsPerDay[[#This Row],[Week '#]]&gt;=52,YEAR(EarningsPerDay[[#This Row],[Date]])-1,YEAR(EarningsPerDay[[#This Row],[Date]]))</f>
        <v>2022</v>
      </c>
      <c r="E113" s="4" t="str">
        <f>"QTR"&amp;IF(EarningsPerDay[[#This Row],[Week '#]] &lt;= 13, 1, IF(EarningsPerDay[[#This Row],[Week '#]] &lt;= 26, 2, IF(EarningsPerDay[[#This Row],[Week '#]] &lt;= 39, 3, 4)))</f>
        <v>QTR1</v>
      </c>
      <c r="F1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13" s="4">
        <f>IF(WEEKNUM(EarningsPerDay[[#This Row],[Date]], 2) = 53, 1, WEEKNUM(EarningsPerDay[[#This Row],[Date]],2))</f>
        <v>13</v>
      </c>
      <c r="H113" s="40" t="str">
        <f t="shared" si="24"/>
        <v>Thursday</v>
      </c>
      <c r="I113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113" s="40" t="str" cm="1">
        <f t="array" ref="J113">IFERROR(VLOOKUP(MODE(IF(Combined[Date]=EarningsPerDay[[#This Row],[Date]],Combined[Area '#])),KPIs!$B$4:$C$7,2,FALSE),VLOOKUP(EarningsPerDay[[#This Row],[Date]],Combined[[Date]:[Primary Area]],8,FALSE))</f>
        <v>Brunswick/Bath/Freeport</v>
      </c>
      <c r="K113" s="40" t="str">
        <f>_xlfn.XLOOKUP(EarningsPerDay[[#This Row],[Date]],Mileage[Date],Mileage[Weather])</f>
        <v>Rain</v>
      </c>
      <c r="L113" s="4">
        <f>_xlfn.XLOOKUP(EarningsPerDay[[#This Row],[Date]],Mileage[Date],Mileage[Hi Temp])</f>
        <v>53</v>
      </c>
      <c r="M113" s="12">
        <f>_xlfn.XLOOKUP(EarningsPerDay[[#This Row],[Date]],Mileage[Date],Mileage[Total Time])</f>
        <v>1.1000000000000001</v>
      </c>
      <c r="N113" s="4">
        <f>_xlfn.XLOOKUP(EarningsPerDay[[#This Row],[Date]],Mileage[Date],Mileage[Mileage])</f>
        <v>36.5</v>
      </c>
      <c r="O113" s="4">
        <f>SUMIF(Combined[Date],EarningsPerDay[[#This Row],[Date]],Combined[Trips])</f>
        <v>2</v>
      </c>
      <c r="P113">
        <f>COUNTIF(Combined[Date],EarningsPerDay[[#This Row],[Date]])</f>
        <v>1</v>
      </c>
      <c r="Q1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3" s="11">
        <f>SUMIF(Combined[Date],EarningsPerDay[[#This Row],[Date]],Combined[Earnings])</f>
        <v>26.25</v>
      </c>
      <c r="S113" s="11">
        <f ca="1">EarningsPerDay[[#This Row],[Gross Earnings]]-(EarningsPerDay[[#This Row],[Miles]]*CpM!$D$11)</f>
        <v>18.111482119067638</v>
      </c>
      <c r="T113" s="11">
        <f t="shared" si="21"/>
        <v>23.863636363636363</v>
      </c>
      <c r="U113" s="11">
        <f t="shared" ca="1" si="22"/>
        <v>16.464983744606943</v>
      </c>
      <c r="V113" s="11">
        <f>EarningsPerDay[[#This Row],[Gross Earnings]]/EarningsPerDay[[#This Row],[Deliveries]]</f>
        <v>13.125</v>
      </c>
      <c r="W113" s="11">
        <f>EarningsPerDay[[#This Row],[Gross Earnings]]/EarningsPerDay[[#This Row],[Miles]]</f>
        <v>0.71917808219178081</v>
      </c>
      <c r="X113" s="71">
        <f>EarningsPerDay[[#This Row],[Deliveries]]/EarningsPerDay[[#This Row],[Hours]]</f>
        <v>1.8181818181818181</v>
      </c>
      <c r="Y113" s="71">
        <f>EarningsPerDay[[#This Row],[Miles]]/EarningsPerDay[[#This Row],[Deliveries]]</f>
        <v>18.25</v>
      </c>
      <c r="Z113" s="81">
        <f>(EarningsPerDay[[#This Row],[Hours]]/EarningsPerDay[[#This Row],[Deliveries]])/24</f>
        <v>2.2916666666666669E-2</v>
      </c>
      <c r="AA1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1.5076363636363617</v>
      </c>
      <c r="AB113" s="11">
        <f>AVERAGEIFS(EarningsPerDay[Gross $/Hour],EarningsPerDay[Week '#], EarningsPerDay[[#This Row],[Week '#]], EarningsPerDay[DOW], EarningsPerDay[[#This Row],[DOW]])</f>
        <v>22.100489612644736</v>
      </c>
      <c r="AC113" s="11">
        <f>EarningsPerDay[[#This Row],[Gross $/Hour]] - EarningsPerDay[[#This Row],[Weekly Average Earnings]]</f>
        <v>1.763146750991627</v>
      </c>
      <c r="AD113" s="11">
        <f>(SUMIFS(EarningsPerDay[Gross Earnings], EarningsPerDay[Date],"&gt;="&amp;EarningsPerDay[[#This Row],[Date]]-89, EarningsPerDay[Date], "&lt;="&amp;EarningsPerDay[[#This Row],[Date]]))/90</f>
        <v>18.94444444444445</v>
      </c>
      <c r="AE113" s="11"/>
      <c r="AH113" s="11"/>
      <c r="AI113" s="11"/>
    </row>
    <row r="114" spans="2:35" x14ac:dyDescent="0.35">
      <c r="B114" s="40">
        <v>44645</v>
      </c>
      <c r="C114" s="40">
        <f t="shared" si="23"/>
        <v>44645</v>
      </c>
      <c r="D114" s="4">
        <f>IF(EarningsPerDay[[#This Row],[Week '#]]&gt;=52,YEAR(EarningsPerDay[[#This Row],[Date]])-1,YEAR(EarningsPerDay[[#This Row],[Date]]))</f>
        <v>2022</v>
      </c>
      <c r="E114" s="4" t="str">
        <f>"QTR"&amp;IF(EarningsPerDay[[#This Row],[Week '#]] &lt;= 13, 1, IF(EarningsPerDay[[#This Row],[Week '#]] &lt;= 26, 2, IF(EarningsPerDay[[#This Row],[Week '#]] &lt;= 39, 3, 4)))</f>
        <v>QTR1</v>
      </c>
      <c r="F1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14" s="4">
        <f>IF(WEEKNUM(EarningsPerDay[[#This Row],[Date]], 2) = 53, 1, WEEKNUM(EarningsPerDay[[#This Row],[Date]],2))</f>
        <v>13</v>
      </c>
      <c r="H114" s="40" t="str">
        <f t="shared" si="24"/>
        <v>Friday</v>
      </c>
      <c r="I114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114" s="40" t="str" cm="1">
        <f t="array" ref="J114">IFERROR(VLOOKUP(MODE(IF(Combined[Date]=EarningsPerDay[[#This Row],[Date]],Combined[Area '#])),KPIs!$B$4:$C$7,2,FALSE),VLOOKUP(EarningsPerDay[[#This Row],[Date]],Combined[[Date]:[Primary Area]],8,FALSE))</f>
        <v>Portland</v>
      </c>
      <c r="K114" s="40" t="str">
        <f>_xlfn.XLOOKUP(EarningsPerDay[[#This Row],[Date]],Mileage[Date],Mileage[Weather])</f>
        <v>Rain</v>
      </c>
      <c r="L114" s="4">
        <f>_xlfn.XLOOKUP(EarningsPerDay[[#This Row],[Date]],Mileage[Date],Mileage[Hi Temp])</f>
        <v>48.4</v>
      </c>
      <c r="M114" s="12">
        <f>_xlfn.XLOOKUP(EarningsPerDay[[#This Row],[Date]],Mileage[Date],Mileage[Total Time])</f>
        <v>5.5</v>
      </c>
      <c r="N114" s="4">
        <f>_xlfn.XLOOKUP(EarningsPerDay[[#This Row],[Date]],Mileage[Date],Mileage[Mileage])</f>
        <v>95.800000000000011</v>
      </c>
      <c r="O114" s="4">
        <f>SUMIF(Combined[Date],EarningsPerDay[[#This Row],[Date]],Combined[Trips])</f>
        <v>15</v>
      </c>
      <c r="P114">
        <f>COUNTIF(Combined[Date],EarningsPerDay[[#This Row],[Date]])</f>
        <v>2</v>
      </c>
      <c r="Q1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4" s="11">
        <f>SUMIF(Combined[Date],EarningsPerDay[[#This Row],[Date]],Combined[Earnings])</f>
        <v>102.57</v>
      </c>
      <c r="S114" s="11">
        <f ca="1">EarningsPerDay[[#This Row],[Gross Earnings]]-(EarningsPerDay[[#This Row],[Miles]]*CpM!$D$11)</f>
        <v>81.209177726210399</v>
      </c>
      <c r="T114" s="11">
        <f t="shared" si="21"/>
        <v>18.649090909090908</v>
      </c>
      <c r="U114" s="11">
        <f t="shared" ca="1" si="22"/>
        <v>14.765305041129164</v>
      </c>
      <c r="V114" s="11">
        <f>EarningsPerDay[[#This Row],[Gross Earnings]]/EarningsPerDay[[#This Row],[Deliveries]]</f>
        <v>6.8379999999999992</v>
      </c>
      <c r="W114" s="11">
        <f>EarningsPerDay[[#This Row],[Gross Earnings]]/EarningsPerDay[[#This Row],[Miles]]</f>
        <v>1.0706680584551147</v>
      </c>
      <c r="X114" s="71">
        <f>EarningsPerDay[[#This Row],[Deliveries]]/EarningsPerDay[[#This Row],[Hours]]</f>
        <v>2.7272727272727271</v>
      </c>
      <c r="Y114" s="71">
        <f>EarningsPerDay[[#This Row],[Miles]]/EarningsPerDay[[#This Row],[Deliveries]]</f>
        <v>6.3866666666666676</v>
      </c>
      <c r="Z114" s="81">
        <f>(EarningsPerDay[[#This Row],[Hours]]/EarningsPerDay[[#This Row],[Deliveries]])/24</f>
        <v>1.5277777777777777E-2</v>
      </c>
      <c r="AA1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-5.6178919274041235</v>
      </c>
      <c r="AB114" s="11">
        <f>AVERAGEIFS(EarningsPerDay[Gross $/Hour],EarningsPerDay[Week '#], EarningsPerDay[[#This Row],[Week '#]], EarningsPerDay[DOW], EarningsPerDay[[#This Row],[DOW]])</f>
        <v>21.587544461558959</v>
      </c>
      <c r="AC114" s="11">
        <f>EarningsPerDay[[#This Row],[Gross $/Hour]] - EarningsPerDay[[#This Row],[Weekly Average Earnings]]</f>
        <v>-2.9384535524680508</v>
      </c>
      <c r="AD114" s="11">
        <f>(SUMIFS(EarningsPerDay[Gross Earnings], EarningsPerDay[Date],"&gt;="&amp;EarningsPerDay[[#This Row],[Date]]-89, EarningsPerDay[Date], "&lt;="&amp;EarningsPerDay[[#This Row],[Date]]))/90</f>
        <v>20.084111111111117</v>
      </c>
      <c r="AE114" s="11"/>
      <c r="AH114" s="11"/>
      <c r="AI114" s="11"/>
    </row>
    <row r="115" spans="2:35" x14ac:dyDescent="0.35">
      <c r="B115" s="40">
        <v>44646</v>
      </c>
      <c r="C115" s="40">
        <f t="shared" si="23"/>
        <v>44646</v>
      </c>
      <c r="D115" s="4">
        <f>IF(EarningsPerDay[[#This Row],[Week '#]]&gt;=52,YEAR(EarningsPerDay[[#This Row],[Date]])-1,YEAR(EarningsPerDay[[#This Row],[Date]]))</f>
        <v>2022</v>
      </c>
      <c r="E115" s="4" t="str">
        <f>"QTR"&amp;IF(EarningsPerDay[[#This Row],[Week '#]] &lt;= 13, 1, IF(EarningsPerDay[[#This Row],[Week '#]] &lt;= 26, 2, IF(EarningsPerDay[[#This Row],[Week '#]] &lt;= 39, 3, 4)))</f>
        <v>QTR1</v>
      </c>
      <c r="F1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15" s="4">
        <f>IF(WEEKNUM(EarningsPerDay[[#This Row],[Date]], 2) = 53, 1, WEEKNUM(EarningsPerDay[[#This Row],[Date]],2))</f>
        <v>13</v>
      </c>
      <c r="H115" s="40" t="str">
        <f t="shared" si="24"/>
        <v>Saturday</v>
      </c>
      <c r="I115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115" s="40" t="str" cm="1">
        <f t="array" ref="J115">IFERROR(VLOOKUP(MODE(IF(Combined[Date]=EarningsPerDay[[#This Row],[Date]],Combined[Area '#])),KPIs!$B$4:$C$7,2,FALSE),VLOOKUP(EarningsPerDay[[#This Row],[Date]],Combined[[Date]:[Primary Area]],8,FALSE))</f>
        <v>Brunswick/Bath/Freeport</v>
      </c>
      <c r="K115" s="40" t="str">
        <f>_xlfn.XLOOKUP(EarningsPerDay[[#This Row],[Date]],Mileage[Date],Mileage[Weather])</f>
        <v>Rain / Snow Mix</v>
      </c>
      <c r="L115" s="4">
        <f>_xlfn.XLOOKUP(EarningsPerDay[[#This Row],[Date]],Mileage[Date],Mileage[Hi Temp])</f>
        <v>46.8</v>
      </c>
      <c r="M115" s="12">
        <f>_xlfn.XLOOKUP(EarningsPerDay[[#This Row],[Date]],Mileage[Date],Mileage[Total Time])</f>
        <v>4.42</v>
      </c>
      <c r="N115" s="4">
        <f>_xlfn.XLOOKUP(EarningsPerDay[[#This Row],[Date]],Mileage[Date],Mileage[Mileage])</f>
        <v>111</v>
      </c>
      <c r="O115" s="4">
        <f>SUMIF(Combined[Date],EarningsPerDay[[#This Row],[Date]],Combined[Trips])</f>
        <v>9</v>
      </c>
      <c r="P115">
        <f>COUNTIF(Combined[Date],EarningsPerDay[[#This Row],[Date]])</f>
        <v>2</v>
      </c>
      <c r="Q1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5" s="11">
        <f>SUMIF(Combined[Date],EarningsPerDay[[#This Row],[Date]],Combined[Earnings])</f>
        <v>129.97</v>
      </c>
      <c r="S115" s="11">
        <f ca="1">EarningsPerDay[[#This Row],[Gross Earnings]]-(EarningsPerDay[[#This Row],[Miles]]*CpM!$D$11)</f>
        <v>105.21998671826049</v>
      </c>
      <c r="T115" s="11">
        <f t="shared" si="21"/>
        <v>29.404977375565611</v>
      </c>
      <c r="U115" s="11">
        <f t="shared" ca="1" si="22"/>
        <v>23.805426859334951</v>
      </c>
      <c r="V115" s="11">
        <f>EarningsPerDay[[#This Row],[Gross Earnings]]/EarningsPerDay[[#This Row],[Deliveries]]</f>
        <v>14.441111111111111</v>
      </c>
      <c r="W115" s="11">
        <f>EarningsPerDay[[#This Row],[Gross Earnings]]/EarningsPerDay[[#This Row],[Miles]]</f>
        <v>1.1709009009009008</v>
      </c>
      <c r="X115" s="71">
        <f>EarningsPerDay[[#This Row],[Deliveries]]/EarningsPerDay[[#This Row],[Hours]]</f>
        <v>2.0361990950226243</v>
      </c>
      <c r="Y115" s="71">
        <f>EarningsPerDay[[#This Row],[Miles]]/EarningsPerDay[[#This Row],[Deliveries]]</f>
        <v>12.333333333333334</v>
      </c>
      <c r="Z115" s="81">
        <f>(EarningsPerDay[[#This Row],[Hours]]/EarningsPerDay[[#This Row],[Deliveries]])/24</f>
        <v>2.0462962962962964E-2</v>
      </c>
      <c r="AA1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1.1071155956658814</v>
      </c>
      <c r="AB115" s="11">
        <f>AVERAGEIFS(EarningsPerDay[Gross $/Hour],EarningsPerDay[Week '#], EarningsPerDay[[#This Row],[Week '#]], EarningsPerDay[DOW], EarningsPerDay[[#This Row],[DOW]])</f>
        <v>30.297774755848877</v>
      </c>
      <c r="AC115" s="11">
        <f>EarningsPerDay[[#This Row],[Gross $/Hour]] - EarningsPerDay[[#This Row],[Weekly Average Earnings]]</f>
        <v>-0.89279738028326605</v>
      </c>
      <c r="AD115" s="11">
        <f>(SUMIFS(EarningsPerDay[Gross Earnings], EarningsPerDay[Date],"&gt;="&amp;EarningsPerDay[[#This Row],[Date]]-89, EarningsPerDay[Date], "&lt;="&amp;EarningsPerDay[[#This Row],[Date]]))/90</f>
        <v>21.528222222222226</v>
      </c>
      <c r="AE115" s="11"/>
      <c r="AH115" s="11"/>
      <c r="AI115" s="11"/>
    </row>
    <row r="116" spans="2:35" x14ac:dyDescent="0.35">
      <c r="B116" s="40">
        <v>44649</v>
      </c>
      <c r="C116" s="40">
        <f t="shared" si="23"/>
        <v>44649</v>
      </c>
      <c r="D116" s="4">
        <f>IF(EarningsPerDay[[#This Row],[Week '#]]&gt;=52,YEAR(EarningsPerDay[[#This Row],[Date]])-1,YEAR(EarningsPerDay[[#This Row],[Date]]))</f>
        <v>2022</v>
      </c>
      <c r="E116" s="4" t="str">
        <f>"QTR"&amp;IF(EarningsPerDay[[#This Row],[Week '#]] &lt;= 13, 1, IF(EarningsPerDay[[#This Row],[Week '#]] &lt;= 26, 2, IF(EarningsPerDay[[#This Row],[Week '#]] &lt;= 39, 3, 4)))</f>
        <v>QTR2</v>
      </c>
      <c r="F1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16" s="4">
        <f>IF(WEEKNUM(EarningsPerDay[[#This Row],[Date]], 2) = 53, 1, WEEKNUM(EarningsPerDay[[#This Row],[Date]],2))</f>
        <v>14</v>
      </c>
      <c r="H116" s="40" t="str">
        <f t="shared" si="24"/>
        <v>Tuesday</v>
      </c>
      <c r="I11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16" s="40" t="str" cm="1">
        <f t="array" ref="J116">IFERROR(VLOOKUP(MODE(IF(Combined[Date]=EarningsPerDay[[#This Row],[Date]],Combined[Area '#])),KPIs!$B$4:$C$7,2,FALSE),VLOOKUP(EarningsPerDay[[#This Row],[Date]],Combined[[Date]:[Primary Area]],8,FALSE))</f>
        <v>Brunswick/Bath/Freeport</v>
      </c>
      <c r="K116" s="40" t="str">
        <f>_xlfn.XLOOKUP(EarningsPerDay[[#This Row],[Date]],Mileage[Date],Mileage[Weather])</f>
        <v>Clear</v>
      </c>
      <c r="L116" s="4">
        <f>_xlfn.XLOOKUP(EarningsPerDay[[#This Row],[Date]],Mileage[Date],Mileage[Hi Temp])</f>
        <v>44.5</v>
      </c>
      <c r="M116" s="12">
        <f>_xlfn.XLOOKUP(EarningsPerDay[[#This Row],[Date]],Mileage[Date],Mileage[Total Time])</f>
        <v>1.7000000000000002</v>
      </c>
      <c r="N116" s="4">
        <f>_xlfn.XLOOKUP(EarningsPerDay[[#This Row],[Date]],Mileage[Date],Mileage[Mileage])</f>
        <v>37.799999999999997</v>
      </c>
      <c r="O116" s="4">
        <f>SUMIF(Combined[Date],EarningsPerDay[[#This Row],[Date]],Combined[Trips])</f>
        <v>4</v>
      </c>
      <c r="P116">
        <f>COUNTIF(Combined[Date],EarningsPerDay[[#This Row],[Date]])</f>
        <v>2</v>
      </c>
      <c r="Q1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6" s="11">
        <f>SUMIF(Combined[Date],EarningsPerDay[[#This Row],[Date]],Combined[Earnings])</f>
        <v>56.64</v>
      </c>
      <c r="S116" s="11">
        <f ca="1">EarningsPerDay[[#This Row],[Gross Earnings]]-(EarningsPerDay[[#This Row],[Miles]]*CpM!$D$11)</f>
        <v>48.211617098650876</v>
      </c>
      <c r="T116" s="11">
        <f t="shared" si="21"/>
        <v>33.317647058823525</v>
      </c>
      <c r="U116" s="11">
        <f t="shared" ca="1" si="22"/>
        <v>28.359774763912277</v>
      </c>
      <c r="V116" s="11">
        <f>EarningsPerDay[[#This Row],[Gross Earnings]]/EarningsPerDay[[#This Row],[Deliveries]]</f>
        <v>14.16</v>
      </c>
      <c r="W116" s="11">
        <f>EarningsPerDay[[#This Row],[Gross Earnings]]/EarningsPerDay[[#This Row],[Miles]]</f>
        <v>1.4984126984126986</v>
      </c>
      <c r="X116" s="71">
        <f>EarningsPerDay[[#This Row],[Deliveries]]/EarningsPerDay[[#This Row],[Hours]]</f>
        <v>2.3529411764705879</v>
      </c>
      <c r="Y116" s="71">
        <f>EarningsPerDay[[#This Row],[Miles]]/EarningsPerDay[[#This Row],[Deliveries]]</f>
        <v>9.4499999999999993</v>
      </c>
      <c r="Z116" s="81">
        <f>(EarningsPerDay[[#This Row],[Hours]]/EarningsPerDay[[#This Row],[Deliveries]])/24</f>
        <v>1.7708333333333336E-2</v>
      </c>
      <c r="AA1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14.890266106442574</v>
      </c>
      <c r="AB116" s="11">
        <f>AVERAGEIFS(EarningsPerDay[Gross $/Hour],EarningsPerDay[Week '#], EarningsPerDay[[#This Row],[Week '#]], EarningsPerDay[DOW], EarningsPerDay[[#This Row],[DOW]])</f>
        <v>27.133182503770737</v>
      </c>
      <c r="AC116" s="11">
        <f>EarningsPerDay[[#This Row],[Gross $/Hour]] - EarningsPerDay[[#This Row],[Weekly Average Earnings]]</f>
        <v>6.1844645550527879</v>
      </c>
      <c r="AD116" s="11">
        <f>(SUMIFS(EarningsPerDay[Gross Earnings], EarningsPerDay[Date],"&gt;="&amp;EarningsPerDay[[#This Row],[Date]]-89, EarningsPerDay[Date], "&lt;="&amp;EarningsPerDay[[#This Row],[Date]]))/90</f>
        <v>21.712555555555561</v>
      </c>
      <c r="AE116" s="11"/>
      <c r="AH116" s="11"/>
      <c r="AI116" s="11"/>
    </row>
    <row r="117" spans="2:35" x14ac:dyDescent="0.35">
      <c r="B117" s="40">
        <v>44651</v>
      </c>
      <c r="C117" s="40">
        <f t="shared" si="23"/>
        <v>44651</v>
      </c>
      <c r="D117" s="4">
        <f>IF(EarningsPerDay[[#This Row],[Week '#]]&gt;=52,YEAR(EarningsPerDay[[#This Row],[Date]])-1,YEAR(EarningsPerDay[[#This Row],[Date]]))</f>
        <v>2022</v>
      </c>
      <c r="E117" s="4" t="str">
        <f>"QTR"&amp;IF(EarningsPerDay[[#This Row],[Week '#]] &lt;= 13, 1, IF(EarningsPerDay[[#This Row],[Week '#]] &lt;= 26, 2, IF(EarningsPerDay[[#This Row],[Week '#]] &lt;= 39, 3, 4)))</f>
        <v>QTR2</v>
      </c>
      <c r="F1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17" s="4">
        <f>IF(WEEKNUM(EarningsPerDay[[#This Row],[Date]], 2) = 53, 1, WEEKNUM(EarningsPerDay[[#This Row],[Date]],2))</f>
        <v>14</v>
      </c>
      <c r="H117" s="40" t="str">
        <f t="shared" si="24"/>
        <v>Thursday</v>
      </c>
      <c r="I11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17" s="40" t="str" cm="1">
        <f t="array" ref="J117">IFERROR(VLOOKUP(MODE(IF(Combined[Date]=EarningsPerDay[[#This Row],[Date]],Combined[Area '#])),KPIs!$B$4:$C$7,2,FALSE),VLOOKUP(EarningsPerDay[[#This Row],[Date]],Combined[[Date]:[Primary Area]],8,FALSE))</f>
        <v>Brunswick/Bath/Freeport</v>
      </c>
      <c r="K117" s="40" t="str">
        <f>_xlfn.XLOOKUP(EarningsPerDay[[#This Row],[Date]],Mileage[Date],Mileage[Weather])</f>
        <v>Rain</v>
      </c>
      <c r="L117" s="4">
        <f>_xlfn.XLOOKUP(EarningsPerDay[[#This Row],[Date]],Mileage[Date],Mileage[Hi Temp])</f>
        <v>50.8</v>
      </c>
      <c r="M117" s="12">
        <f>_xlfn.XLOOKUP(EarningsPerDay[[#This Row],[Date]],Mileage[Date],Mileage[Total Time])</f>
        <v>3.5</v>
      </c>
      <c r="N117" s="4">
        <f>_xlfn.XLOOKUP(EarningsPerDay[[#This Row],[Date]],Mileage[Date],Mileage[Mileage])</f>
        <v>68</v>
      </c>
      <c r="O117" s="4">
        <f>SUMIF(Combined[Date],EarningsPerDay[[#This Row],[Date]],Combined[Trips])</f>
        <v>10</v>
      </c>
      <c r="P117">
        <f>COUNTIF(Combined[Date],EarningsPerDay[[#This Row],[Date]])</f>
        <v>1</v>
      </c>
      <c r="Q1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7" s="11">
        <f>SUMIF(Combined[Date],EarningsPerDay[[#This Row],[Date]],Combined[Earnings])</f>
        <v>71.25</v>
      </c>
      <c r="S117" s="11">
        <f ca="1">EarningsPerDay[[#This Row],[Gross Earnings]]-(EarningsPerDay[[#This Row],[Miles]]*CpM!$D$11)</f>
        <v>56.087829701276704</v>
      </c>
      <c r="T117" s="11">
        <f t="shared" si="21"/>
        <v>20.357142857142858</v>
      </c>
      <c r="U117" s="11">
        <f t="shared" ca="1" si="22"/>
        <v>16.025094200364773</v>
      </c>
      <c r="V117" s="11">
        <f>EarningsPerDay[[#This Row],[Gross Earnings]]/EarningsPerDay[[#This Row],[Deliveries]]</f>
        <v>7.125</v>
      </c>
      <c r="W117" s="11">
        <f>EarningsPerDay[[#This Row],[Gross Earnings]]/EarningsPerDay[[#This Row],[Miles]]</f>
        <v>1.0477941176470589</v>
      </c>
      <c r="X117" s="71">
        <f>EarningsPerDay[[#This Row],[Deliveries]]/EarningsPerDay[[#This Row],[Hours]]</f>
        <v>2.8571428571428572</v>
      </c>
      <c r="Y117" s="71">
        <f>EarningsPerDay[[#This Row],[Miles]]/EarningsPerDay[[#This Row],[Deliveries]]</f>
        <v>6.8</v>
      </c>
      <c r="Z117" s="81">
        <f>(EarningsPerDay[[#This Row],[Hours]]/EarningsPerDay[[#This Row],[Deliveries]])/24</f>
        <v>1.4583333333333332E-2</v>
      </c>
      <c r="AA1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-2.8248015873015895</v>
      </c>
      <c r="AB117" s="11">
        <f>AVERAGEIFS(EarningsPerDay[Gross $/Hour],EarningsPerDay[Week '#], EarningsPerDay[[#This Row],[Week '#]], EarningsPerDay[DOW], EarningsPerDay[[#This Row],[DOW]])</f>
        <v>20.685685249709643</v>
      </c>
      <c r="AC117" s="11">
        <f>EarningsPerDay[[#This Row],[Gross $/Hour]] - EarningsPerDay[[#This Row],[Weekly Average Earnings]]</f>
        <v>-0.32854239256678497</v>
      </c>
      <c r="AD117" s="11">
        <f>(SUMIFS(EarningsPerDay[Gross Earnings], EarningsPerDay[Date],"&gt;="&amp;EarningsPerDay[[#This Row],[Date]]-89, EarningsPerDay[Date], "&lt;="&amp;EarningsPerDay[[#This Row],[Date]]))/90</f>
        <v>20.835555555555558</v>
      </c>
      <c r="AE117" s="11"/>
      <c r="AH117" s="11"/>
      <c r="AI117" s="11"/>
    </row>
    <row r="118" spans="2:35" x14ac:dyDescent="0.35">
      <c r="B118" s="40">
        <v>44653</v>
      </c>
      <c r="C118" s="40">
        <f t="shared" si="23"/>
        <v>44653</v>
      </c>
      <c r="D118" s="4">
        <f>IF(EarningsPerDay[[#This Row],[Week '#]]&gt;=52,YEAR(EarningsPerDay[[#This Row],[Date]])-1,YEAR(EarningsPerDay[[#This Row],[Date]]))</f>
        <v>2022</v>
      </c>
      <c r="E118" s="4" t="str">
        <f>"QTR"&amp;IF(EarningsPerDay[[#This Row],[Week '#]] &lt;= 13, 1, IF(EarningsPerDay[[#This Row],[Week '#]] &lt;= 26, 2, IF(EarningsPerDay[[#This Row],[Week '#]] &lt;= 39, 3, 4)))</f>
        <v>QTR2</v>
      </c>
      <c r="F1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18" s="4">
        <f>IF(WEEKNUM(EarningsPerDay[[#This Row],[Date]], 2) = 53, 1, WEEKNUM(EarningsPerDay[[#This Row],[Date]],2))</f>
        <v>14</v>
      </c>
      <c r="H118" s="40" t="str">
        <f t="shared" si="24"/>
        <v>Saturday</v>
      </c>
      <c r="I118" s="106">
        <f>IF(_xlfn.XLOOKUP(EarningsPerDay[[#This Row],[Date]],Mileage[Date],Mileage[Start Time])="","",MROUND(_xlfn.XLOOKUP(EarningsPerDay[[#This Row],[Date]],Mileage[Date],Mileage[Start Time]),0.0208333333333333))</f>
        <v>0.43749999999999933</v>
      </c>
      <c r="J118" s="40" t="str" cm="1">
        <f t="array" ref="J118">IFERROR(VLOOKUP(MODE(IF(Combined[Date]=EarningsPerDay[[#This Row],[Date]],Combined[Area '#])),KPIs!$B$4:$C$7,2,FALSE),VLOOKUP(EarningsPerDay[[#This Row],[Date]],Combined[[Date]:[Primary Area]],8,FALSE))</f>
        <v>Brunswick/Bath/Freeport</v>
      </c>
      <c r="K118" s="40" t="str">
        <f>_xlfn.XLOOKUP(EarningsPerDay[[#This Row],[Date]],Mileage[Date],Mileage[Weather])</f>
        <v>Light Snow</v>
      </c>
      <c r="L118" s="4">
        <f>_xlfn.XLOOKUP(EarningsPerDay[[#This Row],[Date]],Mileage[Date],Mileage[Hi Temp])</f>
        <v>45.2</v>
      </c>
      <c r="M118" s="12">
        <f>_xlfn.XLOOKUP(EarningsPerDay[[#This Row],[Date]],Mileage[Date],Mileage[Total Time])</f>
        <v>3.5</v>
      </c>
      <c r="N118" s="4">
        <f>_xlfn.XLOOKUP(EarningsPerDay[[#This Row],[Date]],Mileage[Date],Mileage[Mileage])</f>
        <v>68</v>
      </c>
      <c r="O118" s="4">
        <f>SUMIF(Combined[Date],EarningsPerDay[[#This Row],[Date]],Combined[Trips])</f>
        <v>7</v>
      </c>
      <c r="P118">
        <f>COUNTIF(Combined[Date],EarningsPerDay[[#This Row],[Date]])</f>
        <v>2</v>
      </c>
      <c r="Q1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8" s="11">
        <f>SUMIF(Combined[Date],EarningsPerDay[[#This Row],[Date]],Combined[Earnings])</f>
        <v>75.069999999999993</v>
      </c>
      <c r="S118" s="11">
        <f ca="1">EarningsPerDay[[#This Row],[Gross Earnings]]-(EarningsPerDay[[#This Row],[Miles]]*CpM!$D$11)</f>
        <v>59.907829701276697</v>
      </c>
      <c r="T118" s="11">
        <f t="shared" si="21"/>
        <v>21.448571428571427</v>
      </c>
      <c r="U118" s="11">
        <f t="shared" ca="1" si="22"/>
        <v>17.116522771793342</v>
      </c>
      <c r="V118" s="11">
        <f>EarningsPerDay[[#This Row],[Gross Earnings]]/EarningsPerDay[[#This Row],[Deliveries]]</f>
        <v>10.724285714285713</v>
      </c>
      <c r="W118" s="11">
        <f>EarningsPerDay[[#This Row],[Gross Earnings]]/EarningsPerDay[[#This Row],[Miles]]</f>
        <v>1.1039705882352939</v>
      </c>
      <c r="X118" s="71">
        <f>EarningsPerDay[[#This Row],[Deliveries]]/EarningsPerDay[[#This Row],[Hours]]</f>
        <v>2</v>
      </c>
      <c r="Y118" s="71">
        <f>EarningsPerDay[[#This Row],[Miles]]/EarningsPerDay[[#This Row],[Deliveries]]</f>
        <v>9.7142857142857135</v>
      </c>
      <c r="Z118" s="81">
        <f>(EarningsPerDay[[#This Row],[Hours]]/EarningsPerDay[[#This Row],[Deliveries]])/24</f>
        <v>2.0833333333333332E-2</v>
      </c>
      <c r="AA1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-6.4899257086277622</v>
      </c>
      <c r="AB118" s="11">
        <f>AVERAGEIFS(EarningsPerDay[Gross $/Hour],EarningsPerDay[Week '#], EarningsPerDay[[#This Row],[Week '#]], EarningsPerDay[DOW], EarningsPerDay[[#This Row],[DOW]])</f>
        <v>21.691133638317044</v>
      </c>
      <c r="AC118" s="11">
        <f>EarningsPerDay[[#This Row],[Gross $/Hour]] - EarningsPerDay[[#This Row],[Weekly Average Earnings]]</f>
        <v>-0.24256220974561771</v>
      </c>
      <c r="AD118" s="11">
        <f>(SUMIFS(EarningsPerDay[Gross Earnings], EarningsPerDay[Date],"&gt;="&amp;EarningsPerDay[[#This Row],[Date]]-89, EarningsPerDay[Date], "&lt;="&amp;EarningsPerDay[[#This Row],[Date]]))/90</f>
        <v>21.669666666666668</v>
      </c>
      <c r="AE118" s="11"/>
      <c r="AH118" s="11"/>
      <c r="AI118" s="11"/>
    </row>
    <row r="119" spans="2:35" x14ac:dyDescent="0.35">
      <c r="B119" s="40">
        <v>44660</v>
      </c>
      <c r="C119" s="40">
        <f t="shared" si="23"/>
        <v>44660</v>
      </c>
      <c r="D119" s="4">
        <f>IF(EarningsPerDay[[#This Row],[Week '#]]&gt;=52,YEAR(EarningsPerDay[[#This Row],[Date]])-1,YEAR(EarningsPerDay[[#This Row],[Date]]))</f>
        <v>2022</v>
      </c>
      <c r="E119" s="4" t="str">
        <f>"QTR"&amp;IF(EarningsPerDay[[#This Row],[Week '#]] &lt;= 13, 1, IF(EarningsPerDay[[#This Row],[Week '#]] &lt;= 26, 2, IF(EarningsPerDay[[#This Row],[Week '#]] &lt;= 39, 3, 4)))</f>
        <v>QTR2</v>
      </c>
      <c r="F1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19" s="4">
        <f>IF(WEEKNUM(EarningsPerDay[[#This Row],[Date]], 2) = 53, 1, WEEKNUM(EarningsPerDay[[#This Row],[Date]],2))</f>
        <v>15</v>
      </c>
      <c r="H119" s="40" t="str">
        <f t="shared" si="24"/>
        <v>Saturday</v>
      </c>
      <c r="I11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19" s="40" t="str" cm="1">
        <f t="array" ref="J119">IFERROR(VLOOKUP(MODE(IF(Combined[Date]=EarningsPerDay[[#This Row],[Date]],Combined[Area '#])),KPIs!$B$4:$C$7,2,FALSE),VLOOKUP(EarningsPerDay[[#This Row],[Date]],Combined[[Date]:[Primary Area]],8,FALSE))</f>
        <v>Brunswick/Bath/Freeport</v>
      </c>
      <c r="K119" s="40" t="str">
        <f>_xlfn.XLOOKUP(EarningsPerDay[[#This Row],[Date]],Mileage[Date],Mileage[Weather])</f>
        <v>Rain</v>
      </c>
      <c r="L119" s="4">
        <f>_xlfn.XLOOKUP(EarningsPerDay[[#This Row],[Date]],Mileage[Date],Mileage[Hi Temp])</f>
        <v>54.5</v>
      </c>
      <c r="M119" s="12">
        <f>_xlfn.XLOOKUP(EarningsPerDay[[#This Row],[Date]],Mileage[Date],Mileage[Total Time])</f>
        <v>1.9</v>
      </c>
      <c r="N119" s="4">
        <f>_xlfn.XLOOKUP(EarningsPerDay[[#This Row],[Date]],Mileage[Date],Mileage[Mileage])</f>
        <v>49.5</v>
      </c>
      <c r="O119" s="4">
        <f>SUMIF(Combined[Date],EarningsPerDay[[#This Row],[Date]],Combined[Trips])</f>
        <v>8</v>
      </c>
      <c r="P119">
        <f>COUNTIF(Combined[Date],EarningsPerDay[[#This Row],[Date]])</f>
        <v>3</v>
      </c>
      <c r="Q1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19" s="11">
        <f>SUMIF(Combined[Date],EarningsPerDay[[#This Row],[Date]],Combined[Earnings])</f>
        <v>70.319999999999993</v>
      </c>
      <c r="S119" s="11">
        <f ca="1">EarningsPerDay[[#This Row],[Gross Earnings]]-(EarningsPerDay[[#This Row],[Miles]]*CpM!$D$11)</f>
        <v>59.282831914899944</v>
      </c>
      <c r="T119" s="11">
        <f t="shared" si="21"/>
        <v>37.01052631578947</v>
      </c>
      <c r="U119" s="11">
        <f t="shared" ca="1" si="22"/>
        <v>31.201490481526289</v>
      </c>
      <c r="V119" s="11">
        <f>EarningsPerDay[[#This Row],[Gross Earnings]]/EarningsPerDay[[#This Row],[Deliveries]]</f>
        <v>8.7899999999999991</v>
      </c>
      <c r="W119" s="11">
        <f>EarningsPerDay[[#This Row],[Gross Earnings]]/EarningsPerDay[[#This Row],[Miles]]</f>
        <v>1.4206060606060604</v>
      </c>
      <c r="X119" s="71">
        <f>EarningsPerDay[[#This Row],[Deliveries]]/EarningsPerDay[[#This Row],[Hours]]</f>
        <v>4.2105263157894735</v>
      </c>
      <c r="Y119" s="71">
        <f>EarningsPerDay[[#This Row],[Miles]]/EarningsPerDay[[#This Row],[Deliveries]]</f>
        <v>6.1875</v>
      </c>
      <c r="Z119" s="81">
        <f>(EarningsPerDay[[#This Row],[Hours]]/EarningsPerDay[[#This Row],[Deliveries]])/24</f>
        <v>9.8958333333333329E-3</v>
      </c>
      <c r="AA1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10.694510605747222</v>
      </c>
      <c r="AB119" s="11">
        <f>AVERAGEIFS(EarningsPerDay[Gross $/Hour],EarningsPerDay[Week '#], EarningsPerDay[[#This Row],[Week '#]], EarningsPerDay[DOW], EarningsPerDay[[#This Row],[DOW]])</f>
        <v>27.152961642707922</v>
      </c>
      <c r="AC119" s="11">
        <f>EarningsPerDay[[#This Row],[Gross $/Hour]] - EarningsPerDay[[#This Row],[Weekly Average Earnings]]</f>
        <v>9.8575646730815478</v>
      </c>
      <c r="AD119" s="11">
        <f>(SUMIFS(EarningsPerDay[Gross Earnings], EarningsPerDay[Date],"&gt;="&amp;EarningsPerDay[[#This Row],[Date]]-89, EarningsPerDay[Date], "&lt;="&amp;EarningsPerDay[[#This Row],[Date]]))/90</f>
        <v>22.451000000000001</v>
      </c>
      <c r="AE119" s="11"/>
      <c r="AH119" s="11"/>
      <c r="AI119" s="11"/>
    </row>
    <row r="120" spans="2:35" x14ac:dyDescent="0.35">
      <c r="B120" s="40">
        <v>44673</v>
      </c>
      <c r="C120" s="40">
        <f t="shared" si="23"/>
        <v>44673</v>
      </c>
      <c r="D120" s="4">
        <f>IF(EarningsPerDay[[#This Row],[Week '#]]&gt;=52,YEAR(EarningsPerDay[[#This Row],[Date]])-1,YEAR(EarningsPerDay[[#This Row],[Date]]))</f>
        <v>2022</v>
      </c>
      <c r="E120" s="4" t="str">
        <f>"QTR"&amp;IF(EarningsPerDay[[#This Row],[Week '#]] &lt;= 13, 1, IF(EarningsPerDay[[#This Row],[Week '#]] &lt;= 26, 2, IF(EarningsPerDay[[#This Row],[Week '#]] &lt;= 39, 3, 4)))</f>
        <v>QTR2</v>
      </c>
      <c r="F1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120" s="4">
        <f>IF(WEEKNUM(EarningsPerDay[[#This Row],[Date]], 2) = 53, 1, WEEKNUM(EarningsPerDay[[#This Row],[Date]],2))</f>
        <v>17</v>
      </c>
      <c r="H120" s="40" t="str">
        <f t="shared" si="24"/>
        <v>Friday</v>
      </c>
      <c r="I12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20" s="40" t="str" cm="1">
        <f t="array" ref="J120">IFERROR(VLOOKUP(MODE(IF(Combined[Date]=EarningsPerDay[[#This Row],[Date]],Combined[Area '#])),KPIs!$B$4:$C$7,2,FALSE),VLOOKUP(EarningsPerDay[[#This Row],[Date]],Combined[[Date]:[Primary Area]],8,FALSE))</f>
        <v>Portland</v>
      </c>
      <c r="K120" s="40" t="str">
        <f>_xlfn.XLOOKUP(EarningsPerDay[[#This Row],[Date]],Mileage[Date],Mileage[Weather])</f>
        <v>Clear</v>
      </c>
      <c r="L120" s="4">
        <f>_xlfn.XLOOKUP(EarningsPerDay[[#This Row],[Date]],Mileage[Date],Mileage[Hi Temp])</f>
        <v>58.3</v>
      </c>
      <c r="M120" s="12">
        <f>_xlfn.XLOOKUP(EarningsPerDay[[#This Row],[Date]],Mileage[Date],Mileage[Total Time])</f>
        <v>8.4</v>
      </c>
      <c r="N120" s="4">
        <f>_xlfn.XLOOKUP(EarningsPerDay[[#This Row],[Date]],Mileage[Date],Mileage[Mileage])</f>
        <v>213.2</v>
      </c>
      <c r="O120" s="4">
        <f>SUMIF(Combined[Date],EarningsPerDay[[#This Row],[Date]],Combined[Trips])</f>
        <v>18</v>
      </c>
      <c r="P120">
        <f>COUNTIF(Combined[Date],EarningsPerDay[[#This Row],[Date]])</f>
        <v>4</v>
      </c>
      <c r="Q1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0" s="11">
        <f>SUMIF(Combined[Date],EarningsPerDay[[#This Row],[Date]],Combined[Earnings])</f>
        <v>195.73000000000002</v>
      </c>
      <c r="S120" s="11">
        <f ca="1">EarningsPerDay[[#This Row],[Gross Earnings]]-(EarningsPerDay[[#This Row],[Miles]]*CpM!$D$11)</f>
        <v>148.19213665164992</v>
      </c>
      <c r="T120" s="11">
        <f t="shared" si="21"/>
        <v>23.301190476190477</v>
      </c>
      <c r="U120" s="11">
        <f t="shared" ca="1" si="22"/>
        <v>17.641921029958322</v>
      </c>
      <c r="V120" s="11">
        <f>EarningsPerDay[[#This Row],[Gross Earnings]]/EarningsPerDay[[#This Row],[Deliveries]]</f>
        <v>10.87388888888889</v>
      </c>
      <c r="W120" s="11">
        <f>EarningsPerDay[[#This Row],[Gross Earnings]]/EarningsPerDay[[#This Row],[Miles]]</f>
        <v>0.91805816135084439</v>
      </c>
      <c r="X120" s="71">
        <f>EarningsPerDay[[#This Row],[Deliveries]]/EarningsPerDay[[#This Row],[Hours]]</f>
        <v>2.1428571428571428</v>
      </c>
      <c r="Y120" s="71">
        <f>EarningsPerDay[[#This Row],[Miles]]/EarningsPerDay[[#This Row],[Deliveries]]</f>
        <v>11.844444444444443</v>
      </c>
      <c r="Z120" s="81">
        <f>(EarningsPerDay[[#This Row],[Hours]]/EarningsPerDay[[#This Row],[Deliveries]])/24</f>
        <v>1.9444444444444445E-2</v>
      </c>
      <c r="AA1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-2.5109881119348145</v>
      </c>
      <c r="AB120" s="11">
        <f>AVERAGEIFS(EarningsPerDay[Gross $/Hour],EarningsPerDay[Week '#], EarningsPerDay[[#This Row],[Week '#]], EarningsPerDay[DOW], EarningsPerDay[[#This Row],[DOW]])</f>
        <v>27.058394201331158</v>
      </c>
      <c r="AC120" s="11">
        <f>EarningsPerDay[[#This Row],[Gross $/Hour]] - EarningsPerDay[[#This Row],[Weekly Average Earnings]]</f>
        <v>-3.7572037251406805</v>
      </c>
      <c r="AD120" s="11">
        <f>(SUMIFS(EarningsPerDay[Gross Earnings], EarningsPerDay[Date],"&gt;="&amp;EarningsPerDay[[#This Row],[Date]]-89, EarningsPerDay[Date], "&lt;="&amp;EarningsPerDay[[#This Row],[Date]]))/90</f>
        <v>22.629111111111111</v>
      </c>
      <c r="AE120" s="11"/>
      <c r="AH120" s="11"/>
      <c r="AI120" s="11"/>
    </row>
    <row r="121" spans="2:35" x14ac:dyDescent="0.35">
      <c r="B121" s="40">
        <v>44684</v>
      </c>
      <c r="C121" s="40">
        <f t="shared" si="23"/>
        <v>44684</v>
      </c>
      <c r="D121" s="4">
        <f>IF(EarningsPerDay[[#This Row],[Week '#]]&gt;=52,YEAR(EarningsPerDay[[#This Row],[Date]])-1,YEAR(EarningsPerDay[[#This Row],[Date]]))</f>
        <v>2022</v>
      </c>
      <c r="E121" s="4" t="str">
        <f>"QTR"&amp;IF(EarningsPerDay[[#This Row],[Week '#]] &lt;= 13, 1, IF(EarningsPerDay[[#This Row],[Week '#]] &lt;= 26, 2, IF(EarningsPerDay[[#This Row],[Week '#]] &lt;= 39, 3, 4)))</f>
        <v>QTR2</v>
      </c>
      <c r="F1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21" s="4">
        <f>IF(WEEKNUM(EarningsPerDay[[#This Row],[Date]], 2) = 53, 1, WEEKNUM(EarningsPerDay[[#This Row],[Date]],2))</f>
        <v>19</v>
      </c>
      <c r="H121" s="40" t="str">
        <f t="shared" si="24"/>
        <v>Tuesday</v>
      </c>
      <c r="I12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21" s="40" t="str" cm="1">
        <f t="array" ref="J121">IFERROR(VLOOKUP(MODE(IF(Combined[Date]=EarningsPerDay[[#This Row],[Date]],Combined[Area '#])),KPIs!$B$4:$C$7,2,FALSE),VLOOKUP(EarningsPerDay[[#This Row],[Date]],Combined[[Date]:[Primary Area]],8,FALSE))</f>
        <v>Lewiston</v>
      </c>
      <c r="K121" s="40" t="str">
        <f>_xlfn.XLOOKUP(EarningsPerDay[[#This Row],[Date]],Mileage[Date],Mileage[Weather])</f>
        <v>Rain</v>
      </c>
      <c r="L121" s="4">
        <f>_xlfn.XLOOKUP(EarningsPerDay[[#This Row],[Date]],Mileage[Date],Mileage[Hi Temp])</f>
        <v>48.9</v>
      </c>
      <c r="M121" s="12">
        <f>_xlfn.XLOOKUP(EarningsPerDay[[#This Row],[Date]],Mileage[Date],Mileage[Total Time])</f>
        <v>3.2</v>
      </c>
      <c r="N121" s="4">
        <f>_xlfn.XLOOKUP(EarningsPerDay[[#This Row],[Date]],Mileage[Date],Mileage[Mileage])</f>
        <v>72.3</v>
      </c>
      <c r="O121" s="4">
        <f>SUMIF(Combined[Date],EarningsPerDay[[#This Row],[Date]],Combined[Trips])</f>
        <v>8</v>
      </c>
      <c r="P121">
        <f>COUNTIF(Combined[Date],EarningsPerDay[[#This Row],[Date]])</f>
        <v>2</v>
      </c>
      <c r="Q1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1" s="11">
        <f>SUMIF(Combined[Date],EarningsPerDay[[#This Row],[Date]],Combined[Earnings])</f>
        <v>50.68</v>
      </c>
      <c r="S121" s="11">
        <f ca="1">EarningsPerDay[[#This Row],[Gross Earnings]]-(EarningsPerDay[[#This Row],[Miles]]*CpM!$D$11)</f>
        <v>34.55904540297508</v>
      </c>
      <c r="T121" s="11">
        <f t="shared" si="21"/>
        <v>15.837499999999999</v>
      </c>
      <c r="U121" s="11">
        <f t="shared" ca="1" si="22"/>
        <v>10.799701688429712</v>
      </c>
      <c r="V121" s="11">
        <f>EarningsPerDay[[#This Row],[Gross Earnings]]/EarningsPerDay[[#This Row],[Deliveries]]</f>
        <v>6.335</v>
      </c>
      <c r="W121" s="11">
        <f>EarningsPerDay[[#This Row],[Gross Earnings]]/EarningsPerDay[[#This Row],[Miles]]</f>
        <v>0.70096818810511763</v>
      </c>
      <c r="X121" s="71">
        <f>EarningsPerDay[[#This Row],[Deliveries]]/EarningsPerDay[[#This Row],[Hours]]</f>
        <v>2.5</v>
      </c>
      <c r="Y121" s="71">
        <f>EarningsPerDay[[#This Row],[Miles]]/EarningsPerDay[[#This Row],[Deliveries]]</f>
        <v>9.0374999999999996</v>
      </c>
      <c r="Z121" s="81">
        <f>(EarningsPerDay[[#This Row],[Hours]]/EarningsPerDay[[#This Row],[Deliveries]])/24</f>
        <v>1.6666666666666666E-2</v>
      </c>
      <c r="AA12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21" s="11">
        <f>AVERAGEIFS(EarningsPerDay[Gross $/Hour],EarningsPerDay[Week '#], EarningsPerDay[[#This Row],[Week '#]], EarningsPerDay[DOW], EarningsPerDay[[#This Row],[DOW]])</f>
        <v>18.163573021829258</v>
      </c>
      <c r="AC121" s="11">
        <f>EarningsPerDay[[#This Row],[Gross $/Hour]] - EarningsPerDay[[#This Row],[Weekly Average Earnings]]</f>
        <v>-2.3260730218292593</v>
      </c>
      <c r="AD121" s="11">
        <f>(SUMIFS(EarningsPerDay[Gross Earnings], EarningsPerDay[Date],"&gt;="&amp;EarningsPerDay[[#This Row],[Date]]-89, EarningsPerDay[Date], "&lt;="&amp;EarningsPerDay[[#This Row],[Date]]))/90</f>
        <v>22.765222222222221</v>
      </c>
      <c r="AE121" s="11"/>
      <c r="AH121" s="11"/>
      <c r="AI121" s="11"/>
    </row>
    <row r="122" spans="2:35" x14ac:dyDescent="0.35">
      <c r="B122" s="40">
        <v>44685</v>
      </c>
      <c r="C122" s="40">
        <f t="shared" si="23"/>
        <v>44685</v>
      </c>
      <c r="D122" s="4">
        <f>IF(EarningsPerDay[[#This Row],[Week '#]]&gt;=52,YEAR(EarningsPerDay[[#This Row],[Date]])-1,YEAR(EarningsPerDay[[#This Row],[Date]]))</f>
        <v>2022</v>
      </c>
      <c r="E122" s="4" t="str">
        <f>"QTR"&amp;IF(EarningsPerDay[[#This Row],[Week '#]] &lt;= 13, 1, IF(EarningsPerDay[[#This Row],[Week '#]] &lt;= 26, 2, IF(EarningsPerDay[[#This Row],[Week '#]] &lt;= 39, 3, 4)))</f>
        <v>QTR2</v>
      </c>
      <c r="F1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22" s="4">
        <f>IF(WEEKNUM(EarningsPerDay[[#This Row],[Date]], 2) = 53, 1, WEEKNUM(EarningsPerDay[[#This Row],[Date]],2))</f>
        <v>19</v>
      </c>
      <c r="H122" s="40" t="str">
        <f t="shared" si="24"/>
        <v>Wednesday</v>
      </c>
      <c r="I12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22" s="40" t="str" cm="1">
        <f t="array" ref="J122">IFERROR(VLOOKUP(MODE(IF(Combined[Date]=EarningsPerDay[[#This Row],[Date]],Combined[Area '#])),KPIs!$B$4:$C$7,2,FALSE),VLOOKUP(EarningsPerDay[[#This Row],[Date]],Combined[[Date]:[Primary Area]],8,FALSE))</f>
        <v>Portland</v>
      </c>
      <c r="K122" s="40" t="str">
        <f>_xlfn.XLOOKUP(EarningsPerDay[[#This Row],[Date]],Mileage[Date],Mileage[Weather])</f>
        <v>Rain</v>
      </c>
      <c r="L122" s="4">
        <f>_xlfn.XLOOKUP(EarningsPerDay[[#This Row],[Date]],Mileage[Date],Mileage[Hi Temp])</f>
        <v>65.5</v>
      </c>
      <c r="M122" s="12">
        <f>_xlfn.XLOOKUP(EarningsPerDay[[#This Row],[Date]],Mileage[Date],Mileage[Total Time])</f>
        <v>3.8</v>
      </c>
      <c r="N122" s="4">
        <f>_xlfn.XLOOKUP(EarningsPerDay[[#This Row],[Date]],Mileage[Date],Mileage[Mileage])</f>
        <v>62</v>
      </c>
      <c r="O122" s="4">
        <f>SUMIF(Combined[Date],EarningsPerDay[[#This Row],[Date]],Combined[Trips])</f>
        <v>9</v>
      </c>
      <c r="P122">
        <f>COUNTIF(Combined[Date],EarningsPerDay[[#This Row],[Date]])</f>
        <v>1</v>
      </c>
      <c r="Q1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2" s="11">
        <f>SUMIF(Combined[Date],EarningsPerDay[[#This Row],[Date]],Combined[Earnings])</f>
        <v>82.49</v>
      </c>
      <c r="S122" s="11">
        <f ca="1">EarningsPerDay[[#This Row],[Gross Earnings]]-(EarningsPerDay[[#This Row],[Miles]]*CpM!$D$11)</f>
        <v>68.665668257046406</v>
      </c>
      <c r="T122" s="11">
        <f t="shared" si="21"/>
        <v>21.707894736842103</v>
      </c>
      <c r="U122" s="11">
        <f t="shared" ca="1" si="22"/>
        <v>18.069912699222741</v>
      </c>
      <c r="V122" s="11">
        <f>EarningsPerDay[[#This Row],[Gross Earnings]]/EarningsPerDay[[#This Row],[Deliveries]]</f>
        <v>9.1655555555555548</v>
      </c>
      <c r="W122" s="11">
        <f>EarningsPerDay[[#This Row],[Gross Earnings]]/EarningsPerDay[[#This Row],[Miles]]</f>
        <v>1.3304838709677418</v>
      </c>
      <c r="X122" s="71">
        <f>EarningsPerDay[[#This Row],[Deliveries]]/EarningsPerDay[[#This Row],[Hours]]</f>
        <v>2.3684210526315792</v>
      </c>
      <c r="Y122" s="71">
        <f>EarningsPerDay[[#This Row],[Miles]]/EarningsPerDay[[#This Row],[Deliveries]]</f>
        <v>6.8888888888888893</v>
      </c>
      <c r="Z122" s="81">
        <f>(EarningsPerDay[[#This Row],[Hours]]/EarningsPerDay[[#This Row],[Deliveries]])/24</f>
        <v>1.7592592592592594E-2</v>
      </c>
      <c r="AA12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22" s="11">
        <f>AVERAGEIFS(EarningsPerDay[Gross $/Hour],EarningsPerDay[Week '#], EarningsPerDay[[#This Row],[Week '#]], EarningsPerDay[DOW], EarningsPerDay[[#This Row],[DOW]])</f>
        <v>24.426643904418047</v>
      </c>
      <c r="AC122" s="11">
        <f>EarningsPerDay[[#This Row],[Gross $/Hour]] - EarningsPerDay[[#This Row],[Weekly Average Earnings]]</f>
        <v>-2.7187491675759432</v>
      </c>
      <c r="AD122" s="11">
        <f>(SUMIFS(EarningsPerDay[Gross Earnings], EarningsPerDay[Date],"&gt;="&amp;EarningsPerDay[[#This Row],[Date]]-89, EarningsPerDay[Date], "&lt;="&amp;EarningsPerDay[[#This Row],[Date]]))/90</f>
        <v>23.060777777777776</v>
      </c>
      <c r="AE122" s="11"/>
      <c r="AH122" s="11"/>
      <c r="AI122" s="11"/>
    </row>
    <row r="123" spans="2:35" x14ac:dyDescent="0.35">
      <c r="B123" s="40">
        <v>44688</v>
      </c>
      <c r="C123" s="40">
        <f t="shared" si="23"/>
        <v>44688</v>
      </c>
      <c r="D123" s="4">
        <f>IF(EarningsPerDay[[#This Row],[Week '#]]&gt;=52,YEAR(EarningsPerDay[[#This Row],[Date]])-1,YEAR(EarningsPerDay[[#This Row],[Date]]))</f>
        <v>2022</v>
      </c>
      <c r="E123" s="4" t="str">
        <f>"QTR"&amp;IF(EarningsPerDay[[#This Row],[Week '#]] &lt;= 13, 1, IF(EarningsPerDay[[#This Row],[Week '#]] &lt;= 26, 2, IF(EarningsPerDay[[#This Row],[Week '#]] &lt;= 39, 3, 4)))</f>
        <v>QTR2</v>
      </c>
      <c r="F1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23" s="4">
        <f>IF(WEEKNUM(EarningsPerDay[[#This Row],[Date]], 2) = 53, 1, WEEKNUM(EarningsPerDay[[#This Row],[Date]],2))</f>
        <v>19</v>
      </c>
      <c r="H123" s="40" t="str">
        <f t="shared" si="24"/>
        <v>Saturday</v>
      </c>
      <c r="I123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123" s="40" t="str" cm="1">
        <f t="array" ref="J123">IFERROR(VLOOKUP(MODE(IF(Combined[Date]=EarningsPerDay[[#This Row],[Date]],Combined[Area '#])),KPIs!$B$4:$C$7,2,FALSE),VLOOKUP(EarningsPerDay[[#This Row],[Date]],Combined[[Date]:[Primary Area]],8,FALSE))</f>
        <v>Brunswick/Bath/Freeport</v>
      </c>
      <c r="K123" s="40" t="str">
        <f>_xlfn.XLOOKUP(EarningsPerDay[[#This Row],[Date]],Mileage[Date],Mileage[Weather])</f>
        <v>Clear</v>
      </c>
      <c r="L123" s="4">
        <f>_xlfn.XLOOKUP(EarningsPerDay[[#This Row],[Date]],Mileage[Date],Mileage[Hi Temp])</f>
        <v>57.8</v>
      </c>
      <c r="M123" s="12">
        <f>_xlfn.XLOOKUP(EarningsPerDay[[#This Row],[Date]],Mileage[Date],Mileage[Total Time])</f>
        <v>7.8000000000000007</v>
      </c>
      <c r="N123" s="4">
        <f>_xlfn.XLOOKUP(EarningsPerDay[[#This Row],[Date]],Mileage[Date],Mileage[Mileage])</f>
        <v>136.69999999999999</v>
      </c>
      <c r="O123" s="4">
        <f>SUMIF(Combined[Date],EarningsPerDay[[#This Row],[Date]],Combined[Trips])</f>
        <v>18</v>
      </c>
      <c r="P123">
        <f>COUNTIF(Combined[Date],EarningsPerDay[[#This Row],[Date]])</f>
        <v>3</v>
      </c>
      <c r="Q1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3" s="11">
        <f>SUMIF(Combined[Date],EarningsPerDay[[#This Row],[Date]],Combined[Earnings])</f>
        <v>177.53</v>
      </c>
      <c r="S123" s="11">
        <f ca="1">EarningsPerDay[[#This Row],[Gross Earnings]]-(EarningsPerDay[[#This Row],[Miles]]*CpM!$D$11)</f>
        <v>147.0495782377136</v>
      </c>
      <c r="T123" s="11">
        <f t="shared" si="21"/>
        <v>22.760256410256407</v>
      </c>
      <c r="U123" s="11">
        <f t="shared" ca="1" si="22"/>
        <v>18.8525100304761</v>
      </c>
      <c r="V123" s="11">
        <f>EarningsPerDay[[#This Row],[Gross Earnings]]/EarningsPerDay[[#This Row],[Deliveries]]</f>
        <v>9.8627777777777776</v>
      </c>
      <c r="W123" s="11">
        <f>EarningsPerDay[[#This Row],[Gross Earnings]]/EarningsPerDay[[#This Row],[Miles]]</f>
        <v>1.2986832479882957</v>
      </c>
      <c r="X123" s="71">
        <f>EarningsPerDay[[#This Row],[Deliveries]]/EarningsPerDay[[#This Row],[Hours]]</f>
        <v>2.3076923076923075</v>
      </c>
      <c r="Y123" s="71">
        <f>EarningsPerDay[[#This Row],[Miles]]/EarningsPerDay[[#This Row],[Deliveries]]</f>
        <v>7.5944444444444441</v>
      </c>
      <c r="Z123" s="81">
        <f>(EarningsPerDay[[#This Row],[Hours]]/EarningsPerDay[[#This Row],[Deliveries]])/24</f>
        <v>1.8055555555555557E-2</v>
      </c>
      <c r="AA1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-5.6946614209352866</v>
      </c>
      <c r="AB123" s="11">
        <f>AVERAGEIFS(EarningsPerDay[Gross $/Hour],EarningsPerDay[Week '#], EarningsPerDay[[#This Row],[Week '#]], EarningsPerDay[DOW], EarningsPerDay[[#This Row],[DOW]])</f>
        <v>21.645085470085469</v>
      </c>
      <c r="AC123" s="11">
        <f>EarningsPerDay[[#This Row],[Gross $/Hour]] - EarningsPerDay[[#This Row],[Weekly Average Earnings]]</f>
        <v>1.1151709401709375</v>
      </c>
      <c r="AD123" s="11">
        <f>(SUMIFS(EarningsPerDay[Gross Earnings], EarningsPerDay[Date],"&gt;="&amp;EarningsPerDay[[#This Row],[Date]]-89, EarningsPerDay[Date], "&lt;="&amp;EarningsPerDay[[#This Row],[Date]]))/90</f>
        <v>25.033333333333335</v>
      </c>
      <c r="AE123" s="11"/>
      <c r="AH123" s="11"/>
      <c r="AI123" s="11"/>
    </row>
    <row r="124" spans="2:35" x14ac:dyDescent="0.35">
      <c r="B124" s="40">
        <v>44692</v>
      </c>
      <c r="C124" s="40">
        <f t="shared" si="23"/>
        <v>44692</v>
      </c>
      <c r="D124" s="4">
        <f>IF(EarningsPerDay[[#This Row],[Week '#]]&gt;=52,YEAR(EarningsPerDay[[#This Row],[Date]])-1,YEAR(EarningsPerDay[[#This Row],[Date]]))</f>
        <v>2022</v>
      </c>
      <c r="E124" s="4" t="str">
        <f>"QTR"&amp;IF(EarningsPerDay[[#This Row],[Week '#]] &lt;= 13, 1, IF(EarningsPerDay[[#This Row],[Week '#]] &lt;= 26, 2, IF(EarningsPerDay[[#This Row],[Week '#]] &lt;= 39, 3, 4)))</f>
        <v>QTR2</v>
      </c>
      <c r="F1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24" s="4">
        <f>IF(WEEKNUM(EarningsPerDay[[#This Row],[Date]], 2) = 53, 1, WEEKNUM(EarningsPerDay[[#This Row],[Date]],2))</f>
        <v>20</v>
      </c>
      <c r="H124" s="40" t="str">
        <f t="shared" si="24"/>
        <v>Wednesday</v>
      </c>
      <c r="I12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24" s="40" t="str" cm="1">
        <f t="array" ref="J124">IFERROR(VLOOKUP(MODE(IF(Combined[Date]=EarningsPerDay[[#This Row],[Date]],Combined[Area '#])),KPIs!$B$4:$C$7,2,FALSE),VLOOKUP(EarningsPerDay[[#This Row],[Date]],Combined[[Date]:[Primary Area]],8,FALSE))</f>
        <v>Brunswick/Bath/Freeport</v>
      </c>
      <c r="K124" s="40" t="str">
        <f>_xlfn.XLOOKUP(EarningsPerDay[[#This Row],[Date]],Mileage[Date],Mileage[Weather])</f>
        <v>Clear</v>
      </c>
      <c r="L124" s="4">
        <f>_xlfn.XLOOKUP(EarningsPerDay[[#This Row],[Date]],Mileage[Date],Mileage[Hi Temp])</f>
        <v>78.599999999999994</v>
      </c>
      <c r="M124" s="12">
        <f>_xlfn.XLOOKUP(EarningsPerDay[[#This Row],[Date]],Mileage[Date],Mileage[Total Time])</f>
        <v>3</v>
      </c>
      <c r="N124" s="4">
        <f>_xlfn.XLOOKUP(EarningsPerDay[[#This Row],[Date]],Mileage[Date],Mileage[Mileage])</f>
        <v>52</v>
      </c>
      <c r="O124" s="4">
        <f>SUMIF(Combined[Date],EarningsPerDay[[#This Row],[Date]],Combined[Trips])</f>
        <v>8</v>
      </c>
      <c r="P124">
        <f>COUNTIF(Combined[Date],EarningsPerDay[[#This Row],[Date]])</f>
        <v>2</v>
      </c>
      <c r="Q1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4" s="11">
        <f>SUMIF(Combined[Date],EarningsPerDay[[#This Row],[Date]],Combined[Earnings])</f>
        <v>64.34</v>
      </c>
      <c r="S124" s="11">
        <f ca="1">EarningsPerDay[[#This Row],[Gross Earnings]]-(EarningsPerDay[[#This Row],[Miles]]*CpM!$D$11)</f>
        <v>52.745399183329241</v>
      </c>
      <c r="T124" s="11">
        <f t="shared" si="21"/>
        <v>21.446666666666669</v>
      </c>
      <c r="U124" s="11">
        <f t="shared" ca="1" si="22"/>
        <v>17.581799727776414</v>
      </c>
      <c r="V124" s="11">
        <f>EarningsPerDay[[#This Row],[Gross Earnings]]/EarningsPerDay[[#This Row],[Deliveries]]</f>
        <v>8.0425000000000004</v>
      </c>
      <c r="W124" s="11">
        <f>EarningsPerDay[[#This Row],[Gross Earnings]]/EarningsPerDay[[#This Row],[Miles]]</f>
        <v>1.2373076923076924</v>
      </c>
      <c r="X124" s="71">
        <f>EarningsPerDay[[#This Row],[Deliveries]]/EarningsPerDay[[#This Row],[Hours]]</f>
        <v>2.6666666666666665</v>
      </c>
      <c r="Y124" s="71">
        <f>EarningsPerDay[[#This Row],[Miles]]/EarningsPerDay[[#This Row],[Deliveries]]</f>
        <v>6.5</v>
      </c>
      <c r="Z124" s="81">
        <f>(EarningsPerDay[[#This Row],[Hours]]/EarningsPerDay[[#This Row],[Deliveries]])/24</f>
        <v>1.5625E-2</v>
      </c>
      <c r="AA1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-14.278665559246949</v>
      </c>
      <c r="AB124" s="11">
        <f>AVERAGEIFS(EarningsPerDay[Gross $/Hour],EarningsPerDay[Week '#], EarningsPerDay[[#This Row],[Week '#]], EarningsPerDay[DOW], EarningsPerDay[[#This Row],[DOW]])</f>
        <v>24.268423200414826</v>
      </c>
      <c r="AC124" s="11">
        <f>EarningsPerDay[[#This Row],[Gross $/Hour]] - EarningsPerDay[[#This Row],[Weekly Average Earnings]]</f>
        <v>-2.8217565337481574</v>
      </c>
      <c r="AD124" s="11">
        <f>(SUMIFS(EarningsPerDay[Gross Earnings], EarningsPerDay[Date],"&gt;="&amp;EarningsPerDay[[#This Row],[Date]]-89, EarningsPerDay[Date], "&lt;="&amp;EarningsPerDay[[#This Row],[Date]]))/90</f>
        <v>24.517777777777781</v>
      </c>
      <c r="AE124" s="11"/>
      <c r="AH124" s="11"/>
      <c r="AI124" s="11"/>
    </row>
    <row r="125" spans="2:35" x14ac:dyDescent="0.35">
      <c r="B125" s="40">
        <v>44693</v>
      </c>
      <c r="C125" s="40">
        <f t="shared" si="23"/>
        <v>44693</v>
      </c>
      <c r="D125" s="4">
        <f>IF(EarningsPerDay[[#This Row],[Week '#]]&gt;=52,YEAR(EarningsPerDay[[#This Row],[Date]])-1,YEAR(EarningsPerDay[[#This Row],[Date]]))</f>
        <v>2022</v>
      </c>
      <c r="E125" s="4" t="str">
        <f>"QTR"&amp;IF(EarningsPerDay[[#This Row],[Week '#]] &lt;= 13, 1, IF(EarningsPerDay[[#This Row],[Week '#]] &lt;= 26, 2, IF(EarningsPerDay[[#This Row],[Week '#]] &lt;= 39, 3, 4)))</f>
        <v>QTR2</v>
      </c>
      <c r="F1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25" s="4">
        <f>IF(WEEKNUM(EarningsPerDay[[#This Row],[Date]], 2) = 53, 1, WEEKNUM(EarningsPerDay[[#This Row],[Date]],2))</f>
        <v>20</v>
      </c>
      <c r="H125" s="40" t="str">
        <f t="shared" si="24"/>
        <v>Thursday</v>
      </c>
      <c r="I12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25" s="40" t="str" cm="1">
        <f t="array" ref="J125">IFERROR(VLOOKUP(MODE(IF(Combined[Date]=EarningsPerDay[[#This Row],[Date]],Combined[Area '#])),KPIs!$B$4:$C$7,2,FALSE),VLOOKUP(EarningsPerDay[[#This Row],[Date]],Combined[[Date]:[Primary Area]],8,FALSE))</f>
        <v>Lewiston</v>
      </c>
      <c r="K125" s="40" t="str">
        <f>_xlfn.XLOOKUP(EarningsPerDay[[#This Row],[Date]],Mileage[Date],Mileage[Weather])</f>
        <v>Rain</v>
      </c>
      <c r="L125" s="4">
        <f>_xlfn.XLOOKUP(EarningsPerDay[[#This Row],[Date]],Mileage[Date],Mileage[Hi Temp])</f>
        <v>77.5</v>
      </c>
      <c r="M125" s="12">
        <f>_xlfn.XLOOKUP(EarningsPerDay[[#This Row],[Date]],Mileage[Date],Mileage[Total Time])</f>
        <v>2.6</v>
      </c>
      <c r="N125" s="4">
        <f>_xlfn.XLOOKUP(EarningsPerDay[[#This Row],[Date]],Mileage[Date],Mileage[Mileage])</f>
        <v>42</v>
      </c>
      <c r="O125" s="4">
        <f>SUMIF(Combined[Date],EarningsPerDay[[#This Row],[Date]],Combined[Trips])</f>
        <v>7</v>
      </c>
      <c r="P125">
        <f>COUNTIF(Combined[Date],EarningsPerDay[[#This Row],[Date]])</f>
        <v>2</v>
      </c>
      <c r="Q1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5" s="11">
        <f>SUMIF(Combined[Date],EarningsPerDay[[#This Row],[Date]],Combined[Earnings])</f>
        <v>40.400000000000006</v>
      </c>
      <c r="S125" s="11">
        <f ca="1">EarningsPerDay[[#This Row],[Gross Earnings]]-(EarningsPerDay[[#This Row],[Miles]]*CpM!$D$11)</f>
        <v>31.035130109612084</v>
      </c>
      <c r="T125" s="11">
        <f t="shared" si="21"/>
        <v>15.53846153846154</v>
      </c>
      <c r="U125" s="11">
        <f t="shared" ca="1" si="22"/>
        <v>11.936588503696955</v>
      </c>
      <c r="V125" s="11">
        <f>EarningsPerDay[[#This Row],[Gross Earnings]]/EarningsPerDay[[#This Row],[Deliveries]]</f>
        <v>5.7714285714285722</v>
      </c>
      <c r="W125" s="11">
        <f>EarningsPerDay[[#This Row],[Gross Earnings]]/EarningsPerDay[[#This Row],[Miles]]</f>
        <v>0.96190476190476204</v>
      </c>
      <c r="X125" s="71">
        <f>EarningsPerDay[[#This Row],[Deliveries]]/EarningsPerDay[[#This Row],[Hours]]</f>
        <v>2.6923076923076921</v>
      </c>
      <c r="Y125" s="71">
        <f>EarningsPerDay[[#This Row],[Miles]]/EarningsPerDay[[#This Row],[Deliveries]]</f>
        <v>6</v>
      </c>
      <c r="Z125" s="81">
        <f>(EarningsPerDay[[#This Row],[Hours]]/EarningsPerDay[[#This Row],[Deliveries]])/24</f>
        <v>1.5476190476190477E-2</v>
      </c>
      <c r="AA1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-4.4615384615384599</v>
      </c>
      <c r="AB125" s="11">
        <f>AVERAGEIFS(EarningsPerDay[Gross $/Hour],EarningsPerDay[Week '#], EarningsPerDay[[#This Row],[Week '#]], EarningsPerDay[DOW], EarningsPerDay[[#This Row],[DOW]])</f>
        <v>19.305707637558172</v>
      </c>
      <c r="AC125" s="11">
        <f>EarningsPerDay[[#This Row],[Gross $/Hour]] - EarningsPerDay[[#This Row],[Weekly Average Earnings]]</f>
        <v>-3.7672460990966314</v>
      </c>
      <c r="AD125" s="11">
        <f>(SUMIFS(EarningsPerDay[Gross Earnings], EarningsPerDay[Date],"&gt;="&amp;EarningsPerDay[[#This Row],[Date]]-89, EarningsPerDay[Date], "&lt;="&amp;EarningsPerDay[[#This Row],[Date]]))/90</f>
        <v>24.966666666666672</v>
      </c>
      <c r="AE125" s="11"/>
      <c r="AH125" s="11"/>
      <c r="AI125" s="11"/>
    </row>
    <row r="126" spans="2:35" x14ac:dyDescent="0.35">
      <c r="B126" s="40">
        <v>44694</v>
      </c>
      <c r="C126" s="40">
        <f t="shared" si="23"/>
        <v>44694</v>
      </c>
      <c r="D126" s="4">
        <f>IF(EarningsPerDay[[#This Row],[Week '#]]&gt;=52,YEAR(EarningsPerDay[[#This Row],[Date]])-1,YEAR(EarningsPerDay[[#This Row],[Date]]))</f>
        <v>2022</v>
      </c>
      <c r="E126" s="4" t="str">
        <f>"QTR"&amp;IF(EarningsPerDay[[#This Row],[Week '#]] &lt;= 13, 1, IF(EarningsPerDay[[#This Row],[Week '#]] &lt;= 26, 2, IF(EarningsPerDay[[#This Row],[Week '#]] &lt;= 39, 3, 4)))</f>
        <v>QTR2</v>
      </c>
      <c r="F1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26" s="4">
        <f>IF(WEEKNUM(EarningsPerDay[[#This Row],[Date]], 2) = 53, 1, WEEKNUM(EarningsPerDay[[#This Row],[Date]],2))</f>
        <v>20</v>
      </c>
      <c r="H126" s="40" t="str">
        <f t="shared" si="24"/>
        <v>Friday</v>
      </c>
      <c r="I12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26" s="40" t="str" cm="1">
        <f t="array" ref="J126">IFERROR(VLOOKUP(MODE(IF(Combined[Date]=EarningsPerDay[[#This Row],[Date]],Combined[Area '#])),KPIs!$B$4:$C$7,2,FALSE),VLOOKUP(EarningsPerDay[[#This Row],[Date]],Combined[[Date]:[Primary Area]],8,FALSE))</f>
        <v>Brunswick/Bath/Freeport</v>
      </c>
      <c r="K126" s="40" t="str">
        <f>_xlfn.XLOOKUP(EarningsPerDay[[#This Row],[Date]],Mileage[Date],Mileage[Weather])</f>
        <v>Rain</v>
      </c>
      <c r="L126" s="4">
        <f>_xlfn.XLOOKUP(EarningsPerDay[[#This Row],[Date]],Mileage[Date],Mileage[Hi Temp])</f>
        <v>86.8</v>
      </c>
      <c r="M126" s="12">
        <f>_xlfn.XLOOKUP(EarningsPerDay[[#This Row],[Date]],Mileage[Date],Mileage[Total Time])</f>
        <v>6.3000000000000007</v>
      </c>
      <c r="N126" s="4">
        <f>_xlfn.XLOOKUP(EarningsPerDay[[#This Row],[Date]],Mileage[Date],Mileage[Mileage])</f>
        <v>162.4</v>
      </c>
      <c r="O126" s="4">
        <f>SUMIF(Combined[Date],EarningsPerDay[[#This Row],[Date]],Combined[Trips])</f>
        <v>11</v>
      </c>
      <c r="P126">
        <f>COUNTIF(Combined[Date],EarningsPerDay[[#This Row],[Date]])</f>
        <v>3</v>
      </c>
      <c r="Q1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6" s="11">
        <f>SUMIF(Combined[Date],EarningsPerDay[[#This Row],[Date]],Combined[Earnings])</f>
        <v>124.61</v>
      </c>
      <c r="S126" s="11">
        <f ca="1">EarningsPerDay[[#This Row],[Gross Earnings]]-(EarningsPerDay[[#This Row],[Miles]]*CpM!$D$11)</f>
        <v>88.399169757166703</v>
      </c>
      <c r="T126" s="11">
        <f t="shared" si="21"/>
        <v>19.779365079365078</v>
      </c>
      <c r="U126" s="11">
        <f t="shared" ca="1" si="22"/>
        <v>14.031614247169317</v>
      </c>
      <c r="V126" s="11">
        <f>EarningsPerDay[[#This Row],[Gross Earnings]]/EarningsPerDay[[#This Row],[Deliveries]]</f>
        <v>11.328181818181818</v>
      </c>
      <c r="W126" s="11">
        <f>EarningsPerDay[[#This Row],[Gross Earnings]]/EarningsPerDay[[#This Row],[Miles]]</f>
        <v>0.7673029556650246</v>
      </c>
      <c r="X126" s="71">
        <f>EarningsPerDay[[#This Row],[Deliveries]]/EarningsPerDay[[#This Row],[Hours]]</f>
        <v>1.7460317460317458</v>
      </c>
      <c r="Y126" s="71">
        <f>EarningsPerDay[[#This Row],[Miles]]/EarningsPerDay[[#This Row],[Deliveries]]</f>
        <v>14.763636363636364</v>
      </c>
      <c r="Z126" s="81">
        <f>(EarningsPerDay[[#This Row],[Hours]]/EarningsPerDay[[#This Row],[Deliveries]])/24</f>
        <v>2.3863636363636365E-2</v>
      </c>
      <c r="AA12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26" s="11">
        <f>AVERAGEIFS(EarningsPerDay[Gross $/Hour],EarningsPerDay[Week '#], EarningsPerDay[[#This Row],[Week '#]], EarningsPerDay[DOW], EarningsPerDay[[#This Row],[DOW]])</f>
        <v>26.162300455424486</v>
      </c>
      <c r="AC126" s="11">
        <f>EarningsPerDay[[#This Row],[Gross $/Hour]] - EarningsPerDay[[#This Row],[Weekly Average Earnings]]</f>
        <v>-6.3829353760594074</v>
      </c>
      <c r="AD126" s="11">
        <f>(SUMIFS(EarningsPerDay[Gross Earnings], EarningsPerDay[Date],"&gt;="&amp;EarningsPerDay[[#This Row],[Date]]-89, EarningsPerDay[Date], "&lt;="&amp;EarningsPerDay[[#This Row],[Date]]))/90</f>
        <v>25.211777777777783</v>
      </c>
      <c r="AE126" s="11"/>
      <c r="AH126" s="11"/>
      <c r="AI126" s="11"/>
    </row>
    <row r="127" spans="2:35" x14ac:dyDescent="0.35">
      <c r="B127" s="40">
        <v>44700</v>
      </c>
      <c r="C127" s="40">
        <f t="shared" si="23"/>
        <v>44700</v>
      </c>
      <c r="D127" s="4">
        <f>IF(EarningsPerDay[[#This Row],[Week '#]]&gt;=52,YEAR(EarningsPerDay[[#This Row],[Date]])-1,YEAR(EarningsPerDay[[#This Row],[Date]]))</f>
        <v>2022</v>
      </c>
      <c r="E127" s="4" t="str">
        <f>"QTR"&amp;IF(EarningsPerDay[[#This Row],[Week '#]] &lt;= 13, 1, IF(EarningsPerDay[[#This Row],[Week '#]] &lt;= 26, 2, IF(EarningsPerDay[[#This Row],[Week '#]] &lt;= 39, 3, 4)))</f>
        <v>QTR2</v>
      </c>
      <c r="F1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27" s="4">
        <f>IF(WEEKNUM(EarningsPerDay[[#This Row],[Date]], 2) = 53, 1, WEEKNUM(EarningsPerDay[[#This Row],[Date]],2))</f>
        <v>21</v>
      </c>
      <c r="H127" s="40" t="str">
        <f t="shared" si="24"/>
        <v>Thursday</v>
      </c>
      <c r="I12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27" s="40" t="str" cm="1">
        <f t="array" ref="J127">IFERROR(VLOOKUP(MODE(IF(Combined[Date]=EarningsPerDay[[#This Row],[Date]],Combined[Area '#])),KPIs!$B$4:$C$7,2,FALSE),VLOOKUP(EarningsPerDay[[#This Row],[Date]],Combined[[Date]:[Primary Area]],8,FALSE))</f>
        <v>Brunswick/Bath/Freeport</v>
      </c>
      <c r="K127" s="40" t="str">
        <f>_xlfn.XLOOKUP(EarningsPerDay[[#This Row],[Date]],Mileage[Date],Mileage[Weather])</f>
        <v>Rain</v>
      </c>
      <c r="L127" s="4">
        <f>_xlfn.XLOOKUP(EarningsPerDay[[#This Row],[Date]],Mileage[Date],Mileage[Hi Temp])</f>
        <v>58.6</v>
      </c>
      <c r="M127" s="12">
        <f>_xlfn.XLOOKUP(EarningsPerDay[[#This Row],[Date]],Mileage[Date],Mileage[Total Time])</f>
        <v>3.1</v>
      </c>
      <c r="N127" s="4">
        <f>_xlfn.XLOOKUP(EarningsPerDay[[#This Row],[Date]],Mileage[Date],Mileage[Mileage])</f>
        <v>62</v>
      </c>
      <c r="O127" s="4">
        <f>SUMIF(Combined[Date],EarningsPerDay[[#This Row],[Date]],Combined[Trips])</f>
        <v>7</v>
      </c>
      <c r="P127">
        <f>COUNTIF(Combined[Date],EarningsPerDay[[#This Row],[Date]])</f>
        <v>3</v>
      </c>
      <c r="Q1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7" s="11">
        <f>SUMIF(Combined[Date],EarningsPerDay[[#This Row],[Date]],Combined[Earnings])</f>
        <v>60.43</v>
      </c>
      <c r="S127" s="11">
        <f ca="1">EarningsPerDay[[#This Row],[Gross Earnings]]-(EarningsPerDay[[#This Row],[Miles]]*CpM!$D$11)</f>
        <v>46.605668257046403</v>
      </c>
      <c r="T127" s="11">
        <f t="shared" si="21"/>
        <v>19.493548387096773</v>
      </c>
      <c r="U127" s="11">
        <f t="shared" ca="1" si="22"/>
        <v>15.034086534531097</v>
      </c>
      <c r="V127" s="11">
        <f>EarningsPerDay[[#This Row],[Gross Earnings]]/EarningsPerDay[[#This Row],[Deliveries]]</f>
        <v>8.6328571428571426</v>
      </c>
      <c r="W127" s="11">
        <f>EarningsPerDay[[#This Row],[Gross Earnings]]/EarningsPerDay[[#This Row],[Miles]]</f>
        <v>0.97467741935483876</v>
      </c>
      <c r="X127" s="71">
        <f>EarningsPerDay[[#This Row],[Deliveries]]/EarningsPerDay[[#This Row],[Hours]]</f>
        <v>2.258064516129032</v>
      </c>
      <c r="Y127" s="71">
        <f>EarningsPerDay[[#This Row],[Miles]]/EarningsPerDay[[#This Row],[Deliveries]]</f>
        <v>8.8571428571428577</v>
      </c>
      <c r="Z127" s="81">
        <f>(EarningsPerDay[[#This Row],[Hours]]/EarningsPerDay[[#This Row],[Deliveries]])/24</f>
        <v>1.8452380952380953E-2</v>
      </c>
      <c r="AA1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-2.7467955282471443</v>
      </c>
      <c r="AB127" s="11">
        <f>AVERAGEIFS(EarningsPerDay[Gross $/Hour],EarningsPerDay[Week '#], EarningsPerDay[[#This Row],[Week '#]], EarningsPerDay[DOW], EarningsPerDay[[#This Row],[DOW]])</f>
        <v>19.770465325238188</v>
      </c>
      <c r="AC127" s="11">
        <f>EarningsPerDay[[#This Row],[Gross $/Hour]] - EarningsPerDay[[#This Row],[Weekly Average Earnings]]</f>
        <v>-0.27691693814141516</v>
      </c>
      <c r="AD127" s="11">
        <f>(SUMIFS(EarningsPerDay[Gross Earnings], EarningsPerDay[Date],"&gt;="&amp;EarningsPerDay[[#This Row],[Date]]-89, EarningsPerDay[Date], "&lt;="&amp;EarningsPerDay[[#This Row],[Date]]))/90</f>
        <v>25.641555555555559</v>
      </c>
      <c r="AE127" s="11"/>
      <c r="AH127" s="11"/>
      <c r="AI127" s="11"/>
    </row>
    <row r="128" spans="2:35" x14ac:dyDescent="0.35">
      <c r="B128" s="40">
        <v>44701</v>
      </c>
      <c r="C128" s="40">
        <f t="shared" si="23"/>
        <v>44701</v>
      </c>
      <c r="D128" s="4">
        <f>IF(EarningsPerDay[[#This Row],[Week '#]]&gt;=52,YEAR(EarningsPerDay[[#This Row],[Date]])-1,YEAR(EarningsPerDay[[#This Row],[Date]]))</f>
        <v>2022</v>
      </c>
      <c r="E128" s="4" t="str">
        <f>"QTR"&amp;IF(EarningsPerDay[[#This Row],[Week '#]] &lt;= 13, 1, IF(EarningsPerDay[[#This Row],[Week '#]] &lt;= 26, 2, IF(EarningsPerDay[[#This Row],[Week '#]] &lt;= 39, 3, 4)))</f>
        <v>QTR2</v>
      </c>
      <c r="F1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28" s="4">
        <f>IF(WEEKNUM(EarningsPerDay[[#This Row],[Date]], 2) = 53, 1, WEEKNUM(EarningsPerDay[[#This Row],[Date]],2))</f>
        <v>21</v>
      </c>
      <c r="H128" s="40" t="str">
        <f t="shared" si="24"/>
        <v>Friday</v>
      </c>
      <c r="I12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128" s="40" t="str" cm="1">
        <f t="array" ref="J128">IFERROR(VLOOKUP(MODE(IF(Combined[Date]=EarningsPerDay[[#This Row],[Date]],Combined[Area '#])),KPIs!$B$4:$C$7,2,FALSE),VLOOKUP(EarningsPerDay[[#This Row],[Date]],Combined[[Date]:[Primary Area]],8,FALSE))</f>
        <v>Lewiston</v>
      </c>
      <c r="K128" s="40" t="str">
        <f>_xlfn.XLOOKUP(EarningsPerDay[[#This Row],[Date]],Mileage[Date],Mileage[Weather])</f>
        <v>Rain</v>
      </c>
      <c r="L128" s="4">
        <f>_xlfn.XLOOKUP(EarningsPerDay[[#This Row],[Date]],Mileage[Date],Mileage[Hi Temp])</f>
        <v>69.900000000000006</v>
      </c>
      <c r="M128" s="12">
        <f>_xlfn.XLOOKUP(EarningsPerDay[[#This Row],[Date]],Mileage[Date],Mileage[Total Time])</f>
        <v>2.4</v>
      </c>
      <c r="N128" s="4">
        <f>_xlfn.XLOOKUP(EarningsPerDay[[#This Row],[Date]],Mileage[Date],Mileage[Mileage])</f>
        <v>33</v>
      </c>
      <c r="O128" s="4">
        <f>SUMIF(Combined[Date],EarningsPerDay[[#This Row],[Date]],Combined[Trips])</f>
        <v>5</v>
      </c>
      <c r="P128">
        <f>COUNTIF(Combined[Date],EarningsPerDay[[#This Row],[Date]])</f>
        <v>1</v>
      </c>
      <c r="Q1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8" s="11">
        <f>SUMIF(Combined[Date],EarningsPerDay[[#This Row],[Date]],Combined[Earnings])</f>
        <v>23.25</v>
      </c>
      <c r="S128" s="11">
        <f ca="1">EarningsPerDay[[#This Row],[Gross Earnings]]-(EarningsPerDay[[#This Row],[Miles]]*CpM!$D$11)</f>
        <v>15.891887943266633</v>
      </c>
      <c r="T128" s="11">
        <f t="shared" si="21"/>
        <v>9.6875</v>
      </c>
      <c r="U128" s="11">
        <f t="shared" ca="1" si="22"/>
        <v>6.6216199763610977</v>
      </c>
      <c r="V128" s="11">
        <f>EarningsPerDay[[#This Row],[Gross Earnings]]/EarningsPerDay[[#This Row],[Deliveries]]</f>
        <v>4.6500000000000004</v>
      </c>
      <c r="W128" s="11">
        <f>EarningsPerDay[[#This Row],[Gross Earnings]]/EarningsPerDay[[#This Row],[Miles]]</f>
        <v>0.70454545454545459</v>
      </c>
      <c r="X128" s="71">
        <f>EarningsPerDay[[#This Row],[Deliveries]]/EarningsPerDay[[#This Row],[Hours]]</f>
        <v>2.0833333333333335</v>
      </c>
      <c r="Y128" s="71">
        <f>EarningsPerDay[[#This Row],[Miles]]/EarningsPerDay[[#This Row],[Deliveries]]</f>
        <v>6.6</v>
      </c>
      <c r="Z128" s="81">
        <f>(EarningsPerDay[[#This Row],[Hours]]/EarningsPerDay[[#This Row],[Deliveries]])/24</f>
        <v>0.02</v>
      </c>
      <c r="AA1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-16.109166666666667</v>
      </c>
      <c r="AB128" s="11">
        <f>AVERAGEIFS(EarningsPerDay[Gross $/Hour],EarningsPerDay[Week '#], EarningsPerDay[[#This Row],[Week '#]], EarningsPerDay[DOW], EarningsPerDay[[#This Row],[DOW]])</f>
        <v>17.27594486567542</v>
      </c>
      <c r="AC128" s="11">
        <f>EarningsPerDay[[#This Row],[Gross $/Hour]] - EarningsPerDay[[#This Row],[Weekly Average Earnings]]</f>
        <v>-7.5884448656754202</v>
      </c>
      <c r="AD128" s="11">
        <f>(SUMIFS(EarningsPerDay[Gross Earnings], EarningsPerDay[Date],"&gt;="&amp;EarningsPerDay[[#This Row],[Date]]-89, EarningsPerDay[Date], "&lt;="&amp;EarningsPerDay[[#This Row],[Date]]))/90</f>
        <v>25.899888888888892</v>
      </c>
      <c r="AE128" s="11"/>
      <c r="AH128" s="11"/>
      <c r="AI128" s="11"/>
    </row>
    <row r="129" spans="2:35" x14ac:dyDescent="0.35">
      <c r="B129" s="40">
        <v>44704</v>
      </c>
      <c r="C129" s="40">
        <f t="shared" si="23"/>
        <v>44704</v>
      </c>
      <c r="D129" s="4">
        <f>IF(EarningsPerDay[[#This Row],[Week '#]]&gt;=52,YEAR(EarningsPerDay[[#This Row],[Date]])-1,YEAR(EarningsPerDay[[#This Row],[Date]]))</f>
        <v>2022</v>
      </c>
      <c r="E129" s="4" t="str">
        <f>"QTR"&amp;IF(EarningsPerDay[[#This Row],[Week '#]] &lt;= 13, 1, IF(EarningsPerDay[[#This Row],[Week '#]] &lt;= 26, 2, IF(EarningsPerDay[[#This Row],[Week '#]] &lt;= 39, 3, 4)))</f>
        <v>QTR2</v>
      </c>
      <c r="F1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29" s="4">
        <f>IF(WEEKNUM(EarningsPerDay[[#This Row],[Date]], 2) = 53, 1, WEEKNUM(EarningsPerDay[[#This Row],[Date]],2))</f>
        <v>22</v>
      </c>
      <c r="H129" s="40" t="str">
        <f t="shared" si="24"/>
        <v>Monday</v>
      </c>
      <c r="I12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29" s="40" t="str" cm="1">
        <f t="array" ref="J129">IFERROR(VLOOKUP(MODE(IF(Combined[Date]=EarningsPerDay[[#This Row],[Date]],Combined[Area '#])),KPIs!$B$4:$C$7,2,FALSE),VLOOKUP(EarningsPerDay[[#This Row],[Date]],Combined[[Date]:[Primary Area]],8,FALSE))</f>
        <v>Portland</v>
      </c>
      <c r="K129" s="40" t="str">
        <f>_xlfn.XLOOKUP(EarningsPerDay[[#This Row],[Date]],Mileage[Date],Mileage[Weather])</f>
        <v>Clear</v>
      </c>
      <c r="L129" s="4">
        <f>_xlfn.XLOOKUP(EarningsPerDay[[#This Row],[Date]],Mileage[Date],Mileage[Hi Temp])</f>
        <v>62.6</v>
      </c>
      <c r="M129" s="12">
        <f>_xlfn.XLOOKUP(EarningsPerDay[[#This Row],[Date]],Mileage[Date],Mileage[Total Time])</f>
        <v>5.7</v>
      </c>
      <c r="N129" s="4">
        <f>_xlfn.XLOOKUP(EarningsPerDay[[#This Row],[Date]],Mileage[Date],Mileage[Mileage])</f>
        <v>113.6</v>
      </c>
      <c r="O129" s="4">
        <f>SUMIF(Combined[Date],EarningsPerDay[[#This Row],[Date]],Combined[Trips])</f>
        <v>13</v>
      </c>
      <c r="P129">
        <f>COUNTIF(Combined[Date],EarningsPerDay[[#This Row],[Date]])</f>
        <v>4</v>
      </c>
      <c r="Q1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29" s="11">
        <f>SUMIF(Combined[Date],EarningsPerDay[[#This Row],[Date]],Combined[Earnings])</f>
        <v>109.4</v>
      </c>
      <c r="S129" s="11">
        <f ca="1">EarningsPerDay[[#This Row],[Gross Earnings]]-(EarningsPerDay[[#This Row],[Miles]]*CpM!$D$11)</f>
        <v>84.070256677426968</v>
      </c>
      <c r="T129" s="11">
        <f t="shared" si="21"/>
        <v>19.192982456140353</v>
      </c>
      <c r="U129" s="11">
        <f t="shared" ca="1" si="22"/>
        <v>14.749167838145082</v>
      </c>
      <c r="V129" s="11">
        <f>EarningsPerDay[[#This Row],[Gross Earnings]]/EarningsPerDay[[#This Row],[Deliveries]]</f>
        <v>8.4153846153846157</v>
      </c>
      <c r="W129" s="11">
        <f>EarningsPerDay[[#This Row],[Gross Earnings]]/EarningsPerDay[[#This Row],[Miles]]</f>
        <v>0.96302816901408461</v>
      </c>
      <c r="X129" s="71">
        <f>EarningsPerDay[[#This Row],[Deliveries]]/EarningsPerDay[[#This Row],[Hours]]</f>
        <v>2.2807017543859649</v>
      </c>
      <c r="Y129" s="71">
        <f>EarningsPerDay[[#This Row],[Miles]]/EarningsPerDay[[#This Row],[Deliveries]]</f>
        <v>8.7384615384615376</v>
      </c>
      <c r="Z129" s="81">
        <f>(EarningsPerDay[[#This Row],[Hours]]/EarningsPerDay[[#This Row],[Deliveries]])/24</f>
        <v>1.826923076923077E-2</v>
      </c>
      <c r="AA12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29" s="11">
        <f>AVERAGEIFS(EarningsPerDay[Gross $/Hour],EarningsPerDay[Week '#], EarningsPerDay[[#This Row],[Week '#]], EarningsPerDay[DOW], EarningsPerDay[[#This Row],[DOW]])</f>
        <v>18.734097495073303</v>
      </c>
      <c r="AC129" s="11">
        <f>EarningsPerDay[[#This Row],[Gross $/Hour]] - EarningsPerDay[[#This Row],[Weekly Average Earnings]]</f>
        <v>0.45888496106704935</v>
      </c>
      <c r="AD129" s="11">
        <f>(SUMIFS(EarningsPerDay[Gross Earnings], EarningsPerDay[Date],"&gt;="&amp;EarningsPerDay[[#This Row],[Date]]-89, EarningsPerDay[Date], "&lt;="&amp;EarningsPerDay[[#This Row],[Date]]))/90</f>
        <v>27.115444444444449</v>
      </c>
      <c r="AE129" s="11"/>
      <c r="AH129" s="11"/>
      <c r="AI129" s="11"/>
    </row>
    <row r="130" spans="2:35" x14ac:dyDescent="0.35">
      <c r="B130" s="40">
        <v>44714</v>
      </c>
      <c r="C130" s="40">
        <f t="shared" si="23"/>
        <v>44714</v>
      </c>
      <c r="D130" s="4">
        <f>IF(EarningsPerDay[[#This Row],[Week '#]]&gt;=52,YEAR(EarningsPerDay[[#This Row],[Date]])-1,YEAR(EarningsPerDay[[#This Row],[Date]]))</f>
        <v>2022</v>
      </c>
      <c r="E130" s="4" t="str">
        <f>"QTR"&amp;IF(EarningsPerDay[[#This Row],[Week '#]] &lt;= 13, 1, IF(EarningsPerDay[[#This Row],[Week '#]] &lt;= 26, 2, IF(EarningsPerDay[[#This Row],[Week '#]] &lt;= 39, 3, 4)))</f>
        <v>QTR2</v>
      </c>
      <c r="F1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30" s="4">
        <f>IF(WEEKNUM(EarningsPerDay[[#This Row],[Date]], 2) = 53, 1, WEEKNUM(EarningsPerDay[[#This Row],[Date]],2))</f>
        <v>23</v>
      </c>
      <c r="H130" s="40" t="str">
        <f t="shared" si="24"/>
        <v>Thursday</v>
      </c>
      <c r="I13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30" s="40" t="str" cm="1">
        <f t="array" ref="J130">IFERROR(VLOOKUP(MODE(IF(Combined[Date]=EarningsPerDay[[#This Row],[Date]],Combined[Area '#])),KPIs!$B$4:$C$7,2,FALSE),VLOOKUP(EarningsPerDay[[#This Row],[Date]],Combined[[Date]:[Primary Area]],8,FALSE))</f>
        <v>Brunswick/Bath/Freeport</v>
      </c>
      <c r="K130" s="40" t="str">
        <f>_xlfn.XLOOKUP(EarningsPerDay[[#This Row],[Date]],Mileage[Date],Mileage[Weather])</f>
        <v>Rain</v>
      </c>
      <c r="L130" s="4">
        <f>_xlfn.XLOOKUP(EarningsPerDay[[#This Row],[Date]],Mileage[Date],Mileage[Hi Temp])</f>
        <v>55.3</v>
      </c>
      <c r="M130" s="12">
        <f>_xlfn.XLOOKUP(EarningsPerDay[[#This Row],[Date]],Mileage[Date],Mileage[Total Time])</f>
        <v>2.1</v>
      </c>
      <c r="N130" s="4">
        <f>_xlfn.XLOOKUP(EarningsPerDay[[#This Row],[Date]],Mileage[Date],Mileage[Mileage])</f>
        <v>51</v>
      </c>
      <c r="O130" s="4">
        <f>SUMIF(Combined[Date],EarningsPerDay[[#This Row],[Date]],Combined[Trips])</f>
        <v>6</v>
      </c>
      <c r="P130">
        <f>COUNTIF(Combined[Date],EarningsPerDay[[#This Row],[Date]])</f>
        <v>3</v>
      </c>
      <c r="Q13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0" s="11">
        <f>SUMIF(Combined[Date],EarningsPerDay[[#This Row],[Date]],Combined[Earnings])</f>
        <v>91.4</v>
      </c>
      <c r="S130" s="11">
        <f ca="1">EarningsPerDay[[#This Row],[Gross Earnings]]-(EarningsPerDay[[#This Row],[Miles]]*CpM!$D$11)</f>
        <v>80.028372275957537</v>
      </c>
      <c r="T130" s="11">
        <f t="shared" si="21"/>
        <v>43.523809523809526</v>
      </c>
      <c r="U130" s="11">
        <f t="shared" ca="1" si="22"/>
        <v>38.10874870283692</v>
      </c>
      <c r="V130" s="11">
        <f>EarningsPerDay[[#This Row],[Gross Earnings]]/EarningsPerDay[[#This Row],[Deliveries]]</f>
        <v>15.233333333333334</v>
      </c>
      <c r="W130" s="11">
        <f>EarningsPerDay[[#This Row],[Gross Earnings]]/EarningsPerDay[[#This Row],[Miles]]</f>
        <v>1.7921568627450981</v>
      </c>
      <c r="X130" s="71">
        <f>EarningsPerDay[[#This Row],[Deliveries]]/EarningsPerDay[[#This Row],[Hours]]</f>
        <v>2.8571428571428572</v>
      </c>
      <c r="Y130" s="71">
        <f>EarningsPerDay[[#This Row],[Miles]]/EarningsPerDay[[#This Row],[Deliveries]]</f>
        <v>8.5</v>
      </c>
      <c r="Z130" s="81">
        <f>(EarningsPerDay[[#This Row],[Hours]]/EarningsPerDay[[#This Row],[Deliveries]])/24</f>
        <v>1.4583333333333335E-2</v>
      </c>
      <c r="AA1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21.970164490527395</v>
      </c>
      <c r="AB130" s="11">
        <f>AVERAGEIFS(EarningsPerDay[Gross $/Hour],EarningsPerDay[Week '#], EarningsPerDay[[#This Row],[Week '#]], EarningsPerDay[DOW], EarningsPerDay[[#This Row],[DOW]])</f>
        <v>27.094757647407121</v>
      </c>
      <c r="AC130" s="11">
        <f>EarningsPerDay[[#This Row],[Gross $/Hour]] - EarningsPerDay[[#This Row],[Weekly Average Earnings]]</f>
        <v>16.429051876402404</v>
      </c>
      <c r="AD130" s="11">
        <f>(SUMIFS(EarningsPerDay[Gross Earnings], EarningsPerDay[Date],"&gt;="&amp;EarningsPerDay[[#This Row],[Date]]-89, EarningsPerDay[Date], "&lt;="&amp;EarningsPerDay[[#This Row],[Date]]))/90</f>
        <v>24.349000000000004</v>
      </c>
      <c r="AE130" s="11"/>
      <c r="AH130" s="11"/>
      <c r="AI130" s="11"/>
    </row>
    <row r="131" spans="2:35" x14ac:dyDescent="0.35">
      <c r="B131" s="40">
        <v>44715</v>
      </c>
      <c r="C131" s="40">
        <f t="shared" si="23"/>
        <v>44715</v>
      </c>
      <c r="D131" s="4">
        <f>IF(EarningsPerDay[[#This Row],[Week '#]]&gt;=52,YEAR(EarningsPerDay[[#This Row],[Date]])-1,YEAR(EarningsPerDay[[#This Row],[Date]]))</f>
        <v>2022</v>
      </c>
      <c r="E131" s="4" t="str">
        <f>"QTR"&amp;IF(EarningsPerDay[[#This Row],[Week '#]] &lt;= 13, 1, IF(EarningsPerDay[[#This Row],[Week '#]] &lt;= 26, 2, IF(EarningsPerDay[[#This Row],[Week '#]] &lt;= 39, 3, 4)))</f>
        <v>QTR2</v>
      </c>
      <c r="F1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31" s="4">
        <f>IF(WEEKNUM(EarningsPerDay[[#This Row],[Date]], 2) = 53, 1, WEEKNUM(EarningsPerDay[[#This Row],[Date]],2))</f>
        <v>23</v>
      </c>
      <c r="H131" s="40" t="str">
        <f t="shared" si="24"/>
        <v>Friday</v>
      </c>
      <c r="I13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31" s="40" t="str" cm="1">
        <f t="array" ref="J131">IFERROR(VLOOKUP(MODE(IF(Combined[Date]=EarningsPerDay[[#This Row],[Date]],Combined[Area '#])),KPIs!$B$4:$C$7,2,FALSE),VLOOKUP(EarningsPerDay[[#This Row],[Date]],Combined[[Date]:[Primary Area]],8,FALSE))</f>
        <v>Portland</v>
      </c>
      <c r="K131" s="40" t="str">
        <f>_xlfn.XLOOKUP(EarningsPerDay[[#This Row],[Date]],Mileage[Date],Mileage[Weather])</f>
        <v>Rain</v>
      </c>
      <c r="L131" s="4">
        <f>_xlfn.XLOOKUP(EarningsPerDay[[#This Row],[Date]],Mileage[Date],Mileage[Hi Temp])</f>
        <v>62.7</v>
      </c>
      <c r="M131" s="12">
        <f>_xlfn.XLOOKUP(EarningsPerDay[[#This Row],[Date]],Mileage[Date],Mileage[Total Time])</f>
        <v>3.9</v>
      </c>
      <c r="N131" s="4">
        <f>_xlfn.XLOOKUP(EarningsPerDay[[#This Row],[Date]],Mileage[Date],Mileage[Mileage])</f>
        <v>81.48</v>
      </c>
      <c r="O131" s="4">
        <f>SUMIF(Combined[Date],EarningsPerDay[[#This Row],[Date]],Combined[Trips])</f>
        <v>4</v>
      </c>
      <c r="P131">
        <f>COUNTIF(Combined[Date],EarningsPerDay[[#This Row],[Date]])</f>
        <v>3</v>
      </c>
      <c r="Q1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1" s="11">
        <f>SUMIF(Combined[Date],EarningsPerDay[[#This Row],[Date]],Combined[Earnings])</f>
        <v>41.22</v>
      </c>
      <c r="S131" s="11">
        <f ca="1">EarningsPerDay[[#This Row],[Gross Earnings]]-(EarningsPerDay[[#This Row],[Miles]]*CpM!$D$11)</f>
        <v>23.05215241264743</v>
      </c>
      <c r="T131" s="11">
        <f t="shared" ref="T131:T194" si="25">R131/M131</f>
        <v>10.569230769230769</v>
      </c>
      <c r="U131" s="11">
        <f t="shared" ref="U131:U194" ca="1" si="26">S131/M131</f>
        <v>5.9108083109352387</v>
      </c>
      <c r="V131" s="11">
        <f>EarningsPerDay[[#This Row],[Gross Earnings]]/EarningsPerDay[[#This Row],[Deliveries]]</f>
        <v>10.305</v>
      </c>
      <c r="W131" s="11">
        <f>EarningsPerDay[[#This Row],[Gross Earnings]]/EarningsPerDay[[#This Row],[Miles]]</f>
        <v>0.50589101620029453</v>
      </c>
      <c r="X131" s="71">
        <f>EarningsPerDay[[#This Row],[Deliveries]]/EarningsPerDay[[#This Row],[Hours]]</f>
        <v>1.0256410256410258</v>
      </c>
      <c r="Y131" s="71">
        <f>EarningsPerDay[[#This Row],[Miles]]/EarningsPerDay[[#This Row],[Deliveries]]</f>
        <v>20.37</v>
      </c>
      <c r="Z131" s="81">
        <f>(EarningsPerDay[[#This Row],[Hours]]/EarningsPerDay[[#This Row],[Deliveries]])/24</f>
        <v>4.0625000000000001E-2</v>
      </c>
      <c r="AA1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-14.740750196507557</v>
      </c>
      <c r="AB131" s="11">
        <f>AVERAGEIFS(EarningsPerDay[Gross $/Hour],EarningsPerDay[Week '#], EarningsPerDay[[#This Row],[Week '#]], EarningsPerDay[DOW], EarningsPerDay[[#This Row],[DOW]])</f>
        <v>20.101809097414456</v>
      </c>
      <c r="AC131" s="11">
        <f>EarningsPerDay[[#This Row],[Gross $/Hour]] - EarningsPerDay[[#This Row],[Weekly Average Earnings]]</f>
        <v>-9.5325783281836873</v>
      </c>
      <c r="AD131" s="11">
        <f>(SUMIFS(EarningsPerDay[Gross Earnings], EarningsPerDay[Date],"&gt;="&amp;EarningsPerDay[[#This Row],[Date]]-89, EarningsPerDay[Date], "&lt;="&amp;EarningsPerDay[[#This Row],[Date]]))/90</f>
        <v>24.807000000000002</v>
      </c>
    </row>
    <row r="132" spans="2:35" x14ac:dyDescent="0.35">
      <c r="B132" s="40">
        <v>44721</v>
      </c>
      <c r="C132" s="40">
        <f t="shared" si="23"/>
        <v>44721</v>
      </c>
      <c r="D132" s="4">
        <f>IF(EarningsPerDay[[#This Row],[Week '#]]&gt;=52,YEAR(EarningsPerDay[[#This Row],[Date]])-1,YEAR(EarningsPerDay[[#This Row],[Date]]))</f>
        <v>2022</v>
      </c>
      <c r="E132" s="4" t="str">
        <f>"QTR"&amp;IF(EarningsPerDay[[#This Row],[Week '#]] &lt;= 13, 1, IF(EarningsPerDay[[#This Row],[Week '#]] &lt;= 26, 2, IF(EarningsPerDay[[#This Row],[Week '#]] &lt;= 39, 3, 4)))</f>
        <v>QTR2</v>
      </c>
      <c r="F1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32" s="4">
        <f>IF(WEEKNUM(EarningsPerDay[[#This Row],[Date]], 2) = 53, 1, WEEKNUM(EarningsPerDay[[#This Row],[Date]],2))</f>
        <v>24</v>
      </c>
      <c r="H132" s="40" t="str">
        <f t="shared" si="24"/>
        <v>Thursday</v>
      </c>
      <c r="I13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32" s="40" t="str" cm="1">
        <f t="array" ref="J132">IFERROR(VLOOKUP(MODE(IF(Combined[Date]=EarningsPerDay[[#This Row],[Date]],Combined[Area '#])),KPIs!$B$4:$C$7,2,FALSE),VLOOKUP(EarningsPerDay[[#This Row],[Date]],Combined[[Date]:[Primary Area]],8,FALSE))</f>
        <v>Brunswick/Bath/Freeport</v>
      </c>
      <c r="K132" s="40" t="str">
        <f>_xlfn.XLOOKUP(EarningsPerDay[[#This Row],[Date]],Mileage[Date],Mileage[Weather])</f>
        <v>Clear</v>
      </c>
      <c r="L132" s="4">
        <f>_xlfn.XLOOKUP(EarningsPerDay[[#This Row],[Date]],Mileage[Date],Mileage[Hi Temp])</f>
        <v>73.5</v>
      </c>
      <c r="M132" s="12">
        <f>_xlfn.XLOOKUP(EarningsPerDay[[#This Row],[Date]],Mileage[Date],Mileage[Total Time])</f>
        <v>5.9</v>
      </c>
      <c r="N132" s="4">
        <f>_xlfn.XLOOKUP(EarningsPerDay[[#This Row],[Date]],Mileage[Date],Mileage[Mileage])</f>
        <v>101.4</v>
      </c>
      <c r="O132" s="4">
        <f>SUMIF(Combined[Date],EarningsPerDay[[#This Row],[Date]],Combined[Trips])</f>
        <v>11</v>
      </c>
      <c r="P132">
        <f>COUNTIF(Combined[Date],EarningsPerDay[[#This Row],[Date]])</f>
        <v>2</v>
      </c>
      <c r="Q1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2" s="11">
        <f>SUMIF(Combined[Date],EarningsPerDay[[#This Row],[Date]],Combined[Earnings])</f>
        <v>88.63</v>
      </c>
      <c r="S132" s="11">
        <f ca="1">EarningsPerDay[[#This Row],[Gross Earnings]]-(EarningsPerDay[[#This Row],[Miles]]*CpM!$D$11)</f>
        <v>66.020528407492009</v>
      </c>
      <c r="T132" s="11">
        <f t="shared" si="25"/>
        <v>15.022033898305082</v>
      </c>
      <c r="U132" s="11">
        <f t="shared" ca="1" si="26"/>
        <v>11.189920069066442</v>
      </c>
      <c r="V132" s="11">
        <f>EarningsPerDay[[#This Row],[Gross Earnings]]/EarningsPerDay[[#This Row],[Deliveries]]</f>
        <v>8.0572727272727267</v>
      </c>
      <c r="W132" s="11">
        <f>EarningsPerDay[[#This Row],[Gross Earnings]]/EarningsPerDay[[#This Row],[Miles]]</f>
        <v>0.87406311637080858</v>
      </c>
      <c r="X132" s="71">
        <f>EarningsPerDay[[#This Row],[Deliveries]]/EarningsPerDay[[#This Row],[Hours]]</f>
        <v>1.8644067796610169</v>
      </c>
      <c r="Y132" s="71">
        <f>EarningsPerDay[[#This Row],[Miles]]/EarningsPerDay[[#This Row],[Deliveries]]</f>
        <v>9.2181818181818187</v>
      </c>
      <c r="Z132" s="81">
        <f>(EarningsPerDay[[#This Row],[Hours]]/EarningsPerDay[[#This Row],[Deliveries]])/24</f>
        <v>2.234848484848485E-2</v>
      </c>
      <c r="AA1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-10.925644033082527</v>
      </c>
      <c r="AB132" s="11">
        <f>AVERAGEIFS(EarningsPerDay[Gross $/Hour],EarningsPerDay[Week '#], EarningsPerDay[[#This Row],[Week '#]], EarningsPerDay[DOW], EarningsPerDay[[#This Row],[DOW]])</f>
        <v>20.552091321007818</v>
      </c>
      <c r="AC132" s="11">
        <f>EarningsPerDay[[#This Row],[Gross $/Hour]] - EarningsPerDay[[#This Row],[Weekly Average Earnings]]</f>
        <v>-5.5300574227027361</v>
      </c>
      <c r="AD132" s="11">
        <f>(SUMIFS(EarningsPerDay[Gross Earnings], EarningsPerDay[Date],"&gt;="&amp;EarningsPerDay[[#This Row],[Date]]-89, EarningsPerDay[Date], "&lt;="&amp;EarningsPerDay[[#This Row],[Date]]))/90</f>
        <v>24.990222222222222</v>
      </c>
    </row>
    <row r="133" spans="2:35" x14ac:dyDescent="0.35">
      <c r="B133" s="40">
        <v>44722</v>
      </c>
      <c r="C133" s="40">
        <f t="shared" si="23"/>
        <v>44722</v>
      </c>
      <c r="D133" s="4">
        <f>IF(EarningsPerDay[[#This Row],[Week '#]]&gt;=52,YEAR(EarningsPerDay[[#This Row],[Date]])-1,YEAR(EarningsPerDay[[#This Row],[Date]]))</f>
        <v>2022</v>
      </c>
      <c r="E133" s="4" t="str">
        <f>"QTR"&amp;IF(EarningsPerDay[[#This Row],[Week '#]] &lt;= 13, 1, IF(EarningsPerDay[[#This Row],[Week '#]] &lt;= 26, 2, IF(EarningsPerDay[[#This Row],[Week '#]] &lt;= 39, 3, 4)))</f>
        <v>QTR2</v>
      </c>
      <c r="F1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33" s="4">
        <f>IF(WEEKNUM(EarningsPerDay[[#This Row],[Date]], 2) = 53, 1, WEEKNUM(EarningsPerDay[[#This Row],[Date]],2))</f>
        <v>24</v>
      </c>
      <c r="H133" s="40" t="str">
        <f t="shared" si="24"/>
        <v>Friday</v>
      </c>
      <c r="I13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33" s="40" t="str" cm="1">
        <f t="array" ref="J133">IFERROR(VLOOKUP(MODE(IF(Combined[Date]=EarningsPerDay[[#This Row],[Date]],Combined[Area '#])),KPIs!$B$4:$C$7,2,FALSE),VLOOKUP(EarningsPerDay[[#This Row],[Date]],Combined[[Date]:[Primary Area]],8,FALSE))</f>
        <v>Portland</v>
      </c>
      <c r="K133" s="40" t="str">
        <f>_xlfn.XLOOKUP(EarningsPerDay[[#This Row],[Date]],Mileage[Date],Mileage[Weather])</f>
        <v>Clear</v>
      </c>
      <c r="L133" s="4">
        <f>_xlfn.XLOOKUP(EarningsPerDay[[#This Row],[Date]],Mileage[Date],Mileage[Hi Temp])</f>
        <v>74</v>
      </c>
      <c r="M133" s="12">
        <f>_xlfn.XLOOKUP(EarningsPerDay[[#This Row],[Date]],Mileage[Date],Mileage[Total Time])</f>
        <v>9.1000000000000014</v>
      </c>
      <c r="N133" s="4">
        <f>_xlfn.XLOOKUP(EarningsPerDay[[#This Row],[Date]],Mileage[Date],Mileage[Mileage])</f>
        <v>166.4</v>
      </c>
      <c r="O133" s="4">
        <f>SUMIF(Combined[Date],EarningsPerDay[[#This Row],[Date]],Combined[Trips])</f>
        <v>16</v>
      </c>
      <c r="P133">
        <f>COUNTIF(Combined[Date],EarningsPerDay[[#This Row],[Date]])</f>
        <v>3</v>
      </c>
      <c r="Q1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3" s="11">
        <f>SUMIF(Combined[Date],EarningsPerDay[[#This Row],[Date]],Combined[Earnings])</f>
        <v>154.5</v>
      </c>
      <c r="S133" s="11">
        <f ca="1">EarningsPerDay[[#This Row],[Gross Earnings]]-(EarningsPerDay[[#This Row],[Miles]]*CpM!$D$11)</f>
        <v>117.39727738665357</v>
      </c>
      <c r="T133" s="11">
        <f t="shared" si="25"/>
        <v>16.978021978021975</v>
      </c>
      <c r="U133" s="11">
        <f t="shared" ca="1" si="26"/>
        <v>12.900799712819072</v>
      </c>
      <c r="V133" s="11">
        <f>EarningsPerDay[[#This Row],[Gross Earnings]]/EarningsPerDay[[#This Row],[Deliveries]]</f>
        <v>9.65625</v>
      </c>
      <c r="W133" s="11">
        <f>EarningsPerDay[[#This Row],[Gross Earnings]]/EarningsPerDay[[#This Row],[Miles]]</f>
        <v>0.92848557692307687</v>
      </c>
      <c r="X133" s="71">
        <f>EarningsPerDay[[#This Row],[Deliveries]]/EarningsPerDay[[#This Row],[Hours]]</f>
        <v>1.758241758241758</v>
      </c>
      <c r="Y133" s="71">
        <f>EarningsPerDay[[#This Row],[Miles]]/EarningsPerDay[[#This Row],[Deliveries]]</f>
        <v>10.4</v>
      </c>
      <c r="Z133" s="81">
        <f>(EarningsPerDay[[#This Row],[Hours]]/EarningsPerDay[[#This Row],[Deliveries]])/24</f>
        <v>2.3697916666666669E-2</v>
      </c>
      <c r="AA1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-5.8751672882984245</v>
      </c>
      <c r="AB133" s="11">
        <f>AVERAGEIFS(EarningsPerDay[Gross $/Hour],EarningsPerDay[Week '#], EarningsPerDay[[#This Row],[Week '#]], EarningsPerDay[DOW], EarningsPerDay[[#This Row],[DOW]])</f>
        <v>23.104506448136657</v>
      </c>
      <c r="AC133" s="11">
        <f>EarningsPerDay[[#This Row],[Gross $/Hour]] - EarningsPerDay[[#This Row],[Weekly Average Earnings]]</f>
        <v>-6.1264844701146828</v>
      </c>
      <c r="AD133" s="11">
        <f>(SUMIFS(EarningsPerDay[Gross Earnings], EarningsPerDay[Date],"&gt;="&amp;EarningsPerDay[[#This Row],[Date]]-89, EarningsPerDay[Date], "&lt;="&amp;EarningsPerDay[[#This Row],[Date]]))/90</f>
        <v>25.094222222222221</v>
      </c>
    </row>
    <row r="134" spans="2:35" x14ac:dyDescent="0.35">
      <c r="B134" s="40">
        <v>44724</v>
      </c>
      <c r="C134" s="40">
        <f t="shared" si="23"/>
        <v>44724</v>
      </c>
      <c r="D134" s="4">
        <f>IF(EarningsPerDay[[#This Row],[Week '#]]&gt;=52,YEAR(EarningsPerDay[[#This Row],[Date]])-1,YEAR(EarningsPerDay[[#This Row],[Date]]))</f>
        <v>2022</v>
      </c>
      <c r="E134" s="4" t="str">
        <f>"QTR"&amp;IF(EarningsPerDay[[#This Row],[Week '#]] &lt;= 13, 1, IF(EarningsPerDay[[#This Row],[Week '#]] &lt;= 26, 2, IF(EarningsPerDay[[#This Row],[Week '#]] &lt;= 39, 3, 4)))</f>
        <v>QTR2</v>
      </c>
      <c r="F1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34" s="4">
        <f>IF(WEEKNUM(EarningsPerDay[[#This Row],[Date]], 2) = 53, 1, WEEKNUM(EarningsPerDay[[#This Row],[Date]],2))</f>
        <v>24</v>
      </c>
      <c r="H134" s="40" t="str">
        <f t="shared" si="24"/>
        <v>Sunday</v>
      </c>
      <c r="I13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34" s="40" t="str" cm="1">
        <f t="array" ref="J134">IFERROR(VLOOKUP(MODE(IF(Combined[Date]=EarningsPerDay[[#This Row],[Date]],Combined[Area '#])),KPIs!$B$4:$C$7,2,FALSE),VLOOKUP(EarningsPerDay[[#This Row],[Date]],Combined[[Date]:[Primary Area]],8,FALSE))</f>
        <v>Portland</v>
      </c>
      <c r="K134" s="40" t="str">
        <f>_xlfn.XLOOKUP(EarningsPerDay[[#This Row],[Date]],Mileage[Date],Mileage[Weather])</f>
        <v>Rain</v>
      </c>
      <c r="L134" s="4">
        <f>_xlfn.XLOOKUP(EarningsPerDay[[#This Row],[Date]],Mileage[Date],Mileage[Hi Temp])</f>
        <v>76.3</v>
      </c>
      <c r="M134" s="12">
        <f>_xlfn.XLOOKUP(EarningsPerDay[[#This Row],[Date]],Mileage[Date],Mileage[Total Time])</f>
        <v>6.82</v>
      </c>
      <c r="N134" s="4">
        <f>_xlfn.XLOOKUP(EarningsPerDay[[#This Row],[Date]],Mileage[Date],Mileage[Mileage])</f>
        <v>182</v>
      </c>
      <c r="O134" s="4">
        <f>SUMIF(Combined[Date],EarningsPerDay[[#This Row],[Date]],Combined[Trips])</f>
        <v>13</v>
      </c>
      <c r="P134">
        <f>COUNTIF(Combined[Date],EarningsPerDay[[#This Row],[Date]])</f>
        <v>2</v>
      </c>
      <c r="Q1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4" s="11">
        <f>SUMIF(Combined[Date],EarningsPerDay[[#This Row],[Date]],Combined[Earnings])</f>
        <v>144.63999999999999</v>
      </c>
      <c r="S134" s="11">
        <f ca="1">EarningsPerDay[[#This Row],[Gross Earnings]]-(EarningsPerDay[[#This Row],[Miles]]*CpM!$D$11)</f>
        <v>104.05889714165232</v>
      </c>
      <c r="T134" s="11">
        <f t="shared" si="25"/>
        <v>21.20821114369501</v>
      </c>
      <c r="U134" s="11">
        <f t="shared" ca="1" si="26"/>
        <v>15.257902806693888</v>
      </c>
      <c r="V134" s="11">
        <f>EarningsPerDay[[#This Row],[Gross Earnings]]/EarningsPerDay[[#This Row],[Deliveries]]</f>
        <v>11.126153846153844</v>
      </c>
      <c r="W134" s="11">
        <f>EarningsPerDay[[#This Row],[Gross Earnings]]/EarningsPerDay[[#This Row],[Miles]]</f>
        <v>0.79472527472527466</v>
      </c>
      <c r="X134" s="71">
        <f>EarningsPerDay[[#This Row],[Deliveries]]/EarningsPerDay[[#This Row],[Hours]]</f>
        <v>1.9061583577712609</v>
      </c>
      <c r="Y134" s="71">
        <f>EarningsPerDay[[#This Row],[Miles]]/EarningsPerDay[[#This Row],[Deliveries]]</f>
        <v>14</v>
      </c>
      <c r="Z134" s="81">
        <f>(EarningsPerDay[[#This Row],[Hours]]/EarningsPerDay[[#This Row],[Deliveries]])/24</f>
        <v>2.1858974358974357E-2</v>
      </c>
      <c r="AA1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-6.5615677160691774</v>
      </c>
      <c r="AB134" s="11">
        <f>AVERAGEIFS(EarningsPerDay[Gross $/Hour],EarningsPerDay[Week '#], EarningsPerDay[[#This Row],[Week '#]], EarningsPerDay[DOW], EarningsPerDay[[#This Row],[DOW]])</f>
        <v>21.20821114369501</v>
      </c>
      <c r="AC134" s="11">
        <f>EarningsPerDay[[#This Row],[Gross $/Hour]] - EarningsPerDay[[#This Row],[Weekly Average Earnings]]</f>
        <v>0</v>
      </c>
      <c r="AD134" s="11">
        <f>(SUMIFS(EarningsPerDay[Gross Earnings], EarningsPerDay[Date],"&gt;="&amp;EarningsPerDay[[#This Row],[Date]]-89, EarningsPerDay[Date], "&lt;="&amp;EarningsPerDay[[#This Row],[Date]]))/90</f>
        <v>25.716111111111108</v>
      </c>
    </row>
    <row r="135" spans="2:35" x14ac:dyDescent="0.35">
      <c r="B135" s="40">
        <v>44728</v>
      </c>
      <c r="C135" s="40">
        <f t="shared" si="23"/>
        <v>44728</v>
      </c>
      <c r="D135" s="4">
        <f>IF(EarningsPerDay[[#This Row],[Week '#]]&gt;=52,YEAR(EarningsPerDay[[#This Row],[Date]])-1,YEAR(EarningsPerDay[[#This Row],[Date]]))</f>
        <v>2022</v>
      </c>
      <c r="E135" s="4" t="str">
        <f>"QTR"&amp;IF(EarningsPerDay[[#This Row],[Week '#]] &lt;= 13, 1, IF(EarningsPerDay[[#This Row],[Week '#]] &lt;= 26, 2, IF(EarningsPerDay[[#This Row],[Week '#]] &lt;= 39, 3, 4)))</f>
        <v>QTR2</v>
      </c>
      <c r="F1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35" s="4">
        <f>IF(WEEKNUM(EarningsPerDay[[#This Row],[Date]], 2) = 53, 1, WEEKNUM(EarningsPerDay[[#This Row],[Date]],2))</f>
        <v>25</v>
      </c>
      <c r="H135" s="40" t="str">
        <f t="shared" si="24"/>
        <v>Thursday</v>
      </c>
      <c r="I13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35" s="40" t="str" cm="1">
        <f t="array" ref="J135">IFERROR(VLOOKUP(MODE(IF(Combined[Date]=EarningsPerDay[[#This Row],[Date]],Combined[Area '#])),KPIs!$B$4:$C$7,2,FALSE),VLOOKUP(EarningsPerDay[[#This Row],[Date]],Combined[[Date]:[Primary Area]],8,FALSE))</f>
        <v>Portland</v>
      </c>
      <c r="K135" s="40" t="str">
        <f>_xlfn.XLOOKUP(EarningsPerDay[[#This Row],[Date]],Mileage[Date],Mileage[Weather])</f>
        <v>Rain</v>
      </c>
      <c r="L135" s="4">
        <f>_xlfn.XLOOKUP(EarningsPerDay[[#This Row],[Date]],Mileage[Date],Mileage[Hi Temp])</f>
        <v>78.2</v>
      </c>
      <c r="M135" s="12">
        <f>_xlfn.XLOOKUP(EarningsPerDay[[#This Row],[Date]],Mileage[Date],Mileage[Total Time])</f>
        <v>6.8</v>
      </c>
      <c r="N135" s="4">
        <f>_xlfn.XLOOKUP(EarningsPerDay[[#This Row],[Date]],Mileage[Date],Mileage[Mileage])</f>
        <v>163.1</v>
      </c>
      <c r="O135" s="4">
        <f>SUMIF(Combined[Date],EarningsPerDay[[#This Row],[Date]],Combined[Trips])</f>
        <v>10</v>
      </c>
      <c r="P135">
        <f>COUNTIF(Combined[Date],EarningsPerDay[[#This Row],[Date]])</f>
        <v>4</v>
      </c>
      <c r="Q1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5" s="11">
        <f>SUMIF(Combined[Date],EarningsPerDay[[#This Row],[Date]],Combined[Earnings])</f>
        <v>123.72</v>
      </c>
      <c r="S135" s="11">
        <f ca="1">EarningsPerDay[[#This Row],[Gross Earnings]]-(EarningsPerDay[[#This Row],[Miles]]*CpM!$D$11)</f>
        <v>87.353088592326912</v>
      </c>
      <c r="T135" s="11">
        <f t="shared" si="25"/>
        <v>18.194117647058825</v>
      </c>
      <c r="U135" s="11">
        <f t="shared" ca="1" si="26"/>
        <v>12.846042440048075</v>
      </c>
      <c r="V135" s="11">
        <f>EarningsPerDay[[#This Row],[Gross Earnings]]/EarningsPerDay[[#This Row],[Deliveries]]</f>
        <v>12.372</v>
      </c>
      <c r="W135" s="11">
        <f>EarningsPerDay[[#This Row],[Gross Earnings]]/EarningsPerDay[[#This Row],[Miles]]</f>
        <v>0.75855303494788473</v>
      </c>
      <c r="X135" s="71">
        <f>EarningsPerDay[[#This Row],[Deliveries]]/EarningsPerDay[[#This Row],[Hours]]</f>
        <v>1.4705882352941178</v>
      </c>
      <c r="Y135" s="71">
        <f>EarningsPerDay[[#This Row],[Miles]]/EarningsPerDay[[#This Row],[Deliveries]]</f>
        <v>16.309999999999999</v>
      </c>
      <c r="Z135" s="81">
        <f>(EarningsPerDay[[#This Row],[Hours]]/EarningsPerDay[[#This Row],[Deliveries]])/24</f>
        <v>2.8333333333333332E-2</v>
      </c>
      <c r="AA1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1.0223227752639552</v>
      </c>
      <c r="AB135" s="11">
        <f>AVERAGEIFS(EarningsPerDay[Gross $/Hour],EarningsPerDay[Week '#], EarningsPerDay[[#This Row],[Week '#]], EarningsPerDay[DOW], EarningsPerDay[[#This Row],[DOW]])</f>
        <v>19.1731951408422</v>
      </c>
      <c r="AC135" s="11">
        <f>EarningsPerDay[[#This Row],[Gross $/Hour]] - EarningsPerDay[[#This Row],[Weekly Average Earnings]]</f>
        <v>-0.97907749378337527</v>
      </c>
      <c r="AD135" s="11">
        <f>(SUMIFS(EarningsPerDay[Gross Earnings], EarningsPerDay[Date],"&gt;="&amp;EarningsPerDay[[#This Row],[Date]]-89, EarningsPerDay[Date], "&lt;="&amp;EarningsPerDay[[#This Row],[Date]]))/90</f>
        <v>27.090777777777774</v>
      </c>
    </row>
    <row r="136" spans="2:35" x14ac:dyDescent="0.35">
      <c r="B136" s="40">
        <v>44730</v>
      </c>
      <c r="C136" s="40">
        <f t="shared" si="23"/>
        <v>44730</v>
      </c>
      <c r="D136" s="4">
        <f>IF(EarningsPerDay[[#This Row],[Week '#]]&gt;=52,YEAR(EarningsPerDay[[#This Row],[Date]])-1,YEAR(EarningsPerDay[[#This Row],[Date]]))</f>
        <v>2022</v>
      </c>
      <c r="E136" s="4" t="str">
        <f>"QTR"&amp;IF(EarningsPerDay[[#This Row],[Week '#]] &lt;= 13, 1, IF(EarningsPerDay[[#This Row],[Week '#]] &lt;= 26, 2, IF(EarningsPerDay[[#This Row],[Week '#]] &lt;= 39, 3, 4)))</f>
        <v>QTR2</v>
      </c>
      <c r="F1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36" s="4">
        <f>IF(WEEKNUM(EarningsPerDay[[#This Row],[Date]], 2) = 53, 1, WEEKNUM(EarningsPerDay[[#This Row],[Date]],2))</f>
        <v>25</v>
      </c>
      <c r="H136" s="40" t="str">
        <f t="shared" si="24"/>
        <v>Saturday</v>
      </c>
      <c r="I13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36" s="40" t="str" cm="1">
        <f t="array" ref="J136">IFERROR(VLOOKUP(MODE(IF(Combined[Date]=EarningsPerDay[[#This Row],[Date]],Combined[Area '#])),KPIs!$B$4:$C$7,2,FALSE),VLOOKUP(EarningsPerDay[[#This Row],[Date]],Combined[[Date]:[Primary Area]],8,FALSE))</f>
        <v>Lewiston</v>
      </c>
      <c r="K136" s="40" t="str">
        <f>_xlfn.XLOOKUP(EarningsPerDay[[#This Row],[Date]],Mileage[Date],Mileage[Weather])</f>
        <v>Rain</v>
      </c>
      <c r="L136" s="4">
        <f>_xlfn.XLOOKUP(EarningsPerDay[[#This Row],[Date]],Mileage[Date],Mileage[Hi Temp])</f>
        <v>54.9</v>
      </c>
      <c r="M136" s="12">
        <f>_xlfn.XLOOKUP(EarningsPerDay[[#This Row],[Date]],Mileage[Date],Mileage[Total Time])</f>
        <v>6.8</v>
      </c>
      <c r="N136" s="4">
        <f>_xlfn.XLOOKUP(EarningsPerDay[[#This Row],[Date]],Mileage[Date],Mileage[Mileage])</f>
        <v>128.30000000000001</v>
      </c>
      <c r="O136" s="4">
        <f>SUMIF(Combined[Date],EarningsPerDay[[#This Row],[Date]],Combined[Trips])</f>
        <v>17</v>
      </c>
      <c r="P136">
        <f>COUNTIF(Combined[Date],EarningsPerDay[[#This Row],[Date]])</f>
        <v>4</v>
      </c>
      <c r="Q1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6" s="11">
        <f>SUMIF(Combined[Date],EarningsPerDay[[#This Row],[Date]],Combined[Earnings])</f>
        <v>162.41</v>
      </c>
      <c r="S136" s="11">
        <f ca="1">EarningsPerDay[[#This Row],[Gross Earnings]]-(EarningsPerDay[[#This Row],[Miles]]*CpM!$D$11)</f>
        <v>133.8025522157912</v>
      </c>
      <c r="T136" s="11">
        <f t="shared" si="25"/>
        <v>23.883823529411764</v>
      </c>
      <c r="U136" s="11">
        <f t="shared" ca="1" si="26"/>
        <v>19.67684591408694</v>
      </c>
      <c r="V136" s="11">
        <f>EarningsPerDay[[#This Row],[Gross Earnings]]/EarningsPerDay[[#This Row],[Deliveries]]</f>
        <v>9.5535294117647052</v>
      </c>
      <c r="W136" s="11">
        <f>EarningsPerDay[[#This Row],[Gross Earnings]]/EarningsPerDay[[#This Row],[Miles]]</f>
        <v>1.2658612626656274</v>
      </c>
      <c r="X136" s="71">
        <f>EarningsPerDay[[#This Row],[Deliveries]]/EarningsPerDay[[#This Row],[Hours]]</f>
        <v>2.5</v>
      </c>
      <c r="Y136" s="71">
        <f>EarningsPerDay[[#This Row],[Miles]]/EarningsPerDay[[#This Row],[Deliveries]]</f>
        <v>7.5470588235294125</v>
      </c>
      <c r="Z136" s="81">
        <f>(EarningsPerDay[[#This Row],[Hours]]/EarningsPerDay[[#This Row],[Deliveries]])/24</f>
        <v>1.6666666666666666E-2</v>
      </c>
      <c r="AA13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36" s="11">
        <f>AVERAGEIFS(EarningsPerDay[Gross $/Hour],EarningsPerDay[Week '#], EarningsPerDay[[#This Row],[Week '#]], EarningsPerDay[DOW], EarningsPerDay[[#This Row],[DOW]])</f>
        <v>22.879063937501609</v>
      </c>
      <c r="AC136" s="11">
        <f>EarningsPerDay[[#This Row],[Gross $/Hour]] - EarningsPerDay[[#This Row],[Weekly Average Earnings]]</f>
        <v>1.0047595919101546</v>
      </c>
      <c r="AD136" s="11">
        <f>(SUMIFS(EarningsPerDay[Gross Earnings], EarningsPerDay[Date],"&gt;="&amp;EarningsPerDay[[#This Row],[Date]]-89, EarningsPerDay[Date], "&lt;="&amp;EarningsPerDay[[#This Row],[Date]]))/90</f>
        <v>25.193888888888885</v>
      </c>
    </row>
    <row r="137" spans="2:35" x14ac:dyDescent="0.35">
      <c r="B137" s="40">
        <v>44734</v>
      </c>
      <c r="C137" s="40">
        <f t="shared" si="23"/>
        <v>44734</v>
      </c>
      <c r="D137" s="4">
        <f>IF(EarningsPerDay[[#This Row],[Week '#]]&gt;=52,YEAR(EarningsPerDay[[#This Row],[Date]])-1,YEAR(EarningsPerDay[[#This Row],[Date]]))</f>
        <v>2022</v>
      </c>
      <c r="E137" s="4" t="str">
        <f>"QTR"&amp;IF(EarningsPerDay[[#This Row],[Week '#]] &lt;= 13, 1, IF(EarningsPerDay[[#This Row],[Week '#]] &lt;= 26, 2, IF(EarningsPerDay[[#This Row],[Week '#]] &lt;= 39, 3, 4)))</f>
        <v>QTR2</v>
      </c>
      <c r="F1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37" s="4">
        <f>IF(WEEKNUM(EarningsPerDay[[#This Row],[Date]], 2) = 53, 1, WEEKNUM(EarningsPerDay[[#This Row],[Date]],2))</f>
        <v>26</v>
      </c>
      <c r="H137" s="40" t="str">
        <f t="shared" si="24"/>
        <v>Wednesday</v>
      </c>
      <c r="I13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137" s="40" t="str" cm="1">
        <f t="array" ref="J137">IFERROR(VLOOKUP(MODE(IF(Combined[Date]=EarningsPerDay[[#This Row],[Date]],Combined[Area '#])),KPIs!$B$4:$C$7,2,FALSE),VLOOKUP(EarningsPerDay[[#This Row],[Date]],Combined[[Date]:[Primary Area]],8,FALSE))</f>
        <v>Lewiston</v>
      </c>
      <c r="K137" s="40" t="str">
        <f>_xlfn.XLOOKUP(EarningsPerDay[[#This Row],[Date]],Mileage[Date],Mileage[Weather])</f>
        <v>Rain</v>
      </c>
      <c r="L137" s="4">
        <f>_xlfn.XLOOKUP(EarningsPerDay[[#This Row],[Date]],Mileage[Date],Mileage[Hi Temp])</f>
        <v>71.2</v>
      </c>
      <c r="M137" s="12">
        <f>_xlfn.XLOOKUP(EarningsPerDay[[#This Row],[Date]],Mileage[Date],Mileage[Total Time])</f>
        <v>3.53</v>
      </c>
      <c r="N137" s="4">
        <f>_xlfn.XLOOKUP(EarningsPerDay[[#This Row],[Date]],Mileage[Date],Mileage[Mileage])</f>
        <v>63</v>
      </c>
      <c r="O137" s="4">
        <f>SUMIF(Combined[Date],EarningsPerDay[[#This Row],[Date]],Combined[Trips])</f>
        <v>5</v>
      </c>
      <c r="P137">
        <f>COUNTIF(Combined[Date],EarningsPerDay[[#This Row],[Date]])</f>
        <v>3</v>
      </c>
      <c r="Q1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7" s="11">
        <f>SUMIF(Combined[Date],EarningsPerDay[[#This Row],[Date]],Combined[Earnings])</f>
        <v>27.73</v>
      </c>
      <c r="S137" s="11">
        <f ca="1">EarningsPerDay[[#This Row],[Gross Earnings]]-(EarningsPerDay[[#This Row],[Miles]]*CpM!$D$11)</f>
        <v>13.682695164418119</v>
      </c>
      <c r="T137" s="11">
        <f t="shared" si="25"/>
        <v>7.855524079320114</v>
      </c>
      <c r="U137" s="11">
        <f t="shared" ca="1" si="26"/>
        <v>3.8761176103167476</v>
      </c>
      <c r="V137" s="11">
        <f>EarningsPerDay[[#This Row],[Gross Earnings]]/EarningsPerDay[[#This Row],[Deliveries]]</f>
        <v>5.5460000000000003</v>
      </c>
      <c r="W137" s="11">
        <f>EarningsPerDay[[#This Row],[Gross Earnings]]/EarningsPerDay[[#This Row],[Miles]]</f>
        <v>0.44015873015873014</v>
      </c>
      <c r="X137" s="71">
        <f>EarningsPerDay[[#This Row],[Deliveries]]/EarningsPerDay[[#This Row],[Hours]]</f>
        <v>1.41643059490085</v>
      </c>
      <c r="Y137" s="71">
        <f>EarningsPerDay[[#This Row],[Miles]]/EarningsPerDay[[#This Row],[Deliveries]]</f>
        <v>12.6</v>
      </c>
      <c r="Z137" s="81">
        <f>(EarningsPerDay[[#This Row],[Hours]]/EarningsPerDay[[#This Row],[Deliveries]])/24</f>
        <v>2.9416666666666664E-2</v>
      </c>
      <c r="AA1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-18.516270792474756</v>
      </c>
      <c r="AB137" s="11">
        <f>AVERAGEIFS(EarningsPerDay[Gross $/Hour],EarningsPerDay[Week '#], EarningsPerDay[[#This Row],[Week '#]], EarningsPerDay[DOW], EarningsPerDay[[#This Row],[DOW]])</f>
        <v>14.873473218905231</v>
      </c>
      <c r="AC137" s="11">
        <f>EarningsPerDay[[#This Row],[Gross $/Hour]] - EarningsPerDay[[#This Row],[Weekly Average Earnings]]</f>
        <v>-7.0179491395851166</v>
      </c>
      <c r="AD137" s="11">
        <f>(SUMIFS(EarningsPerDay[Gross Earnings], EarningsPerDay[Date],"&gt;="&amp;EarningsPerDay[[#This Row],[Date]]-89, EarningsPerDay[Date], "&lt;="&amp;EarningsPerDay[[#This Row],[Date]]))/90</f>
        <v>25.210333333333331</v>
      </c>
    </row>
    <row r="138" spans="2:35" x14ac:dyDescent="0.35">
      <c r="B138" s="40">
        <v>44736</v>
      </c>
      <c r="C138" s="40">
        <f t="shared" si="23"/>
        <v>44736</v>
      </c>
      <c r="D138" s="4">
        <f>IF(EarningsPerDay[[#This Row],[Week '#]]&gt;=52,YEAR(EarningsPerDay[[#This Row],[Date]])-1,YEAR(EarningsPerDay[[#This Row],[Date]]))</f>
        <v>2022</v>
      </c>
      <c r="E138" s="4" t="str">
        <f>"QTR"&amp;IF(EarningsPerDay[[#This Row],[Week '#]] &lt;= 13, 1, IF(EarningsPerDay[[#This Row],[Week '#]] &lt;= 26, 2, IF(EarningsPerDay[[#This Row],[Week '#]] &lt;= 39, 3, 4)))</f>
        <v>QTR2</v>
      </c>
      <c r="F1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38" s="4">
        <f>IF(WEEKNUM(EarningsPerDay[[#This Row],[Date]], 2) = 53, 1, WEEKNUM(EarningsPerDay[[#This Row],[Date]],2))</f>
        <v>26</v>
      </c>
      <c r="H138" s="40" t="str">
        <f t="shared" si="24"/>
        <v>Friday</v>
      </c>
      <c r="I13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38" s="40" t="str" cm="1">
        <f t="array" ref="J138">IFERROR(VLOOKUP(MODE(IF(Combined[Date]=EarningsPerDay[[#This Row],[Date]],Combined[Area '#])),KPIs!$B$4:$C$7,2,FALSE),VLOOKUP(EarningsPerDay[[#This Row],[Date]],Combined[[Date]:[Primary Area]],8,FALSE))</f>
        <v>Brunswick/Bath/Freeport</v>
      </c>
      <c r="K138" s="40" t="str">
        <f>_xlfn.XLOOKUP(EarningsPerDay[[#This Row],[Date]],Mileage[Date],Mileage[Weather])</f>
        <v>Clear</v>
      </c>
      <c r="L138" s="4">
        <f>_xlfn.XLOOKUP(EarningsPerDay[[#This Row],[Date]],Mileage[Date],Mileage[Hi Temp])</f>
        <v>87.6</v>
      </c>
      <c r="M138" s="12">
        <f>_xlfn.XLOOKUP(EarningsPerDay[[#This Row],[Date]],Mileage[Date],Mileage[Total Time])</f>
        <v>3.5</v>
      </c>
      <c r="N138" s="4">
        <f>_xlfn.XLOOKUP(EarningsPerDay[[#This Row],[Date]],Mileage[Date],Mileage[Mileage])</f>
        <v>137.6</v>
      </c>
      <c r="O138" s="4">
        <f>SUMIF(Combined[Date],EarningsPerDay[[#This Row],[Date]],Combined[Trips])</f>
        <v>9</v>
      </c>
      <c r="P138">
        <f>COUNTIF(Combined[Date],EarningsPerDay[[#This Row],[Date]])</f>
        <v>4</v>
      </c>
      <c r="Q1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8" s="11">
        <f>SUMIF(Combined[Date],EarningsPerDay[[#This Row],[Date]],Combined[Earnings])</f>
        <v>124.09</v>
      </c>
      <c r="S138" s="11">
        <f ca="1">EarningsPerDay[[#This Row],[Gross Earnings]]-(EarningsPerDay[[#This Row],[Miles]]*CpM!$D$11)</f>
        <v>93.408902454348151</v>
      </c>
      <c r="T138" s="11">
        <f t="shared" si="25"/>
        <v>35.454285714285717</v>
      </c>
      <c r="U138" s="11">
        <f t="shared" ca="1" si="26"/>
        <v>26.688257844099471</v>
      </c>
      <c r="V138" s="11">
        <f>EarningsPerDay[[#This Row],[Gross Earnings]]/EarningsPerDay[[#This Row],[Deliveries]]</f>
        <v>13.787777777777778</v>
      </c>
      <c r="W138" s="11">
        <f>EarningsPerDay[[#This Row],[Gross Earnings]]/EarningsPerDay[[#This Row],[Miles]]</f>
        <v>0.90181686046511633</v>
      </c>
      <c r="X138" s="71">
        <f>EarningsPerDay[[#This Row],[Deliveries]]/EarningsPerDay[[#This Row],[Hours]]</f>
        <v>2.5714285714285716</v>
      </c>
      <c r="Y138" s="71">
        <f>EarningsPerDay[[#This Row],[Miles]]/EarningsPerDay[[#This Row],[Deliveries]]</f>
        <v>15.288888888888888</v>
      </c>
      <c r="Z138" s="81">
        <f>(EarningsPerDay[[#This Row],[Hours]]/EarningsPerDay[[#This Row],[Deliveries]])/24</f>
        <v>1.6203703703703703E-2</v>
      </c>
      <c r="AA1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15.674920634920639</v>
      </c>
      <c r="AB138" s="11">
        <f>AVERAGEIFS(EarningsPerDay[Gross $/Hour],EarningsPerDay[Week '#], EarningsPerDay[[#This Row],[Week '#]], EarningsPerDay[DOW], EarningsPerDay[[#This Row],[DOW]])</f>
        <v>26.982702895536416</v>
      </c>
      <c r="AC138" s="11">
        <f>EarningsPerDay[[#This Row],[Gross $/Hour]] - EarningsPerDay[[#This Row],[Weekly Average Earnings]]</f>
        <v>8.471582818749301</v>
      </c>
      <c r="AD138" s="11">
        <f>(SUMIFS(EarningsPerDay[Gross Earnings], EarningsPerDay[Date],"&gt;="&amp;EarningsPerDay[[#This Row],[Date]]-89, EarningsPerDay[Date], "&lt;="&amp;EarningsPerDay[[#This Row],[Date]]))/90</f>
        <v>24.00533333333334</v>
      </c>
    </row>
    <row r="139" spans="2:35" x14ac:dyDescent="0.35">
      <c r="B139" s="40">
        <v>44737</v>
      </c>
      <c r="C139" s="40">
        <f t="shared" si="23"/>
        <v>44737</v>
      </c>
      <c r="D139" s="4">
        <f>IF(EarningsPerDay[[#This Row],[Week '#]]&gt;=52,YEAR(EarningsPerDay[[#This Row],[Date]])-1,YEAR(EarningsPerDay[[#This Row],[Date]]))</f>
        <v>2022</v>
      </c>
      <c r="E139" s="4" t="str">
        <f>"QTR"&amp;IF(EarningsPerDay[[#This Row],[Week '#]] &lt;= 13, 1, IF(EarningsPerDay[[#This Row],[Week '#]] &lt;= 26, 2, IF(EarningsPerDay[[#This Row],[Week '#]] &lt;= 39, 3, 4)))</f>
        <v>QTR2</v>
      </c>
      <c r="F1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39" s="4">
        <f>IF(WEEKNUM(EarningsPerDay[[#This Row],[Date]], 2) = 53, 1, WEEKNUM(EarningsPerDay[[#This Row],[Date]],2))</f>
        <v>26</v>
      </c>
      <c r="H139" s="40" t="str">
        <f t="shared" si="24"/>
        <v>Saturday</v>
      </c>
      <c r="I13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39" s="40" t="str" cm="1">
        <f t="array" ref="J139">IFERROR(VLOOKUP(MODE(IF(Combined[Date]=EarningsPerDay[[#This Row],[Date]],Combined[Area '#])),KPIs!$B$4:$C$7,2,FALSE),VLOOKUP(EarningsPerDay[[#This Row],[Date]],Combined[[Date]:[Primary Area]],8,FALSE))</f>
        <v>Lewiston</v>
      </c>
      <c r="K139" s="40" t="str">
        <f>_xlfn.XLOOKUP(EarningsPerDay[[#This Row],[Date]],Mileage[Date],Mileage[Weather])</f>
        <v>Clear</v>
      </c>
      <c r="L139" s="4">
        <f>_xlfn.XLOOKUP(EarningsPerDay[[#This Row],[Date]],Mileage[Date],Mileage[Hi Temp])</f>
        <v>88.2</v>
      </c>
      <c r="M139" s="12">
        <f>_xlfn.XLOOKUP(EarningsPerDay[[#This Row],[Date]],Mileage[Date],Mileage[Total Time])</f>
        <v>6.1999999999999993</v>
      </c>
      <c r="N139" s="4">
        <f>_xlfn.XLOOKUP(EarningsPerDay[[#This Row],[Date]],Mileage[Date],Mileage[Mileage])</f>
        <v>134</v>
      </c>
      <c r="O139" s="4">
        <f>SUMIF(Combined[Date],EarningsPerDay[[#This Row],[Date]],Combined[Trips])</f>
        <v>16</v>
      </c>
      <c r="P139">
        <f>COUNTIF(Combined[Date],EarningsPerDay[[#This Row],[Date]])</f>
        <v>2</v>
      </c>
      <c r="Q1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39" s="11">
        <f>SUMIF(Combined[Date],EarningsPerDay[[#This Row],[Date]],Combined[Earnings])</f>
        <v>118.68</v>
      </c>
      <c r="S139" s="11">
        <f ca="1">EarningsPerDay[[#This Row],[Gross Earnings]]-(EarningsPerDay[[#This Row],[Miles]]*CpM!$D$11)</f>
        <v>88.801605587809973</v>
      </c>
      <c r="T139" s="11">
        <f t="shared" si="25"/>
        <v>19.14193548387097</v>
      </c>
      <c r="U139" s="11">
        <f t="shared" ca="1" si="26"/>
        <v>14.322839610937095</v>
      </c>
      <c r="V139" s="11">
        <f>EarningsPerDay[[#This Row],[Gross Earnings]]/EarningsPerDay[[#This Row],[Deliveries]]</f>
        <v>7.4175000000000004</v>
      </c>
      <c r="W139" s="11">
        <f>EarningsPerDay[[#This Row],[Gross Earnings]]/EarningsPerDay[[#This Row],[Miles]]</f>
        <v>0.88567164179104485</v>
      </c>
      <c r="X139" s="71">
        <f>EarningsPerDay[[#This Row],[Deliveries]]/EarningsPerDay[[#This Row],[Hours]]</f>
        <v>2.580645161290323</v>
      </c>
      <c r="Y139" s="71">
        <f>EarningsPerDay[[#This Row],[Miles]]/EarningsPerDay[[#This Row],[Deliveries]]</f>
        <v>8.375</v>
      </c>
      <c r="Z139" s="81">
        <f>(EarningsPerDay[[#This Row],[Hours]]/EarningsPerDay[[#This Row],[Deliveries]])/24</f>
        <v>1.6145833333333331E-2</v>
      </c>
      <c r="AA1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-4.7418880455407937</v>
      </c>
      <c r="AB139" s="11">
        <f>AVERAGEIFS(EarningsPerDay[Gross $/Hour],EarningsPerDay[Week '#], EarningsPerDay[[#This Row],[Week '#]], EarningsPerDay[DOW], EarningsPerDay[[#This Row],[DOW]])</f>
        <v>20.115540994623654</v>
      </c>
      <c r="AC139" s="11">
        <f>EarningsPerDay[[#This Row],[Gross $/Hour]] - EarningsPerDay[[#This Row],[Weekly Average Earnings]]</f>
        <v>-0.97360551075268376</v>
      </c>
      <c r="AD139" s="11">
        <f>(SUMIFS(EarningsPerDay[Gross Earnings], EarningsPerDay[Date],"&gt;="&amp;EarningsPerDay[[#This Row],[Date]]-89, EarningsPerDay[Date], "&lt;="&amp;EarningsPerDay[[#This Row],[Date]]))/90</f>
        <v>25.324000000000005</v>
      </c>
    </row>
    <row r="140" spans="2:35" x14ac:dyDescent="0.35">
      <c r="B140" s="40">
        <v>44738</v>
      </c>
      <c r="C140" s="40">
        <f t="shared" si="23"/>
        <v>44738</v>
      </c>
      <c r="D140" s="4">
        <f>IF(EarningsPerDay[[#This Row],[Week '#]]&gt;=52,YEAR(EarningsPerDay[[#This Row],[Date]])-1,YEAR(EarningsPerDay[[#This Row],[Date]]))</f>
        <v>2022</v>
      </c>
      <c r="E140" s="4" t="str">
        <f>"QTR"&amp;IF(EarningsPerDay[[#This Row],[Week '#]] &lt;= 13, 1, IF(EarningsPerDay[[#This Row],[Week '#]] &lt;= 26, 2, IF(EarningsPerDay[[#This Row],[Week '#]] &lt;= 39, 3, 4)))</f>
        <v>QTR2</v>
      </c>
      <c r="F1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40" s="4">
        <f>IF(WEEKNUM(EarningsPerDay[[#This Row],[Date]], 2) = 53, 1, WEEKNUM(EarningsPerDay[[#This Row],[Date]],2))</f>
        <v>26</v>
      </c>
      <c r="H140" s="40" t="str">
        <f t="shared" si="24"/>
        <v>Sunday</v>
      </c>
      <c r="I140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140" s="40" t="str" cm="1">
        <f t="array" ref="J140">IFERROR(VLOOKUP(MODE(IF(Combined[Date]=EarningsPerDay[[#This Row],[Date]],Combined[Area '#])),KPIs!$B$4:$C$7,2,FALSE),VLOOKUP(EarningsPerDay[[#This Row],[Date]],Combined[[Date]:[Primary Area]],8,FALSE))</f>
        <v>Lewiston</v>
      </c>
      <c r="K140" s="40" t="str">
        <f>_xlfn.XLOOKUP(EarningsPerDay[[#This Row],[Date]],Mileage[Date],Mileage[Weather])</f>
        <v>Rain</v>
      </c>
      <c r="L140" s="4">
        <f>_xlfn.XLOOKUP(EarningsPerDay[[#This Row],[Date]],Mileage[Date],Mileage[Hi Temp])</f>
        <v>76.5</v>
      </c>
      <c r="M140" s="12">
        <f>_xlfn.XLOOKUP(EarningsPerDay[[#This Row],[Date]],Mileage[Date],Mileage[Total Time])</f>
        <v>7.6</v>
      </c>
      <c r="N140" s="4">
        <f>_xlfn.XLOOKUP(EarningsPerDay[[#This Row],[Date]],Mileage[Date],Mileage[Mileage])</f>
        <v>142.5</v>
      </c>
      <c r="O140" s="4">
        <f>SUMIF(Combined[Date],EarningsPerDay[[#This Row],[Date]],Combined[Trips])</f>
        <v>16</v>
      </c>
      <c r="P140">
        <f>COUNTIF(Combined[Date],EarningsPerDay[[#This Row],[Date]])</f>
        <v>3</v>
      </c>
      <c r="Q1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0" s="11">
        <f>SUMIF(Combined[Date],EarningsPerDay[[#This Row],[Date]],Combined[Earnings])</f>
        <v>123.57999999999998</v>
      </c>
      <c r="S140" s="11">
        <f ca="1">EarningsPerDay[[#This Row],[Gross Earnings]]-(EarningsPerDay[[#This Row],[Miles]]*CpM!$D$11)</f>
        <v>91.806334300469544</v>
      </c>
      <c r="T140" s="11">
        <f t="shared" si="25"/>
        <v>16.260526315789473</v>
      </c>
      <c r="U140" s="11">
        <f t="shared" ca="1" si="26"/>
        <v>12.079780829009151</v>
      </c>
      <c r="V140" s="11">
        <f>EarningsPerDay[[#This Row],[Gross Earnings]]/EarningsPerDay[[#This Row],[Deliveries]]</f>
        <v>7.723749999999999</v>
      </c>
      <c r="W140" s="11">
        <f>EarningsPerDay[[#This Row],[Gross Earnings]]/EarningsPerDay[[#This Row],[Miles]]</f>
        <v>0.86722807017543846</v>
      </c>
      <c r="X140" s="71">
        <f>EarningsPerDay[[#This Row],[Deliveries]]/EarningsPerDay[[#This Row],[Hours]]</f>
        <v>2.1052631578947367</v>
      </c>
      <c r="Y140" s="71">
        <f>EarningsPerDay[[#This Row],[Miles]]/EarningsPerDay[[#This Row],[Deliveries]]</f>
        <v>8.90625</v>
      </c>
      <c r="Z140" s="81">
        <f>(EarningsPerDay[[#This Row],[Hours]]/EarningsPerDay[[#This Row],[Deliveries]])/24</f>
        <v>1.9791666666666666E-2</v>
      </c>
      <c r="AA14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0" s="11">
        <f>AVERAGEIFS(EarningsPerDay[Gross $/Hour],EarningsPerDay[Week '#], EarningsPerDay[[#This Row],[Week '#]], EarningsPerDay[DOW], EarningsPerDay[[#This Row],[DOW]])</f>
        <v>18.887056636155606</v>
      </c>
      <c r="AC140" s="11">
        <f>EarningsPerDay[[#This Row],[Gross $/Hour]] - EarningsPerDay[[#This Row],[Weekly Average Earnings]]</f>
        <v>-2.6265303203661325</v>
      </c>
      <c r="AD140" s="11">
        <f>(SUMIFS(EarningsPerDay[Gross Earnings], EarningsPerDay[Date],"&gt;="&amp;EarningsPerDay[[#This Row],[Date]]-89, EarningsPerDay[Date], "&lt;="&amp;EarningsPerDay[[#This Row],[Date]]))/90</f>
        <v>26.697111111111113</v>
      </c>
      <c r="AH140" s="108"/>
    </row>
    <row r="141" spans="2:35" x14ac:dyDescent="0.35">
      <c r="B141" s="40">
        <v>44740</v>
      </c>
      <c r="C141" s="40">
        <f t="shared" si="23"/>
        <v>44740</v>
      </c>
      <c r="D141" s="4">
        <f>IF(EarningsPerDay[[#This Row],[Week '#]]&gt;=52,YEAR(EarningsPerDay[[#This Row],[Date]])-1,YEAR(EarningsPerDay[[#This Row],[Date]]))</f>
        <v>2022</v>
      </c>
      <c r="E141" s="4" t="str">
        <f>"QTR"&amp;IF(EarningsPerDay[[#This Row],[Week '#]] &lt;= 13, 1, IF(EarningsPerDay[[#This Row],[Week '#]] &lt;= 26, 2, IF(EarningsPerDay[[#This Row],[Week '#]] &lt;= 39, 3, 4)))</f>
        <v>QTR3</v>
      </c>
      <c r="F1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41" s="4">
        <f>IF(WEEKNUM(EarningsPerDay[[#This Row],[Date]], 2) = 53, 1, WEEKNUM(EarningsPerDay[[#This Row],[Date]],2))</f>
        <v>27</v>
      </c>
      <c r="H141" s="40" t="str">
        <f t="shared" si="24"/>
        <v>Tuesday</v>
      </c>
      <c r="I14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41" s="40" t="str" cm="1">
        <f t="array" ref="J141">IFERROR(VLOOKUP(MODE(IF(Combined[Date]=EarningsPerDay[[#This Row],[Date]],Combined[Area '#])),KPIs!$B$4:$C$7,2,FALSE),VLOOKUP(EarningsPerDay[[#This Row],[Date]],Combined[[Date]:[Primary Area]],8,FALSE))</f>
        <v>Portland</v>
      </c>
      <c r="K141" s="40" t="str">
        <f>_xlfn.XLOOKUP(EarningsPerDay[[#This Row],[Date]],Mileage[Date],Mileage[Weather])</f>
        <v>Rain</v>
      </c>
      <c r="L141" s="4">
        <f>_xlfn.XLOOKUP(EarningsPerDay[[#This Row],[Date]],Mileage[Date],Mileage[Hi Temp])</f>
        <v>78.3</v>
      </c>
      <c r="M141" s="12">
        <f>_xlfn.XLOOKUP(EarningsPerDay[[#This Row],[Date]],Mileage[Date],Mileage[Total Time])</f>
        <v>7.9</v>
      </c>
      <c r="N141" s="4">
        <f>_xlfn.XLOOKUP(EarningsPerDay[[#This Row],[Date]],Mileage[Date],Mileage[Mileage])</f>
        <v>92.2</v>
      </c>
      <c r="O141" s="4">
        <f>SUMIF(Combined[Date],EarningsPerDay[[#This Row],[Date]],Combined[Trips])</f>
        <v>5</v>
      </c>
      <c r="P141">
        <f>COUNTIF(Combined[Date],EarningsPerDay[[#This Row],[Date]])</f>
        <v>3</v>
      </c>
      <c r="Q1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1" s="11">
        <f>SUMIF(Combined[Date],EarningsPerDay[[#This Row],[Date]],Combined[Earnings])</f>
        <v>60.870000000000005</v>
      </c>
      <c r="S141" s="11">
        <f ca="1">EarningsPerDay[[#This Row],[Gross Earnings]]-(EarningsPerDay[[#This Row],[Miles]]*CpM!$D$11)</f>
        <v>40.311880859672236</v>
      </c>
      <c r="T141" s="11">
        <f t="shared" si="25"/>
        <v>7.7050632911392407</v>
      </c>
      <c r="U141" s="11">
        <f t="shared" ca="1" si="26"/>
        <v>5.1027697290724348</v>
      </c>
      <c r="V141" s="11">
        <f>EarningsPerDay[[#This Row],[Gross Earnings]]/EarningsPerDay[[#This Row],[Deliveries]]</f>
        <v>12.174000000000001</v>
      </c>
      <c r="W141" s="11">
        <f>EarningsPerDay[[#This Row],[Gross Earnings]]/EarningsPerDay[[#This Row],[Miles]]</f>
        <v>0.6601952277657267</v>
      </c>
      <c r="X141" s="71">
        <f>EarningsPerDay[[#This Row],[Deliveries]]/EarningsPerDay[[#This Row],[Hours]]</f>
        <v>0.63291139240506322</v>
      </c>
      <c r="Y141" s="71">
        <f>EarningsPerDay[[#This Row],[Miles]]/EarningsPerDay[[#This Row],[Deliveries]]</f>
        <v>18.440000000000001</v>
      </c>
      <c r="Z141" s="81">
        <f>(EarningsPerDay[[#This Row],[Hours]]/EarningsPerDay[[#This Row],[Deliveries]])/24</f>
        <v>6.5833333333333341E-2</v>
      </c>
      <c r="AA14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1" s="11">
        <f>AVERAGEIFS(EarningsPerDay[Gross $/Hour],EarningsPerDay[Week '#], EarningsPerDay[[#This Row],[Week '#]], EarningsPerDay[DOW], EarningsPerDay[[#This Row],[DOW]])</f>
        <v>20.191072811871479</v>
      </c>
      <c r="AC141" s="11">
        <f>EarningsPerDay[[#This Row],[Gross $/Hour]] - EarningsPerDay[[#This Row],[Weekly Average Earnings]]</f>
        <v>-12.486009520732239</v>
      </c>
      <c r="AD141" s="11">
        <f>(SUMIFS(EarningsPerDay[Gross Earnings], EarningsPerDay[Date],"&gt;="&amp;EarningsPerDay[[#This Row],[Date]]-89, EarningsPerDay[Date], "&lt;="&amp;EarningsPerDay[[#This Row],[Date]]))/90</f>
        <v>26.74411111111111</v>
      </c>
      <c r="AH141" s="108"/>
    </row>
    <row r="142" spans="2:35" x14ac:dyDescent="0.35">
      <c r="B142" s="40">
        <v>44743</v>
      </c>
      <c r="C142" s="40">
        <f t="shared" si="23"/>
        <v>44743</v>
      </c>
      <c r="D142" s="4">
        <f>IF(EarningsPerDay[[#This Row],[Week '#]]&gt;=52,YEAR(EarningsPerDay[[#This Row],[Date]])-1,YEAR(EarningsPerDay[[#This Row],[Date]]))</f>
        <v>2022</v>
      </c>
      <c r="E142" s="4" t="str">
        <f>"QTR"&amp;IF(EarningsPerDay[[#This Row],[Week '#]] &lt;= 13, 1, IF(EarningsPerDay[[#This Row],[Week '#]] &lt;= 26, 2, IF(EarningsPerDay[[#This Row],[Week '#]] &lt;= 39, 3, 4)))</f>
        <v>QTR3</v>
      </c>
      <c r="F1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42" s="4">
        <f>IF(WEEKNUM(EarningsPerDay[[#This Row],[Date]], 2) = 53, 1, WEEKNUM(EarningsPerDay[[#This Row],[Date]],2))</f>
        <v>27</v>
      </c>
      <c r="H142" s="40" t="str">
        <f t="shared" si="24"/>
        <v>Friday</v>
      </c>
      <c r="I14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42" s="40" t="str" cm="1">
        <f t="array" ref="J142">IFERROR(VLOOKUP(MODE(IF(Combined[Date]=EarningsPerDay[[#This Row],[Date]],Combined[Area '#])),KPIs!$B$4:$C$7,2,FALSE),VLOOKUP(EarningsPerDay[[#This Row],[Date]],Combined[[Date]:[Primary Area]],8,FALSE))</f>
        <v>Lewiston</v>
      </c>
      <c r="K142" s="40" t="str">
        <f>_xlfn.XLOOKUP(EarningsPerDay[[#This Row],[Date]],Mileage[Date],Mileage[Weather])</f>
        <v>Rain</v>
      </c>
      <c r="L142" s="4">
        <f>_xlfn.XLOOKUP(EarningsPerDay[[#This Row],[Date]],Mileage[Date],Mileage[Hi Temp])</f>
        <v>83.9</v>
      </c>
      <c r="M142" s="12">
        <f>_xlfn.XLOOKUP(EarningsPerDay[[#This Row],[Date]],Mileage[Date],Mileage[Total Time])</f>
        <v>4.5</v>
      </c>
      <c r="N142" s="4">
        <f>_xlfn.XLOOKUP(EarningsPerDay[[#This Row],[Date]],Mileage[Date],Mileage[Mileage])</f>
        <v>143</v>
      </c>
      <c r="O142" s="4">
        <f>SUMIF(Combined[Date],EarningsPerDay[[#This Row],[Date]],Combined[Trips])</f>
        <v>12</v>
      </c>
      <c r="P142">
        <f>COUNTIF(Combined[Date],EarningsPerDay[[#This Row],[Date]])</f>
        <v>3</v>
      </c>
      <c r="Q1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2" s="11">
        <f>SUMIF(Combined[Date],EarningsPerDay[[#This Row],[Date]],Combined[Earnings])</f>
        <v>110.86</v>
      </c>
      <c r="S142" s="11">
        <f ca="1">EarningsPerDay[[#This Row],[Gross Earnings]]-(EarningsPerDay[[#This Row],[Miles]]*CpM!$D$11)</f>
        <v>78.974847754155405</v>
      </c>
      <c r="T142" s="11">
        <f t="shared" si="25"/>
        <v>24.635555555555555</v>
      </c>
      <c r="U142" s="11">
        <f t="shared" ca="1" si="26"/>
        <v>17.549966167590089</v>
      </c>
      <c r="V142" s="11">
        <f>EarningsPerDay[[#This Row],[Gross Earnings]]/EarningsPerDay[[#This Row],[Deliveries]]</f>
        <v>9.2383333333333333</v>
      </c>
      <c r="W142" s="11">
        <f>EarningsPerDay[[#This Row],[Gross Earnings]]/EarningsPerDay[[#This Row],[Miles]]</f>
        <v>0.77524475524475522</v>
      </c>
      <c r="X142" s="71">
        <f>EarningsPerDay[[#This Row],[Deliveries]]/EarningsPerDay[[#This Row],[Hours]]</f>
        <v>2.6666666666666665</v>
      </c>
      <c r="Y142" s="71">
        <f>EarningsPerDay[[#This Row],[Miles]]/EarningsPerDay[[#This Row],[Deliveries]]</f>
        <v>11.916666666666666</v>
      </c>
      <c r="Z142" s="81">
        <f>(EarningsPerDay[[#This Row],[Hours]]/EarningsPerDay[[#This Row],[Deliveries]])/24</f>
        <v>1.5625E-2</v>
      </c>
      <c r="AA14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2" s="11">
        <f>AVERAGEIFS(EarningsPerDay[Gross $/Hour],EarningsPerDay[Week '#], EarningsPerDay[[#This Row],[Week '#]], EarningsPerDay[DOW], EarningsPerDay[[#This Row],[DOW]])</f>
        <v>18.630277777777778</v>
      </c>
      <c r="AC142" s="11">
        <f>EarningsPerDay[[#This Row],[Gross $/Hour]] - EarningsPerDay[[#This Row],[Weekly Average Earnings]]</f>
        <v>6.0052777777777777</v>
      </c>
      <c r="AD142" s="11">
        <f>(SUMIFS(EarningsPerDay[Gross Earnings], EarningsPerDay[Date],"&gt;="&amp;EarningsPerDay[[#This Row],[Date]]-89, EarningsPerDay[Date], "&lt;="&amp;EarningsPerDay[[#This Row],[Date]]))/90</f>
        <v>26.350111111111108</v>
      </c>
      <c r="AH142" s="108"/>
    </row>
    <row r="143" spans="2:35" x14ac:dyDescent="0.35">
      <c r="B143" s="40">
        <v>44744</v>
      </c>
      <c r="C143" s="40">
        <f t="shared" si="23"/>
        <v>44744</v>
      </c>
      <c r="D143" s="4">
        <f>IF(EarningsPerDay[[#This Row],[Week '#]]&gt;=52,YEAR(EarningsPerDay[[#This Row],[Date]])-1,YEAR(EarningsPerDay[[#This Row],[Date]]))</f>
        <v>2022</v>
      </c>
      <c r="E143" s="4" t="str">
        <f>"QTR"&amp;IF(EarningsPerDay[[#This Row],[Week '#]] &lt;= 13, 1, IF(EarningsPerDay[[#This Row],[Week '#]] &lt;= 26, 2, IF(EarningsPerDay[[#This Row],[Week '#]] &lt;= 39, 3, 4)))</f>
        <v>QTR3</v>
      </c>
      <c r="F1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43" s="4">
        <f>IF(WEEKNUM(EarningsPerDay[[#This Row],[Date]], 2) = 53, 1, WEEKNUM(EarningsPerDay[[#This Row],[Date]],2))</f>
        <v>27</v>
      </c>
      <c r="H143" s="40" t="str">
        <f t="shared" si="24"/>
        <v>Saturday</v>
      </c>
      <c r="I143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143" s="40" t="str" cm="1">
        <f t="array" ref="J143">IFERROR(VLOOKUP(MODE(IF(Combined[Date]=EarningsPerDay[[#This Row],[Date]],Combined[Area '#])),KPIs!$B$4:$C$7,2,FALSE),VLOOKUP(EarningsPerDay[[#This Row],[Date]],Combined[[Date]:[Primary Area]],8,FALSE))</f>
        <v>Lewiston</v>
      </c>
      <c r="K143" s="40" t="str">
        <f>_xlfn.XLOOKUP(EarningsPerDay[[#This Row],[Date]],Mileage[Date],Mileage[Weather])</f>
        <v>Clear</v>
      </c>
      <c r="L143" s="4">
        <f>_xlfn.XLOOKUP(EarningsPerDay[[#This Row],[Date]],Mileage[Date],Mileage[Hi Temp])</f>
        <v>80.3</v>
      </c>
      <c r="M143" s="12">
        <f>_xlfn.XLOOKUP(EarningsPerDay[[#This Row],[Date]],Mileage[Date],Mileage[Total Time])</f>
        <v>9.07</v>
      </c>
      <c r="N143" s="4">
        <f>_xlfn.XLOOKUP(EarningsPerDay[[#This Row],[Date]],Mileage[Date],Mileage[Mileage])</f>
        <v>166</v>
      </c>
      <c r="O143" s="4">
        <f>SUMIF(Combined[Date],EarningsPerDay[[#This Row],[Date]],Combined[Trips])</f>
        <v>20</v>
      </c>
      <c r="P143">
        <f>COUNTIF(Combined[Date],EarningsPerDay[[#This Row],[Date]])</f>
        <v>5</v>
      </c>
      <c r="Q1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3" s="11">
        <f>SUMIF(Combined[Date],EarningsPerDay[[#This Row],[Date]],Combined[Earnings])</f>
        <v>187.79</v>
      </c>
      <c r="S143" s="11">
        <f ca="1">EarningsPerDay[[#This Row],[Gross Earnings]]-(EarningsPerDay[[#This Row],[Miles]]*CpM!$D$11)</f>
        <v>150.77646662370489</v>
      </c>
      <c r="T143" s="11">
        <f t="shared" si="25"/>
        <v>20.704520396912898</v>
      </c>
      <c r="U143" s="11">
        <f t="shared" ca="1" si="26"/>
        <v>16.623645713749159</v>
      </c>
      <c r="V143" s="11">
        <f>EarningsPerDay[[#This Row],[Gross Earnings]]/EarningsPerDay[[#This Row],[Deliveries]]</f>
        <v>9.3895</v>
      </c>
      <c r="W143" s="11">
        <f>EarningsPerDay[[#This Row],[Gross Earnings]]/EarningsPerDay[[#This Row],[Miles]]</f>
        <v>1.1312650602409637</v>
      </c>
      <c r="X143" s="71">
        <f>EarningsPerDay[[#This Row],[Deliveries]]/EarningsPerDay[[#This Row],[Hours]]</f>
        <v>2.2050716648291067</v>
      </c>
      <c r="Y143" s="71">
        <f>EarningsPerDay[[#This Row],[Miles]]/EarningsPerDay[[#This Row],[Deliveries]]</f>
        <v>8.3000000000000007</v>
      </c>
      <c r="Z143" s="81">
        <f>(EarningsPerDay[[#This Row],[Hours]]/EarningsPerDay[[#This Row],[Deliveries]])/24</f>
        <v>1.8895833333333334E-2</v>
      </c>
      <c r="AA14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3" s="11">
        <f>AVERAGEIFS(EarningsPerDay[Gross $/Hour],EarningsPerDay[Week '#], EarningsPerDay[[#This Row],[Week '#]], EarningsPerDay[DOW], EarningsPerDay[[#This Row],[DOW]])</f>
        <v>15.768926865123115</v>
      </c>
      <c r="AC143" s="11">
        <f>EarningsPerDay[[#This Row],[Gross $/Hour]] - EarningsPerDay[[#This Row],[Weekly Average Earnings]]</f>
        <v>4.9355935317897828</v>
      </c>
      <c r="AD143" s="11">
        <f>(SUMIFS(EarningsPerDay[Gross Earnings], EarningsPerDay[Date],"&gt;="&amp;EarningsPerDay[[#This Row],[Date]]-89, EarningsPerDay[Date], "&lt;="&amp;EarningsPerDay[[#This Row],[Date]]))/90</f>
        <v>28.436666666666664</v>
      </c>
      <c r="AH143" s="108"/>
    </row>
    <row r="144" spans="2:35" x14ac:dyDescent="0.35">
      <c r="B144" s="40">
        <v>44747</v>
      </c>
      <c r="C144" s="40">
        <f t="shared" si="23"/>
        <v>44747</v>
      </c>
      <c r="D144" s="4">
        <f>IF(EarningsPerDay[[#This Row],[Week '#]]&gt;=52,YEAR(EarningsPerDay[[#This Row],[Date]])-1,YEAR(EarningsPerDay[[#This Row],[Date]]))</f>
        <v>2022</v>
      </c>
      <c r="E144" s="4" t="str">
        <f>"QTR"&amp;IF(EarningsPerDay[[#This Row],[Week '#]] &lt;= 13, 1, IF(EarningsPerDay[[#This Row],[Week '#]] &lt;= 26, 2, IF(EarningsPerDay[[#This Row],[Week '#]] &lt;= 39, 3, 4)))</f>
        <v>QTR3</v>
      </c>
      <c r="F1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44" s="4">
        <f>IF(WEEKNUM(EarningsPerDay[[#This Row],[Date]], 2) = 53, 1, WEEKNUM(EarningsPerDay[[#This Row],[Date]],2))</f>
        <v>28</v>
      </c>
      <c r="H144" s="40" t="str">
        <f t="shared" si="24"/>
        <v>Tuesday</v>
      </c>
      <c r="I14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44" s="40" t="str" cm="1">
        <f t="array" ref="J144">IFERROR(VLOOKUP(MODE(IF(Combined[Date]=EarningsPerDay[[#This Row],[Date]],Combined[Area '#])),KPIs!$B$4:$C$7,2,FALSE),VLOOKUP(EarningsPerDay[[#This Row],[Date]],Combined[[Date]:[Primary Area]],8,FALSE))</f>
        <v>Lewiston</v>
      </c>
      <c r="K144" s="40" t="str">
        <f>_xlfn.XLOOKUP(EarningsPerDay[[#This Row],[Date]],Mileage[Date],Mileage[Weather])</f>
        <v>Rain</v>
      </c>
      <c r="L144" s="4">
        <f>_xlfn.XLOOKUP(EarningsPerDay[[#This Row],[Date]],Mileage[Date],Mileage[Hi Temp])</f>
        <v>76</v>
      </c>
      <c r="M144" s="12">
        <f>_xlfn.XLOOKUP(EarningsPerDay[[#This Row],[Date]],Mileage[Date],Mileage[Total Time])</f>
        <v>3.28</v>
      </c>
      <c r="N144" s="4">
        <f>_xlfn.XLOOKUP(EarningsPerDay[[#This Row],[Date]],Mileage[Date],Mileage[Mileage])</f>
        <v>46.1</v>
      </c>
      <c r="O144" s="4">
        <f>SUMIF(Combined[Date],EarningsPerDay[[#This Row],[Date]],Combined[Trips])</f>
        <v>8</v>
      </c>
      <c r="P144">
        <f>COUNTIF(Combined[Date],EarningsPerDay[[#This Row],[Date]])</f>
        <v>1</v>
      </c>
      <c r="Q1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4" s="11">
        <f>SUMIF(Combined[Date],EarningsPerDay[[#This Row],[Date]],Combined[Earnings])</f>
        <v>60.43</v>
      </c>
      <c r="S144" s="11">
        <f ca="1">EarningsPerDay[[#This Row],[Gross Earnings]]-(EarningsPerDay[[#This Row],[Miles]]*CpM!$D$11)</f>
        <v>50.150940429836112</v>
      </c>
      <c r="T144" s="11">
        <f t="shared" si="25"/>
        <v>18.42378048780488</v>
      </c>
      <c r="U144" s="11">
        <f t="shared" ca="1" si="26"/>
        <v>15.289920862754913</v>
      </c>
      <c r="V144" s="11">
        <f>EarningsPerDay[[#This Row],[Gross Earnings]]/EarningsPerDay[[#This Row],[Deliveries]]</f>
        <v>7.55375</v>
      </c>
      <c r="W144" s="11">
        <f>EarningsPerDay[[#This Row],[Gross Earnings]]/EarningsPerDay[[#This Row],[Miles]]</f>
        <v>1.3108459869848155</v>
      </c>
      <c r="X144" s="71">
        <f>EarningsPerDay[[#This Row],[Deliveries]]/EarningsPerDay[[#This Row],[Hours]]</f>
        <v>2.4390243902439024</v>
      </c>
      <c r="Y144" s="71">
        <f>EarningsPerDay[[#This Row],[Miles]]/EarningsPerDay[[#This Row],[Deliveries]]</f>
        <v>5.7625000000000002</v>
      </c>
      <c r="Z144" s="81">
        <f>(EarningsPerDay[[#This Row],[Hours]]/EarningsPerDay[[#This Row],[Deliveries]])/24</f>
        <v>1.7083333333333332E-2</v>
      </c>
      <c r="AA14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4" s="11">
        <f>AVERAGEIFS(EarningsPerDay[Gross $/Hour],EarningsPerDay[Week '#], EarningsPerDay[[#This Row],[Week '#]], EarningsPerDay[DOW], EarningsPerDay[[#This Row],[DOW]])</f>
        <v>15.352241121095423</v>
      </c>
      <c r="AC144" s="11">
        <f>EarningsPerDay[[#This Row],[Gross $/Hour]] - EarningsPerDay[[#This Row],[Weekly Average Earnings]]</f>
        <v>3.071539366709457</v>
      </c>
      <c r="AD144" s="11">
        <f>(SUMIFS(EarningsPerDay[Gross Earnings], EarningsPerDay[Date],"&gt;="&amp;EarningsPerDay[[#This Row],[Date]]-89, EarningsPerDay[Date], "&lt;="&amp;EarningsPerDay[[#This Row],[Date]]))/90</f>
        <v>29.108111111111107</v>
      </c>
      <c r="AH144" s="108"/>
    </row>
    <row r="145" spans="2:34" x14ac:dyDescent="0.35">
      <c r="B145" s="40">
        <v>44748</v>
      </c>
      <c r="C145" s="40">
        <f t="shared" si="23"/>
        <v>44748</v>
      </c>
      <c r="D145" s="4">
        <f>IF(EarningsPerDay[[#This Row],[Week '#]]&gt;=52,YEAR(EarningsPerDay[[#This Row],[Date]])-1,YEAR(EarningsPerDay[[#This Row],[Date]]))</f>
        <v>2022</v>
      </c>
      <c r="E145" s="4" t="str">
        <f>"QTR"&amp;IF(EarningsPerDay[[#This Row],[Week '#]] &lt;= 13, 1, IF(EarningsPerDay[[#This Row],[Week '#]] &lt;= 26, 2, IF(EarningsPerDay[[#This Row],[Week '#]] &lt;= 39, 3, 4)))</f>
        <v>QTR3</v>
      </c>
      <c r="F1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45" s="4">
        <f>IF(WEEKNUM(EarningsPerDay[[#This Row],[Date]], 2) = 53, 1, WEEKNUM(EarningsPerDay[[#This Row],[Date]],2))</f>
        <v>28</v>
      </c>
      <c r="H145" s="40" t="str">
        <f t="shared" si="24"/>
        <v>Wednesday</v>
      </c>
      <c r="I14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45" s="40" t="str" cm="1">
        <f t="array" ref="J145">IFERROR(VLOOKUP(MODE(IF(Combined[Date]=EarningsPerDay[[#This Row],[Date]],Combined[Area '#])),KPIs!$B$4:$C$7,2,FALSE),VLOOKUP(EarningsPerDay[[#This Row],[Date]],Combined[[Date]:[Primary Area]],8,FALSE))</f>
        <v>Brunswick/Bath/Freeport</v>
      </c>
      <c r="K145" s="40" t="str">
        <f>_xlfn.XLOOKUP(EarningsPerDay[[#This Row],[Date]],Mileage[Date],Mileage[Weather])</f>
        <v>Partially Cloudy</v>
      </c>
      <c r="L145" s="4">
        <f>_xlfn.XLOOKUP(EarningsPerDay[[#This Row],[Date]],Mileage[Date],Mileage[Hi Temp])</f>
        <v>76.7</v>
      </c>
      <c r="M145" s="12">
        <f>_xlfn.XLOOKUP(EarningsPerDay[[#This Row],[Date]],Mileage[Date],Mileage[Total Time])</f>
        <v>3.3</v>
      </c>
      <c r="N145" s="4">
        <f>_xlfn.XLOOKUP(EarningsPerDay[[#This Row],[Date]],Mileage[Date],Mileage[Mileage])</f>
        <v>48.2</v>
      </c>
      <c r="O145" s="4">
        <f>SUMIF(Combined[Date],EarningsPerDay[[#This Row],[Date]],Combined[Trips])</f>
        <v>6</v>
      </c>
      <c r="P145">
        <f>COUNTIF(Combined[Date],EarningsPerDay[[#This Row],[Date]])</f>
        <v>3</v>
      </c>
      <c r="Q1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5" s="11">
        <f>SUMIF(Combined[Date],EarningsPerDay[[#This Row],[Date]],Combined[Earnings])</f>
        <v>67.430000000000007</v>
      </c>
      <c r="S145" s="11">
        <f ca="1">EarningsPerDay[[#This Row],[Gross Earnings]]-(EarningsPerDay[[#This Row],[Miles]]*CpM!$D$11)</f>
        <v>56.682696935316727</v>
      </c>
      <c r="T145" s="11">
        <f t="shared" si="25"/>
        <v>20.433333333333337</v>
      </c>
      <c r="U145" s="11">
        <f t="shared" ca="1" si="26"/>
        <v>17.176574828883858</v>
      </c>
      <c r="V145" s="11">
        <f>EarningsPerDay[[#This Row],[Gross Earnings]]/EarningsPerDay[[#This Row],[Deliveries]]</f>
        <v>11.238333333333335</v>
      </c>
      <c r="W145" s="11">
        <f>EarningsPerDay[[#This Row],[Gross Earnings]]/EarningsPerDay[[#This Row],[Miles]]</f>
        <v>1.3989626556016599</v>
      </c>
      <c r="X145" s="71">
        <f>EarningsPerDay[[#This Row],[Deliveries]]/EarningsPerDay[[#This Row],[Hours]]</f>
        <v>1.8181818181818183</v>
      </c>
      <c r="Y145" s="71">
        <f>EarningsPerDay[[#This Row],[Miles]]/EarningsPerDay[[#This Row],[Deliveries]]</f>
        <v>8.0333333333333332</v>
      </c>
      <c r="Z145" s="81">
        <f>(EarningsPerDay[[#This Row],[Hours]]/EarningsPerDay[[#This Row],[Deliveries]])/24</f>
        <v>2.2916666666666665E-2</v>
      </c>
      <c r="AA14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5" s="11">
        <f>AVERAGEIFS(EarningsPerDay[Gross $/Hour],EarningsPerDay[Week '#], EarningsPerDay[[#This Row],[Week '#]], EarningsPerDay[DOW], EarningsPerDay[[#This Row],[DOW]])</f>
        <v>20.380241708825185</v>
      </c>
      <c r="AC145" s="11">
        <f>EarningsPerDay[[#This Row],[Gross $/Hour]] - EarningsPerDay[[#This Row],[Weekly Average Earnings]]</f>
        <v>5.309162450815208E-2</v>
      </c>
      <c r="AD145" s="11">
        <f>(SUMIFS(EarningsPerDay[Gross Earnings], EarningsPerDay[Date],"&gt;="&amp;EarningsPerDay[[#This Row],[Date]]-89, EarningsPerDay[Date], "&lt;="&amp;EarningsPerDay[[#This Row],[Date]]))/90</f>
        <v>29.857333333333326</v>
      </c>
      <c r="AH145" s="108"/>
    </row>
    <row r="146" spans="2:34" x14ac:dyDescent="0.35">
      <c r="B146" s="40">
        <v>44749</v>
      </c>
      <c r="C146" s="40">
        <f t="shared" si="23"/>
        <v>44749</v>
      </c>
      <c r="D146" s="4">
        <f>IF(EarningsPerDay[[#This Row],[Week '#]]&gt;=52,YEAR(EarningsPerDay[[#This Row],[Date]])-1,YEAR(EarningsPerDay[[#This Row],[Date]]))</f>
        <v>2022</v>
      </c>
      <c r="E146" s="4" t="str">
        <f>"QTR"&amp;IF(EarningsPerDay[[#This Row],[Week '#]] &lt;= 13, 1, IF(EarningsPerDay[[#This Row],[Week '#]] &lt;= 26, 2, IF(EarningsPerDay[[#This Row],[Week '#]] &lt;= 39, 3, 4)))</f>
        <v>QTR3</v>
      </c>
      <c r="F1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46" s="4">
        <f>IF(WEEKNUM(EarningsPerDay[[#This Row],[Date]], 2) = 53, 1, WEEKNUM(EarningsPerDay[[#This Row],[Date]],2))</f>
        <v>28</v>
      </c>
      <c r="H146" s="40" t="str">
        <f t="shared" si="24"/>
        <v>Thursday</v>
      </c>
      <c r="I14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46" s="40" t="str" cm="1">
        <f t="array" ref="J146">IFERROR(VLOOKUP(MODE(IF(Combined[Date]=EarningsPerDay[[#This Row],[Date]],Combined[Area '#])),KPIs!$B$4:$C$7,2,FALSE),VLOOKUP(EarningsPerDay[[#This Row],[Date]],Combined[[Date]:[Primary Area]],8,FALSE))</f>
        <v>Portland</v>
      </c>
      <c r="K146" s="40" t="str">
        <f>_xlfn.XLOOKUP(EarningsPerDay[[#This Row],[Date]],Mileage[Date],Mileage[Weather])</f>
        <v>Rain</v>
      </c>
      <c r="L146" s="4">
        <f>_xlfn.XLOOKUP(EarningsPerDay[[#This Row],[Date]],Mileage[Date],Mileage[Hi Temp])</f>
        <v>81.599999999999994</v>
      </c>
      <c r="M146" s="12">
        <f>_xlfn.XLOOKUP(EarningsPerDay[[#This Row],[Date]],Mileage[Date],Mileage[Total Time])</f>
        <v>3.3</v>
      </c>
      <c r="N146" s="4">
        <f>_xlfn.XLOOKUP(EarningsPerDay[[#This Row],[Date]],Mileage[Date],Mileage[Mileage])</f>
        <v>76.800000000000011</v>
      </c>
      <c r="O146" s="4">
        <f>SUMIF(Combined[Date],EarningsPerDay[[#This Row],[Date]],Combined[Trips])</f>
        <v>13</v>
      </c>
      <c r="P146">
        <f>COUNTIF(Combined[Date],EarningsPerDay[[#This Row],[Date]])</f>
        <v>3</v>
      </c>
      <c r="Q1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6" s="11">
        <f>SUMIF(Combined[Date],EarningsPerDay[[#This Row],[Date]],Combined[Earnings])</f>
        <v>91.2</v>
      </c>
      <c r="S146" s="11">
        <f ca="1">EarningsPerDay[[#This Row],[Gross Earnings]]-(EarningsPerDay[[#This Row],[Miles]]*CpM!$D$11)</f>
        <v>74.07566648614781</v>
      </c>
      <c r="T146" s="11">
        <f t="shared" si="25"/>
        <v>27.63636363636364</v>
      </c>
      <c r="U146" s="11">
        <f t="shared" ca="1" si="26"/>
        <v>22.447171662469035</v>
      </c>
      <c r="V146" s="11">
        <f>EarningsPerDay[[#This Row],[Gross Earnings]]/EarningsPerDay[[#This Row],[Deliveries]]</f>
        <v>7.0153846153846153</v>
      </c>
      <c r="W146" s="11">
        <f>EarningsPerDay[[#This Row],[Gross Earnings]]/EarningsPerDay[[#This Row],[Miles]]</f>
        <v>1.1874999999999998</v>
      </c>
      <c r="X146" s="71">
        <f>EarningsPerDay[[#This Row],[Deliveries]]/EarningsPerDay[[#This Row],[Hours]]</f>
        <v>3.9393939393939394</v>
      </c>
      <c r="Y146" s="71">
        <f>EarningsPerDay[[#This Row],[Miles]]/EarningsPerDay[[#This Row],[Deliveries]]</f>
        <v>5.9076923076923089</v>
      </c>
      <c r="Z146" s="81">
        <f>(EarningsPerDay[[#This Row],[Hours]]/EarningsPerDay[[#This Row],[Deliveries]])/24</f>
        <v>1.0576923076923076E-2</v>
      </c>
      <c r="AA14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6" s="11">
        <f>AVERAGEIFS(EarningsPerDay[Gross $/Hour],EarningsPerDay[Week '#], EarningsPerDay[[#This Row],[Week '#]], EarningsPerDay[DOW], EarningsPerDay[[#This Row],[DOW]])</f>
        <v>24.976515151515155</v>
      </c>
      <c r="AC146" s="11">
        <f>EarningsPerDay[[#This Row],[Gross $/Hour]] - EarningsPerDay[[#This Row],[Weekly Average Earnings]]</f>
        <v>2.6598484848484851</v>
      </c>
      <c r="AD146" s="11">
        <f>(SUMIFS(EarningsPerDay[Gross Earnings], EarningsPerDay[Date],"&gt;="&amp;EarningsPerDay[[#This Row],[Date]]-89, EarningsPerDay[Date], "&lt;="&amp;EarningsPerDay[[#This Row],[Date]]))/90</f>
        <v>30.870666666666658</v>
      </c>
      <c r="AH146" s="108"/>
    </row>
    <row r="147" spans="2:34" x14ac:dyDescent="0.35">
      <c r="B147" s="40">
        <v>44750</v>
      </c>
      <c r="C147" s="40">
        <f t="shared" si="23"/>
        <v>44750</v>
      </c>
      <c r="D147" s="4">
        <f>IF(EarningsPerDay[[#This Row],[Week '#]]&gt;=52,YEAR(EarningsPerDay[[#This Row],[Date]])-1,YEAR(EarningsPerDay[[#This Row],[Date]]))</f>
        <v>2022</v>
      </c>
      <c r="E147" s="4" t="str">
        <f>"QTR"&amp;IF(EarningsPerDay[[#This Row],[Week '#]] &lt;= 13, 1, IF(EarningsPerDay[[#This Row],[Week '#]] &lt;= 26, 2, IF(EarningsPerDay[[#This Row],[Week '#]] &lt;= 39, 3, 4)))</f>
        <v>QTR3</v>
      </c>
      <c r="F1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47" s="4">
        <f>IF(WEEKNUM(EarningsPerDay[[#This Row],[Date]], 2) = 53, 1, WEEKNUM(EarningsPerDay[[#This Row],[Date]],2))</f>
        <v>28</v>
      </c>
      <c r="H147" s="40" t="str">
        <f t="shared" si="24"/>
        <v>Friday</v>
      </c>
      <c r="I14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147" s="40" t="str" cm="1">
        <f t="array" ref="J147">IFERROR(VLOOKUP(MODE(IF(Combined[Date]=EarningsPerDay[[#This Row],[Date]],Combined[Area '#])),KPIs!$B$4:$C$7,2,FALSE),VLOOKUP(EarningsPerDay[[#This Row],[Date]],Combined[[Date]:[Primary Area]],8,FALSE))</f>
        <v>Portland</v>
      </c>
      <c r="K147" s="40" t="str">
        <f>_xlfn.XLOOKUP(EarningsPerDay[[#This Row],[Date]],Mileage[Date],Mileage[Weather])</f>
        <v>Clear</v>
      </c>
      <c r="L147" s="4">
        <f>_xlfn.XLOOKUP(EarningsPerDay[[#This Row],[Date]],Mileage[Date],Mileage[Hi Temp])</f>
        <v>77.5</v>
      </c>
      <c r="M147" s="12">
        <f>_xlfn.XLOOKUP(EarningsPerDay[[#This Row],[Date]],Mileage[Date],Mileage[Total Time])</f>
        <v>8.75</v>
      </c>
      <c r="N147" s="4">
        <f>_xlfn.XLOOKUP(EarningsPerDay[[#This Row],[Date]],Mileage[Date],Mileage[Mileage])</f>
        <v>169</v>
      </c>
      <c r="O147" s="4">
        <f>SUMIF(Combined[Date],EarningsPerDay[[#This Row],[Date]],Combined[Trips])</f>
        <v>18</v>
      </c>
      <c r="P147">
        <f>COUNTIF(Combined[Date],EarningsPerDay[[#This Row],[Date]])</f>
        <v>3</v>
      </c>
      <c r="Q1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7" s="11">
        <f>SUMIF(Combined[Date],EarningsPerDay[[#This Row],[Date]],Combined[Earnings])</f>
        <v>145.57</v>
      </c>
      <c r="S147" s="11">
        <f ca="1">EarningsPerDay[[#This Row],[Gross Earnings]]-(EarningsPerDay[[#This Row],[Miles]]*CpM!$D$11)</f>
        <v>107.88754734582002</v>
      </c>
      <c r="T147" s="11">
        <f t="shared" si="25"/>
        <v>16.636571428571429</v>
      </c>
      <c r="U147" s="11">
        <f t="shared" ca="1" si="26"/>
        <v>12.330005410950861</v>
      </c>
      <c r="V147" s="11">
        <f>EarningsPerDay[[#This Row],[Gross Earnings]]/EarningsPerDay[[#This Row],[Deliveries]]</f>
        <v>8.0872222222222216</v>
      </c>
      <c r="W147" s="11">
        <f>EarningsPerDay[[#This Row],[Gross Earnings]]/EarningsPerDay[[#This Row],[Miles]]</f>
        <v>0.86136094674556207</v>
      </c>
      <c r="X147" s="71">
        <f>EarningsPerDay[[#This Row],[Deliveries]]/EarningsPerDay[[#This Row],[Hours]]</f>
        <v>2.0571428571428569</v>
      </c>
      <c r="Y147" s="71">
        <f>EarningsPerDay[[#This Row],[Miles]]/EarningsPerDay[[#This Row],[Deliveries]]</f>
        <v>9.3888888888888893</v>
      </c>
      <c r="Z147" s="81">
        <f>(EarningsPerDay[[#This Row],[Hours]]/EarningsPerDay[[#This Row],[Deliveries]])/24</f>
        <v>2.0254629629629629E-2</v>
      </c>
      <c r="AA1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4.011571428571429</v>
      </c>
      <c r="AB147" s="11">
        <f>AVERAGEIFS(EarningsPerDay[Gross $/Hour],EarningsPerDay[Week '#], EarningsPerDay[[#This Row],[Week '#]], EarningsPerDay[DOW], EarningsPerDay[[#This Row],[DOW]])</f>
        <v>19.758050348801941</v>
      </c>
      <c r="AC147" s="11">
        <f>EarningsPerDay[[#This Row],[Gross $/Hour]] - EarningsPerDay[[#This Row],[Weekly Average Earnings]]</f>
        <v>-3.121478920230512</v>
      </c>
      <c r="AD147" s="11">
        <f>(SUMIFS(EarningsPerDay[Gross Earnings], EarningsPerDay[Date],"&gt;="&amp;EarningsPerDay[[#This Row],[Date]]-89, EarningsPerDay[Date], "&lt;="&amp;EarningsPerDay[[#This Row],[Date]]))/90</f>
        <v>31.706777777777774</v>
      </c>
      <c r="AH147" s="108"/>
    </row>
    <row r="148" spans="2:34" x14ac:dyDescent="0.35">
      <c r="B148" s="40">
        <v>44753</v>
      </c>
      <c r="C148" s="40">
        <f t="shared" si="23"/>
        <v>44753</v>
      </c>
      <c r="D148" s="4">
        <f>IF(EarningsPerDay[[#This Row],[Week '#]]&gt;=52,YEAR(EarningsPerDay[[#This Row],[Date]])-1,YEAR(EarningsPerDay[[#This Row],[Date]]))</f>
        <v>2022</v>
      </c>
      <c r="E148" s="4" t="str">
        <f>"QTR"&amp;IF(EarningsPerDay[[#This Row],[Week '#]] &lt;= 13, 1, IF(EarningsPerDay[[#This Row],[Week '#]] &lt;= 26, 2, IF(EarningsPerDay[[#This Row],[Week '#]] &lt;= 39, 3, 4)))</f>
        <v>QTR3</v>
      </c>
      <c r="F1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48" s="4">
        <f>IF(WEEKNUM(EarningsPerDay[[#This Row],[Date]], 2) = 53, 1, WEEKNUM(EarningsPerDay[[#This Row],[Date]],2))</f>
        <v>29</v>
      </c>
      <c r="H148" s="40" t="str">
        <f t="shared" si="24"/>
        <v>Monday</v>
      </c>
      <c r="I14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48" s="40" t="str" cm="1">
        <f t="array" ref="J148">IFERROR(VLOOKUP(MODE(IF(Combined[Date]=EarningsPerDay[[#This Row],[Date]],Combined[Area '#])),KPIs!$B$4:$C$7,2,FALSE),VLOOKUP(EarningsPerDay[[#This Row],[Date]],Combined[[Date]:[Primary Area]],8,FALSE))</f>
        <v>Portland</v>
      </c>
      <c r="K148" s="40" t="str">
        <f>_xlfn.XLOOKUP(EarningsPerDay[[#This Row],[Date]],Mileage[Date],Mileage[Weather])</f>
        <v>Rain</v>
      </c>
      <c r="L148" s="4">
        <f>_xlfn.XLOOKUP(EarningsPerDay[[#This Row],[Date]],Mileage[Date],Mileage[Hi Temp])</f>
        <v>84</v>
      </c>
      <c r="M148" s="12">
        <f>_xlfn.XLOOKUP(EarningsPerDay[[#This Row],[Date]],Mileage[Date],Mileage[Total Time])</f>
        <v>3.6</v>
      </c>
      <c r="N148" s="4">
        <f>_xlfn.XLOOKUP(EarningsPerDay[[#This Row],[Date]],Mileage[Date],Mileage[Mileage])</f>
        <v>71.400000000000006</v>
      </c>
      <c r="O148" s="4">
        <f>SUMIF(Combined[Date],EarningsPerDay[[#This Row],[Date]],Combined[Trips])</f>
        <v>10</v>
      </c>
      <c r="P148">
        <f>COUNTIF(Combined[Date],EarningsPerDay[[#This Row],[Date]])</f>
        <v>2</v>
      </c>
      <c r="Q1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8" s="11">
        <f>SUMIF(Combined[Date],EarningsPerDay[[#This Row],[Date]],Combined[Earnings])</f>
        <v>122.56</v>
      </c>
      <c r="S148" s="11">
        <f ca="1">EarningsPerDay[[#This Row],[Gross Earnings]]-(EarningsPerDay[[#This Row],[Miles]]*CpM!$D$11)</f>
        <v>106.63972118634054</v>
      </c>
      <c r="T148" s="11">
        <f t="shared" si="25"/>
        <v>34.044444444444444</v>
      </c>
      <c r="U148" s="11">
        <f t="shared" ca="1" si="26"/>
        <v>29.622144773983482</v>
      </c>
      <c r="V148" s="11">
        <f>EarningsPerDay[[#This Row],[Gross Earnings]]/EarningsPerDay[[#This Row],[Deliveries]]</f>
        <v>12.256</v>
      </c>
      <c r="W148" s="11">
        <f>EarningsPerDay[[#This Row],[Gross Earnings]]/EarningsPerDay[[#This Row],[Miles]]</f>
        <v>1.7165266106442576</v>
      </c>
      <c r="X148" s="71">
        <f>EarningsPerDay[[#This Row],[Deliveries]]/EarningsPerDay[[#This Row],[Hours]]</f>
        <v>2.7777777777777777</v>
      </c>
      <c r="Y148" s="71">
        <f>EarningsPerDay[[#This Row],[Miles]]/EarningsPerDay[[#This Row],[Deliveries]]</f>
        <v>7.1400000000000006</v>
      </c>
      <c r="Z148" s="81">
        <f>(EarningsPerDay[[#This Row],[Hours]]/EarningsPerDay[[#This Row],[Deliveries]])/24</f>
        <v>1.4999999999999999E-2</v>
      </c>
      <c r="AA14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8" s="11">
        <f>AVERAGEIFS(EarningsPerDay[Gross $/Hour],EarningsPerDay[Week '#], EarningsPerDay[[#This Row],[Week '#]], EarningsPerDay[DOW], EarningsPerDay[[#This Row],[DOW]])</f>
        <v>26.720763551233567</v>
      </c>
      <c r="AC148" s="11">
        <f>EarningsPerDay[[#This Row],[Gross $/Hour]] - EarningsPerDay[[#This Row],[Weekly Average Earnings]]</f>
        <v>7.3236808932108772</v>
      </c>
      <c r="AD148" s="11">
        <f>(SUMIFS(EarningsPerDay[Gross Earnings], EarningsPerDay[Date],"&gt;="&amp;EarningsPerDay[[#This Row],[Date]]-89, EarningsPerDay[Date], "&lt;="&amp;EarningsPerDay[[#This Row],[Date]]))/90</f>
        <v>33.068555555555548</v>
      </c>
      <c r="AH148" s="108"/>
    </row>
    <row r="149" spans="2:34" x14ac:dyDescent="0.35">
      <c r="B149" s="40">
        <v>44755</v>
      </c>
      <c r="C149" s="40">
        <f t="shared" si="23"/>
        <v>44755</v>
      </c>
      <c r="D149" s="4">
        <f>IF(EarningsPerDay[[#This Row],[Week '#]]&gt;=52,YEAR(EarningsPerDay[[#This Row],[Date]])-1,YEAR(EarningsPerDay[[#This Row],[Date]]))</f>
        <v>2022</v>
      </c>
      <c r="E149" s="4" t="str">
        <f>"QTR"&amp;IF(EarningsPerDay[[#This Row],[Week '#]] &lt;= 13, 1, IF(EarningsPerDay[[#This Row],[Week '#]] &lt;= 26, 2, IF(EarningsPerDay[[#This Row],[Week '#]] &lt;= 39, 3, 4)))</f>
        <v>QTR3</v>
      </c>
      <c r="F1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49" s="4">
        <f>IF(WEEKNUM(EarningsPerDay[[#This Row],[Date]], 2) = 53, 1, WEEKNUM(EarningsPerDay[[#This Row],[Date]],2))</f>
        <v>29</v>
      </c>
      <c r="H149" s="40" t="str">
        <f t="shared" si="24"/>
        <v>Wednesday</v>
      </c>
      <c r="I14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49" s="40" t="str" cm="1">
        <f t="array" ref="J149">IFERROR(VLOOKUP(MODE(IF(Combined[Date]=EarningsPerDay[[#This Row],[Date]],Combined[Area '#])),KPIs!$B$4:$C$7,2,FALSE),VLOOKUP(EarningsPerDay[[#This Row],[Date]],Combined[[Date]:[Primary Area]],8,FALSE))</f>
        <v>Portland</v>
      </c>
      <c r="K149" s="40" t="str">
        <f>_xlfn.XLOOKUP(EarningsPerDay[[#This Row],[Date]],Mileage[Date],Mileage[Weather])</f>
        <v>Rain</v>
      </c>
      <c r="L149" s="4">
        <f>_xlfn.XLOOKUP(EarningsPerDay[[#This Row],[Date]],Mileage[Date],Mileage[Hi Temp])</f>
        <v>81.7</v>
      </c>
      <c r="M149" s="12">
        <f>_xlfn.XLOOKUP(EarningsPerDay[[#This Row],[Date]],Mileage[Date],Mileage[Total Time])</f>
        <v>4.7</v>
      </c>
      <c r="N149" s="4">
        <f>_xlfn.XLOOKUP(EarningsPerDay[[#This Row],[Date]],Mileage[Date],Mileage[Mileage])</f>
        <v>107.30000000000001</v>
      </c>
      <c r="O149" s="4">
        <f>SUMIF(Combined[Date],EarningsPerDay[[#This Row],[Date]],Combined[Trips])</f>
        <v>8</v>
      </c>
      <c r="P149">
        <f>COUNTIF(Combined[Date],EarningsPerDay[[#This Row],[Date]])</f>
        <v>2</v>
      </c>
      <c r="Q1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49" s="11">
        <f>SUMIF(Combined[Date],EarningsPerDay[[#This Row],[Date]],Combined[Earnings])</f>
        <v>129.21</v>
      </c>
      <c r="S149" s="11">
        <f ca="1">EarningsPerDay[[#This Row],[Gross Earnings]]-(EarningsPerDay[[#This Row],[Miles]]*CpM!$D$11)</f>
        <v>105.28498716098515</v>
      </c>
      <c r="T149" s="11">
        <f t="shared" si="25"/>
        <v>27.491489361702129</v>
      </c>
      <c r="U149" s="11">
        <f t="shared" ca="1" si="26"/>
        <v>22.401061098081946</v>
      </c>
      <c r="V149" s="11">
        <f>EarningsPerDay[[#This Row],[Gross Earnings]]/EarningsPerDay[[#This Row],[Deliveries]]</f>
        <v>16.151250000000001</v>
      </c>
      <c r="W149" s="11">
        <f>EarningsPerDay[[#This Row],[Gross Earnings]]/EarningsPerDay[[#This Row],[Miles]]</f>
        <v>1.2041938490214352</v>
      </c>
      <c r="X149" s="71">
        <f>EarningsPerDay[[#This Row],[Deliveries]]/EarningsPerDay[[#This Row],[Hours]]</f>
        <v>1.7021276595744681</v>
      </c>
      <c r="Y149" s="71">
        <f>EarningsPerDay[[#This Row],[Miles]]/EarningsPerDay[[#This Row],[Deliveries]]</f>
        <v>13.412500000000001</v>
      </c>
      <c r="Z149" s="81">
        <f>(EarningsPerDay[[#This Row],[Hours]]/EarningsPerDay[[#This Row],[Deliveries]])/24</f>
        <v>2.4479166666666666E-2</v>
      </c>
      <c r="AA14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49" s="11">
        <f>AVERAGEIFS(EarningsPerDay[Gross $/Hour],EarningsPerDay[Week '#], EarningsPerDay[[#This Row],[Week '#]], EarningsPerDay[DOW], EarningsPerDay[[#This Row],[DOW]])</f>
        <v>21.177052197860014</v>
      </c>
      <c r="AC149" s="11">
        <f>EarningsPerDay[[#This Row],[Gross $/Hour]] - EarningsPerDay[[#This Row],[Weekly Average Earnings]]</f>
        <v>6.3144371638421148</v>
      </c>
      <c r="AD149" s="11">
        <f>(SUMIFS(EarningsPerDay[Gross Earnings], EarningsPerDay[Date],"&gt;="&amp;EarningsPerDay[[#This Row],[Date]]-89, EarningsPerDay[Date], "&lt;="&amp;EarningsPerDay[[#This Row],[Date]]))/90</f>
        <v>34.504222222222218</v>
      </c>
      <c r="AH149" s="108"/>
    </row>
    <row r="150" spans="2:34" x14ac:dyDescent="0.35">
      <c r="B150" s="40">
        <v>44757</v>
      </c>
      <c r="C150" s="40">
        <f t="shared" si="23"/>
        <v>44757</v>
      </c>
      <c r="D150" s="4">
        <f>IF(EarningsPerDay[[#This Row],[Week '#]]&gt;=52,YEAR(EarningsPerDay[[#This Row],[Date]])-1,YEAR(EarningsPerDay[[#This Row],[Date]]))</f>
        <v>2022</v>
      </c>
      <c r="E150" s="4" t="str">
        <f>"QTR"&amp;IF(EarningsPerDay[[#This Row],[Week '#]] &lt;= 13, 1, IF(EarningsPerDay[[#This Row],[Week '#]] &lt;= 26, 2, IF(EarningsPerDay[[#This Row],[Week '#]] &lt;= 39, 3, 4)))</f>
        <v>QTR3</v>
      </c>
      <c r="F1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50" s="4">
        <f>IF(WEEKNUM(EarningsPerDay[[#This Row],[Date]], 2) = 53, 1, WEEKNUM(EarningsPerDay[[#This Row],[Date]],2))</f>
        <v>29</v>
      </c>
      <c r="H150" s="40" t="str">
        <f t="shared" si="24"/>
        <v>Friday</v>
      </c>
      <c r="I1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50" s="40" t="str" cm="1">
        <f t="array" ref="J150">IFERROR(VLOOKUP(MODE(IF(Combined[Date]=EarningsPerDay[[#This Row],[Date]],Combined[Area '#])),KPIs!$B$4:$C$7,2,FALSE),VLOOKUP(EarningsPerDay[[#This Row],[Date]],Combined[[Date]:[Primary Area]],8,FALSE))</f>
        <v>Brunswick/Bath/Freeport</v>
      </c>
      <c r="K150" s="40" t="str">
        <f>_xlfn.XLOOKUP(EarningsPerDay[[#This Row],[Date]],Mileage[Date],Mileage[Weather])</f>
        <v>Clear</v>
      </c>
      <c r="L150" s="4">
        <f>_xlfn.XLOOKUP(EarningsPerDay[[#This Row],[Date]],Mileage[Date],Mileage[Hi Temp])</f>
        <v>81.8</v>
      </c>
      <c r="M150" s="12">
        <f>_xlfn.XLOOKUP(EarningsPerDay[[#This Row],[Date]],Mileage[Date],Mileage[Total Time])</f>
        <v>5.5</v>
      </c>
      <c r="N150" s="4">
        <f>_xlfn.XLOOKUP(EarningsPerDay[[#This Row],[Date]],Mileage[Date],Mileage[Mileage])</f>
        <v>144.69999999999999</v>
      </c>
      <c r="O150" s="4">
        <f>SUMIF(Combined[Date],EarningsPerDay[[#This Row],[Date]],Combined[Trips])</f>
        <v>11</v>
      </c>
      <c r="P150">
        <f>COUNTIF(Combined[Date],EarningsPerDay[[#This Row],[Date]])</f>
        <v>4</v>
      </c>
      <c r="Q1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0" s="11">
        <f>SUMIF(Combined[Date],EarningsPerDay[[#This Row],[Date]],Combined[Earnings])</f>
        <v>100.12</v>
      </c>
      <c r="S150" s="11">
        <f ca="1">EarningsPerDay[[#This Row],[Gross Earnings]]-(EarningsPerDay[[#This Row],[Miles]]*CpM!$D$11)</f>
        <v>67.85579349668734</v>
      </c>
      <c r="T150" s="11">
        <f t="shared" si="25"/>
        <v>18.203636363636363</v>
      </c>
      <c r="U150" s="11">
        <f t="shared" ca="1" si="26"/>
        <v>12.337416999397698</v>
      </c>
      <c r="V150" s="11">
        <f>EarningsPerDay[[#This Row],[Gross Earnings]]/EarningsPerDay[[#This Row],[Deliveries]]</f>
        <v>9.1018181818181816</v>
      </c>
      <c r="W150" s="11">
        <f>EarningsPerDay[[#This Row],[Gross Earnings]]/EarningsPerDay[[#This Row],[Miles]]</f>
        <v>0.69191430545957167</v>
      </c>
      <c r="X150" s="71">
        <f>EarningsPerDay[[#This Row],[Deliveries]]/EarningsPerDay[[#This Row],[Hours]]</f>
        <v>2</v>
      </c>
      <c r="Y150" s="71">
        <f>EarningsPerDay[[#This Row],[Miles]]/EarningsPerDay[[#This Row],[Deliveries]]</f>
        <v>13.154545454545454</v>
      </c>
      <c r="Z150" s="81">
        <f>(EarningsPerDay[[#This Row],[Hours]]/EarningsPerDay[[#This Row],[Deliveries]])/24</f>
        <v>2.0833333333333332E-2</v>
      </c>
      <c r="AA1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-8.6866862170087984</v>
      </c>
      <c r="AB150" s="11">
        <f>AVERAGEIFS(EarningsPerDay[Gross $/Hour],EarningsPerDay[Week '#], EarningsPerDay[[#This Row],[Week '#]], EarningsPerDay[DOW], EarningsPerDay[[#This Row],[DOW]])</f>
        <v>19.277372919603788</v>
      </c>
      <c r="AC150" s="11">
        <f>EarningsPerDay[[#This Row],[Gross $/Hour]] - EarningsPerDay[[#This Row],[Weekly Average Earnings]]</f>
        <v>-1.0737365559674252</v>
      </c>
      <c r="AD150" s="11">
        <f>(SUMIFS(EarningsPerDay[Gross Earnings], EarningsPerDay[Date],"&gt;="&amp;EarningsPerDay[[#This Row],[Date]]-89, EarningsPerDay[Date], "&lt;="&amp;EarningsPerDay[[#This Row],[Date]]))/90</f>
        <v>35.61666666666666</v>
      </c>
      <c r="AH150" s="108"/>
    </row>
    <row r="151" spans="2:34" x14ac:dyDescent="0.35">
      <c r="B151" s="40">
        <v>44758</v>
      </c>
      <c r="C151" s="40">
        <f t="shared" si="23"/>
        <v>44758</v>
      </c>
      <c r="D151" s="4">
        <f>IF(EarningsPerDay[[#This Row],[Week '#]]&gt;=52,YEAR(EarningsPerDay[[#This Row],[Date]])-1,YEAR(EarningsPerDay[[#This Row],[Date]]))</f>
        <v>2022</v>
      </c>
      <c r="E151" s="4" t="str">
        <f>"QTR"&amp;IF(EarningsPerDay[[#This Row],[Week '#]] &lt;= 13, 1, IF(EarningsPerDay[[#This Row],[Week '#]] &lt;= 26, 2, IF(EarningsPerDay[[#This Row],[Week '#]] &lt;= 39, 3, 4)))</f>
        <v>QTR3</v>
      </c>
      <c r="F1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51" s="4">
        <f>IF(WEEKNUM(EarningsPerDay[[#This Row],[Date]], 2) = 53, 1, WEEKNUM(EarningsPerDay[[#This Row],[Date]],2))</f>
        <v>29</v>
      </c>
      <c r="H151" s="40" t="str">
        <f t="shared" si="24"/>
        <v>Saturday</v>
      </c>
      <c r="I15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151" s="40" t="str" cm="1">
        <f t="array" ref="J151">IFERROR(VLOOKUP(MODE(IF(Combined[Date]=EarningsPerDay[[#This Row],[Date]],Combined[Area '#])),KPIs!$B$4:$C$7,2,FALSE),VLOOKUP(EarningsPerDay[[#This Row],[Date]],Combined[[Date]:[Primary Area]],8,FALSE))</f>
        <v>Portland</v>
      </c>
      <c r="K151" s="40" t="str">
        <f>_xlfn.XLOOKUP(EarningsPerDay[[#This Row],[Date]],Mileage[Date],Mileage[Weather])</f>
        <v>Rain</v>
      </c>
      <c r="L151" s="4">
        <f>_xlfn.XLOOKUP(EarningsPerDay[[#This Row],[Date]],Mileage[Date],Mileage[Hi Temp])</f>
        <v>85.2</v>
      </c>
      <c r="M151" s="12">
        <f>_xlfn.XLOOKUP(EarningsPerDay[[#This Row],[Date]],Mileage[Date],Mileage[Total Time])</f>
        <v>6.2</v>
      </c>
      <c r="N151" s="4">
        <f>_xlfn.XLOOKUP(EarningsPerDay[[#This Row],[Date]],Mileage[Date],Mileage[Mileage])</f>
        <v>169.5</v>
      </c>
      <c r="O151" s="4">
        <f>SUMIF(Combined[Date],EarningsPerDay[[#This Row],[Date]],Combined[Trips])</f>
        <v>14</v>
      </c>
      <c r="P151">
        <f>COUNTIF(Combined[Date],EarningsPerDay[[#This Row],[Date]])</f>
        <v>3</v>
      </c>
      <c r="Q1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1" s="11">
        <f>SUMIF(Combined[Date],EarningsPerDay[[#This Row],[Date]],Combined[Earnings])</f>
        <v>129.97</v>
      </c>
      <c r="S151" s="11">
        <f ca="1">EarningsPerDay[[#This Row],[Gross Earnings]]-(EarningsPerDay[[#This Row],[Miles]]*CpM!$D$11)</f>
        <v>92.17606079950589</v>
      </c>
      <c r="T151" s="11">
        <f t="shared" si="25"/>
        <v>20.96290322580645</v>
      </c>
      <c r="U151" s="11">
        <f t="shared" ca="1" si="26"/>
        <v>14.867106580565466</v>
      </c>
      <c r="V151" s="11">
        <f>EarningsPerDay[[#This Row],[Gross Earnings]]/EarningsPerDay[[#This Row],[Deliveries]]</f>
        <v>9.2835714285714293</v>
      </c>
      <c r="W151" s="11">
        <f>EarningsPerDay[[#This Row],[Gross Earnings]]/EarningsPerDay[[#This Row],[Miles]]</f>
        <v>0.76678466076696161</v>
      </c>
      <c r="X151" s="71">
        <f>EarningsPerDay[[#This Row],[Deliveries]]/EarningsPerDay[[#This Row],[Hours]]</f>
        <v>2.258064516129032</v>
      </c>
      <c r="Y151" s="71">
        <f>EarningsPerDay[[#This Row],[Miles]]/EarningsPerDay[[#This Row],[Deliveries]]</f>
        <v>12.107142857142858</v>
      </c>
      <c r="Z151" s="81">
        <f>(EarningsPerDay[[#This Row],[Hours]]/EarningsPerDay[[#This Row],[Deliveries]])/24</f>
        <v>1.8452380952380953E-2</v>
      </c>
      <c r="AA15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51" s="11">
        <f>AVERAGEIFS(EarningsPerDay[Gross $/Hour],EarningsPerDay[Week '#], EarningsPerDay[[#This Row],[Week '#]], EarningsPerDay[DOW], EarningsPerDay[[#This Row],[DOW]])</f>
        <v>20.038561698743642</v>
      </c>
      <c r="AC151" s="11">
        <f>EarningsPerDay[[#This Row],[Gross $/Hour]] - EarningsPerDay[[#This Row],[Weekly Average Earnings]]</f>
        <v>0.9243415270628077</v>
      </c>
      <c r="AD151" s="11">
        <f>(SUMIFS(EarningsPerDay[Gross Earnings], EarningsPerDay[Date],"&gt;="&amp;EarningsPerDay[[#This Row],[Date]]-89, EarningsPerDay[Date], "&lt;="&amp;EarningsPerDay[[#This Row],[Date]]))/90</f>
        <v>37.060777777777773</v>
      </c>
      <c r="AH151" s="108"/>
    </row>
    <row r="152" spans="2:34" x14ac:dyDescent="0.35">
      <c r="B152" s="40">
        <v>44762</v>
      </c>
      <c r="C152" s="40">
        <f t="shared" si="23"/>
        <v>44762</v>
      </c>
      <c r="D152" s="4">
        <f>IF(EarningsPerDay[[#This Row],[Week '#]]&gt;=52,YEAR(EarningsPerDay[[#This Row],[Date]])-1,YEAR(EarningsPerDay[[#This Row],[Date]]))</f>
        <v>2022</v>
      </c>
      <c r="E152" s="4" t="str">
        <f>"QTR"&amp;IF(EarningsPerDay[[#This Row],[Week '#]] &lt;= 13, 1, IF(EarningsPerDay[[#This Row],[Week '#]] &lt;= 26, 2, IF(EarningsPerDay[[#This Row],[Week '#]] &lt;= 39, 3, 4)))</f>
        <v>QTR3</v>
      </c>
      <c r="F1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152" s="4">
        <f>IF(WEEKNUM(EarningsPerDay[[#This Row],[Date]], 2) = 53, 1, WEEKNUM(EarningsPerDay[[#This Row],[Date]],2))</f>
        <v>30</v>
      </c>
      <c r="H152" s="40" t="str">
        <f t="shared" si="24"/>
        <v>Wednesday</v>
      </c>
      <c r="I15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52" s="40" t="str" cm="1">
        <f t="array" ref="J152">IFERROR(VLOOKUP(MODE(IF(Combined[Date]=EarningsPerDay[[#This Row],[Date]],Combined[Area '#])),KPIs!$B$4:$C$7,2,FALSE),VLOOKUP(EarningsPerDay[[#This Row],[Date]],Combined[[Date]:[Primary Area]],8,FALSE))</f>
        <v>Portland</v>
      </c>
      <c r="K152" s="40" t="str">
        <f>_xlfn.XLOOKUP(EarningsPerDay[[#This Row],[Date]],Mileage[Date],Mileage[Weather])</f>
        <v>Rain</v>
      </c>
      <c r="L152" s="4">
        <f>_xlfn.XLOOKUP(EarningsPerDay[[#This Row],[Date]],Mileage[Date],Mileage[Hi Temp])</f>
        <v>90.7</v>
      </c>
      <c r="M152" s="12">
        <f>_xlfn.XLOOKUP(EarningsPerDay[[#This Row],[Date]],Mileage[Date],Mileage[Total Time])</f>
        <v>4.5999999999999996</v>
      </c>
      <c r="N152" s="4">
        <f>_xlfn.XLOOKUP(EarningsPerDay[[#This Row],[Date]],Mileage[Date],Mileage[Mileage])</f>
        <v>113.69999999999999</v>
      </c>
      <c r="O152" s="4">
        <f>SUMIF(Combined[Date],EarningsPerDay[[#This Row],[Date]],Combined[Trips])</f>
        <v>12</v>
      </c>
      <c r="P152">
        <f>COUNTIF(Combined[Date],EarningsPerDay[[#This Row],[Date]])</f>
        <v>2</v>
      </c>
      <c r="Q1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2" s="11">
        <f>SUMIF(Combined[Date],EarningsPerDay[[#This Row],[Date]],Combined[Earnings])</f>
        <v>136.70999999999998</v>
      </c>
      <c r="S152" s="11">
        <f ca="1">EarningsPerDay[[#This Row],[Gross Earnings]]-(EarningsPerDay[[#This Row],[Miles]]*CpM!$D$11)</f>
        <v>111.3579593681641</v>
      </c>
      <c r="T152" s="11">
        <f t="shared" si="25"/>
        <v>29.719565217391303</v>
      </c>
      <c r="U152" s="11">
        <f t="shared" ca="1" si="26"/>
        <v>24.208252036557415</v>
      </c>
      <c r="V152" s="11">
        <f>EarningsPerDay[[#This Row],[Gross Earnings]]/EarningsPerDay[[#This Row],[Deliveries]]</f>
        <v>11.392499999999998</v>
      </c>
      <c r="W152" s="11">
        <f>EarningsPerDay[[#This Row],[Gross Earnings]]/EarningsPerDay[[#This Row],[Miles]]</f>
        <v>1.2023746701846965</v>
      </c>
      <c r="X152" s="71">
        <f>EarningsPerDay[[#This Row],[Deliveries]]/EarningsPerDay[[#This Row],[Hours]]</f>
        <v>2.6086956521739131</v>
      </c>
      <c r="Y152" s="71">
        <f>EarningsPerDay[[#This Row],[Miles]]/EarningsPerDay[[#This Row],[Deliveries]]</f>
        <v>9.4749999999999996</v>
      </c>
      <c r="Z152" s="81">
        <f>(EarningsPerDay[[#This Row],[Hours]]/EarningsPerDay[[#This Row],[Deliveries]])/24</f>
        <v>1.5972222222222221E-2</v>
      </c>
      <c r="AA1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2.2280758556891733</v>
      </c>
      <c r="AB152" s="11">
        <f>AVERAGEIFS(EarningsPerDay[Gross $/Hour],EarningsPerDay[Week '#], EarningsPerDay[[#This Row],[Week '#]], EarningsPerDay[DOW], EarningsPerDay[[#This Row],[DOW]])</f>
        <v>26.04195315133131</v>
      </c>
      <c r="AC152" s="11">
        <f>EarningsPerDay[[#This Row],[Gross $/Hour]] - EarningsPerDay[[#This Row],[Weekly Average Earnings]]</f>
        <v>3.6776120660599929</v>
      </c>
      <c r="AD152" s="11">
        <f>(SUMIFS(EarningsPerDay[Gross Earnings], EarningsPerDay[Date],"&gt;="&amp;EarningsPerDay[[#This Row],[Date]]-89, EarningsPerDay[Date], "&lt;="&amp;EarningsPerDay[[#This Row],[Date]]))/90</f>
        <v>38.579777777777771</v>
      </c>
      <c r="AH152" s="108"/>
    </row>
    <row r="153" spans="2:34" x14ac:dyDescent="0.35">
      <c r="B153" s="40">
        <v>44763</v>
      </c>
      <c r="C153" s="40">
        <f t="shared" si="23"/>
        <v>44763</v>
      </c>
      <c r="D153" s="4">
        <f>IF(EarningsPerDay[[#This Row],[Week '#]]&gt;=52,YEAR(EarningsPerDay[[#This Row],[Date]])-1,YEAR(EarningsPerDay[[#This Row],[Date]]))</f>
        <v>2022</v>
      </c>
      <c r="E153" s="4" t="str">
        <f>"QTR"&amp;IF(EarningsPerDay[[#This Row],[Week '#]] &lt;= 13, 1, IF(EarningsPerDay[[#This Row],[Week '#]] &lt;= 26, 2, IF(EarningsPerDay[[#This Row],[Week '#]] &lt;= 39, 3, 4)))</f>
        <v>QTR3</v>
      </c>
      <c r="F1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153" s="4">
        <f>IF(WEEKNUM(EarningsPerDay[[#This Row],[Date]], 2) = 53, 1, WEEKNUM(EarningsPerDay[[#This Row],[Date]],2))</f>
        <v>30</v>
      </c>
      <c r="H153" s="40" t="str">
        <f t="shared" si="24"/>
        <v>Thursday</v>
      </c>
      <c r="I15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53" s="40" t="str" cm="1">
        <f t="array" ref="J153">IFERROR(VLOOKUP(MODE(IF(Combined[Date]=EarningsPerDay[[#This Row],[Date]],Combined[Area '#])),KPIs!$B$4:$C$7,2,FALSE),VLOOKUP(EarningsPerDay[[#This Row],[Date]],Combined[[Date]:[Primary Area]],8,FALSE))</f>
        <v>Brunswick/Bath/Freeport</v>
      </c>
      <c r="K153" s="40" t="str">
        <f>_xlfn.XLOOKUP(EarningsPerDay[[#This Row],[Date]],Mileage[Date],Mileage[Weather])</f>
        <v>Rain</v>
      </c>
      <c r="L153" s="4">
        <f>_xlfn.XLOOKUP(EarningsPerDay[[#This Row],[Date]],Mileage[Date],Mileage[Hi Temp])</f>
        <v>89.9</v>
      </c>
      <c r="M153" s="12">
        <f>_xlfn.XLOOKUP(EarningsPerDay[[#This Row],[Date]],Mileage[Date],Mileage[Total Time])</f>
        <v>5.67</v>
      </c>
      <c r="N153" s="4">
        <f>_xlfn.XLOOKUP(EarningsPerDay[[#This Row],[Date]],Mileage[Date],Mileage[Mileage])</f>
        <v>125</v>
      </c>
      <c r="O153" s="4">
        <f>SUMIF(Combined[Date],EarningsPerDay[[#This Row],[Date]],Combined[Trips])</f>
        <v>12</v>
      </c>
      <c r="P153">
        <f>COUNTIF(Combined[Date],EarningsPerDay[[#This Row],[Date]])</f>
        <v>2</v>
      </c>
      <c r="Q1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3" s="11">
        <f>SUMIF(Combined[Date],EarningsPerDay[[#This Row],[Date]],Combined[Earnings])</f>
        <v>114.17</v>
      </c>
      <c r="S153" s="11">
        <f ca="1">EarningsPerDay[[#This Row],[Gross Earnings]]-(EarningsPerDay[[#This Row],[Miles]]*CpM!$D$11)</f>
        <v>86.298363421464529</v>
      </c>
      <c r="T153" s="11">
        <f t="shared" si="25"/>
        <v>20.135802469135804</v>
      </c>
      <c r="U153" s="11">
        <f t="shared" ca="1" si="26"/>
        <v>15.220169915602209</v>
      </c>
      <c r="V153" s="11">
        <f>EarningsPerDay[[#This Row],[Gross Earnings]]/EarningsPerDay[[#This Row],[Deliveries]]</f>
        <v>9.5141666666666662</v>
      </c>
      <c r="W153" s="11">
        <f>EarningsPerDay[[#This Row],[Gross Earnings]]/EarningsPerDay[[#This Row],[Miles]]</f>
        <v>0.91336000000000006</v>
      </c>
      <c r="X153" s="71">
        <f>EarningsPerDay[[#This Row],[Deliveries]]/EarningsPerDay[[#This Row],[Hours]]</f>
        <v>2.1164021164021163</v>
      </c>
      <c r="Y153" s="71">
        <f>EarningsPerDay[[#This Row],[Miles]]/EarningsPerDay[[#This Row],[Deliveries]]</f>
        <v>10.416666666666666</v>
      </c>
      <c r="Z153" s="81">
        <f>(EarningsPerDay[[#This Row],[Hours]]/EarningsPerDay[[#This Row],[Deliveries]])/24</f>
        <v>1.96875E-2</v>
      </c>
      <c r="AA1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7.393866985264836</v>
      </c>
      <c r="AB153" s="11">
        <f>AVERAGEIFS(EarningsPerDay[Gross $/Hour],EarningsPerDay[Week '#], EarningsPerDay[[#This Row],[Week '#]], EarningsPerDay[DOW], EarningsPerDay[[#This Row],[DOW]])</f>
        <v>20.938868976503386</v>
      </c>
      <c r="AC153" s="11">
        <f>EarningsPerDay[[#This Row],[Gross $/Hour]] - EarningsPerDay[[#This Row],[Weekly Average Earnings]]</f>
        <v>-0.80306650736758201</v>
      </c>
      <c r="AD153" s="11">
        <f>(SUMIFS(EarningsPerDay[Gross Earnings], EarningsPerDay[Date],"&gt;="&amp;EarningsPerDay[[#This Row],[Date]]-89, EarningsPerDay[Date], "&lt;="&amp;EarningsPerDay[[#This Row],[Date]]))/90</f>
        <v>37.673555555555552</v>
      </c>
      <c r="AH153" s="108"/>
    </row>
    <row r="154" spans="2:34" x14ac:dyDescent="0.35">
      <c r="B154" s="40">
        <v>44781</v>
      </c>
      <c r="C154" s="40">
        <f t="shared" si="23"/>
        <v>44781</v>
      </c>
      <c r="D154" s="4">
        <f>IF(EarningsPerDay[[#This Row],[Week '#]]&gt;=52,YEAR(EarningsPerDay[[#This Row],[Date]])-1,YEAR(EarningsPerDay[[#This Row],[Date]]))</f>
        <v>2022</v>
      </c>
      <c r="E154" s="4" t="str">
        <f>"QTR"&amp;IF(EarningsPerDay[[#This Row],[Week '#]] &lt;= 13, 1, IF(EarningsPerDay[[#This Row],[Week '#]] &lt;= 26, 2, IF(EarningsPerDay[[#This Row],[Week '#]] &lt;= 39, 3, 4)))</f>
        <v>QTR3</v>
      </c>
      <c r="F1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54" s="4">
        <f>IF(WEEKNUM(EarningsPerDay[[#This Row],[Date]], 2) = 53, 1, WEEKNUM(EarningsPerDay[[#This Row],[Date]],2))</f>
        <v>33</v>
      </c>
      <c r="H154" s="40" t="str">
        <f t="shared" si="24"/>
        <v>Monday</v>
      </c>
      <c r="I15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54" s="40" t="str" cm="1">
        <f t="array" ref="J154">IFERROR(VLOOKUP(MODE(IF(Combined[Date]=EarningsPerDay[[#This Row],[Date]],Combined[Area '#])),KPIs!$B$4:$C$7,2,FALSE),VLOOKUP(EarningsPerDay[[#This Row],[Date]],Combined[[Date]:[Primary Area]],8,FALSE))</f>
        <v>Lewiston</v>
      </c>
      <c r="K154" s="40" t="str">
        <f>_xlfn.XLOOKUP(EarningsPerDay[[#This Row],[Date]],Mileage[Date],Mileage[Weather])</f>
        <v>Rain</v>
      </c>
      <c r="L154" s="4">
        <f>_xlfn.XLOOKUP(EarningsPerDay[[#This Row],[Date]],Mileage[Date],Mileage[Hi Temp])</f>
        <v>73.2</v>
      </c>
      <c r="M154" s="12">
        <f>_xlfn.XLOOKUP(EarningsPerDay[[#This Row],[Date]],Mileage[Date],Mileage[Total Time])</f>
        <v>5.8</v>
      </c>
      <c r="N154" s="4">
        <f>_xlfn.XLOOKUP(EarningsPerDay[[#This Row],[Date]],Mileage[Date],Mileage[Mileage])</f>
        <v>81.099999999999994</v>
      </c>
      <c r="O154" s="4">
        <f>SUMIF(Combined[Date],EarningsPerDay[[#This Row],[Date]],Combined[Trips])</f>
        <v>10</v>
      </c>
      <c r="P154">
        <f>COUNTIF(Combined[Date],EarningsPerDay[[#This Row],[Date]])</f>
        <v>3</v>
      </c>
      <c r="Q1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4" s="11">
        <f>SUMIF(Combined[Date],EarningsPerDay[[#This Row],[Date]],Combined[Earnings])</f>
        <v>56.58</v>
      </c>
      <c r="S154" s="11">
        <f ca="1">EarningsPerDay[[#This Row],[Gross Earnings]]-(EarningsPerDay[[#This Row],[Miles]]*CpM!$D$11)</f>
        <v>38.496882187846182</v>
      </c>
      <c r="T154" s="11">
        <f t="shared" si="25"/>
        <v>9.7551724137931028</v>
      </c>
      <c r="U154" s="11">
        <f t="shared" ca="1" si="26"/>
        <v>6.6373934806631354</v>
      </c>
      <c r="V154" s="11">
        <f>EarningsPerDay[[#This Row],[Gross Earnings]]/EarningsPerDay[[#This Row],[Deliveries]]</f>
        <v>5.6579999999999995</v>
      </c>
      <c r="W154" s="11">
        <f>EarningsPerDay[[#This Row],[Gross Earnings]]/EarningsPerDay[[#This Row],[Miles]]</f>
        <v>0.69765721331689279</v>
      </c>
      <c r="X154" s="71">
        <f>EarningsPerDay[[#This Row],[Deliveries]]/EarningsPerDay[[#This Row],[Hours]]</f>
        <v>1.7241379310344829</v>
      </c>
      <c r="Y154" s="71">
        <f>EarningsPerDay[[#This Row],[Miles]]/EarningsPerDay[[#This Row],[Deliveries]]</f>
        <v>8.11</v>
      </c>
      <c r="Z154" s="81">
        <f>(EarningsPerDay[[#This Row],[Hours]]/EarningsPerDay[[#This Row],[Deliveries]])/24</f>
        <v>2.4166666666666666E-2</v>
      </c>
      <c r="AA15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54" s="11">
        <f>AVERAGEIFS(EarningsPerDay[Gross $/Hour],EarningsPerDay[Week '#], EarningsPerDay[[#This Row],[Week '#]], EarningsPerDay[DOW], EarningsPerDay[[#This Row],[DOW]])</f>
        <v>15.658282216918668</v>
      </c>
      <c r="AC154" s="11">
        <f>EarningsPerDay[[#This Row],[Gross $/Hour]] - EarningsPerDay[[#This Row],[Weekly Average Earnings]]</f>
        <v>-5.9031098031255649</v>
      </c>
      <c r="AD154" s="11">
        <f>(SUMIFS(EarningsPerDay[Gross Earnings], EarningsPerDay[Date],"&gt;="&amp;EarningsPerDay[[#This Row],[Date]]-89, EarningsPerDay[Date], "&lt;="&amp;EarningsPerDay[[#This Row],[Date]]))/90</f>
        <v>34.849999999999994</v>
      </c>
      <c r="AH154" s="108"/>
    </row>
    <row r="155" spans="2:34" x14ac:dyDescent="0.35">
      <c r="B155" s="40">
        <v>44782</v>
      </c>
      <c r="C155" s="40">
        <f t="shared" si="23"/>
        <v>44782</v>
      </c>
      <c r="D155" s="4">
        <f>IF(EarningsPerDay[[#This Row],[Week '#]]&gt;=52,YEAR(EarningsPerDay[[#This Row],[Date]])-1,YEAR(EarningsPerDay[[#This Row],[Date]]))</f>
        <v>2022</v>
      </c>
      <c r="E155" s="4" t="str">
        <f>"QTR"&amp;IF(EarningsPerDay[[#This Row],[Week '#]] &lt;= 13, 1, IF(EarningsPerDay[[#This Row],[Week '#]] &lt;= 26, 2, IF(EarningsPerDay[[#This Row],[Week '#]] &lt;= 39, 3, 4)))</f>
        <v>QTR3</v>
      </c>
      <c r="F1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55" s="4">
        <f>IF(WEEKNUM(EarningsPerDay[[#This Row],[Date]], 2) = 53, 1, WEEKNUM(EarningsPerDay[[#This Row],[Date]],2))</f>
        <v>33</v>
      </c>
      <c r="H155" s="40" t="str">
        <f t="shared" si="24"/>
        <v>Tuesday</v>
      </c>
      <c r="I15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55" s="40" t="str" cm="1">
        <f t="array" ref="J155">IFERROR(VLOOKUP(MODE(IF(Combined[Date]=EarningsPerDay[[#This Row],[Date]],Combined[Area '#])),KPIs!$B$4:$C$7,2,FALSE),VLOOKUP(EarningsPerDay[[#This Row],[Date]],Combined[[Date]:[Primary Area]],8,FALSE))</f>
        <v>Portland</v>
      </c>
      <c r="K155" s="40" t="str">
        <f>_xlfn.XLOOKUP(EarningsPerDay[[#This Row],[Date]],Mileage[Date],Mileage[Weather])</f>
        <v>Rain</v>
      </c>
      <c r="L155" s="4">
        <f>_xlfn.XLOOKUP(EarningsPerDay[[#This Row],[Date]],Mileage[Date],Mileage[Hi Temp])</f>
        <v>70.7</v>
      </c>
      <c r="M155" s="12">
        <f>_xlfn.XLOOKUP(EarningsPerDay[[#This Row],[Date]],Mileage[Date],Mileage[Total Time])</f>
        <v>5.6999999999999993</v>
      </c>
      <c r="N155" s="4">
        <f>_xlfn.XLOOKUP(EarningsPerDay[[#This Row],[Date]],Mileage[Date],Mileage[Mileage])</f>
        <v>77.7</v>
      </c>
      <c r="O155" s="4">
        <f>SUMIF(Combined[Date],EarningsPerDay[[#This Row],[Date]],Combined[Trips])</f>
        <v>12</v>
      </c>
      <c r="P155">
        <f>COUNTIF(Combined[Date],EarningsPerDay[[#This Row],[Date]])</f>
        <v>2</v>
      </c>
      <c r="Q1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5" s="11">
        <f>SUMIF(Combined[Date],EarningsPerDay[[#This Row],[Date]],Combined[Earnings])</f>
        <v>114.57</v>
      </c>
      <c r="S155" s="11">
        <f ca="1">EarningsPerDay[[#This Row],[Gross Earnings]]-(EarningsPerDay[[#This Row],[Miles]]*CpM!$D$11)</f>
        <v>97.244990702782331</v>
      </c>
      <c r="T155" s="11">
        <f t="shared" si="25"/>
        <v>20.100000000000001</v>
      </c>
      <c r="U155" s="11">
        <f t="shared" ca="1" si="26"/>
        <v>17.060524684698656</v>
      </c>
      <c r="V155" s="11">
        <f>EarningsPerDay[[#This Row],[Gross Earnings]]/EarningsPerDay[[#This Row],[Deliveries]]</f>
        <v>9.5474999999999994</v>
      </c>
      <c r="W155" s="11">
        <f>EarningsPerDay[[#This Row],[Gross Earnings]]/EarningsPerDay[[#This Row],[Miles]]</f>
        <v>1.4745173745173743</v>
      </c>
      <c r="X155" s="71">
        <f>EarningsPerDay[[#This Row],[Deliveries]]/EarningsPerDay[[#This Row],[Hours]]</f>
        <v>2.1052631578947372</v>
      </c>
      <c r="Y155" s="71">
        <f>EarningsPerDay[[#This Row],[Miles]]/EarningsPerDay[[#This Row],[Deliveries]]</f>
        <v>6.4750000000000005</v>
      </c>
      <c r="Z155" s="81">
        <f>(EarningsPerDay[[#This Row],[Hours]]/EarningsPerDay[[#This Row],[Deliveries]])/24</f>
        <v>1.9791666666666662E-2</v>
      </c>
      <c r="AA1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12.394936708860762</v>
      </c>
      <c r="AB155" s="11">
        <f>AVERAGEIFS(EarningsPerDay[Gross $/Hour],EarningsPerDay[Week '#], EarningsPerDay[[#This Row],[Week '#]], EarningsPerDay[DOW], EarningsPerDay[[#This Row],[DOW]])</f>
        <v>17.127735570511192</v>
      </c>
      <c r="AC155" s="11">
        <f>EarningsPerDay[[#This Row],[Gross $/Hour]] - EarningsPerDay[[#This Row],[Weekly Average Earnings]]</f>
        <v>2.9722644294888099</v>
      </c>
      <c r="AD155" s="11">
        <f>(SUMIFS(EarningsPerDay[Gross Earnings], EarningsPerDay[Date],"&gt;="&amp;EarningsPerDay[[#This Row],[Date]]-89, EarningsPerDay[Date], "&lt;="&amp;EarningsPerDay[[#This Row],[Date]]))/90</f>
        <v>35.408111111111111</v>
      </c>
      <c r="AH155" s="108"/>
    </row>
    <row r="156" spans="2:34" x14ac:dyDescent="0.35">
      <c r="B156" s="40">
        <v>44783</v>
      </c>
      <c r="C156" s="40">
        <f t="shared" si="23"/>
        <v>44783</v>
      </c>
      <c r="D156" s="4">
        <f>IF(EarningsPerDay[[#This Row],[Week '#]]&gt;=52,YEAR(EarningsPerDay[[#This Row],[Date]])-1,YEAR(EarningsPerDay[[#This Row],[Date]]))</f>
        <v>2022</v>
      </c>
      <c r="E156" s="4" t="str">
        <f>"QTR"&amp;IF(EarningsPerDay[[#This Row],[Week '#]] &lt;= 13, 1, IF(EarningsPerDay[[#This Row],[Week '#]] &lt;= 26, 2, IF(EarningsPerDay[[#This Row],[Week '#]] &lt;= 39, 3, 4)))</f>
        <v>QTR3</v>
      </c>
      <c r="F1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56" s="4">
        <f>IF(WEEKNUM(EarningsPerDay[[#This Row],[Date]], 2) = 53, 1, WEEKNUM(EarningsPerDay[[#This Row],[Date]],2))</f>
        <v>33</v>
      </c>
      <c r="H156" s="40" t="str">
        <f t="shared" si="24"/>
        <v>Wednesday</v>
      </c>
      <c r="I156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156" s="40" t="str" cm="1">
        <f t="array" ref="J156">IFERROR(VLOOKUP(MODE(IF(Combined[Date]=EarningsPerDay[[#This Row],[Date]],Combined[Area '#])),KPIs!$B$4:$C$7,2,FALSE),VLOOKUP(EarningsPerDay[[#This Row],[Date]],Combined[[Date]:[Primary Area]],8,FALSE))</f>
        <v>Lewiston</v>
      </c>
      <c r="K156" s="40" t="str">
        <f>_xlfn.XLOOKUP(EarningsPerDay[[#This Row],[Date]],Mileage[Date],Mileage[Weather])</f>
        <v>Rain</v>
      </c>
      <c r="L156" s="4">
        <f>_xlfn.XLOOKUP(EarningsPerDay[[#This Row],[Date]],Mileage[Date],Mileage[Hi Temp])</f>
        <v>74.400000000000006</v>
      </c>
      <c r="M156" s="12">
        <f>_xlfn.XLOOKUP(EarningsPerDay[[#This Row],[Date]],Mileage[Date],Mileage[Total Time])</f>
        <v>4.5</v>
      </c>
      <c r="N156" s="4">
        <f>_xlfn.XLOOKUP(EarningsPerDay[[#This Row],[Date]],Mileage[Date],Mileage[Mileage])</f>
        <v>73</v>
      </c>
      <c r="O156" s="4">
        <f>SUMIF(Combined[Date],EarningsPerDay[[#This Row],[Date]],Combined[Trips])</f>
        <v>12</v>
      </c>
      <c r="P156">
        <f>COUNTIF(Combined[Date],EarningsPerDay[[#This Row],[Date]])</f>
        <v>4</v>
      </c>
      <c r="Q1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6" s="11">
        <f>SUMIF(Combined[Date],EarningsPerDay[[#This Row],[Date]],Combined[Earnings])</f>
        <v>100</v>
      </c>
      <c r="S156" s="11">
        <f ca="1">EarningsPerDay[[#This Row],[Gross Earnings]]-(EarningsPerDay[[#This Row],[Miles]]*CpM!$D$11)</f>
        <v>83.722964238135276</v>
      </c>
      <c r="T156" s="11">
        <f t="shared" si="25"/>
        <v>22.222222222222221</v>
      </c>
      <c r="U156" s="11">
        <f t="shared" ca="1" si="26"/>
        <v>18.605103164030062</v>
      </c>
      <c r="V156" s="11">
        <f>EarningsPerDay[[#This Row],[Gross Earnings]]/EarningsPerDay[[#This Row],[Deliveries]]</f>
        <v>8.3333333333333339</v>
      </c>
      <c r="W156" s="11">
        <f>EarningsPerDay[[#This Row],[Gross Earnings]]/EarningsPerDay[[#This Row],[Miles]]</f>
        <v>1.3698630136986301</v>
      </c>
      <c r="X156" s="71">
        <f>EarningsPerDay[[#This Row],[Deliveries]]/EarningsPerDay[[#This Row],[Hours]]</f>
        <v>2.6666666666666665</v>
      </c>
      <c r="Y156" s="71">
        <f>EarningsPerDay[[#This Row],[Miles]]/EarningsPerDay[[#This Row],[Deliveries]]</f>
        <v>6.083333333333333</v>
      </c>
      <c r="Z156" s="81">
        <f>(EarningsPerDay[[#This Row],[Hours]]/EarningsPerDay[[#This Row],[Deliveries]])/24</f>
        <v>1.5625E-2</v>
      </c>
      <c r="AA15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56" s="11">
        <f>AVERAGEIFS(EarningsPerDay[Gross $/Hour],EarningsPerDay[Week '#], EarningsPerDay[[#This Row],[Week '#]], EarningsPerDay[DOW], EarningsPerDay[[#This Row],[DOW]])</f>
        <v>21.900354654253771</v>
      </c>
      <c r="AC156" s="11">
        <f>EarningsPerDay[[#This Row],[Gross $/Hour]] - EarningsPerDay[[#This Row],[Weekly Average Earnings]]</f>
        <v>0.32186756796845017</v>
      </c>
      <c r="AD156" s="11">
        <f>(SUMIFS(EarningsPerDay[Gross Earnings], EarningsPerDay[Date],"&gt;="&amp;EarningsPerDay[[#This Row],[Date]]-89, EarningsPerDay[Date], "&lt;="&amp;EarningsPerDay[[#This Row],[Date]]))/90</f>
        <v>36.07033333333333</v>
      </c>
      <c r="AH156" s="108"/>
    </row>
    <row r="157" spans="2:34" x14ac:dyDescent="0.35">
      <c r="B157" s="40">
        <v>44789</v>
      </c>
      <c r="C157" s="40">
        <f t="shared" si="23"/>
        <v>44789</v>
      </c>
      <c r="D157" s="4">
        <f>IF(EarningsPerDay[[#This Row],[Week '#]]&gt;=52,YEAR(EarningsPerDay[[#This Row],[Date]])-1,YEAR(EarningsPerDay[[#This Row],[Date]]))</f>
        <v>2022</v>
      </c>
      <c r="E157" s="4" t="str">
        <f>"QTR"&amp;IF(EarningsPerDay[[#This Row],[Week '#]] &lt;= 13, 1, IF(EarningsPerDay[[#This Row],[Week '#]] &lt;= 26, 2, IF(EarningsPerDay[[#This Row],[Week '#]] &lt;= 39, 3, 4)))</f>
        <v>QTR3</v>
      </c>
      <c r="F1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57" s="4">
        <f>IF(WEEKNUM(EarningsPerDay[[#This Row],[Date]], 2) = 53, 1, WEEKNUM(EarningsPerDay[[#This Row],[Date]],2))</f>
        <v>34</v>
      </c>
      <c r="H157" s="40" t="str">
        <f t="shared" si="24"/>
        <v>Tuesday</v>
      </c>
      <c r="I15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57" s="40" t="str" cm="1">
        <f t="array" ref="J157">IFERROR(VLOOKUP(MODE(IF(Combined[Date]=EarningsPerDay[[#This Row],[Date]],Combined[Area '#])),KPIs!$B$4:$C$7,2,FALSE),VLOOKUP(EarningsPerDay[[#This Row],[Date]],Combined[[Date]:[Primary Area]],8,FALSE))</f>
        <v>Brunswick/Bath/Freeport</v>
      </c>
      <c r="K157" s="40" t="str">
        <f>_xlfn.XLOOKUP(EarningsPerDay[[#This Row],[Date]],Mileage[Date],Mileage[Weather])</f>
        <v>Rain</v>
      </c>
      <c r="L157" s="4">
        <f>_xlfn.XLOOKUP(EarningsPerDay[[#This Row],[Date]],Mileage[Date],Mileage[Hi Temp])</f>
        <v>68</v>
      </c>
      <c r="M157" s="12">
        <f>_xlfn.XLOOKUP(EarningsPerDay[[#This Row],[Date]],Mileage[Date],Mileage[Total Time])</f>
        <v>4.7</v>
      </c>
      <c r="N157" s="4">
        <f>_xlfn.XLOOKUP(EarningsPerDay[[#This Row],[Date]],Mileage[Date],Mileage[Mileage])</f>
        <v>114.9</v>
      </c>
      <c r="O157" s="4">
        <f>SUMIF(Combined[Date],EarningsPerDay[[#This Row],[Date]],Combined[Trips])</f>
        <v>8</v>
      </c>
      <c r="P157">
        <f>COUNTIF(Combined[Date],EarningsPerDay[[#This Row],[Date]])</f>
        <v>2</v>
      </c>
      <c r="Q1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7" s="11">
        <f>SUMIF(Combined[Date],EarningsPerDay[[#This Row],[Date]],Combined[Earnings])</f>
        <v>86.72</v>
      </c>
      <c r="S157" s="11">
        <f ca="1">EarningsPerDay[[#This Row],[Gross Earnings]]-(EarningsPerDay[[#This Row],[Miles]]*CpM!$D$11)</f>
        <v>61.100391657010185</v>
      </c>
      <c r="T157" s="11">
        <f t="shared" si="25"/>
        <v>18.451063829787234</v>
      </c>
      <c r="U157" s="11">
        <f t="shared" ca="1" si="26"/>
        <v>13.000083331278763</v>
      </c>
      <c r="V157" s="11">
        <f>EarningsPerDay[[#This Row],[Gross Earnings]]/EarningsPerDay[[#This Row],[Deliveries]]</f>
        <v>10.84</v>
      </c>
      <c r="W157" s="11">
        <f>EarningsPerDay[[#This Row],[Gross Earnings]]/EarningsPerDay[[#This Row],[Miles]]</f>
        <v>0.75474325500435158</v>
      </c>
      <c r="X157" s="71">
        <f>EarningsPerDay[[#This Row],[Deliveries]]/EarningsPerDay[[#This Row],[Hours]]</f>
        <v>1.7021276595744681</v>
      </c>
      <c r="Y157" s="71">
        <f>EarningsPerDay[[#This Row],[Miles]]/EarningsPerDay[[#This Row],[Deliveries]]</f>
        <v>14.362500000000001</v>
      </c>
      <c r="Z157" s="81">
        <f>(EarningsPerDay[[#This Row],[Hours]]/EarningsPerDay[[#This Row],[Deliveries]])/24</f>
        <v>2.4479166666666666E-2</v>
      </c>
      <c r="AA1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-6.132574614148691</v>
      </c>
      <c r="AB157" s="11">
        <f>AVERAGEIFS(EarningsPerDay[Gross $/Hour],EarningsPerDay[Week '#], EarningsPerDay[[#This Row],[Week '#]], EarningsPerDay[DOW], EarningsPerDay[[#This Row],[DOW]])</f>
        <v>18.451063829787234</v>
      </c>
      <c r="AC157" s="11">
        <f>EarningsPerDay[[#This Row],[Gross $/Hour]] - EarningsPerDay[[#This Row],[Weekly Average Earnings]]</f>
        <v>0</v>
      </c>
      <c r="AD157" s="11">
        <f>(SUMIFS(EarningsPerDay[Gross Earnings], EarningsPerDay[Date],"&gt;="&amp;EarningsPerDay[[#This Row],[Date]]-89, EarningsPerDay[Date], "&lt;="&amp;EarningsPerDay[[#This Row],[Date]]))/90</f>
        <v>35.649333333333331</v>
      </c>
      <c r="AH157" s="108"/>
    </row>
    <row r="158" spans="2:34" x14ac:dyDescent="0.35">
      <c r="B158" s="40">
        <v>44790</v>
      </c>
      <c r="C158" s="40">
        <f t="shared" si="23"/>
        <v>44790</v>
      </c>
      <c r="D158" s="4">
        <f>IF(EarningsPerDay[[#This Row],[Week '#]]&gt;=52,YEAR(EarningsPerDay[[#This Row],[Date]])-1,YEAR(EarningsPerDay[[#This Row],[Date]]))</f>
        <v>2022</v>
      </c>
      <c r="E158" s="4" t="str">
        <f>"QTR"&amp;IF(EarningsPerDay[[#This Row],[Week '#]] &lt;= 13, 1, IF(EarningsPerDay[[#This Row],[Week '#]] &lt;= 26, 2, IF(EarningsPerDay[[#This Row],[Week '#]] &lt;= 39, 3, 4)))</f>
        <v>QTR3</v>
      </c>
      <c r="F1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58" s="4">
        <f>IF(WEEKNUM(EarningsPerDay[[#This Row],[Date]], 2) = 53, 1, WEEKNUM(EarningsPerDay[[#This Row],[Date]],2))</f>
        <v>34</v>
      </c>
      <c r="H158" s="40" t="str">
        <f t="shared" si="24"/>
        <v>Wednesday</v>
      </c>
      <c r="I15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58" s="40" t="str" cm="1">
        <f t="array" ref="J158">IFERROR(VLOOKUP(MODE(IF(Combined[Date]=EarningsPerDay[[#This Row],[Date]],Combined[Area '#])),KPIs!$B$4:$C$7,2,FALSE),VLOOKUP(EarningsPerDay[[#This Row],[Date]],Combined[[Date]:[Primary Area]],8,FALSE))</f>
        <v>Portland</v>
      </c>
      <c r="K158" s="40" t="str">
        <f>_xlfn.XLOOKUP(EarningsPerDay[[#This Row],[Date]],Mileage[Date],Mileage[Weather])</f>
        <v>Rain</v>
      </c>
      <c r="L158" s="4">
        <f>_xlfn.XLOOKUP(EarningsPerDay[[#This Row],[Date]],Mileage[Date],Mileage[Hi Temp])</f>
        <v>69</v>
      </c>
      <c r="M158" s="12">
        <f>_xlfn.XLOOKUP(EarningsPerDay[[#This Row],[Date]],Mileage[Date],Mileage[Total Time])</f>
        <v>4.5999999999999996</v>
      </c>
      <c r="N158" s="4">
        <f>_xlfn.XLOOKUP(EarningsPerDay[[#This Row],[Date]],Mileage[Date],Mileage[Mileage])</f>
        <v>125</v>
      </c>
      <c r="O158" s="4">
        <f>SUMIF(Combined[Date],EarningsPerDay[[#This Row],[Date]],Combined[Trips])</f>
        <v>10</v>
      </c>
      <c r="P158">
        <f>COUNTIF(Combined[Date],EarningsPerDay[[#This Row],[Date]])</f>
        <v>3</v>
      </c>
      <c r="Q1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8" s="11">
        <f>SUMIF(Combined[Date],EarningsPerDay[[#This Row],[Date]],Combined[Earnings])</f>
        <v>130.63</v>
      </c>
      <c r="S158" s="11">
        <f ca="1">EarningsPerDay[[#This Row],[Gross Earnings]]-(EarningsPerDay[[#This Row],[Miles]]*CpM!$D$11)</f>
        <v>102.75836342146451</v>
      </c>
      <c r="T158" s="11">
        <f t="shared" si="25"/>
        <v>28.397826086956524</v>
      </c>
      <c r="U158" s="11">
        <f t="shared" ca="1" si="26"/>
        <v>22.338774656840112</v>
      </c>
      <c r="V158" s="11">
        <f>EarningsPerDay[[#This Row],[Gross Earnings]]/EarningsPerDay[[#This Row],[Deliveries]]</f>
        <v>13.062999999999999</v>
      </c>
      <c r="W158" s="11">
        <f>EarningsPerDay[[#This Row],[Gross Earnings]]/EarningsPerDay[[#This Row],[Miles]]</f>
        <v>1.04504</v>
      </c>
      <c r="X158" s="71">
        <f>EarningsPerDay[[#This Row],[Deliveries]]/EarningsPerDay[[#This Row],[Hours]]</f>
        <v>2.1739130434782612</v>
      </c>
      <c r="Y158" s="71">
        <f>EarningsPerDay[[#This Row],[Miles]]/EarningsPerDay[[#This Row],[Deliveries]]</f>
        <v>12.5</v>
      </c>
      <c r="Z158" s="81">
        <f>(EarningsPerDay[[#This Row],[Hours]]/EarningsPerDay[[#This Row],[Deliveries]])/24</f>
        <v>1.9166666666666665E-2</v>
      </c>
      <c r="AA1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-0.20770120259019009</v>
      </c>
      <c r="AB158" s="11">
        <f>AVERAGEIFS(EarningsPerDay[Gross $/Hour],EarningsPerDay[Week '#], EarningsPerDay[[#This Row],[Week '#]], EarningsPerDay[DOW], EarningsPerDay[[#This Row],[DOW]])</f>
        <v>23.323781261793304</v>
      </c>
      <c r="AC158" s="11">
        <f>EarningsPerDay[[#This Row],[Gross $/Hour]] - EarningsPerDay[[#This Row],[Weekly Average Earnings]]</f>
        <v>5.0740448251632202</v>
      </c>
      <c r="AD158" s="11">
        <f>(SUMIFS(EarningsPerDay[Gross Earnings], EarningsPerDay[Date],"&gt;="&amp;EarningsPerDay[[#This Row],[Date]]-89, EarningsPerDay[Date], "&lt;="&amp;EarningsPerDay[[#This Row],[Date]]))/90</f>
        <v>36.429333333333332</v>
      </c>
      <c r="AH158" s="108"/>
    </row>
    <row r="159" spans="2:34" x14ac:dyDescent="0.35">
      <c r="B159" s="40">
        <v>44791</v>
      </c>
      <c r="C159" s="40">
        <f t="shared" si="23"/>
        <v>44791</v>
      </c>
      <c r="D159" s="4">
        <f>IF(EarningsPerDay[[#This Row],[Week '#]]&gt;=52,YEAR(EarningsPerDay[[#This Row],[Date]])-1,YEAR(EarningsPerDay[[#This Row],[Date]]))</f>
        <v>2022</v>
      </c>
      <c r="E159" s="4" t="str">
        <f>"QTR"&amp;IF(EarningsPerDay[[#This Row],[Week '#]] &lt;= 13, 1, IF(EarningsPerDay[[#This Row],[Week '#]] &lt;= 26, 2, IF(EarningsPerDay[[#This Row],[Week '#]] &lt;= 39, 3, 4)))</f>
        <v>QTR3</v>
      </c>
      <c r="F1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59" s="4">
        <f>IF(WEEKNUM(EarningsPerDay[[#This Row],[Date]], 2) = 53, 1, WEEKNUM(EarningsPerDay[[#This Row],[Date]],2))</f>
        <v>34</v>
      </c>
      <c r="H159" s="40" t="str">
        <f t="shared" si="24"/>
        <v>Thursday</v>
      </c>
      <c r="I15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59" s="40" t="str" cm="1">
        <f t="array" ref="J159">IFERROR(VLOOKUP(MODE(IF(Combined[Date]=EarningsPerDay[[#This Row],[Date]],Combined[Area '#])),KPIs!$B$4:$C$7,2,FALSE),VLOOKUP(EarningsPerDay[[#This Row],[Date]],Combined[[Date]:[Primary Area]],8,FALSE))</f>
        <v>Portland</v>
      </c>
      <c r="K159" s="40" t="str">
        <f>_xlfn.XLOOKUP(EarningsPerDay[[#This Row],[Date]],Mileage[Date],Mileage[Weather])</f>
        <v>Rain</v>
      </c>
      <c r="L159" s="4">
        <f>_xlfn.XLOOKUP(EarningsPerDay[[#This Row],[Date]],Mileage[Date],Mileage[Hi Temp])</f>
        <v>83.3</v>
      </c>
      <c r="M159" s="12">
        <f>_xlfn.XLOOKUP(EarningsPerDay[[#This Row],[Date]],Mileage[Date],Mileage[Total Time])</f>
        <v>4.8</v>
      </c>
      <c r="N159" s="4">
        <f>_xlfn.XLOOKUP(EarningsPerDay[[#This Row],[Date]],Mileage[Date],Mileage[Mileage])</f>
        <v>108.1</v>
      </c>
      <c r="O159" s="4">
        <f>SUMIF(Combined[Date],EarningsPerDay[[#This Row],[Date]],Combined[Trips])</f>
        <v>8</v>
      </c>
      <c r="P159">
        <f>COUNTIF(Combined[Date],EarningsPerDay[[#This Row],[Date]])</f>
        <v>4</v>
      </c>
      <c r="Q1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59" s="11">
        <f>SUMIF(Combined[Date],EarningsPerDay[[#This Row],[Date]],Combined[Earnings])</f>
        <v>83.82</v>
      </c>
      <c r="S159" s="11">
        <f ca="1">EarningsPerDay[[#This Row],[Gross Earnings]]-(EarningsPerDay[[#This Row],[Miles]]*CpM!$D$11)</f>
        <v>59.716608686882509</v>
      </c>
      <c r="T159" s="11">
        <f t="shared" si="25"/>
        <v>17.462499999999999</v>
      </c>
      <c r="U159" s="11">
        <f t="shared" ca="1" si="26"/>
        <v>12.440960143100524</v>
      </c>
      <c r="V159" s="11">
        <f>EarningsPerDay[[#This Row],[Gross Earnings]]/EarningsPerDay[[#This Row],[Deliveries]]</f>
        <v>10.477499999999999</v>
      </c>
      <c r="W159" s="11">
        <f>EarningsPerDay[[#This Row],[Gross Earnings]]/EarningsPerDay[[#This Row],[Miles]]</f>
        <v>0.77539315448658652</v>
      </c>
      <c r="X159" s="71">
        <f>EarningsPerDay[[#This Row],[Deliveries]]/EarningsPerDay[[#This Row],[Hours]]</f>
        <v>1.6666666666666667</v>
      </c>
      <c r="Y159" s="71">
        <f>EarningsPerDay[[#This Row],[Miles]]/EarningsPerDay[[#This Row],[Deliveries]]</f>
        <v>13.512499999999999</v>
      </c>
      <c r="Z159" s="81">
        <f>(EarningsPerDay[[#This Row],[Hours]]/EarningsPerDay[[#This Row],[Deliveries]])/24</f>
        <v>2.4999999999999998E-2</v>
      </c>
      <c r="AA1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-10.173863636363642</v>
      </c>
      <c r="AB159" s="11">
        <f>AVERAGEIFS(EarningsPerDay[Gross $/Hour],EarningsPerDay[Week '#], EarningsPerDay[[#This Row],[Week '#]], EarningsPerDay[DOW], EarningsPerDay[[#This Row],[DOW]])</f>
        <v>20.801092160105405</v>
      </c>
      <c r="AC159" s="11">
        <f>EarningsPerDay[[#This Row],[Gross $/Hour]] - EarningsPerDay[[#This Row],[Weekly Average Earnings]]</f>
        <v>-3.3385921601054065</v>
      </c>
      <c r="AD159" s="11">
        <f>(SUMIFS(EarningsPerDay[Gross Earnings], EarningsPerDay[Date],"&gt;="&amp;EarningsPerDay[[#This Row],[Date]]-89, EarningsPerDay[Date], "&lt;="&amp;EarningsPerDay[[#This Row],[Date]]))/90</f>
        <v>37.102333333333334</v>
      </c>
      <c r="AH159" s="108"/>
    </row>
    <row r="160" spans="2:34" x14ac:dyDescent="0.35">
      <c r="B160" s="40">
        <v>44793</v>
      </c>
      <c r="C160" s="40">
        <f t="shared" si="23"/>
        <v>44793</v>
      </c>
      <c r="D160" s="4">
        <f>IF(EarningsPerDay[[#This Row],[Week '#]]&gt;=52,YEAR(EarningsPerDay[[#This Row],[Date]])-1,YEAR(EarningsPerDay[[#This Row],[Date]]))</f>
        <v>2022</v>
      </c>
      <c r="E160" s="4" t="str">
        <f>"QTR"&amp;IF(EarningsPerDay[[#This Row],[Week '#]] &lt;= 13, 1, IF(EarningsPerDay[[#This Row],[Week '#]] &lt;= 26, 2, IF(EarningsPerDay[[#This Row],[Week '#]] &lt;= 39, 3, 4)))</f>
        <v>QTR3</v>
      </c>
      <c r="F1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160" s="4">
        <f>IF(WEEKNUM(EarningsPerDay[[#This Row],[Date]], 2) = 53, 1, WEEKNUM(EarningsPerDay[[#This Row],[Date]],2))</f>
        <v>34</v>
      </c>
      <c r="H160" s="40" t="str">
        <f t="shared" si="24"/>
        <v>Saturday</v>
      </c>
      <c r="I160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160" s="40" t="str" cm="1">
        <f t="array" ref="J160">IFERROR(VLOOKUP(MODE(IF(Combined[Date]=EarningsPerDay[[#This Row],[Date]],Combined[Area '#])),KPIs!$B$4:$C$7,2,FALSE),VLOOKUP(EarningsPerDay[[#This Row],[Date]],Combined[[Date]:[Primary Area]],8,FALSE))</f>
        <v>Brunswick/Bath/Freeport</v>
      </c>
      <c r="K160" s="40" t="str">
        <f>_xlfn.XLOOKUP(EarningsPerDay[[#This Row],[Date]],Mileage[Date],Mileage[Weather])</f>
        <v>Clear</v>
      </c>
      <c r="L160" s="4">
        <f>_xlfn.XLOOKUP(EarningsPerDay[[#This Row],[Date]],Mileage[Date],Mileage[Hi Temp])</f>
        <v>85.9</v>
      </c>
      <c r="M160" s="12">
        <f>_xlfn.XLOOKUP(EarningsPerDay[[#This Row],[Date]],Mileage[Date],Mileage[Total Time])</f>
        <v>6.6999999999999993</v>
      </c>
      <c r="N160" s="4">
        <f>_xlfn.XLOOKUP(EarningsPerDay[[#This Row],[Date]],Mileage[Date],Mileage[Mileage])</f>
        <v>139</v>
      </c>
      <c r="O160" s="4">
        <f>SUMIF(Combined[Date],EarningsPerDay[[#This Row],[Date]],Combined[Trips])</f>
        <v>13</v>
      </c>
      <c r="P160">
        <f>COUNTIF(Combined[Date],EarningsPerDay[[#This Row],[Date]])</f>
        <v>3</v>
      </c>
      <c r="Q1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0" s="11">
        <f>SUMIF(Combined[Date],EarningsPerDay[[#This Row],[Date]],Combined[Earnings])</f>
        <v>127.27</v>
      </c>
      <c r="S160" s="11">
        <f ca="1">EarningsPerDay[[#This Row],[Gross Earnings]]-(EarningsPerDay[[#This Row],[Miles]]*CpM!$D$11)</f>
        <v>96.276740124668549</v>
      </c>
      <c r="T160" s="11">
        <f t="shared" si="25"/>
        <v>18.995522388059705</v>
      </c>
      <c r="U160" s="11">
        <f t="shared" ca="1" si="26"/>
        <v>14.369662705174411</v>
      </c>
      <c r="V160" s="11">
        <f>EarningsPerDay[[#This Row],[Gross Earnings]]/EarningsPerDay[[#This Row],[Deliveries]]</f>
        <v>9.7899999999999991</v>
      </c>
      <c r="W160" s="11">
        <f>EarningsPerDay[[#This Row],[Gross Earnings]]/EarningsPerDay[[#This Row],[Miles]]</f>
        <v>0.91561151079136682</v>
      </c>
      <c r="X160" s="71">
        <f>EarningsPerDay[[#This Row],[Deliveries]]/EarningsPerDay[[#This Row],[Hours]]</f>
        <v>1.9402985074626868</v>
      </c>
      <c r="Y160" s="71">
        <f>EarningsPerDay[[#This Row],[Miles]]/EarningsPerDay[[#This Row],[Deliveries]]</f>
        <v>10.692307692307692</v>
      </c>
      <c r="Z160" s="81">
        <f>(EarningsPerDay[[#This Row],[Hours]]/EarningsPerDay[[#This Row],[Deliveries]])/24</f>
        <v>2.1474358974358971E-2</v>
      </c>
      <c r="AA1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1.4112105811451627</v>
      </c>
      <c r="AB160" s="11">
        <f>AVERAGEIFS(EarningsPerDay[Gross $/Hour],EarningsPerDay[Week '#], EarningsPerDay[[#This Row],[Week '#]], EarningsPerDay[DOW], EarningsPerDay[[#This Row],[DOW]])</f>
        <v>19.755357688810538</v>
      </c>
      <c r="AC160" s="11">
        <f>EarningsPerDay[[#This Row],[Gross $/Hour]] - EarningsPerDay[[#This Row],[Weekly Average Earnings]]</f>
        <v>-0.75983530075083294</v>
      </c>
      <c r="AD160" s="11">
        <f>(SUMIFS(EarningsPerDay[Gross Earnings], EarningsPerDay[Date],"&gt;="&amp;EarningsPerDay[[#This Row],[Date]]-89, EarningsPerDay[Date], "&lt;="&amp;EarningsPerDay[[#This Row],[Date]]))/90</f>
        <v>38.516444444444446</v>
      </c>
      <c r="AH160" s="108"/>
    </row>
    <row r="161" spans="2:34" x14ac:dyDescent="0.35">
      <c r="B161" s="40">
        <v>44795</v>
      </c>
      <c r="C161" s="40">
        <f t="shared" si="23"/>
        <v>44795</v>
      </c>
      <c r="D161" s="4">
        <f>IF(EarningsPerDay[[#This Row],[Week '#]]&gt;=52,YEAR(EarningsPerDay[[#This Row],[Date]])-1,YEAR(EarningsPerDay[[#This Row],[Date]]))</f>
        <v>2022</v>
      </c>
      <c r="E161" s="4" t="str">
        <f>"QTR"&amp;IF(EarningsPerDay[[#This Row],[Week '#]] &lt;= 13, 1, IF(EarningsPerDay[[#This Row],[Week '#]] &lt;= 26, 2, IF(EarningsPerDay[[#This Row],[Week '#]] &lt;= 39, 3, 4)))</f>
        <v>QTR3</v>
      </c>
      <c r="F1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61" s="4">
        <f>IF(WEEKNUM(EarningsPerDay[[#This Row],[Date]], 2) = 53, 1, WEEKNUM(EarningsPerDay[[#This Row],[Date]],2))</f>
        <v>35</v>
      </c>
      <c r="H161" s="40" t="str">
        <f t="shared" si="24"/>
        <v>Monday</v>
      </c>
      <c r="I16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61" s="40" t="str" cm="1">
        <f t="array" ref="J161">IFERROR(VLOOKUP(MODE(IF(Combined[Date]=EarningsPerDay[[#This Row],[Date]],Combined[Area '#])),KPIs!$B$4:$C$7,2,FALSE),VLOOKUP(EarningsPerDay[[#This Row],[Date]],Combined[[Date]:[Primary Area]],8,FALSE))</f>
        <v>Portland</v>
      </c>
      <c r="K161" s="40" t="str">
        <f>_xlfn.XLOOKUP(EarningsPerDay[[#This Row],[Date]],Mileage[Date],Mileage[Weather])</f>
        <v>Rain</v>
      </c>
      <c r="L161" s="4">
        <f>_xlfn.XLOOKUP(EarningsPerDay[[#This Row],[Date]],Mileage[Date],Mileage[Hi Temp])</f>
        <v>77.900000000000006</v>
      </c>
      <c r="M161" s="12">
        <f>_xlfn.XLOOKUP(EarningsPerDay[[#This Row],[Date]],Mileage[Date],Mileage[Total Time])</f>
        <v>5.0999999999999996</v>
      </c>
      <c r="N161" s="4">
        <f>_xlfn.XLOOKUP(EarningsPerDay[[#This Row],[Date]],Mileage[Date],Mileage[Mileage])</f>
        <v>124.19999999999999</v>
      </c>
      <c r="O161" s="4">
        <f>SUMIF(Combined[Date],EarningsPerDay[[#This Row],[Date]],Combined[Trips])</f>
        <v>9</v>
      </c>
      <c r="P161">
        <f>COUNTIF(Combined[Date],EarningsPerDay[[#This Row],[Date]])</f>
        <v>2</v>
      </c>
      <c r="Q1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1" s="11">
        <f>SUMIF(Combined[Date],EarningsPerDay[[#This Row],[Date]],Combined[Earnings])</f>
        <v>100.72</v>
      </c>
      <c r="S161" s="11">
        <f ca="1">EarningsPerDay[[#This Row],[Gross Earnings]]-(EarningsPerDay[[#This Row],[Miles]]*CpM!$D$11)</f>
        <v>73.026741895567142</v>
      </c>
      <c r="T161" s="11">
        <f t="shared" si="25"/>
        <v>19.749019607843138</v>
      </c>
      <c r="U161" s="11">
        <f t="shared" ca="1" si="26"/>
        <v>14.318968999130814</v>
      </c>
      <c r="V161" s="11">
        <f>EarningsPerDay[[#This Row],[Gross Earnings]]/EarningsPerDay[[#This Row],[Deliveries]]</f>
        <v>11.191111111111111</v>
      </c>
      <c r="W161" s="11">
        <f>EarningsPerDay[[#This Row],[Gross Earnings]]/EarningsPerDay[[#This Row],[Miles]]</f>
        <v>0.81095008051529793</v>
      </c>
      <c r="X161" s="71">
        <f>EarningsPerDay[[#This Row],[Deliveries]]/EarningsPerDay[[#This Row],[Hours]]</f>
        <v>1.7647058823529413</v>
      </c>
      <c r="Y161" s="71">
        <f>EarningsPerDay[[#This Row],[Miles]]/EarningsPerDay[[#This Row],[Deliveries]]</f>
        <v>13.799999999999999</v>
      </c>
      <c r="Z161" s="81">
        <f>(EarningsPerDay[[#This Row],[Hours]]/EarningsPerDay[[#This Row],[Deliveries]])/24</f>
        <v>2.361111111111111E-2</v>
      </c>
      <c r="AA1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-14.295424836601306</v>
      </c>
      <c r="AB161" s="11">
        <f>AVERAGEIFS(EarningsPerDay[Gross $/Hour],EarningsPerDay[Week '#], EarningsPerDay[[#This Row],[Week '#]], EarningsPerDay[DOW], EarningsPerDay[[#This Row],[DOW]])</f>
        <v>22.565375230269186</v>
      </c>
      <c r="AC161" s="11">
        <f>EarningsPerDay[[#This Row],[Gross $/Hour]] - EarningsPerDay[[#This Row],[Weekly Average Earnings]]</f>
        <v>-2.8163556224260482</v>
      </c>
      <c r="AD161" s="11">
        <f>(SUMIFS(EarningsPerDay[Gross Earnings], EarningsPerDay[Date],"&gt;="&amp;EarningsPerDay[[#This Row],[Date]]-89, EarningsPerDay[Date], "&lt;="&amp;EarningsPerDay[[#This Row],[Date]]))/90</f>
        <v>38.419999999999995</v>
      </c>
      <c r="AH161" s="108"/>
    </row>
    <row r="162" spans="2:34" x14ac:dyDescent="0.35">
      <c r="B162" s="40">
        <v>44800</v>
      </c>
      <c r="C162" s="40">
        <f t="shared" si="23"/>
        <v>44800</v>
      </c>
      <c r="D162" s="4">
        <f>IF(EarningsPerDay[[#This Row],[Week '#]]&gt;=52,YEAR(EarningsPerDay[[#This Row],[Date]])-1,YEAR(EarningsPerDay[[#This Row],[Date]]))</f>
        <v>2022</v>
      </c>
      <c r="E162" s="4" t="str">
        <f>"QTR"&amp;IF(EarningsPerDay[[#This Row],[Week '#]] &lt;= 13, 1, IF(EarningsPerDay[[#This Row],[Week '#]] &lt;= 26, 2, IF(EarningsPerDay[[#This Row],[Week '#]] &lt;= 39, 3, 4)))</f>
        <v>QTR3</v>
      </c>
      <c r="F1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162" s="4">
        <f>IF(WEEKNUM(EarningsPerDay[[#This Row],[Date]], 2) = 53, 1, WEEKNUM(EarningsPerDay[[#This Row],[Date]],2))</f>
        <v>35</v>
      </c>
      <c r="H162" s="40" t="str">
        <f t="shared" si="24"/>
        <v>Saturday</v>
      </c>
      <c r="I16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62" s="40" t="str" cm="1">
        <f t="array" ref="J162">IFERROR(VLOOKUP(MODE(IF(Combined[Date]=EarningsPerDay[[#This Row],[Date]],Combined[Area '#])),KPIs!$B$4:$C$7,2,FALSE),VLOOKUP(EarningsPerDay[[#This Row],[Date]],Combined[[Date]:[Primary Area]],8,FALSE))</f>
        <v>Brunswick/Bath/Freeport</v>
      </c>
      <c r="K162" s="40" t="str">
        <f>_xlfn.XLOOKUP(EarningsPerDay[[#This Row],[Date]],Mileage[Date],Mileage[Weather])</f>
        <v>Rain</v>
      </c>
      <c r="L162" s="4">
        <f>_xlfn.XLOOKUP(EarningsPerDay[[#This Row],[Date]],Mileage[Date],Mileage[Hi Temp])</f>
        <v>76.900000000000006</v>
      </c>
      <c r="M162" s="12">
        <f>_xlfn.XLOOKUP(EarningsPerDay[[#This Row],[Date]],Mileage[Date],Mileage[Total Time])</f>
        <v>6.6999999999999993</v>
      </c>
      <c r="N162" s="4">
        <f>_xlfn.XLOOKUP(EarningsPerDay[[#This Row],[Date]],Mileage[Date],Mileage[Mileage])</f>
        <v>144.77999999999997</v>
      </c>
      <c r="O162" s="4">
        <f>SUMIF(Combined[Date],EarningsPerDay[[#This Row],[Date]],Combined[Trips])</f>
        <v>9</v>
      </c>
      <c r="P162">
        <f>COUNTIF(Combined[Date],EarningsPerDay[[#This Row],[Date]])</f>
        <v>4</v>
      </c>
      <c r="Q1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2" s="11">
        <f>SUMIF(Combined[Date],EarningsPerDay[[#This Row],[Date]],Combined[Earnings])</f>
        <v>122.1</v>
      </c>
      <c r="S162" s="11">
        <f ca="1">EarningsPerDay[[#This Row],[Gross Earnings]]-(EarningsPerDay[[#This Row],[Miles]]*CpM!$D$11)</f>
        <v>89.817955649277067</v>
      </c>
      <c r="T162" s="11">
        <f t="shared" si="25"/>
        <v>18.223880597014926</v>
      </c>
      <c r="U162" s="11">
        <f t="shared" ca="1" si="26"/>
        <v>13.405665022280161</v>
      </c>
      <c r="V162" s="11">
        <f>EarningsPerDay[[#This Row],[Gross Earnings]]/EarningsPerDay[[#This Row],[Deliveries]]</f>
        <v>13.566666666666666</v>
      </c>
      <c r="W162" s="11">
        <f>EarningsPerDay[[#This Row],[Gross Earnings]]/EarningsPerDay[[#This Row],[Miles]]</f>
        <v>0.84334852880232092</v>
      </c>
      <c r="X162" s="71">
        <f>EarningsPerDay[[#This Row],[Deliveries]]/EarningsPerDay[[#This Row],[Hours]]</f>
        <v>1.3432835820895523</v>
      </c>
      <c r="Y162" s="71">
        <f>EarningsPerDay[[#This Row],[Miles]]/EarningsPerDay[[#This Row],[Deliveries]]</f>
        <v>16.086666666666662</v>
      </c>
      <c r="Z162" s="81">
        <f>(EarningsPerDay[[#This Row],[Hours]]/EarningsPerDay[[#This Row],[Deliveries]])/24</f>
        <v>3.1018518518518515E-2</v>
      </c>
      <c r="AA1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0.35732667387135209</v>
      </c>
      <c r="AB162" s="11">
        <f>AVERAGEIFS(EarningsPerDay[Gross $/Hour],EarningsPerDay[Week '#], EarningsPerDay[[#This Row],[Week '#]], EarningsPerDay[DOW], EarningsPerDay[[#This Row],[DOW]])</f>
        <v>18.425763461645694</v>
      </c>
      <c r="AC162" s="11">
        <f>EarningsPerDay[[#This Row],[Gross $/Hour]] - EarningsPerDay[[#This Row],[Weekly Average Earnings]]</f>
        <v>-0.20188286463076821</v>
      </c>
      <c r="AD162" s="11">
        <f>(SUMIFS(EarningsPerDay[Gross Earnings], EarningsPerDay[Date],"&gt;="&amp;EarningsPerDay[[#This Row],[Date]]-89, EarningsPerDay[Date], "&lt;="&amp;EarningsPerDay[[#This Row],[Date]]))/90</f>
        <v>39.776666666666657</v>
      </c>
      <c r="AH162" s="108"/>
    </row>
    <row r="163" spans="2:34" x14ac:dyDescent="0.35">
      <c r="B163" s="40">
        <v>44802</v>
      </c>
      <c r="C163" s="40">
        <f t="shared" si="23"/>
        <v>44802</v>
      </c>
      <c r="D163" s="4">
        <f>IF(EarningsPerDay[[#This Row],[Week '#]]&gt;=52,YEAR(EarningsPerDay[[#This Row],[Date]])-1,YEAR(EarningsPerDay[[#This Row],[Date]]))</f>
        <v>2022</v>
      </c>
      <c r="E163" s="4" t="str">
        <f>"QTR"&amp;IF(EarningsPerDay[[#This Row],[Week '#]] &lt;= 13, 1, IF(EarningsPerDay[[#This Row],[Week '#]] &lt;= 26, 2, IF(EarningsPerDay[[#This Row],[Week '#]] &lt;= 39, 3, 4)))</f>
        <v>QTR3</v>
      </c>
      <c r="F1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3" s="4">
        <f>IF(WEEKNUM(EarningsPerDay[[#This Row],[Date]], 2) = 53, 1, WEEKNUM(EarningsPerDay[[#This Row],[Date]],2))</f>
        <v>36</v>
      </c>
      <c r="H163" s="40" t="str">
        <f t="shared" si="24"/>
        <v>Monday</v>
      </c>
      <c r="I16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63" s="40" t="str" cm="1">
        <f t="array" ref="J163">IFERROR(VLOOKUP(MODE(IF(Combined[Date]=EarningsPerDay[[#This Row],[Date]],Combined[Area '#])),KPIs!$B$4:$C$7,2,FALSE),VLOOKUP(EarningsPerDay[[#This Row],[Date]],Combined[[Date]:[Primary Area]],8,FALSE))</f>
        <v>Brunswick/Bath/Freeport</v>
      </c>
      <c r="K163" s="40" t="str">
        <f>_xlfn.XLOOKUP(EarningsPerDay[[#This Row],[Date]],Mileage[Date],Mileage[Weather])</f>
        <v>Clear</v>
      </c>
      <c r="L163" s="4">
        <f>_xlfn.XLOOKUP(EarningsPerDay[[#This Row],[Date]],Mileage[Date],Mileage[Hi Temp])</f>
        <v>91.7</v>
      </c>
      <c r="M163" s="12">
        <f>_xlfn.XLOOKUP(EarningsPerDay[[#This Row],[Date]],Mileage[Date],Mileage[Total Time])</f>
        <v>6.7</v>
      </c>
      <c r="N163" s="4">
        <f>_xlfn.XLOOKUP(EarningsPerDay[[#This Row],[Date]],Mileage[Date],Mileage[Mileage])</f>
        <v>101.69999999999999</v>
      </c>
      <c r="O163" s="4">
        <f>SUMIF(Combined[Date],EarningsPerDay[[#This Row],[Date]],Combined[Trips])</f>
        <v>7</v>
      </c>
      <c r="P163">
        <f>COUNTIF(Combined[Date],EarningsPerDay[[#This Row],[Date]])</f>
        <v>2</v>
      </c>
      <c r="Q1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3" s="11">
        <f>SUMIF(Combined[Date],EarningsPerDay[[#This Row],[Date]],Combined[Earnings])</f>
        <v>79.789999999999992</v>
      </c>
      <c r="S163" s="11">
        <f ca="1">EarningsPerDay[[#This Row],[Gross Earnings]]-(EarningsPerDay[[#This Row],[Miles]]*CpM!$D$11)</f>
        <v>57.11363647970353</v>
      </c>
      <c r="T163" s="11">
        <f t="shared" si="25"/>
        <v>11.908955223880595</v>
      </c>
      <c r="U163" s="11">
        <f t="shared" ca="1" si="26"/>
        <v>8.5244233551796302</v>
      </c>
      <c r="V163" s="11">
        <f>EarningsPerDay[[#This Row],[Gross Earnings]]/EarningsPerDay[[#This Row],[Deliveries]]</f>
        <v>11.398571428571428</v>
      </c>
      <c r="W163" s="11">
        <f>EarningsPerDay[[#This Row],[Gross Earnings]]/EarningsPerDay[[#This Row],[Miles]]</f>
        <v>0.78456243854473939</v>
      </c>
      <c r="X163" s="71">
        <f>EarningsPerDay[[#This Row],[Deliveries]]/EarningsPerDay[[#This Row],[Hours]]</f>
        <v>1.044776119402985</v>
      </c>
      <c r="Y163" s="71">
        <f>EarningsPerDay[[#This Row],[Miles]]/EarningsPerDay[[#This Row],[Deliveries]]</f>
        <v>14.528571428571427</v>
      </c>
      <c r="Z163" s="81">
        <f>(EarningsPerDay[[#This Row],[Hours]]/EarningsPerDay[[#This Row],[Deliveries]])/24</f>
        <v>3.9880952380952385E-2</v>
      </c>
      <c r="AA1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-2.6364993215739503</v>
      </c>
      <c r="AB163" s="11">
        <f>AVERAGEIFS(EarningsPerDay[Gross $/Hour],EarningsPerDay[Week '#], EarningsPerDay[[#This Row],[Week '#]], EarningsPerDay[DOW], EarningsPerDay[[#This Row],[DOW]])</f>
        <v>21.854789288246266</v>
      </c>
      <c r="AC163" s="11">
        <f>EarningsPerDay[[#This Row],[Gross $/Hour]] - EarningsPerDay[[#This Row],[Weekly Average Earnings]]</f>
        <v>-9.9458340643656715</v>
      </c>
      <c r="AD163" s="11">
        <f>(SUMIFS(EarningsPerDay[Gross Earnings], EarningsPerDay[Date],"&gt;="&amp;EarningsPerDay[[#This Row],[Date]]-89, EarningsPerDay[Date], "&lt;="&amp;EarningsPerDay[[#This Row],[Date]]))/90</f>
        <v>40.66322222222221</v>
      </c>
      <c r="AH163" s="108"/>
    </row>
    <row r="164" spans="2:34" x14ac:dyDescent="0.35">
      <c r="B164" s="40">
        <v>44803</v>
      </c>
      <c r="C164" s="40">
        <f t="shared" si="23"/>
        <v>44803</v>
      </c>
      <c r="D164" s="4">
        <f>IF(EarningsPerDay[[#This Row],[Week '#]]&gt;=52,YEAR(EarningsPerDay[[#This Row],[Date]])-1,YEAR(EarningsPerDay[[#This Row],[Date]]))</f>
        <v>2022</v>
      </c>
      <c r="E164" s="4" t="str">
        <f>"QTR"&amp;IF(EarningsPerDay[[#This Row],[Week '#]] &lt;= 13, 1, IF(EarningsPerDay[[#This Row],[Week '#]] &lt;= 26, 2, IF(EarningsPerDay[[#This Row],[Week '#]] &lt;= 39, 3, 4)))</f>
        <v>QTR3</v>
      </c>
      <c r="F1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4" s="4">
        <f>IF(WEEKNUM(EarningsPerDay[[#This Row],[Date]], 2) = 53, 1, WEEKNUM(EarningsPerDay[[#This Row],[Date]],2))</f>
        <v>36</v>
      </c>
      <c r="H164" s="40" t="str">
        <f t="shared" si="24"/>
        <v>Tuesday</v>
      </c>
      <c r="I16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64" s="40" t="str" cm="1">
        <f t="array" ref="J164">IFERROR(VLOOKUP(MODE(IF(Combined[Date]=EarningsPerDay[[#This Row],[Date]],Combined[Area '#])),KPIs!$B$4:$C$7,2,FALSE),VLOOKUP(EarningsPerDay[[#This Row],[Date]],Combined[[Date]:[Primary Area]],8,FALSE))</f>
        <v>Portland</v>
      </c>
      <c r="K164" s="40" t="str">
        <f>_xlfn.XLOOKUP(EarningsPerDay[[#This Row],[Date]],Mileage[Date],Mileage[Weather])</f>
        <v>Rain</v>
      </c>
      <c r="L164" s="4">
        <f>_xlfn.XLOOKUP(EarningsPerDay[[#This Row],[Date]],Mileage[Date],Mileage[Hi Temp])</f>
        <v>79.8</v>
      </c>
      <c r="M164" s="12">
        <f>_xlfn.XLOOKUP(EarningsPerDay[[#This Row],[Date]],Mileage[Date],Mileage[Total Time])</f>
        <v>6.1</v>
      </c>
      <c r="N164" s="4">
        <f>_xlfn.XLOOKUP(EarningsPerDay[[#This Row],[Date]],Mileage[Date],Mileage[Mileage])</f>
        <v>100.8</v>
      </c>
      <c r="O164" s="4">
        <f>SUMIF(Combined[Date],EarningsPerDay[[#This Row],[Date]],Combined[Trips])</f>
        <v>12</v>
      </c>
      <c r="P164">
        <f>COUNTIF(Combined[Date],EarningsPerDay[[#This Row],[Date]])</f>
        <v>3</v>
      </c>
      <c r="Q1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4" s="11">
        <f>SUMIF(Combined[Date],EarningsPerDay[[#This Row],[Date]],Combined[Earnings])</f>
        <v>118.28</v>
      </c>
      <c r="S164" s="11">
        <f ca="1">EarningsPerDay[[#This Row],[Gross Earnings]]-(EarningsPerDay[[#This Row],[Miles]]*CpM!$D$11)</f>
        <v>95.804312263068994</v>
      </c>
      <c r="T164" s="11">
        <f t="shared" si="25"/>
        <v>19.39016393442623</v>
      </c>
      <c r="U164" s="11">
        <f t="shared" ca="1" si="26"/>
        <v>15.705624961158852</v>
      </c>
      <c r="V164" s="11">
        <f>EarningsPerDay[[#This Row],[Gross Earnings]]/EarningsPerDay[[#This Row],[Deliveries]]</f>
        <v>9.8566666666666674</v>
      </c>
      <c r="W164" s="11">
        <f>EarningsPerDay[[#This Row],[Gross Earnings]]/EarningsPerDay[[#This Row],[Miles]]</f>
        <v>1.1734126984126985</v>
      </c>
      <c r="X164" s="71">
        <f>EarningsPerDay[[#This Row],[Deliveries]]/EarningsPerDay[[#This Row],[Hours]]</f>
        <v>1.9672131147540985</v>
      </c>
      <c r="Y164" s="71">
        <f>EarningsPerDay[[#This Row],[Miles]]/EarningsPerDay[[#This Row],[Deliveries]]</f>
        <v>8.4</v>
      </c>
      <c r="Z164" s="81">
        <f>(EarningsPerDay[[#This Row],[Hours]]/EarningsPerDay[[#This Row],[Deliveries]])/24</f>
        <v>2.1180555555555553E-2</v>
      </c>
      <c r="AA1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5.4876322888566094</v>
      </c>
      <c r="AB164" s="11">
        <f>AVERAGEIFS(EarningsPerDay[Gross $/Hour],EarningsPerDay[Week '#], EarningsPerDay[[#This Row],[Week '#]], EarningsPerDay[DOW], EarningsPerDay[[#This Row],[DOW]])</f>
        <v>21.806363018460878</v>
      </c>
      <c r="AC164" s="11">
        <f>EarningsPerDay[[#This Row],[Gross $/Hour]] - EarningsPerDay[[#This Row],[Weekly Average Earnings]]</f>
        <v>-2.4161990840346483</v>
      </c>
      <c r="AD164" s="11">
        <f>(SUMIFS(EarningsPerDay[Gross Earnings], EarningsPerDay[Date],"&gt;="&amp;EarningsPerDay[[#This Row],[Date]]-89, EarningsPerDay[Date], "&lt;="&amp;EarningsPerDay[[#This Row],[Date]]))/90</f>
        <v>41.977444444444437</v>
      </c>
      <c r="AH164" s="108"/>
    </row>
    <row r="165" spans="2:34" x14ac:dyDescent="0.35">
      <c r="B165" s="40">
        <v>44804</v>
      </c>
      <c r="C165" s="40">
        <f t="shared" si="23"/>
        <v>44804</v>
      </c>
      <c r="D165" s="4">
        <f>IF(EarningsPerDay[[#This Row],[Week '#]]&gt;=52,YEAR(EarningsPerDay[[#This Row],[Date]])-1,YEAR(EarningsPerDay[[#This Row],[Date]]))</f>
        <v>2022</v>
      </c>
      <c r="E165" s="4" t="str">
        <f>"QTR"&amp;IF(EarningsPerDay[[#This Row],[Week '#]] &lt;= 13, 1, IF(EarningsPerDay[[#This Row],[Week '#]] &lt;= 26, 2, IF(EarningsPerDay[[#This Row],[Week '#]] &lt;= 39, 3, 4)))</f>
        <v>QTR3</v>
      </c>
      <c r="F1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5" s="4">
        <f>IF(WEEKNUM(EarningsPerDay[[#This Row],[Date]], 2) = 53, 1, WEEKNUM(EarningsPerDay[[#This Row],[Date]],2))</f>
        <v>36</v>
      </c>
      <c r="H165" s="40" t="str">
        <f t="shared" si="24"/>
        <v>Wednesday</v>
      </c>
      <c r="I16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65" s="40" t="str" cm="1">
        <f t="array" ref="J165">IFERROR(VLOOKUP(MODE(IF(Combined[Date]=EarningsPerDay[[#This Row],[Date]],Combined[Area '#])),KPIs!$B$4:$C$7,2,FALSE),VLOOKUP(EarningsPerDay[[#This Row],[Date]],Combined[[Date]:[Primary Area]],8,FALSE))</f>
        <v>Portland</v>
      </c>
      <c r="K165" s="40" t="str">
        <f>_xlfn.XLOOKUP(EarningsPerDay[[#This Row],[Date]],Mileage[Date],Mileage[Weather])</f>
        <v>Rain</v>
      </c>
      <c r="L165" s="4">
        <f>_xlfn.XLOOKUP(EarningsPerDay[[#This Row],[Date]],Mileage[Date],Mileage[Hi Temp])</f>
        <v>71</v>
      </c>
      <c r="M165" s="12">
        <f>_xlfn.XLOOKUP(EarningsPerDay[[#This Row],[Date]],Mileage[Date],Mileage[Total Time])</f>
        <v>4.0999999999999996</v>
      </c>
      <c r="N165" s="4">
        <f>_xlfn.XLOOKUP(EarningsPerDay[[#This Row],[Date]],Mileage[Date],Mileage[Mileage])</f>
        <v>115.1</v>
      </c>
      <c r="O165" s="4">
        <f>SUMIF(Combined[Date],EarningsPerDay[[#This Row],[Date]],Combined[Trips])</f>
        <v>10</v>
      </c>
      <c r="P165">
        <f>COUNTIF(Combined[Date],EarningsPerDay[[#This Row],[Date]])</f>
        <v>2</v>
      </c>
      <c r="Q1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5" s="11">
        <f>SUMIF(Combined[Date],EarningsPerDay[[#This Row],[Date]],Combined[Earnings])</f>
        <v>125.49</v>
      </c>
      <c r="S165" s="11">
        <f ca="1">EarningsPerDay[[#This Row],[Gross Earnings]]-(EarningsPerDay[[#This Row],[Miles]]*CpM!$D$11)</f>
        <v>99.825797038484524</v>
      </c>
      <c r="T165" s="11">
        <f t="shared" si="25"/>
        <v>30.607317073170734</v>
      </c>
      <c r="U165" s="11">
        <f t="shared" ca="1" si="26"/>
        <v>24.34775537524013</v>
      </c>
      <c r="V165" s="11">
        <f>EarningsPerDay[[#This Row],[Gross Earnings]]/EarningsPerDay[[#This Row],[Deliveries]]</f>
        <v>12.548999999999999</v>
      </c>
      <c r="W165" s="11">
        <f>EarningsPerDay[[#This Row],[Gross Earnings]]/EarningsPerDay[[#This Row],[Miles]]</f>
        <v>1.0902693310165075</v>
      </c>
      <c r="X165" s="71">
        <f>EarningsPerDay[[#This Row],[Deliveries]]/EarningsPerDay[[#This Row],[Hours]]</f>
        <v>2.4390243902439028</v>
      </c>
      <c r="Y165" s="71">
        <f>EarningsPerDay[[#This Row],[Miles]]/EarningsPerDay[[#This Row],[Deliveries]]</f>
        <v>11.51</v>
      </c>
      <c r="Z165" s="81">
        <f>(EarningsPerDay[[#This Row],[Hours]]/EarningsPerDay[[#This Row],[Deliveries]])/24</f>
        <v>1.7083333333333332E-2</v>
      </c>
      <c r="AA1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2.0710235178207483</v>
      </c>
      <c r="AB165" s="11">
        <f>AVERAGEIFS(EarningsPerDay[Gross $/Hour],EarningsPerDay[Week '#], EarningsPerDay[[#This Row],[Week '#]], EarningsPerDay[DOW], EarningsPerDay[[#This Row],[DOW]])</f>
        <v>25.564780393451905</v>
      </c>
      <c r="AC165" s="11">
        <f>EarningsPerDay[[#This Row],[Gross $/Hour]] - EarningsPerDay[[#This Row],[Weekly Average Earnings]]</f>
        <v>5.0425366797188289</v>
      </c>
      <c r="AD165" s="11">
        <f>(SUMIFS(EarningsPerDay[Gross Earnings], EarningsPerDay[Date],"&gt;="&amp;EarningsPerDay[[#This Row],[Date]]-89, EarningsPerDay[Date], "&lt;="&amp;EarningsPerDay[[#This Row],[Date]]))/90</f>
        <v>42.356222222222215</v>
      </c>
      <c r="AH165" s="108"/>
    </row>
    <row r="166" spans="2:34" x14ac:dyDescent="0.35">
      <c r="B166" s="40">
        <v>44805</v>
      </c>
      <c r="C166" s="40">
        <f t="shared" si="23"/>
        <v>44805</v>
      </c>
      <c r="D166" s="4">
        <f>IF(EarningsPerDay[[#This Row],[Week '#]]&gt;=52,YEAR(EarningsPerDay[[#This Row],[Date]])-1,YEAR(EarningsPerDay[[#This Row],[Date]]))</f>
        <v>2022</v>
      </c>
      <c r="E166" s="4" t="str">
        <f>"QTR"&amp;IF(EarningsPerDay[[#This Row],[Week '#]] &lt;= 13, 1, IF(EarningsPerDay[[#This Row],[Week '#]] &lt;= 26, 2, IF(EarningsPerDay[[#This Row],[Week '#]] &lt;= 39, 3, 4)))</f>
        <v>QTR3</v>
      </c>
      <c r="F1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6" s="4">
        <f>IF(WEEKNUM(EarningsPerDay[[#This Row],[Date]], 2) = 53, 1, WEEKNUM(EarningsPerDay[[#This Row],[Date]],2))</f>
        <v>36</v>
      </c>
      <c r="H166" s="40" t="str">
        <f t="shared" si="24"/>
        <v>Thursday</v>
      </c>
      <c r="I16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66" s="40" t="str" cm="1">
        <f t="array" ref="J166">IFERROR(VLOOKUP(MODE(IF(Combined[Date]=EarningsPerDay[[#This Row],[Date]],Combined[Area '#])),KPIs!$B$4:$C$7,2,FALSE),VLOOKUP(EarningsPerDay[[#This Row],[Date]],Combined[[Date]:[Primary Area]],8,FALSE))</f>
        <v>Lewiston</v>
      </c>
      <c r="K166" s="40" t="str">
        <f>_xlfn.XLOOKUP(EarningsPerDay[[#This Row],[Date]],Mileage[Date],Mileage[Weather])</f>
        <v>Clear</v>
      </c>
      <c r="L166" s="4">
        <f>_xlfn.XLOOKUP(EarningsPerDay[[#This Row],[Date]],Mileage[Date],Mileage[Hi Temp])</f>
        <v>71.3</v>
      </c>
      <c r="M166" s="12">
        <f>_xlfn.XLOOKUP(EarningsPerDay[[#This Row],[Date]],Mileage[Date],Mileage[Total Time])</f>
        <v>5</v>
      </c>
      <c r="N166" s="4">
        <f>_xlfn.XLOOKUP(EarningsPerDay[[#This Row],[Date]],Mileage[Date],Mileage[Mileage])</f>
        <v>78</v>
      </c>
      <c r="O166" s="4">
        <f>SUMIF(Combined[Date],EarningsPerDay[[#This Row],[Date]],Combined[Trips])</f>
        <v>11</v>
      </c>
      <c r="P166">
        <f>COUNTIF(Combined[Date],EarningsPerDay[[#This Row],[Date]])</f>
        <v>1</v>
      </c>
      <c r="Q1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6" s="11">
        <f>SUMIF(Combined[Date],EarningsPerDay[[#This Row],[Date]],Combined[Earnings])</f>
        <v>78.5</v>
      </c>
      <c r="S166" s="11">
        <f ca="1">EarningsPerDay[[#This Row],[Gross Earnings]]-(EarningsPerDay[[#This Row],[Miles]]*CpM!$D$11)</f>
        <v>61.108098774993863</v>
      </c>
      <c r="T166" s="11">
        <f t="shared" si="25"/>
        <v>15.7</v>
      </c>
      <c r="U166" s="11">
        <f t="shared" ca="1" si="26"/>
        <v>12.221619754998773</v>
      </c>
      <c r="V166" s="11">
        <f>EarningsPerDay[[#This Row],[Gross Earnings]]/EarningsPerDay[[#This Row],[Deliveries]]</f>
        <v>7.1363636363636367</v>
      </c>
      <c r="W166" s="11">
        <f>EarningsPerDay[[#This Row],[Gross Earnings]]/EarningsPerDay[[#This Row],[Miles]]</f>
        <v>1.0064102564102564</v>
      </c>
      <c r="X166" s="71">
        <f>EarningsPerDay[[#This Row],[Deliveries]]/EarningsPerDay[[#This Row],[Hours]]</f>
        <v>2.2000000000000002</v>
      </c>
      <c r="Y166" s="71">
        <f>EarningsPerDay[[#This Row],[Miles]]/EarningsPerDay[[#This Row],[Deliveries]]</f>
        <v>7.0909090909090908</v>
      </c>
      <c r="Z166" s="81">
        <f>(EarningsPerDay[[#This Row],[Hours]]/EarningsPerDay[[#This Row],[Deliveries]])/24</f>
        <v>1.893939393939394E-2</v>
      </c>
      <c r="AA16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66" s="11">
        <f>AVERAGEIFS(EarningsPerDay[Gross $/Hour],EarningsPerDay[Week '#], EarningsPerDay[[#This Row],[Week '#]], EarningsPerDay[DOW], EarningsPerDay[[#This Row],[DOW]])</f>
        <v>19.339270454773725</v>
      </c>
      <c r="AC166" s="11">
        <f>EarningsPerDay[[#This Row],[Gross $/Hour]] - EarningsPerDay[[#This Row],[Weekly Average Earnings]]</f>
        <v>-3.639270454773726</v>
      </c>
      <c r="AD166" s="11">
        <f>(SUMIFS(EarningsPerDay[Gross Earnings], EarningsPerDay[Date],"&gt;="&amp;EarningsPerDay[[#This Row],[Date]]-89, EarningsPerDay[Date], "&lt;="&amp;EarningsPerDay[[#This Row],[Date]]))/90</f>
        <v>42.770444444444443</v>
      </c>
      <c r="AH166" s="108"/>
    </row>
    <row r="167" spans="2:34" x14ac:dyDescent="0.35">
      <c r="B167" s="40">
        <v>44806</v>
      </c>
      <c r="C167" s="40">
        <f t="shared" si="23"/>
        <v>44806</v>
      </c>
      <c r="D167" s="4">
        <f>IF(EarningsPerDay[[#This Row],[Week '#]]&gt;=52,YEAR(EarningsPerDay[[#This Row],[Date]])-1,YEAR(EarningsPerDay[[#This Row],[Date]]))</f>
        <v>2022</v>
      </c>
      <c r="E167" s="4" t="str">
        <f>"QTR"&amp;IF(EarningsPerDay[[#This Row],[Week '#]] &lt;= 13, 1, IF(EarningsPerDay[[#This Row],[Week '#]] &lt;= 26, 2, IF(EarningsPerDay[[#This Row],[Week '#]] &lt;= 39, 3, 4)))</f>
        <v>QTR3</v>
      </c>
      <c r="F1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7" s="4">
        <f>IF(WEEKNUM(EarningsPerDay[[#This Row],[Date]], 2) = 53, 1, WEEKNUM(EarningsPerDay[[#This Row],[Date]],2))</f>
        <v>36</v>
      </c>
      <c r="H167" s="40" t="str">
        <f t="shared" si="24"/>
        <v>Friday</v>
      </c>
      <c r="I167" s="106">
        <f>IF(_xlfn.XLOOKUP(EarningsPerDay[[#This Row],[Date]],Mileage[Date],Mileage[Start Time])="","",MROUND(_xlfn.XLOOKUP(EarningsPerDay[[#This Row],[Date]],Mileage[Date],Mileage[Start Time]),0.0208333333333333))</f>
        <v>0.47916666666666591</v>
      </c>
      <c r="J167" s="40" t="str" cm="1">
        <f t="array" ref="J167">IFERROR(VLOOKUP(MODE(IF(Combined[Date]=EarningsPerDay[[#This Row],[Date]],Combined[Area '#])),KPIs!$B$4:$C$7,2,FALSE),VLOOKUP(EarningsPerDay[[#This Row],[Date]],Combined[[Date]:[Primary Area]],8,FALSE))</f>
        <v>Brunswick/Bath/Freeport</v>
      </c>
      <c r="K167" s="40" t="str">
        <f>_xlfn.XLOOKUP(EarningsPerDay[[#This Row],[Date]],Mileage[Date],Mileage[Weather])</f>
        <v>Clear</v>
      </c>
      <c r="L167" s="4">
        <f>_xlfn.XLOOKUP(EarningsPerDay[[#This Row],[Date]],Mileage[Date],Mileage[Hi Temp])</f>
        <v>74</v>
      </c>
      <c r="M167" s="12">
        <f>_xlfn.XLOOKUP(EarningsPerDay[[#This Row],[Date]],Mileage[Date],Mileage[Total Time])</f>
        <v>5</v>
      </c>
      <c r="N167" s="4">
        <f>_xlfn.XLOOKUP(EarningsPerDay[[#This Row],[Date]],Mileage[Date],Mileage[Mileage])</f>
        <v>95.7</v>
      </c>
      <c r="O167" s="4">
        <f>SUMIF(Combined[Date],EarningsPerDay[[#This Row],[Date]],Combined[Trips])</f>
        <v>11</v>
      </c>
      <c r="P167">
        <f>COUNTIF(Combined[Date],EarningsPerDay[[#This Row],[Date]])</f>
        <v>3</v>
      </c>
      <c r="Q1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7" s="11">
        <f>SUMIF(Combined[Date],EarningsPerDay[[#This Row],[Date]],Combined[Earnings])</f>
        <v>136.03</v>
      </c>
      <c r="S167" s="11">
        <f ca="1">EarningsPerDay[[#This Row],[Gross Earnings]]-(EarningsPerDay[[#This Row],[Miles]]*CpM!$D$11)</f>
        <v>114.69147503547325</v>
      </c>
      <c r="T167" s="11">
        <f t="shared" si="25"/>
        <v>27.206</v>
      </c>
      <c r="U167" s="11">
        <f t="shared" ca="1" si="26"/>
        <v>22.938295007094649</v>
      </c>
      <c r="V167" s="11">
        <f>EarningsPerDay[[#This Row],[Gross Earnings]]/EarningsPerDay[[#This Row],[Deliveries]]</f>
        <v>12.366363636363637</v>
      </c>
      <c r="W167" s="11">
        <f>EarningsPerDay[[#This Row],[Gross Earnings]]/EarningsPerDay[[#This Row],[Miles]]</f>
        <v>1.4214211076280041</v>
      </c>
      <c r="X167" s="71">
        <f>EarningsPerDay[[#This Row],[Deliveries]]/EarningsPerDay[[#This Row],[Hours]]</f>
        <v>2.2000000000000002</v>
      </c>
      <c r="Y167" s="71">
        <f>EarningsPerDay[[#This Row],[Miles]]/EarningsPerDay[[#This Row],[Deliveries]]</f>
        <v>8.7000000000000011</v>
      </c>
      <c r="Z167" s="81">
        <f>(EarningsPerDay[[#This Row],[Hours]]/EarningsPerDay[[#This Row],[Deliveries]])/24</f>
        <v>1.893939393939394E-2</v>
      </c>
      <c r="AA1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4.6590205278592371</v>
      </c>
      <c r="AB167" s="11">
        <f>AVERAGEIFS(EarningsPerDay[Gross $/Hour],EarningsPerDay[Week '#], EarningsPerDay[[#This Row],[Week '#]], EarningsPerDay[DOW], EarningsPerDay[[#This Row],[DOW]])</f>
        <v>21.674707341206283</v>
      </c>
      <c r="AC167" s="11">
        <f>EarningsPerDay[[#This Row],[Gross $/Hour]] - EarningsPerDay[[#This Row],[Weekly Average Earnings]]</f>
        <v>5.531292658793717</v>
      </c>
      <c r="AD167" s="11">
        <f>(SUMIFS(EarningsPerDay[Gross Earnings], EarningsPerDay[Date],"&gt;="&amp;EarningsPerDay[[#This Row],[Date]]-89, EarningsPerDay[Date], "&lt;="&amp;EarningsPerDay[[#This Row],[Date]]))/90</f>
        <v>44.281888888888886</v>
      </c>
      <c r="AH167" s="108"/>
    </row>
    <row r="168" spans="2:34" x14ac:dyDescent="0.35">
      <c r="B168" s="40">
        <v>44807</v>
      </c>
      <c r="C168" s="40">
        <f t="shared" si="23"/>
        <v>44807</v>
      </c>
      <c r="D168" s="4">
        <f>IF(EarningsPerDay[[#This Row],[Week '#]]&gt;=52,YEAR(EarningsPerDay[[#This Row],[Date]])-1,YEAR(EarningsPerDay[[#This Row],[Date]]))</f>
        <v>2022</v>
      </c>
      <c r="E168" s="4" t="str">
        <f>"QTR"&amp;IF(EarningsPerDay[[#This Row],[Week '#]] &lt;= 13, 1, IF(EarningsPerDay[[#This Row],[Week '#]] &lt;= 26, 2, IF(EarningsPerDay[[#This Row],[Week '#]] &lt;= 39, 3, 4)))</f>
        <v>QTR3</v>
      </c>
      <c r="F1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168" s="4">
        <f>IF(WEEKNUM(EarningsPerDay[[#This Row],[Date]], 2) = 53, 1, WEEKNUM(EarningsPerDay[[#This Row],[Date]],2))</f>
        <v>36</v>
      </c>
      <c r="H168" s="40" t="str">
        <f t="shared" si="24"/>
        <v>Saturday</v>
      </c>
      <c r="I16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68" s="40" t="str" cm="1">
        <f t="array" ref="J168">IFERROR(VLOOKUP(MODE(IF(Combined[Date]=EarningsPerDay[[#This Row],[Date]],Combined[Area '#])),KPIs!$B$4:$C$7,2,FALSE),VLOOKUP(EarningsPerDay[[#This Row],[Date]],Combined[[Date]:[Primary Area]],8,FALSE))</f>
        <v>Brunswick/Bath/Freeport</v>
      </c>
      <c r="K168" s="40" t="str">
        <f>_xlfn.XLOOKUP(EarningsPerDay[[#This Row],[Date]],Mileage[Date],Mileage[Weather])</f>
        <v>Rain</v>
      </c>
      <c r="L168" s="4">
        <f>_xlfn.XLOOKUP(EarningsPerDay[[#This Row],[Date]],Mileage[Date],Mileage[Hi Temp])</f>
        <v>83</v>
      </c>
      <c r="M168" s="12">
        <f>_xlfn.XLOOKUP(EarningsPerDay[[#This Row],[Date]],Mileage[Date],Mileage[Total Time])</f>
        <v>8.73</v>
      </c>
      <c r="N168" s="4">
        <f>_xlfn.XLOOKUP(EarningsPerDay[[#This Row],[Date]],Mileage[Date],Mileage[Mileage])</f>
        <v>162</v>
      </c>
      <c r="O168" s="4">
        <f>SUMIF(Combined[Date],EarningsPerDay[[#This Row],[Date]],Combined[Trips])</f>
        <v>17</v>
      </c>
      <c r="P168">
        <f>COUNTIF(Combined[Date],EarningsPerDay[[#This Row],[Date]])</f>
        <v>5</v>
      </c>
      <c r="Q1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8" s="11">
        <f>SUMIF(Combined[Date],EarningsPerDay[[#This Row],[Date]],Combined[Earnings])</f>
        <v>185.99</v>
      </c>
      <c r="S168" s="11">
        <f ca="1">EarningsPerDay[[#This Row],[Gross Earnings]]-(EarningsPerDay[[#This Row],[Miles]]*CpM!$D$11)</f>
        <v>149.86835899421803</v>
      </c>
      <c r="T168" s="11">
        <f t="shared" si="25"/>
        <v>21.304696449026345</v>
      </c>
      <c r="U168" s="11">
        <f t="shared" ca="1" si="26"/>
        <v>17.167051431181903</v>
      </c>
      <c r="V168" s="11">
        <f>EarningsPerDay[[#This Row],[Gross Earnings]]/EarningsPerDay[[#This Row],[Deliveries]]</f>
        <v>10.940588235294118</v>
      </c>
      <c r="W168" s="11">
        <f>EarningsPerDay[[#This Row],[Gross Earnings]]/EarningsPerDay[[#This Row],[Miles]]</f>
        <v>1.1480864197530865</v>
      </c>
      <c r="X168" s="71">
        <f>EarningsPerDay[[#This Row],[Deliveries]]/EarningsPerDay[[#This Row],[Hours]]</f>
        <v>1.9473081328751431</v>
      </c>
      <c r="Y168" s="71">
        <f>EarningsPerDay[[#This Row],[Miles]]/EarningsPerDay[[#This Row],[Deliveries]]</f>
        <v>9.5294117647058822</v>
      </c>
      <c r="Z168" s="81">
        <f>(EarningsPerDay[[#This Row],[Hours]]/EarningsPerDay[[#This Row],[Deliveries]])/24</f>
        <v>2.1397058823529411E-2</v>
      </c>
      <c r="AA1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3.3785880802375452</v>
      </c>
      <c r="AB168" s="11">
        <f>AVERAGEIFS(EarningsPerDay[Gross $/Hour],EarningsPerDay[Week '#], EarningsPerDay[[#This Row],[Week '#]], EarningsPerDay[DOW], EarningsPerDay[[#This Row],[DOW]])</f>
        <v>22.045530235932333</v>
      </c>
      <c r="AC168" s="11">
        <f>EarningsPerDay[[#This Row],[Gross $/Hour]] - EarningsPerDay[[#This Row],[Weekly Average Earnings]]</f>
        <v>-0.74083378690598778</v>
      </c>
      <c r="AD168" s="11">
        <f>(SUMIFS(EarningsPerDay[Gross Earnings], EarningsPerDay[Date],"&gt;="&amp;EarningsPerDay[[#This Row],[Date]]-89, EarningsPerDay[Date], "&lt;="&amp;EarningsPerDay[[#This Row],[Date]]))/90</f>
        <v>46.348444444444439</v>
      </c>
      <c r="AH168" s="108"/>
    </row>
    <row r="169" spans="2:34" x14ac:dyDescent="0.35">
      <c r="B169" s="40">
        <v>44809</v>
      </c>
      <c r="C169" s="40">
        <f t="shared" si="23"/>
        <v>44809</v>
      </c>
      <c r="D169" s="4">
        <f>IF(EarningsPerDay[[#This Row],[Week '#]]&gt;=52,YEAR(EarningsPerDay[[#This Row],[Date]])-1,YEAR(EarningsPerDay[[#This Row],[Date]]))</f>
        <v>2022</v>
      </c>
      <c r="E169" s="4" t="str">
        <f>"QTR"&amp;IF(EarningsPerDay[[#This Row],[Week '#]] &lt;= 13, 1, IF(EarningsPerDay[[#This Row],[Week '#]] &lt;= 26, 2, IF(EarningsPerDay[[#This Row],[Week '#]] &lt;= 39, 3, 4)))</f>
        <v>QTR3</v>
      </c>
      <c r="F1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69" s="4">
        <f>IF(WEEKNUM(EarningsPerDay[[#This Row],[Date]], 2) = 53, 1, WEEKNUM(EarningsPerDay[[#This Row],[Date]],2))</f>
        <v>37</v>
      </c>
      <c r="H169" s="40" t="str">
        <f t="shared" si="24"/>
        <v>Monday</v>
      </c>
      <c r="I16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69" s="40" t="str" cm="1">
        <f t="array" ref="J169">IFERROR(VLOOKUP(MODE(IF(Combined[Date]=EarningsPerDay[[#This Row],[Date]],Combined[Area '#])),KPIs!$B$4:$C$7,2,FALSE),VLOOKUP(EarningsPerDay[[#This Row],[Date]],Combined[[Date]:[Primary Area]],8,FALSE))</f>
        <v>Portland</v>
      </c>
      <c r="K169" s="40" t="str">
        <f>_xlfn.XLOOKUP(EarningsPerDay[[#This Row],[Date]],Mileage[Date],Mileage[Weather])</f>
        <v>Rain</v>
      </c>
      <c r="L169" s="4">
        <f>_xlfn.XLOOKUP(EarningsPerDay[[#This Row],[Date]],Mileage[Date],Mileage[Hi Temp])</f>
        <v>62.3</v>
      </c>
      <c r="M169" s="12">
        <f>_xlfn.XLOOKUP(EarningsPerDay[[#This Row],[Date]],Mileage[Date],Mileage[Total Time])</f>
        <v>6.3999999999999995</v>
      </c>
      <c r="N169" s="4">
        <f>_xlfn.XLOOKUP(EarningsPerDay[[#This Row],[Date]],Mileage[Date],Mileage[Mileage])</f>
        <v>141.4</v>
      </c>
      <c r="O169" s="4">
        <f>SUMIF(Combined[Date],EarningsPerDay[[#This Row],[Date]],Combined[Trips])</f>
        <v>14</v>
      </c>
      <c r="P169">
        <f>COUNTIF(Combined[Date],EarningsPerDay[[#This Row],[Date]])</f>
        <v>3</v>
      </c>
      <c r="Q1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69" s="11">
        <f>SUMIF(Combined[Date],EarningsPerDay[[#This Row],[Date]],Combined[Earnings])</f>
        <v>174.1</v>
      </c>
      <c r="S169" s="11">
        <f ca="1">EarningsPerDay[[#This Row],[Gross Earnings]]-(EarningsPerDay[[#This Row],[Miles]]*CpM!$D$11)</f>
        <v>142.57160470236067</v>
      </c>
      <c r="T169" s="11">
        <f t="shared" si="25"/>
        <v>27.203125</v>
      </c>
      <c r="U169" s="11">
        <f t="shared" ca="1" si="26"/>
        <v>22.276813234743859</v>
      </c>
      <c r="V169" s="11">
        <f>EarningsPerDay[[#This Row],[Gross Earnings]]/EarningsPerDay[[#This Row],[Deliveries]]</f>
        <v>12.435714285714285</v>
      </c>
      <c r="W169" s="11">
        <f>EarningsPerDay[[#This Row],[Gross Earnings]]/EarningsPerDay[[#This Row],[Miles]]</f>
        <v>1.2312588401697311</v>
      </c>
      <c r="X169" s="71">
        <f>EarningsPerDay[[#This Row],[Deliveries]]/EarningsPerDay[[#This Row],[Hours]]</f>
        <v>2.1875</v>
      </c>
      <c r="Y169" s="71">
        <f>EarningsPerDay[[#This Row],[Miles]]/EarningsPerDay[[#This Row],[Deliveries]]</f>
        <v>10.1</v>
      </c>
      <c r="Z169" s="81">
        <f>(EarningsPerDay[[#This Row],[Hours]]/EarningsPerDay[[#This Row],[Deliveries]])/24</f>
        <v>1.9047619047619046E-2</v>
      </c>
      <c r="AA1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0.30639297385620878</v>
      </c>
      <c r="AB169" s="11">
        <f>AVERAGEIFS(EarningsPerDay[Gross $/Hour],EarningsPerDay[Week '#], EarningsPerDay[[#This Row],[Week '#]], EarningsPerDay[DOW], EarningsPerDay[[#This Row],[DOW]])</f>
        <v>27.752792825445322</v>
      </c>
      <c r="AC169" s="11">
        <f>EarningsPerDay[[#This Row],[Gross $/Hour]] - EarningsPerDay[[#This Row],[Weekly Average Earnings]]</f>
        <v>-0.54966782544532222</v>
      </c>
      <c r="AD169" s="11">
        <f>(SUMIFS(EarningsPerDay[Gross Earnings], EarningsPerDay[Date],"&gt;="&amp;EarningsPerDay[[#This Row],[Date]]-89, EarningsPerDay[Date], "&lt;="&amp;EarningsPerDay[[#This Row],[Date]]))/90</f>
        <v>48.282888888888891</v>
      </c>
      <c r="AH169" s="108"/>
    </row>
    <row r="170" spans="2:34" x14ac:dyDescent="0.35">
      <c r="B170" s="40">
        <v>44810</v>
      </c>
      <c r="C170" s="40">
        <f t="shared" si="23"/>
        <v>44810</v>
      </c>
      <c r="D170" s="4">
        <f>IF(EarningsPerDay[[#This Row],[Week '#]]&gt;=52,YEAR(EarningsPerDay[[#This Row],[Date]])-1,YEAR(EarningsPerDay[[#This Row],[Date]]))</f>
        <v>2022</v>
      </c>
      <c r="E170" s="4" t="str">
        <f>"QTR"&amp;IF(EarningsPerDay[[#This Row],[Week '#]] &lt;= 13, 1, IF(EarningsPerDay[[#This Row],[Week '#]] &lt;= 26, 2, IF(EarningsPerDay[[#This Row],[Week '#]] &lt;= 39, 3, 4)))</f>
        <v>QTR3</v>
      </c>
      <c r="F1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0" s="4">
        <f>IF(WEEKNUM(EarningsPerDay[[#This Row],[Date]], 2) = 53, 1, WEEKNUM(EarningsPerDay[[#This Row],[Date]],2))</f>
        <v>37</v>
      </c>
      <c r="H170" s="40" t="str">
        <f t="shared" si="24"/>
        <v>Tuesday</v>
      </c>
      <c r="I170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170" s="40" t="str" cm="1">
        <f t="array" ref="J170">IFERROR(VLOOKUP(MODE(IF(Combined[Date]=EarningsPerDay[[#This Row],[Date]],Combined[Area '#])),KPIs!$B$4:$C$7,2,FALSE),VLOOKUP(EarningsPerDay[[#This Row],[Date]],Combined[[Date]:[Primary Area]],8,FALSE))</f>
        <v>Portland</v>
      </c>
      <c r="K170" s="40" t="str">
        <f>_xlfn.XLOOKUP(EarningsPerDay[[#This Row],[Date]],Mileage[Date],Mileage[Weather])</f>
        <v>Rain</v>
      </c>
      <c r="L170" s="4">
        <f>_xlfn.XLOOKUP(EarningsPerDay[[#This Row],[Date]],Mileage[Date],Mileage[Hi Temp])</f>
        <v>70.7</v>
      </c>
      <c r="M170" s="12">
        <f>_xlfn.XLOOKUP(EarningsPerDay[[#This Row],[Date]],Mileage[Date],Mileage[Total Time])</f>
        <v>2.4</v>
      </c>
      <c r="N170" s="4">
        <f>_xlfn.XLOOKUP(EarningsPerDay[[#This Row],[Date]],Mileage[Date],Mileage[Mileage])</f>
        <v>93</v>
      </c>
      <c r="O170" s="4">
        <f>SUMIF(Combined[Date],EarningsPerDay[[#This Row],[Date]],Combined[Trips])</f>
        <v>9</v>
      </c>
      <c r="P170">
        <f>COUNTIF(Combined[Date],EarningsPerDay[[#This Row],[Date]])</f>
        <v>2</v>
      </c>
      <c r="Q1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0" s="11">
        <f>SUMIF(Combined[Date],EarningsPerDay[[#This Row],[Date]],Combined[Earnings])</f>
        <v>110.01</v>
      </c>
      <c r="S170" s="11">
        <f ca="1">EarningsPerDay[[#This Row],[Gross Earnings]]-(EarningsPerDay[[#This Row],[Miles]]*CpM!$D$11)</f>
        <v>89.273502385569614</v>
      </c>
      <c r="T170" s="11">
        <f t="shared" si="25"/>
        <v>45.837500000000006</v>
      </c>
      <c r="U170" s="11">
        <f t="shared" ca="1" si="26"/>
        <v>37.197292660654007</v>
      </c>
      <c r="V170" s="11">
        <f>EarningsPerDay[[#This Row],[Gross Earnings]]/EarningsPerDay[[#This Row],[Deliveries]]</f>
        <v>12.223333333333334</v>
      </c>
      <c r="W170" s="11">
        <f>EarningsPerDay[[#This Row],[Gross Earnings]]/EarningsPerDay[[#This Row],[Miles]]</f>
        <v>1.1829032258064516</v>
      </c>
      <c r="X170" s="71">
        <f>EarningsPerDay[[#This Row],[Deliveries]]/EarningsPerDay[[#This Row],[Hours]]</f>
        <v>3.75</v>
      </c>
      <c r="Y170" s="71">
        <f>EarningsPerDay[[#This Row],[Miles]]/EarningsPerDay[[#This Row],[Deliveries]]</f>
        <v>10.333333333333334</v>
      </c>
      <c r="Z170" s="81">
        <f>(EarningsPerDay[[#This Row],[Hours]]/EarningsPerDay[[#This Row],[Deliveries]])/24</f>
        <v>1.1111111111111112E-2</v>
      </c>
      <c r="AA1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30.105757591478181</v>
      </c>
      <c r="AB170" s="11">
        <f>AVERAGEIFS(EarningsPerDay[Gross $/Hour],EarningsPerDay[Week '#], EarningsPerDay[[#This Row],[Week '#]], EarningsPerDay[DOW], EarningsPerDay[[#This Row],[DOW]])</f>
        <v>27.742049844005351</v>
      </c>
      <c r="AC170" s="11">
        <f>EarningsPerDay[[#This Row],[Gross $/Hour]] - EarningsPerDay[[#This Row],[Weekly Average Earnings]]</f>
        <v>18.095450155994655</v>
      </c>
      <c r="AD170" s="11">
        <f>(SUMIFS(EarningsPerDay[Gross Earnings], EarningsPerDay[Date],"&gt;="&amp;EarningsPerDay[[#This Row],[Date]]-89, EarningsPerDay[Date], "&lt;="&amp;EarningsPerDay[[#This Row],[Date]]))/90</f>
        <v>49.505222222222223</v>
      </c>
      <c r="AH170" s="108"/>
    </row>
    <row r="171" spans="2:34" x14ac:dyDescent="0.35">
      <c r="B171" s="40">
        <v>44811</v>
      </c>
      <c r="C171" s="40">
        <f t="shared" si="23"/>
        <v>44811</v>
      </c>
      <c r="D171" s="4">
        <f>IF(EarningsPerDay[[#This Row],[Week '#]]&gt;=52,YEAR(EarningsPerDay[[#This Row],[Date]])-1,YEAR(EarningsPerDay[[#This Row],[Date]]))</f>
        <v>2022</v>
      </c>
      <c r="E171" s="4" t="str">
        <f>"QTR"&amp;IF(EarningsPerDay[[#This Row],[Week '#]] &lt;= 13, 1, IF(EarningsPerDay[[#This Row],[Week '#]] &lt;= 26, 2, IF(EarningsPerDay[[#This Row],[Week '#]] &lt;= 39, 3, 4)))</f>
        <v>QTR3</v>
      </c>
      <c r="F1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1" s="4">
        <f>IF(WEEKNUM(EarningsPerDay[[#This Row],[Date]], 2) = 53, 1, WEEKNUM(EarningsPerDay[[#This Row],[Date]],2))</f>
        <v>37</v>
      </c>
      <c r="H171" s="40" t="str">
        <f t="shared" si="24"/>
        <v>Wednesday</v>
      </c>
      <c r="I17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71" s="40" t="str" cm="1">
        <f t="array" ref="J171">IFERROR(VLOOKUP(MODE(IF(Combined[Date]=EarningsPerDay[[#This Row],[Date]],Combined[Area '#])),KPIs!$B$4:$C$7,2,FALSE),VLOOKUP(EarningsPerDay[[#This Row],[Date]],Combined[[Date]:[Primary Area]],8,FALSE))</f>
        <v>Portland</v>
      </c>
      <c r="K171" s="40" t="str">
        <f>_xlfn.XLOOKUP(EarningsPerDay[[#This Row],[Date]],Mileage[Date],Mileage[Weather])</f>
        <v>Rain</v>
      </c>
      <c r="L171" s="4">
        <f>_xlfn.XLOOKUP(EarningsPerDay[[#This Row],[Date]],Mileage[Date],Mileage[Hi Temp])</f>
        <v>73.7</v>
      </c>
      <c r="M171" s="12">
        <f>_xlfn.XLOOKUP(EarningsPerDay[[#This Row],[Date]],Mileage[Date],Mileage[Total Time])</f>
        <v>7</v>
      </c>
      <c r="N171" s="4">
        <f>_xlfn.XLOOKUP(EarningsPerDay[[#This Row],[Date]],Mileage[Date],Mileage[Mileage])</f>
        <v>65.5</v>
      </c>
      <c r="O171" s="4">
        <f>SUMIF(Combined[Date],EarningsPerDay[[#This Row],[Date]],Combined[Trips])</f>
        <v>3</v>
      </c>
      <c r="P171">
        <f>COUNTIF(Combined[Date],EarningsPerDay[[#This Row],[Date]])</f>
        <v>1</v>
      </c>
      <c r="Q1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1" s="11">
        <f>SUMIF(Combined[Date],EarningsPerDay[[#This Row],[Date]],Combined[Earnings])</f>
        <v>18.829999999999998</v>
      </c>
      <c r="S171" s="11">
        <f ca="1">EarningsPerDay[[#This Row],[Gross Earnings]]-(EarningsPerDay[[#This Row],[Miles]]*CpM!$D$11)</f>
        <v>4.2252624328474084</v>
      </c>
      <c r="T171" s="11">
        <f t="shared" si="25"/>
        <v>2.69</v>
      </c>
      <c r="U171" s="11">
        <f t="shared" ca="1" si="26"/>
        <v>0.60360891897820124</v>
      </c>
      <c r="V171" s="11">
        <f>EarningsPerDay[[#This Row],[Gross Earnings]]/EarningsPerDay[[#This Row],[Deliveries]]</f>
        <v>6.2766666666666664</v>
      </c>
      <c r="W171" s="11">
        <f>EarningsPerDay[[#This Row],[Gross Earnings]]/EarningsPerDay[[#This Row],[Miles]]</f>
        <v>0.28748091603053433</v>
      </c>
      <c r="X171" s="71">
        <f>EarningsPerDay[[#This Row],[Deliveries]]/EarningsPerDay[[#This Row],[Hours]]</f>
        <v>0.42857142857142855</v>
      </c>
      <c r="Y171" s="71">
        <f>EarningsPerDay[[#This Row],[Miles]]/EarningsPerDay[[#This Row],[Deliveries]]</f>
        <v>21.833333333333332</v>
      </c>
      <c r="Z171" s="81">
        <f>(EarningsPerDay[[#This Row],[Hours]]/EarningsPerDay[[#This Row],[Deliveries]])/24</f>
        <v>9.7222222222222224E-2</v>
      </c>
      <c r="AA1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-26.364049434805171</v>
      </c>
      <c r="AB171" s="11">
        <f>AVERAGEIFS(EarningsPerDay[Gross $/Hour],EarningsPerDay[Week '#], EarningsPerDay[[#This Row],[Week '#]], EarningsPerDay[DOW], EarningsPerDay[[#This Row],[DOW]])</f>
        <v>17.244530305697353</v>
      </c>
      <c r="AC171" s="11">
        <f>EarningsPerDay[[#This Row],[Gross $/Hour]] - EarningsPerDay[[#This Row],[Weekly Average Earnings]]</f>
        <v>-14.554530305697353</v>
      </c>
      <c r="AD171" s="11">
        <f>(SUMIFS(EarningsPerDay[Gross Earnings], EarningsPerDay[Date],"&gt;="&amp;EarningsPerDay[[#This Row],[Date]]-89, EarningsPerDay[Date], "&lt;="&amp;EarningsPerDay[[#This Row],[Date]]))/90</f>
        <v>48.729666666666667</v>
      </c>
      <c r="AH171" s="108"/>
    </row>
    <row r="172" spans="2:34" x14ac:dyDescent="0.35">
      <c r="B172" s="40">
        <v>44812</v>
      </c>
      <c r="C172" s="40">
        <f t="shared" si="23"/>
        <v>44812</v>
      </c>
      <c r="D172" s="4">
        <f>IF(EarningsPerDay[[#This Row],[Week '#]]&gt;=52,YEAR(EarningsPerDay[[#This Row],[Date]])-1,YEAR(EarningsPerDay[[#This Row],[Date]]))</f>
        <v>2022</v>
      </c>
      <c r="E172" s="4" t="str">
        <f>"QTR"&amp;IF(EarningsPerDay[[#This Row],[Week '#]] &lt;= 13, 1, IF(EarningsPerDay[[#This Row],[Week '#]] &lt;= 26, 2, IF(EarningsPerDay[[#This Row],[Week '#]] &lt;= 39, 3, 4)))</f>
        <v>QTR3</v>
      </c>
      <c r="F1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2" s="4">
        <f>IF(WEEKNUM(EarningsPerDay[[#This Row],[Date]], 2) = 53, 1, WEEKNUM(EarningsPerDay[[#This Row],[Date]],2))</f>
        <v>37</v>
      </c>
      <c r="H172" s="40" t="str">
        <f t="shared" si="24"/>
        <v>Thursday</v>
      </c>
      <c r="I17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72" s="40" t="str" cm="1">
        <f t="array" ref="J172">IFERROR(VLOOKUP(MODE(IF(Combined[Date]=EarningsPerDay[[#This Row],[Date]],Combined[Area '#])),KPIs!$B$4:$C$7,2,FALSE),VLOOKUP(EarningsPerDay[[#This Row],[Date]],Combined[[Date]:[Primary Area]],8,FALSE))</f>
        <v>Portland</v>
      </c>
      <c r="K172" s="40" t="str">
        <f>_xlfn.XLOOKUP(EarningsPerDay[[#This Row],[Date]],Mileage[Date],Mileage[Weather])</f>
        <v>Clear</v>
      </c>
      <c r="L172" s="4">
        <f>_xlfn.XLOOKUP(EarningsPerDay[[#This Row],[Date]],Mileage[Date],Mileage[Hi Temp])</f>
        <v>79.3</v>
      </c>
      <c r="M172" s="12">
        <f>_xlfn.XLOOKUP(EarningsPerDay[[#This Row],[Date]],Mileage[Date],Mileage[Total Time])</f>
        <v>5.5</v>
      </c>
      <c r="N172" s="4">
        <f>_xlfn.XLOOKUP(EarningsPerDay[[#This Row],[Date]],Mileage[Date],Mileage[Mileage])</f>
        <v>62.5</v>
      </c>
      <c r="O172" s="4">
        <f>SUMIF(Combined[Date],EarningsPerDay[[#This Row],[Date]],Combined[Trips])</f>
        <v>14</v>
      </c>
      <c r="P172">
        <f>COUNTIF(Combined[Date],EarningsPerDay[[#This Row],[Date]])</f>
        <v>3</v>
      </c>
      <c r="Q1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2" s="11">
        <f>SUMIF(Combined[Date],EarningsPerDay[[#This Row],[Date]],Combined[Earnings])</f>
        <v>114.77000000000001</v>
      </c>
      <c r="S172" s="11">
        <f ca="1">EarningsPerDay[[#This Row],[Gross Earnings]]-(EarningsPerDay[[#This Row],[Miles]]*CpM!$D$11)</f>
        <v>100.83418171073227</v>
      </c>
      <c r="T172" s="11">
        <f t="shared" si="25"/>
        <v>20.867272727272731</v>
      </c>
      <c r="U172" s="11">
        <f t="shared" ca="1" si="26"/>
        <v>18.333487583769504</v>
      </c>
      <c r="V172" s="11">
        <f>EarningsPerDay[[#This Row],[Gross Earnings]]/EarningsPerDay[[#This Row],[Deliveries]]</f>
        <v>8.1978571428571438</v>
      </c>
      <c r="W172" s="11">
        <f>EarningsPerDay[[#This Row],[Gross Earnings]]/EarningsPerDay[[#This Row],[Miles]]</f>
        <v>1.8363200000000002</v>
      </c>
      <c r="X172" s="71">
        <f>EarningsPerDay[[#This Row],[Deliveries]]/EarningsPerDay[[#This Row],[Hours]]</f>
        <v>2.5454545454545454</v>
      </c>
      <c r="Y172" s="71">
        <f>EarningsPerDay[[#This Row],[Miles]]/EarningsPerDay[[#This Row],[Deliveries]]</f>
        <v>4.4642857142857144</v>
      </c>
      <c r="Z172" s="81">
        <f>(EarningsPerDay[[#This Row],[Hours]]/EarningsPerDay[[#This Row],[Deliveries]])/24</f>
        <v>1.636904761904762E-2</v>
      </c>
      <c r="AA1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-1.6821590909090887</v>
      </c>
      <c r="AB172" s="11">
        <f>AVERAGEIFS(EarningsPerDay[Gross $/Hour],EarningsPerDay[Week '#], EarningsPerDay[[#This Row],[Week '#]], EarningsPerDay[DOW], EarningsPerDay[[#This Row],[DOW]])</f>
        <v>24.77561450694693</v>
      </c>
      <c r="AC172" s="11">
        <f>EarningsPerDay[[#This Row],[Gross $/Hour]] - EarningsPerDay[[#This Row],[Weekly Average Earnings]]</f>
        <v>-3.908341779674199</v>
      </c>
      <c r="AD172" s="11">
        <f>(SUMIFS(EarningsPerDay[Gross Earnings], EarningsPerDay[Date],"&gt;="&amp;EarningsPerDay[[#This Row],[Date]]-89, EarningsPerDay[Date], "&lt;="&amp;EarningsPerDay[[#This Row],[Date]]))/90</f>
        <v>48.288222222222231</v>
      </c>
      <c r="AH172" s="108"/>
    </row>
    <row r="173" spans="2:34" x14ac:dyDescent="0.35">
      <c r="B173" s="40">
        <v>44813</v>
      </c>
      <c r="C173" s="40">
        <f t="shared" si="23"/>
        <v>44813</v>
      </c>
      <c r="D173" s="4">
        <f>IF(EarningsPerDay[[#This Row],[Week '#]]&gt;=52,YEAR(EarningsPerDay[[#This Row],[Date]])-1,YEAR(EarningsPerDay[[#This Row],[Date]]))</f>
        <v>2022</v>
      </c>
      <c r="E173" s="4" t="str">
        <f>"QTR"&amp;IF(EarningsPerDay[[#This Row],[Week '#]] &lt;= 13, 1, IF(EarningsPerDay[[#This Row],[Week '#]] &lt;= 26, 2, IF(EarningsPerDay[[#This Row],[Week '#]] &lt;= 39, 3, 4)))</f>
        <v>QTR3</v>
      </c>
      <c r="F1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3" s="4">
        <f>IF(WEEKNUM(EarningsPerDay[[#This Row],[Date]], 2) = 53, 1, WEEKNUM(EarningsPerDay[[#This Row],[Date]],2))</f>
        <v>37</v>
      </c>
      <c r="H173" s="40" t="str">
        <f t="shared" si="24"/>
        <v>Friday</v>
      </c>
      <c r="I17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73" s="40" t="str" cm="1">
        <f t="array" ref="J173">IFERROR(VLOOKUP(MODE(IF(Combined[Date]=EarningsPerDay[[#This Row],[Date]],Combined[Area '#])),KPIs!$B$4:$C$7,2,FALSE),VLOOKUP(EarningsPerDay[[#This Row],[Date]],Combined[[Date]:[Primary Area]],8,FALSE))</f>
        <v>Portland</v>
      </c>
      <c r="K173" s="40" t="str">
        <f>_xlfn.XLOOKUP(EarningsPerDay[[#This Row],[Date]],Mileage[Date],Mileage[Weather])</f>
        <v>Clear</v>
      </c>
      <c r="L173" s="4">
        <f>_xlfn.XLOOKUP(EarningsPerDay[[#This Row],[Date]],Mileage[Date],Mileage[Hi Temp])</f>
        <v>82.5</v>
      </c>
      <c r="M173" s="12">
        <f>_xlfn.XLOOKUP(EarningsPerDay[[#This Row],[Date]],Mileage[Date],Mileage[Total Time])</f>
        <v>2.9</v>
      </c>
      <c r="N173" s="4">
        <f>_xlfn.XLOOKUP(EarningsPerDay[[#This Row],[Date]],Mileage[Date],Mileage[Mileage])</f>
        <v>156.19999999999999</v>
      </c>
      <c r="O173" s="4">
        <f>SUMIF(Combined[Date],EarningsPerDay[[#This Row],[Date]],Combined[Trips])</f>
        <v>10</v>
      </c>
      <c r="P173">
        <f>COUNTIF(Combined[Date],EarningsPerDay[[#This Row],[Date]])</f>
        <v>3</v>
      </c>
      <c r="Q1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3" s="11">
        <f>SUMIF(Combined[Date],EarningsPerDay[[#This Row],[Date]],Combined[Earnings])</f>
        <v>110.59</v>
      </c>
      <c r="S173" s="11">
        <f ca="1">EarningsPerDay[[#This Row],[Gross Earnings]]-(EarningsPerDay[[#This Row],[Miles]]*CpM!$D$11)</f>
        <v>75.761602931462079</v>
      </c>
      <c r="T173" s="11">
        <f t="shared" si="25"/>
        <v>38.134482758620692</v>
      </c>
      <c r="U173" s="11">
        <f t="shared" ca="1" si="26"/>
        <v>26.124690666021408</v>
      </c>
      <c r="V173" s="11">
        <f>EarningsPerDay[[#This Row],[Gross Earnings]]/EarningsPerDay[[#This Row],[Deliveries]]</f>
        <v>11.059000000000001</v>
      </c>
      <c r="W173" s="11">
        <f>EarningsPerDay[[#This Row],[Gross Earnings]]/EarningsPerDay[[#This Row],[Miles]]</f>
        <v>0.70800256081946233</v>
      </c>
      <c r="X173" s="71">
        <f>EarningsPerDay[[#This Row],[Deliveries]]/EarningsPerDay[[#This Row],[Hours]]</f>
        <v>3.4482758620689657</v>
      </c>
      <c r="Y173" s="71">
        <f>EarningsPerDay[[#This Row],[Miles]]/EarningsPerDay[[#This Row],[Deliveries]]</f>
        <v>15.62</v>
      </c>
      <c r="Z173" s="81">
        <f>(EarningsPerDay[[#This Row],[Hours]]/EarningsPerDay[[#This Row],[Deliveries]])/24</f>
        <v>1.2083333333333333E-2</v>
      </c>
      <c r="AA1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23.503697044334977</v>
      </c>
      <c r="AB173" s="11">
        <f>AVERAGEIFS(EarningsPerDay[Gross $/Hour],EarningsPerDay[Week '#], EarningsPerDay[[#This Row],[Week '#]], EarningsPerDay[DOW], EarningsPerDay[[#This Row],[DOW]])</f>
        <v>27.690267905647875</v>
      </c>
      <c r="AC173" s="11">
        <f>EarningsPerDay[[#This Row],[Gross $/Hour]] - EarningsPerDay[[#This Row],[Weekly Average Earnings]]</f>
        <v>10.444214852972816</v>
      </c>
      <c r="AD173" s="11">
        <f>(SUMIFS(EarningsPerDay[Gross Earnings], EarningsPerDay[Date],"&gt;="&amp;EarningsPerDay[[#This Row],[Date]]-89, EarningsPerDay[Date], "&lt;="&amp;EarningsPerDay[[#This Row],[Date]]))/90</f>
        <v>49.51700000000001</v>
      </c>
      <c r="AH173" s="108"/>
    </row>
    <row r="174" spans="2:34" x14ac:dyDescent="0.35">
      <c r="B174" s="40">
        <v>44814</v>
      </c>
      <c r="C174" s="40">
        <f t="shared" si="23"/>
        <v>44814</v>
      </c>
      <c r="D174" s="4">
        <f>IF(EarningsPerDay[[#This Row],[Week '#]]&gt;=52,YEAR(EarningsPerDay[[#This Row],[Date]])-1,YEAR(EarningsPerDay[[#This Row],[Date]]))</f>
        <v>2022</v>
      </c>
      <c r="E174" s="4" t="str">
        <f>"QTR"&amp;IF(EarningsPerDay[[#This Row],[Week '#]] &lt;= 13, 1, IF(EarningsPerDay[[#This Row],[Week '#]] &lt;= 26, 2, IF(EarningsPerDay[[#This Row],[Week '#]] &lt;= 39, 3, 4)))</f>
        <v>QTR3</v>
      </c>
      <c r="F1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4" s="4">
        <f>IF(WEEKNUM(EarningsPerDay[[#This Row],[Date]], 2) = 53, 1, WEEKNUM(EarningsPerDay[[#This Row],[Date]],2))</f>
        <v>37</v>
      </c>
      <c r="H174" s="40" t="str">
        <f t="shared" si="24"/>
        <v>Saturday</v>
      </c>
      <c r="I174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174" s="40" t="str" cm="1">
        <f t="array" ref="J174">IFERROR(VLOOKUP(MODE(IF(Combined[Date]=EarningsPerDay[[#This Row],[Date]],Combined[Area '#])),KPIs!$B$4:$C$7,2,FALSE),VLOOKUP(EarningsPerDay[[#This Row],[Date]],Combined[[Date]:[Primary Area]],8,FALSE))</f>
        <v>Lewiston</v>
      </c>
      <c r="K174" s="40" t="str">
        <f>_xlfn.XLOOKUP(EarningsPerDay[[#This Row],[Date]],Mileage[Date],Mileage[Weather])</f>
        <v>Clear</v>
      </c>
      <c r="L174" s="4">
        <f>_xlfn.XLOOKUP(EarningsPerDay[[#This Row],[Date]],Mileage[Date],Mileage[Hi Temp])</f>
        <v>79.5</v>
      </c>
      <c r="M174" s="12">
        <f>_xlfn.XLOOKUP(EarningsPerDay[[#This Row],[Date]],Mileage[Date],Mileage[Total Time])</f>
        <v>4.5</v>
      </c>
      <c r="N174" s="4">
        <f>_xlfn.XLOOKUP(EarningsPerDay[[#This Row],[Date]],Mileage[Date],Mileage[Mileage])</f>
        <v>125.80000000000001</v>
      </c>
      <c r="O174" s="4">
        <f>SUMIF(Combined[Date],EarningsPerDay[[#This Row],[Date]],Combined[Trips])</f>
        <v>13</v>
      </c>
      <c r="P174">
        <f>COUNTIF(Combined[Date],EarningsPerDay[[#This Row],[Date]])</f>
        <v>5</v>
      </c>
      <c r="Q1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4" s="11">
        <f>SUMIF(Combined[Date],EarningsPerDay[[#This Row],[Date]],Combined[Earnings])</f>
        <v>112.3</v>
      </c>
      <c r="S174" s="11">
        <f ca="1">EarningsPerDay[[#This Row],[Gross Earnings]]-(EarningsPerDay[[#This Row],[Miles]]*CpM!$D$11)</f>
        <v>84.249984947361895</v>
      </c>
      <c r="T174" s="11">
        <f t="shared" si="25"/>
        <v>24.955555555555556</v>
      </c>
      <c r="U174" s="11">
        <f t="shared" ca="1" si="26"/>
        <v>18.722218877191533</v>
      </c>
      <c r="V174" s="11">
        <f>EarningsPerDay[[#This Row],[Gross Earnings]]/EarningsPerDay[[#This Row],[Deliveries]]</f>
        <v>8.638461538461538</v>
      </c>
      <c r="W174" s="11">
        <f>EarningsPerDay[[#This Row],[Gross Earnings]]/EarningsPerDay[[#This Row],[Miles]]</f>
        <v>0.89268680445151027</v>
      </c>
      <c r="X174" s="71">
        <f>EarningsPerDay[[#This Row],[Deliveries]]/EarningsPerDay[[#This Row],[Hours]]</f>
        <v>2.8888888888888888</v>
      </c>
      <c r="Y174" s="71">
        <f>EarningsPerDay[[#This Row],[Miles]]/EarningsPerDay[[#This Row],[Deliveries]]</f>
        <v>9.6769230769230781</v>
      </c>
      <c r="Z174" s="81">
        <f>(EarningsPerDay[[#This Row],[Hours]]/EarningsPerDay[[#This Row],[Deliveries]])/24</f>
        <v>1.4423076923076922E-2</v>
      </c>
      <c r="AA1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4.251035158642658</v>
      </c>
      <c r="AB174" s="11">
        <f>AVERAGEIFS(EarningsPerDay[Gross $/Hour],EarningsPerDay[Week '#], EarningsPerDay[[#This Row],[Week '#]], EarningsPerDay[DOW], EarningsPerDay[[#This Row],[DOW]])</f>
        <v>22.687811791383218</v>
      </c>
      <c r="AC174" s="11">
        <f>EarningsPerDay[[#This Row],[Gross $/Hour]] - EarningsPerDay[[#This Row],[Weekly Average Earnings]]</f>
        <v>2.2677437641723373</v>
      </c>
      <c r="AD174" s="11">
        <f>(SUMIFS(EarningsPerDay[Gross Earnings], EarningsPerDay[Date],"&gt;="&amp;EarningsPerDay[[#This Row],[Date]]-89, EarningsPerDay[Date], "&lt;="&amp;EarningsPerDay[[#This Row],[Date]]))/90</f>
        <v>49.157666666666671</v>
      </c>
      <c r="AH174" s="108"/>
    </row>
    <row r="175" spans="2:34" x14ac:dyDescent="0.35">
      <c r="B175" s="40">
        <v>44815</v>
      </c>
      <c r="C175" s="40">
        <f t="shared" ref="C175:C238" si="27">B175</f>
        <v>44815</v>
      </c>
      <c r="D175" s="4">
        <f>IF(EarningsPerDay[[#This Row],[Week '#]]&gt;=52,YEAR(EarningsPerDay[[#This Row],[Date]])-1,YEAR(EarningsPerDay[[#This Row],[Date]]))</f>
        <v>2022</v>
      </c>
      <c r="E175" s="4" t="str">
        <f>"QTR"&amp;IF(EarningsPerDay[[#This Row],[Week '#]] &lt;= 13, 1, IF(EarningsPerDay[[#This Row],[Week '#]] &lt;= 26, 2, IF(EarningsPerDay[[#This Row],[Week '#]] &lt;= 39, 3, 4)))</f>
        <v>QTR3</v>
      </c>
      <c r="F1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175" s="4">
        <f>IF(WEEKNUM(EarningsPerDay[[#This Row],[Date]], 2) = 53, 1, WEEKNUM(EarningsPerDay[[#This Row],[Date]],2))</f>
        <v>37</v>
      </c>
      <c r="H175" s="40" t="str">
        <f t="shared" ref="H175:H238" si="28">TEXT(B175,"DDDD")</f>
        <v>Sunday</v>
      </c>
      <c r="I175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175" s="40" t="str" cm="1">
        <f t="array" ref="J175">IFERROR(VLOOKUP(MODE(IF(Combined[Date]=EarningsPerDay[[#This Row],[Date]],Combined[Area '#])),KPIs!$B$4:$C$7,2,FALSE),VLOOKUP(EarningsPerDay[[#This Row],[Date]],Combined[[Date]:[Primary Area]],8,FALSE))</f>
        <v>Lewiston</v>
      </c>
      <c r="K175" s="40" t="str">
        <f>_xlfn.XLOOKUP(EarningsPerDay[[#This Row],[Date]],Mileage[Date],Mileage[Weather])</f>
        <v>Rain</v>
      </c>
      <c r="L175" s="4">
        <f>_xlfn.XLOOKUP(EarningsPerDay[[#This Row],[Date]],Mileage[Date],Mileage[Hi Temp])</f>
        <v>81.7</v>
      </c>
      <c r="M175" s="12">
        <f>_xlfn.XLOOKUP(EarningsPerDay[[#This Row],[Date]],Mileage[Date],Mileage[Total Time])</f>
        <v>6.1999999999999993</v>
      </c>
      <c r="N175" s="4">
        <f>_xlfn.XLOOKUP(EarningsPerDay[[#This Row],[Date]],Mileage[Date],Mileage[Mileage])</f>
        <v>152.6</v>
      </c>
      <c r="O175" s="4">
        <f>SUMIF(Combined[Date],EarningsPerDay[[#This Row],[Date]],Combined[Trips])</f>
        <v>23</v>
      </c>
      <c r="P175">
        <f>COUNTIF(Combined[Date],EarningsPerDay[[#This Row],[Date]])</f>
        <v>3</v>
      </c>
      <c r="Q1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5" s="11">
        <f>SUMIF(Combined[Date],EarningsPerDay[[#This Row],[Date]],Combined[Earnings])</f>
        <v>149.79</v>
      </c>
      <c r="S175" s="11">
        <f ca="1">EarningsPerDay[[#This Row],[Gross Earnings]]-(EarningsPerDay[[#This Row],[Miles]]*CpM!$D$11)</f>
        <v>115.76430606492389</v>
      </c>
      <c r="T175" s="11">
        <f t="shared" si="25"/>
        <v>24.159677419354839</v>
      </c>
      <c r="U175" s="11">
        <f t="shared" ca="1" si="26"/>
        <v>18.671662268536114</v>
      </c>
      <c r="V175" s="11">
        <f>EarningsPerDay[[#This Row],[Gross Earnings]]/EarningsPerDay[[#This Row],[Deliveries]]</f>
        <v>6.5126086956521734</v>
      </c>
      <c r="W175" s="11">
        <f>EarningsPerDay[[#This Row],[Gross Earnings]]/EarningsPerDay[[#This Row],[Miles]]</f>
        <v>0.98158584534731319</v>
      </c>
      <c r="X175" s="71">
        <f>EarningsPerDay[[#This Row],[Deliveries]]/EarningsPerDay[[#This Row],[Hours]]</f>
        <v>3.709677419354839</v>
      </c>
      <c r="Y175" s="71">
        <f>EarningsPerDay[[#This Row],[Miles]]/EarningsPerDay[[#This Row],[Deliveries]]</f>
        <v>6.6347826086956516</v>
      </c>
      <c r="Z175" s="81">
        <f>(EarningsPerDay[[#This Row],[Hours]]/EarningsPerDay[[#This Row],[Deliveries]])/24</f>
        <v>1.1231884057971013E-2</v>
      </c>
      <c r="AA17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75" s="11">
        <f>AVERAGEIFS(EarningsPerDay[Gross $/Hour],EarningsPerDay[Week '#], EarningsPerDay[[#This Row],[Week '#]], EarningsPerDay[DOW], EarningsPerDay[[#This Row],[DOW]])</f>
        <v>25.652020692468419</v>
      </c>
      <c r="AC175" s="11">
        <f>EarningsPerDay[[#This Row],[Gross $/Hour]] - EarningsPerDay[[#This Row],[Weekly Average Earnings]]</f>
        <v>-1.4923432731135797</v>
      </c>
      <c r="AD175" s="11">
        <f>(SUMIFS(EarningsPerDay[Gross Earnings], EarningsPerDay[Date],"&gt;="&amp;EarningsPerDay[[#This Row],[Date]]-89, EarningsPerDay[Date], "&lt;="&amp;EarningsPerDay[[#This Row],[Date]]))/90</f>
        <v>50.822000000000003</v>
      </c>
      <c r="AH175" s="108"/>
    </row>
    <row r="176" spans="2:34" x14ac:dyDescent="0.35">
      <c r="B176" s="40">
        <v>44816</v>
      </c>
      <c r="C176" s="40">
        <f t="shared" si="27"/>
        <v>44816</v>
      </c>
      <c r="D176" s="4">
        <f>IF(EarningsPerDay[[#This Row],[Week '#]]&gt;=52,YEAR(EarningsPerDay[[#This Row],[Date]])-1,YEAR(EarningsPerDay[[#This Row],[Date]]))</f>
        <v>2022</v>
      </c>
      <c r="E176" s="4" t="str">
        <f>"QTR"&amp;IF(EarningsPerDay[[#This Row],[Week '#]] &lt;= 13, 1, IF(EarningsPerDay[[#This Row],[Week '#]] &lt;= 26, 2, IF(EarningsPerDay[[#This Row],[Week '#]] &lt;= 39, 3, 4)))</f>
        <v>QTR3</v>
      </c>
      <c r="F1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76" s="4">
        <f>IF(WEEKNUM(EarningsPerDay[[#This Row],[Date]], 2) = 53, 1, WEEKNUM(EarningsPerDay[[#This Row],[Date]],2))</f>
        <v>38</v>
      </c>
      <c r="H176" s="40" t="str">
        <f t="shared" si="28"/>
        <v>Monday</v>
      </c>
      <c r="I17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76" s="40" t="str" cm="1">
        <f t="array" ref="J176">IFERROR(VLOOKUP(MODE(IF(Combined[Date]=EarningsPerDay[[#This Row],[Date]],Combined[Area '#])),KPIs!$B$4:$C$7,2,FALSE),VLOOKUP(EarningsPerDay[[#This Row],[Date]],Combined[[Date]:[Primary Area]],8,FALSE))</f>
        <v>Portland</v>
      </c>
      <c r="K176" s="40" t="str">
        <f>_xlfn.XLOOKUP(EarningsPerDay[[#This Row],[Date]],Mileage[Date],Mileage[Weather])</f>
        <v>Rain</v>
      </c>
      <c r="L176" s="4">
        <f>_xlfn.XLOOKUP(EarningsPerDay[[#This Row],[Date]],Mileage[Date],Mileage[Hi Temp])</f>
        <v>72.7</v>
      </c>
      <c r="M176" s="12">
        <f>_xlfn.XLOOKUP(EarningsPerDay[[#This Row],[Date]],Mileage[Date],Mileage[Total Time])</f>
        <v>6.9</v>
      </c>
      <c r="N176" s="4">
        <f>_xlfn.XLOOKUP(EarningsPerDay[[#This Row],[Date]],Mileage[Date],Mileage[Mileage])</f>
        <v>82.5</v>
      </c>
      <c r="O176" s="4">
        <f>SUMIF(Combined[Date],EarningsPerDay[[#This Row],[Date]],Combined[Trips])</f>
        <v>12</v>
      </c>
      <c r="P176">
        <f>COUNTIF(Combined[Date],EarningsPerDay[[#This Row],[Date]])</f>
        <v>2</v>
      </c>
      <c r="Q1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6" s="11">
        <f>SUMIF(Combined[Date],EarningsPerDay[[#This Row],[Date]],Combined[Earnings])</f>
        <v>106.19</v>
      </c>
      <c r="S176" s="11">
        <f ca="1">EarningsPerDay[[#This Row],[Gross Earnings]]-(EarningsPerDay[[#This Row],[Miles]]*CpM!$D$11)</f>
        <v>87.794719858166587</v>
      </c>
      <c r="T176" s="11">
        <f t="shared" si="25"/>
        <v>15.389855072463767</v>
      </c>
      <c r="U176" s="11">
        <f t="shared" ca="1" si="26"/>
        <v>12.723872443212548</v>
      </c>
      <c r="V176" s="11">
        <f>EarningsPerDay[[#This Row],[Gross Earnings]]/EarningsPerDay[[#This Row],[Deliveries]]</f>
        <v>8.8491666666666671</v>
      </c>
      <c r="W176" s="11">
        <f>EarningsPerDay[[#This Row],[Gross Earnings]]/EarningsPerDay[[#This Row],[Miles]]</f>
        <v>1.2871515151515152</v>
      </c>
      <c r="X176" s="71">
        <f>EarningsPerDay[[#This Row],[Deliveries]]/EarningsPerDay[[#This Row],[Hours]]</f>
        <v>1.7391304347826086</v>
      </c>
      <c r="Y176" s="71">
        <f>EarningsPerDay[[#This Row],[Miles]]/EarningsPerDay[[#This Row],[Deliveries]]</f>
        <v>6.875</v>
      </c>
      <c r="Z176" s="81">
        <f>(EarningsPerDay[[#This Row],[Hours]]/EarningsPerDay[[#This Row],[Deliveries]])/24</f>
        <v>2.3958333333333335E-2</v>
      </c>
      <c r="AA1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-11.60900794496543</v>
      </c>
      <c r="AB176" s="11">
        <f>AVERAGEIFS(EarningsPerDay[Gross $/Hour],EarningsPerDay[Week '#], EarningsPerDay[[#This Row],[Week '#]], EarningsPerDay[DOW], EarningsPerDay[[#This Row],[DOW]])</f>
        <v>21.99424772969833</v>
      </c>
      <c r="AC176" s="11">
        <f>EarningsPerDay[[#This Row],[Gross $/Hour]] - EarningsPerDay[[#This Row],[Weekly Average Earnings]]</f>
        <v>-6.6043926572345626</v>
      </c>
      <c r="AD176" s="11">
        <f>(SUMIFS(EarningsPerDay[Gross Earnings], EarningsPerDay[Date],"&gt;="&amp;EarningsPerDay[[#This Row],[Date]]-89, EarningsPerDay[Date], "&lt;="&amp;EarningsPerDay[[#This Row],[Date]]))/90</f>
        <v>52.001888888888892</v>
      </c>
      <c r="AH176" s="108"/>
    </row>
    <row r="177" spans="2:34" x14ac:dyDescent="0.35">
      <c r="B177" s="40">
        <v>44819</v>
      </c>
      <c r="C177" s="40">
        <f t="shared" si="27"/>
        <v>44819</v>
      </c>
      <c r="D177" s="4">
        <f>IF(EarningsPerDay[[#This Row],[Week '#]]&gt;=52,YEAR(EarningsPerDay[[#This Row],[Date]])-1,YEAR(EarningsPerDay[[#This Row],[Date]]))</f>
        <v>2022</v>
      </c>
      <c r="E177" s="4" t="str">
        <f>"QTR"&amp;IF(EarningsPerDay[[#This Row],[Week '#]] &lt;= 13, 1, IF(EarningsPerDay[[#This Row],[Week '#]] &lt;= 26, 2, IF(EarningsPerDay[[#This Row],[Week '#]] &lt;= 39, 3, 4)))</f>
        <v>QTR3</v>
      </c>
      <c r="F1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77" s="4">
        <f>IF(WEEKNUM(EarningsPerDay[[#This Row],[Date]], 2) = 53, 1, WEEKNUM(EarningsPerDay[[#This Row],[Date]],2))</f>
        <v>38</v>
      </c>
      <c r="H177" s="40" t="str">
        <f t="shared" si="28"/>
        <v>Thursday</v>
      </c>
      <c r="I17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77" s="40" t="str" cm="1">
        <f t="array" ref="J177">IFERROR(VLOOKUP(MODE(IF(Combined[Date]=EarningsPerDay[[#This Row],[Date]],Combined[Area '#])),KPIs!$B$4:$C$7,2,FALSE),VLOOKUP(EarningsPerDay[[#This Row],[Date]],Combined[[Date]:[Primary Area]],8,FALSE))</f>
        <v>Lewiston</v>
      </c>
      <c r="K177" s="40" t="str">
        <f>_xlfn.XLOOKUP(EarningsPerDay[[#This Row],[Date]],Mileage[Date],Mileage[Weather])</f>
        <v>Clear</v>
      </c>
      <c r="L177" s="4">
        <f>_xlfn.XLOOKUP(EarningsPerDay[[#This Row],[Date]],Mileage[Date],Mileage[Hi Temp])</f>
        <v>65.900000000000006</v>
      </c>
      <c r="M177" s="12">
        <f>_xlfn.XLOOKUP(EarningsPerDay[[#This Row],[Date]],Mileage[Date],Mileage[Total Time])</f>
        <v>9.4</v>
      </c>
      <c r="N177" s="4">
        <f>_xlfn.XLOOKUP(EarningsPerDay[[#This Row],[Date]],Mileage[Date],Mileage[Mileage])</f>
        <v>68</v>
      </c>
      <c r="O177" s="4">
        <f>SUMIF(Combined[Date],EarningsPerDay[[#This Row],[Date]],Combined[Trips])</f>
        <v>16</v>
      </c>
      <c r="P177">
        <f>COUNTIF(Combined[Date],EarningsPerDay[[#This Row],[Date]])</f>
        <v>2</v>
      </c>
      <c r="Q1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7" s="11">
        <f>SUMIF(Combined[Date],EarningsPerDay[[#This Row],[Date]],Combined[Earnings])</f>
        <v>168.62</v>
      </c>
      <c r="S177" s="11">
        <f ca="1">EarningsPerDay[[#This Row],[Gross Earnings]]-(EarningsPerDay[[#This Row],[Miles]]*CpM!$D$11)</f>
        <v>153.45782970127669</v>
      </c>
      <c r="T177" s="11">
        <f t="shared" si="25"/>
        <v>17.938297872340424</v>
      </c>
      <c r="U177" s="11">
        <f t="shared" ca="1" si="26"/>
        <v>16.32530103205071</v>
      </c>
      <c r="V177" s="11">
        <f>EarningsPerDay[[#This Row],[Gross Earnings]]/EarningsPerDay[[#This Row],[Deliveries]]</f>
        <v>10.53875</v>
      </c>
      <c r="W177" s="11">
        <f>EarningsPerDay[[#This Row],[Gross Earnings]]/EarningsPerDay[[#This Row],[Miles]]</f>
        <v>2.4797058823529414</v>
      </c>
      <c r="X177" s="71">
        <f>EarningsPerDay[[#This Row],[Deliveries]]/EarningsPerDay[[#This Row],[Hours]]</f>
        <v>1.7021276595744681</v>
      </c>
      <c r="Y177" s="71">
        <f>EarningsPerDay[[#This Row],[Miles]]/EarningsPerDay[[#This Row],[Deliveries]]</f>
        <v>4.25</v>
      </c>
      <c r="Z177" s="81">
        <f>(EarningsPerDay[[#This Row],[Hours]]/EarningsPerDay[[#This Row],[Deliveries]])/24</f>
        <v>2.4479166666666666E-2</v>
      </c>
      <c r="AA1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2.238297872340425</v>
      </c>
      <c r="AB177" s="11">
        <f>AVERAGEIFS(EarningsPerDay[Gross $/Hour],EarningsPerDay[Week '#], EarningsPerDay[[#This Row],[Week '#]], EarningsPerDay[DOW], EarningsPerDay[[#This Row],[DOW]])</f>
        <v>19.309961720695359</v>
      </c>
      <c r="AC177" s="11">
        <f>EarningsPerDay[[#This Row],[Gross $/Hour]] - EarningsPerDay[[#This Row],[Weekly Average Earnings]]</f>
        <v>-1.3716638483549346</v>
      </c>
      <c r="AD177" s="11">
        <f>(SUMIFS(EarningsPerDay[Gross Earnings], EarningsPerDay[Date],"&gt;="&amp;EarningsPerDay[[#This Row],[Date]]-89, EarningsPerDay[Date], "&lt;="&amp;EarningsPerDay[[#This Row],[Date]]))/90</f>
        <v>52.500777777777778</v>
      </c>
      <c r="AH177" s="108"/>
    </row>
    <row r="178" spans="2:34" x14ac:dyDescent="0.35">
      <c r="B178" s="40">
        <v>44820</v>
      </c>
      <c r="C178" s="40">
        <f t="shared" si="27"/>
        <v>44820</v>
      </c>
      <c r="D178" s="4">
        <f>IF(EarningsPerDay[[#This Row],[Week '#]]&gt;=52,YEAR(EarningsPerDay[[#This Row],[Date]])-1,YEAR(EarningsPerDay[[#This Row],[Date]]))</f>
        <v>2022</v>
      </c>
      <c r="E178" s="4" t="str">
        <f>"QTR"&amp;IF(EarningsPerDay[[#This Row],[Week '#]] &lt;= 13, 1, IF(EarningsPerDay[[#This Row],[Week '#]] &lt;= 26, 2, IF(EarningsPerDay[[#This Row],[Week '#]] &lt;= 39, 3, 4)))</f>
        <v>QTR3</v>
      </c>
      <c r="F1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78" s="4">
        <f>IF(WEEKNUM(EarningsPerDay[[#This Row],[Date]], 2) = 53, 1, WEEKNUM(EarningsPerDay[[#This Row],[Date]],2))</f>
        <v>38</v>
      </c>
      <c r="H178" s="40" t="str">
        <f t="shared" si="28"/>
        <v>Friday</v>
      </c>
      <c r="I17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78" s="40" t="str" cm="1">
        <f t="array" ref="J178">IFERROR(VLOOKUP(MODE(IF(Combined[Date]=EarningsPerDay[[#This Row],[Date]],Combined[Area '#])),KPIs!$B$4:$C$7,2,FALSE),VLOOKUP(EarningsPerDay[[#This Row],[Date]],Combined[[Date]:[Primary Area]],8,FALSE))</f>
        <v>Brunswick/Bath/Freeport</v>
      </c>
      <c r="K178" s="40" t="str">
        <f>_xlfn.XLOOKUP(EarningsPerDay[[#This Row],[Date]],Mileage[Date],Mileage[Weather])</f>
        <v>Clear</v>
      </c>
      <c r="L178" s="4">
        <f>_xlfn.XLOOKUP(EarningsPerDay[[#This Row],[Date]],Mileage[Date],Mileage[Hi Temp])</f>
        <v>66.900000000000006</v>
      </c>
      <c r="M178" s="12">
        <f>_xlfn.XLOOKUP(EarningsPerDay[[#This Row],[Date]],Mileage[Date],Mileage[Total Time])</f>
        <v>5.4</v>
      </c>
      <c r="N178" s="4">
        <f>_xlfn.XLOOKUP(EarningsPerDay[[#This Row],[Date]],Mileage[Date],Mileage[Mileage])</f>
        <v>71.599999999999994</v>
      </c>
      <c r="O178" s="4">
        <f>SUMIF(Combined[Date],EarningsPerDay[[#This Row],[Date]],Combined[Trips])</f>
        <v>6</v>
      </c>
      <c r="P178">
        <f>COUNTIF(Combined[Date],EarningsPerDay[[#This Row],[Date]])</f>
        <v>2</v>
      </c>
      <c r="Q1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8" s="11">
        <f>SUMIF(Combined[Date],EarningsPerDay[[#This Row],[Date]],Combined[Earnings])</f>
        <v>65.78</v>
      </c>
      <c r="S178" s="11">
        <f ca="1">EarningsPerDay[[#This Row],[Gross Earnings]]-(EarningsPerDay[[#This Row],[Miles]]*CpM!$D$11)</f>
        <v>49.815126567814879</v>
      </c>
      <c r="T178" s="11">
        <f t="shared" si="25"/>
        <v>12.18148148148148</v>
      </c>
      <c r="U178" s="11">
        <f t="shared" ca="1" si="26"/>
        <v>9.2250234384842358</v>
      </c>
      <c r="V178" s="11">
        <f>EarningsPerDay[[#This Row],[Gross Earnings]]/EarningsPerDay[[#This Row],[Deliveries]]</f>
        <v>10.963333333333333</v>
      </c>
      <c r="W178" s="11">
        <f>EarningsPerDay[[#This Row],[Gross Earnings]]/EarningsPerDay[[#This Row],[Miles]]</f>
        <v>0.91871508379888278</v>
      </c>
      <c r="X178" s="71">
        <f>EarningsPerDay[[#This Row],[Deliveries]]/EarningsPerDay[[#This Row],[Hours]]</f>
        <v>1.1111111111111109</v>
      </c>
      <c r="Y178" s="71">
        <f>EarningsPerDay[[#This Row],[Miles]]/EarningsPerDay[[#This Row],[Deliveries]]</f>
        <v>11.933333333333332</v>
      </c>
      <c r="Z178" s="81">
        <f>(EarningsPerDay[[#This Row],[Hours]]/EarningsPerDay[[#This Row],[Deliveries]])/24</f>
        <v>3.7499999999999999E-2</v>
      </c>
      <c r="AA1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-11.91850483327903</v>
      </c>
      <c r="AB178" s="11">
        <f>AVERAGEIFS(EarningsPerDay[Gross $/Hour],EarningsPerDay[Week '#], EarningsPerDay[[#This Row],[Week '#]], EarningsPerDay[DOW], EarningsPerDay[[#This Row],[DOW]])</f>
        <v>19.46006301883239</v>
      </c>
      <c r="AC178" s="11">
        <f>EarningsPerDay[[#This Row],[Gross $/Hour]] - EarningsPerDay[[#This Row],[Weekly Average Earnings]]</f>
        <v>-7.2785815373509095</v>
      </c>
      <c r="AD178" s="11">
        <f>(SUMIFS(EarningsPerDay[Gross Earnings], EarningsPerDay[Date],"&gt;="&amp;EarningsPerDay[[#This Row],[Date]]-89, EarningsPerDay[Date], "&lt;="&amp;EarningsPerDay[[#This Row],[Date]]))/90</f>
        <v>51.42711111111111</v>
      </c>
      <c r="AH178" s="108"/>
    </row>
    <row r="179" spans="2:34" x14ac:dyDescent="0.35">
      <c r="B179" s="40">
        <v>44822</v>
      </c>
      <c r="C179" s="40">
        <f t="shared" si="27"/>
        <v>44822</v>
      </c>
      <c r="D179" s="4">
        <f>IF(EarningsPerDay[[#This Row],[Week '#]]&gt;=52,YEAR(EarningsPerDay[[#This Row],[Date]])-1,YEAR(EarningsPerDay[[#This Row],[Date]]))</f>
        <v>2022</v>
      </c>
      <c r="E179" s="4" t="str">
        <f>"QTR"&amp;IF(EarningsPerDay[[#This Row],[Week '#]] &lt;= 13, 1, IF(EarningsPerDay[[#This Row],[Week '#]] &lt;= 26, 2, IF(EarningsPerDay[[#This Row],[Week '#]] &lt;= 39, 3, 4)))</f>
        <v>QTR3</v>
      </c>
      <c r="F1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179" s="4">
        <f>IF(WEEKNUM(EarningsPerDay[[#This Row],[Date]], 2) = 53, 1, WEEKNUM(EarningsPerDay[[#This Row],[Date]],2))</f>
        <v>38</v>
      </c>
      <c r="H179" s="40" t="str">
        <f t="shared" si="28"/>
        <v>Sunday</v>
      </c>
      <c r="I17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79" s="40" t="str" cm="1">
        <f t="array" ref="J179">IFERROR(VLOOKUP(MODE(IF(Combined[Date]=EarningsPerDay[[#This Row],[Date]],Combined[Area '#])),KPIs!$B$4:$C$7,2,FALSE),VLOOKUP(EarningsPerDay[[#This Row],[Date]],Combined[[Date]:[Primary Area]],8,FALSE))</f>
        <v>Brunswick/Bath/Freeport</v>
      </c>
      <c r="K179" s="40" t="str">
        <f>_xlfn.XLOOKUP(EarningsPerDay[[#This Row],[Date]],Mileage[Date],Mileage[Weather])</f>
        <v>Rain</v>
      </c>
      <c r="L179" s="4">
        <f>_xlfn.XLOOKUP(EarningsPerDay[[#This Row],[Date]],Mileage[Date],Mileage[Hi Temp])</f>
        <v>58.3</v>
      </c>
      <c r="M179" s="12">
        <f>_xlfn.XLOOKUP(EarningsPerDay[[#This Row],[Date]],Mileage[Date],Mileage[Total Time])</f>
        <v>7.1</v>
      </c>
      <c r="N179" s="4">
        <f>_xlfn.XLOOKUP(EarningsPerDay[[#This Row],[Date]],Mileage[Date],Mileage[Mileage])</f>
        <v>124.2</v>
      </c>
      <c r="O179" s="4">
        <f>SUMIF(Combined[Date],EarningsPerDay[[#This Row],[Date]],Combined[Trips])</f>
        <v>11</v>
      </c>
      <c r="P179">
        <f>COUNTIF(Combined[Date],EarningsPerDay[[#This Row],[Date]])</f>
        <v>2</v>
      </c>
      <c r="Q1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79" s="11">
        <f>SUMIF(Combined[Date],EarningsPerDay[[#This Row],[Date]],Combined[Earnings])</f>
        <v>161.82999999999998</v>
      </c>
      <c r="S179" s="11">
        <f ca="1">EarningsPerDay[[#This Row],[Gross Earnings]]-(EarningsPerDay[[#This Row],[Miles]]*CpM!$D$11)</f>
        <v>134.13674189556713</v>
      </c>
      <c r="T179" s="11">
        <f t="shared" si="25"/>
        <v>22.792957746478873</v>
      </c>
      <c r="U179" s="11">
        <f t="shared" ca="1" si="26"/>
        <v>18.892498858530583</v>
      </c>
      <c r="V179" s="11">
        <f>EarningsPerDay[[#This Row],[Gross Earnings]]/EarningsPerDay[[#This Row],[Deliveries]]</f>
        <v>14.711818181818181</v>
      </c>
      <c r="W179" s="11">
        <f>EarningsPerDay[[#This Row],[Gross Earnings]]/EarningsPerDay[[#This Row],[Miles]]</f>
        <v>1.3029790660225442</v>
      </c>
      <c r="X179" s="71">
        <f>EarningsPerDay[[#This Row],[Deliveries]]/EarningsPerDay[[#This Row],[Hours]]</f>
        <v>1.5492957746478875</v>
      </c>
      <c r="Y179" s="71">
        <f>EarningsPerDay[[#This Row],[Miles]]/EarningsPerDay[[#This Row],[Deliveries]]</f>
        <v>11.290909090909091</v>
      </c>
      <c r="Z179" s="81">
        <f>(EarningsPerDay[[#This Row],[Hours]]/EarningsPerDay[[#This Row],[Deliveries]])/24</f>
        <v>2.689393939393939E-2</v>
      </c>
      <c r="AA1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-4.6728317272053381</v>
      </c>
      <c r="AB179" s="11">
        <f>AVERAGEIFS(EarningsPerDay[Gross $/Hour],EarningsPerDay[Week '#], EarningsPerDay[[#This Row],[Week '#]], EarningsPerDay[DOW], EarningsPerDay[[#This Row],[DOW]])</f>
        <v>23.467750621375313</v>
      </c>
      <c r="AC179" s="11">
        <f>EarningsPerDay[[#This Row],[Gross $/Hour]] - EarningsPerDay[[#This Row],[Weekly Average Earnings]]</f>
        <v>-0.6747928748964398</v>
      </c>
      <c r="AD179" s="11">
        <f>(SUMIFS(EarningsPerDay[Gross Earnings], EarningsPerDay[Date],"&gt;="&amp;EarningsPerDay[[#This Row],[Date]]-89, EarningsPerDay[Date], "&lt;="&amp;EarningsPerDay[[#This Row],[Date]]))/90</f>
        <v>53.225222222222214</v>
      </c>
      <c r="AH179" s="108"/>
    </row>
    <row r="180" spans="2:34" x14ac:dyDescent="0.35">
      <c r="B180" s="40">
        <v>44823</v>
      </c>
      <c r="C180" s="40">
        <f t="shared" si="27"/>
        <v>44823</v>
      </c>
      <c r="D180" s="4">
        <f>IF(EarningsPerDay[[#This Row],[Week '#]]&gt;=52,YEAR(EarningsPerDay[[#This Row],[Date]])-1,YEAR(EarningsPerDay[[#This Row],[Date]]))</f>
        <v>2022</v>
      </c>
      <c r="E180" s="4" t="str">
        <f>"QTR"&amp;IF(EarningsPerDay[[#This Row],[Week '#]] &lt;= 13, 1, IF(EarningsPerDay[[#This Row],[Week '#]] &lt;= 26, 2, IF(EarningsPerDay[[#This Row],[Week '#]] &lt;= 39, 3, 4)))</f>
        <v>QTR3</v>
      </c>
      <c r="F1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80" s="4">
        <f>IF(WEEKNUM(EarningsPerDay[[#This Row],[Date]], 2) = 53, 1, WEEKNUM(EarningsPerDay[[#This Row],[Date]],2))</f>
        <v>39</v>
      </c>
      <c r="H180" s="40" t="str">
        <f t="shared" si="28"/>
        <v>Monday</v>
      </c>
      <c r="I18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80" s="40" t="str" cm="1">
        <f t="array" ref="J180">IFERROR(VLOOKUP(MODE(IF(Combined[Date]=EarningsPerDay[[#This Row],[Date]],Combined[Area '#])),KPIs!$B$4:$C$7,2,FALSE),VLOOKUP(EarningsPerDay[[#This Row],[Date]],Combined[[Date]:[Primary Area]],8,FALSE))</f>
        <v>Portland</v>
      </c>
      <c r="K180" s="40" t="str">
        <f>_xlfn.XLOOKUP(EarningsPerDay[[#This Row],[Date]],Mileage[Date],Mileage[Weather])</f>
        <v>Rain</v>
      </c>
      <c r="L180" s="4">
        <f>_xlfn.XLOOKUP(EarningsPerDay[[#This Row],[Date]],Mileage[Date],Mileage[Hi Temp])</f>
        <v>56.8</v>
      </c>
      <c r="M180" s="12">
        <f>_xlfn.XLOOKUP(EarningsPerDay[[#This Row],[Date]],Mileage[Date],Mileage[Total Time])</f>
        <v>6.6</v>
      </c>
      <c r="N180" s="4">
        <f>_xlfn.XLOOKUP(EarningsPerDay[[#This Row],[Date]],Mileage[Date],Mileage[Mileage])</f>
        <v>80.199999999999989</v>
      </c>
      <c r="O180" s="4">
        <f>SUMIF(Combined[Date],EarningsPerDay[[#This Row],[Date]],Combined[Trips])</f>
        <v>8</v>
      </c>
      <c r="P180">
        <f>COUNTIF(Combined[Date],EarningsPerDay[[#This Row],[Date]])</f>
        <v>2</v>
      </c>
      <c r="Q1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0" s="11">
        <f>SUMIF(Combined[Date],EarningsPerDay[[#This Row],[Date]],Combined[Earnings])</f>
        <v>78.52</v>
      </c>
      <c r="S180" s="11">
        <f ca="1">EarningsPerDay[[#This Row],[Gross Earnings]]-(EarningsPerDay[[#This Row],[Miles]]*CpM!$D$11)</f>
        <v>60.637557971211635</v>
      </c>
      <c r="T180" s="11">
        <f t="shared" si="25"/>
        <v>11.896969696969697</v>
      </c>
      <c r="U180" s="11">
        <f t="shared" ca="1" si="26"/>
        <v>9.1875087835169147</v>
      </c>
      <c r="V180" s="11">
        <f>EarningsPerDay[[#This Row],[Gross Earnings]]/EarningsPerDay[[#This Row],[Deliveries]]</f>
        <v>9.8149999999999995</v>
      </c>
      <c r="W180" s="11">
        <f>EarningsPerDay[[#This Row],[Gross Earnings]]/EarningsPerDay[[#This Row],[Miles]]</f>
        <v>0.97905236907730686</v>
      </c>
      <c r="X180" s="71">
        <f>EarningsPerDay[[#This Row],[Deliveries]]/EarningsPerDay[[#This Row],[Hours]]</f>
        <v>1.2121212121212122</v>
      </c>
      <c r="Y180" s="71">
        <f>EarningsPerDay[[#This Row],[Miles]]/EarningsPerDay[[#This Row],[Deliveries]]</f>
        <v>10.024999999999999</v>
      </c>
      <c r="Z180" s="81">
        <f>(EarningsPerDay[[#This Row],[Hours]]/EarningsPerDay[[#This Row],[Deliveries]])/24</f>
        <v>3.4374999999999996E-2</v>
      </c>
      <c r="AA1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-12.199641334218144</v>
      </c>
      <c r="AB180" s="11">
        <f>AVERAGEIFS(EarningsPerDay[Gross $/Hour],EarningsPerDay[Week '#], EarningsPerDay[[#This Row],[Week '#]], EarningsPerDay[DOW], EarningsPerDay[[#This Row],[DOW]])</f>
        <v>22.232296539277556</v>
      </c>
      <c r="AC180" s="11">
        <f>EarningsPerDay[[#This Row],[Gross $/Hour]] - EarningsPerDay[[#This Row],[Weekly Average Earnings]]</f>
        <v>-10.335326842307859</v>
      </c>
      <c r="AD180" s="11">
        <f>(SUMIFS(EarningsPerDay[Gross Earnings], EarningsPerDay[Date],"&gt;="&amp;EarningsPerDay[[#This Row],[Date]]-89, EarningsPerDay[Date], "&lt;="&amp;EarningsPerDay[[#This Row],[Date]]))/90</f>
        <v>54.097666666666669</v>
      </c>
      <c r="AH180" s="108"/>
    </row>
    <row r="181" spans="2:34" x14ac:dyDescent="0.35">
      <c r="B181" s="40">
        <v>44824</v>
      </c>
      <c r="C181" s="40">
        <f t="shared" si="27"/>
        <v>44824</v>
      </c>
      <c r="D181" s="4">
        <f>IF(EarningsPerDay[[#This Row],[Week '#]]&gt;=52,YEAR(EarningsPerDay[[#This Row],[Date]])-1,YEAR(EarningsPerDay[[#This Row],[Date]]))</f>
        <v>2022</v>
      </c>
      <c r="E181" s="4" t="str">
        <f>"QTR"&amp;IF(EarningsPerDay[[#This Row],[Week '#]] &lt;= 13, 1, IF(EarningsPerDay[[#This Row],[Week '#]] &lt;= 26, 2, IF(EarningsPerDay[[#This Row],[Week '#]] &lt;= 39, 3, 4)))</f>
        <v>QTR3</v>
      </c>
      <c r="F1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81" s="4">
        <f>IF(WEEKNUM(EarningsPerDay[[#This Row],[Date]], 2) = 53, 1, WEEKNUM(EarningsPerDay[[#This Row],[Date]],2))</f>
        <v>39</v>
      </c>
      <c r="H181" s="40" t="str">
        <f t="shared" si="28"/>
        <v>Tuesday</v>
      </c>
      <c r="I18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81" s="40" t="str" cm="1">
        <f t="array" ref="J181">IFERROR(VLOOKUP(MODE(IF(Combined[Date]=EarningsPerDay[[#This Row],[Date]],Combined[Area '#])),KPIs!$B$4:$C$7,2,FALSE),VLOOKUP(EarningsPerDay[[#This Row],[Date]],Combined[[Date]:[Primary Area]],8,FALSE))</f>
        <v>Lewiston</v>
      </c>
      <c r="K181" s="40" t="str">
        <f>_xlfn.XLOOKUP(EarningsPerDay[[#This Row],[Date]],Mileage[Date],Mileage[Weather])</f>
        <v>Rain</v>
      </c>
      <c r="L181" s="4">
        <f>_xlfn.XLOOKUP(EarningsPerDay[[#This Row],[Date]],Mileage[Date],Mileage[Hi Temp])</f>
        <v>66.8</v>
      </c>
      <c r="M181" s="12">
        <f>_xlfn.XLOOKUP(EarningsPerDay[[#This Row],[Date]],Mileage[Date],Mileage[Total Time])</f>
        <v>2.4500000000000002</v>
      </c>
      <c r="N181" s="4">
        <f>_xlfn.XLOOKUP(EarningsPerDay[[#This Row],[Date]],Mileage[Date],Mileage[Mileage])</f>
        <v>28.6</v>
      </c>
      <c r="O181" s="4">
        <f>SUMIF(Combined[Date],EarningsPerDay[[#This Row],[Date]],Combined[Trips])</f>
        <v>3</v>
      </c>
      <c r="P181">
        <f>COUNTIF(Combined[Date],EarningsPerDay[[#This Row],[Date]])</f>
        <v>1</v>
      </c>
      <c r="Q1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1" s="11">
        <f>SUMIF(Combined[Date],EarningsPerDay[[#This Row],[Date]],Combined[Earnings])</f>
        <v>35.19</v>
      </c>
      <c r="S181" s="11">
        <f ca="1">EarningsPerDay[[#This Row],[Gross Earnings]]-(EarningsPerDay[[#This Row],[Miles]]*CpM!$D$11)</f>
        <v>28.812969550831081</v>
      </c>
      <c r="T181" s="11">
        <f t="shared" si="25"/>
        <v>14.363265306122447</v>
      </c>
      <c r="U181" s="11">
        <f t="shared" ca="1" si="26"/>
        <v>11.760395735033093</v>
      </c>
      <c r="V181" s="11">
        <f>EarningsPerDay[[#This Row],[Gross Earnings]]/EarningsPerDay[[#This Row],[Deliveries]]</f>
        <v>11.729999999999999</v>
      </c>
      <c r="W181" s="11">
        <f>EarningsPerDay[[#This Row],[Gross Earnings]]/EarningsPerDay[[#This Row],[Miles]]</f>
        <v>1.2304195804195803</v>
      </c>
      <c r="X181" s="71">
        <f>EarningsPerDay[[#This Row],[Deliveries]]/EarningsPerDay[[#This Row],[Hours]]</f>
        <v>1.2244897959183672</v>
      </c>
      <c r="Y181" s="71">
        <f>EarningsPerDay[[#This Row],[Miles]]/EarningsPerDay[[#This Row],[Deliveries]]</f>
        <v>9.5333333333333332</v>
      </c>
      <c r="Z181" s="81">
        <f>(EarningsPerDay[[#This Row],[Hours]]/EarningsPerDay[[#This Row],[Deliveries]])/24</f>
        <v>3.4027777777777782E-2</v>
      </c>
      <c r="AA1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-4.0605151816824332</v>
      </c>
      <c r="AB181" s="11">
        <f>AVERAGEIFS(EarningsPerDay[Gross $/Hour],EarningsPerDay[Week '#], EarningsPerDay[[#This Row],[Week '#]], EarningsPerDay[DOW], EarningsPerDay[[#This Row],[DOW]])</f>
        <v>23.655376691383267</v>
      </c>
      <c r="AC181" s="11">
        <f>EarningsPerDay[[#This Row],[Gross $/Hour]] - EarningsPerDay[[#This Row],[Weekly Average Earnings]]</f>
        <v>-9.2921113852608208</v>
      </c>
      <c r="AD181" s="11">
        <f>(SUMIFS(EarningsPerDay[Gross Earnings], EarningsPerDay[Date],"&gt;="&amp;EarningsPerDay[[#This Row],[Date]]-89, EarningsPerDay[Date], "&lt;="&amp;EarningsPerDay[[#This Row],[Date]]))/90</f>
        <v>54.180555555555543</v>
      </c>
      <c r="AH181" s="108"/>
    </row>
    <row r="182" spans="2:34" x14ac:dyDescent="0.35">
      <c r="B182" s="40">
        <v>44825</v>
      </c>
      <c r="C182" s="40">
        <f t="shared" si="27"/>
        <v>44825</v>
      </c>
      <c r="D182" s="4">
        <f>IF(EarningsPerDay[[#This Row],[Week '#]]&gt;=52,YEAR(EarningsPerDay[[#This Row],[Date]])-1,YEAR(EarningsPerDay[[#This Row],[Date]]))</f>
        <v>2022</v>
      </c>
      <c r="E182" s="4" t="str">
        <f>"QTR"&amp;IF(EarningsPerDay[[#This Row],[Week '#]] &lt;= 13, 1, IF(EarningsPerDay[[#This Row],[Week '#]] &lt;= 26, 2, IF(EarningsPerDay[[#This Row],[Week '#]] &lt;= 39, 3, 4)))</f>
        <v>QTR3</v>
      </c>
      <c r="F1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82" s="4">
        <f>IF(WEEKNUM(EarningsPerDay[[#This Row],[Date]], 2) = 53, 1, WEEKNUM(EarningsPerDay[[#This Row],[Date]],2))</f>
        <v>39</v>
      </c>
      <c r="H182" s="40" t="str">
        <f t="shared" si="28"/>
        <v>Wednesday</v>
      </c>
      <c r="I18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82" s="40" t="str" cm="1">
        <f t="array" ref="J182">IFERROR(VLOOKUP(MODE(IF(Combined[Date]=EarningsPerDay[[#This Row],[Date]],Combined[Area '#])),KPIs!$B$4:$C$7,2,FALSE),VLOOKUP(EarningsPerDay[[#This Row],[Date]],Combined[[Date]:[Primary Area]],8,FALSE))</f>
        <v>Lewiston</v>
      </c>
      <c r="K182" s="40" t="str">
        <f>_xlfn.XLOOKUP(EarningsPerDay[[#This Row],[Date]],Mileage[Date],Mileage[Weather])</f>
        <v>Rain</v>
      </c>
      <c r="L182" s="4">
        <f>_xlfn.XLOOKUP(EarningsPerDay[[#This Row],[Date]],Mileage[Date],Mileage[Hi Temp])</f>
        <v>63.5</v>
      </c>
      <c r="M182" s="12">
        <f>_xlfn.XLOOKUP(EarningsPerDay[[#This Row],[Date]],Mileage[Date],Mileage[Total Time])</f>
        <v>4.3000000000000007</v>
      </c>
      <c r="N182" s="4">
        <f>_xlfn.XLOOKUP(EarningsPerDay[[#This Row],[Date]],Mileage[Date],Mileage[Mileage])</f>
        <v>48.2</v>
      </c>
      <c r="O182" s="4">
        <f>SUMIF(Combined[Date],EarningsPerDay[[#This Row],[Date]],Combined[Trips])</f>
        <v>10</v>
      </c>
      <c r="P182">
        <f>COUNTIF(Combined[Date],EarningsPerDay[[#This Row],[Date]])</f>
        <v>3</v>
      </c>
      <c r="Q1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2" s="11">
        <f>SUMIF(Combined[Date],EarningsPerDay[[#This Row],[Date]],Combined[Earnings])</f>
        <v>45.85</v>
      </c>
      <c r="S182" s="11">
        <f ca="1">EarningsPerDay[[#This Row],[Gross Earnings]]-(EarningsPerDay[[#This Row],[Miles]]*CpM!$D$11)</f>
        <v>35.102696935316722</v>
      </c>
      <c r="T182" s="11">
        <f t="shared" si="25"/>
        <v>10.662790697674417</v>
      </c>
      <c r="U182" s="11">
        <f t="shared" ca="1" si="26"/>
        <v>8.1634178919341203</v>
      </c>
      <c r="V182" s="11">
        <f>EarningsPerDay[[#This Row],[Gross Earnings]]/EarningsPerDay[[#This Row],[Deliveries]]</f>
        <v>4.585</v>
      </c>
      <c r="W182" s="11">
        <f>EarningsPerDay[[#This Row],[Gross Earnings]]/EarningsPerDay[[#This Row],[Miles]]</f>
        <v>0.95124481327800825</v>
      </c>
      <c r="X182" s="71">
        <f>EarningsPerDay[[#This Row],[Deliveries]]/EarningsPerDay[[#This Row],[Hours]]</f>
        <v>2.3255813953488369</v>
      </c>
      <c r="Y182" s="71">
        <f>EarningsPerDay[[#This Row],[Miles]]/EarningsPerDay[[#This Row],[Deliveries]]</f>
        <v>4.82</v>
      </c>
      <c r="Z182" s="81">
        <f>(EarningsPerDay[[#This Row],[Hours]]/EarningsPerDay[[#This Row],[Deliveries]])/24</f>
        <v>1.7916666666666668E-2</v>
      </c>
      <c r="AA1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-11.559431524547804</v>
      </c>
      <c r="AB182" s="11">
        <f>AVERAGEIFS(EarningsPerDay[Gross $/Hour],EarningsPerDay[Week '#], EarningsPerDay[[#This Row],[Week '#]], EarningsPerDay[DOW], EarningsPerDay[[#This Row],[DOW]])</f>
        <v>19.08452701313605</v>
      </c>
      <c r="AC182" s="11">
        <f>EarningsPerDay[[#This Row],[Gross $/Hour]] - EarningsPerDay[[#This Row],[Weekly Average Earnings]]</f>
        <v>-8.4217363154616329</v>
      </c>
      <c r="AD182" s="11">
        <f>(SUMIFS(EarningsPerDay[Gross Earnings], EarningsPerDay[Date],"&gt;="&amp;EarningsPerDay[[#This Row],[Date]]-89, EarningsPerDay[Date], "&lt;="&amp;EarningsPerDay[[#This Row],[Date]]))/90</f>
        <v>54.689999999999991</v>
      </c>
      <c r="AH182" s="108"/>
    </row>
    <row r="183" spans="2:34" x14ac:dyDescent="0.35">
      <c r="B183" s="40">
        <v>44827</v>
      </c>
      <c r="C183" s="40">
        <f t="shared" si="27"/>
        <v>44827</v>
      </c>
      <c r="D183" s="4">
        <f>IF(EarningsPerDay[[#This Row],[Week '#]]&gt;=52,YEAR(EarningsPerDay[[#This Row],[Date]])-1,YEAR(EarningsPerDay[[#This Row],[Date]]))</f>
        <v>2022</v>
      </c>
      <c r="E183" s="4" t="str">
        <f>"QTR"&amp;IF(EarningsPerDay[[#This Row],[Week '#]] &lt;= 13, 1, IF(EarningsPerDay[[#This Row],[Week '#]] &lt;= 26, 2, IF(EarningsPerDay[[#This Row],[Week '#]] &lt;= 39, 3, 4)))</f>
        <v>QTR3</v>
      </c>
      <c r="F1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83" s="4">
        <f>IF(WEEKNUM(EarningsPerDay[[#This Row],[Date]], 2) = 53, 1, WEEKNUM(EarningsPerDay[[#This Row],[Date]],2))</f>
        <v>39</v>
      </c>
      <c r="H183" s="40" t="str">
        <f t="shared" si="28"/>
        <v>Friday</v>
      </c>
      <c r="I18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83" s="40" t="str" cm="1">
        <f t="array" ref="J183">IFERROR(VLOOKUP(MODE(IF(Combined[Date]=EarningsPerDay[[#This Row],[Date]],Combined[Area '#])),KPIs!$B$4:$C$7,2,FALSE),VLOOKUP(EarningsPerDay[[#This Row],[Date]],Combined[[Date]:[Primary Area]],8,FALSE))</f>
        <v>Brunswick/Bath/Freeport</v>
      </c>
      <c r="K183" s="40" t="str">
        <f>_xlfn.XLOOKUP(EarningsPerDay[[#This Row],[Date]],Mileage[Date],Mileage[Weather])</f>
        <v>Clear</v>
      </c>
      <c r="L183" s="4">
        <f>_xlfn.XLOOKUP(EarningsPerDay[[#This Row],[Date]],Mileage[Date],Mileage[Hi Temp])</f>
        <v>64.599999999999994</v>
      </c>
      <c r="M183" s="12">
        <f>_xlfn.XLOOKUP(EarningsPerDay[[#This Row],[Date]],Mileage[Date],Mileage[Total Time])</f>
        <v>2.5</v>
      </c>
      <c r="N183" s="4">
        <f>_xlfn.XLOOKUP(EarningsPerDay[[#This Row],[Date]],Mileage[Date],Mileage[Mileage])</f>
        <v>113.8</v>
      </c>
      <c r="O183" s="4">
        <f>SUMIF(Combined[Date],EarningsPerDay[[#This Row],[Date]],Combined[Trips])</f>
        <v>13</v>
      </c>
      <c r="P183">
        <f>COUNTIF(Combined[Date],EarningsPerDay[[#This Row],[Date]])</f>
        <v>2</v>
      </c>
      <c r="Q1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3" s="11">
        <f>SUMIF(Combined[Date],EarningsPerDay[[#This Row],[Date]],Combined[Earnings])</f>
        <v>94.03</v>
      </c>
      <c r="S183" s="11">
        <f ca="1">EarningsPerDay[[#This Row],[Gross Earnings]]-(EarningsPerDay[[#This Row],[Miles]]*CpM!$D$11)</f>
        <v>68.655662058901299</v>
      </c>
      <c r="T183" s="11">
        <f t="shared" si="25"/>
        <v>37.612000000000002</v>
      </c>
      <c r="U183" s="11">
        <f t="shared" ca="1" si="26"/>
        <v>27.46226482356052</v>
      </c>
      <c r="V183" s="11">
        <f>EarningsPerDay[[#This Row],[Gross Earnings]]/EarningsPerDay[[#This Row],[Deliveries]]</f>
        <v>7.233076923076923</v>
      </c>
      <c r="W183" s="11">
        <f>EarningsPerDay[[#This Row],[Gross Earnings]]/EarningsPerDay[[#This Row],[Miles]]</f>
        <v>0.82627416520210895</v>
      </c>
      <c r="X183" s="71">
        <f>EarningsPerDay[[#This Row],[Deliveries]]/EarningsPerDay[[#This Row],[Hours]]</f>
        <v>5.2</v>
      </c>
      <c r="Y183" s="71">
        <f>EarningsPerDay[[#This Row],[Miles]]/EarningsPerDay[[#This Row],[Deliveries]]</f>
        <v>8.7538461538461529</v>
      </c>
      <c r="Z183" s="81">
        <f>(EarningsPerDay[[#This Row],[Hours]]/EarningsPerDay[[#This Row],[Deliveries]])/24</f>
        <v>8.0128205128205138E-3</v>
      </c>
      <c r="AA1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16.491639893559249</v>
      </c>
      <c r="AB183" s="11">
        <f>AVERAGEIFS(EarningsPerDay[Gross $/Hour],EarningsPerDay[Week '#], EarningsPerDay[[#This Row],[Week '#]], EarningsPerDay[DOW], EarningsPerDay[[#This Row],[DOW]])</f>
        <v>26.595370713059737</v>
      </c>
      <c r="AC183" s="11">
        <f>EarningsPerDay[[#This Row],[Gross $/Hour]] - EarningsPerDay[[#This Row],[Weekly Average Earnings]]</f>
        <v>11.016629286940265</v>
      </c>
      <c r="AD183" s="11">
        <f>(SUMIFS(EarningsPerDay[Gross Earnings], EarningsPerDay[Date],"&gt;="&amp;EarningsPerDay[[#This Row],[Date]]-89, EarningsPerDay[Date], "&lt;="&amp;EarningsPerDay[[#This Row],[Date]]))/90</f>
        <v>53.037333333333329</v>
      </c>
      <c r="AH183" s="108"/>
    </row>
    <row r="184" spans="2:34" x14ac:dyDescent="0.35">
      <c r="B184" s="40">
        <v>44829</v>
      </c>
      <c r="C184" s="40">
        <f t="shared" si="27"/>
        <v>44829</v>
      </c>
      <c r="D184" s="4">
        <f>IF(EarningsPerDay[[#This Row],[Week '#]]&gt;=52,YEAR(EarningsPerDay[[#This Row],[Date]])-1,YEAR(EarningsPerDay[[#This Row],[Date]]))</f>
        <v>2022</v>
      </c>
      <c r="E184" s="4" t="str">
        <f>"QTR"&amp;IF(EarningsPerDay[[#This Row],[Week '#]] &lt;= 13, 1, IF(EarningsPerDay[[#This Row],[Week '#]] &lt;= 26, 2, IF(EarningsPerDay[[#This Row],[Week '#]] &lt;= 39, 3, 4)))</f>
        <v>QTR3</v>
      </c>
      <c r="F1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184" s="4">
        <f>IF(WEEKNUM(EarningsPerDay[[#This Row],[Date]], 2) = 53, 1, WEEKNUM(EarningsPerDay[[#This Row],[Date]],2))</f>
        <v>39</v>
      </c>
      <c r="H184" s="40" t="str">
        <f t="shared" si="28"/>
        <v>Sunday</v>
      </c>
      <c r="I18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184" s="40" t="str" cm="1">
        <f t="array" ref="J184">IFERROR(VLOOKUP(MODE(IF(Combined[Date]=EarningsPerDay[[#This Row],[Date]],Combined[Area '#])),KPIs!$B$4:$C$7,2,FALSE),VLOOKUP(EarningsPerDay[[#This Row],[Date]],Combined[[Date]:[Primary Area]],8,FALSE))</f>
        <v>Brunswick/Bath/Freeport</v>
      </c>
      <c r="K184" s="40" t="str">
        <f>_xlfn.XLOOKUP(EarningsPerDay[[#This Row],[Date]],Mileage[Date],Mileage[Weather])</f>
        <v>Rain</v>
      </c>
      <c r="L184" s="4">
        <f>_xlfn.XLOOKUP(EarningsPerDay[[#This Row],[Date]],Mileage[Date],Mileage[Hi Temp])</f>
        <v>71.099999999999994</v>
      </c>
      <c r="M184" s="12">
        <f>_xlfn.XLOOKUP(EarningsPerDay[[#This Row],[Date]],Mileage[Date],Mileage[Total Time])</f>
        <v>3.5999999999999996</v>
      </c>
      <c r="N184" s="4">
        <f>_xlfn.XLOOKUP(EarningsPerDay[[#This Row],[Date]],Mileage[Date],Mileage[Mileage])</f>
        <v>88.5</v>
      </c>
      <c r="O184" s="4">
        <f>SUMIF(Combined[Date],EarningsPerDay[[#This Row],[Date]],Combined[Trips])</f>
        <v>6</v>
      </c>
      <c r="P184">
        <f>COUNTIF(Combined[Date],EarningsPerDay[[#This Row],[Date]])</f>
        <v>2</v>
      </c>
      <c r="Q1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4" s="11">
        <f>SUMIF(Combined[Date],EarningsPerDay[[#This Row],[Date]],Combined[Earnings])</f>
        <v>64.97</v>
      </c>
      <c r="S184" s="11">
        <f ca="1">EarningsPerDay[[#This Row],[Gross Earnings]]-(EarningsPerDay[[#This Row],[Miles]]*CpM!$D$11)</f>
        <v>45.236881302396881</v>
      </c>
      <c r="T184" s="11">
        <f t="shared" si="25"/>
        <v>18.047222222222224</v>
      </c>
      <c r="U184" s="11">
        <f t="shared" ca="1" si="26"/>
        <v>12.565800361776912</v>
      </c>
      <c r="V184" s="11">
        <f>EarningsPerDay[[#This Row],[Gross Earnings]]/EarningsPerDay[[#This Row],[Deliveries]]</f>
        <v>10.828333333333333</v>
      </c>
      <c r="W184" s="11">
        <f>EarningsPerDay[[#This Row],[Gross Earnings]]/EarningsPerDay[[#This Row],[Miles]]</f>
        <v>0.73412429378531074</v>
      </c>
      <c r="X184" s="71">
        <f>EarningsPerDay[[#This Row],[Deliveries]]/EarningsPerDay[[#This Row],[Hours]]</f>
        <v>1.6666666666666667</v>
      </c>
      <c r="Y184" s="71">
        <f>EarningsPerDay[[#This Row],[Miles]]/EarningsPerDay[[#This Row],[Deliveries]]</f>
        <v>14.75</v>
      </c>
      <c r="Z184" s="81">
        <f>(EarningsPerDay[[#This Row],[Hours]]/EarningsPerDay[[#This Row],[Deliveries]])/24</f>
        <v>2.4999999999999998E-2</v>
      </c>
      <c r="AA1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-7.8609566757268752</v>
      </c>
      <c r="AB184" s="11">
        <f>AVERAGEIFS(EarningsPerDay[Gross $/Hour],EarningsPerDay[Week '#], EarningsPerDay[[#This Row],[Week '#]], EarningsPerDay[DOW], EarningsPerDay[[#This Row],[DOW]])</f>
        <v>18.047222222222224</v>
      </c>
      <c r="AC184" s="11">
        <f>EarningsPerDay[[#This Row],[Gross $/Hour]] - EarningsPerDay[[#This Row],[Weekly Average Earnings]]</f>
        <v>0</v>
      </c>
      <c r="AD184" s="11">
        <f>(SUMIFS(EarningsPerDay[Gross Earnings], EarningsPerDay[Date],"&gt;="&amp;EarningsPerDay[[#This Row],[Date]]-89, EarningsPerDay[Date], "&lt;="&amp;EarningsPerDay[[#This Row],[Date]]))/90</f>
        <v>52.38611111111112</v>
      </c>
      <c r="AH184" s="108"/>
    </row>
    <row r="185" spans="2:34" x14ac:dyDescent="0.35">
      <c r="B185" s="40">
        <v>44830</v>
      </c>
      <c r="C185" s="40">
        <f t="shared" si="27"/>
        <v>44830</v>
      </c>
      <c r="D185" s="4">
        <f>IF(EarningsPerDay[[#This Row],[Week '#]]&gt;=52,YEAR(EarningsPerDay[[#This Row],[Date]])-1,YEAR(EarningsPerDay[[#This Row],[Date]]))</f>
        <v>2022</v>
      </c>
      <c r="E185" s="4" t="str">
        <f>"QTR"&amp;IF(EarningsPerDay[[#This Row],[Week '#]] &lt;= 13, 1, IF(EarningsPerDay[[#This Row],[Week '#]] &lt;= 26, 2, IF(EarningsPerDay[[#This Row],[Week '#]] &lt;= 39, 3, 4)))</f>
        <v>QTR4</v>
      </c>
      <c r="F1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85" s="4">
        <f>IF(WEEKNUM(EarningsPerDay[[#This Row],[Date]], 2) = 53, 1, WEEKNUM(EarningsPerDay[[#This Row],[Date]],2))</f>
        <v>40</v>
      </c>
      <c r="H185" s="40" t="str">
        <f t="shared" si="28"/>
        <v>Monday</v>
      </c>
      <c r="I18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85" s="40" t="str" cm="1">
        <f t="array" ref="J185">IFERROR(VLOOKUP(MODE(IF(Combined[Date]=EarningsPerDay[[#This Row],[Date]],Combined[Area '#])),KPIs!$B$4:$C$7,2,FALSE),VLOOKUP(EarningsPerDay[[#This Row],[Date]],Combined[[Date]:[Primary Area]],8,FALSE))</f>
        <v>Portland</v>
      </c>
      <c r="K185" s="40" t="str">
        <f>_xlfn.XLOOKUP(EarningsPerDay[[#This Row],[Date]],Mileage[Date],Mileage[Weather])</f>
        <v>Rain</v>
      </c>
      <c r="L185" s="4">
        <f>_xlfn.XLOOKUP(EarningsPerDay[[#This Row],[Date]],Mileage[Date],Mileage[Hi Temp])</f>
        <v>70.5</v>
      </c>
      <c r="M185" s="12">
        <f>_xlfn.XLOOKUP(EarningsPerDay[[#This Row],[Date]],Mileage[Date],Mileage[Total Time])</f>
        <v>6.8</v>
      </c>
      <c r="N185" s="4">
        <f>_xlfn.XLOOKUP(EarningsPerDay[[#This Row],[Date]],Mileage[Date],Mileage[Mileage])</f>
        <v>104.1</v>
      </c>
      <c r="O185" s="4">
        <f>SUMIF(Combined[Date],EarningsPerDay[[#This Row],[Date]],Combined[Trips])</f>
        <v>16</v>
      </c>
      <c r="P185">
        <f>COUNTIF(Combined[Date],EarningsPerDay[[#This Row],[Date]])</f>
        <v>4</v>
      </c>
      <c r="Q1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5" s="11">
        <f>SUMIF(Combined[Date],EarningsPerDay[[#This Row],[Date]],Combined[Earnings])</f>
        <v>167.59</v>
      </c>
      <c r="S185" s="11">
        <f ca="1">EarningsPerDay[[#This Row],[Gross Earnings]]-(EarningsPerDay[[#This Row],[Miles]]*CpM!$D$11)</f>
        <v>144.37850105739565</v>
      </c>
      <c r="T185" s="11">
        <f t="shared" si="25"/>
        <v>24.64558823529412</v>
      </c>
      <c r="U185" s="11">
        <f t="shared" ca="1" si="26"/>
        <v>21.232132508440539</v>
      </c>
      <c r="V185" s="11">
        <f>EarningsPerDay[[#This Row],[Gross Earnings]]/EarningsPerDay[[#This Row],[Deliveries]]</f>
        <v>10.474375</v>
      </c>
      <c r="W185" s="11">
        <f>EarningsPerDay[[#This Row],[Gross Earnings]]/EarningsPerDay[[#This Row],[Miles]]</f>
        <v>1.6098943323727186</v>
      </c>
      <c r="X185" s="71">
        <f>EarningsPerDay[[#This Row],[Deliveries]]/EarningsPerDay[[#This Row],[Hours]]</f>
        <v>2.3529411764705883</v>
      </c>
      <c r="Y185" s="71">
        <f>EarningsPerDay[[#This Row],[Miles]]/EarningsPerDay[[#This Row],[Deliveries]]</f>
        <v>6.5062499999999996</v>
      </c>
      <c r="Z185" s="81">
        <f>(EarningsPerDay[[#This Row],[Hours]]/EarningsPerDay[[#This Row],[Deliveries]])/24</f>
        <v>1.7708333333333333E-2</v>
      </c>
      <c r="AA1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5.1772549019607865</v>
      </c>
      <c r="AB185" s="11">
        <f>AVERAGEIFS(EarningsPerDay[Gross $/Hour],EarningsPerDay[Week '#], EarningsPerDay[[#This Row],[Week '#]], EarningsPerDay[DOW], EarningsPerDay[[#This Row],[DOW]])</f>
        <v>24.06211505700087</v>
      </c>
      <c r="AC185" s="11">
        <f>EarningsPerDay[[#This Row],[Gross $/Hour]] - EarningsPerDay[[#This Row],[Weekly Average Earnings]]</f>
        <v>0.58347317829325007</v>
      </c>
      <c r="AD185" s="11">
        <f>(SUMIFS(EarningsPerDay[Gross Earnings], EarningsPerDay[Date],"&gt;="&amp;EarningsPerDay[[#This Row],[Date]]-89, EarningsPerDay[Date], "&lt;="&amp;EarningsPerDay[[#This Row],[Date]]))/90</f>
        <v>53.5718888888889</v>
      </c>
      <c r="AH185" s="108"/>
    </row>
    <row r="186" spans="2:34" x14ac:dyDescent="0.35">
      <c r="B186" s="40">
        <v>44831</v>
      </c>
      <c r="C186" s="40">
        <f t="shared" si="27"/>
        <v>44831</v>
      </c>
      <c r="D186" s="4">
        <f>IF(EarningsPerDay[[#This Row],[Week '#]]&gt;=52,YEAR(EarningsPerDay[[#This Row],[Date]])-1,YEAR(EarningsPerDay[[#This Row],[Date]]))</f>
        <v>2022</v>
      </c>
      <c r="E186" s="4" t="str">
        <f>"QTR"&amp;IF(EarningsPerDay[[#This Row],[Week '#]] &lt;= 13, 1, IF(EarningsPerDay[[#This Row],[Week '#]] &lt;= 26, 2, IF(EarningsPerDay[[#This Row],[Week '#]] &lt;= 39, 3, 4)))</f>
        <v>QTR4</v>
      </c>
      <c r="F1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86" s="4">
        <f>IF(WEEKNUM(EarningsPerDay[[#This Row],[Date]], 2) = 53, 1, WEEKNUM(EarningsPerDay[[#This Row],[Date]],2))</f>
        <v>40</v>
      </c>
      <c r="H186" s="40" t="str">
        <f t="shared" si="28"/>
        <v>Tuesday</v>
      </c>
      <c r="I18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86" s="40" t="str" cm="1">
        <f t="array" ref="J186">IFERROR(VLOOKUP(MODE(IF(Combined[Date]=EarningsPerDay[[#This Row],[Date]],Combined[Area '#])),KPIs!$B$4:$C$7,2,FALSE),VLOOKUP(EarningsPerDay[[#This Row],[Date]],Combined[[Date]:[Primary Area]],8,FALSE))</f>
        <v>Portland</v>
      </c>
      <c r="K186" s="40" t="str">
        <f>_xlfn.XLOOKUP(EarningsPerDay[[#This Row],[Date]],Mileage[Date],Mileage[Weather])</f>
        <v>Rain</v>
      </c>
      <c r="L186" s="4">
        <f>_xlfn.XLOOKUP(EarningsPerDay[[#This Row],[Date]],Mileage[Date],Mileage[Hi Temp])</f>
        <v>67.7</v>
      </c>
      <c r="M186" s="12">
        <f>_xlfn.XLOOKUP(EarningsPerDay[[#This Row],[Date]],Mileage[Date],Mileage[Total Time])</f>
        <v>4.3999999999999995</v>
      </c>
      <c r="N186" s="4">
        <f>_xlfn.XLOOKUP(EarningsPerDay[[#This Row],[Date]],Mileage[Date],Mileage[Mileage])</f>
        <v>138</v>
      </c>
      <c r="O186" s="4">
        <f>SUMIF(Combined[Date],EarningsPerDay[[#This Row],[Date]],Combined[Trips])</f>
        <v>13</v>
      </c>
      <c r="P186">
        <f>COUNTIF(Combined[Date],EarningsPerDay[[#This Row],[Date]])</f>
        <v>3</v>
      </c>
      <c r="Q1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6" s="11">
        <f>SUMIF(Combined[Date],EarningsPerDay[[#This Row],[Date]],Combined[Earnings])</f>
        <v>85.92</v>
      </c>
      <c r="S186" s="11">
        <f ca="1">EarningsPerDay[[#This Row],[Gross Earnings]]-(EarningsPerDay[[#This Row],[Miles]]*CpM!$D$11)</f>
        <v>55.149713217296835</v>
      </c>
      <c r="T186" s="11">
        <f t="shared" si="25"/>
        <v>19.527272727272731</v>
      </c>
      <c r="U186" s="11">
        <f t="shared" ca="1" si="26"/>
        <v>12.534025731203828</v>
      </c>
      <c r="V186" s="11">
        <f>EarningsPerDay[[#This Row],[Gross Earnings]]/EarningsPerDay[[#This Row],[Deliveries]]</f>
        <v>6.609230769230769</v>
      </c>
      <c r="W186" s="11">
        <f>EarningsPerDay[[#This Row],[Gross Earnings]]/EarningsPerDay[[#This Row],[Miles]]</f>
        <v>0.62260869565217392</v>
      </c>
      <c r="X186" s="71">
        <f>EarningsPerDay[[#This Row],[Deliveries]]/EarningsPerDay[[#This Row],[Hours]]</f>
        <v>2.954545454545455</v>
      </c>
      <c r="Y186" s="71">
        <f>EarningsPerDay[[#This Row],[Miles]]/EarningsPerDay[[#This Row],[Deliveries]]</f>
        <v>10.615384615384615</v>
      </c>
      <c r="Z186" s="81">
        <f>(EarningsPerDay[[#This Row],[Hours]]/EarningsPerDay[[#This Row],[Deliveries]])/24</f>
        <v>1.4102564102564101E-2</v>
      </c>
      <c r="AA1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2.0192727272727318</v>
      </c>
      <c r="AB186" s="11">
        <f>AVERAGEIFS(EarningsPerDay[Gross $/Hour],EarningsPerDay[Week '#], EarningsPerDay[[#This Row],[Week '#]], EarningsPerDay[DOW], EarningsPerDay[[#This Row],[DOW]])</f>
        <v>21.837681604110177</v>
      </c>
      <c r="AC186" s="11">
        <f>EarningsPerDay[[#This Row],[Gross $/Hour]] - EarningsPerDay[[#This Row],[Weekly Average Earnings]]</f>
        <v>-2.310408876837446</v>
      </c>
      <c r="AD186" s="11">
        <f>(SUMIFS(EarningsPerDay[Gross Earnings], EarningsPerDay[Date],"&gt;="&amp;EarningsPerDay[[#This Row],[Date]]-89, EarningsPerDay[Date], "&lt;="&amp;EarningsPerDay[[#This Row],[Date]]))/90</f>
        <v>54.526555555555568</v>
      </c>
      <c r="AH186" s="108"/>
    </row>
    <row r="187" spans="2:34" x14ac:dyDescent="0.35">
      <c r="B187" s="40">
        <v>44833</v>
      </c>
      <c r="C187" s="40">
        <f t="shared" si="27"/>
        <v>44833</v>
      </c>
      <c r="D187" s="4">
        <f>IF(EarningsPerDay[[#This Row],[Week '#]]&gt;=52,YEAR(EarningsPerDay[[#This Row],[Date]])-1,YEAR(EarningsPerDay[[#This Row],[Date]]))</f>
        <v>2022</v>
      </c>
      <c r="E187" s="4" t="str">
        <f>"QTR"&amp;IF(EarningsPerDay[[#This Row],[Week '#]] &lt;= 13, 1, IF(EarningsPerDay[[#This Row],[Week '#]] &lt;= 26, 2, IF(EarningsPerDay[[#This Row],[Week '#]] &lt;= 39, 3, 4)))</f>
        <v>QTR4</v>
      </c>
      <c r="F1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87" s="4">
        <f>IF(WEEKNUM(EarningsPerDay[[#This Row],[Date]], 2) = 53, 1, WEEKNUM(EarningsPerDay[[#This Row],[Date]],2))</f>
        <v>40</v>
      </c>
      <c r="H187" s="40" t="str">
        <f t="shared" si="28"/>
        <v>Thursday</v>
      </c>
      <c r="I18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87" s="40" t="str" cm="1">
        <f t="array" ref="J187">IFERROR(VLOOKUP(MODE(IF(Combined[Date]=EarningsPerDay[[#This Row],[Date]],Combined[Area '#])),KPIs!$B$4:$C$7,2,FALSE),VLOOKUP(EarningsPerDay[[#This Row],[Date]],Combined[[Date]:[Primary Area]],8,FALSE))</f>
        <v>Portland</v>
      </c>
      <c r="K187" s="40" t="str">
        <f>_xlfn.XLOOKUP(EarningsPerDay[[#This Row],[Date]],Mileage[Date],Mileage[Weather])</f>
        <v>Clear</v>
      </c>
      <c r="L187" s="4">
        <f>_xlfn.XLOOKUP(EarningsPerDay[[#This Row],[Date]],Mileage[Date],Mileage[Hi Temp])</f>
        <v>61.1</v>
      </c>
      <c r="M187" s="12">
        <f>_xlfn.XLOOKUP(EarningsPerDay[[#This Row],[Date]],Mileage[Date],Mileage[Total Time])</f>
        <v>6.7</v>
      </c>
      <c r="N187" s="4">
        <f>_xlfn.XLOOKUP(EarningsPerDay[[#This Row],[Date]],Mileage[Date],Mileage[Mileage])</f>
        <v>108.9</v>
      </c>
      <c r="O187" s="4">
        <f>SUMIF(Combined[Date],EarningsPerDay[[#This Row],[Date]],Combined[Trips])</f>
        <v>10</v>
      </c>
      <c r="P187">
        <f>COUNTIF(Combined[Date],EarningsPerDay[[#This Row],[Date]])</f>
        <v>2</v>
      </c>
      <c r="Q1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7" s="11">
        <f>SUMIF(Combined[Date],EarningsPerDay[[#This Row],[Date]],Combined[Earnings])</f>
        <v>101.93</v>
      </c>
      <c r="S187" s="11">
        <f ca="1">EarningsPerDay[[#This Row],[Gross Earnings]]-(EarningsPerDay[[#This Row],[Miles]]*CpM!$D$11)</f>
        <v>77.648230212779893</v>
      </c>
      <c r="T187" s="11">
        <f t="shared" si="25"/>
        <v>15.213432835820896</v>
      </c>
      <c r="U187" s="11">
        <f t="shared" ca="1" si="26"/>
        <v>11.589288091459686</v>
      </c>
      <c r="V187" s="11">
        <f>EarningsPerDay[[#This Row],[Gross Earnings]]/EarningsPerDay[[#This Row],[Deliveries]]</f>
        <v>10.193000000000001</v>
      </c>
      <c r="W187" s="11">
        <f>EarningsPerDay[[#This Row],[Gross Earnings]]/EarningsPerDay[[#This Row],[Miles]]</f>
        <v>0.93599632690541779</v>
      </c>
      <c r="X187" s="71">
        <f>EarningsPerDay[[#This Row],[Deliveries]]/EarningsPerDay[[#This Row],[Hours]]</f>
        <v>1.4925373134328357</v>
      </c>
      <c r="Y187" s="71">
        <f>EarningsPerDay[[#This Row],[Miles]]/EarningsPerDay[[#This Row],[Deliveries]]</f>
        <v>10.89</v>
      </c>
      <c r="Z187" s="81">
        <f>(EarningsPerDay[[#This Row],[Hours]]/EarningsPerDay[[#This Row],[Deliveries]])/24</f>
        <v>2.7916666666666669E-2</v>
      </c>
      <c r="AA18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87" s="11">
        <f>AVERAGEIFS(EarningsPerDay[Gross $/Hour],EarningsPerDay[Week '#], EarningsPerDay[[#This Row],[Week '#]], EarningsPerDay[DOW], EarningsPerDay[[#This Row],[DOW]])</f>
        <v>15.797159782482936</v>
      </c>
      <c r="AC187" s="11">
        <f>EarningsPerDay[[#This Row],[Gross $/Hour]] - EarningsPerDay[[#This Row],[Weekly Average Earnings]]</f>
        <v>-0.58372694666203984</v>
      </c>
      <c r="AD187" s="11">
        <f>(SUMIFS(EarningsPerDay[Gross Earnings], EarningsPerDay[Date],"&gt;="&amp;EarningsPerDay[[#This Row],[Date]]-89, EarningsPerDay[Date], "&lt;="&amp;EarningsPerDay[[#This Row],[Date]]))/90</f>
        <v>54.427333333333344</v>
      </c>
      <c r="AH187" s="108"/>
    </row>
    <row r="188" spans="2:34" x14ac:dyDescent="0.35">
      <c r="B188" s="40">
        <v>44834</v>
      </c>
      <c r="C188" s="40">
        <f t="shared" si="27"/>
        <v>44834</v>
      </c>
      <c r="D188" s="4">
        <f>IF(EarningsPerDay[[#This Row],[Week '#]]&gt;=52,YEAR(EarningsPerDay[[#This Row],[Date]])-1,YEAR(EarningsPerDay[[#This Row],[Date]]))</f>
        <v>2022</v>
      </c>
      <c r="E188" s="4" t="str">
        <f>"QTR"&amp;IF(EarningsPerDay[[#This Row],[Week '#]] &lt;= 13, 1, IF(EarningsPerDay[[#This Row],[Week '#]] &lt;= 26, 2, IF(EarningsPerDay[[#This Row],[Week '#]] &lt;= 39, 3, 4)))</f>
        <v>QTR4</v>
      </c>
      <c r="F1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88" s="4">
        <f>IF(WEEKNUM(EarningsPerDay[[#This Row],[Date]], 2) = 53, 1, WEEKNUM(EarningsPerDay[[#This Row],[Date]],2))</f>
        <v>40</v>
      </c>
      <c r="H188" s="40" t="str">
        <f t="shared" si="28"/>
        <v>Friday</v>
      </c>
      <c r="I18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88" s="40" t="str" cm="1">
        <f t="array" ref="J188">IFERROR(VLOOKUP(MODE(IF(Combined[Date]=EarningsPerDay[[#This Row],[Date]],Combined[Area '#])),KPIs!$B$4:$C$7,2,FALSE),VLOOKUP(EarningsPerDay[[#This Row],[Date]],Combined[[Date]:[Primary Area]],8,FALSE))</f>
        <v>Brunswick/Bath/Freeport</v>
      </c>
      <c r="K188" s="40" t="str">
        <f>_xlfn.XLOOKUP(EarningsPerDay[[#This Row],[Date]],Mileage[Date],Mileage[Weather])</f>
        <v>Clear</v>
      </c>
      <c r="L188" s="4">
        <f>_xlfn.XLOOKUP(EarningsPerDay[[#This Row],[Date]],Mileage[Date],Mileage[Hi Temp])</f>
        <v>63.1</v>
      </c>
      <c r="M188" s="12">
        <f>_xlfn.XLOOKUP(EarningsPerDay[[#This Row],[Date]],Mileage[Date],Mileage[Total Time])</f>
        <v>5.8</v>
      </c>
      <c r="N188" s="4">
        <f>_xlfn.XLOOKUP(EarningsPerDay[[#This Row],[Date]],Mileage[Date],Mileage[Mileage])</f>
        <v>36.5</v>
      </c>
      <c r="O188" s="4">
        <f>SUMIF(Combined[Date],EarningsPerDay[[#This Row],[Date]],Combined[Trips])</f>
        <v>7</v>
      </c>
      <c r="P188">
        <f>COUNTIF(Combined[Date],EarningsPerDay[[#This Row],[Date]])</f>
        <v>2</v>
      </c>
      <c r="Q1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8" s="11">
        <f>SUMIF(Combined[Date],EarningsPerDay[[#This Row],[Date]],Combined[Earnings])</f>
        <v>85.460000000000008</v>
      </c>
      <c r="S188" s="11">
        <f ca="1">EarningsPerDay[[#This Row],[Gross Earnings]]-(EarningsPerDay[[#This Row],[Miles]]*CpM!$D$11)</f>
        <v>77.321482119067653</v>
      </c>
      <c r="T188" s="11">
        <f t="shared" si="25"/>
        <v>14.734482758620691</v>
      </c>
      <c r="U188" s="11">
        <f t="shared" ca="1" si="26"/>
        <v>13.331290020528906</v>
      </c>
      <c r="V188" s="11">
        <f>EarningsPerDay[[#This Row],[Gross Earnings]]/EarningsPerDay[[#This Row],[Deliveries]]</f>
        <v>12.20857142857143</v>
      </c>
      <c r="W188" s="11">
        <f>EarningsPerDay[[#This Row],[Gross Earnings]]/EarningsPerDay[[#This Row],[Miles]]</f>
        <v>2.341369863013699</v>
      </c>
      <c r="X188" s="71">
        <f>EarningsPerDay[[#This Row],[Deliveries]]/EarningsPerDay[[#This Row],[Hours]]</f>
        <v>1.2068965517241379</v>
      </c>
      <c r="Y188" s="71">
        <f>EarningsPerDay[[#This Row],[Miles]]/EarningsPerDay[[#This Row],[Deliveries]]</f>
        <v>5.2142857142857144</v>
      </c>
      <c r="Z188" s="81">
        <f>(EarningsPerDay[[#This Row],[Hours]]/EarningsPerDay[[#This Row],[Deliveries]])/24</f>
        <v>3.4523809523809519E-2</v>
      </c>
      <c r="AA1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-14.919363395225455</v>
      </c>
      <c r="AB188" s="11">
        <f>AVERAGEIFS(EarningsPerDay[Gross $/Hour],EarningsPerDay[Week '#], EarningsPerDay[[#This Row],[Week '#]], EarningsPerDay[DOW], EarningsPerDay[[#This Row],[DOW]])</f>
        <v>23.899665803545115</v>
      </c>
      <c r="AC188" s="11">
        <f>EarningsPerDay[[#This Row],[Gross $/Hour]] - EarningsPerDay[[#This Row],[Weekly Average Earnings]]</f>
        <v>-9.165183044924424</v>
      </c>
      <c r="AD188" s="11">
        <f>(SUMIFS(EarningsPerDay[Gross Earnings], EarningsPerDay[Date],"&gt;="&amp;EarningsPerDay[[#This Row],[Date]]-89, EarningsPerDay[Date], "&lt;="&amp;EarningsPerDay[[#This Row],[Date]]))/90</f>
        <v>53.290333333333344</v>
      </c>
      <c r="AH188" s="108"/>
    </row>
    <row r="189" spans="2:34" x14ac:dyDescent="0.35">
      <c r="B189" s="40">
        <v>44836</v>
      </c>
      <c r="C189" s="40">
        <f t="shared" si="27"/>
        <v>44836</v>
      </c>
      <c r="D189" s="4">
        <f>IF(EarningsPerDay[[#This Row],[Week '#]]&gt;=52,YEAR(EarningsPerDay[[#This Row],[Date]])-1,YEAR(EarningsPerDay[[#This Row],[Date]]))</f>
        <v>2022</v>
      </c>
      <c r="E189" s="4" t="str">
        <f>"QTR"&amp;IF(EarningsPerDay[[#This Row],[Week '#]] &lt;= 13, 1, IF(EarningsPerDay[[#This Row],[Week '#]] &lt;= 26, 2, IF(EarningsPerDay[[#This Row],[Week '#]] &lt;= 39, 3, 4)))</f>
        <v>QTR4</v>
      </c>
      <c r="F1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189" s="4">
        <f>IF(WEEKNUM(EarningsPerDay[[#This Row],[Date]], 2) = 53, 1, WEEKNUM(EarningsPerDay[[#This Row],[Date]],2))</f>
        <v>40</v>
      </c>
      <c r="H189" s="40" t="str">
        <f t="shared" si="28"/>
        <v>Sunday</v>
      </c>
      <c r="I18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189" s="40" t="str" cm="1">
        <f t="array" ref="J189">IFERROR(VLOOKUP(MODE(IF(Combined[Date]=EarningsPerDay[[#This Row],[Date]],Combined[Area '#])),KPIs!$B$4:$C$7,2,FALSE),VLOOKUP(EarningsPerDay[[#This Row],[Date]],Combined[[Date]:[Primary Area]],8,FALSE))</f>
        <v>Brunswick/Bath/Freeport</v>
      </c>
      <c r="K189" s="40" t="str">
        <f>_xlfn.XLOOKUP(EarningsPerDay[[#This Row],[Date]],Mileage[Date],Mileage[Weather])</f>
        <v>Clear</v>
      </c>
      <c r="L189" s="4">
        <f>_xlfn.XLOOKUP(EarningsPerDay[[#This Row],[Date]],Mileage[Date],Mileage[Hi Temp])</f>
        <v>57.3</v>
      </c>
      <c r="M189" s="12">
        <f>_xlfn.XLOOKUP(EarningsPerDay[[#This Row],[Date]],Mileage[Date],Mileage[Total Time])</f>
        <v>5.2</v>
      </c>
      <c r="N189" s="4">
        <f>_xlfn.XLOOKUP(EarningsPerDay[[#This Row],[Date]],Mileage[Date],Mileage[Mileage])</f>
        <v>59.7</v>
      </c>
      <c r="O189" s="4">
        <f>SUMIF(Combined[Date],EarningsPerDay[[#This Row],[Date]],Combined[Trips])</f>
        <v>4</v>
      </c>
      <c r="P189">
        <f>COUNTIF(Combined[Date],EarningsPerDay[[#This Row],[Date]])</f>
        <v>2</v>
      </c>
      <c r="Q1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89" s="11">
        <f>SUMIF(Combined[Date],EarningsPerDay[[#This Row],[Date]],Combined[Earnings])</f>
        <v>45.83</v>
      </c>
      <c r="S189" s="11">
        <f ca="1">EarningsPerDay[[#This Row],[Gross Earnings]]-(EarningsPerDay[[#This Row],[Miles]]*CpM!$D$11)</f>
        <v>32.518506370091451</v>
      </c>
      <c r="T189" s="11">
        <f t="shared" si="25"/>
        <v>8.8134615384615387</v>
      </c>
      <c r="U189" s="11">
        <f t="shared" ca="1" si="26"/>
        <v>6.2535589173252788</v>
      </c>
      <c r="V189" s="11">
        <f>EarningsPerDay[[#This Row],[Gross Earnings]]/EarningsPerDay[[#This Row],[Deliveries]]</f>
        <v>11.4575</v>
      </c>
      <c r="W189" s="11">
        <f>EarningsPerDay[[#This Row],[Gross Earnings]]/EarningsPerDay[[#This Row],[Miles]]</f>
        <v>0.76767169179229477</v>
      </c>
      <c r="X189" s="71">
        <f>EarningsPerDay[[#This Row],[Deliveries]]/EarningsPerDay[[#This Row],[Hours]]</f>
        <v>0.76923076923076916</v>
      </c>
      <c r="Y189" s="71">
        <f>EarningsPerDay[[#This Row],[Miles]]/EarningsPerDay[[#This Row],[Deliveries]]</f>
        <v>14.925000000000001</v>
      </c>
      <c r="Z189" s="81">
        <f>(EarningsPerDay[[#This Row],[Hours]]/EarningsPerDay[[#This Row],[Deliveries]])/24</f>
        <v>5.4166666666666669E-2</v>
      </c>
      <c r="AA1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-13.293945868945869</v>
      </c>
      <c r="AB189" s="11">
        <f>AVERAGEIFS(EarningsPerDay[Gross $/Hour],EarningsPerDay[Week '#], EarningsPerDay[[#This Row],[Week '#]], EarningsPerDay[DOW], EarningsPerDay[[#This Row],[DOW]])</f>
        <v>22.944492803640362</v>
      </c>
      <c r="AC189" s="11">
        <f>EarningsPerDay[[#This Row],[Gross $/Hour]] - EarningsPerDay[[#This Row],[Weekly Average Earnings]]</f>
        <v>-14.131031265178823</v>
      </c>
      <c r="AD189" s="11">
        <f>(SUMIFS(EarningsPerDay[Gross Earnings], EarningsPerDay[Date],"&gt;="&amp;EarningsPerDay[[#This Row],[Date]]-89, EarningsPerDay[Date], "&lt;="&amp;EarningsPerDay[[#This Row],[Date]]))/90</f>
        <v>53.799555555555564</v>
      </c>
      <c r="AH189" s="108"/>
    </row>
    <row r="190" spans="2:34" x14ac:dyDescent="0.35">
      <c r="B190" s="40">
        <v>44837</v>
      </c>
      <c r="C190" s="40">
        <f t="shared" si="27"/>
        <v>44837</v>
      </c>
      <c r="D190" s="4">
        <f>IF(EarningsPerDay[[#This Row],[Week '#]]&gt;=52,YEAR(EarningsPerDay[[#This Row],[Date]])-1,YEAR(EarningsPerDay[[#This Row],[Date]]))</f>
        <v>2022</v>
      </c>
      <c r="E190" s="4" t="str">
        <f>"QTR"&amp;IF(EarningsPerDay[[#This Row],[Week '#]] &lt;= 13, 1, IF(EarningsPerDay[[#This Row],[Week '#]] &lt;= 26, 2, IF(EarningsPerDay[[#This Row],[Week '#]] &lt;= 39, 3, 4)))</f>
        <v>QTR4</v>
      </c>
      <c r="F1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90" s="4">
        <f>IF(WEEKNUM(EarningsPerDay[[#This Row],[Date]], 2) = 53, 1, WEEKNUM(EarningsPerDay[[#This Row],[Date]],2))</f>
        <v>41</v>
      </c>
      <c r="H190" s="40" t="str">
        <f t="shared" si="28"/>
        <v>Monday</v>
      </c>
      <c r="I19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90" s="40" t="str" cm="1">
        <f t="array" ref="J190">IFERROR(VLOOKUP(MODE(IF(Combined[Date]=EarningsPerDay[[#This Row],[Date]],Combined[Area '#])),KPIs!$B$4:$C$7,2,FALSE),VLOOKUP(EarningsPerDay[[#This Row],[Date]],Combined[[Date]:[Primary Area]],8,FALSE))</f>
        <v>Lewiston</v>
      </c>
      <c r="K190" s="40" t="str">
        <f>_xlfn.XLOOKUP(EarningsPerDay[[#This Row],[Date]],Mileage[Date],Mileage[Weather])</f>
        <v>Clear</v>
      </c>
      <c r="L190" s="4">
        <f>_xlfn.XLOOKUP(EarningsPerDay[[#This Row],[Date]],Mileage[Date],Mileage[Hi Temp])</f>
        <v>62.6</v>
      </c>
      <c r="M190" s="12">
        <f>_xlfn.XLOOKUP(EarningsPerDay[[#This Row],[Date]],Mileage[Date],Mileage[Total Time])</f>
        <v>2.2999999999999998</v>
      </c>
      <c r="N190" s="4">
        <f>_xlfn.XLOOKUP(EarningsPerDay[[#This Row],[Date]],Mileage[Date],Mileage[Mileage])</f>
        <v>87.3</v>
      </c>
      <c r="O190" s="4">
        <f>SUMIF(Combined[Date],EarningsPerDay[[#This Row],[Date]],Combined[Trips])</f>
        <v>12</v>
      </c>
      <c r="P190">
        <f>COUNTIF(Combined[Date],EarningsPerDay[[#This Row],[Date]])</f>
        <v>3</v>
      </c>
      <c r="Q19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0" s="11">
        <f>SUMIF(Combined[Date],EarningsPerDay[[#This Row],[Date]],Combined[Earnings])</f>
        <v>82.9</v>
      </c>
      <c r="S190" s="11">
        <f ca="1">EarningsPerDay[[#This Row],[Gross Earnings]]-(EarningsPerDay[[#This Row],[Miles]]*CpM!$D$11)</f>
        <v>63.434449013550832</v>
      </c>
      <c r="T190" s="11">
        <f t="shared" si="25"/>
        <v>36.04347826086957</v>
      </c>
      <c r="U190" s="11">
        <f t="shared" ca="1" si="26"/>
        <v>27.580195223282974</v>
      </c>
      <c r="V190" s="11">
        <f>EarningsPerDay[[#This Row],[Gross Earnings]]/EarningsPerDay[[#This Row],[Deliveries]]</f>
        <v>6.9083333333333341</v>
      </c>
      <c r="W190" s="11">
        <f>EarningsPerDay[[#This Row],[Gross Earnings]]/EarningsPerDay[[#This Row],[Miles]]</f>
        <v>0.94959908361970224</v>
      </c>
      <c r="X190" s="71">
        <f>EarningsPerDay[[#This Row],[Deliveries]]/EarningsPerDay[[#This Row],[Hours]]</f>
        <v>5.2173913043478262</v>
      </c>
      <c r="Y190" s="71">
        <f>EarningsPerDay[[#This Row],[Miles]]/EarningsPerDay[[#This Row],[Deliveries]]</f>
        <v>7.2749999999999995</v>
      </c>
      <c r="Z190" s="81">
        <f>(EarningsPerDay[[#This Row],[Hours]]/EarningsPerDay[[#This Row],[Deliveries]])/24</f>
        <v>7.9861111111111105E-3</v>
      </c>
      <c r="AA1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12.982253771073655</v>
      </c>
      <c r="AB190" s="11">
        <f>AVERAGEIFS(EarningsPerDay[Gross $/Hour],EarningsPerDay[Week '#], EarningsPerDay[[#This Row],[Week '#]], EarningsPerDay[DOW], EarningsPerDay[[#This Row],[DOW]])</f>
        <v>25.660106415887583</v>
      </c>
      <c r="AC190" s="11">
        <f>EarningsPerDay[[#This Row],[Gross $/Hour]] - EarningsPerDay[[#This Row],[Weekly Average Earnings]]</f>
        <v>10.383371844981987</v>
      </c>
      <c r="AD190" s="11">
        <f>(SUMIFS(EarningsPerDay[Gross Earnings], EarningsPerDay[Date],"&gt;="&amp;EarningsPerDay[[#This Row],[Date]]-89, EarningsPerDay[Date], "&lt;="&amp;EarningsPerDay[[#This Row],[Date]]))/90</f>
        <v>54.049222222222234</v>
      </c>
      <c r="AH190" s="108"/>
    </row>
    <row r="191" spans="2:34" x14ac:dyDescent="0.35">
      <c r="B191" s="40">
        <v>44839</v>
      </c>
      <c r="C191" s="40">
        <f t="shared" si="27"/>
        <v>44839</v>
      </c>
      <c r="D191" s="4">
        <f>IF(EarningsPerDay[[#This Row],[Week '#]]&gt;=52,YEAR(EarningsPerDay[[#This Row],[Date]])-1,YEAR(EarningsPerDay[[#This Row],[Date]]))</f>
        <v>2022</v>
      </c>
      <c r="E191" s="4" t="str">
        <f>"QTR"&amp;IF(EarningsPerDay[[#This Row],[Week '#]] &lt;= 13, 1, IF(EarningsPerDay[[#This Row],[Week '#]] &lt;= 26, 2, IF(EarningsPerDay[[#This Row],[Week '#]] &lt;= 39, 3, 4)))</f>
        <v>QTR4</v>
      </c>
      <c r="F1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91" s="4">
        <f>IF(WEEKNUM(EarningsPerDay[[#This Row],[Date]], 2) = 53, 1, WEEKNUM(EarningsPerDay[[#This Row],[Date]],2))</f>
        <v>41</v>
      </c>
      <c r="H191" s="40" t="str">
        <f t="shared" si="28"/>
        <v>Wednesday</v>
      </c>
      <c r="I19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91" s="40" t="str" cm="1">
        <f t="array" ref="J191">IFERROR(VLOOKUP(MODE(IF(Combined[Date]=EarningsPerDay[[#This Row],[Date]],Combined[Area '#])),KPIs!$B$4:$C$7,2,FALSE),VLOOKUP(EarningsPerDay[[#This Row],[Date]],Combined[[Date]:[Primary Area]],8,FALSE))</f>
        <v>Portland</v>
      </c>
      <c r="K191" s="40" t="str">
        <f>_xlfn.XLOOKUP(EarningsPerDay[[#This Row],[Date]],Mileage[Date],Mileage[Weather])</f>
        <v>Rain</v>
      </c>
      <c r="L191" s="4">
        <f>_xlfn.XLOOKUP(EarningsPerDay[[#This Row],[Date]],Mileage[Date],Mileage[Hi Temp])</f>
        <v>73.099999999999994</v>
      </c>
      <c r="M191" s="12">
        <f>_xlfn.XLOOKUP(EarningsPerDay[[#This Row],[Date]],Mileage[Date],Mileage[Total Time])</f>
        <v>7.6</v>
      </c>
      <c r="N191" s="4">
        <f>_xlfn.XLOOKUP(EarningsPerDay[[#This Row],[Date]],Mileage[Date],Mileage[Mileage])</f>
        <v>143.19999999999999</v>
      </c>
      <c r="O191" s="4">
        <f>SUMIF(Combined[Date],EarningsPerDay[[#This Row],[Date]],Combined[Trips])</f>
        <v>13</v>
      </c>
      <c r="P191">
        <f>COUNTIF(Combined[Date],EarningsPerDay[[#This Row],[Date]])</f>
        <v>2</v>
      </c>
      <c r="Q1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1" s="11">
        <f>SUMIF(Combined[Date],EarningsPerDay[[#This Row],[Date]],Combined[Earnings])</f>
        <v>132.1</v>
      </c>
      <c r="S191" s="11">
        <f ca="1">EarningsPerDay[[#This Row],[Gross Earnings]]-(EarningsPerDay[[#This Row],[Miles]]*CpM!$D$11)</f>
        <v>100.17025313562975</v>
      </c>
      <c r="T191" s="11">
        <f t="shared" si="25"/>
        <v>17.381578947368421</v>
      </c>
      <c r="U191" s="11">
        <f t="shared" ca="1" si="26"/>
        <v>13.180296465214441</v>
      </c>
      <c r="V191" s="11">
        <f>EarningsPerDay[[#This Row],[Gross Earnings]]/EarningsPerDay[[#This Row],[Deliveries]]</f>
        <v>10.161538461538461</v>
      </c>
      <c r="W191" s="11">
        <f>EarningsPerDay[[#This Row],[Gross Earnings]]/EarningsPerDay[[#This Row],[Miles]]</f>
        <v>0.92248603351955316</v>
      </c>
      <c r="X191" s="71">
        <f>EarningsPerDay[[#This Row],[Deliveries]]/EarningsPerDay[[#This Row],[Hours]]</f>
        <v>1.7105263157894737</v>
      </c>
      <c r="Y191" s="71">
        <f>EarningsPerDay[[#This Row],[Miles]]/EarningsPerDay[[#This Row],[Deliveries]]</f>
        <v>11.015384615384615</v>
      </c>
      <c r="Z191" s="81">
        <f>(EarningsPerDay[[#This Row],[Hours]]/EarningsPerDay[[#This Row],[Deliveries]])/24</f>
        <v>2.4358974358974356E-2</v>
      </c>
      <c r="AA1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9.5874613003095988</v>
      </c>
      <c r="AB191" s="11">
        <f>AVERAGEIFS(EarningsPerDay[Gross $/Hour],EarningsPerDay[Week '#], EarningsPerDay[[#This Row],[Week '#]], EarningsPerDay[DOW], EarningsPerDay[[#This Row],[DOW]])</f>
        <v>17.381578947368421</v>
      </c>
      <c r="AC191" s="11">
        <f>EarningsPerDay[[#This Row],[Gross $/Hour]] - EarningsPerDay[[#This Row],[Weekly Average Earnings]]</f>
        <v>0</v>
      </c>
      <c r="AD191" s="11">
        <f>(SUMIFS(EarningsPerDay[Gross Earnings], EarningsPerDay[Date],"&gt;="&amp;EarningsPerDay[[#This Row],[Date]]-89, EarningsPerDay[Date], "&lt;="&amp;EarningsPerDay[[#This Row],[Date]]))/90</f>
        <v>53.754444444444459</v>
      </c>
    </row>
    <row r="192" spans="2:34" x14ac:dyDescent="0.35">
      <c r="B192" s="40">
        <v>44840</v>
      </c>
      <c r="C192" s="40">
        <f t="shared" si="27"/>
        <v>44840</v>
      </c>
      <c r="D192" s="4">
        <f>IF(EarningsPerDay[[#This Row],[Week '#]]&gt;=52,YEAR(EarningsPerDay[[#This Row],[Date]])-1,YEAR(EarningsPerDay[[#This Row],[Date]]))</f>
        <v>2022</v>
      </c>
      <c r="E192" s="4" t="str">
        <f>"QTR"&amp;IF(EarningsPerDay[[#This Row],[Week '#]] &lt;= 13, 1, IF(EarningsPerDay[[#This Row],[Week '#]] &lt;= 26, 2, IF(EarningsPerDay[[#This Row],[Week '#]] &lt;= 39, 3, 4)))</f>
        <v>QTR4</v>
      </c>
      <c r="F1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92" s="4">
        <f>IF(WEEKNUM(EarningsPerDay[[#This Row],[Date]], 2) = 53, 1, WEEKNUM(EarningsPerDay[[#This Row],[Date]],2))</f>
        <v>41</v>
      </c>
      <c r="H192" s="40" t="str">
        <f t="shared" si="28"/>
        <v>Thursday</v>
      </c>
      <c r="I19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92" s="40" t="str" cm="1">
        <f t="array" ref="J192">IFERROR(VLOOKUP(MODE(IF(Combined[Date]=EarningsPerDay[[#This Row],[Date]],Combined[Area '#])),KPIs!$B$4:$C$7,2,FALSE),VLOOKUP(EarningsPerDay[[#This Row],[Date]],Combined[[Date]:[Primary Area]],8,FALSE))</f>
        <v>Brunswick/Bath/Freeport</v>
      </c>
      <c r="K192" s="40" t="str">
        <f>_xlfn.XLOOKUP(EarningsPerDay[[#This Row],[Date]],Mileage[Date],Mileage[Weather])</f>
        <v>Rain</v>
      </c>
      <c r="L192" s="4">
        <f>_xlfn.XLOOKUP(EarningsPerDay[[#This Row],[Date]],Mileage[Date],Mileage[Hi Temp])</f>
        <v>69.5</v>
      </c>
      <c r="M192" s="12">
        <f>_xlfn.XLOOKUP(EarningsPerDay[[#This Row],[Date]],Mileage[Date],Mileage[Total Time])</f>
        <v>6.2</v>
      </c>
      <c r="N192" s="4">
        <f>_xlfn.XLOOKUP(EarningsPerDay[[#This Row],[Date]],Mileage[Date],Mileage[Mileage])</f>
        <v>125.4</v>
      </c>
      <c r="O192" s="4">
        <f>SUMIF(Combined[Date],EarningsPerDay[[#This Row],[Date]],Combined[Trips])</f>
        <v>14</v>
      </c>
      <c r="P192">
        <f>COUNTIF(Combined[Date],EarningsPerDay[[#This Row],[Date]])</f>
        <v>3</v>
      </c>
      <c r="Q1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2" s="11">
        <f>SUMIF(Combined[Date],EarningsPerDay[[#This Row],[Date]],Combined[Earnings])</f>
        <v>177.31</v>
      </c>
      <c r="S192" s="11">
        <f ca="1">EarningsPerDay[[#This Row],[Gross Earnings]]-(EarningsPerDay[[#This Row],[Miles]]*CpM!$D$11)</f>
        <v>149.34917418441322</v>
      </c>
      <c r="T192" s="11">
        <f t="shared" si="25"/>
        <v>28.598387096774193</v>
      </c>
      <c r="U192" s="11">
        <f t="shared" ca="1" si="26"/>
        <v>24.08857648135697</v>
      </c>
      <c r="V192" s="11">
        <f>EarningsPerDay[[#This Row],[Gross Earnings]]/EarningsPerDay[[#This Row],[Deliveries]]</f>
        <v>12.665000000000001</v>
      </c>
      <c r="W192" s="11">
        <f>EarningsPerDay[[#This Row],[Gross Earnings]]/EarningsPerDay[[#This Row],[Miles]]</f>
        <v>1.4139553429027112</v>
      </c>
      <c r="X192" s="71">
        <f>EarningsPerDay[[#This Row],[Deliveries]]/EarningsPerDay[[#This Row],[Hours]]</f>
        <v>2.258064516129032</v>
      </c>
      <c r="Y192" s="71">
        <f>EarningsPerDay[[#This Row],[Miles]]/EarningsPerDay[[#This Row],[Deliveries]]</f>
        <v>8.9571428571428573</v>
      </c>
      <c r="Z192" s="81">
        <f>(EarningsPerDay[[#This Row],[Hours]]/EarningsPerDay[[#This Row],[Deliveries]])/24</f>
        <v>1.8452380952380953E-2</v>
      </c>
      <c r="AA1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1.75</v>
      </c>
      <c r="AB192" s="11">
        <f>AVERAGEIFS(EarningsPerDay[Gross $/Hour],EarningsPerDay[Week '#], EarningsPerDay[[#This Row],[Week '#]], EarningsPerDay[DOW], EarningsPerDay[[#This Row],[DOW]])</f>
        <v>25.855566097406705</v>
      </c>
      <c r="AC192" s="11">
        <f>EarningsPerDay[[#This Row],[Gross $/Hour]] - EarningsPerDay[[#This Row],[Weekly Average Earnings]]</f>
        <v>2.7428209993674884</v>
      </c>
      <c r="AD192" s="11">
        <f>(SUMIFS(EarningsPerDay[Gross Earnings], EarningsPerDay[Date],"&gt;="&amp;EarningsPerDay[[#This Row],[Date]]-89, EarningsPerDay[Date], "&lt;="&amp;EarningsPerDay[[#This Row],[Date]]))/90</f>
        <v>54.107111111111116</v>
      </c>
    </row>
    <row r="193" spans="2:30" x14ac:dyDescent="0.35">
      <c r="B193" s="40">
        <v>44841</v>
      </c>
      <c r="C193" s="40">
        <f t="shared" si="27"/>
        <v>44841</v>
      </c>
      <c r="D193" s="4">
        <f>IF(EarningsPerDay[[#This Row],[Week '#]]&gt;=52,YEAR(EarningsPerDay[[#This Row],[Date]])-1,YEAR(EarningsPerDay[[#This Row],[Date]]))</f>
        <v>2022</v>
      </c>
      <c r="E193" s="4" t="str">
        <f>"QTR"&amp;IF(EarningsPerDay[[#This Row],[Week '#]] &lt;= 13, 1, IF(EarningsPerDay[[#This Row],[Week '#]] &lt;= 26, 2, IF(EarningsPerDay[[#This Row],[Week '#]] &lt;= 39, 3, 4)))</f>
        <v>QTR4</v>
      </c>
      <c r="F1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93" s="4">
        <f>IF(WEEKNUM(EarningsPerDay[[#This Row],[Date]], 2) = 53, 1, WEEKNUM(EarningsPerDay[[#This Row],[Date]],2))</f>
        <v>41</v>
      </c>
      <c r="H193" s="40" t="str">
        <f t="shared" si="28"/>
        <v>Friday</v>
      </c>
      <c r="I193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193" s="40" t="str" cm="1">
        <f t="array" ref="J193">IFERROR(VLOOKUP(MODE(IF(Combined[Date]=EarningsPerDay[[#This Row],[Date]],Combined[Area '#])),KPIs!$B$4:$C$7,2,FALSE),VLOOKUP(EarningsPerDay[[#This Row],[Date]],Combined[[Date]:[Primary Area]],8,FALSE))</f>
        <v>Brunswick/Bath/Freeport</v>
      </c>
      <c r="K193" s="40" t="str">
        <f>_xlfn.XLOOKUP(EarningsPerDay[[#This Row],[Date]],Mileage[Date],Mileage[Weather])</f>
        <v>Clear</v>
      </c>
      <c r="L193" s="4">
        <f>_xlfn.XLOOKUP(EarningsPerDay[[#This Row],[Date]],Mileage[Date],Mileage[Hi Temp])</f>
        <v>57.2</v>
      </c>
      <c r="M193" s="12">
        <f>_xlfn.XLOOKUP(EarningsPerDay[[#This Row],[Date]],Mileage[Date],Mileage[Total Time])</f>
        <v>7.6</v>
      </c>
      <c r="N193" s="4">
        <f>_xlfn.XLOOKUP(EarningsPerDay[[#This Row],[Date]],Mileage[Date],Mileage[Mileage])</f>
        <v>170.7</v>
      </c>
      <c r="O193" s="4">
        <f>SUMIF(Combined[Date],EarningsPerDay[[#This Row],[Date]],Combined[Trips])</f>
        <v>22</v>
      </c>
      <c r="P193">
        <f>COUNTIF(Combined[Date],EarningsPerDay[[#This Row],[Date]])</f>
        <v>3</v>
      </c>
      <c r="Q1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3" s="11">
        <f>SUMIF(Combined[Date],EarningsPerDay[[#This Row],[Date]],Combined[Earnings])</f>
        <v>208.98999999999998</v>
      </c>
      <c r="S193" s="11">
        <f ca="1">EarningsPerDay[[#This Row],[Gross Earnings]]-(EarningsPerDay[[#This Row],[Miles]]*CpM!$D$11)</f>
        <v>170.92849308835193</v>
      </c>
      <c r="T193" s="11">
        <f t="shared" si="25"/>
        <v>27.498684210526314</v>
      </c>
      <c r="U193" s="11">
        <f t="shared" ca="1" si="26"/>
        <v>22.49059119583578</v>
      </c>
      <c r="V193" s="11">
        <f>EarningsPerDay[[#This Row],[Gross Earnings]]/EarningsPerDay[[#This Row],[Deliveries]]</f>
        <v>9.4995454545454532</v>
      </c>
      <c r="W193" s="11">
        <f>EarningsPerDay[[#This Row],[Gross Earnings]]/EarningsPerDay[[#This Row],[Miles]]</f>
        <v>1.2243116578793205</v>
      </c>
      <c r="X193" s="71">
        <f>EarningsPerDay[[#This Row],[Deliveries]]/EarningsPerDay[[#This Row],[Hours]]</f>
        <v>2.8947368421052633</v>
      </c>
      <c r="Y193" s="71">
        <f>EarningsPerDay[[#This Row],[Miles]]/EarningsPerDay[[#This Row],[Deliveries]]</f>
        <v>7.7590909090909088</v>
      </c>
      <c r="Z193" s="81">
        <f>(EarningsPerDay[[#This Row],[Hours]]/EarningsPerDay[[#This Row],[Deliveries]])/24</f>
        <v>1.4393939393939395E-2</v>
      </c>
      <c r="AA1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5.3045197542928939</v>
      </c>
      <c r="AB193" s="11">
        <f>AVERAGEIFS(EarningsPerDay[Gross $/Hour],EarningsPerDay[Week '#], EarningsPerDay[[#This Row],[Week '#]], EarningsPerDay[DOW], EarningsPerDay[[#This Row],[DOW]])</f>
        <v>28.332958593802513</v>
      </c>
      <c r="AC193" s="11">
        <f>EarningsPerDay[[#This Row],[Gross $/Hour]] - EarningsPerDay[[#This Row],[Weekly Average Earnings]]</f>
        <v>-0.83427438327619896</v>
      </c>
      <c r="AD193" s="11">
        <f>(SUMIFS(EarningsPerDay[Gross Earnings], EarningsPerDay[Date],"&gt;="&amp;EarningsPerDay[[#This Row],[Date]]-89, EarningsPerDay[Date], "&lt;="&amp;EarningsPerDay[[#This Row],[Date]]))/90</f>
        <v>56.429222222222222</v>
      </c>
    </row>
    <row r="194" spans="2:30" x14ac:dyDescent="0.35">
      <c r="B194" s="40">
        <v>44842</v>
      </c>
      <c r="C194" s="40">
        <f t="shared" si="27"/>
        <v>44842</v>
      </c>
      <c r="D194" s="4">
        <f>IF(EarningsPerDay[[#This Row],[Week '#]]&gt;=52,YEAR(EarningsPerDay[[#This Row],[Date]])-1,YEAR(EarningsPerDay[[#This Row],[Date]]))</f>
        <v>2022</v>
      </c>
      <c r="E194" s="4" t="str">
        <f>"QTR"&amp;IF(EarningsPerDay[[#This Row],[Week '#]] &lt;= 13, 1, IF(EarningsPerDay[[#This Row],[Week '#]] &lt;= 26, 2, IF(EarningsPerDay[[#This Row],[Week '#]] &lt;= 39, 3, 4)))</f>
        <v>QTR4</v>
      </c>
      <c r="F1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194" s="4">
        <f>IF(WEEKNUM(EarningsPerDay[[#This Row],[Date]], 2) = 53, 1, WEEKNUM(EarningsPerDay[[#This Row],[Date]],2))</f>
        <v>41</v>
      </c>
      <c r="H194" s="40" t="str">
        <f t="shared" si="28"/>
        <v>Saturday</v>
      </c>
      <c r="I194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194" s="40" t="str" cm="1">
        <f t="array" ref="J194">IFERROR(VLOOKUP(MODE(IF(Combined[Date]=EarningsPerDay[[#This Row],[Date]],Combined[Area '#])),KPIs!$B$4:$C$7,2,FALSE),VLOOKUP(EarningsPerDay[[#This Row],[Date]],Combined[[Date]:[Primary Area]],8,FALSE))</f>
        <v>Lewiston</v>
      </c>
      <c r="K194" s="40" t="str">
        <f>_xlfn.XLOOKUP(EarningsPerDay[[#This Row],[Date]],Mileage[Date],Mileage[Weather])</f>
        <v>Rain</v>
      </c>
      <c r="L194" s="4">
        <f>_xlfn.XLOOKUP(EarningsPerDay[[#This Row],[Date]],Mileage[Date],Mileage[Hi Temp])</f>
        <v>57.2</v>
      </c>
      <c r="M194" s="12">
        <f>_xlfn.XLOOKUP(EarningsPerDay[[#This Row],[Date]],Mileage[Date],Mileage[Total Time])</f>
        <v>5.9</v>
      </c>
      <c r="N194" s="4">
        <f>_xlfn.XLOOKUP(EarningsPerDay[[#This Row],[Date]],Mileage[Date],Mileage[Mileage])</f>
        <v>167.9</v>
      </c>
      <c r="O194" s="4">
        <f>SUMIF(Combined[Date],EarningsPerDay[[#This Row],[Date]],Combined[Trips])</f>
        <v>21</v>
      </c>
      <c r="P194">
        <f>COUNTIF(Combined[Date],EarningsPerDay[[#This Row],[Date]])</f>
        <v>5</v>
      </c>
      <c r="Q1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4" s="11">
        <f>SUMIF(Combined[Date],EarningsPerDay[[#This Row],[Date]],Combined[Earnings])</f>
        <v>206.45999999999998</v>
      </c>
      <c r="S194" s="11">
        <f ca="1">EarningsPerDay[[#This Row],[Gross Earnings]]-(EarningsPerDay[[#This Row],[Miles]]*CpM!$D$11)</f>
        <v>169.02281774771112</v>
      </c>
      <c r="T194" s="11">
        <f t="shared" si="25"/>
        <v>34.993220338983043</v>
      </c>
      <c r="U194" s="11">
        <f t="shared" ca="1" si="26"/>
        <v>28.647935211476458</v>
      </c>
      <c r="V194" s="11">
        <f>EarningsPerDay[[#This Row],[Gross Earnings]]/EarningsPerDay[[#This Row],[Deliveries]]</f>
        <v>9.831428571428571</v>
      </c>
      <c r="W194" s="11">
        <f>EarningsPerDay[[#This Row],[Gross Earnings]]/EarningsPerDay[[#This Row],[Miles]]</f>
        <v>1.2296605122096484</v>
      </c>
      <c r="X194" s="71">
        <f>EarningsPerDay[[#This Row],[Deliveries]]/EarningsPerDay[[#This Row],[Hours]]</f>
        <v>3.5593220338983049</v>
      </c>
      <c r="Y194" s="71">
        <f>EarningsPerDay[[#This Row],[Miles]]/EarningsPerDay[[#This Row],[Deliveries]]</f>
        <v>7.9952380952380953</v>
      </c>
      <c r="Z194" s="81">
        <f>(EarningsPerDay[[#This Row],[Hours]]/EarningsPerDay[[#This Row],[Deliveries]])/24</f>
        <v>1.1706349206349206E-2</v>
      </c>
      <c r="AA19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194" s="11">
        <f>AVERAGEIFS(EarningsPerDay[Gross $/Hour],EarningsPerDay[Week '#], EarningsPerDay[[#This Row],[Week '#]], EarningsPerDay[DOW], EarningsPerDay[[#This Row],[DOW]])</f>
        <v>32.706034253261159</v>
      </c>
      <c r="AC194" s="11">
        <f>EarningsPerDay[[#This Row],[Gross $/Hour]] - EarningsPerDay[[#This Row],[Weekly Average Earnings]]</f>
        <v>2.2871860857218849</v>
      </c>
      <c r="AD194" s="11">
        <f>(SUMIFS(EarningsPerDay[Gross Earnings], EarningsPerDay[Date],"&gt;="&amp;EarningsPerDay[[#This Row],[Date]]-89, EarningsPerDay[Date], "&lt;="&amp;EarningsPerDay[[#This Row],[Date]]))/90</f>
        <v>58.723222222222226</v>
      </c>
    </row>
    <row r="195" spans="2:30" x14ac:dyDescent="0.35">
      <c r="B195" s="40">
        <v>44845</v>
      </c>
      <c r="C195" s="40">
        <f t="shared" si="27"/>
        <v>44845</v>
      </c>
      <c r="D195" s="4">
        <f>IF(EarningsPerDay[[#This Row],[Week '#]]&gt;=52,YEAR(EarningsPerDay[[#This Row],[Date]])-1,YEAR(EarningsPerDay[[#This Row],[Date]]))</f>
        <v>2022</v>
      </c>
      <c r="E195" s="4" t="str">
        <f>"QTR"&amp;IF(EarningsPerDay[[#This Row],[Week '#]] &lt;= 13, 1, IF(EarningsPerDay[[#This Row],[Week '#]] &lt;= 26, 2, IF(EarningsPerDay[[#This Row],[Week '#]] &lt;= 39, 3, 4)))</f>
        <v>QTR4</v>
      </c>
      <c r="F1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95" s="4">
        <f>IF(WEEKNUM(EarningsPerDay[[#This Row],[Date]], 2) = 53, 1, WEEKNUM(EarningsPerDay[[#This Row],[Date]],2))</f>
        <v>42</v>
      </c>
      <c r="H195" s="40" t="str">
        <f t="shared" si="28"/>
        <v>Tuesday</v>
      </c>
      <c r="I195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195" s="40" t="str" cm="1">
        <f t="array" ref="J195">IFERROR(VLOOKUP(MODE(IF(Combined[Date]=EarningsPerDay[[#This Row],[Date]],Combined[Area '#])),KPIs!$B$4:$C$7,2,FALSE),VLOOKUP(EarningsPerDay[[#This Row],[Date]],Combined[[Date]:[Primary Area]],8,FALSE))</f>
        <v>Lewiston</v>
      </c>
      <c r="K195" s="40" t="str">
        <f>_xlfn.XLOOKUP(EarningsPerDay[[#This Row],[Date]],Mileage[Date],Mileage[Weather])</f>
        <v>Rain</v>
      </c>
      <c r="L195" s="4">
        <f>_xlfn.XLOOKUP(EarningsPerDay[[#This Row],[Date]],Mileage[Date],Mileage[Hi Temp])</f>
        <v>69.5</v>
      </c>
      <c r="M195" s="12">
        <f>_xlfn.XLOOKUP(EarningsPerDay[[#This Row],[Date]],Mileage[Date],Mileage[Total Time])</f>
        <v>10.099999999999998</v>
      </c>
      <c r="N195" s="4">
        <f>_xlfn.XLOOKUP(EarningsPerDay[[#This Row],[Date]],Mileage[Date],Mileage[Mileage])</f>
        <v>70.3</v>
      </c>
      <c r="O195" s="4">
        <f>SUMIF(Combined[Date],EarningsPerDay[[#This Row],[Date]],Combined[Trips])</f>
        <v>10</v>
      </c>
      <c r="P195">
        <f>COUNTIF(Combined[Date],EarningsPerDay[[#This Row],[Date]])</f>
        <v>2</v>
      </c>
      <c r="Q19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5" s="11">
        <f>SUMIF(Combined[Date],EarningsPerDay[[#This Row],[Date]],Combined[Earnings])</f>
        <v>73.02</v>
      </c>
      <c r="S195" s="11">
        <f ca="1">EarningsPerDay[[#This Row],[Gross Earnings]]-(EarningsPerDay[[#This Row],[Miles]]*CpM!$D$11)</f>
        <v>57.344991588231643</v>
      </c>
      <c r="T195" s="11">
        <f t="shared" ref="T195:T258" si="29">R195/M195</f>
        <v>7.2297029702970308</v>
      </c>
      <c r="U195" s="11">
        <f t="shared" ref="U195:U258" ca="1" si="30">S195/M195</f>
        <v>5.6777219394288769</v>
      </c>
      <c r="V195" s="11">
        <f>EarningsPerDay[[#This Row],[Gross Earnings]]/EarningsPerDay[[#This Row],[Deliveries]]</f>
        <v>7.3019999999999996</v>
      </c>
      <c r="W195" s="11">
        <f>EarningsPerDay[[#This Row],[Gross Earnings]]/EarningsPerDay[[#This Row],[Miles]]</f>
        <v>1.0386913229018493</v>
      </c>
      <c r="X195" s="71">
        <f>EarningsPerDay[[#This Row],[Deliveries]]/EarningsPerDay[[#This Row],[Hours]]</f>
        <v>0.99009900990099031</v>
      </c>
      <c r="Y195" s="71">
        <f>EarningsPerDay[[#This Row],[Miles]]/EarningsPerDay[[#This Row],[Deliveries]]</f>
        <v>7.0299999999999994</v>
      </c>
      <c r="Z195" s="81">
        <f>(EarningsPerDay[[#This Row],[Hours]]/EarningsPerDay[[#This Row],[Deliveries]])/24</f>
        <v>4.2083333333333327E-2</v>
      </c>
      <c r="AA1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-21.211206120612058</v>
      </c>
      <c r="AB195" s="11">
        <f>AVERAGEIFS(EarningsPerDay[Gross $/Hour],EarningsPerDay[Week '#], EarningsPerDay[[#This Row],[Week '#]], EarningsPerDay[DOW], EarningsPerDay[[#This Row],[DOW]])</f>
        <v>15.221578115729622</v>
      </c>
      <c r="AC195" s="11">
        <f>EarningsPerDay[[#This Row],[Gross $/Hour]] - EarningsPerDay[[#This Row],[Weekly Average Earnings]]</f>
        <v>-7.9918751454325916</v>
      </c>
      <c r="AD195" s="11">
        <f>(SUMIFS(EarningsPerDay[Gross Earnings], EarningsPerDay[Date],"&gt;="&amp;EarningsPerDay[[#This Row],[Date]]-89, EarningsPerDay[Date], "&lt;="&amp;EarningsPerDay[[#This Row],[Date]]))/90</f>
        <v>56.737111111111126</v>
      </c>
    </row>
    <row r="196" spans="2:30" x14ac:dyDescent="0.35">
      <c r="B196" s="40">
        <v>44846</v>
      </c>
      <c r="C196" s="40">
        <f t="shared" si="27"/>
        <v>44846</v>
      </c>
      <c r="D196" s="4">
        <f>IF(EarningsPerDay[[#This Row],[Week '#]]&gt;=52,YEAR(EarningsPerDay[[#This Row],[Date]])-1,YEAR(EarningsPerDay[[#This Row],[Date]]))</f>
        <v>2022</v>
      </c>
      <c r="E196" s="4" t="str">
        <f>"QTR"&amp;IF(EarningsPerDay[[#This Row],[Week '#]] &lt;= 13, 1, IF(EarningsPerDay[[#This Row],[Week '#]] &lt;= 26, 2, IF(EarningsPerDay[[#This Row],[Week '#]] &lt;= 39, 3, 4)))</f>
        <v>QTR4</v>
      </c>
      <c r="F1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96" s="4">
        <f>IF(WEEKNUM(EarningsPerDay[[#This Row],[Date]], 2) = 53, 1, WEEKNUM(EarningsPerDay[[#This Row],[Date]],2))</f>
        <v>42</v>
      </c>
      <c r="H196" s="40" t="str">
        <f t="shared" si="28"/>
        <v>Wednesday</v>
      </c>
      <c r="I19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96" s="40" t="str" cm="1">
        <f t="array" ref="J196">IFERROR(VLOOKUP(MODE(IF(Combined[Date]=EarningsPerDay[[#This Row],[Date]],Combined[Area '#])),KPIs!$B$4:$C$7,2,FALSE),VLOOKUP(EarningsPerDay[[#This Row],[Date]],Combined[[Date]:[Primary Area]],8,FALSE))</f>
        <v>Brunswick/Bath/Freeport</v>
      </c>
      <c r="K196" s="40" t="str">
        <f>_xlfn.XLOOKUP(EarningsPerDay[[#This Row],[Date]],Mileage[Date],Mileage[Weather])</f>
        <v>Rain</v>
      </c>
      <c r="L196" s="4">
        <f>_xlfn.XLOOKUP(EarningsPerDay[[#This Row],[Date]],Mileage[Date],Mileage[Hi Temp])</f>
        <v>62.6</v>
      </c>
      <c r="M196" s="12">
        <f>_xlfn.XLOOKUP(EarningsPerDay[[#This Row],[Date]],Mileage[Date],Mileage[Total Time])</f>
        <v>9.6000000000000014</v>
      </c>
      <c r="N196" s="4">
        <f>_xlfn.XLOOKUP(EarningsPerDay[[#This Row],[Date]],Mileage[Date],Mileage[Mileage])</f>
        <v>72.400000000000006</v>
      </c>
      <c r="O196" s="4">
        <f>SUMIF(Combined[Date],EarningsPerDay[[#This Row],[Date]],Combined[Trips])</f>
        <v>9</v>
      </c>
      <c r="P196">
        <f>COUNTIF(Combined[Date],EarningsPerDay[[#This Row],[Date]])</f>
        <v>4</v>
      </c>
      <c r="Q1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6" s="11">
        <f>SUMIF(Combined[Date],EarningsPerDay[[#This Row],[Date]],Combined[Earnings])</f>
        <v>90.95</v>
      </c>
      <c r="S196" s="11">
        <f ca="1">EarningsPerDay[[#This Row],[Gross Earnings]]-(EarningsPerDay[[#This Row],[Miles]]*CpM!$D$11)</f>
        <v>74.806748093712258</v>
      </c>
      <c r="T196" s="11">
        <f t="shared" si="29"/>
        <v>9.4739583333333321</v>
      </c>
      <c r="U196" s="11">
        <f t="shared" ca="1" si="30"/>
        <v>7.7923695930950254</v>
      </c>
      <c r="V196" s="11">
        <f>EarningsPerDay[[#This Row],[Gross Earnings]]/EarningsPerDay[[#This Row],[Deliveries]]</f>
        <v>10.105555555555556</v>
      </c>
      <c r="W196" s="11">
        <f>EarningsPerDay[[#This Row],[Gross Earnings]]/EarningsPerDay[[#This Row],[Miles]]</f>
        <v>1.2562154696132597</v>
      </c>
      <c r="X196" s="71">
        <f>EarningsPerDay[[#This Row],[Deliveries]]/EarningsPerDay[[#This Row],[Hours]]</f>
        <v>0.93749999999999989</v>
      </c>
      <c r="Y196" s="71">
        <f>EarningsPerDay[[#This Row],[Miles]]/EarningsPerDay[[#This Row],[Deliveries]]</f>
        <v>8.0444444444444443</v>
      </c>
      <c r="Z196" s="81">
        <f>(EarningsPerDay[[#This Row],[Hours]]/EarningsPerDay[[#This Row],[Deliveries]])/24</f>
        <v>4.4444444444444453E-2</v>
      </c>
      <c r="AA1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-13.254613095238096</v>
      </c>
      <c r="AB196" s="11">
        <f>AVERAGEIFS(EarningsPerDay[Gross $/Hour],EarningsPerDay[Week '#], EarningsPerDay[[#This Row],[Week '#]], EarningsPerDay[DOW], EarningsPerDay[[#This Row],[DOW]])</f>
        <v>13.571307524875621</v>
      </c>
      <c r="AC196" s="11">
        <f>EarningsPerDay[[#This Row],[Gross $/Hour]] - EarningsPerDay[[#This Row],[Weekly Average Earnings]]</f>
        <v>-4.097349191542289</v>
      </c>
      <c r="AD196" s="11">
        <f>(SUMIFS(EarningsPerDay[Gross Earnings], EarningsPerDay[Date],"&gt;="&amp;EarningsPerDay[[#This Row],[Date]]-89, EarningsPerDay[Date], "&lt;="&amp;EarningsPerDay[[#This Row],[Date]]))/90</f>
        <v>57.747666666666674</v>
      </c>
    </row>
    <row r="197" spans="2:30" x14ac:dyDescent="0.35">
      <c r="B197" s="40">
        <v>44848</v>
      </c>
      <c r="C197" s="40">
        <f t="shared" si="27"/>
        <v>44848</v>
      </c>
      <c r="D197" s="4">
        <f>IF(EarningsPerDay[[#This Row],[Week '#]]&gt;=52,YEAR(EarningsPerDay[[#This Row],[Date]])-1,YEAR(EarningsPerDay[[#This Row],[Date]]))</f>
        <v>2022</v>
      </c>
      <c r="E197" s="4" t="str">
        <f>"QTR"&amp;IF(EarningsPerDay[[#This Row],[Week '#]] &lt;= 13, 1, IF(EarningsPerDay[[#This Row],[Week '#]] &lt;= 26, 2, IF(EarningsPerDay[[#This Row],[Week '#]] &lt;= 39, 3, 4)))</f>
        <v>QTR4</v>
      </c>
      <c r="F1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197" s="4">
        <f>IF(WEEKNUM(EarningsPerDay[[#This Row],[Date]], 2) = 53, 1, WEEKNUM(EarningsPerDay[[#This Row],[Date]],2))</f>
        <v>42</v>
      </c>
      <c r="H197" s="40" t="str">
        <f t="shared" si="28"/>
        <v>Friday</v>
      </c>
      <c r="I19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197" s="40" t="str" cm="1">
        <f t="array" ref="J197">IFERROR(VLOOKUP(MODE(IF(Combined[Date]=EarningsPerDay[[#This Row],[Date]],Combined[Area '#])),KPIs!$B$4:$C$7,2,FALSE),VLOOKUP(EarningsPerDay[[#This Row],[Date]],Combined[[Date]:[Primary Area]],8,FALSE))</f>
        <v>Brunswick/Bath/Freeport</v>
      </c>
      <c r="K197" s="40" t="str">
        <f>_xlfn.XLOOKUP(EarningsPerDay[[#This Row],[Date]],Mileage[Date],Mileage[Weather])</f>
        <v>Rain</v>
      </c>
      <c r="L197" s="4">
        <f>_xlfn.XLOOKUP(EarningsPerDay[[#This Row],[Date]],Mileage[Date],Mileage[Hi Temp])</f>
        <v>65.7</v>
      </c>
      <c r="M197" s="12">
        <f>_xlfn.XLOOKUP(EarningsPerDay[[#This Row],[Date]],Mileage[Date],Mileage[Total Time])</f>
        <v>6.18</v>
      </c>
      <c r="N197" s="4">
        <f>_xlfn.XLOOKUP(EarningsPerDay[[#This Row],[Date]],Mileage[Date],Mileage[Mileage])</f>
        <v>140.39999999999998</v>
      </c>
      <c r="O197" s="4">
        <f>SUMIF(Combined[Date],EarningsPerDay[[#This Row],[Date]],Combined[Trips])</f>
        <v>12</v>
      </c>
      <c r="P197">
        <f>COUNTIF(Combined[Date],EarningsPerDay[[#This Row],[Date]])</f>
        <v>4</v>
      </c>
      <c r="Q1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7" s="11">
        <f>SUMIF(Combined[Date],EarningsPerDay[[#This Row],[Date]],Combined[Earnings])</f>
        <v>177.53</v>
      </c>
      <c r="S197" s="11">
        <f ca="1">EarningsPerDay[[#This Row],[Gross Earnings]]-(EarningsPerDay[[#This Row],[Miles]]*CpM!$D$11)</f>
        <v>146.22457779498896</v>
      </c>
      <c r="T197" s="11">
        <f t="shared" si="29"/>
        <v>28.726537216828479</v>
      </c>
      <c r="U197" s="11">
        <f t="shared" ca="1" si="30"/>
        <v>23.660934918283004</v>
      </c>
      <c r="V197" s="11">
        <f>EarningsPerDay[[#This Row],[Gross Earnings]]/EarningsPerDay[[#This Row],[Deliveries]]</f>
        <v>14.794166666666667</v>
      </c>
      <c r="W197" s="11">
        <f>EarningsPerDay[[#This Row],[Gross Earnings]]/EarningsPerDay[[#This Row],[Miles]]</f>
        <v>1.2644586894586898</v>
      </c>
      <c r="X197" s="71">
        <f>EarningsPerDay[[#This Row],[Deliveries]]/EarningsPerDay[[#This Row],[Hours]]</f>
        <v>1.941747572815534</v>
      </c>
      <c r="Y197" s="71">
        <f>EarningsPerDay[[#This Row],[Miles]]/EarningsPerDay[[#This Row],[Deliveries]]</f>
        <v>11.699999999999998</v>
      </c>
      <c r="Z197" s="81">
        <f>(EarningsPerDay[[#This Row],[Hours]]/EarningsPerDay[[#This Row],[Deliveries]])/24</f>
        <v>2.1458333333333333E-2</v>
      </c>
      <c r="AA1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4.7641995091640936</v>
      </c>
      <c r="AB197" s="11">
        <f>AVERAGEIFS(EarningsPerDay[Gross $/Hour],EarningsPerDay[Week '#], EarningsPerDay[[#This Row],[Week '#]], EarningsPerDay[DOW], EarningsPerDay[[#This Row],[DOW]])</f>
        <v>24.71711727802343</v>
      </c>
      <c r="AC197" s="11">
        <f>EarningsPerDay[[#This Row],[Gross $/Hour]] - EarningsPerDay[[#This Row],[Weekly Average Earnings]]</f>
        <v>4.0094199388050491</v>
      </c>
      <c r="AD197" s="11">
        <f>(SUMIFS(EarningsPerDay[Gross Earnings], EarningsPerDay[Date],"&gt;="&amp;EarningsPerDay[[#This Row],[Date]]-89, EarningsPerDay[Date], "&lt;="&amp;EarningsPerDay[[#This Row],[Date]]))/90</f>
        <v>57.163666666666671</v>
      </c>
    </row>
    <row r="198" spans="2:30" x14ac:dyDescent="0.35">
      <c r="B198" s="40">
        <v>44869</v>
      </c>
      <c r="C198" s="40">
        <f t="shared" si="27"/>
        <v>44869</v>
      </c>
      <c r="D198" s="4">
        <f>IF(EarningsPerDay[[#This Row],[Week '#]]&gt;=52,YEAR(EarningsPerDay[[#This Row],[Date]])-1,YEAR(EarningsPerDay[[#This Row],[Date]]))</f>
        <v>2022</v>
      </c>
      <c r="E198" s="4" t="str">
        <f>"QTR"&amp;IF(EarningsPerDay[[#This Row],[Week '#]] &lt;= 13, 1, IF(EarningsPerDay[[#This Row],[Week '#]] &lt;= 26, 2, IF(EarningsPerDay[[#This Row],[Week '#]] &lt;= 39, 3, 4)))</f>
        <v>QTR4</v>
      </c>
      <c r="F1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198" s="4">
        <f>IF(WEEKNUM(EarningsPerDay[[#This Row],[Date]], 2) = 53, 1, WEEKNUM(EarningsPerDay[[#This Row],[Date]],2))</f>
        <v>45</v>
      </c>
      <c r="H198" s="40" t="str">
        <f t="shared" si="28"/>
        <v>Friday</v>
      </c>
      <c r="I19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198" s="40" t="str" cm="1">
        <f t="array" ref="J198">IFERROR(VLOOKUP(MODE(IF(Combined[Date]=EarningsPerDay[[#This Row],[Date]],Combined[Area '#])),KPIs!$B$4:$C$7,2,FALSE),VLOOKUP(EarningsPerDay[[#This Row],[Date]],Combined[[Date]:[Primary Area]],8,FALSE))</f>
        <v>Brunswick/Bath/Freeport</v>
      </c>
      <c r="K198" s="40" t="str">
        <f>_xlfn.XLOOKUP(EarningsPerDay[[#This Row],[Date]],Mileage[Date],Mileage[Weather])</f>
        <v>Clear</v>
      </c>
      <c r="L198" s="4">
        <f>_xlfn.XLOOKUP(EarningsPerDay[[#This Row],[Date]],Mileage[Date],Mileage[Hi Temp])</f>
        <v>73.400000000000006</v>
      </c>
      <c r="M198" s="12">
        <f>_xlfn.XLOOKUP(EarningsPerDay[[#This Row],[Date]],Mileage[Date],Mileage[Total Time])</f>
        <v>5.5</v>
      </c>
      <c r="N198" s="4">
        <f>_xlfn.XLOOKUP(EarningsPerDay[[#This Row],[Date]],Mileage[Date],Mileage[Mileage])</f>
        <v>144</v>
      </c>
      <c r="O198" s="4">
        <f>SUMIF(Combined[Date],EarningsPerDay[[#This Row],[Date]],Combined[Trips])</f>
        <v>9</v>
      </c>
      <c r="P198">
        <f>COUNTIF(Combined[Date],EarningsPerDay[[#This Row],[Date]])</f>
        <v>4</v>
      </c>
      <c r="Q1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8" s="11">
        <f>SUMIF(Combined[Date],EarningsPerDay[[#This Row],[Date]],Combined[Earnings])</f>
        <v>95.210000000000008</v>
      </c>
      <c r="S198" s="11">
        <f ca="1">EarningsPerDay[[#This Row],[Gross Earnings]]-(EarningsPerDay[[#This Row],[Miles]]*CpM!$D$11)</f>
        <v>63.101874661527134</v>
      </c>
      <c r="T198" s="11">
        <f t="shared" si="29"/>
        <v>17.310909090909092</v>
      </c>
      <c r="U198" s="11">
        <f t="shared" ca="1" si="30"/>
        <v>11.473068120277661</v>
      </c>
      <c r="V198" s="11">
        <f>EarningsPerDay[[#This Row],[Gross Earnings]]/EarningsPerDay[[#This Row],[Deliveries]]</f>
        <v>10.578888888888891</v>
      </c>
      <c r="W198" s="11">
        <f>EarningsPerDay[[#This Row],[Gross Earnings]]/EarningsPerDay[[#This Row],[Miles]]</f>
        <v>0.66118055555555566</v>
      </c>
      <c r="X198" s="71">
        <f>EarningsPerDay[[#This Row],[Deliveries]]/EarningsPerDay[[#This Row],[Hours]]</f>
        <v>1.6363636363636365</v>
      </c>
      <c r="Y198" s="71">
        <f>EarningsPerDay[[#This Row],[Miles]]/EarningsPerDay[[#This Row],[Deliveries]]</f>
        <v>16</v>
      </c>
      <c r="Z198" s="81">
        <f>(EarningsPerDay[[#This Row],[Hours]]/EarningsPerDay[[#This Row],[Deliveries]])/24</f>
        <v>2.5462962962962965E-2</v>
      </c>
      <c r="AA1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-7.8424784940463148</v>
      </c>
      <c r="AB198" s="11">
        <f>AVERAGEIFS(EarningsPerDay[Gross $/Hour],EarningsPerDay[Week '#], EarningsPerDay[[#This Row],[Week '#]], EarningsPerDay[DOW], EarningsPerDay[[#This Row],[DOW]])</f>
        <v>21.69064414780944</v>
      </c>
      <c r="AC198" s="11">
        <f>EarningsPerDay[[#This Row],[Gross $/Hour]] - EarningsPerDay[[#This Row],[Weekly Average Earnings]]</f>
        <v>-4.3797350569003477</v>
      </c>
      <c r="AD198" s="11">
        <f>(SUMIFS(EarningsPerDay[Gross Earnings], EarningsPerDay[Date],"&gt;="&amp;EarningsPerDay[[#This Row],[Date]]-89, EarningsPerDay[Date], "&lt;="&amp;EarningsPerDay[[#This Row],[Date]]))/90</f>
        <v>55.434000000000005</v>
      </c>
    </row>
    <row r="199" spans="2:30" x14ac:dyDescent="0.35">
      <c r="B199" s="40">
        <v>44872</v>
      </c>
      <c r="C199" s="40">
        <f t="shared" si="27"/>
        <v>44872</v>
      </c>
      <c r="D199" s="4">
        <f>IF(EarningsPerDay[[#This Row],[Week '#]]&gt;=52,YEAR(EarningsPerDay[[#This Row],[Date]])-1,YEAR(EarningsPerDay[[#This Row],[Date]]))</f>
        <v>2022</v>
      </c>
      <c r="E199" s="4" t="str">
        <f>"QTR"&amp;IF(EarningsPerDay[[#This Row],[Week '#]] &lt;= 13, 1, IF(EarningsPerDay[[#This Row],[Week '#]] &lt;= 26, 2, IF(EarningsPerDay[[#This Row],[Week '#]] &lt;= 39, 3, 4)))</f>
        <v>QTR4</v>
      </c>
      <c r="F1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199" s="4">
        <f>IF(WEEKNUM(EarningsPerDay[[#This Row],[Date]], 2) = 53, 1, WEEKNUM(EarningsPerDay[[#This Row],[Date]],2))</f>
        <v>46</v>
      </c>
      <c r="H199" s="40" t="str">
        <f t="shared" si="28"/>
        <v>Monday</v>
      </c>
      <c r="I19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199" s="40" t="str" cm="1">
        <f t="array" ref="J199">IFERROR(VLOOKUP(MODE(IF(Combined[Date]=EarningsPerDay[[#This Row],[Date]],Combined[Area '#])),KPIs!$B$4:$C$7,2,FALSE),VLOOKUP(EarningsPerDay[[#This Row],[Date]],Combined[[Date]:[Primary Area]],8,FALSE))</f>
        <v>Portland</v>
      </c>
      <c r="K199" s="40" t="str">
        <f>_xlfn.XLOOKUP(EarningsPerDay[[#This Row],[Date]],Mileage[Date],Mileage[Weather])</f>
        <v>Clear</v>
      </c>
      <c r="L199" s="4">
        <f>_xlfn.XLOOKUP(EarningsPerDay[[#This Row],[Date]],Mileage[Date],Mileage[Hi Temp])</f>
        <v>44.9</v>
      </c>
      <c r="M199" s="12">
        <f>_xlfn.XLOOKUP(EarningsPerDay[[#This Row],[Date]],Mileage[Date],Mileage[Total Time])</f>
        <v>6.1999999999999993</v>
      </c>
      <c r="N199" s="4">
        <f>_xlfn.XLOOKUP(EarningsPerDay[[#This Row],[Date]],Mileage[Date],Mileage[Mileage])</f>
        <v>112.1</v>
      </c>
      <c r="O199" s="4">
        <f>SUMIF(Combined[Date],EarningsPerDay[[#This Row],[Date]],Combined[Trips])</f>
        <v>11</v>
      </c>
      <c r="P199">
        <f>COUNTIF(Combined[Date],EarningsPerDay[[#This Row],[Date]])</f>
        <v>3</v>
      </c>
      <c r="Q19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199" s="11">
        <f>SUMIF(Combined[Date],EarningsPerDay[[#This Row],[Date]],Combined[Earnings])</f>
        <v>129.17000000000002</v>
      </c>
      <c r="S199" s="11">
        <f ca="1">EarningsPerDay[[#This Row],[Gross Earnings]]-(EarningsPerDay[[#This Row],[Miles]]*CpM!$D$11)</f>
        <v>104.1747163163694</v>
      </c>
      <c r="T199" s="11">
        <f t="shared" si="29"/>
        <v>20.833870967741941</v>
      </c>
      <c r="U199" s="11">
        <f t="shared" ca="1" si="30"/>
        <v>16.80237359941442</v>
      </c>
      <c r="V199" s="11">
        <f>EarningsPerDay[[#This Row],[Gross Earnings]]/EarningsPerDay[[#This Row],[Deliveries]]</f>
        <v>11.742727272727274</v>
      </c>
      <c r="W199" s="11">
        <f>EarningsPerDay[[#This Row],[Gross Earnings]]/EarningsPerDay[[#This Row],[Miles]]</f>
        <v>1.1522747546833187</v>
      </c>
      <c r="X199" s="71">
        <f>EarningsPerDay[[#This Row],[Deliveries]]/EarningsPerDay[[#This Row],[Hours]]</f>
        <v>1.774193548387097</v>
      </c>
      <c r="Y199" s="71">
        <f>EarningsPerDay[[#This Row],[Miles]]/EarningsPerDay[[#This Row],[Deliveries]]</f>
        <v>10.19090909090909</v>
      </c>
      <c r="Z199" s="81">
        <f>(EarningsPerDay[[#This Row],[Hours]]/EarningsPerDay[[#This Row],[Deliveries]])/24</f>
        <v>2.3484848484848483E-2</v>
      </c>
      <c r="AA1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-1.2230898165717861</v>
      </c>
      <c r="AB199" s="11">
        <f>AVERAGEIFS(EarningsPerDay[Gross $/Hour],EarningsPerDay[Week '#], EarningsPerDay[[#This Row],[Week '#]], EarningsPerDay[DOW], EarningsPerDay[[#This Row],[DOW]])</f>
        <v>23.916574509696126</v>
      </c>
      <c r="AC199" s="11">
        <f>EarningsPerDay[[#This Row],[Gross $/Hour]] - EarningsPerDay[[#This Row],[Weekly Average Earnings]]</f>
        <v>-3.0827035419541851</v>
      </c>
      <c r="AD199" s="11">
        <f>(SUMIFS(EarningsPerDay[Gross Earnings], EarningsPerDay[Date],"&gt;="&amp;EarningsPerDay[[#This Row],[Date]]-89, EarningsPerDay[Date], "&lt;="&amp;EarningsPerDay[[#This Row],[Date]]))/90</f>
        <v>54.967555555555556</v>
      </c>
    </row>
    <row r="200" spans="2:30" x14ac:dyDescent="0.35">
      <c r="B200" s="40">
        <v>44874</v>
      </c>
      <c r="C200" s="40">
        <f t="shared" si="27"/>
        <v>44874</v>
      </c>
      <c r="D200" s="4">
        <f>IF(EarningsPerDay[[#This Row],[Week '#]]&gt;=52,YEAR(EarningsPerDay[[#This Row],[Date]])-1,YEAR(EarningsPerDay[[#This Row],[Date]]))</f>
        <v>2022</v>
      </c>
      <c r="E200" s="4" t="str">
        <f>"QTR"&amp;IF(EarningsPerDay[[#This Row],[Week '#]] &lt;= 13, 1, IF(EarningsPerDay[[#This Row],[Week '#]] &lt;= 26, 2, IF(EarningsPerDay[[#This Row],[Week '#]] &lt;= 39, 3, 4)))</f>
        <v>QTR4</v>
      </c>
      <c r="F2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00" s="4">
        <f>IF(WEEKNUM(EarningsPerDay[[#This Row],[Date]], 2) = 53, 1, WEEKNUM(EarningsPerDay[[#This Row],[Date]],2))</f>
        <v>46</v>
      </c>
      <c r="H200" s="40" t="str">
        <f t="shared" si="28"/>
        <v>Wednesday</v>
      </c>
      <c r="I20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00" s="40" t="str" cm="1">
        <f t="array" ref="J200">IFERROR(VLOOKUP(MODE(IF(Combined[Date]=EarningsPerDay[[#This Row],[Date]],Combined[Area '#])),KPIs!$B$4:$C$7,2,FALSE),VLOOKUP(EarningsPerDay[[#This Row],[Date]],Combined[[Date]:[Primary Area]],8,FALSE))</f>
        <v>Lewiston</v>
      </c>
      <c r="K200" s="40" t="str">
        <f>_xlfn.XLOOKUP(EarningsPerDay[[#This Row],[Date]],Mileage[Date],Mileage[Weather])</f>
        <v>Clear</v>
      </c>
      <c r="L200" s="4">
        <f>_xlfn.XLOOKUP(EarningsPerDay[[#This Row],[Date]],Mileage[Date],Mileage[Hi Temp])</f>
        <v>65.099999999999994</v>
      </c>
      <c r="M200" s="12">
        <f>_xlfn.XLOOKUP(EarningsPerDay[[#This Row],[Date]],Mileage[Date],Mileage[Total Time])</f>
        <v>6.2</v>
      </c>
      <c r="N200" s="4">
        <f>_xlfn.XLOOKUP(EarningsPerDay[[#This Row],[Date]],Mileage[Date],Mileage[Mileage])</f>
        <v>26.1</v>
      </c>
      <c r="O200" s="4">
        <f>SUMIF(Combined[Date],EarningsPerDay[[#This Row],[Date]],Combined[Trips])</f>
        <v>5</v>
      </c>
      <c r="P200">
        <f>COUNTIF(Combined[Date],EarningsPerDay[[#This Row],[Date]])</f>
        <v>2</v>
      </c>
      <c r="Q2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0" s="11">
        <f>SUMIF(Combined[Date],EarningsPerDay[[#This Row],[Date]],Combined[Earnings])</f>
        <v>45.09</v>
      </c>
      <c r="S200" s="11">
        <f ca="1">EarningsPerDay[[#This Row],[Gross Earnings]]-(EarningsPerDay[[#This Row],[Miles]]*CpM!$D$11)</f>
        <v>39.270402282401797</v>
      </c>
      <c r="T200" s="11">
        <f t="shared" si="29"/>
        <v>7.2725806451612911</v>
      </c>
      <c r="U200" s="11">
        <f t="shared" ca="1" si="30"/>
        <v>6.3339358520002893</v>
      </c>
      <c r="V200" s="11">
        <f>EarningsPerDay[[#This Row],[Gross Earnings]]/EarningsPerDay[[#This Row],[Deliveries]]</f>
        <v>9.0180000000000007</v>
      </c>
      <c r="W200" s="11">
        <f>EarningsPerDay[[#This Row],[Gross Earnings]]/EarningsPerDay[[#This Row],[Miles]]</f>
        <v>1.7275862068965517</v>
      </c>
      <c r="X200" s="71">
        <f>EarningsPerDay[[#This Row],[Deliveries]]/EarningsPerDay[[#This Row],[Hours]]</f>
        <v>0.80645161290322576</v>
      </c>
      <c r="Y200" s="71">
        <f>EarningsPerDay[[#This Row],[Miles]]/EarningsPerDay[[#This Row],[Deliveries]]</f>
        <v>5.2200000000000006</v>
      </c>
      <c r="Z200" s="81">
        <f>(EarningsPerDay[[#This Row],[Hours]]/EarningsPerDay[[#This Row],[Deliveries]])/24</f>
        <v>5.1666666666666666E-2</v>
      </c>
      <c r="AA20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00" s="11">
        <f>AVERAGEIFS(EarningsPerDay[Gross $/Hour],EarningsPerDay[Week '#], EarningsPerDay[[#This Row],[Week '#]], EarningsPerDay[DOW], EarningsPerDay[[#This Row],[DOW]])</f>
        <v>14.047487233777559</v>
      </c>
      <c r="AC200" s="11">
        <f>EarningsPerDay[[#This Row],[Gross $/Hour]] - EarningsPerDay[[#This Row],[Weekly Average Earnings]]</f>
        <v>-6.7749065886162683</v>
      </c>
      <c r="AD200" s="11">
        <f>(SUMIFS(EarningsPerDay[Gross Earnings], EarningsPerDay[Date],"&gt;="&amp;EarningsPerDay[[#This Row],[Date]]-89, EarningsPerDay[Date], "&lt;="&amp;EarningsPerDay[[#This Row],[Date]]))/90</f>
        <v>54.357444444444432</v>
      </c>
    </row>
    <row r="201" spans="2:30" x14ac:dyDescent="0.35">
      <c r="B201" s="40">
        <v>44875</v>
      </c>
      <c r="C201" s="40">
        <f t="shared" si="27"/>
        <v>44875</v>
      </c>
      <c r="D201" s="4">
        <f>IF(EarningsPerDay[[#This Row],[Week '#]]&gt;=52,YEAR(EarningsPerDay[[#This Row],[Date]])-1,YEAR(EarningsPerDay[[#This Row],[Date]]))</f>
        <v>2022</v>
      </c>
      <c r="E201" s="4" t="str">
        <f>"QTR"&amp;IF(EarningsPerDay[[#This Row],[Week '#]] &lt;= 13, 1, IF(EarningsPerDay[[#This Row],[Week '#]] &lt;= 26, 2, IF(EarningsPerDay[[#This Row],[Week '#]] &lt;= 39, 3, 4)))</f>
        <v>QTR4</v>
      </c>
      <c r="F2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01" s="4">
        <f>IF(WEEKNUM(EarningsPerDay[[#This Row],[Date]], 2) = 53, 1, WEEKNUM(EarningsPerDay[[#This Row],[Date]],2))</f>
        <v>46</v>
      </c>
      <c r="H201" s="40" t="str">
        <f t="shared" si="28"/>
        <v>Thursday</v>
      </c>
      <c r="I20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01" s="40" t="str" cm="1">
        <f t="array" ref="J201">IFERROR(VLOOKUP(MODE(IF(Combined[Date]=EarningsPerDay[[#This Row],[Date]],Combined[Area '#])),KPIs!$B$4:$C$7,2,FALSE),VLOOKUP(EarningsPerDay[[#This Row],[Date]],Combined[[Date]:[Primary Area]],8,FALSE))</f>
        <v>Portland</v>
      </c>
      <c r="K201" s="40" t="str">
        <f>_xlfn.XLOOKUP(EarningsPerDay[[#This Row],[Date]],Mileage[Date],Mileage[Weather])</f>
        <v>Rain</v>
      </c>
      <c r="L201" s="4">
        <f>_xlfn.XLOOKUP(EarningsPerDay[[#This Row],[Date]],Mileage[Date],Mileage[Hi Temp])</f>
        <v>68.3</v>
      </c>
      <c r="M201" s="12">
        <f>_xlfn.XLOOKUP(EarningsPerDay[[#This Row],[Date]],Mileage[Date],Mileage[Total Time])</f>
        <v>5.5</v>
      </c>
      <c r="N201" s="4">
        <f>_xlfn.XLOOKUP(EarningsPerDay[[#This Row],[Date]],Mileage[Date],Mileage[Mileage])</f>
        <v>112.9</v>
      </c>
      <c r="O201" s="4">
        <f>SUMIF(Combined[Date],EarningsPerDay[[#This Row],[Date]],Combined[Trips])</f>
        <v>9</v>
      </c>
      <c r="P201">
        <f>COUNTIF(Combined[Date],EarningsPerDay[[#This Row],[Date]])</f>
        <v>2</v>
      </c>
      <c r="Q2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1" s="11">
        <f>SUMIF(Combined[Date],EarningsPerDay[[#This Row],[Date]],Combined[Earnings])</f>
        <v>81.86</v>
      </c>
      <c r="S201" s="11">
        <f ca="1">EarningsPerDay[[#This Row],[Gross Earnings]]-(EarningsPerDay[[#This Row],[Miles]]*CpM!$D$11)</f>
        <v>56.686337842266752</v>
      </c>
      <c r="T201" s="11">
        <f t="shared" si="29"/>
        <v>14.883636363636363</v>
      </c>
      <c r="U201" s="11">
        <f t="shared" ca="1" si="30"/>
        <v>10.306606880412136</v>
      </c>
      <c r="V201" s="11">
        <f>EarningsPerDay[[#This Row],[Gross Earnings]]/EarningsPerDay[[#This Row],[Deliveries]]</f>
        <v>9.0955555555555563</v>
      </c>
      <c r="W201" s="11">
        <f>EarningsPerDay[[#This Row],[Gross Earnings]]/EarningsPerDay[[#This Row],[Miles]]</f>
        <v>0.72506643046944197</v>
      </c>
      <c r="X201" s="71">
        <f>EarningsPerDay[[#This Row],[Deliveries]]/EarningsPerDay[[#This Row],[Hours]]</f>
        <v>1.6363636363636365</v>
      </c>
      <c r="Y201" s="71">
        <f>EarningsPerDay[[#This Row],[Miles]]/EarningsPerDay[[#This Row],[Deliveries]]</f>
        <v>12.544444444444444</v>
      </c>
      <c r="Z201" s="81">
        <f>(EarningsPerDay[[#This Row],[Hours]]/EarningsPerDay[[#This Row],[Deliveries]])/24</f>
        <v>2.5462962962962965E-2</v>
      </c>
      <c r="AA2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-0.32979647218453323</v>
      </c>
      <c r="AB201" s="11">
        <f>AVERAGEIFS(EarningsPerDay[Gross $/Hour],EarningsPerDay[Week '#], EarningsPerDay[[#This Row],[Week '#]], EarningsPerDay[DOW], EarningsPerDay[[#This Row],[DOW]])</f>
        <v>19.260211523840557</v>
      </c>
      <c r="AC201" s="11">
        <f>EarningsPerDay[[#This Row],[Gross $/Hour]] - EarningsPerDay[[#This Row],[Weekly Average Earnings]]</f>
        <v>-4.3765751602041938</v>
      </c>
      <c r="AD201" s="11">
        <f>(SUMIFS(EarningsPerDay[Gross Earnings], EarningsPerDay[Date],"&gt;="&amp;EarningsPerDay[[#This Row],[Date]]-89, EarningsPerDay[Date], "&lt;="&amp;EarningsPerDay[[#This Row],[Date]]))/90</f>
        <v>55.266999999999989</v>
      </c>
    </row>
    <row r="202" spans="2:30" x14ac:dyDescent="0.35">
      <c r="B202" s="40">
        <v>44876</v>
      </c>
      <c r="C202" s="40">
        <f t="shared" si="27"/>
        <v>44876</v>
      </c>
      <c r="D202" s="4">
        <f>IF(EarningsPerDay[[#This Row],[Week '#]]&gt;=52,YEAR(EarningsPerDay[[#This Row],[Date]])-1,YEAR(EarningsPerDay[[#This Row],[Date]]))</f>
        <v>2022</v>
      </c>
      <c r="E202" s="4" t="str">
        <f>"QTR"&amp;IF(EarningsPerDay[[#This Row],[Week '#]] &lt;= 13, 1, IF(EarningsPerDay[[#This Row],[Week '#]] &lt;= 26, 2, IF(EarningsPerDay[[#This Row],[Week '#]] &lt;= 39, 3, 4)))</f>
        <v>QTR4</v>
      </c>
      <c r="F2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02" s="4">
        <f>IF(WEEKNUM(EarningsPerDay[[#This Row],[Date]], 2) = 53, 1, WEEKNUM(EarningsPerDay[[#This Row],[Date]],2))</f>
        <v>46</v>
      </c>
      <c r="H202" s="40" t="str">
        <f t="shared" si="28"/>
        <v>Friday</v>
      </c>
      <c r="I20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02" s="40" t="str" cm="1">
        <f t="array" ref="J202">IFERROR(VLOOKUP(MODE(IF(Combined[Date]=EarningsPerDay[[#This Row],[Date]],Combined[Area '#])),KPIs!$B$4:$C$7,2,FALSE),VLOOKUP(EarningsPerDay[[#This Row],[Date]],Combined[[Date]:[Primary Area]],8,FALSE))</f>
        <v>Brunswick/Bath/Freeport</v>
      </c>
      <c r="K202" s="40" t="str">
        <f>_xlfn.XLOOKUP(EarningsPerDay[[#This Row],[Date]],Mileage[Date],Mileage[Weather])</f>
        <v>Rain</v>
      </c>
      <c r="L202" s="4">
        <f>_xlfn.XLOOKUP(EarningsPerDay[[#This Row],[Date]],Mileage[Date],Mileage[Hi Temp])</f>
        <v>70</v>
      </c>
      <c r="M202" s="12">
        <f>_xlfn.XLOOKUP(EarningsPerDay[[#This Row],[Date]],Mileage[Date],Mileage[Total Time])</f>
        <v>6.43</v>
      </c>
      <c r="N202" s="4">
        <f>_xlfn.XLOOKUP(EarningsPerDay[[#This Row],[Date]],Mileage[Date],Mileage[Mileage])</f>
        <v>122.30000000000001</v>
      </c>
      <c r="O202" s="4">
        <f>SUMIF(Combined[Date],EarningsPerDay[[#This Row],[Date]],Combined[Trips])</f>
        <v>11</v>
      </c>
      <c r="P202">
        <f>COUNTIF(Combined[Date],EarningsPerDay[[#This Row],[Date]])</f>
        <v>4</v>
      </c>
      <c r="Q2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2" s="11">
        <f>SUMIF(Combined[Date],EarningsPerDay[[#This Row],[Date]],Combined[Earnings])</f>
        <v>138.39000000000001</v>
      </c>
      <c r="S202" s="11">
        <f ca="1">EarningsPerDay[[#This Row],[Gross Earnings]]-(EarningsPerDay[[#This Row],[Miles]]*CpM!$D$11)</f>
        <v>111.12039077156089</v>
      </c>
      <c r="T202" s="11">
        <f t="shared" si="29"/>
        <v>21.522550544323487</v>
      </c>
      <c r="U202" s="11">
        <f t="shared" ca="1" si="30"/>
        <v>17.281553774737308</v>
      </c>
      <c r="V202" s="11">
        <f>EarningsPerDay[[#This Row],[Gross Earnings]]/EarningsPerDay[[#This Row],[Deliveries]]</f>
        <v>12.580909090909092</v>
      </c>
      <c r="W202" s="11">
        <f>EarningsPerDay[[#This Row],[Gross Earnings]]/EarningsPerDay[[#This Row],[Miles]]</f>
        <v>1.1315617334423549</v>
      </c>
      <c r="X202" s="71">
        <f>EarningsPerDay[[#This Row],[Deliveries]]/EarningsPerDay[[#This Row],[Hours]]</f>
        <v>1.7107309486780715</v>
      </c>
      <c r="Y202" s="71">
        <f>EarningsPerDay[[#This Row],[Miles]]/EarningsPerDay[[#This Row],[Deliveries]]</f>
        <v>11.118181818181819</v>
      </c>
      <c r="Z202" s="81">
        <f>(EarningsPerDay[[#This Row],[Hours]]/EarningsPerDay[[#This Row],[Deliveries]])/24</f>
        <v>2.4356060606060603E-2</v>
      </c>
      <c r="AA2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-2.062341341822659</v>
      </c>
      <c r="AB202" s="11">
        <f>AVERAGEIFS(EarningsPerDay[Gross $/Hour],EarningsPerDay[Week '#], EarningsPerDay[[#This Row],[Week '#]], EarningsPerDay[DOW], EarningsPerDay[[#This Row],[DOW]])</f>
        <v>22.483122528976669</v>
      </c>
      <c r="AC202" s="11">
        <f>EarningsPerDay[[#This Row],[Gross $/Hour]] - EarningsPerDay[[#This Row],[Weekly Average Earnings]]</f>
        <v>-0.96057198465318194</v>
      </c>
      <c r="AD202" s="11">
        <f>(SUMIFS(EarningsPerDay[Gross Earnings], EarningsPerDay[Date],"&gt;="&amp;EarningsPerDay[[#This Row],[Date]]-89, EarningsPerDay[Date], "&lt;="&amp;EarningsPerDay[[#This Row],[Date]]))/90</f>
        <v>56.804666666666655</v>
      </c>
    </row>
    <row r="203" spans="2:30" x14ac:dyDescent="0.35">
      <c r="B203" s="40">
        <v>44882</v>
      </c>
      <c r="C203" s="40">
        <f t="shared" si="27"/>
        <v>44882</v>
      </c>
      <c r="D203" s="4">
        <f>IF(EarningsPerDay[[#This Row],[Week '#]]&gt;=52,YEAR(EarningsPerDay[[#This Row],[Date]])-1,YEAR(EarningsPerDay[[#This Row],[Date]]))</f>
        <v>2022</v>
      </c>
      <c r="E203" s="4" t="str">
        <f>"QTR"&amp;IF(EarningsPerDay[[#This Row],[Week '#]] &lt;= 13, 1, IF(EarningsPerDay[[#This Row],[Week '#]] &lt;= 26, 2, IF(EarningsPerDay[[#This Row],[Week '#]] &lt;= 39, 3, 4)))</f>
        <v>QTR4</v>
      </c>
      <c r="F2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03" s="4">
        <f>IF(WEEKNUM(EarningsPerDay[[#This Row],[Date]], 2) = 53, 1, WEEKNUM(EarningsPerDay[[#This Row],[Date]],2))</f>
        <v>47</v>
      </c>
      <c r="H203" s="40" t="str">
        <f t="shared" si="28"/>
        <v>Thursday</v>
      </c>
      <c r="I20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03" s="40" t="str" cm="1">
        <f t="array" ref="J203">IFERROR(VLOOKUP(MODE(IF(Combined[Date]=EarningsPerDay[[#This Row],[Date]],Combined[Area '#])),KPIs!$B$4:$C$7,2,FALSE),VLOOKUP(EarningsPerDay[[#This Row],[Date]],Combined[[Date]:[Primary Area]],8,FALSE))</f>
        <v>Brunswick/Bath/Freeport</v>
      </c>
      <c r="K203" s="40" t="str">
        <f>_xlfn.XLOOKUP(EarningsPerDay[[#This Row],[Date]],Mileage[Date],Mileage[Weather])</f>
        <v>Clear</v>
      </c>
      <c r="L203" s="4">
        <f>_xlfn.XLOOKUP(EarningsPerDay[[#This Row],[Date]],Mileage[Date],Mileage[Hi Temp])</f>
        <v>33.6</v>
      </c>
      <c r="M203" s="12">
        <f>_xlfn.XLOOKUP(EarningsPerDay[[#This Row],[Date]],Mileage[Date],Mileage[Total Time])</f>
        <v>5.2</v>
      </c>
      <c r="N203" s="4">
        <f>_xlfn.XLOOKUP(EarningsPerDay[[#This Row],[Date]],Mileage[Date],Mileage[Mileage])</f>
        <v>88.600000000000009</v>
      </c>
      <c r="O203" s="4">
        <f>SUMIF(Combined[Date],EarningsPerDay[[#This Row],[Date]],Combined[Trips])</f>
        <v>9</v>
      </c>
      <c r="P203">
        <f>COUNTIF(Combined[Date],EarningsPerDay[[#This Row],[Date]])</f>
        <v>4</v>
      </c>
      <c r="Q2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3" s="11">
        <f>SUMIF(Combined[Date],EarningsPerDay[[#This Row],[Date]],Combined[Earnings])</f>
        <v>112.02999999999999</v>
      </c>
      <c r="S203" s="11">
        <f ca="1">EarningsPerDay[[#This Row],[Gross Earnings]]-(EarningsPerDay[[#This Row],[Miles]]*CpM!$D$11)</f>
        <v>92.27458399313403</v>
      </c>
      <c r="T203" s="11">
        <f t="shared" si="29"/>
        <v>21.544230769230765</v>
      </c>
      <c r="U203" s="11">
        <f t="shared" ca="1" si="30"/>
        <v>17.745112306371929</v>
      </c>
      <c r="V203" s="11">
        <f>EarningsPerDay[[#This Row],[Gross Earnings]]/EarningsPerDay[[#This Row],[Deliveries]]</f>
        <v>12.447777777777777</v>
      </c>
      <c r="W203" s="11">
        <f>EarningsPerDay[[#This Row],[Gross Earnings]]/EarningsPerDay[[#This Row],[Miles]]</f>
        <v>1.2644469525959365</v>
      </c>
      <c r="X203" s="71">
        <f>EarningsPerDay[[#This Row],[Deliveries]]/EarningsPerDay[[#This Row],[Hours]]</f>
        <v>1.7307692307692306</v>
      </c>
      <c r="Y203" s="71">
        <f>EarningsPerDay[[#This Row],[Miles]]/EarningsPerDay[[#This Row],[Deliveries]]</f>
        <v>9.844444444444445</v>
      </c>
      <c r="Z203" s="81">
        <f>(EarningsPerDay[[#This Row],[Hours]]/EarningsPerDay[[#This Row],[Deliveries]])/24</f>
        <v>2.4074074074074078E-2</v>
      </c>
      <c r="AA2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-6.1791563275434278</v>
      </c>
      <c r="AB203" s="11">
        <f>AVERAGEIFS(EarningsPerDay[Gross $/Hour],EarningsPerDay[Week '#], EarningsPerDay[[#This Row],[Week '#]], EarningsPerDay[DOW], EarningsPerDay[[#This Row],[DOW]])</f>
        <v>15.912805605247465</v>
      </c>
      <c r="AC203" s="11">
        <f>EarningsPerDay[[#This Row],[Gross $/Hour]] - EarningsPerDay[[#This Row],[Weekly Average Earnings]]</f>
        <v>5.6314251639833</v>
      </c>
      <c r="AD203" s="11">
        <f>(SUMIFS(EarningsPerDay[Gross Earnings], EarningsPerDay[Date],"&gt;="&amp;EarningsPerDay[[#This Row],[Date]]-89, EarningsPerDay[Date], "&lt;="&amp;EarningsPerDay[[#This Row],[Date]]))/90</f>
        <v>54.703111111111106</v>
      </c>
    </row>
    <row r="204" spans="2:30" x14ac:dyDescent="0.35">
      <c r="B204" s="40">
        <v>44883</v>
      </c>
      <c r="C204" s="40">
        <f t="shared" si="27"/>
        <v>44883</v>
      </c>
      <c r="D204" s="4">
        <f>IF(EarningsPerDay[[#This Row],[Week '#]]&gt;=52,YEAR(EarningsPerDay[[#This Row],[Date]])-1,YEAR(EarningsPerDay[[#This Row],[Date]]))</f>
        <v>2022</v>
      </c>
      <c r="E204" s="4" t="str">
        <f>"QTR"&amp;IF(EarningsPerDay[[#This Row],[Week '#]] &lt;= 13, 1, IF(EarningsPerDay[[#This Row],[Week '#]] &lt;= 26, 2, IF(EarningsPerDay[[#This Row],[Week '#]] &lt;= 39, 3, 4)))</f>
        <v>QTR4</v>
      </c>
      <c r="F2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04" s="4">
        <f>IF(WEEKNUM(EarningsPerDay[[#This Row],[Date]], 2) = 53, 1, WEEKNUM(EarningsPerDay[[#This Row],[Date]],2))</f>
        <v>47</v>
      </c>
      <c r="H204" s="40" t="str">
        <f t="shared" si="28"/>
        <v>Friday</v>
      </c>
      <c r="I20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04" s="40" t="str" cm="1">
        <f t="array" ref="J204">IFERROR(VLOOKUP(MODE(IF(Combined[Date]=EarningsPerDay[[#This Row],[Date]],Combined[Area '#])),KPIs!$B$4:$C$7,2,FALSE),VLOOKUP(EarningsPerDay[[#This Row],[Date]],Combined[[Date]:[Primary Area]],8,FALSE))</f>
        <v>Brunswick/Bath/Freeport</v>
      </c>
      <c r="K204" s="40" t="str">
        <f>_xlfn.XLOOKUP(EarningsPerDay[[#This Row],[Date]],Mileage[Date],Mileage[Weather])</f>
        <v>Clear</v>
      </c>
      <c r="L204" s="4">
        <f>_xlfn.XLOOKUP(EarningsPerDay[[#This Row],[Date]],Mileage[Date],Mileage[Hi Temp])</f>
        <v>37.6</v>
      </c>
      <c r="M204" s="12">
        <f>_xlfn.XLOOKUP(EarningsPerDay[[#This Row],[Date]],Mileage[Date],Mileage[Total Time])</f>
        <v>8.32</v>
      </c>
      <c r="N204" s="4">
        <f>_xlfn.XLOOKUP(EarningsPerDay[[#This Row],[Date]],Mileage[Date],Mileage[Mileage])</f>
        <v>212</v>
      </c>
      <c r="O204" s="4">
        <f>SUMIF(Combined[Date],EarningsPerDay[[#This Row],[Date]],Combined[Trips])</f>
        <v>15</v>
      </c>
      <c r="P204">
        <f>COUNTIF(Combined[Date],EarningsPerDay[[#This Row],[Date]])</f>
        <v>4</v>
      </c>
      <c r="Q2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4" s="11">
        <f>SUMIF(Combined[Date],EarningsPerDay[[#This Row],[Date]],Combined[Earnings])</f>
        <v>214.98</v>
      </c>
      <c r="S204" s="11">
        <f ca="1">EarningsPerDay[[#This Row],[Gross Earnings]]-(EarningsPerDay[[#This Row],[Miles]]*CpM!$D$11)</f>
        <v>167.70970436280382</v>
      </c>
      <c r="T204" s="11">
        <f t="shared" si="29"/>
        <v>25.838942307692307</v>
      </c>
      <c r="U204" s="11">
        <f t="shared" ca="1" si="30"/>
        <v>20.157416389760073</v>
      </c>
      <c r="V204" s="11">
        <f>EarningsPerDay[[#This Row],[Gross Earnings]]/EarningsPerDay[[#This Row],[Deliveries]]</f>
        <v>14.331999999999999</v>
      </c>
      <c r="W204" s="11">
        <f>EarningsPerDay[[#This Row],[Gross Earnings]]/EarningsPerDay[[#This Row],[Miles]]</f>
        <v>1.0140566037735848</v>
      </c>
      <c r="X204" s="71">
        <f>EarningsPerDay[[#This Row],[Deliveries]]/EarningsPerDay[[#This Row],[Hours]]</f>
        <v>1.8028846153846154</v>
      </c>
      <c r="Y204" s="71">
        <f>EarningsPerDay[[#This Row],[Miles]]/EarningsPerDay[[#This Row],[Deliveries]]</f>
        <v>14.133333333333333</v>
      </c>
      <c r="Z204" s="81">
        <f>(EarningsPerDay[[#This Row],[Hours]]/EarningsPerDay[[#This Row],[Deliveries]])/24</f>
        <v>2.311111111111111E-2</v>
      </c>
      <c r="AA2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2.597773978516603</v>
      </c>
      <c r="AB204" s="11">
        <f>AVERAGEIFS(EarningsPerDay[Gross $/Hour],EarningsPerDay[Week '#], EarningsPerDay[[#This Row],[Week '#]], EarningsPerDay[DOW], EarningsPerDay[[#This Row],[DOW]])</f>
        <v>22.73915602398818</v>
      </c>
      <c r="AC204" s="11">
        <f>EarningsPerDay[[#This Row],[Gross $/Hour]] - EarningsPerDay[[#This Row],[Weekly Average Earnings]]</f>
        <v>3.0997862837041268</v>
      </c>
      <c r="AD204" s="11">
        <f>(SUMIFS(EarningsPerDay[Gross Earnings], EarningsPerDay[Date],"&gt;="&amp;EarningsPerDay[[#This Row],[Date]]-89, EarningsPerDay[Date], "&lt;="&amp;EarningsPerDay[[#This Row],[Date]]))/90</f>
        <v>55.677666666666653</v>
      </c>
    </row>
    <row r="205" spans="2:30" x14ac:dyDescent="0.35">
      <c r="B205" s="40">
        <v>44886</v>
      </c>
      <c r="C205" s="40">
        <f t="shared" si="27"/>
        <v>44886</v>
      </c>
      <c r="D205" s="4">
        <f>IF(EarningsPerDay[[#This Row],[Week '#]]&gt;=52,YEAR(EarningsPerDay[[#This Row],[Date]])-1,YEAR(EarningsPerDay[[#This Row],[Date]]))</f>
        <v>2022</v>
      </c>
      <c r="E205" s="4" t="str">
        <f>"QTR"&amp;IF(EarningsPerDay[[#This Row],[Week '#]] &lt;= 13, 1, IF(EarningsPerDay[[#This Row],[Week '#]] &lt;= 26, 2, IF(EarningsPerDay[[#This Row],[Week '#]] &lt;= 39, 3, 4)))</f>
        <v>QTR4</v>
      </c>
      <c r="F2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05" s="4">
        <f>IF(WEEKNUM(EarningsPerDay[[#This Row],[Date]], 2) = 53, 1, WEEKNUM(EarningsPerDay[[#This Row],[Date]],2))</f>
        <v>48</v>
      </c>
      <c r="H205" s="40" t="str">
        <f t="shared" si="28"/>
        <v>Monday</v>
      </c>
      <c r="I20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05" s="40" t="str" cm="1">
        <f t="array" ref="J205">IFERROR(VLOOKUP(MODE(IF(Combined[Date]=EarningsPerDay[[#This Row],[Date]],Combined[Area '#])),KPIs!$B$4:$C$7,2,FALSE),VLOOKUP(EarningsPerDay[[#This Row],[Date]],Combined[[Date]:[Primary Area]],8,FALSE))</f>
        <v>Portland</v>
      </c>
      <c r="K205" s="40" t="str">
        <f>_xlfn.XLOOKUP(EarningsPerDay[[#This Row],[Date]],Mileage[Date],Mileage[Weather])</f>
        <v>Clear</v>
      </c>
      <c r="L205" s="4">
        <f>_xlfn.XLOOKUP(EarningsPerDay[[#This Row],[Date]],Mileage[Date],Mileage[Hi Temp])</f>
        <v>42.5</v>
      </c>
      <c r="M205" s="12">
        <f>_xlfn.XLOOKUP(EarningsPerDay[[#This Row],[Date]],Mileage[Date],Mileage[Total Time])</f>
        <v>7.6</v>
      </c>
      <c r="N205" s="4">
        <f>_xlfn.XLOOKUP(EarningsPerDay[[#This Row],[Date]],Mileage[Date],Mileage[Mileage])</f>
        <v>136.9</v>
      </c>
      <c r="O205" s="4">
        <f>SUMIF(Combined[Date],EarningsPerDay[[#This Row],[Date]],Combined[Trips])</f>
        <v>10</v>
      </c>
      <c r="P205">
        <f>COUNTIF(Combined[Date],EarningsPerDay[[#This Row],[Date]])</f>
        <v>2</v>
      </c>
      <c r="Q2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5" s="11">
        <f>SUMIF(Combined[Date],EarningsPerDay[[#This Row],[Date]],Combined[Earnings])</f>
        <v>140.76999999999998</v>
      </c>
      <c r="S205" s="11">
        <f ca="1">EarningsPerDay[[#This Row],[Gross Earnings]]-(EarningsPerDay[[#This Row],[Miles]]*CpM!$D$11)</f>
        <v>110.24498361918792</v>
      </c>
      <c r="T205" s="11">
        <f t="shared" si="29"/>
        <v>18.522368421052629</v>
      </c>
      <c r="U205" s="11">
        <f t="shared" ca="1" si="30"/>
        <v>14.505918897261569</v>
      </c>
      <c r="V205" s="11">
        <f>EarningsPerDay[[#This Row],[Gross Earnings]]/EarningsPerDay[[#This Row],[Deliveries]]</f>
        <v>14.076999999999998</v>
      </c>
      <c r="W205" s="11">
        <f>EarningsPerDay[[#This Row],[Gross Earnings]]/EarningsPerDay[[#This Row],[Miles]]</f>
        <v>1.0282688093498902</v>
      </c>
      <c r="X205" s="71">
        <f>EarningsPerDay[[#This Row],[Deliveries]]/EarningsPerDay[[#This Row],[Hours]]</f>
        <v>1.3157894736842106</v>
      </c>
      <c r="Y205" s="71">
        <f>EarningsPerDay[[#This Row],[Miles]]/EarningsPerDay[[#This Row],[Deliveries]]</f>
        <v>13.690000000000001</v>
      </c>
      <c r="Z205" s="81">
        <f>(EarningsPerDay[[#This Row],[Hours]]/EarningsPerDay[[#This Row],[Deliveries]])/24</f>
        <v>3.1666666666666669E-2</v>
      </c>
      <c r="AA2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-3.1268957577371665</v>
      </c>
      <c r="AB205" s="11">
        <f>AVERAGEIFS(EarningsPerDay[Gross $/Hour],EarningsPerDay[Week '#], EarningsPerDay[[#This Row],[Week '#]], EarningsPerDay[DOW], EarningsPerDay[[#This Row],[DOW]])</f>
        <v>22.7536390170972</v>
      </c>
      <c r="AC205" s="11">
        <f>EarningsPerDay[[#This Row],[Gross $/Hour]] - EarningsPerDay[[#This Row],[Weekly Average Earnings]]</f>
        <v>-4.2312705960445705</v>
      </c>
      <c r="AD205" s="11">
        <f>(SUMIFS(EarningsPerDay[Gross Earnings], EarningsPerDay[Date],"&gt;="&amp;EarningsPerDay[[#This Row],[Date]]-89, EarningsPerDay[Date], "&lt;="&amp;EarningsPerDay[[#This Row],[Date]]))/90</f>
        <v>56.122666666666653</v>
      </c>
    </row>
    <row r="206" spans="2:30" x14ac:dyDescent="0.35">
      <c r="B206" s="40">
        <v>44888</v>
      </c>
      <c r="C206" s="40">
        <f t="shared" si="27"/>
        <v>44888</v>
      </c>
      <c r="D206" s="4">
        <f>IF(EarningsPerDay[[#This Row],[Week '#]]&gt;=52,YEAR(EarningsPerDay[[#This Row],[Date]])-1,YEAR(EarningsPerDay[[#This Row],[Date]]))</f>
        <v>2022</v>
      </c>
      <c r="E206" s="4" t="str">
        <f>"QTR"&amp;IF(EarningsPerDay[[#This Row],[Week '#]] &lt;= 13, 1, IF(EarningsPerDay[[#This Row],[Week '#]] &lt;= 26, 2, IF(EarningsPerDay[[#This Row],[Week '#]] &lt;= 39, 3, 4)))</f>
        <v>QTR4</v>
      </c>
      <c r="F2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06" s="4">
        <f>IF(WEEKNUM(EarningsPerDay[[#This Row],[Date]], 2) = 53, 1, WEEKNUM(EarningsPerDay[[#This Row],[Date]],2))</f>
        <v>48</v>
      </c>
      <c r="H206" s="40" t="str">
        <f t="shared" si="28"/>
        <v>Wednesday</v>
      </c>
      <c r="I20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06" s="40" t="str" cm="1">
        <f t="array" ref="J206">IFERROR(VLOOKUP(MODE(IF(Combined[Date]=EarningsPerDay[[#This Row],[Date]],Combined[Area '#])),KPIs!$B$4:$C$7,2,FALSE),VLOOKUP(EarningsPerDay[[#This Row],[Date]],Combined[[Date]:[Primary Area]],8,FALSE))</f>
        <v>Brunswick/Bath/Freeport</v>
      </c>
      <c r="K206" s="40" t="str">
        <f>_xlfn.XLOOKUP(EarningsPerDay[[#This Row],[Date]],Mileage[Date],Mileage[Weather])</f>
        <v>Clear</v>
      </c>
      <c r="L206" s="4">
        <f>_xlfn.XLOOKUP(EarningsPerDay[[#This Row],[Date]],Mileage[Date],Mileage[Hi Temp])</f>
        <v>34.799999999999997</v>
      </c>
      <c r="M206" s="12">
        <f>_xlfn.XLOOKUP(EarningsPerDay[[#This Row],[Date]],Mileage[Date],Mileage[Total Time])</f>
        <v>5.2</v>
      </c>
      <c r="N206" s="4">
        <f>_xlfn.XLOOKUP(EarningsPerDay[[#This Row],[Date]],Mileage[Date],Mileage[Mileage])</f>
        <v>109.2</v>
      </c>
      <c r="O206" s="4">
        <f>SUMIF(Combined[Date],EarningsPerDay[[#This Row],[Date]],Combined[Trips])</f>
        <v>11</v>
      </c>
      <c r="P206">
        <f>COUNTIF(Combined[Date],EarningsPerDay[[#This Row],[Date]])</f>
        <v>3</v>
      </c>
      <c r="Q2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6" s="11">
        <f>SUMIF(Combined[Date],EarningsPerDay[[#This Row],[Date]],Combined[Earnings])</f>
        <v>120.16</v>
      </c>
      <c r="S206" s="11">
        <f ca="1">EarningsPerDay[[#This Row],[Gross Earnings]]-(EarningsPerDay[[#This Row],[Miles]]*CpM!$D$11)</f>
        <v>95.811338284991407</v>
      </c>
      <c r="T206" s="11">
        <f t="shared" si="29"/>
        <v>23.107692307692307</v>
      </c>
      <c r="U206" s="11">
        <f t="shared" ca="1" si="30"/>
        <v>18.425257362498346</v>
      </c>
      <c r="V206" s="11">
        <f>EarningsPerDay[[#This Row],[Gross Earnings]]/EarningsPerDay[[#This Row],[Deliveries]]</f>
        <v>10.923636363636364</v>
      </c>
      <c r="W206" s="11">
        <f>EarningsPerDay[[#This Row],[Gross Earnings]]/EarningsPerDay[[#This Row],[Miles]]</f>
        <v>1.1003663003663002</v>
      </c>
      <c r="X206" s="71">
        <f>EarningsPerDay[[#This Row],[Deliveries]]/EarningsPerDay[[#This Row],[Hours]]</f>
        <v>2.1153846153846154</v>
      </c>
      <c r="Y206" s="71">
        <f>EarningsPerDay[[#This Row],[Miles]]/EarningsPerDay[[#This Row],[Deliveries]]</f>
        <v>9.9272727272727277</v>
      </c>
      <c r="Z206" s="81">
        <f>(EarningsPerDay[[#This Row],[Hours]]/EarningsPerDay[[#This Row],[Deliveries]])/24</f>
        <v>1.9696969696969695E-2</v>
      </c>
      <c r="AA2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7.0064274267399291</v>
      </c>
      <c r="AB206" s="11">
        <f>AVERAGEIFS(EarningsPerDay[Gross $/Hour],EarningsPerDay[Week '#], EarningsPerDay[[#This Row],[Week '#]], EarningsPerDay[DOW], EarningsPerDay[[#This Row],[DOW]])</f>
        <v>21.611061995023647</v>
      </c>
      <c r="AC206" s="11">
        <f>EarningsPerDay[[#This Row],[Gross $/Hour]] - EarningsPerDay[[#This Row],[Weekly Average Earnings]]</f>
        <v>1.4966303126686604</v>
      </c>
      <c r="AD206" s="11">
        <f>(SUMIFS(EarningsPerDay[Gross Earnings], EarningsPerDay[Date],"&gt;="&amp;EarningsPerDay[[#This Row],[Date]]-89, EarningsPerDay[Date], "&lt;="&amp;EarningsPerDay[[#This Row],[Date]]))/90</f>
        <v>57.457777777777764</v>
      </c>
    </row>
    <row r="207" spans="2:30" x14ac:dyDescent="0.35">
      <c r="B207" s="40">
        <v>44890</v>
      </c>
      <c r="C207" s="40">
        <f t="shared" si="27"/>
        <v>44890</v>
      </c>
      <c r="D207" s="4">
        <f>IF(EarningsPerDay[[#This Row],[Week '#]]&gt;=52,YEAR(EarningsPerDay[[#This Row],[Date]])-1,YEAR(EarningsPerDay[[#This Row],[Date]]))</f>
        <v>2022</v>
      </c>
      <c r="E207" s="4" t="str">
        <f>"QTR"&amp;IF(EarningsPerDay[[#This Row],[Week '#]] &lt;= 13, 1, IF(EarningsPerDay[[#This Row],[Week '#]] &lt;= 26, 2, IF(EarningsPerDay[[#This Row],[Week '#]] &lt;= 39, 3, 4)))</f>
        <v>QTR4</v>
      </c>
      <c r="F2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07" s="4">
        <f>IF(WEEKNUM(EarningsPerDay[[#This Row],[Date]], 2) = 53, 1, WEEKNUM(EarningsPerDay[[#This Row],[Date]],2))</f>
        <v>48</v>
      </c>
      <c r="H207" s="40" t="str">
        <f t="shared" si="28"/>
        <v>Friday</v>
      </c>
      <c r="I20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07" s="40" t="str" cm="1">
        <f t="array" ref="J207">IFERROR(VLOOKUP(MODE(IF(Combined[Date]=EarningsPerDay[[#This Row],[Date]],Combined[Area '#])),KPIs!$B$4:$C$7,2,FALSE),VLOOKUP(EarningsPerDay[[#This Row],[Date]],Combined[[Date]:[Primary Area]],8,FALSE))</f>
        <v>Brunswick/Bath/Freeport</v>
      </c>
      <c r="K207" s="40" t="str">
        <f>_xlfn.XLOOKUP(EarningsPerDay[[#This Row],[Date]],Mileage[Date],Mileage[Weather])</f>
        <v>Partially Cloudy</v>
      </c>
      <c r="L207" s="4">
        <f>_xlfn.XLOOKUP(EarningsPerDay[[#This Row],[Date]],Mileage[Date],Mileage[Hi Temp])</f>
        <v>45.2</v>
      </c>
      <c r="M207" s="12">
        <f>_xlfn.XLOOKUP(EarningsPerDay[[#This Row],[Date]],Mileage[Date],Mileage[Total Time])</f>
        <v>5.8999999999999995</v>
      </c>
      <c r="N207" s="4">
        <f>_xlfn.XLOOKUP(EarningsPerDay[[#This Row],[Date]],Mileage[Date],Mileage[Mileage])</f>
        <v>78.900000000000006</v>
      </c>
      <c r="O207" s="4">
        <f>SUMIF(Combined[Date],EarningsPerDay[[#This Row],[Date]],Combined[Trips])</f>
        <v>9</v>
      </c>
      <c r="P207">
        <f>COUNTIF(Combined[Date],EarningsPerDay[[#This Row],[Date]])</f>
        <v>3</v>
      </c>
      <c r="Q2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7" s="11">
        <f>SUMIF(Combined[Date],EarningsPerDay[[#This Row],[Date]],Combined[Earnings])</f>
        <v>96.42</v>
      </c>
      <c r="S207" s="11">
        <f ca="1">EarningsPerDay[[#This Row],[Gross Earnings]]-(EarningsPerDay[[#This Row],[Miles]]*CpM!$D$11)</f>
        <v>78.82742299162841</v>
      </c>
      <c r="T207" s="11">
        <f t="shared" si="29"/>
        <v>16.342372881355935</v>
      </c>
      <c r="U207" s="11">
        <f t="shared" ca="1" si="30"/>
        <v>13.360580168072612</v>
      </c>
      <c r="V207" s="11">
        <f>EarningsPerDay[[#This Row],[Gross Earnings]]/EarningsPerDay[[#This Row],[Deliveries]]</f>
        <v>10.713333333333333</v>
      </c>
      <c r="W207" s="11">
        <f>EarningsPerDay[[#This Row],[Gross Earnings]]/EarningsPerDay[[#This Row],[Miles]]</f>
        <v>1.2220532319391635</v>
      </c>
      <c r="X207" s="71">
        <f>EarningsPerDay[[#This Row],[Deliveries]]/EarningsPerDay[[#This Row],[Hours]]</f>
        <v>1.5254237288135595</v>
      </c>
      <c r="Y207" s="71">
        <f>EarningsPerDay[[#This Row],[Miles]]/EarningsPerDay[[#This Row],[Deliveries]]</f>
        <v>8.7666666666666675</v>
      </c>
      <c r="Z207" s="81">
        <f>(EarningsPerDay[[#This Row],[Hours]]/EarningsPerDay[[#This Row],[Deliveries]])/24</f>
        <v>2.7314814814814809E-2</v>
      </c>
      <c r="AA2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-7.2699060161792808</v>
      </c>
      <c r="AB207" s="11">
        <f>AVERAGEIFS(EarningsPerDay[Gross $/Hour],EarningsPerDay[Week '#], EarningsPerDay[[#This Row],[Week '#]], EarningsPerDay[DOW], EarningsPerDay[[#This Row],[DOW]])</f>
        <v>22.823939422141361</v>
      </c>
      <c r="AC207" s="11">
        <f>EarningsPerDay[[#This Row],[Gross $/Hour]] - EarningsPerDay[[#This Row],[Weekly Average Earnings]]</f>
        <v>-6.4815665407854262</v>
      </c>
      <c r="AD207" s="11">
        <f>(SUMIFS(EarningsPerDay[Gross Earnings], EarningsPerDay[Date],"&gt;="&amp;EarningsPerDay[[#This Row],[Date]]-89, EarningsPerDay[Date], "&lt;="&amp;EarningsPerDay[[#This Row],[Date]]))/90</f>
        <v>57.17244444444443</v>
      </c>
    </row>
    <row r="208" spans="2:30" x14ac:dyDescent="0.35">
      <c r="B208" s="40">
        <v>44891</v>
      </c>
      <c r="C208" s="40">
        <f t="shared" si="27"/>
        <v>44891</v>
      </c>
      <c r="D208" s="4">
        <f>IF(EarningsPerDay[[#This Row],[Week '#]]&gt;=52,YEAR(EarningsPerDay[[#This Row],[Date]])-1,YEAR(EarningsPerDay[[#This Row],[Date]]))</f>
        <v>2022</v>
      </c>
      <c r="E208" s="4" t="str">
        <f>"QTR"&amp;IF(EarningsPerDay[[#This Row],[Week '#]] &lt;= 13, 1, IF(EarningsPerDay[[#This Row],[Week '#]] &lt;= 26, 2, IF(EarningsPerDay[[#This Row],[Week '#]] &lt;= 39, 3, 4)))</f>
        <v>QTR4</v>
      </c>
      <c r="F2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08" s="4">
        <f>IF(WEEKNUM(EarningsPerDay[[#This Row],[Date]], 2) = 53, 1, WEEKNUM(EarningsPerDay[[#This Row],[Date]],2))</f>
        <v>48</v>
      </c>
      <c r="H208" s="40" t="str">
        <f t="shared" si="28"/>
        <v>Saturday</v>
      </c>
      <c r="I208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208" s="40" t="str" cm="1">
        <f t="array" ref="J208">IFERROR(VLOOKUP(MODE(IF(Combined[Date]=EarningsPerDay[[#This Row],[Date]],Combined[Area '#])),KPIs!$B$4:$C$7,2,FALSE),VLOOKUP(EarningsPerDay[[#This Row],[Date]],Combined[[Date]:[Primary Area]],8,FALSE))</f>
        <v>Augusta</v>
      </c>
      <c r="K208" s="40" t="str">
        <f>_xlfn.XLOOKUP(EarningsPerDay[[#This Row],[Date]],Mileage[Date],Mileage[Weather])</f>
        <v>Rain</v>
      </c>
      <c r="L208" s="4">
        <f>_xlfn.XLOOKUP(EarningsPerDay[[#This Row],[Date]],Mileage[Date],Mileage[Hi Temp])</f>
        <v>53.7</v>
      </c>
      <c r="M208" s="12">
        <f>_xlfn.XLOOKUP(EarningsPerDay[[#This Row],[Date]],Mileage[Date],Mileage[Total Time])</f>
        <v>5.1999999999999993</v>
      </c>
      <c r="N208" s="4">
        <f>_xlfn.XLOOKUP(EarningsPerDay[[#This Row],[Date]],Mileage[Date],Mileage[Mileage])</f>
        <v>182.7</v>
      </c>
      <c r="O208" s="4">
        <f>SUMIF(Combined[Date],EarningsPerDay[[#This Row],[Date]],Combined[Trips])</f>
        <v>12</v>
      </c>
      <c r="P208">
        <f>COUNTIF(Combined[Date],EarningsPerDay[[#This Row],[Date]])</f>
        <v>4</v>
      </c>
      <c r="Q20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08" s="11">
        <f>SUMIF(Combined[Date],EarningsPerDay[[#This Row],[Date]],Combined[Earnings])</f>
        <v>108.07</v>
      </c>
      <c r="S208" s="11">
        <f ca="1">EarningsPerDay[[#This Row],[Gross Earnings]]-(EarningsPerDay[[#This Row],[Miles]]*CpM!$D$11)</f>
        <v>67.33281597681254</v>
      </c>
      <c r="T208" s="11">
        <f t="shared" si="29"/>
        <v>20.782692307692308</v>
      </c>
      <c r="U208" s="11">
        <f t="shared" ca="1" si="30"/>
        <v>12.948618457079336</v>
      </c>
      <c r="V208" s="11">
        <f>EarningsPerDay[[#This Row],[Gross Earnings]]/EarningsPerDay[[#This Row],[Deliveries]]</f>
        <v>9.0058333333333334</v>
      </c>
      <c r="W208" s="11">
        <f>EarningsPerDay[[#This Row],[Gross Earnings]]/EarningsPerDay[[#This Row],[Miles]]</f>
        <v>0.59151614668856045</v>
      </c>
      <c r="X208" s="71">
        <f>EarningsPerDay[[#This Row],[Deliveries]]/EarningsPerDay[[#This Row],[Hours]]</f>
        <v>2.3076923076923079</v>
      </c>
      <c r="Y208" s="71">
        <f>EarningsPerDay[[#This Row],[Miles]]/EarningsPerDay[[#This Row],[Deliveries]]</f>
        <v>15.225</v>
      </c>
      <c r="Z208" s="81">
        <f>(EarningsPerDay[[#This Row],[Hours]]/EarningsPerDay[[#This Row],[Deliveries]])/24</f>
        <v>1.8055555555555554E-2</v>
      </c>
      <c r="AA20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08" s="11">
        <f>AVERAGEIFS(EarningsPerDay[Gross $/Hour],EarningsPerDay[Week '#], EarningsPerDay[[#This Row],[Week '#]], EarningsPerDay[DOW], EarningsPerDay[[#This Row],[DOW]])</f>
        <v>20.137597751187688</v>
      </c>
      <c r="AC208" s="11">
        <f>EarningsPerDay[[#This Row],[Gross $/Hour]] - EarningsPerDay[[#This Row],[Weekly Average Earnings]]</f>
        <v>0.64509455650462044</v>
      </c>
      <c r="AD208" s="11">
        <f>(SUMIFS(EarningsPerDay[Gross Earnings], EarningsPerDay[Date],"&gt;="&amp;EarningsPerDay[[#This Row],[Date]]-89, EarningsPerDay[Date], "&lt;="&amp;EarningsPerDay[[#This Row],[Date]]))/90</f>
        <v>58.373222222222203</v>
      </c>
    </row>
    <row r="209" spans="2:30" x14ac:dyDescent="0.35">
      <c r="B209" s="40">
        <v>44892</v>
      </c>
      <c r="C209" s="40">
        <f t="shared" si="27"/>
        <v>44892</v>
      </c>
      <c r="D209" s="4">
        <f>IF(EarningsPerDay[[#This Row],[Week '#]]&gt;=52,YEAR(EarningsPerDay[[#This Row],[Date]])-1,YEAR(EarningsPerDay[[#This Row],[Date]]))</f>
        <v>2022</v>
      </c>
      <c r="E209" s="4" t="str">
        <f>"QTR"&amp;IF(EarningsPerDay[[#This Row],[Week '#]] &lt;= 13, 1, IF(EarningsPerDay[[#This Row],[Week '#]] &lt;= 26, 2, IF(EarningsPerDay[[#This Row],[Week '#]] &lt;= 39, 3, 4)))</f>
        <v>QTR4</v>
      </c>
      <c r="F2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09" s="4">
        <f>IF(WEEKNUM(EarningsPerDay[[#This Row],[Date]], 2) = 53, 1, WEEKNUM(EarningsPerDay[[#This Row],[Date]],2))</f>
        <v>48</v>
      </c>
      <c r="H209" s="40" t="str">
        <f t="shared" si="28"/>
        <v>Sunday</v>
      </c>
      <c r="I20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09" s="40" t="str" cm="1">
        <f t="array" ref="J209">IFERROR(VLOOKUP(MODE(IF(Combined[Date]=EarningsPerDay[[#This Row],[Date]],Combined[Area '#])),KPIs!$B$4:$C$7,2,FALSE),VLOOKUP(EarningsPerDay[[#This Row],[Date]],Combined[[Date]:[Primary Area]],8,FALSE))</f>
        <v>Brunswick/Bath/Freeport</v>
      </c>
      <c r="K209" s="40" t="str">
        <f>_xlfn.XLOOKUP(EarningsPerDay[[#This Row],[Date]],Mileage[Date],Mileage[Weather])</f>
        <v>Rain</v>
      </c>
      <c r="L209" s="4">
        <f>_xlfn.XLOOKUP(EarningsPerDay[[#This Row],[Date]],Mileage[Date],Mileage[Hi Temp])</f>
        <v>40.9</v>
      </c>
      <c r="M209" s="12">
        <f>_xlfn.XLOOKUP(EarningsPerDay[[#This Row],[Date]],Mileage[Date],Mileage[Total Time])</f>
        <v>4.5999999999999996</v>
      </c>
      <c r="N209" s="4">
        <f>_xlfn.XLOOKUP(EarningsPerDay[[#This Row],[Date]],Mileage[Date],Mileage[Mileage])</f>
        <v>123.19999999999999</v>
      </c>
      <c r="O209" s="4">
        <f>SUMIF(Combined[Date],EarningsPerDay[[#This Row],[Date]],Combined[Trips])</f>
        <v>11</v>
      </c>
      <c r="P209">
        <f>COUNTIF(Combined[Date],EarningsPerDay[[#This Row],[Date]])</f>
        <v>4</v>
      </c>
      <c r="Q20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09" s="11">
        <f>SUMIF(Combined[Date],EarningsPerDay[[#This Row],[Date]],Combined[Earnings])</f>
        <v>99.02</v>
      </c>
      <c r="S209" s="11">
        <f ca="1">EarningsPerDay[[#This Row],[Gross Earnings]]-(EarningsPerDay[[#This Row],[Miles]]*CpM!$D$11)</f>
        <v>71.549714988195433</v>
      </c>
      <c r="T209" s="11">
        <f t="shared" si="29"/>
        <v>21.526086956521741</v>
      </c>
      <c r="U209" s="11">
        <f t="shared" ca="1" si="30"/>
        <v>15.554285866999008</v>
      </c>
      <c r="V209" s="11">
        <f>EarningsPerDay[[#This Row],[Gross Earnings]]/EarningsPerDay[[#This Row],[Deliveries]]</f>
        <v>9.0018181818181819</v>
      </c>
      <c r="W209" s="11">
        <f>EarningsPerDay[[#This Row],[Gross Earnings]]/EarningsPerDay[[#This Row],[Miles]]</f>
        <v>0.80373376623376624</v>
      </c>
      <c r="X209" s="71">
        <f>EarningsPerDay[[#This Row],[Deliveries]]/EarningsPerDay[[#This Row],[Hours]]</f>
        <v>2.3913043478260874</v>
      </c>
      <c r="Y209" s="71">
        <f>EarningsPerDay[[#This Row],[Miles]]/EarningsPerDay[[#This Row],[Deliveries]]</f>
        <v>11.2</v>
      </c>
      <c r="Z209" s="81">
        <f>(EarningsPerDay[[#This Row],[Hours]]/EarningsPerDay[[#This Row],[Deliveries]])/24</f>
        <v>1.7424242424242422E-2</v>
      </c>
      <c r="AA2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3.8499948387629566</v>
      </c>
      <c r="AB209" s="11">
        <f>AVERAGEIFS(EarningsPerDay[Gross $/Hour],EarningsPerDay[Week '#], EarningsPerDay[[#This Row],[Week '#]], EarningsPerDay[DOW], EarningsPerDay[[#This Row],[DOW]])</f>
        <v>26.176807989040306</v>
      </c>
      <c r="AC209" s="11">
        <f>EarningsPerDay[[#This Row],[Gross $/Hour]] - EarningsPerDay[[#This Row],[Weekly Average Earnings]]</f>
        <v>-4.6507210325185646</v>
      </c>
      <c r="AD209" s="11">
        <f>(SUMIFS(EarningsPerDay[Gross Earnings], EarningsPerDay[Date],"&gt;="&amp;EarningsPerDay[[#This Row],[Date]]-89, EarningsPerDay[Date], "&lt;="&amp;EarningsPerDay[[#This Row],[Date]]))/90</f>
        <v>58.586888888888865</v>
      </c>
    </row>
    <row r="210" spans="2:30" x14ac:dyDescent="0.35">
      <c r="B210" s="40">
        <v>44893</v>
      </c>
      <c r="C210" s="40">
        <f t="shared" si="27"/>
        <v>44893</v>
      </c>
      <c r="D210" s="4">
        <f>IF(EarningsPerDay[[#This Row],[Week '#]]&gt;=52,YEAR(EarningsPerDay[[#This Row],[Date]])-1,YEAR(EarningsPerDay[[#This Row],[Date]]))</f>
        <v>2022</v>
      </c>
      <c r="E210" s="4" t="str">
        <f>"QTR"&amp;IF(EarningsPerDay[[#This Row],[Week '#]] &lt;= 13, 1, IF(EarningsPerDay[[#This Row],[Week '#]] &lt;= 26, 2, IF(EarningsPerDay[[#This Row],[Week '#]] &lt;= 39, 3, 4)))</f>
        <v>QTR4</v>
      </c>
      <c r="F2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10" s="4">
        <f>IF(WEEKNUM(EarningsPerDay[[#This Row],[Date]], 2) = 53, 1, WEEKNUM(EarningsPerDay[[#This Row],[Date]],2))</f>
        <v>49</v>
      </c>
      <c r="H210" s="40" t="str">
        <f t="shared" si="28"/>
        <v>Monday</v>
      </c>
      <c r="I21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10" s="40" t="str" cm="1">
        <f t="array" ref="J210">IFERROR(VLOOKUP(MODE(IF(Combined[Date]=EarningsPerDay[[#This Row],[Date]],Combined[Area '#])),KPIs!$B$4:$C$7,2,FALSE),VLOOKUP(EarningsPerDay[[#This Row],[Date]],Combined[[Date]:[Primary Area]],8,FALSE))</f>
        <v>Portland</v>
      </c>
      <c r="K210" s="40" t="str">
        <f>_xlfn.XLOOKUP(EarningsPerDay[[#This Row],[Date]],Mileage[Date],Mileage[Weather])</f>
        <v>Clear</v>
      </c>
      <c r="L210" s="4">
        <f>_xlfn.XLOOKUP(EarningsPerDay[[#This Row],[Date]],Mileage[Date],Mileage[Hi Temp])</f>
        <v>36.4</v>
      </c>
      <c r="M210" s="12">
        <f>_xlfn.XLOOKUP(EarningsPerDay[[#This Row],[Date]],Mileage[Date],Mileage[Total Time])</f>
        <v>8.2000000000000011</v>
      </c>
      <c r="N210" s="4">
        <f>_xlfn.XLOOKUP(EarningsPerDay[[#This Row],[Date]],Mileage[Date],Mileage[Mileage])</f>
        <v>64.400000000000006</v>
      </c>
      <c r="O210" s="4">
        <f>SUMIF(Combined[Date],EarningsPerDay[[#This Row],[Date]],Combined[Trips])</f>
        <v>5</v>
      </c>
      <c r="P210">
        <f>COUNTIF(Combined[Date],EarningsPerDay[[#This Row],[Date]])</f>
        <v>1</v>
      </c>
      <c r="Q2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0" s="11">
        <f>SUMIF(Combined[Date],EarningsPerDay[[#This Row],[Date]],Combined[Earnings])</f>
        <v>46.61</v>
      </c>
      <c r="S210" s="11">
        <f ca="1">EarningsPerDay[[#This Row],[Gross Earnings]]-(EarningsPerDay[[#This Row],[Miles]]*CpM!$D$11)</f>
        <v>32.250532834738522</v>
      </c>
      <c r="T210" s="11">
        <f t="shared" si="29"/>
        <v>5.6841463414634141</v>
      </c>
      <c r="U210" s="11">
        <f t="shared" ca="1" si="30"/>
        <v>3.9329918091144536</v>
      </c>
      <c r="V210" s="11">
        <f>EarningsPerDay[[#This Row],[Gross Earnings]]/EarningsPerDay[[#This Row],[Deliveries]]</f>
        <v>9.3219999999999992</v>
      </c>
      <c r="W210" s="11">
        <f>EarningsPerDay[[#This Row],[Gross Earnings]]/EarningsPerDay[[#This Row],[Miles]]</f>
        <v>0.72375776397515523</v>
      </c>
      <c r="X210" s="71">
        <f>EarningsPerDay[[#This Row],[Deliveries]]/EarningsPerDay[[#This Row],[Hours]]</f>
        <v>0.60975609756097549</v>
      </c>
      <c r="Y210" s="71">
        <f>EarningsPerDay[[#This Row],[Miles]]/EarningsPerDay[[#This Row],[Deliveries]]</f>
        <v>12.88</v>
      </c>
      <c r="Z210" s="81">
        <f>(EarningsPerDay[[#This Row],[Hours]]/EarningsPerDay[[#This Row],[Deliveries]])/24</f>
        <v>6.8333333333333343E-2</v>
      </c>
      <c r="AA2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-15.183393897892092</v>
      </c>
      <c r="AB210" s="11">
        <f>AVERAGEIFS(EarningsPerDay[Gross $/Hour],EarningsPerDay[Week '#], EarningsPerDay[[#This Row],[Week '#]], EarningsPerDay[DOW], EarningsPerDay[[#This Row],[DOW]])</f>
        <v>21.442841149708883</v>
      </c>
      <c r="AC210" s="11">
        <f>EarningsPerDay[[#This Row],[Gross $/Hour]] - EarningsPerDay[[#This Row],[Weekly Average Earnings]]</f>
        <v>-15.758694808245469</v>
      </c>
      <c r="AD210" s="11">
        <f>(SUMIFS(EarningsPerDay[Gross Earnings], EarningsPerDay[Date],"&gt;="&amp;EarningsPerDay[[#This Row],[Date]]-89, EarningsPerDay[Date], "&lt;="&amp;EarningsPerDay[[#This Row],[Date]]))/90</f>
        <v>57.790555555555542</v>
      </c>
    </row>
    <row r="211" spans="2:30" x14ac:dyDescent="0.35">
      <c r="B211" s="40">
        <v>44896</v>
      </c>
      <c r="C211" s="40">
        <f t="shared" si="27"/>
        <v>44896</v>
      </c>
      <c r="D211" s="4">
        <f>IF(EarningsPerDay[[#This Row],[Week '#]]&gt;=52,YEAR(EarningsPerDay[[#This Row],[Date]])-1,YEAR(EarningsPerDay[[#This Row],[Date]]))</f>
        <v>2022</v>
      </c>
      <c r="E211" s="4" t="str">
        <f>"QTR"&amp;IF(EarningsPerDay[[#This Row],[Week '#]] &lt;= 13, 1, IF(EarningsPerDay[[#This Row],[Week '#]] &lt;= 26, 2, IF(EarningsPerDay[[#This Row],[Week '#]] &lt;= 39, 3, 4)))</f>
        <v>QTR4</v>
      </c>
      <c r="F2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11" s="4">
        <f>IF(WEEKNUM(EarningsPerDay[[#This Row],[Date]], 2) = 53, 1, WEEKNUM(EarningsPerDay[[#This Row],[Date]],2))</f>
        <v>49</v>
      </c>
      <c r="H211" s="40" t="str">
        <f t="shared" si="28"/>
        <v>Thursday</v>
      </c>
      <c r="I21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11" s="40" t="str" cm="1">
        <f t="array" ref="J211">IFERROR(VLOOKUP(MODE(IF(Combined[Date]=EarningsPerDay[[#This Row],[Date]],Combined[Area '#])),KPIs!$B$4:$C$7,2,FALSE),VLOOKUP(EarningsPerDay[[#This Row],[Date]],Combined[[Date]:[Primary Area]],8,FALSE))</f>
        <v>Brunswick/Bath/Freeport</v>
      </c>
      <c r="K211" s="40" t="str">
        <f>_xlfn.XLOOKUP(EarningsPerDay[[#This Row],[Date]],Mileage[Date],Mileage[Weather])</f>
        <v>Clear</v>
      </c>
      <c r="L211" s="4">
        <f>_xlfn.XLOOKUP(EarningsPerDay[[#This Row],[Date]],Mileage[Date],Mileage[Hi Temp])</f>
        <v>35.4</v>
      </c>
      <c r="M211" s="12">
        <f>_xlfn.XLOOKUP(EarningsPerDay[[#This Row],[Date]],Mileage[Date],Mileage[Total Time])</f>
        <v>5.3000000000000007</v>
      </c>
      <c r="N211" s="4">
        <f>_xlfn.XLOOKUP(EarningsPerDay[[#This Row],[Date]],Mileage[Date],Mileage[Mileage])</f>
        <v>103.7</v>
      </c>
      <c r="O211" s="4">
        <f>SUMIF(Combined[Date],EarningsPerDay[[#This Row],[Date]],Combined[Trips])</f>
        <v>6</v>
      </c>
      <c r="P211">
        <f>COUNTIF(Combined[Date],EarningsPerDay[[#This Row],[Date]])</f>
        <v>3</v>
      </c>
      <c r="Q21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1" s="11">
        <f>SUMIF(Combined[Date],EarningsPerDay[[#This Row],[Date]],Combined[Earnings])</f>
        <v>73.87</v>
      </c>
      <c r="S211" s="11">
        <f ca="1">EarningsPerDay[[#This Row],[Gross Earnings]]-(EarningsPerDay[[#This Row],[Miles]]*CpM!$D$11)</f>
        <v>50.747690294446969</v>
      </c>
      <c r="T211" s="11">
        <f t="shared" si="29"/>
        <v>13.937735849056603</v>
      </c>
      <c r="U211" s="11">
        <f t="shared" ca="1" si="30"/>
        <v>9.5750359046126334</v>
      </c>
      <c r="V211" s="11">
        <f>EarningsPerDay[[#This Row],[Gross Earnings]]/EarningsPerDay[[#This Row],[Deliveries]]</f>
        <v>12.311666666666667</v>
      </c>
      <c r="W211" s="11">
        <f>EarningsPerDay[[#This Row],[Gross Earnings]]/EarningsPerDay[[#This Row],[Miles]]</f>
        <v>0.71234329797492768</v>
      </c>
      <c r="X211" s="71">
        <f>EarningsPerDay[[#This Row],[Deliveries]]/EarningsPerDay[[#This Row],[Hours]]</f>
        <v>1.132075471698113</v>
      </c>
      <c r="Y211" s="71">
        <f>EarningsPerDay[[#This Row],[Miles]]/EarningsPerDay[[#This Row],[Deliveries]]</f>
        <v>17.283333333333335</v>
      </c>
      <c r="Z211" s="81">
        <f>(EarningsPerDay[[#This Row],[Hours]]/EarningsPerDay[[#This Row],[Deliveries]])/24</f>
        <v>3.6805555555555557E-2</v>
      </c>
      <c r="AA2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-11.725932471869784</v>
      </c>
      <c r="AB211" s="11">
        <f>AVERAGEIFS(EarningsPerDay[Gross $/Hour],EarningsPerDay[Week '#], EarningsPerDay[[#This Row],[Week '#]], EarningsPerDay[DOW], EarningsPerDay[[#This Row],[DOW]])</f>
        <v>15.442748521543226</v>
      </c>
      <c r="AC211" s="11">
        <f>EarningsPerDay[[#This Row],[Gross $/Hour]] - EarningsPerDay[[#This Row],[Weekly Average Earnings]]</f>
        <v>-1.5050126724866235</v>
      </c>
      <c r="AD211" s="11">
        <f>(SUMIFS(EarningsPerDay[Gross Earnings], EarningsPerDay[Date],"&gt;="&amp;EarningsPerDay[[#This Row],[Date]]-89, EarningsPerDay[Date], "&lt;="&amp;EarningsPerDay[[#This Row],[Date]]))/90</f>
        <v>54.833333333333336</v>
      </c>
    </row>
    <row r="212" spans="2:30" x14ac:dyDescent="0.35">
      <c r="B212" s="40">
        <v>44898</v>
      </c>
      <c r="C212" s="40">
        <f t="shared" si="27"/>
        <v>44898</v>
      </c>
      <c r="D212" s="4">
        <f>IF(EarningsPerDay[[#This Row],[Week '#]]&gt;=52,YEAR(EarningsPerDay[[#This Row],[Date]])-1,YEAR(EarningsPerDay[[#This Row],[Date]]))</f>
        <v>2022</v>
      </c>
      <c r="E212" s="4" t="str">
        <f>"QTR"&amp;IF(EarningsPerDay[[#This Row],[Week '#]] &lt;= 13, 1, IF(EarningsPerDay[[#This Row],[Week '#]] &lt;= 26, 2, IF(EarningsPerDay[[#This Row],[Week '#]] &lt;= 39, 3, 4)))</f>
        <v>QTR4</v>
      </c>
      <c r="F2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12" s="4">
        <f>IF(WEEKNUM(EarningsPerDay[[#This Row],[Date]], 2) = 53, 1, WEEKNUM(EarningsPerDay[[#This Row],[Date]],2))</f>
        <v>49</v>
      </c>
      <c r="H212" s="40" t="str">
        <f t="shared" si="28"/>
        <v>Saturday</v>
      </c>
      <c r="I212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212" s="40" t="str" cm="1">
        <f t="array" ref="J212">IFERROR(VLOOKUP(MODE(IF(Combined[Date]=EarningsPerDay[[#This Row],[Date]],Combined[Area '#])),KPIs!$B$4:$C$7,2,FALSE),VLOOKUP(EarningsPerDay[[#This Row],[Date]],Combined[[Date]:[Primary Area]],8,FALSE))</f>
        <v>Lewiston</v>
      </c>
      <c r="K212" s="40" t="str">
        <f>_xlfn.XLOOKUP(EarningsPerDay[[#This Row],[Date]],Mileage[Date],Mileage[Weather])</f>
        <v>Partially Cloudy</v>
      </c>
      <c r="L212" s="4">
        <f>_xlfn.XLOOKUP(EarningsPerDay[[#This Row],[Date]],Mileage[Date],Mileage[Hi Temp])</f>
        <v>38.1</v>
      </c>
      <c r="M212" s="12">
        <f>_xlfn.XLOOKUP(EarningsPerDay[[#This Row],[Date]],Mileage[Date],Mileage[Total Time])</f>
        <v>9.08</v>
      </c>
      <c r="N212" s="4">
        <f>_xlfn.XLOOKUP(EarningsPerDay[[#This Row],[Date]],Mileage[Date],Mileage[Mileage])</f>
        <v>112</v>
      </c>
      <c r="O212" s="4">
        <f>SUMIF(Combined[Date],EarningsPerDay[[#This Row],[Date]],Combined[Trips])</f>
        <v>21</v>
      </c>
      <c r="P212">
        <f>COUNTIF(Combined[Date],EarningsPerDay[[#This Row],[Date]])</f>
        <v>6</v>
      </c>
      <c r="Q2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2" s="11">
        <f>SUMIF(Combined[Date],EarningsPerDay[[#This Row],[Date]],Combined[Earnings])</f>
        <v>169.07999999999998</v>
      </c>
      <c r="S212" s="11">
        <f ca="1">EarningsPerDay[[#This Row],[Gross Earnings]]-(EarningsPerDay[[#This Row],[Miles]]*CpM!$D$11)</f>
        <v>144.10701362563219</v>
      </c>
      <c r="T212" s="11">
        <f t="shared" si="29"/>
        <v>18.621145374449338</v>
      </c>
      <c r="U212" s="11">
        <f t="shared" ca="1" si="30"/>
        <v>15.870816478593854</v>
      </c>
      <c r="V212" s="11">
        <f>EarningsPerDay[[#This Row],[Gross Earnings]]/EarningsPerDay[[#This Row],[Deliveries]]</f>
        <v>8.0514285714285698</v>
      </c>
      <c r="W212" s="11">
        <f>EarningsPerDay[[#This Row],[Gross Earnings]]/EarningsPerDay[[#This Row],[Miles]]</f>
        <v>1.5096428571428571</v>
      </c>
      <c r="X212" s="71">
        <f>EarningsPerDay[[#This Row],[Deliveries]]/EarningsPerDay[[#This Row],[Hours]]</f>
        <v>2.3127753303964758</v>
      </c>
      <c r="Y212" s="71">
        <f>EarningsPerDay[[#This Row],[Miles]]/EarningsPerDay[[#This Row],[Deliveries]]</f>
        <v>5.333333333333333</v>
      </c>
      <c r="Z212" s="81">
        <f>(EarningsPerDay[[#This Row],[Hours]]/EarningsPerDay[[#This Row],[Deliveries]])/24</f>
        <v>1.8015873015873016E-2</v>
      </c>
      <c r="AA2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-16.372074964533706</v>
      </c>
      <c r="AB212" s="11">
        <f>AVERAGEIFS(EarningsPerDay[Gross $/Hour],EarningsPerDay[Week '#], EarningsPerDay[[#This Row],[Week '#]], EarningsPerDay[DOW], EarningsPerDay[[#This Row],[DOW]])</f>
        <v>20.464828006373605</v>
      </c>
      <c r="AC212" s="11">
        <f>EarningsPerDay[[#This Row],[Gross $/Hour]] - EarningsPerDay[[#This Row],[Weekly Average Earnings]]</f>
        <v>-1.843682631924267</v>
      </c>
      <c r="AD212" s="11">
        <f>(SUMIFS(EarningsPerDay[Gross Earnings], EarningsPerDay[Date],"&gt;="&amp;EarningsPerDay[[#This Row],[Date]]-89, EarningsPerDay[Date], "&lt;="&amp;EarningsPerDay[[#This Row],[Date]]))/90</f>
        <v>54.645444444444436</v>
      </c>
    </row>
    <row r="213" spans="2:30" x14ac:dyDescent="0.35">
      <c r="B213" s="40">
        <v>44900</v>
      </c>
      <c r="C213" s="40">
        <f t="shared" si="27"/>
        <v>44900</v>
      </c>
      <c r="D213" s="4">
        <f>IF(EarningsPerDay[[#This Row],[Week '#]]&gt;=52,YEAR(EarningsPerDay[[#This Row],[Date]])-1,YEAR(EarningsPerDay[[#This Row],[Date]]))</f>
        <v>2022</v>
      </c>
      <c r="E213" s="4" t="str">
        <f>"QTR"&amp;IF(EarningsPerDay[[#This Row],[Week '#]] &lt;= 13, 1, IF(EarningsPerDay[[#This Row],[Week '#]] &lt;= 26, 2, IF(EarningsPerDay[[#This Row],[Week '#]] &lt;= 39, 3, 4)))</f>
        <v>QTR4</v>
      </c>
      <c r="F2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3" s="4">
        <f>IF(WEEKNUM(EarningsPerDay[[#This Row],[Date]], 2) = 53, 1, WEEKNUM(EarningsPerDay[[#This Row],[Date]],2))</f>
        <v>50</v>
      </c>
      <c r="H213" s="40" t="str">
        <f t="shared" si="28"/>
        <v>Monday</v>
      </c>
      <c r="I21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13" s="40" t="str" cm="1">
        <f t="array" ref="J213">IFERROR(VLOOKUP(MODE(IF(Combined[Date]=EarningsPerDay[[#This Row],[Date]],Combined[Area '#])),KPIs!$B$4:$C$7,2,FALSE),VLOOKUP(EarningsPerDay[[#This Row],[Date]],Combined[[Date]:[Primary Area]],8,FALSE))</f>
        <v>Portland</v>
      </c>
      <c r="K213" s="40" t="str">
        <f>_xlfn.XLOOKUP(EarningsPerDay[[#This Row],[Date]],Mileage[Date],Mileage[Weather])</f>
        <v>Rain</v>
      </c>
      <c r="L213" s="4">
        <f>_xlfn.XLOOKUP(EarningsPerDay[[#This Row],[Date]],Mileage[Date],Mileage[Hi Temp])</f>
        <v>51.3</v>
      </c>
      <c r="M213" s="12">
        <f>_xlfn.XLOOKUP(EarningsPerDay[[#This Row],[Date]],Mileage[Date],Mileage[Total Time])</f>
        <v>9.1</v>
      </c>
      <c r="N213" s="4">
        <f>_xlfn.XLOOKUP(EarningsPerDay[[#This Row],[Date]],Mileage[Date],Mileage[Mileage])</f>
        <v>97.8</v>
      </c>
      <c r="O213" s="4">
        <f>SUMIF(Combined[Date],EarningsPerDay[[#This Row],[Date]],Combined[Trips])</f>
        <v>9</v>
      </c>
      <c r="P213">
        <f>COUNTIF(Combined[Date],EarningsPerDay[[#This Row],[Date]])</f>
        <v>2</v>
      </c>
      <c r="Q2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3" s="11">
        <f>SUMIF(Combined[Date],EarningsPerDay[[#This Row],[Date]],Combined[Earnings])</f>
        <v>71.63</v>
      </c>
      <c r="S213" s="11">
        <f ca="1">EarningsPerDay[[#This Row],[Gross Earnings]]-(EarningsPerDay[[#This Row],[Miles]]*CpM!$D$11)</f>
        <v>49.823231540953842</v>
      </c>
      <c r="T213" s="11">
        <f t="shared" si="29"/>
        <v>7.871428571428571</v>
      </c>
      <c r="U213" s="11">
        <f t="shared" ca="1" si="30"/>
        <v>5.4750803891158073</v>
      </c>
      <c r="V213" s="11">
        <f>EarningsPerDay[[#This Row],[Gross Earnings]]/EarningsPerDay[[#This Row],[Deliveries]]</f>
        <v>7.9588888888888887</v>
      </c>
      <c r="W213" s="11">
        <f>EarningsPerDay[[#This Row],[Gross Earnings]]/EarningsPerDay[[#This Row],[Miles]]</f>
        <v>0.73241308793456028</v>
      </c>
      <c r="X213" s="71">
        <f>EarningsPerDay[[#This Row],[Deliveries]]/EarningsPerDay[[#This Row],[Hours]]</f>
        <v>0.98901098901098905</v>
      </c>
      <c r="Y213" s="71">
        <f>EarningsPerDay[[#This Row],[Miles]]/EarningsPerDay[[#This Row],[Deliveries]]</f>
        <v>10.866666666666667</v>
      </c>
      <c r="Z213" s="81">
        <f>(EarningsPerDay[[#This Row],[Hours]]/EarningsPerDay[[#This Row],[Deliveries]])/24</f>
        <v>4.2129629629629628E-2</v>
      </c>
      <c r="AA2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-9.9594328883485197</v>
      </c>
      <c r="AB213" s="11">
        <f>AVERAGEIFS(EarningsPerDay[Gross $/Hour],EarningsPerDay[Week '#], EarningsPerDay[[#This Row],[Week '#]], EarningsPerDay[DOW], EarningsPerDay[[#This Row],[DOW]])</f>
        <v>22.79137036513114</v>
      </c>
      <c r="AC213" s="11">
        <f>EarningsPerDay[[#This Row],[Gross $/Hour]] - EarningsPerDay[[#This Row],[Weekly Average Earnings]]</f>
        <v>-14.91994179370257</v>
      </c>
      <c r="AD213" s="11">
        <f>(SUMIFS(EarningsPerDay[Gross Earnings], EarningsPerDay[Date],"&gt;="&amp;EarningsPerDay[[#This Row],[Date]]-89, EarningsPerDay[Date], "&lt;="&amp;EarningsPerDay[[#This Row],[Date]]))/90</f>
        <v>52.284555555555549</v>
      </c>
    </row>
    <row r="214" spans="2:30" x14ac:dyDescent="0.35">
      <c r="B214" s="40">
        <v>44902</v>
      </c>
      <c r="C214" s="40">
        <f t="shared" si="27"/>
        <v>44902</v>
      </c>
      <c r="D214" s="4">
        <f>IF(EarningsPerDay[[#This Row],[Week '#]]&gt;=52,YEAR(EarningsPerDay[[#This Row],[Date]])-1,YEAR(EarningsPerDay[[#This Row],[Date]]))</f>
        <v>2022</v>
      </c>
      <c r="E214" s="4" t="str">
        <f>"QTR"&amp;IF(EarningsPerDay[[#This Row],[Week '#]] &lt;= 13, 1, IF(EarningsPerDay[[#This Row],[Week '#]] &lt;= 26, 2, IF(EarningsPerDay[[#This Row],[Week '#]] &lt;= 39, 3, 4)))</f>
        <v>QTR4</v>
      </c>
      <c r="F2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4" s="4">
        <f>IF(WEEKNUM(EarningsPerDay[[#This Row],[Date]], 2) = 53, 1, WEEKNUM(EarningsPerDay[[#This Row],[Date]],2))</f>
        <v>50</v>
      </c>
      <c r="H214" s="40" t="str">
        <f t="shared" si="28"/>
        <v>Wednesday</v>
      </c>
      <c r="I214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214" s="40" t="str" cm="1">
        <f t="array" ref="J214">IFERROR(VLOOKUP(MODE(IF(Combined[Date]=EarningsPerDay[[#This Row],[Date]],Combined[Area '#])),KPIs!$B$4:$C$7,2,FALSE),VLOOKUP(EarningsPerDay[[#This Row],[Date]],Combined[[Date]:[Primary Area]],8,FALSE))</f>
        <v>Brunswick/Bath/Freeport</v>
      </c>
      <c r="K214" s="40" t="str">
        <f>_xlfn.XLOOKUP(EarningsPerDay[[#This Row],[Date]],Mileage[Date],Mileage[Weather])</f>
        <v>Rain</v>
      </c>
      <c r="L214" s="4">
        <f>_xlfn.XLOOKUP(EarningsPerDay[[#This Row],[Date]],Mileage[Date],Mileage[Hi Temp])</f>
        <v>46.1</v>
      </c>
      <c r="M214" s="12">
        <f>_xlfn.XLOOKUP(EarningsPerDay[[#This Row],[Date]],Mileage[Date],Mileage[Total Time])</f>
        <v>4.5</v>
      </c>
      <c r="N214" s="4">
        <f>_xlfn.XLOOKUP(EarningsPerDay[[#This Row],[Date]],Mileage[Date],Mileage[Mileage])</f>
        <v>150.39999999999998</v>
      </c>
      <c r="O214" s="4">
        <f>SUMIF(Combined[Date],EarningsPerDay[[#This Row],[Date]],Combined[Trips])</f>
        <v>14</v>
      </c>
      <c r="P214">
        <f>COUNTIF(Combined[Date],EarningsPerDay[[#This Row],[Date]])</f>
        <v>3</v>
      </c>
      <c r="Q21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14" s="11">
        <f>SUMIF(Combined[Date],EarningsPerDay[[#This Row],[Date]],Combined[Earnings])</f>
        <v>165.23000000000002</v>
      </c>
      <c r="S214" s="11">
        <f ca="1">EarningsPerDay[[#This Row],[Gross Earnings]]-(EarningsPerDay[[#This Row],[Miles]]*CpM!$D$11)</f>
        <v>131.69484686870612</v>
      </c>
      <c r="T214" s="11">
        <f t="shared" si="29"/>
        <v>36.717777777777783</v>
      </c>
      <c r="U214" s="11">
        <f t="shared" ca="1" si="30"/>
        <v>29.265521526379139</v>
      </c>
      <c r="V214" s="11">
        <f>EarningsPerDay[[#This Row],[Gross Earnings]]/EarningsPerDay[[#This Row],[Deliveries]]</f>
        <v>11.802142857142858</v>
      </c>
      <c r="W214" s="11">
        <f>EarningsPerDay[[#This Row],[Gross Earnings]]/EarningsPerDay[[#This Row],[Miles]]</f>
        <v>1.0986037234042556</v>
      </c>
      <c r="X214" s="71">
        <f>EarningsPerDay[[#This Row],[Deliveries]]/EarningsPerDay[[#This Row],[Hours]]</f>
        <v>3.1111111111111112</v>
      </c>
      <c r="Y214" s="71">
        <f>EarningsPerDay[[#This Row],[Miles]]/EarningsPerDay[[#This Row],[Deliveries]]</f>
        <v>10.742857142857142</v>
      </c>
      <c r="Z214" s="81">
        <f>(EarningsPerDay[[#This Row],[Hours]]/EarningsPerDay[[#This Row],[Deliveries]])/24</f>
        <v>1.3392857142857144E-2</v>
      </c>
      <c r="AA2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18.281037087912097</v>
      </c>
      <c r="AB214" s="11">
        <f>AVERAGEIFS(EarningsPerDay[Gross $/Hour],EarningsPerDay[Week '#], EarningsPerDay[[#This Row],[Week '#]], EarningsPerDay[DOW], EarningsPerDay[[#This Row],[DOW]])</f>
        <v>28.248499278499281</v>
      </c>
      <c r="AC214" s="11">
        <f>EarningsPerDay[[#This Row],[Gross $/Hour]] - EarningsPerDay[[#This Row],[Weekly Average Earnings]]</f>
        <v>8.4692784992785022</v>
      </c>
      <c r="AD214" s="11">
        <f>(SUMIFS(EarningsPerDay[Gross Earnings], EarningsPerDay[Date],"&gt;="&amp;EarningsPerDay[[#This Row],[Date]]-89, EarningsPerDay[Date], "&lt;="&amp;EarningsPerDay[[#This Row],[Date]]))/90</f>
        <v>52.635999999999996</v>
      </c>
    </row>
    <row r="215" spans="2:30" x14ac:dyDescent="0.35">
      <c r="B215" s="40">
        <v>44903</v>
      </c>
      <c r="C215" s="40">
        <f t="shared" si="27"/>
        <v>44903</v>
      </c>
      <c r="D215" s="4">
        <f>IF(EarningsPerDay[[#This Row],[Week '#]]&gt;=52,YEAR(EarningsPerDay[[#This Row],[Date]])-1,YEAR(EarningsPerDay[[#This Row],[Date]]))</f>
        <v>2022</v>
      </c>
      <c r="E215" s="4" t="str">
        <f>"QTR"&amp;IF(EarningsPerDay[[#This Row],[Week '#]] &lt;= 13, 1, IF(EarningsPerDay[[#This Row],[Week '#]] &lt;= 26, 2, IF(EarningsPerDay[[#This Row],[Week '#]] &lt;= 39, 3, 4)))</f>
        <v>QTR4</v>
      </c>
      <c r="F2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5" s="4">
        <f>IF(WEEKNUM(EarningsPerDay[[#This Row],[Date]], 2) = 53, 1, WEEKNUM(EarningsPerDay[[#This Row],[Date]],2))</f>
        <v>50</v>
      </c>
      <c r="H215" s="40" t="str">
        <f t="shared" si="28"/>
        <v>Thursday</v>
      </c>
      <c r="I21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15" s="40" t="str" cm="1">
        <f t="array" ref="J215">IFERROR(VLOOKUP(MODE(IF(Combined[Date]=EarningsPerDay[[#This Row],[Date]],Combined[Area '#])),KPIs!$B$4:$C$7,2,FALSE),VLOOKUP(EarningsPerDay[[#This Row],[Date]],Combined[[Date]:[Primary Area]],8,FALSE))</f>
        <v>Brunswick/Bath/Freeport</v>
      </c>
      <c r="K215" s="40" t="str">
        <f>_xlfn.XLOOKUP(EarningsPerDay[[#This Row],[Date]],Mileage[Date],Mileage[Weather])</f>
        <v>Clear</v>
      </c>
      <c r="L215" s="4">
        <f>_xlfn.XLOOKUP(EarningsPerDay[[#This Row],[Date]],Mileage[Date],Mileage[Hi Temp])</f>
        <v>34.9</v>
      </c>
      <c r="M215" s="12">
        <f>_xlfn.XLOOKUP(EarningsPerDay[[#This Row],[Date]],Mileage[Date],Mileage[Total Time])</f>
        <v>7.2</v>
      </c>
      <c r="N215" s="4">
        <f>_xlfn.XLOOKUP(EarningsPerDay[[#This Row],[Date]],Mileage[Date],Mileage[Mileage])</f>
        <v>120.1</v>
      </c>
      <c r="O215" s="4">
        <f>SUMIF(Combined[Date],EarningsPerDay[[#This Row],[Date]],Combined[Trips])</f>
        <v>9</v>
      </c>
      <c r="P215">
        <f>COUNTIF(Combined[Date],EarningsPerDay[[#This Row],[Date]])</f>
        <v>3</v>
      </c>
      <c r="Q21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15" s="11">
        <f>SUMIF(Combined[Date],EarningsPerDay[[#This Row],[Date]],Combined[Earnings])</f>
        <v>96.51</v>
      </c>
      <c r="S215" s="11">
        <f ca="1">EarningsPerDay[[#This Row],[Gross Earnings]]-(EarningsPerDay[[#This Row],[Miles]]*CpM!$D$11)</f>
        <v>69.730931575343121</v>
      </c>
      <c r="T215" s="11">
        <f t="shared" si="29"/>
        <v>13.404166666666667</v>
      </c>
      <c r="U215" s="11">
        <f t="shared" ca="1" si="30"/>
        <v>9.6848516076865447</v>
      </c>
      <c r="V215" s="11">
        <f>EarningsPerDay[[#This Row],[Gross Earnings]]/EarningsPerDay[[#This Row],[Deliveries]]</f>
        <v>10.723333333333334</v>
      </c>
      <c r="W215" s="11">
        <f>EarningsPerDay[[#This Row],[Gross Earnings]]/EarningsPerDay[[#This Row],[Miles]]</f>
        <v>0.80358034970857628</v>
      </c>
      <c r="X215" s="71">
        <f>EarningsPerDay[[#This Row],[Deliveries]]/EarningsPerDay[[#This Row],[Hours]]</f>
        <v>1.25</v>
      </c>
      <c r="Y215" s="71">
        <f>EarningsPerDay[[#This Row],[Miles]]/EarningsPerDay[[#This Row],[Deliveries]]</f>
        <v>13.344444444444443</v>
      </c>
      <c r="Z215" s="81">
        <f>(EarningsPerDay[[#This Row],[Hours]]/EarningsPerDay[[#This Row],[Deliveries]])/24</f>
        <v>3.3333333333333333E-2</v>
      </c>
      <c r="AA2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-9.3280185362922747</v>
      </c>
      <c r="AB215" s="11">
        <f>AVERAGEIFS(EarningsPerDay[Gross $/Hour],EarningsPerDay[Week '#], EarningsPerDay[[#This Row],[Week '#]], EarningsPerDay[DOW], EarningsPerDay[[#This Row],[DOW]])</f>
        <v>20.118243620248233</v>
      </c>
      <c r="AC215" s="11">
        <f>EarningsPerDay[[#This Row],[Gross $/Hour]] - EarningsPerDay[[#This Row],[Weekly Average Earnings]]</f>
        <v>-6.7140769535815661</v>
      </c>
      <c r="AD215" s="11">
        <f>(SUMIFS(EarningsPerDay[Gross Earnings], EarningsPerDay[Date],"&gt;="&amp;EarningsPerDay[[#This Row],[Date]]-89, EarningsPerDay[Date], "&lt;="&amp;EarningsPerDay[[#This Row],[Date]]))/90</f>
        <v>52.479555555555557</v>
      </c>
    </row>
    <row r="216" spans="2:30" x14ac:dyDescent="0.35">
      <c r="B216" s="40">
        <v>44904</v>
      </c>
      <c r="C216" s="40">
        <f t="shared" si="27"/>
        <v>44904</v>
      </c>
      <c r="D216" s="4">
        <f>IF(EarningsPerDay[[#This Row],[Week '#]]&gt;=52,YEAR(EarningsPerDay[[#This Row],[Date]])-1,YEAR(EarningsPerDay[[#This Row],[Date]]))</f>
        <v>2022</v>
      </c>
      <c r="E216" s="4" t="str">
        <f>"QTR"&amp;IF(EarningsPerDay[[#This Row],[Week '#]] &lt;= 13, 1, IF(EarningsPerDay[[#This Row],[Week '#]] &lt;= 26, 2, IF(EarningsPerDay[[#This Row],[Week '#]] &lt;= 39, 3, 4)))</f>
        <v>QTR4</v>
      </c>
      <c r="F2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6" s="4">
        <f>IF(WEEKNUM(EarningsPerDay[[#This Row],[Date]], 2) = 53, 1, WEEKNUM(EarningsPerDay[[#This Row],[Date]],2))</f>
        <v>50</v>
      </c>
      <c r="H216" s="40" t="str">
        <f t="shared" si="28"/>
        <v>Friday</v>
      </c>
      <c r="I21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16" s="40" t="str" cm="1">
        <f t="array" ref="J216">IFERROR(VLOOKUP(MODE(IF(Combined[Date]=EarningsPerDay[[#This Row],[Date]],Combined[Area '#])),KPIs!$B$4:$C$7,2,FALSE),VLOOKUP(EarningsPerDay[[#This Row],[Date]],Combined[[Date]:[Primary Area]],8,FALSE))</f>
        <v>Brunswick/Bath/Freeport</v>
      </c>
      <c r="K216" s="40" t="str">
        <f>_xlfn.XLOOKUP(EarningsPerDay[[#This Row],[Date]],Mileage[Date],Mileage[Weather])</f>
        <v>Partially Cloudy</v>
      </c>
      <c r="L216" s="4">
        <f>_xlfn.XLOOKUP(EarningsPerDay[[#This Row],[Date]],Mileage[Date],Mileage[Hi Temp])</f>
        <v>21.2</v>
      </c>
      <c r="M216" s="12">
        <f>_xlfn.XLOOKUP(EarningsPerDay[[#This Row],[Date]],Mileage[Date],Mileage[Total Time])</f>
        <v>4.5</v>
      </c>
      <c r="N216" s="4">
        <f>_xlfn.XLOOKUP(EarningsPerDay[[#This Row],[Date]],Mileage[Date],Mileage[Mileage])</f>
        <v>96</v>
      </c>
      <c r="O216" s="4">
        <f>SUMIF(Combined[Date],EarningsPerDay[[#This Row],[Date]],Combined[Trips])</f>
        <v>12</v>
      </c>
      <c r="P216">
        <f>COUNTIF(Combined[Date],EarningsPerDay[[#This Row],[Date]])</f>
        <v>2</v>
      </c>
      <c r="Q2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6" s="11">
        <f>SUMIF(Combined[Date],EarningsPerDay[[#This Row],[Date]],Combined[Earnings])</f>
        <v>142.44999999999999</v>
      </c>
      <c r="S216" s="11">
        <f ca="1">EarningsPerDay[[#This Row],[Gross Earnings]]-(EarningsPerDay[[#This Row],[Miles]]*CpM!$D$11)</f>
        <v>121.04458310768474</v>
      </c>
      <c r="T216" s="11">
        <f t="shared" si="29"/>
        <v>31.655555555555551</v>
      </c>
      <c r="U216" s="11">
        <f t="shared" ca="1" si="30"/>
        <v>26.898796246152166</v>
      </c>
      <c r="V216" s="11">
        <f>EarningsPerDay[[#This Row],[Gross Earnings]]/EarningsPerDay[[#This Row],[Deliveries]]</f>
        <v>11.870833333333332</v>
      </c>
      <c r="W216" s="11">
        <f>EarningsPerDay[[#This Row],[Gross Earnings]]/EarningsPerDay[[#This Row],[Miles]]</f>
        <v>1.4838541666666665</v>
      </c>
      <c r="X216" s="71">
        <f>EarningsPerDay[[#This Row],[Deliveries]]/EarningsPerDay[[#This Row],[Hours]]</f>
        <v>2.6666666666666665</v>
      </c>
      <c r="Y216" s="71">
        <f>EarningsPerDay[[#This Row],[Miles]]/EarningsPerDay[[#This Row],[Deliveries]]</f>
        <v>8</v>
      </c>
      <c r="Z216" s="81">
        <f>(EarningsPerDay[[#This Row],[Hours]]/EarningsPerDay[[#This Row],[Deliveries]])/24</f>
        <v>1.5625E-2</v>
      </c>
      <c r="AA2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8.9520149100427453</v>
      </c>
      <c r="AB216" s="11">
        <f>AVERAGEIFS(EarningsPerDay[Gross $/Hour],EarningsPerDay[Week '#], EarningsPerDay[[#This Row],[Week '#]], EarningsPerDay[DOW], EarningsPerDay[[#This Row],[DOW]])</f>
        <v>21.738060193229416</v>
      </c>
      <c r="AC216" s="11">
        <f>EarningsPerDay[[#This Row],[Gross $/Hour]] - EarningsPerDay[[#This Row],[Weekly Average Earnings]]</f>
        <v>9.9174953623261359</v>
      </c>
      <c r="AD216" s="11">
        <f>(SUMIFS(EarningsPerDay[Gross Earnings], EarningsPerDay[Date],"&gt;="&amp;EarningsPerDay[[#This Row],[Date]]-89, EarningsPerDay[Date], "&lt;="&amp;EarningsPerDay[[#This Row],[Date]]))/90</f>
        <v>52.814555555555557</v>
      </c>
    </row>
    <row r="217" spans="2:30" x14ac:dyDescent="0.35">
      <c r="B217" s="40">
        <v>44906</v>
      </c>
      <c r="C217" s="40">
        <f t="shared" si="27"/>
        <v>44906</v>
      </c>
      <c r="D217" s="4">
        <f>IF(EarningsPerDay[[#This Row],[Week '#]]&gt;=52,YEAR(EarningsPerDay[[#This Row],[Date]])-1,YEAR(EarningsPerDay[[#This Row],[Date]]))</f>
        <v>2022</v>
      </c>
      <c r="E217" s="4" t="str">
        <f>"QTR"&amp;IF(EarningsPerDay[[#This Row],[Week '#]] &lt;= 13, 1, IF(EarningsPerDay[[#This Row],[Week '#]] &lt;= 26, 2, IF(EarningsPerDay[[#This Row],[Week '#]] &lt;= 39, 3, 4)))</f>
        <v>QTR4</v>
      </c>
      <c r="F2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17" s="4">
        <f>IF(WEEKNUM(EarningsPerDay[[#This Row],[Date]], 2) = 53, 1, WEEKNUM(EarningsPerDay[[#This Row],[Date]],2))</f>
        <v>50</v>
      </c>
      <c r="H217" s="40" t="str">
        <f t="shared" si="28"/>
        <v>Sunday</v>
      </c>
      <c r="I21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17" s="40" t="str" cm="1">
        <f t="array" ref="J217">IFERROR(VLOOKUP(MODE(IF(Combined[Date]=EarningsPerDay[[#This Row],[Date]],Combined[Area '#])),KPIs!$B$4:$C$7,2,FALSE),VLOOKUP(EarningsPerDay[[#This Row],[Date]],Combined[[Date]:[Primary Area]],8,FALSE))</f>
        <v>Augusta</v>
      </c>
      <c r="K217" s="40" t="str">
        <f>_xlfn.XLOOKUP(EarningsPerDay[[#This Row],[Date]],Mileage[Date],Mileage[Weather])</f>
        <v>Light Snow</v>
      </c>
      <c r="L217" s="4">
        <f>_xlfn.XLOOKUP(EarningsPerDay[[#This Row],[Date]],Mileage[Date],Mileage[Hi Temp])</f>
        <v>26.7</v>
      </c>
      <c r="M217" s="12">
        <f>_xlfn.XLOOKUP(EarningsPerDay[[#This Row],[Date]],Mileage[Date],Mileage[Total Time])</f>
        <v>3.1</v>
      </c>
      <c r="N217" s="4">
        <f>_xlfn.XLOOKUP(EarningsPerDay[[#This Row],[Date]],Mileage[Date],Mileage[Mileage])</f>
        <v>92.1</v>
      </c>
      <c r="O217" s="4">
        <f>SUMIF(Combined[Date],EarningsPerDay[[#This Row],[Date]],Combined[Trips])</f>
        <v>5</v>
      </c>
      <c r="P217">
        <f>COUNTIF(Combined[Date],EarningsPerDay[[#This Row],[Date]])</f>
        <v>1</v>
      </c>
      <c r="Q2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7" s="11">
        <f>SUMIF(Combined[Date],EarningsPerDay[[#This Row],[Date]],Combined[Earnings])</f>
        <v>51.13</v>
      </c>
      <c r="S217" s="11">
        <f ca="1">EarningsPerDay[[#This Row],[Gross Earnings]]-(EarningsPerDay[[#This Row],[Miles]]*CpM!$D$11)</f>
        <v>30.594178168935063</v>
      </c>
      <c r="T217" s="11">
        <f t="shared" si="29"/>
        <v>16.493548387096773</v>
      </c>
      <c r="U217" s="11">
        <f t="shared" ca="1" si="30"/>
        <v>9.8690897319145368</v>
      </c>
      <c r="V217" s="11">
        <f>EarningsPerDay[[#This Row],[Gross Earnings]]/EarningsPerDay[[#This Row],[Deliveries]]</f>
        <v>10.226000000000001</v>
      </c>
      <c r="W217" s="11">
        <f>EarningsPerDay[[#This Row],[Gross Earnings]]/EarningsPerDay[[#This Row],[Miles]]</f>
        <v>0.55515743756786107</v>
      </c>
      <c r="X217" s="71">
        <f>EarningsPerDay[[#This Row],[Deliveries]]/EarningsPerDay[[#This Row],[Hours]]</f>
        <v>1.6129032258064515</v>
      </c>
      <c r="Y217" s="71">
        <f>EarningsPerDay[[#This Row],[Miles]]/EarningsPerDay[[#This Row],[Deliveries]]</f>
        <v>18.419999999999998</v>
      </c>
      <c r="Z217" s="81">
        <f>(EarningsPerDay[[#This Row],[Hours]]/EarningsPerDay[[#This Row],[Deliveries]])/24</f>
        <v>2.5833333333333333E-2</v>
      </c>
      <c r="AA21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17" s="11">
        <f>AVERAGEIFS(EarningsPerDay[Gross $/Hour],EarningsPerDay[Week '#], EarningsPerDay[[#This Row],[Week '#]], EarningsPerDay[DOW], EarningsPerDay[[#This Row],[DOW]])</f>
        <v>17.838993213721295</v>
      </c>
      <c r="AC217" s="11">
        <f>EarningsPerDay[[#This Row],[Gross $/Hour]] - EarningsPerDay[[#This Row],[Weekly Average Earnings]]</f>
        <v>-1.3454448266245222</v>
      </c>
      <c r="AD217" s="11">
        <f>(SUMIFS(EarningsPerDay[Gross Earnings], EarningsPerDay[Date],"&gt;="&amp;EarningsPerDay[[#This Row],[Date]]-89, EarningsPerDay[Date], "&lt;="&amp;EarningsPerDay[[#This Row],[Date]]))/90</f>
        <v>50.538444444444458</v>
      </c>
    </row>
    <row r="218" spans="2:30" x14ac:dyDescent="0.35">
      <c r="B218" s="40">
        <v>44907</v>
      </c>
      <c r="C218" s="40">
        <f t="shared" si="27"/>
        <v>44907</v>
      </c>
      <c r="D218" s="4">
        <f>IF(EarningsPerDay[[#This Row],[Week '#]]&gt;=52,YEAR(EarningsPerDay[[#This Row],[Date]])-1,YEAR(EarningsPerDay[[#This Row],[Date]]))</f>
        <v>2022</v>
      </c>
      <c r="E218" s="4" t="str">
        <f>"QTR"&amp;IF(EarningsPerDay[[#This Row],[Week '#]] &lt;= 13, 1, IF(EarningsPerDay[[#This Row],[Week '#]] &lt;= 26, 2, IF(EarningsPerDay[[#This Row],[Week '#]] &lt;= 39, 3, 4)))</f>
        <v>QTR4</v>
      </c>
      <c r="F2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18" s="4">
        <f>IF(WEEKNUM(EarningsPerDay[[#This Row],[Date]], 2) = 53, 1, WEEKNUM(EarningsPerDay[[#This Row],[Date]],2))</f>
        <v>51</v>
      </c>
      <c r="H218" s="40" t="str">
        <f t="shared" si="28"/>
        <v>Monday</v>
      </c>
      <c r="I21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18" s="40" t="str" cm="1">
        <f t="array" ref="J218">IFERROR(VLOOKUP(MODE(IF(Combined[Date]=EarningsPerDay[[#This Row],[Date]],Combined[Area '#])),KPIs!$B$4:$C$7,2,FALSE),VLOOKUP(EarningsPerDay[[#This Row],[Date]],Combined[[Date]:[Primary Area]],8,FALSE))</f>
        <v>Lewiston</v>
      </c>
      <c r="K218" s="40" t="str">
        <f>_xlfn.XLOOKUP(EarningsPerDay[[#This Row],[Date]],Mileage[Date],Mileage[Weather])</f>
        <v>Light Snow</v>
      </c>
      <c r="L218" s="4">
        <f>_xlfn.XLOOKUP(EarningsPerDay[[#This Row],[Date]],Mileage[Date],Mileage[Hi Temp])</f>
        <v>27.3</v>
      </c>
      <c r="M218" s="12">
        <f>_xlfn.XLOOKUP(EarningsPerDay[[#This Row],[Date]],Mileage[Date],Mileage[Total Time])</f>
        <v>4.8499999999999996</v>
      </c>
      <c r="N218" s="4">
        <f>_xlfn.XLOOKUP(EarningsPerDay[[#This Row],[Date]],Mileage[Date],Mileage[Mileage])</f>
        <v>82.7</v>
      </c>
      <c r="O218" s="4">
        <f>SUMIF(Combined[Date],EarningsPerDay[[#This Row],[Date]],Combined[Trips])</f>
        <v>12</v>
      </c>
      <c r="P218">
        <f>COUNTIF(Combined[Date],EarningsPerDay[[#This Row],[Date]])</f>
        <v>3</v>
      </c>
      <c r="Q2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18" s="11">
        <f>SUMIF(Combined[Date],EarningsPerDay[[#This Row],[Date]],Combined[Earnings])</f>
        <v>84.9</v>
      </c>
      <c r="S218" s="11">
        <f ca="1">EarningsPerDay[[#This Row],[Gross Earnings]]-(EarningsPerDay[[#This Row],[Miles]]*CpM!$D$11)</f>
        <v>66.460125239640931</v>
      </c>
      <c r="T218" s="11">
        <f t="shared" si="29"/>
        <v>17.505154639175259</v>
      </c>
      <c r="U218" s="11">
        <f t="shared" ca="1" si="30"/>
        <v>13.703118606111532</v>
      </c>
      <c r="V218" s="11">
        <f>EarningsPerDay[[#This Row],[Gross Earnings]]/EarningsPerDay[[#This Row],[Deliveries]]</f>
        <v>7.0750000000000002</v>
      </c>
      <c r="W218" s="11">
        <f>EarningsPerDay[[#This Row],[Gross Earnings]]/EarningsPerDay[[#This Row],[Miles]]</f>
        <v>1.026602176541717</v>
      </c>
      <c r="X218" s="71">
        <f>EarningsPerDay[[#This Row],[Deliveries]]/EarningsPerDay[[#This Row],[Hours]]</f>
        <v>2.4742268041237114</v>
      </c>
      <c r="Y218" s="71">
        <f>EarningsPerDay[[#This Row],[Miles]]/EarningsPerDay[[#This Row],[Deliveries]]</f>
        <v>6.8916666666666666</v>
      </c>
      <c r="Z218" s="81">
        <f>(EarningsPerDay[[#This Row],[Hours]]/EarningsPerDay[[#This Row],[Deliveries]])/24</f>
        <v>1.6840277777777777E-2</v>
      </c>
      <c r="AA2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-12.047196736157481</v>
      </c>
      <c r="AB218" s="11">
        <f>AVERAGEIFS(EarningsPerDay[Gross $/Hour],EarningsPerDay[Week '#], EarningsPerDay[[#This Row],[Week '#]], EarningsPerDay[DOW], EarningsPerDay[[#This Row],[DOW]])</f>
        <v>22.834112091769882</v>
      </c>
      <c r="AC218" s="11">
        <f>EarningsPerDay[[#This Row],[Gross $/Hour]] - EarningsPerDay[[#This Row],[Weekly Average Earnings]]</f>
        <v>-5.3289574525946222</v>
      </c>
      <c r="AD218" s="11">
        <f>(SUMIFS(EarningsPerDay[Gross Earnings], EarningsPerDay[Date],"&gt;="&amp;EarningsPerDay[[#This Row],[Date]]-89, EarningsPerDay[Date], "&lt;="&amp;EarningsPerDay[[#This Row],[Date]]))/90</f>
        <v>51.481777777777786</v>
      </c>
    </row>
    <row r="219" spans="2:30" x14ac:dyDescent="0.35">
      <c r="B219" s="40">
        <v>44908</v>
      </c>
      <c r="C219" s="40">
        <f t="shared" si="27"/>
        <v>44908</v>
      </c>
      <c r="D219" s="4">
        <f>IF(EarningsPerDay[[#This Row],[Week '#]]&gt;=52,YEAR(EarningsPerDay[[#This Row],[Date]])-1,YEAR(EarningsPerDay[[#This Row],[Date]]))</f>
        <v>2022</v>
      </c>
      <c r="E219" s="4" t="str">
        <f>"QTR"&amp;IF(EarningsPerDay[[#This Row],[Week '#]] &lt;= 13, 1, IF(EarningsPerDay[[#This Row],[Week '#]] &lt;= 26, 2, IF(EarningsPerDay[[#This Row],[Week '#]] &lt;= 39, 3, 4)))</f>
        <v>QTR4</v>
      </c>
      <c r="F2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19" s="4">
        <f>IF(WEEKNUM(EarningsPerDay[[#This Row],[Date]], 2) = 53, 1, WEEKNUM(EarningsPerDay[[#This Row],[Date]],2))</f>
        <v>51</v>
      </c>
      <c r="H219" s="40" t="str">
        <f t="shared" si="28"/>
        <v>Tuesday</v>
      </c>
      <c r="I21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19" s="40" t="str" cm="1">
        <f t="array" ref="J219">IFERROR(VLOOKUP(MODE(IF(Combined[Date]=EarningsPerDay[[#This Row],[Date]],Combined[Area '#])),KPIs!$B$4:$C$7,2,FALSE),VLOOKUP(EarningsPerDay[[#This Row],[Date]],Combined[[Date]:[Primary Area]],8,FALSE))</f>
        <v>Brunswick/Bath/Freeport</v>
      </c>
      <c r="K219" s="40" t="str">
        <f>_xlfn.XLOOKUP(EarningsPerDay[[#This Row],[Date]],Mileage[Date],Mileage[Weather])</f>
        <v>Light Snow</v>
      </c>
      <c r="L219" s="4">
        <f>_xlfn.XLOOKUP(EarningsPerDay[[#This Row],[Date]],Mileage[Date],Mileage[Hi Temp])</f>
        <v>31.5</v>
      </c>
      <c r="M219" s="12">
        <f>_xlfn.XLOOKUP(EarningsPerDay[[#This Row],[Date]],Mileage[Date],Mileage[Total Time])</f>
        <v>3.45</v>
      </c>
      <c r="N219" s="4">
        <f>_xlfn.XLOOKUP(EarningsPerDay[[#This Row],[Date]],Mileage[Date],Mileage[Mileage])</f>
        <v>76.7</v>
      </c>
      <c r="O219" s="4">
        <f>SUMIF(Combined[Date],EarningsPerDay[[#This Row],[Date]],Combined[Trips])</f>
        <v>7</v>
      </c>
      <c r="P219">
        <f>COUNTIF(Combined[Date],EarningsPerDay[[#This Row],[Date]])</f>
        <v>3</v>
      </c>
      <c r="Q21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19" s="11">
        <f>SUMIF(Combined[Date],EarningsPerDay[[#This Row],[Date]],Combined[Earnings])</f>
        <v>85.05</v>
      </c>
      <c r="S219" s="11">
        <f ca="1">EarningsPerDay[[#This Row],[Gross Earnings]]-(EarningsPerDay[[#This Row],[Miles]]*CpM!$D$11)</f>
        <v>67.947963795410629</v>
      </c>
      <c r="T219" s="11">
        <f t="shared" si="29"/>
        <v>24.652173913043477</v>
      </c>
      <c r="U219" s="11">
        <f t="shared" ca="1" si="30"/>
        <v>19.69506196968424</v>
      </c>
      <c r="V219" s="11">
        <f>EarningsPerDay[[#This Row],[Gross Earnings]]/EarningsPerDay[[#This Row],[Deliveries]]</f>
        <v>12.15</v>
      </c>
      <c r="W219" s="11">
        <f>EarningsPerDay[[#This Row],[Gross Earnings]]/EarningsPerDay[[#This Row],[Miles]]</f>
        <v>1.1088657105606257</v>
      </c>
      <c r="X219" s="71">
        <f>EarningsPerDay[[#This Row],[Deliveries]]/EarningsPerDay[[#This Row],[Hours]]</f>
        <v>2.0289855072463765</v>
      </c>
      <c r="Y219" s="71">
        <f>EarningsPerDay[[#This Row],[Miles]]/EarningsPerDay[[#This Row],[Deliveries]]</f>
        <v>10.957142857142857</v>
      </c>
      <c r="Z219" s="81">
        <f>(EarningsPerDay[[#This Row],[Hours]]/EarningsPerDay[[#This Row],[Deliveries]])/24</f>
        <v>2.0535714285714286E-2</v>
      </c>
      <c r="AA2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-4.4149829497016242</v>
      </c>
      <c r="AB219" s="11">
        <f>AVERAGEIFS(EarningsPerDay[Gross $/Hour],EarningsPerDay[Week '#], EarningsPerDay[[#This Row],[Week '#]], EarningsPerDay[DOW], EarningsPerDay[[#This Row],[DOW]])</f>
        <v>20.226870246338972</v>
      </c>
      <c r="AC219" s="11">
        <f>EarningsPerDay[[#This Row],[Gross $/Hour]] - EarningsPerDay[[#This Row],[Weekly Average Earnings]]</f>
        <v>4.4253036667045045</v>
      </c>
      <c r="AD219" s="11">
        <f>(SUMIFS(EarningsPerDay[Gross Earnings], EarningsPerDay[Date],"&gt;="&amp;EarningsPerDay[[#This Row],[Date]]-89, EarningsPerDay[Date], "&lt;="&amp;EarningsPerDay[[#This Row],[Date]]))/90</f>
        <v>52.426777777777787</v>
      </c>
    </row>
    <row r="220" spans="2:30" x14ac:dyDescent="0.35">
      <c r="B220" s="40">
        <v>44909</v>
      </c>
      <c r="C220" s="40">
        <f t="shared" si="27"/>
        <v>44909</v>
      </c>
      <c r="D220" s="4">
        <f>IF(EarningsPerDay[[#This Row],[Week '#]]&gt;=52,YEAR(EarningsPerDay[[#This Row],[Date]])-1,YEAR(EarningsPerDay[[#This Row],[Date]]))</f>
        <v>2022</v>
      </c>
      <c r="E220" s="4" t="str">
        <f>"QTR"&amp;IF(EarningsPerDay[[#This Row],[Week '#]] &lt;= 13, 1, IF(EarningsPerDay[[#This Row],[Week '#]] &lt;= 26, 2, IF(EarningsPerDay[[#This Row],[Week '#]] &lt;= 39, 3, 4)))</f>
        <v>QTR4</v>
      </c>
      <c r="F2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20" s="4">
        <f>IF(WEEKNUM(EarningsPerDay[[#This Row],[Date]], 2) = 53, 1, WEEKNUM(EarningsPerDay[[#This Row],[Date]],2))</f>
        <v>51</v>
      </c>
      <c r="H220" s="40" t="str">
        <f t="shared" si="28"/>
        <v>Wednesday</v>
      </c>
      <c r="I22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20" s="40" t="str" cm="1">
        <f t="array" ref="J220">IFERROR(VLOOKUP(MODE(IF(Combined[Date]=EarningsPerDay[[#This Row],[Date]],Combined[Area '#])),KPIs!$B$4:$C$7,2,FALSE),VLOOKUP(EarningsPerDay[[#This Row],[Date]],Combined[[Date]:[Primary Area]],8,FALSE))</f>
        <v>Brunswick/Bath/Freeport</v>
      </c>
      <c r="K220" s="40" t="str">
        <f>_xlfn.XLOOKUP(EarningsPerDay[[#This Row],[Date]],Mileage[Date],Mileage[Weather])</f>
        <v>Light Snow</v>
      </c>
      <c r="L220" s="4">
        <f>_xlfn.XLOOKUP(EarningsPerDay[[#This Row],[Date]],Mileage[Date],Mileage[Hi Temp])</f>
        <v>34.6</v>
      </c>
      <c r="M220" s="12">
        <f>_xlfn.XLOOKUP(EarningsPerDay[[#This Row],[Date]],Mileage[Date],Mileage[Total Time])</f>
        <v>5.55</v>
      </c>
      <c r="N220" s="4">
        <f>_xlfn.XLOOKUP(EarningsPerDay[[#This Row],[Date]],Mileage[Date],Mileage[Mileage])</f>
        <v>114.50000000000001</v>
      </c>
      <c r="O220" s="4">
        <f>SUMIF(Combined[Date],EarningsPerDay[[#This Row],[Date]],Combined[Trips])</f>
        <v>12</v>
      </c>
      <c r="P220">
        <f>COUNTIF(Combined[Date],EarningsPerDay[[#This Row],[Date]])</f>
        <v>2</v>
      </c>
      <c r="Q22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20" s="11">
        <f>SUMIF(Combined[Date],EarningsPerDay[[#This Row],[Date]],Combined[Earnings])</f>
        <v>104.11</v>
      </c>
      <c r="S220" s="11">
        <f ca="1">EarningsPerDay[[#This Row],[Gross Earnings]]-(EarningsPerDay[[#This Row],[Miles]]*CpM!$D$11)</f>
        <v>78.579580894061493</v>
      </c>
      <c r="T220" s="11">
        <f t="shared" si="29"/>
        <v>18.758558558558558</v>
      </c>
      <c r="U220" s="11">
        <f t="shared" ca="1" si="30"/>
        <v>14.158483043975044</v>
      </c>
      <c r="V220" s="11">
        <f>EarningsPerDay[[#This Row],[Gross Earnings]]/EarningsPerDay[[#This Row],[Deliveries]]</f>
        <v>8.6758333333333333</v>
      </c>
      <c r="W220" s="11">
        <f>EarningsPerDay[[#This Row],[Gross Earnings]]/EarningsPerDay[[#This Row],[Miles]]</f>
        <v>0.90925764192139724</v>
      </c>
      <c r="X220" s="71">
        <f>EarningsPerDay[[#This Row],[Deliveries]]/EarningsPerDay[[#This Row],[Hours]]</f>
        <v>2.1621621621621623</v>
      </c>
      <c r="Y220" s="71">
        <f>EarningsPerDay[[#This Row],[Miles]]/EarningsPerDay[[#This Row],[Deliveries]]</f>
        <v>9.5416666666666679</v>
      </c>
      <c r="Z220" s="81">
        <f>(EarningsPerDay[[#This Row],[Hours]]/EarningsPerDay[[#This Row],[Deliveries]])/24</f>
        <v>1.9270833333333331E-2</v>
      </c>
      <c r="AA2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-4.2484414032851525</v>
      </c>
      <c r="AB220" s="11">
        <f>AVERAGEIFS(EarningsPerDay[Gross $/Hour],EarningsPerDay[Week '#], EarningsPerDay[[#This Row],[Week '#]], EarningsPerDay[DOW], EarningsPerDay[[#This Row],[DOW]])</f>
        <v>20.743564993564995</v>
      </c>
      <c r="AC220" s="11">
        <f>EarningsPerDay[[#This Row],[Gross $/Hour]] - EarningsPerDay[[#This Row],[Weekly Average Earnings]]</f>
        <v>-1.9850064350064365</v>
      </c>
      <c r="AD220" s="11">
        <f>(SUMIFS(EarningsPerDay[Gross Earnings], EarningsPerDay[Date],"&gt;="&amp;EarningsPerDay[[#This Row],[Date]]-89, EarningsPerDay[Date], "&lt;="&amp;EarningsPerDay[[#This Row],[Date]]))/90</f>
        <v>51.710000000000008</v>
      </c>
    </row>
    <row r="221" spans="2:30" x14ac:dyDescent="0.35">
      <c r="B221" s="40">
        <v>44910</v>
      </c>
      <c r="C221" s="40">
        <f t="shared" si="27"/>
        <v>44910</v>
      </c>
      <c r="D221" s="4">
        <f>IF(EarningsPerDay[[#This Row],[Week '#]]&gt;=52,YEAR(EarningsPerDay[[#This Row],[Date]])-1,YEAR(EarningsPerDay[[#This Row],[Date]]))</f>
        <v>2022</v>
      </c>
      <c r="E221" s="4" t="str">
        <f>"QTR"&amp;IF(EarningsPerDay[[#This Row],[Week '#]] &lt;= 13, 1, IF(EarningsPerDay[[#This Row],[Week '#]] &lt;= 26, 2, IF(EarningsPerDay[[#This Row],[Week '#]] &lt;= 39, 3, 4)))</f>
        <v>QTR4</v>
      </c>
      <c r="F2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21" s="4">
        <f>IF(WEEKNUM(EarningsPerDay[[#This Row],[Date]], 2) = 53, 1, WEEKNUM(EarningsPerDay[[#This Row],[Date]],2))</f>
        <v>51</v>
      </c>
      <c r="H221" s="40" t="str">
        <f t="shared" si="28"/>
        <v>Thursday</v>
      </c>
      <c r="I221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221" s="40" t="str" cm="1">
        <f t="array" ref="J221">IFERROR(VLOOKUP(MODE(IF(Combined[Date]=EarningsPerDay[[#This Row],[Date]],Combined[Area '#])),KPIs!$B$4:$C$7,2,FALSE),VLOOKUP(EarningsPerDay[[#This Row],[Date]],Combined[[Date]:[Primary Area]],8,FALSE))</f>
        <v>Augusta</v>
      </c>
      <c r="K221" s="40" t="str">
        <f>_xlfn.XLOOKUP(EarningsPerDay[[#This Row],[Date]],Mileage[Date],Mileage[Weather])</f>
        <v>Snow Storm</v>
      </c>
      <c r="L221" s="4">
        <f>_xlfn.XLOOKUP(EarningsPerDay[[#This Row],[Date]],Mileage[Date],Mileage[Hi Temp])</f>
        <v>29.1</v>
      </c>
      <c r="M221" s="12">
        <f>_xlfn.XLOOKUP(EarningsPerDay[[#This Row],[Date]],Mileage[Date],Mileage[Total Time])</f>
        <v>8.85</v>
      </c>
      <c r="N221" s="4">
        <f>_xlfn.XLOOKUP(EarningsPerDay[[#This Row],[Date]],Mileage[Date],Mileage[Mileage])</f>
        <v>196.3</v>
      </c>
      <c r="O221" s="4">
        <f>SUMIF(Combined[Date],EarningsPerDay[[#This Row],[Date]],Combined[Trips])</f>
        <v>16</v>
      </c>
      <c r="P221">
        <f>COUNTIF(Combined[Date],EarningsPerDay[[#This Row],[Date]])</f>
        <v>2</v>
      </c>
      <c r="Q2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1" s="11">
        <f>SUMIF(Combined[Date],EarningsPerDay[[#This Row],[Date]],Combined[Earnings])</f>
        <v>164.79</v>
      </c>
      <c r="S221" s="11">
        <f ca="1">EarningsPerDay[[#This Row],[Gross Earnings]]-(EarningsPerDay[[#This Row],[Miles]]*CpM!$D$11)</f>
        <v>121.02038191706788</v>
      </c>
      <c r="T221" s="11">
        <f t="shared" si="29"/>
        <v>18.620338983050846</v>
      </c>
      <c r="U221" s="11">
        <f t="shared" ca="1" si="30"/>
        <v>13.674619425657388</v>
      </c>
      <c r="V221" s="11">
        <f>EarningsPerDay[[#This Row],[Gross Earnings]]/EarningsPerDay[[#This Row],[Deliveries]]</f>
        <v>10.299375</v>
      </c>
      <c r="W221" s="11">
        <f>EarningsPerDay[[#This Row],[Gross Earnings]]/EarningsPerDay[[#This Row],[Miles]]</f>
        <v>0.83948038716250628</v>
      </c>
      <c r="X221" s="71">
        <f>EarningsPerDay[[#This Row],[Deliveries]]/EarningsPerDay[[#This Row],[Hours]]</f>
        <v>1.807909604519774</v>
      </c>
      <c r="Y221" s="71">
        <f>EarningsPerDay[[#This Row],[Miles]]/EarningsPerDay[[#This Row],[Deliveries]]</f>
        <v>12.268750000000001</v>
      </c>
      <c r="Z221" s="81">
        <f>(EarningsPerDay[[#This Row],[Hours]]/EarningsPerDay[[#This Row],[Deliveries]])/24</f>
        <v>2.3046874999999998E-2</v>
      </c>
      <c r="AA22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21" s="11">
        <f>AVERAGEIFS(EarningsPerDay[Gross $/Hour],EarningsPerDay[Week '#], EarningsPerDay[[#This Row],[Week '#]], EarningsPerDay[DOW], EarningsPerDay[[#This Row],[DOW]])</f>
        <v>22.64296949152542</v>
      </c>
      <c r="AC221" s="11">
        <f>EarningsPerDay[[#This Row],[Gross $/Hour]] - EarningsPerDay[[#This Row],[Weekly Average Earnings]]</f>
        <v>-4.0226305084745739</v>
      </c>
      <c r="AD221" s="11">
        <f>(SUMIFS(EarningsPerDay[Gross Earnings], EarningsPerDay[Date],"&gt;="&amp;EarningsPerDay[[#This Row],[Date]]-89, EarningsPerDay[Date], "&lt;="&amp;EarningsPerDay[[#This Row],[Date]]))/90</f>
        <v>52.810111111111112</v>
      </c>
    </row>
    <row r="222" spans="2:30" x14ac:dyDescent="0.35">
      <c r="B222" s="40">
        <v>44911</v>
      </c>
      <c r="C222" s="40">
        <f t="shared" si="27"/>
        <v>44911</v>
      </c>
      <c r="D222" s="4">
        <f>IF(EarningsPerDay[[#This Row],[Week '#]]&gt;=52,YEAR(EarningsPerDay[[#This Row],[Date]])-1,YEAR(EarningsPerDay[[#This Row],[Date]]))</f>
        <v>2022</v>
      </c>
      <c r="E222" s="4" t="str">
        <f>"QTR"&amp;IF(EarningsPerDay[[#This Row],[Week '#]] &lt;= 13, 1, IF(EarningsPerDay[[#This Row],[Week '#]] &lt;= 26, 2, IF(EarningsPerDay[[#This Row],[Week '#]] &lt;= 39, 3, 4)))</f>
        <v>QTR4</v>
      </c>
      <c r="F2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22" s="4">
        <f>IF(WEEKNUM(EarningsPerDay[[#This Row],[Date]], 2) = 53, 1, WEEKNUM(EarningsPerDay[[#This Row],[Date]],2))</f>
        <v>51</v>
      </c>
      <c r="H222" s="40" t="str">
        <f t="shared" si="28"/>
        <v>Friday</v>
      </c>
      <c r="I22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22" s="40" t="str" cm="1">
        <f t="array" ref="J222">IFERROR(VLOOKUP(MODE(IF(Combined[Date]=EarningsPerDay[[#This Row],[Date]],Combined[Area '#])),KPIs!$B$4:$C$7,2,FALSE),VLOOKUP(EarningsPerDay[[#This Row],[Date]],Combined[[Date]:[Primary Area]],8,FALSE))</f>
        <v>Brunswick/Bath/Freeport</v>
      </c>
      <c r="K222" s="40" t="str">
        <f>_xlfn.XLOOKUP(EarningsPerDay[[#This Row],[Date]],Mileage[Date],Mileage[Weather])</f>
        <v>Snow Storm</v>
      </c>
      <c r="L222" s="4">
        <f>_xlfn.XLOOKUP(EarningsPerDay[[#This Row],[Date]],Mileage[Date],Mileage[Hi Temp])</f>
        <v>29.9</v>
      </c>
      <c r="M222" s="12">
        <f>_xlfn.XLOOKUP(EarningsPerDay[[#This Row],[Date]],Mileage[Date],Mileage[Total Time])</f>
        <v>6.85</v>
      </c>
      <c r="N222" s="4">
        <f>_xlfn.XLOOKUP(EarningsPerDay[[#This Row],[Date]],Mileage[Date],Mileage[Mileage])</f>
        <v>113.30000000000001</v>
      </c>
      <c r="O222" s="4">
        <f>SUMIF(Combined[Date],EarningsPerDay[[#This Row],[Date]],Combined[Trips])</f>
        <v>10</v>
      </c>
      <c r="P222">
        <f>COUNTIF(Combined[Date],EarningsPerDay[[#This Row],[Date]])</f>
        <v>3</v>
      </c>
      <c r="Q22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22" s="11">
        <f>SUMIF(Combined[Date],EarningsPerDay[[#This Row],[Date]],Combined[Earnings])</f>
        <v>135.93</v>
      </c>
      <c r="S222" s="11">
        <f ca="1">EarningsPerDay[[#This Row],[Gross Earnings]]-(EarningsPerDay[[#This Row],[Miles]]*CpM!$D$11)</f>
        <v>110.66714860521544</v>
      </c>
      <c r="T222" s="11">
        <f t="shared" si="29"/>
        <v>19.843795620437959</v>
      </c>
      <c r="U222" s="11">
        <f t="shared" ca="1" si="30"/>
        <v>16.155788117549701</v>
      </c>
      <c r="V222" s="11">
        <f>EarningsPerDay[[#This Row],[Gross Earnings]]/EarningsPerDay[[#This Row],[Deliveries]]</f>
        <v>13.593</v>
      </c>
      <c r="W222" s="11">
        <f>EarningsPerDay[[#This Row],[Gross Earnings]]/EarningsPerDay[[#This Row],[Miles]]</f>
        <v>1.1997352162400705</v>
      </c>
      <c r="X222" s="71">
        <f>EarningsPerDay[[#This Row],[Deliveries]]/EarningsPerDay[[#This Row],[Hours]]</f>
        <v>1.4598540145985401</v>
      </c>
      <c r="Y222" s="71">
        <f>EarningsPerDay[[#This Row],[Miles]]/EarningsPerDay[[#This Row],[Deliveries]]</f>
        <v>11.330000000000002</v>
      </c>
      <c r="Z222" s="81">
        <f>(EarningsPerDay[[#This Row],[Hours]]/EarningsPerDay[[#This Row],[Deliveries]])/24</f>
        <v>2.8541666666666663E-2</v>
      </c>
      <c r="AA2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-3.8544133484129297</v>
      </c>
      <c r="AB222" s="11">
        <f>AVERAGEIFS(EarningsPerDay[Gross $/Hour],EarningsPerDay[Week '#], EarningsPerDay[[#This Row],[Week '#]], EarningsPerDay[DOW], EarningsPerDay[[#This Row],[DOW]])</f>
        <v>18.190631660348178</v>
      </c>
      <c r="AC222" s="11">
        <f>EarningsPerDay[[#This Row],[Gross $/Hour]] - EarningsPerDay[[#This Row],[Weekly Average Earnings]]</f>
        <v>1.6531639600897812</v>
      </c>
      <c r="AD222" s="11">
        <f>(SUMIFS(EarningsPerDay[Gross Earnings], EarningsPerDay[Date],"&gt;="&amp;EarningsPerDay[[#This Row],[Date]]-89, EarningsPerDay[Date], "&lt;="&amp;EarningsPerDay[[#This Row],[Date]]))/90</f>
        <v>54.320444444444448</v>
      </c>
    </row>
    <row r="223" spans="2:30" x14ac:dyDescent="0.35">
      <c r="B223" s="40">
        <v>44912</v>
      </c>
      <c r="C223" s="40">
        <f t="shared" si="27"/>
        <v>44912</v>
      </c>
      <c r="D223" s="4">
        <f>IF(EarningsPerDay[[#This Row],[Week '#]]&gt;=52,YEAR(EarningsPerDay[[#This Row],[Date]])-1,YEAR(EarningsPerDay[[#This Row],[Date]]))</f>
        <v>2022</v>
      </c>
      <c r="E223" s="4" t="str">
        <f>"QTR"&amp;IF(EarningsPerDay[[#This Row],[Week '#]] &lt;= 13, 1, IF(EarningsPerDay[[#This Row],[Week '#]] &lt;= 26, 2, IF(EarningsPerDay[[#This Row],[Week '#]] &lt;= 39, 3, 4)))</f>
        <v>QTR4</v>
      </c>
      <c r="F2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23" s="4">
        <f>IF(WEEKNUM(EarningsPerDay[[#This Row],[Date]], 2) = 53, 1, WEEKNUM(EarningsPerDay[[#This Row],[Date]],2))</f>
        <v>51</v>
      </c>
      <c r="H223" s="40" t="str">
        <f t="shared" si="28"/>
        <v>Saturday</v>
      </c>
      <c r="I223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23" s="40" t="str" cm="1">
        <f t="array" ref="J223">IFERROR(VLOOKUP(MODE(IF(Combined[Date]=EarningsPerDay[[#This Row],[Date]],Combined[Area '#])),KPIs!$B$4:$C$7,2,FALSE),VLOOKUP(EarningsPerDay[[#This Row],[Date]],Combined[[Date]:[Primary Area]],8,FALSE))</f>
        <v>Lewiston</v>
      </c>
      <c r="K223" s="40" t="str">
        <f>_xlfn.XLOOKUP(EarningsPerDay[[#This Row],[Date]],Mileage[Date],Mileage[Weather])</f>
        <v>Rain / Snow Mix</v>
      </c>
      <c r="L223" s="4">
        <f>_xlfn.XLOOKUP(EarningsPerDay[[#This Row],[Date]],Mileage[Date],Mileage[Hi Temp])</f>
        <v>31.5</v>
      </c>
      <c r="M223" s="12">
        <f>_xlfn.XLOOKUP(EarningsPerDay[[#This Row],[Date]],Mileage[Date],Mileage[Total Time])</f>
        <v>0.73</v>
      </c>
      <c r="N223" s="4">
        <f>_xlfn.XLOOKUP(EarningsPerDay[[#This Row],[Date]],Mileage[Date],Mileage[Mileage])</f>
        <v>15.5</v>
      </c>
      <c r="O223" s="4">
        <f>SUMIF(Combined[Date],EarningsPerDay[[#This Row],[Date]],Combined[Trips])</f>
        <v>1</v>
      </c>
      <c r="P223">
        <f>COUNTIF(Combined[Date],EarningsPerDay[[#This Row],[Date]])</f>
        <v>1</v>
      </c>
      <c r="Q2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3" s="11">
        <f>SUMIF(Combined[Date],EarningsPerDay[[#This Row],[Date]],Combined[Earnings])</f>
        <v>13.01</v>
      </c>
      <c r="S223" s="11">
        <f ca="1">EarningsPerDay[[#This Row],[Gross Earnings]]-(EarningsPerDay[[#This Row],[Miles]]*CpM!$D$11)</f>
        <v>9.5539170642616007</v>
      </c>
      <c r="T223" s="11">
        <f t="shared" si="29"/>
        <v>17.82191780821918</v>
      </c>
      <c r="U223" s="11">
        <f t="shared" ca="1" si="30"/>
        <v>13.087557622276165</v>
      </c>
      <c r="V223" s="11">
        <f>EarningsPerDay[[#This Row],[Gross Earnings]]/EarningsPerDay[[#This Row],[Deliveries]]</f>
        <v>13.01</v>
      </c>
      <c r="W223" s="11">
        <f>EarningsPerDay[[#This Row],[Gross Earnings]]/EarningsPerDay[[#This Row],[Miles]]</f>
        <v>0.83935483870967742</v>
      </c>
      <c r="X223" s="71">
        <f>EarningsPerDay[[#This Row],[Deliveries]]/EarningsPerDay[[#This Row],[Hours]]</f>
        <v>1.3698630136986301</v>
      </c>
      <c r="Y223" s="71">
        <f>EarningsPerDay[[#This Row],[Miles]]/EarningsPerDay[[#This Row],[Deliveries]]</f>
        <v>15.5</v>
      </c>
      <c r="Z223" s="81">
        <f>(EarningsPerDay[[#This Row],[Hours]]/EarningsPerDay[[#This Row],[Deliveries]])/24</f>
        <v>3.0416666666666665E-2</v>
      </c>
      <c r="AA2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-8.9852650484970091</v>
      </c>
      <c r="AB223" s="11">
        <f>AVERAGEIFS(EarningsPerDay[Gross $/Hour],EarningsPerDay[Week '#], EarningsPerDay[[#This Row],[Week '#]], EarningsPerDay[DOW], EarningsPerDay[[#This Row],[DOW]])</f>
        <v>19.249617051074445</v>
      </c>
      <c r="AC223" s="11">
        <f>EarningsPerDay[[#This Row],[Gross $/Hour]] - EarningsPerDay[[#This Row],[Weekly Average Earnings]]</f>
        <v>-1.4276992428552653</v>
      </c>
      <c r="AD223" s="11">
        <f>(SUMIFS(EarningsPerDay[Gross Earnings], EarningsPerDay[Date],"&gt;="&amp;EarningsPerDay[[#This Row],[Date]]-89, EarningsPerDay[Date], "&lt;="&amp;EarningsPerDay[[#This Row],[Date]]))/90</f>
        <v>52.666888888888906</v>
      </c>
    </row>
    <row r="224" spans="2:30" x14ac:dyDescent="0.35">
      <c r="B224" s="40">
        <v>44913</v>
      </c>
      <c r="C224" s="40">
        <f t="shared" si="27"/>
        <v>44913</v>
      </c>
      <c r="D224" s="4">
        <f>IF(EarningsPerDay[[#This Row],[Week '#]]&gt;=52,YEAR(EarningsPerDay[[#This Row],[Date]])-1,YEAR(EarningsPerDay[[#This Row],[Date]]))</f>
        <v>2022</v>
      </c>
      <c r="E224" s="4" t="str">
        <f>"QTR"&amp;IF(EarningsPerDay[[#This Row],[Week '#]] &lt;= 13, 1, IF(EarningsPerDay[[#This Row],[Week '#]] &lt;= 26, 2, IF(EarningsPerDay[[#This Row],[Week '#]] &lt;= 39, 3, 4)))</f>
        <v>QTR4</v>
      </c>
      <c r="F2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24" s="4">
        <f>IF(WEEKNUM(EarningsPerDay[[#This Row],[Date]], 2) = 53, 1, WEEKNUM(EarningsPerDay[[#This Row],[Date]],2))</f>
        <v>51</v>
      </c>
      <c r="H224" s="40" t="str">
        <f t="shared" si="28"/>
        <v>Sunday</v>
      </c>
      <c r="I224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224" s="40" t="str" cm="1">
        <f t="array" ref="J224">IFERROR(VLOOKUP(MODE(IF(Combined[Date]=EarningsPerDay[[#This Row],[Date]],Combined[Area '#])),KPIs!$B$4:$C$7,2,FALSE),VLOOKUP(EarningsPerDay[[#This Row],[Date]],Combined[[Date]:[Primary Area]],8,FALSE))</f>
        <v>Portland</v>
      </c>
      <c r="K224" s="40" t="str">
        <f>_xlfn.XLOOKUP(EarningsPerDay[[#This Row],[Date]],Mileage[Date],Mileage[Weather])</f>
        <v>Partially Cloudy</v>
      </c>
      <c r="L224" s="4">
        <f>_xlfn.XLOOKUP(EarningsPerDay[[#This Row],[Date]],Mileage[Date],Mileage[Hi Temp])</f>
        <v>27.7</v>
      </c>
      <c r="M224" s="12">
        <f>_xlfn.XLOOKUP(EarningsPerDay[[#This Row],[Date]],Mileage[Date],Mileage[Total Time])</f>
        <v>9.68</v>
      </c>
      <c r="N224" s="4">
        <f>_xlfn.XLOOKUP(EarningsPerDay[[#This Row],[Date]],Mileage[Date],Mileage[Mileage])</f>
        <v>223</v>
      </c>
      <c r="O224" s="4">
        <f>SUMIF(Combined[Date],EarningsPerDay[[#This Row],[Date]],Combined[Trips])</f>
        <v>17</v>
      </c>
      <c r="P224">
        <f>COUNTIF(Combined[Date],EarningsPerDay[[#This Row],[Date]])</f>
        <v>5</v>
      </c>
      <c r="Q22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24" s="11">
        <f>SUMIF(Combined[Date],EarningsPerDay[[#This Row],[Date]],Combined[Earnings])</f>
        <v>148.13999999999999</v>
      </c>
      <c r="S224" s="11">
        <f ca="1">EarningsPerDay[[#This Row],[Gross Earnings]]-(EarningsPerDay[[#This Row],[Miles]]*CpM!$D$11)</f>
        <v>98.417000343892695</v>
      </c>
      <c r="T224" s="11">
        <f t="shared" si="29"/>
        <v>15.303719008264462</v>
      </c>
      <c r="U224" s="11">
        <f t="shared" ca="1" si="30"/>
        <v>10.16704549007156</v>
      </c>
      <c r="V224" s="11">
        <f>EarningsPerDay[[#This Row],[Gross Earnings]]/EarningsPerDay[[#This Row],[Deliveries]]</f>
        <v>8.7141176470588224</v>
      </c>
      <c r="W224" s="11">
        <f>EarningsPerDay[[#This Row],[Gross Earnings]]/EarningsPerDay[[#This Row],[Miles]]</f>
        <v>0.6643049327354259</v>
      </c>
      <c r="X224" s="71">
        <f>EarningsPerDay[[#This Row],[Deliveries]]/EarningsPerDay[[#This Row],[Hours]]</f>
        <v>1.7561983471074381</v>
      </c>
      <c r="Y224" s="71">
        <f>EarningsPerDay[[#This Row],[Miles]]/EarningsPerDay[[#This Row],[Deliveries]]</f>
        <v>13.117647058823529</v>
      </c>
      <c r="Z224" s="81">
        <f>(EarningsPerDay[[#This Row],[Hours]]/EarningsPerDay[[#This Row],[Deliveries]])/24</f>
        <v>2.372549019607843E-2</v>
      </c>
      <c r="AA22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24" s="11">
        <f>AVERAGEIFS(EarningsPerDay[Gross $/Hour],EarningsPerDay[Week '#], EarningsPerDay[[#This Row],[Week '#]], EarningsPerDay[DOW], EarningsPerDay[[#This Row],[DOW]])</f>
        <v>21.325506973591217</v>
      </c>
      <c r="AC224" s="11">
        <f>EarningsPerDay[[#This Row],[Gross $/Hour]] - EarningsPerDay[[#This Row],[Weekly Average Earnings]]</f>
        <v>-6.0217879653267552</v>
      </c>
      <c r="AD224" s="11">
        <f>(SUMIFS(EarningsPerDay[Gross Earnings], EarningsPerDay[Date],"&gt;="&amp;EarningsPerDay[[#This Row],[Date]]-89, EarningsPerDay[Date], "&lt;="&amp;EarningsPerDay[[#This Row],[Date]]))/90</f>
        <v>53.440444444444459</v>
      </c>
    </row>
    <row r="225" spans="2:30" x14ac:dyDescent="0.35">
      <c r="B225" s="40">
        <v>44914</v>
      </c>
      <c r="C225" s="40">
        <f t="shared" si="27"/>
        <v>44914</v>
      </c>
      <c r="D225" s="4">
        <f>IF(EarningsPerDay[[#This Row],[Week '#]]&gt;=52,YEAR(EarningsPerDay[[#This Row],[Date]])-1,YEAR(EarningsPerDay[[#This Row],[Date]]))</f>
        <v>2021</v>
      </c>
      <c r="E225" s="4" t="str">
        <f>"QTR"&amp;IF(EarningsPerDay[[#This Row],[Week '#]] &lt;= 13, 1, IF(EarningsPerDay[[#This Row],[Week '#]] &lt;= 26, 2, IF(EarningsPerDay[[#This Row],[Week '#]] &lt;= 39, 3, 4)))</f>
        <v>QTR4</v>
      </c>
      <c r="F2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25" s="4">
        <f>IF(WEEKNUM(EarningsPerDay[[#This Row],[Date]], 2) = 53, 1, WEEKNUM(EarningsPerDay[[#This Row],[Date]],2))</f>
        <v>52</v>
      </c>
      <c r="H225" s="40" t="str">
        <f t="shared" si="28"/>
        <v>Monday</v>
      </c>
      <c r="I225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225" s="40" t="str" cm="1">
        <f t="array" ref="J225">IFERROR(VLOOKUP(MODE(IF(Combined[Date]=EarningsPerDay[[#This Row],[Date]],Combined[Area '#])),KPIs!$B$4:$C$7,2,FALSE),VLOOKUP(EarningsPerDay[[#This Row],[Date]],Combined[[Date]:[Primary Area]],8,FALSE))</f>
        <v>Lewiston</v>
      </c>
      <c r="K225" s="40" t="str">
        <f>_xlfn.XLOOKUP(EarningsPerDay[[#This Row],[Date]],Mileage[Date],Mileage[Weather])</f>
        <v>Partially Cloudy</v>
      </c>
      <c r="L225" s="4">
        <f>_xlfn.XLOOKUP(EarningsPerDay[[#This Row],[Date]],Mileage[Date],Mileage[Hi Temp])</f>
        <v>27.5</v>
      </c>
      <c r="M225" s="12">
        <f>_xlfn.XLOOKUP(EarningsPerDay[[#This Row],[Date]],Mileage[Date],Mileage[Total Time])</f>
        <v>0.8</v>
      </c>
      <c r="N225" s="4">
        <f>_xlfn.XLOOKUP(EarningsPerDay[[#This Row],[Date]],Mileage[Date],Mileage[Mileage])</f>
        <v>16</v>
      </c>
      <c r="O225" s="4">
        <f>SUMIF(Combined[Date],EarningsPerDay[[#This Row],[Date]],Combined[Trips])</f>
        <v>1</v>
      </c>
      <c r="P225">
        <f>COUNTIF(Combined[Date],EarningsPerDay[[#This Row],[Date]])</f>
        <v>1</v>
      </c>
      <c r="Q2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5" s="11">
        <f>SUMIF(Combined[Date],EarningsPerDay[[#This Row],[Date]],Combined[Earnings])</f>
        <v>16</v>
      </c>
      <c r="S225" s="11">
        <f ca="1">EarningsPerDay[[#This Row],[Gross Earnings]]-(EarningsPerDay[[#This Row],[Miles]]*CpM!$D$11)</f>
        <v>12.432430517947459</v>
      </c>
      <c r="T225" s="11">
        <f t="shared" si="29"/>
        <v>20</v>
      </c>
      <c r="U225" s="11">
        <f t="shared" ca="1" si="30"/>
        <v>15.540538147434324</v>
      </c>
      <c r="V225" s="11">
        <f>EarningsPerDay[[#This Row],[Gross Earnings]]/EarningsPerDay[[#This Row],[Deliveries]]</f>
        <v>16</v>
      </c>
      <c r="W225" s="11">
        <f>EarningsPerDay[[#This Row],[Gross Earnings]]/EarningsPerDay[[#This Row],[Miles]]</f>
        <v>1</v>
      </c>
      <c r="X225" s="71">
        <f>EarningsPerDay[[#This Row],[Deliveries]]/EarningsPerDay[[#This Row],[Hours]]</f>
        <v>1.25</v>
      </c>
      <c r="Y225" s="71">
        <f>EarningsPerDay[[#This Row],[Miles]]/EarningsPerDay[[#This Row],[Deliveries]]</f>
        <v>16</v>
      </c>
      <c r="Z225" s="81">
        <f>(EarningsPerDay[[#This Row],[Hours]]/EarningsPerDay[[#This Row],[Deliveries]])/24</f>
        <v>3.3333333333333333E-2</v>
      </c>
      <c r="AA2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-5.5366191299469136</v>
      </c>
      <c r="AB225" s="11">
        <f>AVERAGEIFS(EarningsPerDay[Gross $/Hour],EarningsPerDay[Week '#], EarningsPerDay[[#This Row],[Week '#]], EarningsPerDay[DOW], EarningsPerDay[[#This Row],[DOW]])</f>
        <v>20.087356321839081</v>
      </c>
      <c r="AC225" s="11">
        <f>EarningsPerDay[[#This Row],[Gross $/Hour]] - EarningsPerDay[[#This Row],[Weekly Average Earnings]]</f>
        <v>-8.7356321839081374E-2</v>
      </c>
      <c r="AD225" s="11">
        <f>(SUMIFS(EarningsPerDay[Gross Earnings], EarningsPerDay[Date],"&gt;="&amp;EarningsPerDay[[#This Row],[Date]]-89, EarningsPerDay[Date], "&lt;="&amp;EarningsPerDay[[#This Row],[Date]]))/90</f>
        <v>53.227222222222238</v>
      </c>
    </row>
    <row r="226" spans="2:30" x14ac:dyDescent="0.35">
      <c r="B226" s="40">
        <v>44915</v>
      </c>
      <c r="C226" s="40">
        <f t="shared" si="27"/>
        <v>44915</v>
      </c>
      <c r="D226" s="4">
        <f>IF(EarningsPerDay[[#This Row],[Week '#]]&gt;=52,YEAR(EarningsPerDay[[#This Row],[Date]])-1,YEAR(EarningsPerDay[[#This Row],[Date]]))</f>
        <v>2021</v>
      </c>
      <c r="E226" s="4" t="str">
        <f>"QTR"&amp;IF(EarningsPerDay[[#This Row],[Week '#]] &lt;= 13, 1, IF(EarningsPerDay[[#This Row],[Week '#]] &lt;= 26, 2, IF(EarningsPerDay[[#This Row],[Week '#]] &lt;= 39, 3, 4)))</f>
        <v>QTR4</v>
      </c>
      <c r="F2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26" s="4">
        <f>IF(WEEKNUM(EarningsPerDay[[#This Row],[Date]], 2) = 53, 1, WEEKNUM(EarningsPerDay[[#This Row],[Date]],2))</f>
        <v>52</v>
      </c>
      <c r="H226" s="40" t="str">
        <f t="shared" si="28"/>
        <v>Tuesday</v>
      </c>
      <c r="I226" s="106">
        <f>IF(_xlfn.XLOOKUP(EarningsPerDay[[#This Row],[Date]],Mileage[Date],Mileage[Start Time])="","",MROUND(_xlfn.XLOOKUP(EarningsPerDay[[#This Row],[Date]],Mileage[Date],Mileage[Start Time]),0.0208333333333333))</f>
        <v>0.49999999999999922</v>
      </c>
      <c r="J226" s="40" t="str" cm="1">
        <f t="array" ref="J226">IFERROR(VLOOKUP(MODE(IF(Combined[Date]=EarningsPerDay[[#This Row],[Date]],Combined[Area '#])),KPIs!$B$4:$C$7,2,FALSE),VLOOKUP(EarningsPerDay[[#This Row],[Date]],Combined[[Date]:[Primary Area]],8,FALSE))</f>
        <v>Brunswick/Bath/Freeport</v>
      </c>
      <c r="K226" s="40" t="str">
        <f>_xlfn.XLOOKUP(EarningsPerDay[[#This Row],[Date]],Mileage[Date],Mileage[Weather])</f>
        <v>Partially Cloudy</v>
      </c>
      <c r="L226" s="4">
        <f>_xlfn.XLOOKUP(EarningsPerDay[[#This Row],[Date]],Mileage[Date],Mileage[Hi Temp])</f>
        <v>31.5</v>
      </c>
      <c r="M226" s="12">
        <f>_xlfn.XLOOKUP(EarningsPerDay[[#This Row],[Date]],Mileage[Date],Mileage[Total Time])</f>
        <v>8.6199999999999992</v>
      </c>
      <c r="N226" s="4">
        <f>_xlfn.XLOOKUP(EarningsPerDay[[#This Row],[Date]],Mileage[Date],Mileage[Mileage])</f>
        <v>177</v>
      </c>
      <c r="O226" s="4">
        <f>SUMIF(Combined[Date],EarningsPerDay[[#This Row],[Date]],Combined[Trips])</f>
        <v>18</v>
      </c>
      <c r="P226">
        <f>COUNTIF(Combined[Date],EarningsPerDay[[#This Row],[Date]])</f>
        <v>5</v>
      </c>
      <c r="Q2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6" s="11">
        <f>SUMIF(Combined[Date],EarningsPerDay[[#This Row],[Date]],Combined[Earnings])</f>
        <v>140.16</v>
      </c>
      <c r="S226" s="11">
        <f ca="1">EarningsPerDay[[#This Row],[Gross Earnings]]-(EarningsPerDay[[#This Row],[Miles]]*CpM!$D$11)</f>
        <v>100.69376260479376</v>
      </c>
      <c r="T226" s="11">
        <f t="shared" si="29"/>
        <v>16.259860788863111</v>
      </c>
      <c r="U226" s="11">
        <f t="shared" ca="1" si="30"/>
        <v>11.68141097503408</v>
      </c>
      <c r="V226" s="11">
        <f>EarningsPerDay[[#This Row],[Gross Earnings]]/EarningsPerDay[[#This Row],[Deliveries]]</f>
        <v>7.7866666666666662</v>
      </c>
      <c r="W226" s="11">
        <f>EarningsPerDay[[#This Row],[Gross Earnings]]/EarningsPerDay[[#This Row],[Miles]]</f>
        <v>0.79186440677966097</v>
      </c>
      <c r="X226" s="71">
        <f>EarningsPerDay[[#This Row],[Deliveries]]/EarningsPerDay[[#This Row],[Hours]]</f>
        <v>2.0881670533642693</v>
      </c>
      <c r="Y226" s="71">
        <f>EarningsPerDay[[#This Row],[Miles]]/EarningsPerDay[[#This Row],[Deliveries]]</f>
        <v>9.8333333333333339</v>
      </c>
      <c r="Z226" s="81">
        <f>(EarningsPerDay[[#This Row],[Hours]]/EarningsPerDay[[#This Row],[Deliveries]])/24</f>
        <v>1.9953703703703703E-2</v>
      </c>
      <c r="AA2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-11.335635090648118</v>
      </c>
      <c r="AB226" s="11">
        <f>AVERAGEIFS(EarningsPerDay[Gross $/Hour],EarningsPerDay[Week '#], EarningsPerDay[[#This Row],[Week '#]], EarningsPerDay[DOW], EarningsPerDay[[#This Row],[DOW]])</f>
        <v>16.259860788863111</v>
      </c>
      <c r="AC226" s="11">
        <f>EarningsPerDay[[#This Row],[Gross $/Hour]] - EarningsPerDay[[#This Row],[Weekly Average Earnings]]</f>
        <v>0</v>
      </c>
      <c r="AD226" s="11">
        <f>(SUMIFS(EarningsPerDay[Gross Earnings], EarningsPerDay[Date],"&gt;="&amp;EarningsPerDay[[#This Row],[Date]]-89, EarningsPerDay[Date], "&lt;="&amp;EarningsPerDay[[#This Row],[Date]]))/90</f>
        <v>54.275111111111123</v>
      </c>
    </row>
    <row r="227" spans="2:30" x14ac:dyDescent="0.35">
      <c r="B227" s="40">
        <v>44922</v>
      </c>
      <c r="C227" s="40">
        <f t="shared" si="27"/>
        <v>44922</v>
      </c>
      <c r="D227" s="4">
        <f>IF(EarningsPerDay[[#This Row],[Week '#]]&gt;=52,YEAR(EarningsPerDay[[#This Row],[Date]])-1,YEAR(EarningsPerDay[[#This Row],[Date]]))</f>
        <v>2022</v>
      </c>
      <c r="E227" s="4" t="str">
        <f>"QTR"&amp;IF(EarningsPerDay[[#This Row],[Week '#]] &lt;= 13, 1, IF(EarningsPerDay[[#This Row],[Week '#]] &lt;= 26, 2, IF(EarningsPerDay[[#This Row],[Week '#]] &lt;= 39, 3, 4)))</f>
        <v>QTR1</v>
      </c>
      <c r="F2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27" s="4">
        <f>IF(WEEKNUM(EarningsPerDay[[#This Row],[Date]], 2) = 53, 1, WEEKNUM(EarningsPerDay[[#This Row],[Date]],2))</f>
        <v>1</v>
      </c>
      <c r="H227" s="40" t="str">
        <f t="shared" si="28"/>
        <v>Tuesday</v>
      </c>
      <c r="I22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27" s="40" t="str" cm="1">
        <f t="array" ref="J227">IFERROR(VLOOKUP(MODE(IF(Combined[Date]=EarningsPerDay[[#This Row],[Date]],Combined[Area '#])),KPIs!$B$4:$C$7,2,FALSE),VLOOKUP(EarningsPerDay[[#This Row],[Date]],Combined[[Date]:[Primary Area]],8,FALSE))</f>
        <v>Augusta</v>
      </c>
      <c r="K227" s="40" t="str">
        <f>_xlfn.XLOOKUP(EarningsPerDay[[#This Row],[Date]],Mileage[Date],Mileage[Weather])</f>
        <v>Rain / Snow Mix</v>
      </c>
      <c r="L227" s="4">
        <f>_xlfn.XLOOKUP(EarningsPerDay[[#This Row],[Date]],Mileage[Date],Mileage[Hi Temp])</f>
        <v>31</v>
      </c>
      <c r="M227" s="12">
        <f>_xlfn.XLOOKUP(EarningsPerDay[[#This Row],[Date]],Mileage[Date],Mileage[Total Time])</f>
        <v>3.93</v>
      </c>
      <c r="N227" s="4">
        <f>_xlfn.XLOOKUP(EarningsPerDay[[#This Row],[Date]],Mileage[Date],Mileage[Mileage])</f>
        <v>72.400000000000006</v>
      </c>
      <c r="O227" s="4">
        <f>SUMIF(Combined[Date],EarningsPerDay[[#This Row],[Date]],Combined[Trips])</f>
        <v>9</v>
      </c>
      <c r="P227">
        <f>COUNTIF(Combined[Date],EarningsPerDay[[#This Row],[Date]])</f>
        <v>3</v>
      </c>
      <c r="Q2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7" s="11">
        <f>SUMIF(Combined[Date],EarningsPerDay[[#This Row],[Date]],Combined[Earnings])</f>
        <v>60.18</v>
      </c>
      <c r="S227" s="11">
        <f ca="1">EarningsPerDay[[#This Row],[Gross Earnings]]-(EarningsPerDay[[#This Row],[Miles]]*CpM!$D$11)</f>
        <v>44.036748093712248</v>
      </c>
      <c r="T227" s="11">
        <f t="shared" si="29"/>
        <v>15.31297709923664</v>
      </c>
      <c r="U227" s="11">
        <f t="shared" ca="1" si="30"/>
        <v>11.205279413158332</v>
      </c>
      <c r="V227" s="11">
        <f>EarningsPerDay[[#This Row],[Gross Earnings]]/EarningsPerDay[[#This Row],[Deliveries]]</f>
        <v>6.6866666666666665</v>
      </c>
      <c r="W227" s="11">
        <f>EarningsPerDay[[#This Row],[Gross Earnings]]/EarningsPerDay[[#This Row],[Miles]]</f>
        <v>0.83121546961325965</v>
      </c>
      <c r="X227" s="71">
        <f>EarningsPerDay[[#This Row],[Deliveries]]/EarningsPerDay[[#This Row],[Hours]]</f>
        <v>2.2900763358778624</v>
      </c>
      <c r="Y227" s="71">
        <f>EarningsPerDay[[#This Row],[Miles]]/EarningsPerDay[[#This Row],[Deliveries]]</f>
        <v>8.0444444444444443</v>
      </c>
      <c r="Z227" s="81">
        <f>(EarningsPerDay[[#This Row],[Hours]]/EarningsPerDay[[#This Row],[Deliveries]])/24</f>
        <v>1.8194444444444447E-2</v>
      </c>
      <c r="AA22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27" s="11">
        <f>AVERAGEIFS(EarningsPerDay[Gross $/Hour],EarningsPerDay[Week '#], EarningsPerDay[[#This Row],[Week '#]], EarningsPerDay[DOW], EarningsPerDay[[#This Row],[DOW]])</f>
        <v>20.790892411846105</v>
      </c>
      <c r="AC227" s="11">
        <f>EarningsPerDay[[#This Row],[Gross $/Hour]] - EarningsPerDay[[#This Row],[Weekly Average Earnings]]</f>
        <v>-5.4779153126094648</v>
      </c>
      <c r="AD227" s="11">
        <f>(SUMIFS(EarningsPerDay[Gross Earnings], EarningsPerDay[Date],"&gt;="&amp;EarningsPerDay[[#This Row],[Date]]-89, EarningsPerDay[Date], "&lt;="&amp;EarningsPerDay[[#This Row],[Date]]))/90</f>
        <v>50.360333333333344</v>
      </c>
    </row>
    <row r="228" spans="2:30" x14ac:dyDescent="0.35">
      <c r="B228" s="40">
        <v>44924</v>
      </c>
      <c r="C228" s="40">
        <f t="shared" si="27"/>
        <v>44924</v>
      </c>
      <c r="D228" s="4">
        <f>IF(EarningsPerDay[[#This Row],[Week '#]]&gt;=52,YEAR(EarningsPerDay[[#This Row],[Date]])-1,YEAR(EarningsPerDay[[#This Row],[Date]]))</f>
        <v>2022</v>
      </c>
      <c r="E228" s="4" t="str">
        <f>"QTR"&amp;IF(EarningsPerDay[[#This Row],[Week '#]] &lt;= 13, 1, IF(EarningsPerDay[[#This Row],[Week '#]] &lt;= 26, 2, IF(EarningsPerDay[[#This Row],[Week '#]] &lt;= 39, 3, 4)))</f>
        <v>QTR1</v>
      </c>
      <c r="F2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28" s="4">
        <f>IF(WEEKNUM(EarningsPerDay[[#This Row],[Date]], 2) = 53, 1, WEEKNUM(EarningsPerDay[[#This Row],[Date]],2))</f>
        <v>1</v>
      </c>
      <c r="H228" s="40" t="str">
        <f t="shared" si="28"/>
        <v>Thursday</v>
      </c>
      <c r="I22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28" s="40" t="str" cm="1">
        <f t="array" ref="J228">IFERROR(VLOOKUP(MODE(IF(Combined[Date]=EarningsPerDay[[#This Row],[Date]],Combined[Area '#])),KPIs!$B$4:$C$7,2,FALSE),VLOOKUP(EarningsPerDay[[#This Row],[Date]],Combined[[Date]:[Primary Area]],8,FALSE))</f>
        <v>Brunswick/Bath/Freeport</v>
      </c>
      <c r="K228" s="40" t="str">
        <f>_xlfn.XLOOKUP(EarningsPerDay[[#This Row],[Date]],Mileage[Date],Mileage[Weather])</f>
        <v>Clear</v>
      </c>
      <c r="L228" s="4">
        <f>_xlfn.XLOOKUP(EarningsPerDay[[#This Row],[Date]],Mileage[Date],Mileage[Hi Temp])</f>
        <v>49</v>
      </c>
      <c r="M228" s="12">
        <f>_xlfn.XLOOKUP(EarningsPerDay[[#This Row],[Date]],Mileage[Date],Mileage[Total Time])</f>
        <v>7.1</v>
      </c>
      <c r="N228" s="4">
        <f>_xlfn.XLOOKUP(EarningsPerDay[[#This Row],[Date]],Mileage[Date],Mileage[Mileage])</f>
        <v>137.30000000000001</v>
      </c>
      <c r="O228" s="4">
        <f>SUMIF(Combined[Date],EarningsPerDay[[#This Row],[Date]],Combined[Trips])</f>
        <v>10</v>
      </c>
      <c r="P228">
        <f>COUNTIF(Combined[Date],EarningsPerDay[[#This Row],[Date]])</f>
        <v>3</v>
      </c>
      <c r="Q2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8" s="11">
        <f>SUMIF(Combined[Date],EarningsPerDay[[#This Row],[Date]],Combined[Earnings])</f>
        <v>106.49</v>
      </c>
      <c r="S228" s="11">
        <f ca="1">EarningsPerDay[[#This Row],[Gross Earnings]]-(EarningsPerDay[[#This Row],[Miles]]*CpM!$D$11)</f>
        <v>75.875794382136618</v>
      </c>
      <c r="T228" s="11">
        <f t="shared" si="29"/>
        <v>14.998591549295774</v>
      </c>
      <c r="U228" s="11">
        <f t="shared" ca="1" si="30"/>
        <v>10.686731603117835</v>
      </c>
      <c r="V228" s="11">
        <f>EarningsPerDay[[#This Row],[Gross Earnings]]/EarningsPerDay[[#This Row],[Deliveries]]</f>
        <v>10.648999999999999</v>
      </c>
      <c r="W228" s="11">
        <f>EarningsPerDay[[#This Row],[Gross Earnings]]/EarningsPerDay[[#This Row],[Miles]]</f>
        <v>0.77560087399854327</v>
      </c>
      <c r="X228" s="71">
        <f>EarningsPerDay[[#This Row],[Deliveries]]/EarningsPerDay[[#This Row],[Hours]]</f>
        <v>1.4084507042253522</v>
      </c>
      <c r="Y228" s="71">
        <f>EarningsPerDay[[#This Row],[Miles]]/EarningsPerDay[[#This Row],[Deliveries]]</f>
        <v>13.73</v>
      </c>
      <c r="Z228" s="81">
        <f>(EarningsPerDay[[#This Row],[Hours]]/EarningsPerDay[[#This Row],[Deliveries]])/24</f>
        <v>2.9583333333333333E-2</v>
      </c>
      <c r="AA2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-8.1112266325224098</v>
      </c>
      <c r="AB228" s="11">
        <f>AVERAGEIFS(EarningsPerDay[Gross $/Hour],EarningsPerDay[Week '#], EarningsPerDay[[#This Row],[Week '#]], EarningsPerDay[DOW], EarningsPerDay[[#This Row],[DOW]])</f>
        <v>19.427183793387528</v>
      </c>
      <c r="AC228" s="11">
        <f>EarningsPerDay[[#This Row],[Gross $/Hour]] - EarningsPerDay[[#This Row],[Weekly Average Earnings]]</f>
        <v>-4.4285922440917531</v>
      </c>
      <c r="AD228" s="11">
        <f>(SUMIFS(EarningsPerDay[Gross Earnings], EarningsPerDay[Date],"&gt;="&amp;EarningsPerDay[[#This Row],[Date]]-89, EarningsPerDay[Date], "&lt;="&amp;EarningsPerDay[[#This Row],[Date]]))/90</f>
        <v>49.461444444444453</v>
      </c>
    </row>
    <row r="229" spans="2:30" x14ac:dyDescent="0.35">
      <c r="B229" s="40">
        <v>44925</v>
      </c>
      <c r="C229" s="40">
        <f t="shared" si="27"/>
        <v>44925</v>
      </c>
      <c r="D229" s="4">
        <f>IF(EarningsPerDay[[#This Row],[Week '#]]&gt;=52,YEAR(EarningsPerDay[[#This Row],[Date]])-1,YEAR(EarningsPerDay[[#This Row],[Date]]))</f>
        <v>2022</v>
      </c>
      <c r="E229" s="4" t="str">
        <f>"QTR"&amp;IF(EarningsPerDay[[#This Row],[Week '#]] &lt;= 13, 1, IF(EarningsPerDay[[#This Row],[Week '#]] &lt;= 26, 2, IF(EarningsPerDay[[#This Row],[Week '#]] &lt;= 39, 3, 4)))</f>
        <v>QTR1</v>
      </c>
      <c r="F2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29" s="4">
        <f>IF(WEEKNUM(EarningsPerDay[[#This Row],[Date]], 2) = 53, 1, WEEKNUM(EarningsPerDay[[#This Row],[Date]],2))</f>
        <v>1</v>
      </c>
      <c r="H229" s="40" t="str">
        <f t="shared" si="28"/>
        <v>Friday</v>
      </c>
      <c r="I22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29" s="40" t="str" cm="1">
        <f t="array" ref="J229">IFERROR(VLOOKUP(MODE(IF(Combined[Date]=EarningsPerDay[[#This Row],[Date]],Combined[Area '#])),KPIs!$B$4:$C$7,2,FALSE),VLOOKUP(EarningsPerDay[[#This Row],[Date]],Combined[[Date]:[Primary Area]],8,FALSE))</f>
        <v>Brunswick/Bath/Freeport</v>
      </c>
      <c r="K229" s="40" t="str">
        <f>_xlfn.XLOOKUP(EarningsPerDay[[#This Row],[Date]],Mileage[Date],Mileage[Weather])</f>
        <v>Rain</v>
      </c>
      <c r="L229" s="4">
        <f>_xlfn.XLOOKUP(EarningsPerDay[[#This Row],[Date]],Mileage[Date],Mileage[Hi Temp])</f>
        <v>50.7</v>
      </c>
      <c r="M229" s="12">
        <f>_xlfn.XLOOKUP(EarningsPerDay[[#This Row],[Date]],Mileage[Date],Mileage[Total Time])</f>
        <v>5.8</v>
      </c>
      <c r="N229" s="4">
        <f>_xlfn.XLOOKUP(EarningsPerDay[[#This Row],[Date]],Mileage[Date],Mileage[Mileage])</f>
        <v>141</v>
      </c>
      <c r="O229" s="4">
        <f>SUMIF(Combined[Date],EarningsPerDay[[#This Row],[Date]],Combined[Trips])</f>
        <v>8</v>
      </c>
      <c r="P229">
        <f>COUNTIF(Combined[Date],EarningsPerDay[[#This Row],[Date]])</f>
        <v>2</v>
      </c>
      <c r="Q2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29" s="11">
        <f>SUMIF(Combined[Date],EarningsPerDay[[#This Row],[Date]],Combined[Earnings])</f>
        <v>112.86</v>
      </c>
      <c r="S229" s="11">
        <f ca="1">EarningsPerDay[[#This Row],[Gross Earnings]]-(EarningsPerDay[[#This Row],[Miles]]*CpM!$D$11)</f>
        <v>81.420793939411979</v>
      </c>
      <c r="T229" s="11">
        <f t="shared" si="29"/>
        <v>19.458620689655174</v>
      </c>
      <c r="U229" s="11">
        <f t="shared" ca="1" si="30"/>
        <v>14.038067920588272</v>
      </c>
      <c r="V229" s="11">
        <f>EarningsPerDay[[#This Row],[Gross Earnings]]/EarningsPerDay[[#This Row],[Deliveries]]</f>
        <v>14.1075</v>
      </c>
      <c r="W229" s="11">
        <f>EarningsPerDay[[#This Row],[Gross Earnings]]/EarningsPerDay[[#This Row],[Miles]]</f>
        <v>0.80042553191489363</v>
      </c>
      <c r="X229" s="71">
        <f>EarningsPerDay[[#This Row],[Deliveries]]/EarningsPerDay[[#This Row],[Hours]]</f>
        <v>1.3793103448275863</v>
      </c>
      <c r="Y229" s="71">
        <f>EarningsPerDay[[#This Row],[Miles]]/EarningsPerDay[[#This Row],[Deliveries]]</f>
        <v>17.625</v>
      </c>
      <c r="Z229" s="81">
        <f>(EarningsPerDay[[#This Row],[Hours]]/EarningsPerDay[[#This Row],[Deliveries]])/24</f>
        <v>3.0208333333333334E-2</v>
      </c>
      <c r="AA2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0.857682738717223</v>
      </c>
      <c r="AB229" s="11">
        <f>AVERAGEIFS(EarningsPerDay[Gross $/Hour],EarningsPerDay[Week '#], EarningsPerDay[[#This Row],[Week '#]], EarningsPerDay[DOW], EarningsPerDay[[#This Row],[DOW]])</f>
        <v>19.988788031661809</v>
      </c>
      <c r="AC229" s="11">
        <f>EarningsPerDay[[#This Row],[Gross $/Hour]] - EarningsPerDay[[#This Row],[Weekly Average Earnings]]</f>
        <v>-0.53016734200663507</v>
      </c>
      <c r="AD229" s="11">
        <f>(SUMIFS(EarningsPerDay[Gross Earnings], EarningsPerDay[Date],"&gt;="&amp;EarningsPerDay[[#This Row],[Date]]-89, EarningsPerDay[Date], "&lt;="&amp;EarningsPerDay[[#This Row],[Date]]))/90</f>
        <v>50.715444444444451</v>
      </c>
    </row>
    <row r="230" spans="2:30" x14ac:dyDescent="0.35">
      <c r="B230" s="40">
        <v>44927</v>
      </c>
      <c r="C230" s="40">
        <f t="shared" si="27"/>
        <v>44927</v>
      </c>
      <c r="D230" s="4">
        <f>IF(EarningsPerDay[[#This Row],[Week '#]]&gt;=52,YEAR(EarningsPerDay[[#This Row],[Date]])-1,YEAR(EarningsPerDay[[#This Row],[Date]]))</f>
        <v>2023</v>
      </c>
      <c r="E230" s="4" t="str">
        <f>"QTR"&amp;IF(EarningsPerDay[[#This Row],[Week '#]] &lt;= 13, 1, IF(EarningsPerDay[[#This Row],[Week '#]] &lt;= 26, 2, IF(EarningsPerDay[[#This Row],[Week '#]] &lt;= 39, 3, 4)))</f>
        <v>QTR1</v>
      </c>
      <c r="F2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30" s="4">
        <f>IF(WEEKNUM(EarningsPerDay[[#This Row],[Date]], 2) = 53, 1, WEEKNUM(EarningsPerDay[[#This Row],[Date]],2))</f>
        <v>1</v>
      </c>
      <c r="H230" s="40" t="str">
        <f t="shared" si="28"/>
        <v>Sunday</v>
      </c>
      <c r="I230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230" s="40" t="str" cm="1">
        <f t="array" ref="J230">IFERROR(VLOOKUP(MODE(IF(Combined[Date]=EarningsPerDay[[#This Row],[Date]],Combined[Area '#])),KPIs!$B$4:$C$7,2,FALSE),VLOOKUP(EarningsPerDay[[#This Row],[Date]],Combined[[Date]:[Primary Area]],8,FALSE))</f>
        <v>Brunswick/Bath/Freeport</v>
      </c>
      <c r="K230" s="40" t="str">
        <f>_xlfn.XLOOKUP(EarningsPerDay[[#This Row],[Date]],Mileage[Date],Mileage[Weather])</f>
        <v>Partially Cloudy</v>
      </c>
      <c r="L230" s="4">
        <f>_xlfn.XLOOKUP(EarningsPerDay[[#This Row],[Date]],Mileage[Date],Mileage[Hi Temp])</f>
        <v>46.1</v>
      </c>
      <c r="M230" s="12">
        <f>_xlfn.XLOOKUP(EarningsPerDay[[#This Row],[Date]],Mileage[Date],Mileage[Total Time])</f>
        <v>8.32</v>
      </c>
      <c r="N230" s="4">
        <f>_xlfn.XLOOKUP(EarningsPerDay[[#This Row],[Date]],Mileage[Date],Mileage[Mileage])</f>
        <v>135.5</v>
      </c>
      <c r="O230" s="4">
        <f>SUMIF(Combined[Date],EarningsPerDay[[#This Row],[Date]],Combined[Trips])</f>
        <v>15</v>
      </c>
      <c r="P230">
        <f>COUNTIF(Combined[Date],EarningsPerDay[[#This Row],[Date]])</f>
        <v>4</v>
      </c>
      <c r="Q23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30" s="11">
        <f>SUMIF(Combined[Date],EarningsPerDay[[#This Row],[Date]],Combined[Earnings])</f>
        <v>155.47</v>
      </c>
      <c r="S230" s="11">
        <f ca="1">EarningsPerDay[[#This Row],[Gross Earnings]]-(EarningsPerDay[[#This Row],[Miles]]*CpM!$D$11)</f>
        <v>125.25714594886755</v>
      </c>
      <c r="T230" s="11">
        <f t="shared" si="29"/>
        <v>18.686298076923077</v>
      </c>
      <c r="U230" s="11">
        <f t="shared" ca="1" si="30"/>
        <v>15.054945426546579</v>
      </c>
      <c r="V230" s="11">
        <f>EarningsPerDay[[#This Row],[Gross Earnings]]/EarningsPerDay[[#This Row],[Deliveries]]</f>
        <v>10.364666666666666</v>
      </c>
      <c r="W230" s="11">
        <f>EarningsPerDay[[#This Row],[Gross Earnings]]/EarningsPerDay[[#This Row],[Miles]]</f>
        <v>1.147380073800738</v>
      </c>
      <c r="X230" s="71">
        <f>EarningsPerDay[[#This Row],[Deliveries]]/EarningsPerDay[[#This Row],[Hours]]</f>
        <v>1.8028846153846154</v>
      </c>
      <c r="Y230" s="71">
        <f>EarningsPerDay[[#This Row],[Miles]]/EarningsPerDay[[#This Row],[Deliveries]]</f>
        <v>9.0333333333333332</v>
      </c>
      <c r="Z230" s="81">
        <f>(EarningsPerDay[[#This Row],[Hours]]/EarningsPerDay[[#This Row],[Deliveries]])/24</f>
        <v>2.311111111111111E-2</v>
      </c>
      <c r="AA2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-6.441722212931996</v>
      </c>
      <c r="AB230" s="11">
        <f>AVERAGEIFS(EarningsPerDay[Gross $/Hour],EarningsPerDay[Week '#], EarningsPerDay[[#This Row],[Week '#]], EarningsPerDay[DOW], EarningsPerDay[[#This Row],[DOW]])</f>
        <v>25.011850729934075</v>
      </c>
      <c r="AC230" s="11">
        <f>EarningsPerDay[[#This Row],[Gross $/Hour]] - EarningsPerDay[[#This Row],[Weekly Average Earnings]]</f>
        <v>-6.3255526530109982</v>
      </c>
      <c r="AD230" s="11">
        <f>(SUMIFS(EarningsPerDay[Gross Earnings], EarningsPerDay[Date],"&gt;="&amp;EarningsPerDay[[#This Row],[Date]]-89, EarningsPerDay[Date], "&lt;="&amp;EarningsPerDay[[#This Row],[Date]]))/90</f>
        <v>51.012555555555565</v>
      </c>
    </row>
    <row r="231" spans="2:30" x14ac:dyDescent="0.35">
      <c r="B231" s="40">
        <v>44929</v>
      </c>
      <c r="C231" s="40">
        <f t="shared" si="27"/>
        <v>44929</v>
      </c>
      <c r="D231" s="4">
        <f>IF(EarningsPerDay[[#This Row],[Week '#]]&gt;=52,YEAR(EarningsPerDay[[#This Row],[Date]])-1,YEAR(EarningsPerDay[[#This Row],[Date]]))</f>
        <v>2023</v>
      </c>
      <c r="E231" s="4" t="str">
        <f>"QTR"&amp;IF(EarningsPerDay[[#This Row],[Week '#]] &lt;= 13, 1, IF(EarningsPerDay[[#This Row],[Week '#]] &lt;= 26, 2, IF(EarningsPerDay[[#This Row],[Week '#]] &lt;= 39, 3, 4)))</f>
        <v>QTR1</v>
      </c>
      <c r="F2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231" s="4">
        <f>IF(WEEKNUM(EarningsPerDay[[#This Row],[Date]], 2) = 53, 1, WEEKNUM(EarningsPerDay[[#This Row],[Date]],2))</f>
        <v>2</v>
      </c>
      <c r="H231" s="40" t="str">
        <f t="shared" si="28"/>
        <v>Tuesday</v>
      </c>
      <c r="I23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31" s="40" t="str" cm="1">
        <f t="array" ref="J231">IFERROR(VLOOKUP(MODE(IF(Combined[Date]=EarningsPerDay[[#This Row],[Date]],Combined[Area '#])),KPIs!$B$4:$C$7,2,FALSE),VLOOKUP(EarningsPerDay[[#This Row],[Date]],Combined[[Date]:[Primary Area]],8,FALSE))</f>
        <v>Brunswick/Bath/Freeport</v>
      </c>
      <c r="K231" s="40" t="str">
        <f>_xlfn.XLOOKUP(EarningsPerDay[[#This Row],[Date]],Mileage[Date],Mileage[Weather])</f>
        <v>Rain</v>
      </c>
      <c r="L231" s="4">
        <f>_xlfn.XLOOKUP(EarningsPerDay[[#This Row],[Date]],Mileage[Date],Mileage[Hi Temp])</f>
        <v>44.1</v>
      </c>
      <c r="M231" s="12">
        <f>_xlfn.XLOOKUP(EarningsPerDay[[#This Row],[Date]],Mileage[Date],Mileage[Total Time])</f>
        <v>5.75</v>
      </c>
      <c r="N231" s="4">
        <f>_xlfn.XLOOKUP(EarningsPerDay[[#This Row],[Date]],Mileage[Date],Mileage[Mileage])</f>
        <v>94</v>
      </c>
      <c r="O231" s="4">
        <f>SUMIF(Combined[Date],EarningsPerDay[[#This Row],[Date]],Combined[Trips])</f>
        <v>10</v>
      </c>
      <c r="P231">
        <f>COUNTIF(Combined[Date],EarningsPerDay[[#This Row],[Date]])</f>
        <v>2</v>
      </c>
      <c r="Q2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1" s="11">
        <f>SUMIF(Combined[Date],EarningsPerDay[[#This Row],[Date]],Combined[Earnings])</f>
        <v>90.85</v>
      </c>
      <c r="S231" s="11">
        <f ca="1">EarningsPerDay[[#This Row],[Gross Earnings]]-(EarningsPerDay[[#This Row],[Miles]]*CpM!$D$11)</f>
        <v>69.890529292941324</v>
      </c>
      <c r="T231" s="11">
        <f t="shared" si="29"/>
        <v>15.799999999999999</v>
      </c>
      <c r="U231" s="11">
        <f t="shared" ca="1" si="30"/>
        <v>12.154874659641969</v>
      </c>
      <c r="V231" s="11">
        <f>EarningsPerDay[[#This Row],[Gross Earnings]]/EarningsPerDay[[#This Row],[Deliveries]]</f>
        <v>9.0849999999999991</v>
      </c>
      <c r="W231" s="11">
        <f>EarningsPerDay[[#This Row],[Gross Earnings]]/EarningsPerDay[[#This Row],[Miles]]</f>
        <v>0.96648936170212763</v>
      </c>
      <c r="X231" s="71">
        <f>EarningsPerDay[[#This Row],[Deliveries]]/EarningsPerDay[[#This Row],[Hours]]</f>
        <v>1.7391304347826086</v>
      </c>
      <c r="Y231" s="71">
        <f>EarningsPerDay[[#This Row],[Miles]]/EarningsPerDay[[#This Row],[Deliveries]]</f>
        <v>9.4</v>
      </c>
      <c r="Z231" s="81">
        <f>(EarningsPerDay[[#This Row],[Hours]]/EarningsPerDay[[#This Row],[Deliveries]])/24</f>
        <v>2.3958333333333331E-2</v>
      </c>
      <c r="AA2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-18.456225662584053</v>
      </c>
      <c r="AB231" s="11">
        <f>AVERAGEIFS(EarningsPerDay[Gross $/Hour],EarningsPerDay[Week '#], EarningsPerDay[[#This Row],[Week '#]], EarningsPerDay[DOW], EarningsPerDay[[#This Row],[DOW]])</f>
        <v>19.135593220338983</v>
      </c>
      <c r="AC231" s="11">
        <f>EarningsPerDay[[#This Row],[Gross $/Hour]] - EarningsPerDay[[#This Row],[Weekly Average Earnings]]</f>
        <v>-3.3355932203389838</v>
      </c>
      <c r="AD231" s="11">
        <f>(SUMIFS(EarningsPerDay[Gross Earnings], EarningsPerDay[Date],"&gt;="&amp;EarningsPerDay[[#This Row],[Date]]-89, EarningsPerDay[Date], "&lt;="&amp;EarningsPerDay[[#This Row],[Date]]))/90</f>
        <v>50.554222222222236</v>
      </c>
    </row>
    <row r="232" spans="2:30" x14ac:dyDescent="0.35">
      <c r="B232" s="40">
        <v>44930</v>
      </c>
      <c r="C232" s="40">
        <f t="shared" si="27"/>
        <v>44930</v>
      </c>
      <c r="D232" s="4">
        <f>IF(EarningsPerDay[[#This Row],[Week '#]]&gt;=52,YEAR(EarningsPerDay[[#This Row],[Date]])-1,YEAR(EarningsPerDay[[#This Row],[Date]]))</f>
        <v>2023</v>
      </c>
      <c r="E232" s="4" t="str">
        <f>"QTR"&amp;IF(EarningsPerDay[[#This Row],[Week '#]] &lt;= 13, 1, IF(EarningsPerDay[[#This Row],[Week '#]] &lt;= 26, 2, IF(EarningsPerDay[[#This Row],[Week '#]] &lt;= 39, 3, 4)))</f>
        <v>QTR1</v>
      </c>
      <c r="F2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232" s="4">
        <f>IF(WEEKNUM(EarningsPerDay[[#This Row],[Date]], 2) = 53, 1, WEEKNUM(EarningsPerDay[[#This Row],[Date]],2))</f>
        <v>2</v>
      </c>
      <c r="H232" s="40" t="str">
        <f t="shared" si="28"/>
        <v>Wednesday</v>
      </c>
      <c r="I232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232" s="40" t="str" cm="1">
        <f t="array" ref="J232">IFERROR(VLOOKUP(MODE(IF(Combined[Date]=EarningsPerDay[[#This Row],[Date]],Combined[Area '#])),KPIs!$B$4:$C$7,2,FALSE),VLOOKUP(EarningsPerDay[[#This Row],[Date]],Combined[[Date]:[Primary Area]],8,FALSE))</f>
        <v>Portland</v>
      </c>
      <c r="K232" s="40" t="str">
        <f>_xlfn.XLOOKUP(EarningsPerDay[[#This Row],[Date]],Mileage[Date],Mileage[Weather])</f>
        <v>Freezing Rain / Ice</v>
      </c>
      <c r="L232" s="4">
        <f>_xlfn.XLOOKUP(EarningsPerDay[[#This Row],[Date]],Mileage[Date],Mileage[Hi Temp])</f>
        <v>32.200000000000003</v>
      </c>
      <c r="M232" s="12">
        <f>_xlfn.XLOOKUP(EarningsPerDay[[#This Row],[Date]],Mileage[Date],Mileage[Total Time])</f>
        <v>6.4</v>
      </c>
      <c r="N232" s="4">
        <f>_xlfn.XLOOKUP(EarningsPerDay[[#This Row],[Date]],Mileage[Date],Mileage[Mileage])</f>
        <v>113</v>
      </c>
      <c r="O232" s="4">
        <f>SUMIF(Combined[Date],EarningsPerDay[[#This Row],[Date]],Combined[Trips])</f>
        <v>13</v>
      </c>
      <c r="P232">
        <f>COUNTIF(Combined[Date],EarningsPerDay[[#This Row],[Date]])</f>
        <v>5</v>
      </c>
      <c r="Q23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32" s="11">
        <f>SUMIF(Combined[Date],EarningsPerDay[[#This Row],[Date]],Combined[Earnings])</f>
        <v>124.46000000000001</v>
      </c>
      <c r="S232" s="11">
        <f ca="1">EarningsPerDay[[#This Row],[Gross Earnings]]-(EarningsPerDay[[#This Row],[Miles]]*CpM!$D$11)</f>
        <v>99.264040533003936</v>
      </c>
      <c r="T232" s="11">
        <f t="shared" si="29"/>
        <v>19.446874999999999</v>
      </c>
      <c r="U232" s="11">
        <f t="shared" ca="1" si="30"/>
        <v>15.510006333281865</v>
      </c>
      <c r="V232" s="11">
        <f>EarningsPerDay[[#This Row],[Gross Earnings]]/EarningsPerDay[[#This Row],[Deliveries]]</f>
        <v>9.573846153846155</v>
      </c>
      <c r="W232" s="11">
        <f>EarningsPerDay[[#This Row],[Gross Earnings]]/EarningsPerDay[[#This Row],[Miles]]</f>
        <v>1.1014159292035399</v>
      </c>
      <c r="X232" s="71">
        <f>EarningsPerDay[[#This Row],[Deliveries]]/EarningsPerDay[[#This Row],[Hours]]</f>
        <v>2.03125</v>
      </c>
      <c r="Y232" s="71">
        <f>EarningsPerDay[[#This Row],[Miles]]/EarningsPerDay[[#This Row],[Deliveries]]</f>
        <v>8.6923076923076916</v>
      </c>
      <c r="Z232" s="81">
        <f>(EarningsPerDay[[#This Row],[Hours]]/EarningsPerDay[[#This Row],[Deliveries]])/24</f>
        <v>2.0512820512820513E-2</v>
      </c>
      <c r="AA23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2" s="11">
        <f>AVERAGEIFS(EarningsPerDay[Gross $/Hour],EarningsPerDay[Week '#], EarningsPerDay[[#This Row],[Week '#]], EarningsPerDay[DOW], EarningsPerDay[[#This Row],[DOW]])</f>
        <v>20.407605676328505</v>
      </c>
      <c r="AC232" s="11">
        <f>EarningsPerDay[[#This Row],[Gross $/Hour]] - EarningsPerDay[[#This Row],[Weekly Average Earnings]]</f>
        <v>-0.96073067632850595</v>
      </c>
      <c r="AD232" s="11">
        <f>(SUMIFS(EarningsPerDay[Gross Earnings], EarningsPerDay[Date],"&gt;="&amp;EarningsPerDay[[#This Row],[Date]]-89, EarningsPerDay[Date], "&lt;="&amp;EarningsPerDay[[#This Row],[Date]]))/90</f>
        <v>49.967000000000006</v>
      </c>
    </row>
    <row r="233" spans="2:30" x14ac:dyDescent="0.35">
      <c r="B233" s="40">
        <v>44931</v>
      </c>
      <c r="C233" s="40">
        <f t="shared" si="27"/>
        <v>44931</v>
      </c>
      <c r="D233" s="4">
        <f>IF(EarningsPerDay[[#This Row],[Week '#]]&gt;=52,YEAR(EarningsPerDay[[#This Row],[Date]])-1,YEAR(EarningsPerDay[[#This Row],[Date]]))</f>
        <v>2023</v>
      </c>
      <c r="E233" s="4" t="str">
        <f>"QTR"&amp;IF(EarningsPerDay[[#This Row],[Week '#]] &lt;= 13, 1, IF(EarningsPerDay[[#This Row],[Week '#]] &lt;= 26, 2, IF(EarningsPerDay[[#This Row],[Week '#]] &lt;= 39, 3, 4)))</f>
        <v>QTR1</v>
      </c>
      <c r="F2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233" s="4">
        <f>IF(WEEKNUM(EarningsPerDay[[#This Row],[Date]], 2) = 53, 1, WEEKNUM(EarningsPerDay[[#This Row],[Date]],2))</f>
        <v>2</v>
      </c>
      <c r="H233" s="40" t="str">
        <f t="shared" si="28"/>
        <v>Thursday</v>
      </c>
      <c r="I23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33" s="40" t="str" cm="1">
        <f t="array" ref="J233">IFERROR(VLOOKUP(MODE(IF(Combined[Date]=EarningsPerDay[[#This Row],[Date]],Combined[Area '#])),KPIs!$B$4:$C$7,2,FALSE),VLOOKUP(EarningsPerDay[[#This Row],[Date]],Combined[[Date]:[Primary Area]],8,FALSE))</f>
        <v>Portland</v>
      </c>
      <c r="K233" s="40" t="str">
        <f>_xlfn.XLOOKUP(EarningsPerDay[[#This Row],[Date]],Mileage[Date],Mileage[Weather])</f>
        <v>Freezing Rain / Ice</v>
      </c>
      <c r="L233" s="4">
        <f>_xlfn.XLOOKUP(EarningsPerDay[[#This Row],[Date]],Mileage[Date],Mileage[Hi Temp])</f>
        <v>30.5</v>
      </c>
      <c r="M233" s="12">
        <f>_xlfn.XLOOKUP(EarningsPerDay[[#This Row],[Date]],Mileage[Date],Mileage[Total Time])</f>
        <v>4.9800000000000004</v>
      </c>
      <c r="N233" s="4">
        <f>_xlfn.XLOOKUP(EarningsPerDay[[#This Row],[Date]],Mileage[Date],Mileage[Mileage])</f>
        <v>113</v>
      </c>
      <c r="O233" s="4">
        <f>SUMIF(Combined[Date],EarningsPerDay[[#This Row],[Date]],Combined[Trips])</f>
        <v>10</v>
      </c>
      <c r="P233">
        <f>COUNTIF(Combined[Date],EarningsPerDay[[#This Row],[Date]])</f>
        <v>3</v>
      </c>
      <c r="Q23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33" s="11">
        <f>SUMIF(Combined[Date],EarningsPerDay[[#This Row],[Date]],Combined[Earnings])</f>
        <v>83.98</v>
      </c>
      <c r="S233" s="11">
        <f ca="1">EarningsPerDay[[#This Row],[Gross Earnings]]-(EarningsPerDay[[#This Row],[Miles]]*CpM!$D$11)</f>
        <v>58.784040533003932</v>
      </c>
      <c r="T233" s="11">
        <f t="shared" si="29"/>
        <v>16.863453815261042</v>
      </c>
      <c r="U233" s="11">
        <f t="shared" ca="1" si="30"/>
        <v>11.804024203414443</v>
      </c>
      <c r="V233" s="11">
        <f>EarningsPerDay[[#This Row],[Gross Earnings]]/EarningsPerDay[[#This Row],[Deliveries]]</f>
        <v>8.3979999999999997</v>
      </c>
      <c r="W233" s="11">
        <f>EarningsPerDay[[#This Row],[Gross Earnings]]/EarningsPerDay[[#This Row],[Miles]]</f>
        <v>0.74318584070796467</v>
      </c>
      <c r="X233" s="71">
        <f>EarningsPerDay[[#This Row],[Deliveries]]/EarningsPerDay[[#This Row],[Hours]]</f>
        <v>2.0080321285140559</v>
      </c>
      <c r="Y233" s="71">
        <f>EarningsPerDay[[#This Row],[Miles]]/EarningsPerDay[[#This Row],[Deliveries]]</f>
        <v>11.3</v>
      </c>
      <c r="Z233" s="81">
        <f>(EarningsPerDay[[#This Row],[Hours]]/EarningsPerDay[[#This Row],[Deliveries]])/24</f>
        <v>2.0750000000000001E-2</v>
      </c>
      <c r="AA23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3" s="11">
        <f>AVERAGEIFS(EarningsPerDay[Gross $/Hour],EarningsPerDay[Week '#], EarningsPerDay[[#This Row],[Week '#]], EarningsPerDay[DOW], EarningsPerDay[[#This Row],[DOW]])</f>
        <v>17.499254197459155</v>
      </c>
      <c r="AC233" s="11">
        <f>EarningsPerDay[[#This Row],[Gross $/Hour]] - EarningsPerDay[[#This Row],[Weekly Average Earnings]]</f>
        <v>-0.63580038219811286</v>
      </c>
      <c r="AD233" s="11">
        <f>(SUMIFS(EarningsPerDay[Gross Earnings], EarningsPerDay[Date],"&gt;="&amp;EarningsPerDay[[#This Row],[Date]]-89, EarningsPerDay[Date], "&lt;="&amp;EarningsPerDay[[#This Row],[Date]]))/90</f>
        <v>48.577999999999996</v>
      </c>
    </row>
    <row r="234" spans="2:30" x14ac:dyDescent="0.35">
      <c r="B234" s="40">
        <v>44934</v>
      </c>
      <c r="C234" s="40">
        <f t="shared" si="27"/>
        <v>44934</v>
      </c>
      <c r="D234" s="4">
        <f>IF(EarningsPerDay[[#This Row],[Week '#]]&gt;=52,YEAR(EarningsPerDay[[#This Row],[Date]])-1,YEAR(EarningsPerDay[[#This Row],[Date]]))</f>
        <v>2023</v>
      </c>
      <c r="E234" s="4" t="str">
        <f>"QTR"&amp;IF(EarningsPerDay[[#This Row],[Week '#]] &lt;= 13, 1, IF(EarningsPerDay[[#This Row],[Week '#]] &lt;= 26, 2, IF(EarningsPerDay[[#This Row],[Week '#]] &lt;= 39, 3, 4)))</f>
        <v>QTR1</v>
      </c>
      <c r="F2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234" s="4">
        <f>IF(WEEKNUM(EarningsPerDay[[#This Row],[Date]], 2) = 53, 1, WEEKNUM(EarningsPerDay[[#This Row],[Date]],2))</f>
        <v>2</v>
      </c>
      <c r="H234" s="40" t="str">
        <f t="shared" si="28"/>
        <v>Sunday</v>
      </c>
      <c r="I23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34" s="40" t="str" cm="1">
        <f t="array" ref="J234">IFERROR(VLOOKUP(MODE(IF(Combined[Date]=EarningsPerDay[[#This Row],[Date]],Combined[Area '#])),KPIs!$B$4:$C$7,2,FALSE),VLOOKUP(EarningsPerDay[[#This Row],[Date]],Combined[[Date]:[Primary Area]],8,FALSE))</f>
        <v>Augusta</v>
      </c>
      <c r="K234" s="40" t="str">
        <f>_xlfn.XLOOKUP(EarningsPerDay[[#This Row],[Date]],Mileage[Date],Mileage[Weather])</f>
        <v>Partially Cloudy</v>
      </c>
      <c r="L234" s="4">
        <f>_xlfn.XLOOKUP(EarningsPerDay[[#This Row],[Date]],Mileage[Date],Mileage[Hi Temp])</f>
        <v>34.1</v>
      </c>
      <c r="M234" s="12">
        <f>_xlfn.XLOOKUP(EarningsPerDay[[#This Row],[Date]],Mileage[Date],Mileage[Total Time])</f>
        <v>5.57</v>
      </c>
      <c r="N234" s="4">
        <f>_xlfn.XLOOKUP(EarningsPerDay[[#This Row],[Date]],Mileage[Date],Mileage[Mileage])</f>
        <v>114.4</v>
      </c>
      <c r="O234" s="4">
        <f>SUMIF(Combined[Date],EarningsPerDay[[#This Row],[Date]],Combined[Trips])</f>
        <v>9</v>
      </c>
      <c r="P234">
        <f>COUNTIF(Combined[Date],EarningsPerDay[[#This Row],[Date]])</f>
        <v>2</v>
      </c>
      <c r="Q2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4" s="11">
        <f>SUMIF(Combined[Date],EarningsPerDay[[#This Row],[Date]],Combined[Earnings])</f>
        <v>77.3</v>
      </c>
      <c r="S234" s="11">
        <f ca="1">EarningsPerDay[[#This Row],[Gross Earnings]]-(EarningsPerDay[[#This Row],[Miles]]*CpM!$D$11)</f>
        <v>51.79187820332433</v>
      </c>
      <c r="T234" s="11">
        <f t="shared" si="29"/>
        <v>13.877917414721722</v>
      </c>
      <c r="U234" s="11">
        <f t="shared" ca="1" si="30"/>
        <v>9.2983623345286048</v>
      </c>
      <c r="V234" s="11">
        <f>EarningsPerDay[[#This Row],[Gross Earnings]]/EarningsPerDay[[#This Row],[Deliveries]]</f>
        <v>8.5888888888888886</v>
      </c>
      <c r="W234" s="11">
        <f>EarningsPerDay[[#This Row],[Gross Earnings]]/EarningsPerDay[[#This Row],[Miles]]</f>
        <v>0.67569930069930062</v>
      </c>
      <c r="X234" s="71">
        <f>EarningsPerDay[[#This Row],[Deliveries]]/EarningsPerDay[[#This Row],[Hours]]</f>
        <v>1.6157989228007181</v>
      </c>
      <c r="Y234" s="71">
        <f>EarningsPerDay[[#This Row],[Miles]]/EarningsPerDay[[#This Row],[Deliveries]]</f>
        <v>12.711111111111112</v>
      </c>
      <c r="Z234" s="81">
        <f>(EarningsPerDay[[#This Row],[Hours]]/EarningsPerDay[[#This Row],[Deliveries]])/24</f>
        <v>2.5787037037037039E-2</v>
      </c>
      <c r="AA23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4" s="11">
        <f>AVERAGEIFS(EarningsPerDay[Gross $/Hour],EarningsPerDay[Week '#], EarningsPerDay[[#This Row],[Week '#]], EarningsPerDay[DOW], EarningsPerDay[[#This Row],[DOW]])</f>
        <v>17.041251039326678</v>
      </c>
      <c r="AC234" s="11">
        <f>EarningsPerDay[[#This Row],[Gross $/Hour]] - EarningsPerDay[[#This Row],[Weekly Average Earnings]]</f>
        <v>-3.1633336246049559</v>
      </c>
      <c r="AD234" s="11">
        <f>(SUMIFS(EarningsPerDay[Gross Earnings], EarningsPerDay[Date],"&gt;="&amp;EarningsPerDay[[#This Row],[Date]]-89, EarningsPerDay[Date], "&lt;="&amp;EarningsPerDay[[#This Row],[Date]]))/90</f>
        <v>47.142888888888884</v>
      </c>
    </row>
    <row r="235" spans="2:30" x14ac:dyDescent="0.35">
      <c r="B235" s="40">
        <v>44935</v>
      </c>
      <c r="C235" s="40">
        <f t="shared" si="27"/>
        <v>44935</v>
      </c>
      <c r="D235" s="4">
        <f>IF(EarningsPerDay[[#This Row],[Week '#]]&gt;=52,YEAR(EarningsPerDay[[#This Row],[Date]])-1,YEAR(EarningsPerDay[[#This Row],[Date]]))</f>
        <v>2023</v>
      </c>
      <c r="E235" s="4" t="str">
        <f>"QTR"&amp;IF(EarningsPerDay[[#This Row],[Week '#]] &lt;= 13, 1, IF(EarningsPerDay[[#This Row],[Week '#]] &lt;= 26, 2, IF(EarningsPerDay[[#This Row],[Week '#]] &lt;= 39, 3, 4)))</f>
        <v>QTR1</v>
      </c>
      <c r="F2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35" s="4">
        <f>IF(WEEKNUM(EarningsPerDay[[#This Row],[Date]], 2) = 53, 1, WEEKNUM(EarningsPerDay[[#This Row],[Date]],2))</f>
        <v>3</v>
      </c>
      <c r="H235" s="40" t="str">
        <f t="shared" si="28"/>
        <v>Monday</v>
      </c>
      <c r="I23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35" s="40" t="str" cm="1">
        <f t="array" ref="J235">IFERROR(VLOOKUP(MODE(IF(Combined[Date]=EarningsPerDay[[#This Row],[Date]],Combined[Area '#])),KPIs!$B$4:$C$7,2,FALSE),VLOOKUP(EarningsPerDay[[#This Row],[Date]],Combined[[Date]:[Primary Area]],8,FALSE))</f>
        <v>Lewiston</v>
      </c>
      <c r="K235" s="40" t="str">
        <f>_xlfn.XLOOKUP(EarningsPerDay[[#This Row],[Date]],Mileage[Date],Mileage[Weather])</f>
        <v>Partially Cloudy</v>
      </c>
      <c r="L235" s="4">
        <f>_xlfn.XLOOKUP(EarningsPerDay[[#This Row],[Date]],Mileage[Date],Mileage[Hi Temp])</f>
        <v>27</v>
      </c>
      <c r="M235" s="12">
        <f>_xlfn.XLOOKUP(EarningsPerDay[[#This Row],[Date]],Mileage[Date],Mileage[Total Time])</f>
        <v>5.72</v>
      </c>
      <c r="N235" s="4">
        <f>_xlfn.XLOOKUP(EarningsPerDay[[#This Row],[Date]],Mileage[Date],Mileage[Mileage])</f>
        <v>111</v>
      </c>
      <c r="O235" s="4">
        <f>SUMIF(Combined[Date],EarningsPerDay[[#This Row],[Date]],Combined[Trips])</f>
        <v>11</v>
      </c>
      <c r="P235">
        <f>COUNTIF(Combined[Date],EarningsPerDay[[#This Row],[Date]])</f>
        <v>4</v>
      </c>
      <c r="Q2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5" s="11">
        <f>SUMIF(Combined[Date],EarningsPerDay[[#This Row],[Date]],Combined[Earnings])</f>
        <v>104.72</v>
      </c>
      <c r="S235" s="11">
        <f ca="1">EarningsPerDay[[#This Row],[Gross Earnings]]-(EarningsPerDay[[#This Row],[Miles]]*CpM!$D$11)</f>
        <v>79.969986718260486</v>
      </c>
      <c r="T235" s="11">
        <f t="shared" si="29"/>
        <v>18.307692307692307</v>
      </c>
      <c r="U235" s="11">
        <f t="shared" ca="1" si="30"/>
        <v>13.9807669087868</v>
      </c>
      <c r="V235" s="11">
        <f>EarningsPerDay[[#This Row],[Gross Earnings]]/EarningsPerDay[[#This Row],[Deliveries]]</f>
        <v>9.52</v>
      </c>
      <c r="W235" s="11">
        <f>EarningsPerDay[[#This Row],[Gross Earnings]]/EarningsPerDay[[#This Row],[Miles]]</f>
        <v>0.94342342342342345</v>
      </c>
      <c r="X235" s="71">
        <f>EarningsPerDay[[#This Row],[Deliveries]]/EarningsPerDay[[#This Row],[Hours]]</f>
        <v>1.9230769230769231</v>
      </c>
      <c r="Y235" s="71">
        <f>EarningsPerDay[[#This Row],[Miles]]/EarningsPerDay[[#This Row],[Deliveries]]</f>
        <v>10.090909090909092</v>
      </c>
      <c r="Z235" s="81">
        <f>(EarningsPerDay[[#This Row],[Hours]]/EarningsPerDay[[#This Row],[Deliveries]])/24</f>
        <v>2.1666666666666667E-2</v>
      </c>
      <c r="AA23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5" s="11">
        <f>AVERAGEIFS(EarningsPerDay[Gross $/Hour],EarningsPerDay[Week '#], EarningsPerDay[[#This Row],[Week '#]], EarningsPerDay[DOW], EarningsPerDay[[#This Row],[DOW]])</f>
        <v>20.098029868779264</v>
      </c>
      <c r="AC235" s="11">
        <f>EarningsPerDay[[#This Row],[Gross $/Hour]] - EarningsPerDay[[#This Row],[Weekly Average Earnings]]</f>
        <v>-1.7903375610869574</v>
      </c>
      <c r="AD235" s="11">
        <f>(SUMIFS(EarningsPerDay[Gross Earnings], EarningsPerDay[Date],"&gt;="&amp;EarningsPerDay[[#This Row],[Date]]-89, EarningsPerDay[Date], "&lt;="&amp;EarningsPerDay[[#This Row],[Date]]))/90</f>
        <v>47.495111111111115</v>
      </c>
    </row>
    <row r="236" spans="2:30" x14ac:dyDescent="0.35">
      <c r="B236" s="40">
        <v>44936</v>
      </c>
      <c r="C236" s="40">
        <f t="shared" si="27"/>
        <v>44936</v>
      </c>
      <c r="D236" s="4">
        <f>IF(EarningsPerDay[[#This Row],[Week '#]]&gt;=52,YEAR(EarningsPerDay[[#This Row],[Date]])-1,YEAR(EarningsPerDay[[#This Row],[Date]]))</f>
        <v>2023</v>
      </c>
      <c r="E236" s="4" t="str">
        <f>"QTR"&amp;IF(EarningsPerDay[[#This Row],[Week '#]] &lt;= 13, 1, IF(EarningsPerDay[[#This Row],[Week '#]] &lt;= 26, 2, IF(EarningsPerDay[[#This Row],[Week '#]] &lt;= 39, 3, 4)))</f>
        <v>QTR1</v>
      </c>
      <c r="F2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36" s="4">
        <f>IF(WEEKNUM(EarningsPerDay[[#This Row],[Date]], 2) = 53, 1, WEEKNUM(EarningsPerDay[[#This Row],[Date]],2))</f>
        <v>3</v>
      </c>
      <c r="H236" s="40" t="str">
        <f t="shared" si="28"/>
        <v>Tuesday</v>
      </c>
      <c r="I23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36" s="40" t="str" cm="1">
        <f t="array" ref="J236">IFERROR(VLOOKUP(MODE(IF(Combined[Date]=EarningsPerDay[[#This Row],[Date]],Combined[Area '#])),KPIs!$B$4:$C$7,2,FALSE),VLOOKUP(EarningsPerDay[[#This Row],[Date]],Combined[[Date]:[Primary Area]],8,FALSE))</f>
        <v>Augusta</v>
      </c>
      <c r="K236" s="40" t="str">
        <f>_xlfn.XLOOKUP(EarningsPerDay[[#This Row],[Date]],Mileage[Date],Mileage[Weather])</f>
        <v>Clear</v>
      </c>
      <c r="L236" s="4">
        <f>_xlfn.XLOOKUP(EarningsPerDay[[#This Row],[Date]],Mileage[Date],Mileage[Hi Temp])</f>
        <v>27.1</v>
      </c>
      <c r="M236" s="12">
        <f>_xlfn.XLOOKUP(EarningsPerDay[[#This Row],[Date]],Mileage[Date],Mileage[Total Time])</f>
        <v>5.5</v>
      </c>
      <c r="N236" s="4">
        <f>_xlfn.XLOOKUP(EarningsPerDay[[#This Row],[Date]],Mileage[Date],Mileage[Mileage])</f>
        <v>128</v>
      </c>
      <c r="O236" s="4">
        <f>SUMIF(Combined[Date],EarningsPerDay[[#This Row],[Date]],Combined[Trips])</f>
        <v>9</v>
      </c>
      <c r="P236">
        <f>COUNTIF(Combined[Date],EarningsPerDay[[#This Row],[Date]])</f>
        <v>4</v>
      </c>
      <c r="Q2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6" s="11">
        <f>SUMIF(Combined[Date],EarningsPerDay[[#This Row],[Date]],Combined[Earnings])</f>
        <v>92.65</v>
      </c>
      <c r="S236" s="11">
        <f ca="1">EarningsPerDay[[#This Row],[Gross Earnings]]-(EarningsPerDay[[#This Row],[Miles]]*CpM!$D$11)</f>
        <v>64.10944414357968</v>
      </c>
      <c r="T236" s="11">
        <f t="shared" si="29"/>
        <v>16.845454545454547</v>
      </c>
      <c r="U236" s="11">
        <f t="shared" ca="1" si="30"/>
        <v>11.656262571559942</v>
      </c>
      <c r="V236" s="11">
        <f>EarningsPerDay[[#This Row],[Gross Earnings]]/EarningsPerDay[[#This Row],[Deliveries]]</f>
        <v>10.294444444444444</v>
      </c>
      <c r="W236" s="11">
        <f>EarningsPerDay[[#This Row],[Gross Earnings]]/EarningsPerDay[[#This Row],[Miles]]</f>
        <v>0.72382812500000004</v>
      </c>
      <c r="X236" s="71">
        <f>EarningsPerDay[[#This Row],[Deliveries]]/EarningsPerDay[[#This Row],[Hours]]</f>
        <v>1.6363636363636365</v>
      </c>
      <c r="Y236" s="71">
        <f>EarningsPerDay[[#This Row],[Miles]]/EarningsPerDay[[#This Row],[Deliveries]]</f>
        <v>14.222222222222221</v>
      </c>
      <c r="Z236" s="81">
        <f>(EarningsPerDay[[#This Row],[Hours]]/EarningsPerDay[[#This Row],[Deliveries]])/24</f>
        <v>2.5462962962962965E-2</v>
      </c>
      <c r="AA2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1.5324774462179072</v>
      </c>
      <c r="AB236" s="11">
        <f>AVERAGEIFS(EarningsPerDay[Gross $/Hour],EarningsPerDay[Week '#], EarningsPerDay[[#This Row],[Week '#]], EarningsPerDay[DOW], EarningsPerDay[[#This Row],[DOW]])</f>
        <v>24.309841019700176</v>
      </c>
      <c r="AC236" s="11">
        <f>EarningsPerDay[[#This Row],[Gross $/Hour]] - EarningsPerDay[[#This Row],[Weekly Average Earnings]]</f>
        <v>-7.4643864742456287</v>
      </c>
      <c r="AD236" s="11">
        <f>(SUMIFS(EarningsPerDay[Gross Earnings], EarningsPerDay[Date],"&gt;="&amp;EarningsPerDay[[#This Row],[Date]]-89, EarningsPerDay[Date], "&lt;="&amp;EarningsPerDay[[#This Row],[Date]]))/90</f>
        <v>47.513999999999996</v>
      </c>
    </row>
    <row r="237" spans="2:30" x14ac:dyDescent="0.35">
      <c r="B237" s="40">
        <v>44937</v>
      </c>
      <c r="C237" s="40">
        <f t="shared" si="27"/>
        <v>44937</v>
      </c>
      <c r="D237" s="4">
        <f>IF(EarningsPerDay[[#This Row],[Week '#]]&gt;=52,YEAR(EarningsPerDay[[#This Row],[Date]])-1,YEAR(EarningsPerDay[[#This Row],[Date]]))</f>
        <v>2023</v>
      </c>
      <c r="E237" s="4" t="str">
        <f>"QTR"&amp;IF(EarningsPerDay[[#This Row],[Week '#]] &lt;= 13, 1, IF(EarningsPerDay[[#This Row],[Week '#]] &lt;= 26, 2, IF(EarningsPerDay[[#This Row],[Week '#]] &lt;= 39, 3, 4)))</f>
        <v>QTR1</v>
      </c>
      <c r="F2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37" s="4">
        <f>IF(WEEKNUM(EarningsPerDay[[#This Row],[Date]], 2) = 53, 1, WEEKNUM(EarningsPerDay[[#This Row],[Date]],2))</f>
        <v>3</v>
      </c>
      <c r="H237" s="40" t="str">
        <f t="shared" si="28"/>
        <v>Wednesday</v>
      </c>
      <c r="I23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37" s="40" t="str" cm="1">
        <f t="array" ref="J237">IFERROR(VLOOKUP(MODE(IF(Combined[Date]=EarningsPerDay[[#This Row],[Date]],Combined[Area '#])),KPIs!$B$4:$C$7,2,FALSE),VLOOKUP(EarningsPerDay[[#This Row],[Date]],Combined[[Date]:[Primary Area]],8,FALSE))</f>
        <v>Lewiston</v>
      </c>
      <c r="K237" s="40" t="str">
        <f>_xlfn.XLOOKUP(EarningsPerDay[[#This Row],[Date]],Mileage[Date],Mileage[Weather])</f>
        <v>Freezing Rain / Ice</v>
      </c>
      <c r="L237" s="4">
        <f>_xlfn.XLOOKUP(EarningsPerDay[[#This Row],[Date]],Mileage[Date],Mileage[Hi Temp])</f>
        <v>32.1</v>
      </c>
      <c r="M237" s="12">
        <f>_xlfn.XLOOKUP(EarningsPerDay[[#This Row],[Date]],Mileage[Date],Mileage[Total Time])</f>
        <v>0.45</v>
      </c>
      <c r="N237" s="4">
        <f>_xlfn.XLOOKUP(EarningsPerDay[[#This Row],[Date]],Mileage[Date],Mileage[Mileage])</f>
        <v>9</v>
      </c>
      <c r="O237" s="4">
        <f>SUMIF(Combined[Date],EarningsPerDay[[#This Row],[Date]],Combined[Trips])</f>
        <v>1</v>
      </c>
      <c r="P237">
        <f>COUNTIF(Combined[Date],EarningsPerDay[[#This Row],[Date]])</f>
        <v>1</v>
      </c>
      <c r="Q2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7" s="11">
        <f>SUMIF(Combined[Date],EarningsPerDay[[#This Row],[Date]],Combined[Earnings])</f>
        <v>7.5</v>
      </c>
      <c r="S237" s="11">
        <f ca="1">EarningsPerDay[[#This Row],[Gross Earnings]]-(EarningsPerDay[[#This Row],[Miles]]*CpM!$D$11)</f>
        <v>5.4932421663454454</v>
      </c>
      <c r="T237" s="11">
        <f t="shared" si="29"/>
        <v>16.666666666666668</v>
      </c>
      <c r="U237" s="11">
        <f t="shared" ca="1" si="30"/>
        <v>12.20720481410099</v>
      </c>
      <c r="V237" s="11">
        <f>EarningsPerDay[[#This Row],[Gross Earnings]]/EarningsPerDay[[#This Row],[Deliveries]]</f>
        <v>7.5</v>
      </c>
      <c r="W237" s="11">
        <f>EarningsPerDay[[#This Row],[Gross Earnings]]/EarningsPerDay[[#This Row],[Miles]]</f>
        <v>0.83333333333333337</v>
      </c>
      <c r="X237" s="71">
        <f>EarningsPerDay[[#This Row],[Deliveries]]/EarningsPerDay[[#This Row],[Hours]]</f>
        <v>2.2222222222222223</v>
      </c>
      <c r="Y237" s="71">
        <f>EarningsPerDay[[#This Row],[Miles]]/EarningsPerDay[[#This Row],[Deliveries]]</f>
        <v>9</v>
      </c>
      <c r="Z237" s="81">
        <f>(EarningsPerDay[[#This Row],[Hours]]/EarningsPerDay[[#This Row],[Deliveries]])/24</f>
        <v>1.8749999999999999E-2</v>
      </c>
      <c r="AA23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7" s="11">
        <f>AVERAGEIFS(EarningsPerDay[Gross $/Hour],EarningsPerDay[Week '#], EarningsPerDay[[#This Row],[Week '#]], EarningsPerDay[DOW], EarningsPerDay[[#This Row],[DOW]])</f>
        <v>18.097907324364723</v>
      </c>
      <c r="AC237" s="11">
        <f>EarningsPerDay[[#This Row],[Gross $/Hour]] - EarningsPerDay[[#This Row],[Weekly Average Earnings]]</f>
        <v>-1.431240657698055</v>
      </c>
      <c r="AD237" s="11">
        <f>(SUMIFS(EarningsPerDay[Gross Earnings], EarningsPerDay[Date],"&gt;="&amp;EarningsPerDay[[#This Row],[Date]]-89, EarningsPerDay[Date], "&lt;="&amp;EarningsPerDay[[#This Row],[Date]]))/90</f>
        <v>47.597333333333324</v>
      </c>
    </row>
    <row r="238" spans="2:30" x14ac:dyDescent="0.35">
      <c r="B238" s="40">
        <v>44938</v>
      </c>
      <c r="C238" s="40">
        <f t="shared" si="27"/>
        <v>44938</v>
      </c>
      <c r="D238" s="4">
        <f>IF(EarningsPerDay[[#This Row],[Week '#]]&gt;=52,YEAR(EarningsPerDay[[#This Row],[Date]])-1,YEAR(EarningsPerDay[[#This Row],[Date]]))</f>
        <v>2023</v>
      </c>
      <c r="E238" s="4" t="str">
        <f>"QTR"&amp;IF(EarningsPerDay[[#This Row],[Week '#]] &lt;= 13, 1, IF(EarningsPerDay[[#This Row],[Week '#]] &lt;= 26, 2, IF(EarningsPerDay[[#This Row],[Week '#]] &lt;= 39, 3, 4)))</f>
        <v>QTR1</v>
      </c>
      <c r="F2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38" s="4">
        <f>IF(WEEKNUM(EarningsPerDay[[#This Row],[Date]], 2) = 53, 1, WEEKNUM(EarningsPerDay[[#This Row],[Date]],2))</f>
        <v>3</v>
      </c>
      <c r="H238" s="40" t="str">
        <f t="shared" si="28"/>
        <v>Thursday</v>
      </c>
      <c r="I23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38" s="40" t="str" cm="1">
        <f t="array" ref="J238">IFERROR(VLOOKUP(MODE(IF(Combined[Date]=EarningsPerDay[[#This Row],[Date]],Combined[Area '#])),KPIs!$B$4:$C$7,2,FALSE),VLOOKUP(EarningsPerDay[[#This Row],[Date]],Combined[[Date]:[Primary Area]],8,FALSE))</f>
        <v>Augusta</v>
      </c>
      <c r="K238" s="40" t="str">
        <f>_xlfn.XLOOKUP(EarningsPerDay[[#This Row],[Date]],Mileage[Date],Mileage[Weather])</f>
        <v>Rain</v>
      </c>
      <c r="L238" s="4">
        <f>_xlfn.XLOOKUP(EarningsPerDay[[#This Row],[Date]],Mileage[Date],Mileage[Hi Temp])</f>
        <v>51.9</v>
      </c>
      <c r="M238" s="12">
        <f>_xlfn.XLOOKUP(EarningsPerDay[[#This Row],[Date]],Mileage[Date],Mileage[Total Time])</f>
        <v>6.23</v>
      </c>
      <c r="N238" s="4">
        <f>_xlfn.XLOOKUP(EarningsPerDay[[#This Row],[Date]],Mileage[Date],Mileage[Mileage])</f>
        <v>122</v>
      </c>
      <c r="O238" s="4">
        <f>SUMIF(Combined[Date],EarningsPerDay[[#This Row],[Date]],Combined[Trips])</f>
        <v>8</v>
      </c>
      <c r="P238">
        <f>COUNTIF(Combined[Date],EarningsPerDay[[#This Row],[Date]])</f>
        <v>3</v>
      </c>
      <c r="Q2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8" s="11">
        <f>SUMIF(Combined[Date],EarningsPerDay[[#This Row],[Date]],Combined[Earnings])</f>
        <v>79.02000000000001</v>
      </c>
      <c r="S238" s="11">
        <f ca="1">EarningsPerDay[[#This Row],[Gross Earnings]]-(EarningsPerDay[[#This Row],[Miles]]*CpM!$D$11)</f>
        <v>51.817282699349384</v>
      </c>
      <c r="T238" s="11">
        <f t="shared" si="29"/>
        <v>12.68378812199037</v>
      </c>
      <c r="U238" s="11">
        <f t="shared" ca="1" si="30"/>
        <v>8.3173808506178784</v>
      </c>
      <c r="V238" s="11">
        <f>EarningsPerDay[[#This Row],[Gross Earnings]]/EarningsPerDay[[#This Row],[Deliveries]]</f>
        <v>9.8775000000000013</v>
      </c>
      <c r="W238" s="11">
        <f>EarningsPerDay[[#This Row],[Gross Earnings]]/EarningsPerDay[[#This Row],[Miles]]</f>
        <v>0.64770491803278696</v>
      </c>
      <c r="X238" s="71">
        <f>EarningsPerDay[[#This Row],[Deliveries]]/EarningsPerDay[[#This Row],[Hours]]</f>
        <v>1.2841091492776886</v>
      </c>
      <c r="Y238" s="71">
        <f>EarningsPerDay[[#This Row],[Miles]]/EarningsPerDay[[#This Row],[Deliveries]]</f>
        <v>15.25</v>
      </c>
      <c r="Z238" s="81">
        <f>(EarningsPerDay[[#This Row],[Hours]]/EarningsPerDay[[#This Row],[Deliveries]])/24</f>
        <v>3.2447916666666667E-2</v>
      </c>
      <c r="AA23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8" s="11">
        <f>AVERAGEIFS(EarningsPerDay[Gross $/Hour],EarningsPerDay[Week '#], EarningsPerDay[[#This Row],[Week '#]], EarningsPerDay[DOW], EarningsPerDay[[#This Row],[DOW]])</f>
        <v>16.934665145332534</v>
      </c>
      <c r="AC238" s="11">
        <f>EarningsPerDay[[#This Row],[Gross $/Hour]] - EarningsPerDay[[#This Row],[Weekly Average Earnings]]</f>
        <v>-4.2508770233421647</v>
      </c>
      <c r="AD238" s="11">
        <f>(SUMIFS(EarningsPerDay[Gross Earnings], EarningsPerDay[Date],"&gt;="&amp;EarningsPerDay[[#This Row],[Date]]-89, EarningsPerDay[Date], "&lt;="&amp;EarningsPerDay[[#This Row],[Date]]))/90</f>
        <v>46.50277777777778</v>
      </c>
    </row>
    <row r="239" spans="2:30" x14ac:dyDescent="0.35">
      <c r="B239" s="40">
        <v>44939</v>
      </c>
      <c r="C239" s="40">
        <f t="shared" ref="C239:C302" si="31">B239</f>
        <v>44939</v>
      </c>
      <c r="D239" s="4">
        <f>IF(EarningsPerDay[[#This Row],[Week '#]]&gt;=52,YEAR(EarningsPerDay[[#This Row],[Date]])-1,YEAR(EarningsPerDay[[#This Row],[Date]]))</f>
        <v>2023</v>
      </c>
      <c r="E239" s="4" t="str">
        <f>"QTR"&amp;IF(EarningsPerDay[[#This Row],[Week '#]] &lt;= 13, 1, IF(EarningsPerDay[[#This Row],[Week '#]] &lt;= 26, 2, IF(EarningsPerDay[[#This Row],[Week '#]] &lt;= 39, 3, 4)))</f>
        <v>QTR1</v>
      </c>
      <c r="F2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39" s="4">
        <f>IF(WEEKNUM(EarningsPerDay[[#This Row],[Date]], 2) = 53, 1, WEEKNUM(EarningsPerDay[[#This Row],[Date]],2))</f>
        <v>3</v>
      </c>
      <c r="H239" s="40" t="str">
        <f t="shared" ref="H239:H302" si="32">TEXT(B239,"DDDD")</f>
        <v>Friday</v>
      </c>
      <c r="I23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39" s="40" t="str" cm="1">
        <f t="array" ref="J239">IFERROR(VLOOKUP(MODE(IF(Combined[Date]=EarningsPerDay[[#This Row],[Date]],Combined[Area '#])),KPIs!$B$4:$C$7,2,FALSE),VLOOKUP(EarningsPerDay[[#This Row],[Date]],Combined[[Date]:[Primary Area]],8,FALSE))</f>
        <v>Lewiston</v>
      </c>
      <c r="K239" s="40" t="str">
        <f>_xlfn.XLOOKUP(EarningsPerDay[[#This Row],[Date]],Mileage[Date],Mileage[Weather])</f>
        <v>Freezing Rain / Ice</v>
      </c>
      <c r="L239" s="4">
        <f>_xlfn.XLOOKUP(EarningsPerDay[[#This Row],[Date]],Mileage[Date],Mileage[Hi Temp])</f>
        <v>27.9</v>
      </c>
      <c r="M239" s="12">
        <f>_xlfn.XLOOKUP(EarningsPerDay[[#This Row],[Date]],Mileage[Date],Mileage[Total Time])</f>
        <v>9.07</v>
      </c>
      <c r="N239" s="4">
        <f>_xlfn.XLOOKUP(EarningsPerDay[[#This Row],[Date]],Mileage[Date],Mileage[Mileage])</f>
        <v>109</v>
      </c>
      <c r="O239" s="4">
        <f>SUMIF(Combined[Date],EarningsPerDay[[#This Row],[Date]],Combined[Trips])</f>
        <v>21</v>
      </c>
      <c r="P239">
        <f>COUNTIF(Combined[Date],EarningsPerDay[[#This Row],[Date]])</f>
        <v>2</v>
      </c>
      <c r="Q2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39" s="11">
        <f>SUMIF(Combined[Date],EarningsPerDay[[#This Row],[Date]],Combined[Earnings])</f>
        <v>208.07</v>
      </c>
      <c r="S239" s="11">
        <f ca="1">EarningsPerDay[[#This Row],[Gross Earnings]]-(EarningsPerDay[[#This Row],[Miles]]*CpM!$D$11)</f>
        <v>183.76593290351707</v>
      </c>
      <c r="T239" s="11">
        <f t="shared" si="29"/>
        <v>22.940463065049613</v>
      </c>
      <c r="U239" s="11">
        <f t="shared" ca="1" si="30"/>
        <v>20.260852580321618</v>
      </c>
      <c r="V239" s="11">
        <f>EarningsPerDay[[#This Row],[Gross Earnings]]/EarningsPerDay[[#This Row],[Deliveries]]</f>
        <v>9.9080952380952372</v>
      </c>
      <c r="W239" s="11">
        <f>EarningsPerDay[[#This Row],[Gross Earnings]]/EarningsPerDay[[#This Row],[Miles]]</f>
        <v>1.9088990825688072</v>
      </c>
      <c r="X239" s="71">
        <f>EarningsPerDay[[#This Row],[Deliveries]]/EarningsPerDay[[#This Row],[Hours]]</f>
        <v>2.3153252480705624</v>
      </c>
      <c r="Y239" s="71">
        <f>EarningsPerDay[[#This Row],[Miles]]/EarningsPerDay[[#This Row],[Deliveries]]</f>
        <v>5.1904761904761907</v>
      </c>
      <c r="Z239" s="81">
        <f>(EarningsPerDay[[#This Row],[Hours]]/EarningsPerDay[[#This Row],[Deliveries]])/24</f>
        <v>1.7996031746031746E-2</v>
      </c>
      <c r="AA239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39" s="11">
        <f>AVERAGEIFS(EarningsPerDay[Gross $/Hour],EarningsPerDay[Week '#], EarningsPerDay[[#This Row],[Week '#]], EarningsPerDay[DOW], EarningsPerDay[[#This Row],[DOW]])</f>
        <v>26.311622557568853</v>
      </c>
      <c r="AC239" s="11">
        <f>EarningsPerDay[[#This Row],[Gross $/Hour]] - EarningsPerDay[[#This Row],[Weekly Average Earnings]]</f>
        <v>-3.3711594925192401</v>
      </c>
      <c r="AD239" s="11">
        <f>(SUMIFS(EarningsPerDay[Gross Earnings], EarningsPerDay[Date],"&gt;="&amp;EarningsPerDay[[#This Row],[Date]]-89, EarningsPerDay[Date], "&lt;="&amp;EarningsPerDay[[#This Row],[Date]]))/90</f>
        <v>48.81466666666666</v>
      </c>
    </row>
    <row r="240" spans="2:30" x14ac:dyDescent="0.35">
      <c r="B240" s="40">
        <v>44942</v>
      </c>
      <c r="C240" s="40">
        <f t="shared" si="31"/>
        <v>44942</v>
      </c>
      <c r="D240" s="4">
        <f>IF(EarningsPerDay[[#This Row],[Week '#]]&gt;=52,YEAR(EarningsPerDay[[#This Row],[Date]])-1,YEAR(EarningsPerDay[[#This Row],[Date]]))</f>
        <v>2023</v>
      </c>
      <c r="E240" s="4" t="str">
        <f>"QTR"&amp;IF(EarningsPerDay[[#This Row],[Week '#]] &lt;= 13, 1, IF(EarningsPerDay[[#This Row],[Week '#]] &lt;= 26, 2, IF(EarningsPerDay[[#This Row],[Week '#]] &lt;= 39, 3, 4)))</f>
        <v>QTR1</v>
      </c>
      <c r="F2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40" s="4">
        <f>IF(WEEKNUM(EarningsPerDay[[#This Row],[Date]], 2) = 53, 1, WEEKNUM(EarningsPerDay[[#This Row],[Date]],2))</f>
        <v>4</v>
      </c>
      <c r="H240" s="40" t="str">
        <f t="shared" si="32"/>
        <v>Monday</v>
      </c>
      <c r="I24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40" s="40" t="str" cm="1">
        <f t="array" ref="J240">IFERROR(VLOOKUP(MODE(IF(Combined[Date]=EarningsPerDay[[#This Row],[Date]],Combined[Area '#])),KPIs!$B$4:$C$7,2,FALSE),VLOOKUP(EarningsPerDay[[#This Row],[Date]],Combined[[Date]:[Primary Area]],8,FALSE))</f>
        <v>Augusta</v>
      </c>
      <c r="K240" s="40" t="str">
        <f>_xlfn.XLOOKUP(EarningsPerDay[[#This Row],[Date]],Mileage[Date],Mileage[Weather])</f>
        <v>Freezing Rain / Ice</v>
      </c>
      <c r="L240" s="4">
        <f>_xlfn.XLOOKUP(EarningsPerDay[[#This Row],[Date]],Mileage[Date],Mileage[Hi Temp])</f>
        <v>37.1</v>
      </c>
      <c r="M240" s="12">
        <f>_xlfn.XLOOKUP(EarningsPerDay[[#This Row],[Date]],Mileage[Date],Mileage[Total Time])</f>
        <v>6.15</v>
      </c>
      <c r="N240" s="4">
        <f>_xlfn.XLOOKUP(EarningsPerDay[[#This Row],[Date]],Mileage[Date],Mileage[Mileage])</f>
        <v>141</v>
      </c>
      <c r="O240" s="4">
        <f>SUMIF(Combined[Date],EarningsPerDay[[#This Row],[Date]],Combined[Trips])</f>
        <v>10</v>
      </c>
      <c r="P240">
        <f>COUNTIF(Combined[Date],EarningsPerDay[[#This Row],[Date]])</f>
        <v>3</v>
      </c>
      <c r="Q2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0" s="11">
        <f>SUMIF(Combined[Date],EarningsPerDay[[#This Row],[Date]],Combined[Earnings])</f>
        <v>93.289999999999992</v>
      </c>
      <c r="S240" s="11">
        <f ca="1">EarningsPerDay[[#This Row],[Gross Earnings]]-(EarningsPerDay[[#This Row],[Miles]]*CpM!$D$11)</f>
        <v>61.850793939411972</v>
      </c>
      <c r="T240" s="11">
        <f t="shared" si="29"/>
        <v>15.169105691056908</v>
      </c>
      <c r="U240" s="11">
        <f t="shared" ca="1" si="30"/>
        <v>10.057039664945036</v>
      </c>
      <c r="V240" s="11">
        <f>EarningsPerDay[[#This Row],[Gross Earnings]]/EarningsPerDay[[#This Row],[Deliveries]]</f>
        <v>9.3289999999999988</v>
      </c>
      <c r="W240" s="11">
        <f>EarningsPerDay[[#This Row],[Gross Earnings]]/EarningsPerDay[[#This Row],[Miles]]</f>
        <v>0.66163120567375877</v>
      </c>
      <c r="X240" s="71">
        <f>EarningsPerDay[[#This Row],[Deliveries]]/EarningsPerDay[[#This Row],[Hours]]</f>
        <v>1.6260162601626016</v>
      </c>
      <c r="Y240" s="71">
        <f>EarningsPerDay[[#This Row],[Miles]]/EarningsPerDay[[#This Row],[Deliveries]]</f>
        <v>14.1</v>
      </c>
      <c r="Z240" s="81">
        <f>(EarningsPerDay[[#This Row],[Hours]]/EarningsPerDay[[#This Row],[Deliveries]])/24</f>
        <v>2.5624999999999998E-2</v>
      </c>
      <c r="AA24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40" s="11">
        <f>AVERAGEIFS(EarningsPerDay[Gross $/Hour],EarningsPerDay[Week '#], EarningsPerDay[[#This Row],[Week '#]], EarningsPerDay[DOW], EarningsPerDay[[#This Row],[DOW]])</f>
        <v>17.564907579101099</v>
      </c>
      <c r="AC240" s="11">
        <f>EarningsPerDay[[#This Row],[Gross $/Hour]] - EarningsPerDay[[#This Row],[Weekly Average Earnings]]</f>
        <v>-2.3958018880441916</v>
      </c>
      <c r="AD240" s="11">
        <f>(SUMIFS(EarningsPerDay[Gross Earnings], EarningsPerDay[Date],"&gt;="&amp;EarningsPerDay[[#This Row],[Date]]-89, EarningsPerDay[Date], "&lt;="&amp;EarningsPerDay[[#This Row],[Date]]))/90</f>
        <v>49.851222222222219</v>
      </c>
    </row>
    <row r="241" spans="2:30" x14ac:dyDescent="0.35">
      <c r="B241" s="40">
        <v>44945</v>
      </c>
      <c r="C241" s="40">
        <f t="shared" si="31"/>
        <v>44945</v>
      </c>
      <c r="D241" s="4">
        <f>IF(EarningsPerDay[[#This Row],[Week '#]]&gt;=52,YEAR(EarningsPerDay[[#This Row],[Date]])-1,YEAR(EarningsPerDay[[#This Row],[Date]]))</f>
        <v>2023</v>
      </c>
      <c r="E241" s="4" t="str">
        <f>"QTR"&amp;IF(EarningsPerDay[[#This Row],[Week '#]] &lt;= 13, 1, IF(EarningsPerDay[[#This Row],[Week '#]] &lt;= 26, 2, IF(EarningsPerDay[[#This Row],[Week '#]] &lt;= 39, 3, 4)))</f>
        <v>QTR1</v>
      </c>
      <c r="F2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41" s="4">
        <f>IF(WEEKNUM(EarningsPerDay[[#This Row],[Date]], 2) = 53, 1, WEEKNUM(EarningsPerDay[[#This Row],[Date]],2))</f>
        <v>4</v>
      </c>
      <c r="H241" s="40" t="str">
        <f t="shared" si="32"/>
        <v>Thursday</v>
      </c>
      <c r="I24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41" s="40" t="str" cm="1">
        <f t="array" ref="J241">IFERROR(VLOOKUP(MODE(IF(Combined[Date]=EarningsPerDay[[#This Row],[Date]],Combined[Area '#])),KPIs!$B$4:$C$7,2,FALSE),VLOOKUP(EarningsPerDay[[#This Row],[Date]],Combined[[Date]:[Primary Area]],8,FALSE))</f>
        <v>Lewiston</v>
      </c>
      <c r="K241" s="40" t="str">
        <f>_xlfn.XLOOKUP(EarningsPerDay[[#This Row],[Date]],Mileage[Date],Mileage[Weather])</f>
        <v>Snow Storm</v>
      </c>
      <c r="L241" s="4">
        <f>_xlfn.XLOOKUP(EarningsPerDay[[#This Row],[Date]],Mileage[Date],Mileage[Hi Temp])</f>
        <v>26.6</v>
      </c>
      <c r="M241" s="12">
        <f>_xlfn.XLOOKUP(EarningsPerDay[[#This Row],[Date]],Mileage[Date],Mileage[Total Time])</f>
        <v>6.52</v>
      </c>
      <c r="N241" s="4">
        <f>_xlfn.XLOOKUP(EarningsPerDay[[#This Row],[Date]],Mileage[Date],Mileage[Mileage])</f>
        <v>82</v>
      </c>
      <c r="O241" s="4">
        <f>SUMIF(Combined[Date],EarningsPerDay[[#This Row],[Date]],Combined[Trips])</f>
        <v>14</v>
      </c>
      <c r="P241">
        <f>COUNTIF(Combined[Date],EarningsPerDay[[#This Row],[Date]])</f>
        <v>5</v>
      </c>
      <c r="Q2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1" s="11">
        <f>SUMIF(Combined[Date],EarningsPerDay[[#This Row],[Date]],Combined[Earnings])</f>
        <v>129.25</v>
      </c>
      <c r="S241" s="11">
        <f ca="1">EarningsPerDay[[#This Row],[Gross Earnings]]-(EarningsPerDay[[#This Row],[Miles]]*CpM!$D$11)</f>
        <v>110.96620640448073</v>
      </c>
      <c r="T241" s="11">
        <f t="shared" si="29"/>
        <v>19.823619631901842</v>
      </c>
      <c r="U241" s="11">
        <f t="shared" ca="1" si="30"/>
        <v>17.019356810503179</v>
      </c>
      <c r="V241" s="11">
        <f>EarningsPerDay[[#This Row],[Gross Earnings]]/EarningsPerDay[[#This Row],[Deliveries]]</f>
        <v>9.2321428571428577</v>
      </c>
      <c r="W241" s="11">
        <f>EarningsPerDay[[#This Row],[Gross Earnings]]/EarningsPerDay[[#This Row],[Miles]]</f>
        <v>1.5762195121951219</v>
      </c>
      <c r="X241" s="71">
        <f>EarningsPerDay[[#This Row],[Deliveries]]/EarningsPerDay[[#This Row],[Hours]]</f>
        <v>2.147239263803681</v>
      </c>
      <c r="Y241" s="71">
        <f>EarningsPerDay[[#This Row],[Miles]]/EarningsPerDay[[#This Row],[Deliveries]]</f>
        <v>5.8571428571428568</v>
      </c>
      <c r="Z241" s="81">
        <f>(EarningsPerDay[[#This Row],[Hours]]/EarningsPerDay[[#This Row],[Deliveries]])/24</f>
        <v>1.9404761904761904E-2</v>
      </c>
      <c r="AA2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1.5911196319018401</v>
      </c>
      <c r="AB241" s="11">
        <f>AVERAGEIFS(EarningsPerDay[Gross $/Hour],EarningsPerDay[Week '#], EarningsPerDay[[#This Row],[Week '#]], EarningsPerDay[DOW], EarningsPerDay[[#This Row],[DOW]])</f>
        <v>21.955737464529733</v>
      </c>
      <c r="AC241" s="11">
        <f>EarningsPerDay[[#This Row],[Gross $/Hour]] - EarningsPerDay[[#This Row],[Weekly Average Earnings]]</f>
        <v>-2.1321178326278911</v>
      </c>
      <c r="AD241" s="11">
        <f>(SUMIFS(EarningsPerDay[Gross Earnings], EarningsPerDay[Date],"&gt;="&amp;EarningsPerDay[[#This Row],[Date]]-89, EarningsPerDay[Date], "&lt;="&amp;EarningsPerDay[[#This Row],[Date]]))/90</f>
        <v>51.287333333333329</v>
      </c>
    </row>
    <row r="242" spans="2:30" x14ac:dyDescent="0.35">
      <c r="B242" s="40">
        <v>44947</v>
      </c>
      <c r="C242" s="40">
        <f t="shared" si="31"/>
        <v>44947</v>
      </c>
      <c r="D242" s="4">
        <f>IF(EarningsPerDay[[#This Row],[Week '#]]&gt;=52,YEAR(EarningsPerDay[[#This Row],[Date]])-1,YEAR(EarningsPerDay[[#This Row],[Date]]))</f>
        <v>2023</v>
      </c>
      <c r="E242" s="4" t="str">
        <f>"QTR"&amp;IF(EarningsPerDay[[#This Row],[Week '#]] &lt;= 13, 1, IF(EarningsPerDay[[#This Row],[Week '#]] &lt;= 26, 2, IF(EarningsPerDay[[#This Row],[Week '#]] &lt;= 39, 3, 4)))</f>
        <v>QTR1</v>
      </c>
      <c r="F2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42" s="4">
        <f>IF(WEEKNUM(EarningsPerDay[[#This Row],[Date]], 2) = 53, 1, WEEKNUM(EarningsPerDay[[#This Row],[Date]],2))</f>
        <v>4</v>
      </c>
      <c r="H242" s="40" t="str">
        <f t="shared" si="32"/>
        <v>Saturday</v>
      </c>
      <c r="I24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42" s="40" t="str" cm="1">
        <f t="array" ref="J242">IFERROR(VLOOKUP(MODE(IF(Combined[Date]=EarningsPerDay[[#This Row],[Date]],Combined[Area '#])),KPIs!$B$4:$C$7,2,FALSE),VLOOKUP(EarningsPerDay[[#This Row],[Date]],Combined[[Date]:[Primary Area]],8,FALSE))</f>
        <v>Augusta</v>
      </c>
      <c r="K242" s="40" t="str">
        <f>_xlfn.XLOOKUP(EarningsPerDay[[#This Row],[Date]],Mileage[Date],Mileage[Weather])</f>
        <v>Light Snow</v>
      </c>
      <c r="L242" s="4">
        <f>_xlfn.XLOOKUP(EarningsPerDay[[#This Row],[Date]],Mileage[Date],Mileage[Hi Temp])</f>
        <v>29.3</v>
      </c>
      <c r="M242" s="12">
        <f>_xlfn.XLOOKUP(EarningsPerDay[[#This Row],[Date]],Mileage[Date],Mileage[Total Time])</f>
        <v>7.9</v>
      </c>
      <c r="N242" s="4">
        <f>_xlfn.XLOOKUP(EarningsPerDay[[#This Row],[Date]],Mileage[Date],Mileage[Mileage])</f>
        <v>194</v>
      </c>
      <c r="O242" s="4">
        <f>SUMIF(Combined[Date],EarningsPerDay[[#This Row],[Date]],Combined[Trips])</f>
        <v>13</v>
      </c>
      <c r="P242">
        <f>COUNTIF(Combined[Date],EarningsPerDay[[#This Row],[Date]])</f>
        <v>4</v>
      </c>
      <c r="Q2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2" s="11">
        <f>SUMIF(Combined[Date],EarningsPerDay[[#This Row],[Date]],Combined[Earnings])</f>
        <v>148.47999999999999</v>
      </c>
      <c r="S242" s="11">
        <f ca="1">EarningsPerDay[[#This Row],[Gross Earnings]]-(EarningsPerDay[[#This Row],[Miles]]*CpM!$D$11)</f>
        <v>105.22322003011293</v>
      </c>
      <c r="T242" s="11">
        <f t="shared" si="29"/>
        <v>18.794936708860757</v>
      </c>
      <c r="U242" s="11">
        <f t="shared" ca="1" si="30"/>
        <v>13.319394940520622</v>
      </c>
      <c r="V242" s="11">
        <f>EarningsPerDay[[#This Row],[Gross Earnings]]/EarningsPerDay[[#This Row],[Deliveries]]</f>
        <v>11.421538461538461</v>
      </c>
      <c r="W242" s="11">
        <f>EarningsPerDay[[#This Row],[Gross Earnings]]/EarningsPerDay[[#This Row],[Miles]]</f>
        <v>0.76536082474226796</v>
      </c>
      <c r="X242" s="71">
        <f>EarningsPerDay[[#This Row],[Deliveries]]/EarningsPerDay[[#This Row],[Hours]]</f>
        <v>1.6455696202531644</v>
      </c>
      <c r="Y242" s="71">
        <f>EarningsPerDay[[#This Row],[Miles]]/EarningsPerDay[[#This Row],[Deliveries]]</f>
        <v>14.923076923076923</v>
      </c>
      <c r="Z242" s="81">
        <f>(EarningsPerDay[[#This Row],[Hours]]/EarningsPerDay[[#This Row],[Deliveries]])/24</f>
        <v>2.5320512820512824E-2</v>
      </c>
      <c r="AA24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42" s="11">
        <f>AVERAGEIFS(EarningsPerDay[Gross $/Hour],EarningsPerDay[Week '#], EarningsPerDay[[#This Row],[Week '#]], EarningsPerDay[DOW], EarningsPerDay[[#This Row],[DOW]])</f>
        <v>22.487593350400246</v>
      </c>
      <c r="AC242" s="11">
        <f>EarningsPerDay[[#This Row],[Gross $/Hour]] - EarningsPerDay[[#This Row],[Weekly Average Earnings]]</f>
        <v>-3.6926566415394895</v>
      </c>
      <c r="AD242" s="11">
        <f>(SUMIFS(EarningsPerDay[Gross Earnings], EarningsPerDay[Date],"&gt;="&amp;EarningsPerDay[[#This Row],[Date]]-89, EarningsPerDay[Date], "&lt;="&amp;EarningsPerDay[[#This Row],[Date]]))/90</f>
        <v>52.937111111111101</v>
      </c>
    </row>
    <row r="243" spans="2:30" x14ac:dyDescent="0.35">
      <c r="B243" s="40">
        <v>44951</v>
      </c>
      <c r="C243" s="40">
        <f t="shared" si="31"/>
        <v>44951</v>
      </c>
      <c r="D243" s="4">
        <f>IF(EarningsPerDay[[#This Row],[Week '#]]&gt;=52,YEAR(EarningsPerDay[[#This Row],[Date]])-1,YEAR(EarningsPerDay[[#This Row],[Date]]))</f>
        <v>2023</v>
      </c>
      <c r="E243" s="4" t="str">
        <f>"QTR"&amp;IF(EarningsPerDay[[#This Row],[Week '#]] &lt;= 13, 1, IF(EarningsPerDay[[#This Row],[Week '#]] &lt;= 26, 2, IF(EarningsPerDay[[#This Row],[Week '#]] &lt;= 39, 3, 4)))</f>
        <v>QTR1</v>
      </c>
      <c r="F2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43" s="4">
        <f>IF(WEEKNUM(EarningsPerDay[[#This Row],[Date]], 2) = 53, 1, WEEKNUM(EarningsPerDay[[#This Row],[Date]],2))</f>
        <v>5</v>
      </c>
      <c r="H243" s="40" t="str">
        <f t="shared" si="32"/>
        <v>Wednesday</v>
      </c>
      <c r="I24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43" s="40" t="str" cm="1">
        <f t="array" ref="J243">IFERROR(VLOOKUP(MODE(IF(Combined[Date]=EarningsPerDay[[#This Row],[Date]],Combined[Area '#])),KPIs!$B$4:$C$7,2,FALSE),VLOOKUP(EarningsPerDay[[#This Row],[Date]],Combined[[Date]:[Primary Area]],8,FALSE))</f>
        <v>Augusta</v>
      </c>
      <c r="K243" s="40" t="str">
        <f>_xlfn.XLOOKUP(EarningsPerDay[[#This Row],[Date]],Mileage[Date],Mileage[Weather])</f>
        <v>Snow Storm</v>
      </c>
      <c r="L243" s="4">
        <f>_xlfn.XLOOKUP(EarningsPerDay[[#This Row],[Date]],Mileage[Date],Mileage[Hi Temp])</f>
        <v>42</v>
      </c>
      <c r="M243" s="12">
        <f>_xlfn.XLOOKUP(EarningsPerDay[[#This Row],[Date]],Mileage[Date],Mileage[Total Time])</f>
        <v>2.52</v>
      </c>
      <c r="N243" s="4">
        <f>_xlfn.XLOOKUP(EarningsPerDay[[#This Row],[Date]],Mileage[Date],Mileage[Mileage])</f>
        <v>60</v>
      </c>
      <c r="O243" s="4">
        <f>SUMIF(Combined[Date],EarningsPerDay[[#This Row],[Date]],Combined[Trips])</f>
        <v>6</v>
      </c>
      <c r="P243">
        <f>COUNTIF(Combined[Date],EarningsPerDay[[#This Row],[Date]])</f>
        <v>2</v>
      </c>
      <c r="Q2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3" s="11">
        <f>SUMIF(Combined[Date],EarningsPerDay[[#This Row],[Date]],Combined[Earnings])</f>
        <v>43.54</v>
      </c>
      <c r="S243" s="11">
        <f ca="1">EarningsPerDay[[#This Row],[Gross Earnings]]-(EarningsPerDay[[#This Row],[Miles]]*CpM!$D$11)</f>
        <v>30.16161444230297</v>
      </c>
      <c r="T243" s="11">
        <f t="shared" si="29"/>
        <v>17.277777777777779</v>
      </c>
      <c r="U243" s="11">
        <f t="shared" ca="1" si="30"/>
        <v>11.968894619961496</v>
      </c>
      <c r="V243" s="11">
        <f>EarningsPerDay[[#This Row],[Gross Earnings]]/EarningsPerDay[[#This Row],[Deliveries]]</f>
        <v>7.2566666666666668</v>
      </c>
      <c r="W243" s="11">
        <f>EarningsPerDay[[#This Row],[Gross Earnings]]/EarningsPerDay[[#This Row],[Miles]]</f>
        <v>0.72566666666666668</v>
      </c>
      <c r="X243" s="71">
        <f>EarningsPerDay[[#This Row],[Deliveries]]/EarningsPerDay[[#This Row],[Hours]]</f>
        <v>2.3809523809523809</v>
      </c>
      <c r="Y243" s="71">
        <f>EarningsPerDay[[#This Row],[Miles]]/EarningsPerDay[[#This Row],[Deliveries]]</f>
        <v>10</v>
      </c>
      <c r="Z243" s="81">
        <f>(EarningsPerDay[[#This Row],[Hours]]/EarningsPerDay[[#This Row],[Deliveries]])/24</f>
        <v>1.7499999999999998E-2</v>
      </c>
      <c r="AA24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43" s="11">
        <f>AVERAGEIFS(EarningsPerDay[Gross $/Hour],EarningsPerDay[Week '#], EarningsPerDay[[#This Row],[Week '#]], EarningsPerDay[DOW], EarningsPerDay[[#This Row],[DOW]])</f>
        <v>15.690709617180207</v>
      </c>
      <c r="AC243" s="11">
        <f>EarningsPerDay[[#This Row],[Gross $/Hour]] - EarningsPerDay[[#This Row],[Weekly Average Earnings]]</f>
        <v>1.5870681605975712</v>
      </c>
      <c r="AD243" s="11">
        <f>(SUMIFS(EarningsPerDay[Gross Earnings], EarningsPerDay[Date],"&gt;="&amp;EarningsPerDay[[#This Row],[Date]]-89, EarningsPerDay[Date], "&lt;="&amp;EarningsPerDay[[#This Row],[Date]]))/90</f>
        <v>53.420888888888882</v>
      </c>
    </row>
    <row r="244" spans="2:30" x14ac:dyDescent="0.35">
      <c r="B244" s="40">
        <v>44952</v>
      </c>
      <c r="C244" s="40">
        <f t="shared" si="31"/>
        <v>44952</v>
      </c>
      <c r="D244" s="4">
        <f>IF(EarningsPerDay[[#This Row],[Week '#]]&gt;=52,YEAR(EarningsPerDay[[#This Row],[Date]])-1,YEAR(EarningsPerDay[[#This Row],[Date]]))</f>
        <v>2023</v>
      </c>
      <c r="E244" s="4" t="str">
        <f>"QTR"&amp;IF(EarningsPerDay[[#This Row],[Week '#]] &lt;= 13, 1, IF(EarningsPerDay[[#This Row],[Week '#]] &lt;= 26, 2, IF(EarningsPerDay[[#This Row],[Week '#]] &lt;= 39, 3, 4)))</f>
        <v>QTR1</v>
      </c>
      <c r="F2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44" s="4">
        <f>IF(WEEKNUM(EarningsPerDay[[#This Row],[Date]], 2) = 53, 1, WEEKNUM(EarningsPerDay[[#This Row],[Date]],2))</f>
        <v>5</v>
      </c>
      <c r="H244" s="40" t="str">
        <f t="shared" si="32"/>
        <v>Thursday</v>
      </c>
      <c r="I24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44" s="40" t="str" cm="1">
        <f t="array" ref="J244">IFERROR(VLOOKUP(MODE(IF(Combined[Date]=EarningsPerDay[[#This Row],[Date]],Combined[Area '#])),KPIs!$B$4:$C$7,2,FALSE),VLOOKUP(EarningsPerDay[[#This Row],[Date]],Combined[[Date]:[Primary Area]],8,FALSE))</f>
        <v>Lewiston</v>
      </c>
      <c r="K244" s="40" t="str">
        <f>_xlfn.XLOOKUP(EarningsPerDay[[#This Row],[Date]],Mileage[Date],Mileage[Weather])</f>
        <v>Partially Cloudy</v>
      </c>
      <c r="L244" s="4">
        <f>_xlfn.XLOOKUP(EarningsPerDay[[#This Row],[Date]],Mileage[Date],Mileage[Hi Temp])</f>
        <v>32.4</v>
      </c>
      <c r="M244" s="12">
        <f>_xlfn.XLOOKUP(EarningsPerDay[[#This Row],[Date]],Mileage[Date],Mileage[Total Time])</f>
        <v>6.28</v>
      </c>
      <c r="N244" s="4">
        <f>_xlfn.XLOOKUP(EarningsPerDay[[#This Row],[Date]],Mileage[Date],Mileage[Mileage])</f>
        <v>83</v>
      </c>
      <c r="O244" s="4">
        <f>SUMIF(Combined[Date],EarningsPerDay[[#This Row],[Date]],Combined[Trips])</f>
        <v>13</v>
      </c>
      <c r="P244">
        <f>COUNTIF(Combined[Date],EarningsPerDay[[#This Row],[Date]])</f>
        <v>4</v>
      </c>
      <c r="Q2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4" s="11">
        <f>SUMIF(Combined[Date],EarningsPerDay[[#This Row],[Date]],Combined[Earnings])</f>
        <v>130.32</v>
      </c>
      <c r="S244" s="11">
        <f ca="1">EarningsPerDay[[#This Row],[Gross Earnings]]-(EarningsPerDay[[#This Row],[Miles]]*CpM!$D$11)</f>
        <v>111.81323331185243</v>
      </c>
      <c r="T244" s="11">
        <f t="shared" si="29"/>
        <v>20.751592356687897</v>
      </c>
      <c r="U244" s="11">
        <f t="shared" ca="1" si="30"/>
        <v>17.804654985963762</v>
      </c>
      <c r="V244" s="11">
        <f>EarningsPerDay[[#This Row],[Gross Earnings]]/EarningsPerDay[[#This Row],[Deliveries]]</f>
        <v>10.024615384615384</v>
      </c>
      <c r="W244" s="11">
        <f>EarningsPerDay[[#This Row],[Gross Earnings]]/EarningsPerDay[[#This Row],[Miles]]</f>
        <v>1.5701204819277108</v>
      </c>
      <c r="X244" s="71">
        <f>EarningsPerDay[[#This Row],[Deliveries]]/EarningsPerDay[[#This Row],[Hours]]</f>
        <v>2.0700636942675157</v>
      </c>
      <c r="Y244" s="71">
        <f>EarningsPerDay[[#This Row],[Miles]]/EarningsPerDay[[#This Row],[Deliveries]]</f>
        <v>6.384615384615385</v>
      </c>
      <c r="Z244" s="81">
        <f>(EarningsPerDay[[#This Row],[Hours]]/EarningsPerDay[[#This Row],[Deliveries]])/24</f>
        <v>2.0128205128205127E-2</v>
      </c>
      <c r="AA2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1.7235325407369757</v>
      </c>
      <c r="AB244" s="11">
        <f>AVERAGEIFS(EarningsPerDay[Gross $/Hour],EarningsPerDay[Week '#], EarningsPerDay[[#This Row],[Week '#]], EarningsPerDay[DOW], EarningsPerDay[[#This Row],[DOW]])</f>
        <v>19.482607323854786</v>
      </c>
      <c r="AC244" s="11">
        <f>EarningsPerDay[[#This Row],[Gross $/Hour]] - EarningsPerDay[[#This Row],[Weekly Average Earnings]]</f>
        <v>1.2689850328331111</v>
      </c>
      <c r="AD244" s="11">
        <f>(SUMIFS(EarningsPerDay[Gross Earnings], EarningsPerDay[Date],"&gt;="&amp;EarningsPerDay[[#This Row],[Date]]-89, EarningsPerDay[Date], "&lt;="&amp;EarningsPerDay[[#This Row],[Date]]))/90</f>
        <v>54.868888888888875</v>
      </c>
    </row>
    <row r="245" spans="2:30" x14ac:dyDescent="0.35">
      <c r="B245" s="40">
        <v>44953</v>
      </c>
      <c r="C245" s="40">
        <f t="shared" si="31"/>
        <v>44953</v>
      </c>
      <c r="D245" s="4">
        <f>IF(EarningsPerDay[[#This Row],[Week '#]]&gt;=52,YEAR(EarningsPerDay[[#This Row],[Date]])-1,YEAR(EarningsPerDay[[#This Row],[Date]]))</f>
        <v>2023</v>
      </c>
      <c r="E245" s="4" t="str">
        <f>"QTR"&amp;IF(EarningsPerDay[[#This Row],[Week '#]] &lt;= 13, 1, IF(EarningsPerDay[[#This Row],[Week '#]] &lt;= 26, 2, IF(EarningsPerDay[[#This Row],[Week '#]] &lt;= 39, 3, 4)))</f>
        <v>QTR1</v>
      </c>
      <c r="F2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45" s="4">
        <f>IF(WEEKNUM(EarningsPerDay[[#This Row],[Date]], 2) = 53, 1, WEEKNUM(EarningsPerDay[[#This Row],[Date]],2))</f>
        <v>5</v>
      </c>
      <c r="H245" s="40" t="str">
        <f t="shared" si="32"/>
        <v>Friday</v>
      </c>
      <c r="I24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45" s="40" t="str" cm="1">
        <f t="array" ref="J245">IFERROR(VLOOKUP(MODE(IF(Combined[Date]=EarningsPerDay[[#This Row],[Date]],Combined[Area '#])),KPIs!$B$4:$C$7,2,FALSE),VLOOKUP(EarningsPerDay[[#This Row],[Date]],Combined[[Date]:[Primary Area]],8,FALSE))</f>
        <v>Augusta</v>
      </c>
      <c r="K245" s="40" t="str">
        <f>_xlfn.XLOOKUP(EarningsPerDay[[#This Row],[Date]],Mileage[Date],Mileage[Weather])</f>
        <v>Partially Cloudy</v>
      </c>
      <c r="L245" s="4">
        <f>_xlfn.XLOOKUP(EarningsPerDay[[#This Row],[Date]],Mileage[Date],Mileage[Hi Temp])</f>
        <v>38.9</v>
      </c>
      <c r="M245" s="12">
        <f>_xlfn.XLOOKUP(EarningsPerDay[[#This Row],[Date]],Mileage[Date],Mileage[Total Time])</f>
        <v>5.88</v>
      </c>
      <c r="N245" s="4">
        <f>_xlfn.XLOOKUP(EarningsPerDay[[#This Row],[Date]],Mileage[Date],Mileage[Mileage])</f>
        <v>116</v>
      </c>
      <c r="O245" s="4">
        <f>SUMIF(Combined[Date],EarningsPerDay[[#This Row],[Date]],Combined[Trips])</f>
        <v>11</v>
      </c>
      <c r="P245">
        <f>COUNTIF(Combined[Date],EarningsPerDay[[#This Row],[Date]])</f>
        <v>2</v>
      </c>
      <c r="Q2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5" s="11">
        <f>SUMIF(Combined[Date],EarningsPerDay[[#This Row],[Date]],Combined[Earnings])</f>
        <v>83.08</v>
      </c>
      <c r="S245" s="11">
        <f ca="1">EarningsPerDay[[#This Row],[Gross Earnings]]-(EarningsPerDay[[#This Row],[Miles]]*CpM!$D$11)</f>
        <v>57.215121255119072</v>
      </c>
      <c r="T245" s="11">
        <f t="shared" si="29"/>
        <v>14.129251700680273</v>
      </c>
      <c r="U245" s="11">
        <f t="shared" ca="1" si="30"/>
        <v>9.7304627984896381</v>
      </c>
      <c r="V245" s="11">
        <f>EarningsPerDay[[#This Row],[Gross Earnings]]/EarningsPerDay[[#This Row],[Deliveries]]</f>
        <v>7.5527272727272727</v>
      </c>
      <c r="W245" s="11">
        <f>EarningsPerDay[[#This Row],[Gross Earnings]]/EarningsPerDay[[#This Row],[Miles]]</f>
        <v>0.71620689655172409</v>
      </c>
      <c r="X245" s="71">
        <f>EarningsPerDay[[#This Row],[Deliveries]]/EarningsPerDay[[#This Row],[Hours]]</f>
        <v>1.870748299319728</v>
      </c>
      <c r="Y245" s="71">
        <f>EarningsPerDay[[#This Row],[Miles]]/EarningsPerDay[[#This Row],[Deliveries]]</f>
        <v>10.545454545454545</v>
      </c>
      <c r="Z245" s="81">
        <f>(EarningsPerDay[[#This Row],[Hours]]/EarningsPerDay[[#This Row],[Deliveries]])/24</f>
        <v>2.2272727272727274E-2</v>
      </c>
      <c r="AA24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45" s="11">
        <f>AVERAGEIFS(EarningsPerDay[Gross $/Hour],EarningsPerDay[Week '#], EarningsPerDay[[#This Row],[Week '#]], EarningsPerDay[DOW], EarningsPerDay[[#This Row],[DOW]])</f>
        <v>15.426890001283532</v>
      </c>
      <c r="AC245" s="11">
        <f>EarningsPerDay[[#This Row],[Gross $/Hour]] - EarningsPerDay[[#This Row],[Weekly Average Earnings]]</f>
        <v>-1.2976383006032588</v>
      </c>
      <c r="AD245" s="11">
        <f>(SUMIFS(EarningsPerDay[Gross Earnings], EarningsPerDay[Date],"&gt;="&amp;EarningsPerDay[[#This Row],[Date]]-89, EarningsPerDay[Date], "&lt;="&amp;EarningsPerDay[[#This Row],[Date]]))/90</f>
        <v>55.791999999999987</v>
      </c>
    </row>
    <row r="246" spans="2:30" x14ac:dyDescent="0.35">
      <c r="B246" s="40">
        <v>44954</v>
      </c>
      <c r="C246" s="40">
        <f t="shared" si="31"/>
        <v>44954</v>
      </c>
      <c r="D246" s="4">
        <f>IF(EarningsPerDay[[#This Row],[Week '#]]&gt;=52,YEAR(EarningsPerDay[[#This Row],[Date]])-1,YEAR(EarningsPerDay[[#This Row],[Date]]))</f>
        <v>2023</v>
      </c>
      <c r="E246" s="4" t="str">
        <f>"QTR"&amp;IF(EarningsPerDay[[#This Row],[Week '#]] &lt;= 13, 1, IF(EarningsPerDay[[#This Row],[Week '#]] &lt;= 26, 2, IF(EarningsPerDay[[#This Row],[Week '#]] &lt;= 39, 3, 4)))</f>
        <v>QTR1</v>
      </c>
      <c r="F2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46" s="4">
        <f>IF(WEEKNUM(EarningsPerDay[[#This Row],[Date]], 2) = 53, 1, WEEKNUM(EarningsPerDay[[#This Row],[Date]],2))</f>
        <v>5</v>
      </c>
      <c r="H246" s="40" t="str">
        <f t="shared" si="32"/>
        <v>Saturday</v>
      </c>
      <c r="I24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46" s="40" t="str" cm="1">
        <f t="array" ref="J246">IFERROR(VLOOKUP(MODE(IF(Combined[Date]=EarningsPerDay[[#This Row],[Date]],Combined[Area '#])),KPIs!$B$4:$C$7,2,FALSE),VLOOKUP(EarningsPerDay[[#This Row],[Date]],Combined[[Date]:[Primary Area]],8,FALSE))</f>
        <v>Brunswick/Bath/Freeport</v>
      </c>
      <c r="K246" s="40" t="str">
        <f>_xlfn.XLOOKUP(EarningsPerDay[[#This Row],[Date]],Mileage[Date],Mileage[Weather])</f>
        <v>Rain</v>
      </c>
      <c r="L246" s="4">
        <f>_xlfn.XLOOKUP(EarningsPerDay[[#This Row],[Date]],Mileage[Date],Mileage[Hi Temp])</f>
        <v>40.799999999999997</v>
      </c>
      <c r="M246" s="12">
        <f>_xlfn.XLOOKUP(EarningsPerDay[[#This Row],[Date]],Mileage[Date],Mileage[Total Time])</f>
        <v>5.33</v>
      </c>
      <c r="N246" s="4">
        <f>_xlfn.XLOOKUP(EarningsPerDay[[#This Row],[Date]],Mileage[Date],Mileage[Mileage])</f>
        <v>118</v>
      </c>
      <c r="O246" s="4">
        <f>SUMIF(Combined[Date],EarningsPerDay[[#This Row],[Date]],Combined[Trips])</f>
        <v>11</v>
      </c>
      <c r="P246">
        <f>COUNTIF(Combined[Date],EarningsPerDay[[#This Row],[Date]])</f>
        <v>4</v>
      </c>
      <c r="Q24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246" s="11">
        <f>SUMIF(Combined[Date],EarningsPerDay[[#This Row],[Date]],Combined[Earnings])</f>
        <v>97.110000000000014</v>
      </c>
      <c r="S246" s="11">
        <f ca="1">EarningsPerDay[[#This Row],[Gross Earnings]]-(EarningsPerDay[[#This Row],[Miles]]*CpM!$D$11)</f>
        <v>70.799175069862514</v>
      </c>
      <c r="T246" s="11">
        <f t="shared" si="29"/>
        <v>18.219512195121954</v>
      </c>
      <c r="U246" s="11">
        <f t="shared" ca="1" si="30"/>
        <v>13.283147292657132</v>
      </c>
      <c r="V246" s="11">
        <f>EarningsPerDay[[#This Row],[Gross Earnings]]/EarningsPerDay[[#This Row],[Deliveries]]</f>
        <v>8.8281818181818199</v>
      </c>
      <c r="W246" s="11">
        <f>EarningsPerDay[[#This Row],[Gross Earnings]]/EarningsPerDay[[#This Row],[Miles]]</f>
        <v>0.82296610169491535</v>
      </c>
      <c r="X246" s="71">
        <f>EarningsPerDay[[#This Row],[Deliveries]]/EarningsPerDay[[#This Row],[Hours]]</f>
        <v>2.0637898686679175</v>
      </c>
      <c r="Y246" s="71">
        <f>EarningsPerDay[[#This Row],[Miles]]/EarningsPerDay[[#This Row],[Deliveries]]</f>
        <v>10.727272727272727</v>
      </c>
      <c r="Z246" s="81">
        <f>(EarningsPerDay[[#This Row],[Hours]]/EarningsPerDay[[#This Row],[Deliveries]])/24</f>
        <v>2.0189393939393941E-2</v>
      </c>
      <c r="AA2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-10.236508955587187</v>
      </c>
      <c r="AB246" s="11">
        <f>AVERAGEIFS(EarningsPerDay[Gross $/Hour],EarningsPerDay[Week '#], EarningsPerDay[[#This Row],[Week '#]], EarningsPerDay[DOW], EarningsPerDay[[#This Row],[DOW]])</f>
        <v>19.039721119304218</v>
      </c>
      <c r="AC246" s="11">
        <f>EarningsPerDay[[#This Row],[Gross $/Hour]] - EarningsPerDay[[#This Row],[Weekly Average Earnings]]</f>
        <v>-0.8202089241822641</v>
      </c>
      <c r="AD246" s="11">
        <f>(SUMIFS(EarningsPerDay[Gross Earnings], EarningsPerDay[Date],"&gt;="&amp;EarningsPerDay[[#This Row],[Date]]-89, EarningsPerDay[Date], "&lt;="&amp;EarningsPerDay[[#This Row],[Date]]))/90</f>
        <v>56.870999999999981</v>
      </c>
    </row>
    <row r="247" spans="2:30" x14ac:dyDescent="0.35">
      <c r="B247" s="40">
        <v>44957</v>
      </c>
      <c r="C247" s="40">
        <f t="shared" si="31"/>
        <v>44957</v>
      </c>
      <c r="D247" s="4">
        <f>IF(EarningsPerDay[[#This Row],[Week '#]]&gt;=52,YEAR(EarningsPerDay[[#This Row],[Date]])-1,YEAR(EarningsPerDay[[#This Row],[Date]]))</f>
        <v>2023</v>
      </c>
      <c r="E247" s="4" t="str">
        <f>"QTR"&amp;IF(EarningsPerDay[[#This Row],[Week '#]] &lt;= 13, 1, IF(EarningsPerDay[[#This Row],[Week '#]] &lt;= 26, 2, IF(EarningsPerDay[[#This Row],[Week '#]] &lt;= 39, 3, 4)))</f>
        <v>QTR1</v>
      </c>
      <c r="F2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47" s="4">
        <f>IF(WEEKNUM(EarningsPerDay[[#This Row],[Date]], 2) = 53, 1, WEEKNUM(EarningsPerDay[[#This Row],[Date]],2))</f>
        <v>6</v>
      </c>
      <c r="H247" s="40" t="str">
        <f t="shared" si="32"/>
        <v>Tuesday</v>
      </c>
      <c r="I24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47" s="40" t="str" cm="1">
        <f t="array" ref="J247">IFERROR(VLOOKUP(MODE(IF(Combined[Date]=EarningsPerDay[[#This Row],[Date]],Combined[Area '#])),KPIs!$B$4:$C$7,2,FALSE),VLOOKUP(EarningsPerDay[[#This Row],[Date]],Combined[[Date]:[Primary Area]],8,FALSE))</f>
        <v>Brunswick/Bath/Freeport</v>
      </c>
      <c r="K247" s="40" t="str">
        <f>_xlfn.XLOOKUP(EarningsPerDay[[#This Row],[Date]],Mileage[Date],Mileage[Weather])</f>
        <v>Light Snow</v>
      </c>
      <c r="L247" s="4">
        <f>_xlfn.XLOOKUP(EarningsPerDay[[#This Row],[Date]],Mileage[Date],Mileage[Hi Temp])</f>
        <v>19.7</v>
      </c>
      <c r="M247" s="12">
        <f>_xlfn.XLOOKUP(EarningsPerDay[[#This Row],[Date]],Mileage[Date],Mileage[Total Time])</f>
        <v>5.43</v>
      </c>
      <c r="N247" s="4">
        <f>_xlfn.XLOOKUP(EarningsPerDay[[#This Row],[Date]],Mileage[Date],Mileage[Mileage])</f>
        <v>110</v>
      </c>
      <c r="O247" s="4">
        <f>SUMIF(Combined[Date],EarningsPerDay[[#This Row],[Date]],Combined[Trips])</f>
        <v>11</v>
      </c>
      <c r="P247">
        <f>COUNTIF(Combined[Date],EarningsPerDay[[#This Row],[Date]])</f>
        <v>2</v>
      </c>
      <c r="Q2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7" s="11">
        <f>SUMIF(Combined[Date],EarningsPerDay[[#This Row],[Date]],Combined[Earnings])</f>
        <v>198.9</v>
      </c>
      <c r="S247" s="11">
        <f ca="1">EarningsPerDay[[#This Row],[Gross Earnings]]-(EarningsPerDay[[#This Row],[Miles]]*CpM!$D$11)</f>
        <v>174.37295981088877</v>
      </c>
      <c r="T247" s="11">
        <f t="shared" si="29"/>
        <v>36.629834254143653</v>
      </c>
      <c r="U247" s="11">
        <f t="shared" ca="1" si="30"/>
        <v>32.112883943073442</v>
      </c>
      <c r="V247" s="11">
        <f>EarningsPerDay[[#This Row],[Gross Earnings]]/EarningsPerDay[[#This Row],[Deliveries]]</f>
        <v>18.081818181818182</v>
      </c>
      <c r="W247" s="11">
        <f>EarningsPerDay[[#This Row],[Gross Earnings]]/EarningsPerDay[[#This Row],[Miles]]</f>
        <v>1.8081818181818183</v>
      </c>
      <c r="X247" s="71">
        <f>EarningsPerDay[[#This Row],[Deliveries]]/EarningsPerDay[[#This Row],[Hours]]</f>
        <v>2.0257826887661143</v>
      </c>
      <c r="Y247" s="71">
        <f>EarningsPerDay[[#This Row],[Miles]]/EarningsPerDay[[#This Row],[Deliveries]]</f>
        <v>10</v>
      </c>
      <c r="Z247" s="81">
        <f>(EarningsPerDay[[#This Row],[Hours]]/EarningsPerDay[[#This Row],[Deliveries]])/24</f>
        <v>2.0568181818181815E-2</v>
      </c>
      <c r="AA2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6.9876650072056172</v>
      </c>
      <c r="AB247" s="11">
        <f>AVERAGEIFS(EarningsPerDay[Gross $/Hour],EarningsPerDay[Week '#], EarningsPerDay[[#This Row],[Week '#]], EarningsPerDay[DOW], EarningsPerDay[[#This Row],[DOW]])</f>
        <v>23.735051355259746</v>
      </c>
      <c r="AC247" s="11">
        <f>EarningsPerDay[[#This Row],[Gross $/Hour]] - EarningsPerDay[[#This Row],[Weekly Average Earnings]]</f>
        <v>12.894782898883907</v>
      </c>
      <c r="AD247" s="11">
        <f>(SUMIFS(EarningsPerDay[Gross Earnings], EarningsPerDay[Date],"&gt;="&amp;EarningsPerDay[[#This Row],[Date]]-89, EarningsPerDay[Date], "&lt;="&amp;EarningsPerDay[[#This Row],[Date]]))/90</f>
        <v>59.080999999999982</v>
      </c>
    </row>
    <row r="248" spans="2:30" x14ac:dyDescent="0.35">
      <c r="B248" s="40">
        <v>44958</v>
      </c>
      <c r="C248" s="40">
        <f t="shared" si="31"/>
        <v>44958</v>
      </c>
      <c r="D248" s="4">
        <f>IF(EarningsPerDay[[#This Row],[Week '#]]&gt;=52,YEAR(EarningsPerDay[[#This Row],[Date]])-1,YEAR(EarningsPerDay[[#This Row],[Date]]))</f>
        <v>2023</v>
      </c>
      <c r="E248" s="4" t="str">
        <f>"QTR"&amp;IF(EarningsPerDay[[#This Row],[Week '#]] &lt;= 13, 1, IF(EarningsPerDay[[#This Row],[Week '#]] &lt;= 26, 2, IF(EarningsPerDay[[#This Row],[Week '#]] &lt;= 39, 3, 4)))</f>
        <v>QTR1</v>
      </c>
      <c r="F2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48" s="4">
        <f>IF(WEEKNUM(EarningsPerDay[[#This Row],[Date]], 2) = 53, 1, WEEKNUM(EarningsPerDay[[#This Row],[Date]],2))</f>
        <v>6</v>
      </c>
      <c r="H248" s="40" t="str">
        <f t="shared" si="32"/>
        <v>Wednesday</v>
      </c>
      <c r="I24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48" s="40" t="str" cm="1">
        <f t="array" ref="J248">IFERROR(VLOOKUP(MODE(IF(Combined[Date]=EarningsPerDay[[#This Row],[Date]],Combined[Area '#])),KPIs!$B$4:$C$7,2,FALSE),VLOOKUP(EarningsPerDay[[#This Row],[Date]],Combined[[Date]:[Primary Area]],8,FALSE))</f>
        <v>Lewiston</v>
      </c>
      <c r="K248" s="40" t="str">
        <f>_xlfn.XLOOKUP(EarningsPerDay[[#This Row],[Date]],Mileage[Date],Mileage[Weather])</f>
        <v>Partially Cloudy</v>
      </c>
      <c r="L248" s="4">
        <f>_xlfn.XLOOKUP(EarningsPerDay[[#This Row],[Date]],Mileage[Date],Mileage[Hi Temp])</f>
        <v>26.1</v>
      </c>
      <c r="M248" s="12">
        <f>_xlfn.XLOOKUP(EarningsPerDay[[#This Row],[Date]],Mileage[Date],Mileage[Total Time])</f>
        <v>4.47</v>
      </c>
      <c r="N248" s="4">
        <f>_xlfn.XLOOKUP(EarningsPerDay[[#This Row],[Date]],Mileage[Date],Mileage[Mileage])</f>
        <v>53</v>
      </c>
      <c r="O248" s="4">
        <f>SUMIF(Combined[Date],EarningsPerDay[[#This Row],[Date]],Combined[Trips])</f>
        <v>11</v>
      </c>
      <c r="P248">
        <f>COUNTIF(Combined[Date],EarningsPerDay[[#This Row],[Date]])</f>
        <v>4</v>
      </c>
      <c r="Q2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8" s="11">
        <f>SUMIF(Combined[Date],EarningsPerDay[[#This Row],[Date]],Combined[Earnings])</f>
        <v>106.4</v>
      </c>
      <c r="S248" s="11">
        <f ca="1">EarningsPerDay[[#This Row],[Gross Earnings]]-(EarningsPerDay[[#This Row],[Miles]]*CpM!$D$11)</f>
        <v>94.582426090700963</v>
      </c>
      <c r="T248" s="11">
        <f t="shared" si="29"/>
        <v>23.803131991051458</v>
      </c>
      <c r="U248" s="11">
        <f t="shared" ca="1" si="30"/>
        <v>21.159379438635565</v>
      </c>
      <c r="V248" s="11">
        <f>EarningsPerDay[[#This Row],[Gross Earnings]]/EarningsPerDay[[#This Row],[Deliveries]]</f>
        <v>9.6727272727272737</v>
      </c>
      <c r="W248" s="11">
        <f>EarningsPerDay[[#This Row],[Gross Earnings]]/EarningsPerDay[[#This Row],[Miles]]</f>
        <v>2.0075471698113208</v>
      </c>
      <c r="X248" s="71">
        <f>EarningsPerDay[[#This Row],[Deliveries]]/EarningsPerDay[[#This Row],[Hours]]</f>
        <v>2.4608501118568236</v>
      </c>
      <c r="Y248" s="71">
        <f>EarningsPerDay[[#This Row],[Miles]]/EarningsPerDay[[#This Row],[Deliveries]]</f>
        <v>4.8181818181818183</v>
      </c>
      <c r="Z248" s="81">
        <f>(EarningsPerDay[[#This Row],[Hours]]/EarningsPerDay[[#This Row],[Deliveries]])/24</f>
        <v>1.693181818181818E-2</v>
      </c>
      <c r="AA2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7.1364653243847904</v>
      </c>
      <c r="AB248" s="11">
        <f>AVERAGEIFS(EarningsPerDay[Gross $/Hour],EarningsPerDay[Week '#], EarningsPerDay[[#This Row],[Week '#]], EarningsPerDay[DOW], EarningsPerDay[[#This Row],[DOW]])</f>
        <v>21.938596739633184</v>
      </c>
      <c r="AC248" s="11">
        <f>EarningsPerDay[[#This Row],[Gross $/Hour]] - EarningsPerDay[[#This Row],[Weekly Average Earnings]]</f>
        <v>1.8645352514182747</v>
      </c>
      <c r="AD248" s="11">
        <f>(SUMIFS(EarningsPerDay[Gross Earnings], EarningsPerDay[Date],"&gt;="&amp;EarningsPerDay[[#This Row],[Date]]-89, EarningsPerDay[Date], "&lt;="&amp;EarningsPerDay[[#This Row],[Date]]))/90</f>
        <v>60.263222222222197</v>
      </c>
    </row>
    <row r="249" spans="2:30" x14ac:dyDescent="0.35">
      <c r="B249" s="40">
        <v>44964</v>
      </c>
      <c r="C249" s="40">
        <f t="shared" si="31"/>
        <v>44964</v>
      </c>
      <c r="D249" s="4">
        <f>IF(EarningsPerDay[[#This Row],[Week '#]]&gt;=52,YEAR(EarningsPerDay[[#This Row],[Date]])-1,YEAR(EarningsPerDay[[#This Row],[Date]]))</f>
        <v>2023</v>
      </c>
      <c r="E249" s="4" t="str">
        <f>"QTR"&amp;IF(EarningsPerDay[[#This Row],[Week '#]] &lt;= 13, 1, IF(EarningsPerDay[[#This Row],[Week '#]] &lt;= 26, 2, IF(EarningsPerDay[[#This Row],[Week '#]] &lt;= 39, 3, 4)))</f>
        <v>QTR1</v>
      </c>
      <c r="F2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49" s="4">
        <f>IF(WEEKNUM(EarningsPerDay[[#This Row],[Date]], 2) = 53, 1, WEEKNUM(EarningsPerDay[[#This Row],[Date]],2))</f>
        <v>7</v>
      </c>
      <c r="H249" s="40" t="str">
        <f t="shared" si="32"/>
        <v>Tuesday</v>
      </c>
      <c r="I24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49" s="40" t="str" cm="1">
        <f t="array" ref="J249">IFERROR(VLOOKUP(MODE(IF(Combined[Date]=EarningsPerDay[[#This Row],[Date]],Combined[Area '#])),KPIs!$B$4:$C$7,2,FALSE),VLOOKUP(EarningsPerDay[[#This Row],[Date]],Combined[[Date]:[Primary Area]],8,FALSE))</f>
        <v>Lewiston</v>
      </c>
      <c r="K249" s="40" t="str">
        <f>_xlfn.XLOOKUP(EarningsPerDay[[#This Row],[Date]],Mileage[Date],Mileage[Weather])</f>
        <v>Rain / Snow Mix</v>
      </c>
      <c r="L249" s="4">
        <f>_xlfn.XLOOKUP(EarningsPerDay[[#This Row],[Date]],Mileage[Date],Mileage[Hi Temp])</f>
        <v>39.5</v>
      </c>
      <c r="M249" s="12">
        <f>_xlfn.XLOOKUP(EarningsPerDay[[#This Row],[Date]],Mileage[Date],Mileage[Total Time])</f>
        <v>5.38</v>
      </c>
      <c r="N249" s="4">
        <f>_xlfn.XLOOKUP(EarningsPerDay[[#This Row],[Date]],Mileage[Date],Mileage[Mileage])</f>
        <v>78</v>
      </c>
      <c r="O249" s="4">
        <f>SUMIF(Combined[Date],EarningsPerDay[[#This Row],[Date]],Combined[Trips])</f>
        <v>12</v>
      </c>
      <c r="P249">
        <f>COUNTIF(Combined[Date],EarningsPerDay[[#This Row],[Date]])</f>
        <v>4</v>
      </c>
      <c r="Q2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49" s="11">
        <f>SUMIF(Combined[Date],EarningsPerDay[[#This Row],[Date]],Combined[Earnings])</f>
        <v>126.11</v>
      </c>
      <c r="S249" s="11">
        <f ca="1">EarningsPerDay[[#This Row],[Gross Earnings]]-(EarningsPerDay[[#This Row],[Miles]]*CpM!$D$11)</f>
        <v>108.71809877499386</v>
      </c>
      <c r="T249" s="11">
        <f t="shared" si="29"/>
        <v>23.440520446096656</v>
      </c>
      <c r="U249" s="11">
        <f t="shared" ca="1" si="30"/>
        <v>20.207825051114103</v>
      </c>
      <c r="V249" s="11">
        <f>EarningsPerDay[[#This Row],[Gross Earnings]]/EarningsPerDay[[#This Row],[Deliveries]]</f>
        <v>10.509166666666667</v>
      </c>
      <c r="W249" s="11">
        <f>EarningsPerDay[[#This Row],[Gross Earnings]]/EarningsPerDay[[#This Row],[Miles]]</f>
        <v>1.6167948717948717</v>
      </c>
      <c r="X249" s="71">
        <f>EarningsPerDay[[#This Row],[Deliveries]]/EarningsPerDay[[#This Row],[Hours]]</f>
        <v>2.2304832713754648</v>
      </c>
      <c r="Y249" s="71">
        <f>EarningsPerDay[[#This Row],[Miles]]/EarningsPerDay[[#This Row],[Deliveries]]</f>
        <v>6.5</v>
      </c>
      <c r="Z249" s="81">
        <f>(EarningsPerDay[[#This Row],[Hours]]/EarningsPerDay[[#This Row],[Deliveries]])/24</f>
        <v>1.8680555555555554E-2</v>
      </c>
      <c r="AA2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3.773853779429988</v>
      </c>
      <c r="AB249" s="11">
        <f>AVERAGEIFS(EarningsPerDay[Gross $/Hour],EarningsPerDay[Week '#], EarningsPerDay[[#This Row],[Week '#]], EarningsPerDay[DOW], EarningsPerDay[[#This Row],[DOW]])</f>
        <v>27.074867409256267</v>
      </c>
      <c r="AC249" s="11">
        <f>EarningsPerDay[[#This Row],[Gross $/Hour]] - EarningsPerDay[[#This Row],[Weekly Average Earnings]]</f>
        <v>-3.6343469631596115</v>
      </c>
      <c r="AD249" s="11">
        <f>(SUMIFS(EarningsPerDay[Gross Earnings], EarningsPerDay[Date],"&gt;="&amp;EarningsPerDay[[#This Row],[Date]]-89, EarningsPerDay[Date], "&lt;="&amp;EarningsPerDay[[#This Row],[Date]]))/90</f>
        <v>58.670333333333303</v>
      </c>
    </row>
    <row r="250" spans="2:30" x14ac:dyDescent="0.35">
      <c r="B250" s="40">
        <v>44965</v>
      </c>
      <c r="C250" s="40">
        <f t="shared" si="31"/>
        <v>44965</v>
      </c>
      <c r="D250" s="4">
        <f>IF(EarningsPerDay[[#This Row],[Week '#]]&gt;=52,YEAR(EarningsPerDay[[#This Row],[Date]])-1,YEAR(EarningsPerDay[[#This Row],[Date]]))</f>
        <v>2023</v>
      </c>
      <c r="E250" s="4" t="str">
        <f>"QTR"&amp;IF(EarningsPerDay[[#This Row],[Week '#]] &lt;= 13, 1, IF(EarningsPerDay[[#This Row],[Week '#]] &lt;= 26, 2, IF(EarningsPerDay[[#This Row],[Week '#]] &lt;= 39, 3, 4)))</f>
        <v>QTR1</v>
      </c>
      <c r="F2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50" s="4">
        <f>IF(WEEKNUM(EarningsPerDay[[#This Row],[Date]], 2) = 53, 1, WEEKNUM(EarningsPerDay[[#This Row],[Date]],2))</f>
        <v>7</v>
      </c>
      <c r="H250" s="40" t="str">
        <f t="shared" si="32"/>
        <v>Wednesday</v>
      </c>
      <c r="I2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50" s="40" t="str" cm="1">
        <f t="array" ref="J250">IFERROR(VLOOKUP(MODE(IF(Combined[Date]=EarningsPerDay[[#This Row],[Date]],Combined[Area '#])),KPIs!$B$4:$C$7,2,FALSE),VLOOKUP(EarningsPerDay[[#This Row],[Date]],Combined[[Date]:[Primary Area]],8,FALSE))</f>
        <v>Brunswick/Bath/Freeport</v>
      </c>
      <c r="K250" s="40" t="str">
        <f>_xlfn.XLOOKUP(EarningsPerDay[[#This Row],[Date]],Mileage[Date],Mileage[Weather])</f>
        <v>Rain / Snow Mix</v>
      </c>
      <c r="L250" s="4">
        <f>_xlfn.XLOOKUP(EarningsPerDay[[#This Row],[Date]],Mileage[Date],Mileage[Hi Temp])</f>
        <v>37.1</v>
      </c>
      <c r="M250" s="12">
        <f>_xlfn.XLOOKUP(EarningsPerDay[[#This Row],[Date]],Mileage[Date],Mileage[Total Time])</f>
        <v>4.2300000000000004</v>
      </c>
      <c r="N250" s="4">
        <f>_xlfn.XLOOKUP(EarningsPerDay[[#This Row],[Date]],Mileage[Date],Mileage[Mileage])</f>
        <v>102</v>
      </c>
      <c r="O250" s="4">
        <f>SUMIF(Combined[Date],EarningsPerDay[[#This Row],[Date]],Combined[Trips])</f>
        <v>8</v>
      </c>
      <c r="P250">
        <f>COUNTIF(Combined[Date],EarningsPerDay[[#This Row],[Date]])</f>
        <v>2</v>
      </c>
      <c r="Q2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0" s="11">
        <f>SUMIF(Combined[Date],EarningsPerDay[[#This Row],[Date]],Combined[Earnings])</f>
        <v>100.95</v>
      </c>
      <c r="S250" s="11">
        <f ca="1">EarningsPerDay[[#This Row],[Gross Earnings]]-(EarningsPerDay[[#This Row],[Miles]]*CpM!$D$11)</f>
        <v>78.206744551915051</v>
      </c>
      <c r="T250" s="11">
        <f t="shared" si="29"/>
        <v>23.865248226950353</v>
      </c>
      <c r="U250" s="11">
        <f t="shared" ca="1" si="30"/>
        <v>18.488592092651309</v>
      </c>
      <c r="V250" s="11">
        <f>EarningsPerDay[[#This Row],[Gross Earnings]]/EarningsPerDay[[#This Row],[Deliveries]]</f>
        <v>12.61875</v>
      </c>
      <c r="W250" s="11">
        <f>EarningsPerDay[[#This Row],[Gross Earnings]]/EarningsPerDay[[#This Row],[Miles]]</f>
        <v>0.98970588235294121</v>
      </c>
      <c r="X250" s="71">
        <f>EarningsPerDay[[#This Row],[Deliveries]]/EarningsPerDay[[#This Row],[Hours]]</f>
        <v>1.8912529550827422</v>
      </c>
      <c r="Y250" s="71">
        <f>EarningsPerDay[[#This Row],[Miles]]/EarningsPerDay[[#This Row],[Deliveries]]</f>
        <v>12.75</v>
      </c>
      <c r="Z250" s="81">
        <f>(EarningsPerDay[[#This Row],[Hours]]/EarningsPerDay[[#This Row],[Deliveries]])/24</f>
        <v>2.2031250000000002E-2</v>
      </c>
      <c r="AA2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-9.8796157584720099</v>
      </c>
      <c r="AB250" s="11">
        <f>AVERAGEIFS(EarningsPerDay[Gross $/Hour],EarningsPerDay[Week '#], EarningsPerDay[[#This Row],[Week '#]], EarningsPerDay[DOW], EarningsPerDay[[#This Row],[DOW]])</f>
        <v>30.479921410772477</v>
      </c>
      <c r="AC250" s="11">
        <f>EarningsPerDay[[#This Row],[Gross $/Hour]] - EarningsPerDay[[#This Row],[Weekly Average Earnings]]</f>
        <v>-6.6146731838221235</v>
      </c>
      <c r="AD250" s="11">
        <f>(SUMIFS(EarningsPerDay[Gross Earnings], EarningsPerDay[Date],"&gt;="&amp;EarningsPerDay[[#This Row],[Date]]-89, EarningsPerDay[Date], "&lt;="&amp;EarningsPerDay[[#This Row],[Date]]))/90</f>
        <v>58.882444444444417</v>
      </c>
    </row>
    <row r="251" spans="2:30" x14ac:dyDescent="0.35">
      <c r="B251" s="40">
        <v>44966</v>
      </c>
      <c r="C251" s="40">
        <f t="shared" si="31"/>
        <v>44966</v>
      </c>
      <c r="D251" s="4">
        <f>IF(EarningsPerDay[[#This Row],[Week '#]]&gt;=52,YEAR(EarningsPerDay[[#This Row],[Date]])-1,YEAR(EarningsPerDay[[#This Row],[Date]]))</f>
        <v>2023</v>
      </c>
      <c r="E251" s="4" t="str">
        <f>"QTR"&amp;IF(EarningsPerDay[[#This Row],[Week '#]] &lt;= 13, 1, IF(EarningsPerDay[[#This Row],[Week '#]] &lt;= 26, 2, IF(EarningsPerDay[[#This Row],[Week '#]] &lt;= 39, 3, 4)))</f>
        <v>QTR1</v>
      </c>
      <c r="F2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51" s="4">
        <f>IF(WEEKNUM(EarningsPerDay[[#This Row],[Date]], 2) = 53, 1, WEEKNUM(EarningsPerDay[[#This Row],[Date]],2))</f>
        <v>7</v>
      </c>
      <c r="H251" s="40" t="str">
        <f t="shared" si="32"/>
        <v>Thursday</v>
      </c>
      <c r="I25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51" s="40" t="str" cm="1">
        <f t="array" ref="J251">IFERROR(VLOOKUP(MODE(IF(Combined[Date]=EarningsPerDay[[#This Row],[Date]],Combined[Area '#])),KPIs!$B$4:$C$7,2,FALSE),VLOOKUP(EarningsPerDay[[#This Row],[Date]],Combined[[Date]:[Primary Area]],8,FALSE))</f>
        <v>Lewiston</v>
      </c>
      <c r="K251" s="40" t="str">
        <f>_xlfn.XLOOKUP(EarningsPerDay[[#This Row],[Date]],Mileage[Date],Mileage[Weather])</f>
        <v>Rain</v>
      </c>
      <c r="L251" s="4">
        <f>_xlfn.XLOOKUP(EarningsPerDay[[#This Row],[Date]],Mileage[Date],Mileage[Hi Temp])</f>
        <v>51.4</v>
      </c>
      <c r="M251" s="12">
        <f>_xlfn.XLOOKUP(EarningsPerDay[[#This Row],[Date]],Mileage[Date],Mileage[Total Time])</f>
        <v>3.22</v>
      </c>
      <c r="N251" s="4">
        <f>_xlfn.XLOOKUP(EarningsPerDay[[#This Row],[Date]],Mileage[Date],Mileage[Mileage])</f>
        <v>49</v>
      </c>
      <c r="O251" s="4">
        <f>SUMIF(Combined[Date],EarningsPerDay[[#This Row],[Date]],Combined[Trips])</f>
        <v>9</v>
      </c>
      <c r="P251">
        <f>COUNTIF(Combined[Date],EarningsPerDay[[#This Row],[Date]])</f>
        <v>1</v>
      </c>
      <c r="Q2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1" s="11">
        <f>SUMIF(Combined[Date],EarningsPerDay[[#This Row],[Date]],Combined[Earnings])</f>
        <v>75.209999999999994</v>
      </c>
      <c r="S251" s="11">
        <f ca="1">EarningsPerDay[[#This Row],[Gross Earnings]]-(EarningsPerDay[[#This Row],[Miles]]*CpM!$D$11)</f>
        <v>64.284318461214085</v>
      </c>
      <c r="T251" s="11">
        <f t="shared" si="29"/>
        <v>23.357142857142854</v>
      </c>
      <c r="U251" s="11">
        <f t="shared" ca="1" si="30"/>
        <v>19.964074056277664</v>
      </c>
      <c r="V251" s="11">
        <f>EarningsPerDay[[#This Row],[Gross Earnings]]/EarningsPerDay[[#This Row],[Deliveries]]</f>
        <v>8.3566666666666656</v>
      </c>
      <c r="W251" s="11">
        <f>EarningsPerDay[[#This Row],[Gross Earnings]]/EarningsPerDay[[#This Row],[Miles]]</f>
        <v>1.5348979591836733</v>
      </c>
      <c r="X251" s="71">
        <f>EarningsPerDay[[#This Row],[Deliveries]]/EarningsPerDay[[#This Row],[Hours]]</f>
        <v>2.7950310559006208</v>
      </c>
      <c r="Y251" s="71">
        <f>EarningsPerDay[[#This Row],[Miles]]/EarningsPerDay[[#This Row],[Deliveries]]</f>
        <v>5.4444444444444446</v>
      </c>
      <c r="Z251" s="81">
        <f>(EarningsPerDay[[#This Row],[Hours]]/EarningsPerDay[[#This Row],[Deliveries]])/24</f>
        <v>1.4907407407407409E-2</v>
      </c>
      <c r="AA2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3.7545721942796071</v>
      </c>
      <c r="AB251" s="11">
        <f>AVERAGEIFS(EarningsPerDay[Gross $/Hour],EarningsPerDay[Week '#], EarningsPerDay[[#This Row],[Week '#]], EarningsPerDay[DOW], EarningsPerDay[[#This Row],[DOW]])</f>
        <v>22.876360126360126</v>
      </c>
      <c r="AC251" s="11">
        <f>EarningsPerDay[[#This Row],[Gross $/Hour]] - EarningsPerDay[[#This Row],[Weekly Average Earnings]]</f>
        <v>0.48078273078272815</v>
      </c>
      <c r="AD251" s="11">
        <f>(SUMIFS(EarningsPerDay[Gross Earnings], EarningsPerDay[Date],"&gt;="&amp;EarningsPerDay[[#This Row],[Date]]-89, EarningsPerDay[Date], "&lt;="&amp;EarningsPerDay[[#This Row],[Date]]))/90</f>
        <v>58.180444444444412</v>
      </c>
    </row>
    <row r="252" spans="2:30" x14ac:dyDescent="0.35">
      <c r="B252" s="40">
        <v>44967</v>
      </c>
      <c r="C252" s="40">
        <f t="shared" si="31"/>
        <v>44967</v>
      </c>
      <c r="D252" s="4">
        <f>IF(EarningsPerDay[[#This Row],[Week '#]]&gt;=52,YEAR(EarningsPerDay[[#This Row],[Date]])-1,YEAR(EarningsPerDay[[#This Row],[Date]]))</f>
        <v>2023</v>
      </c>
      <c r="E252" s="4" t="str">
        <f>"QTR"&amp;IF(EarningsPerDay[[#This Row],[Week '#]] &lt;= 13, 1, IF(EarningsPerDay[[#This Row],[Week '#]] &lt;= 26, 2, IF(EarningsPerDay[[#This Row],[Week '#]] &lt;= 39, 3, 4)))</f>
        <v>QTR1</v>
      </c>
      <c r="F2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52" s="4">
        <f>IF(WEEKNUM(EarningsPerDay[[#This Row],[Date]], 2) = 53, 1, WEEKNUM(EarningsPerDay[[#This Row],[Date]],2))</f>
        <v>7</v>
      </c>
      <c r="H252" s="40" t="str">
        <f t="shared" si="32"/>
        <v>Friday</v>
      </c>
      <c r="I25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52" s="40" t="str" cm="1">
        <f t="array" ref="J252">IFERROR(VLOOKUP(MODE(IF(Combined[Date]=EarningsPerDay[[#This Row],[Date]],Combined[Area '#])),KPIs!$B$4:$C$7,2,FALSE),VLOOKUP(EarningsPerDay[[#This Row],[Date]],Combined[[Date]:[Primary Area]],8,FALSE))</f>
        <v>Lewiston</v>
      </c>
      <c r="K252" s="40" t="str">
        <f>_xlfn.XLOOKUP(EarningsPerDay[[#This Row],[Date]],Mileage[Date],Mileage[Weather])</f>
        <v>Rain / Snow Mix</v>
      </c>
      <c r="L252" s="4">
        <f>_xlfn.XLOOKUP(EarningsPerDay[[#This Row],[Date]],Mileage[Date],Mileage[Hi Temp])</f>
        <v>37.200000000000003</v>
      </c>
      <c r="M252" s="12">
        <f>_xlfn.XLOOKUP(EarningsPerDay[[#This Row],[Date]],Mileage[Date],Mileage[Total Time])</f>
        <v>6.45</v>
      </c>
      <c r="N252" s="4">
        <f>_xlfn.XLOOKUP(EarningsPerDay[[#This Row],[Date]],Mileage[Date],Mileage[Mileage])</f>
        <v>94</v>
      </c>
      <c r="O252" s="4">
        <f>SUMIF(Combined[Date],EarningsPerDay[[#This Row],[Date]],Combined[Trips])</f>
        <v>19</v>
      </c>
      <c r="P252">
        <f>COUNTIF(Combined[Date],EarningsPerDay[[#This Row],[Date]])</f>
        <v>3</v>
      </c>
      <c r="Q2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2" s="11">
        <f>SUMIF(Combined[Date],EarningsPerDay[[#This Row],[Date]],Combined[Earnings])</f>
        <v>133.4</v>
      </c>
      <c r="S252" s="11">
        <f ca="1">EarningsPerDay[[#This Row],[Gross Earnings]]-(EarningsPerDay[[#This Row],[Miles]]*CpM!$D$11)</f>
        <v>112.44052929294133</v>
      </c>
      <c r="T252" s="11">
        <f t="shared" si="29"/>
        <v>20.68217054263566</v>
      </c>
      <c r="U252" s="11">
        <f t="shared" ca="1" si="30"/>
        <v>17.432640200456021</v>
      </c>
      <c r="V252" s="11">
        <f>EarningsPerDay[[#This Row],[Gross Earnings]]/EarningsPerDay[[#This Row],[Deliveries]]</f>
        <v>7.0210526315789474</v>
      </c>
      <c r="W252" s="11">
        <f>EarningsPerDay[[#This Row],[Gross Earnings]]/EarningsPerDay[[#This Row],[Miles]]</f>
        <v>1.4191489361702128</v>
      </c>
      <c r="X252" s="71">
        <f>EarningsPerDay[[#This Row],[Deliveries]]/EarningsPerDay[[#This Row],[Hours]]</f>
        <v>2.945736434108527</v>
      </c>
      <c r="Y252" s="71">
        <f>EarningsPerDay[[#This Row],[Miles]]/EarningsPerDay[[#This Row],[Deliveries]]</f>
        <v>4.9473684210526319</v>
      </c>
      <c r="Z252" s="81">
        <f>(EarningsPerDay[[#This Row],[Hours]]/EarningsPerDay[[#This Row],[Deliveries]])/24</f>
        <v>1.4144736842105264E-2</v>
      </c>
      <c r="AA2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-2.258292522413953</v>
      </c>
      <c r="AB252" s="11">
        <f>AVERAGEIFS(EarningsPerDay[Gross $/Hour],EarningsPerDay[Week '#], EarningsPerDay[[#This Row],[Week '#]], EarningsPerDay[DOW], EarningsPerDay[[#This Row],[DOW]])</f>
        <v>19.487580024714472</v>
      </c>
      <c r="AC252" s="11">
        <f>EarningsPerDay[[#This Row],[Gross $/Hour]] - EarningsPerDay[[#This Row],[Weekly Average Earnings]]</f>
        <v>1.1945905179211884</v>
      </c>
      <c r="AD252" s="11">
        <f>(SUMIFS(EarningsPerDay[Gross Earnings], EarningsPerDay[Date],"&gt;="&amp;EarningsPerDay[[#This Row],[Date]]-89, EarningsPerDay[Date], "&lt;="&amp;EarningsPerDay[[#This Row],[Date]]))/90</f>
        <v>59.662666666666631</v>
      </c>
    </row>
    <row r="253" spans="2:30" x14ac:dyDescent="0.35">
      <c r="B253" s="40">
        <v>44968</v>
      </c>
      <c r="C253" s="40">
        <f t="shared" si="31"/>
        <v>44968</v>
      </c>
      <c r="D253" s="4">
        <f>IF(EarningsPerDay[[#This Row],[Week '#]]&gt;=52,YEAR(EarningsPerDay[[#This Row],[Date]])-1,YEAR(EarningsPerDay[[#This Row],[Date]]))</f>
        <v>2023</v>
      </c>
      <c r="E253" s="4" t="str">
        <f>"QTR"&amp;IF(EarningsPerDay[[#This Row],[Week '#]] &lt;= 13, 1, IF(EarningsPerDay[[#This Row],[Week '#]] &lt;= 26, 2, IF(EarningsPerDay[[#This Row],[Week '#]] &lt;= 39, 3, 4)))</f>
        <v>QTR1</v>
      </c>
      <c r="F2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53" s="4">
        <f>IF(WEEKNUM(EarningsPerDay[[#This Row],[Date]], 2) = 53, 1, WEEKNUM(EarningsPerDay[[#This Row],[Date]],2))</f>
        <v>7</v>
      </c>
      <c r="H253" s="40" t="str">
        <f t="shared" si="32"/>
        <v>Saturday</v>
      </c>
      <c r="I253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253" s="40" t="str" cm="1">
        <f t="array" ref="J253">IFERROR(VLOOKUP(MODE(IF(Combined[Date]=EarningsPerDay[[#This Row],[Date]],Combined[Area '#])),KPIs!$B$4:$C$7,2,FALSE),VLOOKUP(EarningsPerDay[[#This Row],[Date]],Combined[[Date]:[Primary Area]],8,FALSE))</f>
        <v>Brunswick/Bath/Freeport</v>
      </c>
      <c r="K253" s="40" t="str">
        <f>_xlfn.XLOOKUP(EarningsPerDay[[#This Row],[Date]],Mileage[Date],Mileage[Weather])</f>
        <v>Clear</v>
      </c>
      <c r="L253" s="4">
        <f>_xlfn.XLOOKUP(EarningsPerDay[[#This Row],[Date]],Mileage[Date],Mileage[Hi Temp])</f>
        <v>42.1</v>
      </c>
      <c r="M253" s="12">
        <f>_xlfn.XLOOKUP(EarningsPerDay[[#This Row],[Date]],Mileage[Date],Mileage[Total Time])</f>
        <v>4.13</v>
      </c>
      <c r="N253" s="4">
        <f>_xlfn.XLOOKUP(EarningsPerDay[[#This Row],[Date]],Mileage[Date],Mileage[Mileage])</f>
        <v>104</v>
      </c>
      <c r="O253" s="4">
        <f>SUMIF(Combined[Date],EarningsPerDay[[#This Row],[Date]],Combined[Trips])</f>
        <v>10</v>
      </c>
      <c r="P253">
        <f>COUNTIF(Combined[Date],EarningsPerDay[[#This Row],[Date]])</f>
        <v>2</v>
      </c>
      <c r="Q2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3" s="11">
        <f>SUMIF(Combined[Date],EarningsPerDay[[#This Row],[Date]],Combined[Earnings])</f>
        <v>118.03</v>
      </c>
      <c r="S253" s="11">
        <f ca="1">EarningsPerDay[[#This Row],[Gross Earnings]]-(EarningsPerDay[[#This Row],[Miles]]*CpM!$D$11)</f>
        <v>94.840798366658476</v>
      </c>
      <c r="T253" s="11">
        <f t="shared" si="29"/>
        <v>28.578692493946733</v>
      </c>
      <c r="U253" s="11">
        <f t="shared" ca="1" si="30"/>
        <v>22.963873696527475</v>
      </c>
      <c r="V253" s="11">
        <f>EarningsPerDay[[#This Row],[Gross Earnings]]/EarningsPerDay[[#This Row],[Deliveries]]</f>
        <v>11.803000000000001</v>
      </c>
      <c r="W253" s="11">
        <f>EarningsPerDay[[#This Row],[Gross Earnings]]/EarningsPerDay[[#This Row],[Miles]]</f>
        <v>1.1349038461538461</v>
      </c>
      <c r="X253" s="71">
        <f>EarningsPerDay[[#This Row],[Deliveries]]/EarningsPerDay[[#This Row],[Hours]]</f>
        <v>2.4213075060532687</v>
      </c>
      <c r="Y253" s="71">
        <f>EarningsPerDay[[#This Row],[Miles]]/EarningsPerDay[[#This Row],[Deliveries]]</f>
        <v>10.4</v>
      </c>
      <c r="Z253" s="81">
        <f>(EarningsPerDay[[#This Row],[Hours]]/EarningsPerDay[[#This Row],[Deliveries]])/24</f>
        <v>1.7208333333333332E-2</v>
      </c>
      <c r="AA2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1.4022349626859913</v>
      </c>
      <c r="AB253" s="11">
        <f>AVERAGEIFS(EarningsPerDay[Gross $/Hour],EarningsPerDay[Week '#], EarningsPerDay[[#This Row],[Week '#]], EarningsPerDay[DOW], EarningsPerDay[[#This Row],[DOW]])</f>
        <v>22.316988072985641</v>
      </c>
      <c r="AC253" s="11">
        <f>EarningsPerDay[[#This Row],[Gross $/Hour]] - EarningsPerDay[[#This Row],[Weekly Average Earnings]]</f>
        <v>6.2617044209610917</v>
      </c>
      <c r="AD253" s="11">
        <f>(SUMIFS(EarningsPerDay[Gross Earnings], EarningsPerDay[Date],"&gt;="&amp;EarningsPerDay[[#This Row],[Date]]-89, EarningsPerDay[Date], "&lt;="&amp;EarningsPerDay[[#This Row],[Date]]))/90</f>
        <v>60.974111111111071</v>
      </c>
    </row>
    <row r="254" spans="2:30" x14ac:dyDescent="0.35">
      <c r="B254" s="40">
        <v>44969</v>
      </c>
      <c r="C254" s="40">
        <f t="shared" si="31"/>
        <v>44969</v>
      </c>
      <c r="D254" s="4">
        <f>IF(EarningsPerDay[[#This Row],[Week '#]]&gt;=52,YEAR(EarningsPerDay[[#This Row],[Date]])-1,YEAR(EarningsPerDay[[#This Row],[Date]]))</f>
        <v>2023</v>
      </c>
      <c r="E254" s="4" t="str">
        <f>"QTR"&amp;IF(EarningsPerDay[[#This Row],[Week '#]] &lt;= 13, 1, IF(EarningsPerDay[[#This Row],[Week '#]] &lt;= 26, 2, IF(EarningsPerDay[[#This Row],[Week '#]] &lt;= 39, 3, 4)))</f>
        <v>QTR1</v>
      </c>
      <c r="F2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254" s="4">
        <f>IF(WEEKNUM(EarningsPerDay[[#This Row],[Date]], 2) = 53, 1, WEEKNUM(EarningsPerDay[[#This Row],[Date]],2))</f>
        <v>7</v>
      </c>
      <c r="H254" s="40" t="str">
        <f t="shared" si="32"/>
        <v>Sunday</v>
      </c>
      <c r="I25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54" s="40" t="str" cm="1">
        <f t="array" ref="J254">IFERROR(VLOOKUP(MODE(IF(Combined[Date]=EarningsPerDay[[#This Row],[Date]],Combined[Area '#])),KPIs!$B$4:$C$7,2,FALSE),VLOOKUP(EarningsPerDay[[#This Row],[Date]],Combined[[Date]:[Primary Area]],8,FALSE))</f>
        <v>Lewiston</v>
      </c>
      <c r="K254" s="40" t="str">
        <f>_xlfn.XLOOKUP(EarningsPerDay[[#This Row],[Date]],Mileage[Date],Mileage[Weather])</f>
        <v>Partially Cloudy</v>
      </c>
      <c r="L254" s="4">
        <f>_xlfn.XLOOKUP(EarningsPerDay[[#This Row],[Date]],Mileage[Date],Mileage[Hi Temp])</f>
        <v>53</v>
      </c>
      <c r="M254" s="12">
        <f>_xlfn.XLOOKUP(EarningsPerDay[[#This Row],[Date]],Mileage[Date],Mileage[Total Time])</f>
        <v>4.7699999999999996</v>
      </c>
      <c r="N254" s="4">
        <f>_xlfn.XLOOKUP(EarningsPerDay[[#This Row],[Date]],Mileage[Date],Mileage[Mileage])</f>
        <v>62</v>
      </c>
      <c r="O254" s="4">
        <f>SUMIF(Combined[Date],EarningsPerDay[[#This Row],[Date]],Combined[Trips])</f>
        <v>11</v>
      </c>
      <c r="P254">
        <f>COUNTIF(Combined[Date],EarningsPerDay[[#This Row],[Date]])</f>
        <v>2</v>
      </c>
      <c r="Q2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4" s="11">
        <f>SUMIF(Combined[Date],EarningsPerDay[[#This Row],[Date]],Combined[Earnings])</f>
        <v>105.67</v>
      </c>
      <c r="S254" s="11">
        <f ca="1">EarningsPerDay[[#This Row],[Gross Earnings]]-(EarningsPerDay[[#This Row],[Miles]]*CpM!$D$11)</f>
        <v>91.845668257046412</v>
      </c>
      <c r="T254" s="11">
        <f t="shared" si="29"/>
        <v>22.153039832285117</v>
      </c>
      <c r="U254" s="11">
        <f t="shared" ca="1" si="30"/>
        <v>19.254857076948934</v>
      </c>
      <c r="V254" s="11">
        <f>EarningsPerDay[[#This Row],[Gross Earnings]]/EarningsPerDay[[#This Row],[Deliveries]]</f>
        <v>9.6063636363636373</v>
      </c>
      <c r="W254" s="11">
        <f>EarningsPerDay[[#This Row],[Gross Earnings]]/EarningsPerDay[[#This Row],[Miles]]</f>
        <v>1.7043548387096774</v>
      </c>
      <c r="X254" s="71">
        <f>EarningsPerDay[[#This Row],[Deliveries]]/EarningsPerDay[[#This Row],[Hours]]</f>
        <v>2.3060796645702308</v>
      </c>
      <c r="Y254" s="71">
        <f>EarningsPerDay[[#This Row],[Miles]]/EarningsPerDay[[#This Row],[Deliveries]]</f>
        <v>5.6363636363636367</v>
      </c>
      <c r="Z254" s="81">
        <f>(EarningsPerDay[[#This Row],[Hours]]/EarningsPerDay[[#This Row],[Deliveries]])/24</f>
        <v>1.8068181818181817E-2</v>
      </c>
      <c r="AA2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18.459422811008523</v>
      </c>
      <c r="AB254" s="11">
        <f>AVERAGEIFS(EarningsPerDay[Gross $/Hour],EarningsPerDay[Week '#], EarningsPerDay[[#This Row],[Week '#]], EarningsPerDay[DOW], EarningsPerDay[[#This Row],[DOW]])</f>
        <v>22.500463167053098</v>
      </c>
      <c r="AC254" s="11">
        <f>EarningsPerDay[[#This Row],[Gross $/Hour]] - EarningsPerDay[[#This Row],[Weekly Average Earnings]]</f>
        <v>-0.34742333476798137</v>
      </c>
      <c r="AD254" s="11">
        <f>(SUMIFS(EarningsPerDay[Gross Earnings], EarningsPerDay[Date],"&gt;="&amp;EarningsPerDay[[#This Row],[Date]]-89, EarningsPerDay[Date], "&lt;="&amp;EarningsPerDay[[#This Row],[Date]]))/90</f>
        <v>62.148222222222181</v>
      </c>
    </row>
    <row r="255" spans="2:30" x14ac:dyDescent="0.35">
      <c r="B255" s="40">
        <v>44971</v>
      </c>
      <c r="C255" s="40">
        <f t="shared" si="31"/>
        <v>44971</v>
      </c>
      <c r="D255" s="4">
        <f>IF(EarningsPerDay[[#This Row],[Week '#]]&gt;=52,YEAR(EarningsPerDay[[#This Row],[Date]])-1,YEAR(EarningsPerDay[[#This Row],[Date]]))</f>
        <v>2023</v>
      </c>
      <c r="E255" s="4" t="str">
        <f>"QTR"&amp;IF(EarningsPerDay[[#This Row],[Week '#]] &lt;= 13, 1, IF(EarningsPerDay[[#This Row],[Week '#]] &lt;= 26, 2, IF(EarningsPerDay[[#This Row],[Week '#]] &lt;= 39, 3, 4)))</f>
        <v>QTR1</v>
      </c>
      <c r="F2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55" s="4">
        <f>IF(WEEKNUM(EarningsPerDay[[#This Row],[Date]], 2) = 53, 1, WEEKNUM(EarningsPerDay[[#This Row],[Date]],2))</f>
        <v>8</v>
      </c>
      <c r="H255" s="40" t="str">
        <f t="shared" si="32"/>
        <v>Tuesday</v>
      </c>
      <c r="I25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55" s="40" t="str" cm="1">
        <f t="array" ref="J255">IFERROR(VLOOKUP(MODE(IF(Combined[Date]=EarningsPerDay[[#This Row],[Date]],Combined[Area '#])),KPIs!$B$4:$C$7,2,FALSE),VLOOKUP(EarningsPerDay[[#This Row],[Date]],Combined[[Date]:[Primary Area]],8,FALSE))</f>
        <v>Brunswick/Bath/Freeport</v>
      </c>
      <c r="K255" s="40" t="str">
        <f>_xlfn.XLOOKUP(EarningsPerDay[[#This Row],[Date]],Mileage[Date],Mileage[Weather])</f>
        <v>Partially Cloudy</v>
      </c>
      <c r="L255" s="4">
        <f>_xlfn.XLOOKUP(EarningsPerDay[[#This Row],[Date]],Mileage[Date],Mileage[Hi Temp])</f>
        <v>42.9</v>
      </c>
      <c r="M255" s="12">
        <f>_xlfn.XLOOKUP(EarningsPerDay[[#This Row],[Date]],Mileage[Date],Mileage[Total Time])</f>
        <v>5.03</v>
      </c>
      <c r="N255" s="4">
        <f>_xlfn.XLOOKUP(EarningsPerDay[[#This Row],[Date]],Mileage[Date],Mileage[Mileage])</f>
        <v>70.8</v>
      </c>
      <c r="O255" s="4">
        <f>SUMIF(Combined[Date],EarningsPerDay[[#This Row],[Date]],Combined[Trips])</f>
        <v>14</v>
      </c>
      <c r="P255">
        <f>COUNTIF(Combined[Date],EarningsPerDay[[#This Row],[Date]])</f>
        <v>2</v>
      </c>
      <c r="Q2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5" s="11">
        <f>SUMIF(Combined[Date],EarningsPerDay[[#This Row],[Date]],Combined[Earnings])</f>
        <v>194.62</v>
      </c>
      <c r="S255" s="11">
        <f ca="1">EarningsPerDay[[#This Row],[Gross Earnings]]-(EarningsPerDay[[#This Row],[Miles]]*CpM!$D$11)</f>
        <v>178.8335050419175</v>
      </c>
      <c r="T255" s="11">
        <f t="shared" si="29"/>
        <v>38.691848906560637</v>
      </c>
      <c r="U255" s="11">
        <f t="shared" ca="1" si="30"/>
        <v>35.553380724039265</v>
      </c>
      <c r="V255" s="11">
        <f>EarningsPerDay[[#This Row],[Gross Earnings]]/EarningsPerDay[[#This Row],[Deliveries]]</f>
        <v>13.901428571428571</v>
      </c>
      <c r="W255" s="11">
        <f>EarningsPerDay[[#This Row],[Gross Earnings]]/EarningsPerDay[[#This Row],[Miles]]</f>
        <v>2.7488700564971755</v>
      </c>
      <c r="X255" s="71">
        <f>EarningsPerDay[[#This Row],[Deliveries]]/EarningsPerDay[[#This Row],[Hours]]</f>
        <v>2.7833001988071571</v>
      </c>
      <c r="Y255" s="71">
        <f>EarningsPerDay[[#This Row],[Miles]]/EarningsPerDay[[#This Row],[Deliveries]]</f>
        <v>5.0571428571428569</v>
      </c>
      <c r="Z255" s="81">
        <f>(EarningsPerDay[[#This Row],[Hours]]/EarningsPerDay[[#This Row],[Deliveries]])/24</f>
        <v>1.4970238095238097E-2</v>
      </c>
      <c r="AA2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7.6521466581814757</v>
      </c>
      <c r="AB255" s="11">
        <f>AVERAGEIFS(EarningsPerDay[Gross $/Hour],EarningsPerDay[Week '#], EarningsPerDay[[#This Row],[Week '#]], EarningsPerDay[DOW], EarningsPerDay[[#This Row],[DOW]])</f>
        <v>25.107199243055533</v>
      </c>
      <c r="AC255" s="11">
        <f>EarningsPerDay[[#This Row],[Gross $/Hour]] - EarningsPerDay[[#This Row],[Weekly Average Earnings]]</f>
        <v>13.584649663505104</v>
      </c>
      <c r="AD255" s="11">
        <f>(SUMIFS(EarningsPerDay[Gross Earnings], EarningsPerDay[Date],"&gt;="&amp;EarningsPerDay[[#This Row],[Date]]-89, EarningsPerDay[Date], "&lt;="&amp;EarningsPerDay[[#This Row],[Date]]))/90</f>
        <v>64.31066666666662</v>
      </c>
    </row>
    <row r="256" spans="2:30" x14ac:dyDescent="0.35">
      <c r="B256" s="40">
        <v>44972</v>
      </c>
      <c r="C256" s="40">
        <f t="shared" si="31"/>
        <v>44972</v>
      </c>
      <c r="D256" s="4">
        <f>IF(EarningsPerDay[[#This Row],[Week '#]]&gt;=52,YEAR(EarningsPerDay[[#This Row],[Date]])-1,YEAR(EarningsPerDay[[#This Row],[Date]]))</f>
        <v>2023</v>
      </c>
      <c r="E256" s="4" t="str">
        <f>"QTR"&amp;IF(EarningsPerDay[[#This Row],[Week '#]] &lt;= 13, 1, IF(EarningsPerDay[[#This Row],[Week '#]] &lt;= 26, 2, IF(EarningsPerDay[[#This Row],[Week '#]] &lt;= 39, 3, 4)))</f>
        <v>QTR1</v>
      </c>
      <c r="F2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56" s="4">
        <f>IF(WEEKNUM(EarningsPerDay[[#This Row],[Date]], 2) = 53, 1, WEEKNUM(EarningsPerDay[[#This Row],[Date]],2))</f>
        <v>8</v>
      </c>
      <c r="H256" s="40" t="str">
        <f t="shared" si="32"/>
        <v>Wednesday</v>
      </c>
      <c r="I25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56" s="40" t="str" cm="1">
        <f t="array" ref="J256">IFERROR(VLOOKUP(MODE(IF(Combined[Date]=EarningsPerDay[[#This Row],[Date]],Combined[Area '#])),KPIs!$B$4:$C$7,2,FALSE),VLOOKUP(EarningsPerDay[[#This Row],[Date]],Combined[[Date]:[Primary Area]],8,FALSE))</f>
        <v>Brunswick/Bath/Freeport</v>
      </c>
      <c r="K256" s="40" t="str">
        <f>_xlfn.XLOOKUP(EarningsPerDay[[#This Row],[Date]],Mileage[Date],Mileage[Weather])</f>
        <v>Rain</v>
      </c>
      <c r="L256" s="4">
        <f>_xlfn.XLOOKUP(EarningsPerDay[[#This Row],[Date]],Mileage[Date],Mileage[Hi Temp])</f>
        <v>56.3</v>
      </c>
      <c r="M256" s="12">
        <f>_xlfn.XLOOKUP(EarningsPerDay[[#This Row],[Date]],Mileage[Date],Mileage[Total Time])</f>
        <v>4.32</v>
      </c>
      <c r="N256" s="4">
        <f>_xlfn.XLOOKUP(EarningsPerDay[[#This Row],[Date]],Mileage[Date],Mileage[Mileage])</f>
        <v>92</v>
      </c>
      <c r="O256" s="4">
        <f>SUMIF(Combined[Date],EarningsPerDay[[#This Row],[Date]],Combined[Trips])</f>
        <v>11</v>
      </c>
      <c r="P256">
        <f>COUNTIF(Combined[Date],EarningsPerDay[[#This Row],[Date]])</f>
        <v>3</v>
      </c>
      <c r="Q2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6" s="11">
        <f>SUMIF(Combined[Date],EarningsPerDay[[#This Row],[Date]],Combined[Earnings])</f>
        <v>103.23</v>
      </c>
      <c r="S256" s="11">
        <f ca="1">EarningsPerDay[[#This Row],[Gross Earnings]]-(EarningsPerDay[[#This Row],[Miles]]*CpM!$D$11)</f>
        <v>82.716475478197893</v>
      </c>
      <c r="T256" s="11">
        <f t="shared" si="29"/>
        <v>23.895833333333332</v>
      </c>
      <c r="U256" s="11">
        <f t="shared" ca="1" si="30"/>
        <v>19.147332286619882</v>
      </c>
      <c r="V256" s="11">
        <f>EarningsPerDay[[#This Row],[Gross Earnings]]/EarningsPerDay[[#This Row],[Deliveries]]</f>
        <v>9.3845454545454547</v>
      </c>
      <c r="W256" s="11">
        <f>EarningsPerDay[[#This Row],[Gross Earnings]]/EarningsPerDay[[#This Row],[Miles]]</f>
        <v>1.1220652173913044</v>
      </c>
      <c r="X256" s="71">
        <f>EarningsPerDay[[#This Row],[Deliveries]]/EarningsPerDay[[#This Row],[Hours]]</f>
        <v>2.5462962962962963</v>
      </c>
      <c r="Y256" s="71">
        <f>EarningsPerDay[[#This Row],[Miles]]/EarningsPerDay[[#This Row],[Deliveries]]</f>
        <v>8.3636363636363633</v>
      </c>
      <c r="Z256" s="81">
        <f>(EarningsPerDay[[#This Row],[Hours]]/EarningsPerDay[[#This Row],[Deliveries]])/24</f>
        <v>1.6363636363636365E-2</v>
      </c>
      <c r="AA2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-7.3791267124710309</v>
      </c>
      <c r="AB256" s="11">
        <f>AVERAGEIFS(EarningsPerDay[Gross $/Hour],EarningsPerDay[Week '#], EarningsPerDay[[#This Row],[Week '#]], EarningsPerDay[DOW], EarningsPerDay[[#This Row],[DOW]])</f>
        <v>18.266708612975393</v>
      </c>
      <c r="AC256" s="11">
        <f>EarningsPerDay[[#This Row],[Gross $/Hour]] - EarningsPerDay[[#This Row],[Weekly Average Earnings]]</f>
        <v>5.6291247203579395</v>
      </c>
      <c r="AD256" s="11">
        <f>(SUMIFS(EarningsPerDay[Gross Earnings], EarningsPerDay[Date],"&gt;="&amp;EarningsPerDay[[#This Row],[Date]]-89, EarningsPerDay[Date], "&lt;="&amp;EarningsPerDay[[#This Row],[Date]]))/90</f>
        <v>64.212888888888841</v>
      </c>
    </row>
    <row r="257" spans="2:30" x14ac:dyDescent="0.35">
      <c r="B257" s="40">
        <v>44973</v>
      </c>
      <c r="C257" s="40">
        <f t="shared" si="31"/>
        <v>44973</v>
      </c>
      <c r="D257" s="4">
        <f>IF(EarningsPerDay[[#This Row],[Week '#]]&gt;=52,YEAR(EarningsPerDay[[#This Row],[Date]])-1,YEAR(EarningsPerDay[[#This Row],[Date]]))</f>
        <v>2023</v>
      </c>
      <c r="E257" s="4" t="str">
        <f>"QTR"&amp;IF(EarningsPerDay[[#This Row],[Week '#]] &lt;= 13, 1, IF(EarningsPerDay[[#This Row],[Week '#]] &lt;= 26, 2, IF(EarningsPerDay[[#This Row],[Week '#]] &lt;= 39, 3, 4)))</f>
        <v>QTR1</v>
      </c>
      <c r="F2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57" s="4">
        <f>IF(WEEKNUM(EarningsPerDay[[#This Row],[Date]], 2) = 53, 1, WEEKNUM(EarningsPerDay[[#This Row],[Date]],2))</f>
        <v>8</v>
      </c>
      <c r="H257" s="40" t="str">
        <f t="shared" si="32"/>
        <v>Thursday</v>
      </c>
      <c r="I25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57" s="40" t="str" cm="1">
        <f t="array" ref="J257">IFERROR(VLOOKUP(MODE(IF(Combined[Date]=EarningsPerDay[[#This Row],[Date]],Combined[Area '#])),KPIs!$B$4:$C$7,2,FALSE),VLOOKUP(EarningsPerDay[[#This Row],[Date]],Combined[[Date]:[Primary Area]],8,FALSE))</f>
        <v>Lewiston</v>
      </c>
      <c r="K257" s="40" t="str">
        <f>_xlfn.XLOOKUP(EarningsPerDay[[#This Row],[Date]],Mileage[Date],Mileage[Weather])</f>
        <v>Freezing Rain / Ice</v>
      </c>
      <c r="L257" s="4">
        <f>_xlfn.XLOOKUP(EarningsPerDay[[#This Row],[Date]],Mileage[Date],Mileage[Hi Temp])</f>
        <v>40</v>
      </c>
      <c r="M257" s="12">
        <f>_xlfn.XLOOKUP(EarningsPerDay[[#This Row],[Date]],Mileage[Date],Mileage[Total Time])</f>
        <v>5.12</v>
      </c>
      <c r="N257" s="4">
        <f>_xlfn.XLOOKUP(EarningsPerDay[[#This Row],[Date]],Mileage[Date],Mileage[Mileage])</f>
        <v>102</v>
      </c>
      <c r="O257" s="4">
        <f>SUMIF(Combined[Date],EarningsPerDay[[#This Row],[Date]],Combined[Trips])</f>
        <v>10</v>
      </c>
      <c r="P257">
        <f>COUNTIF(Combined[Date],EarningsPerDay[[#This Row],[Date]])</f>
        <v>3</v>
      </c>
      <c r="Q2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7" s="11">
        <f>SUMIF(Combined[Date],EarningsPerDay[[#This Row],[Date]],Combined[Earnings])</f>
        <v>105.27000000000001</v>
      </c>
      <c r="S257" s="11">
        <f ca="1">EarningsPerDay[[#This Row],[Gross Earnings]]-(EarningsPerDay[[#This Row],[Miles]]*CpM!$D$11)</f>
        <v>82.526744551915058</v>
      </c>
      <c r="T257" s="11">
        <f t="shared" si="29"/>
        <v>20.560546875</v>
      </c>
      <c r="U257" s="11">
        <f t="shared" ca="1" si="30"/>
        <v>16.118504795295909</v>
      </c>
      <c r="V257" s="11">
        <f>EarningsPerDay[[#This Row],[Gross Earnings]]/EarningsPerDay[[#This Row],[Deliveries]]</f>
        <v>10.527000000000001</v>
      </c>
      <c r="W257" s="11">
        <f>EarningsPerDay[[#This Row],[Gross Earnings]]/EarningsPerDay[[#This Row],[Miles]]</f>
        <v>1.0320588235294119</v>
      </c>
      <c r="X257" s="71">
        <f>EarningsPerDay[[#This Row],[Deliveries]]/EarningsPerDay[[#This Row],[Hours]]</f>
        <v>1.953125</v>
      </c>
      <c r="Y257" s="71">
        <f>EarningsPerDay[[#This Row],[Miles]]/EarningsPerDay[[#This Row],[Deliveries]]</f>
        <v>10.199999999999999</v>
      </c>
      <c r="Z257" s="81">
        <f>(EarningsPerDay[[#This Row],[Hours]]/EarningsPerDay[[#This Row],[Deliveries]])/24</f>
        <v>2.1333333333333333E-2</v>
      </c>
      <c r="AA2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1.9333163566848555E-2</v>
      </c>
      <c r="AB257" s="11">
        <f>AVERAGEIFS(EarningsPerDay[Gross $/Hour],EarningsPerDay[Week '#], EarningsPerDay[[#This Row],[Week '#]], EarningsPerDay[DOW], EarningsPerDay[[#This Row],[DOW]])</f>
        <v>21.236984459688347</v>
      </c>
      <c r="AC257" s="11">
        <f>EarningsPerDay[[#This Row],[Gross $/Hour]] - EarningsPerDay[[#This Row],[Weekly Average Earnings]]</f>
        <v>-0.67643758468834747</v>
      </c>
      <c r="AD257" s="11">
        <f>(SUMIFS(EarningsPerDay[Gross Earnings], EarningsPerDay[Date],"&gt;="&amp;EarningsPerDay[[#This Row],[Date]]-89, EarningsPerDay[Date], "&lt;="&amp;EarningsPerDay[[#This Row],[Date]]))/90</f>
        <v>62.993888888888854</v>
      </c>
    </row>
    <row r="258" spans="2:30" x14ac:dyDescent="0.35">
      <c r="B258" s="40">
        <v>44974</v>
      </c>
      <c r="C258" s="40">
        <f t="shared" si="31"/>
        <v>44974</v>
      </c>
      <c r="D258" s="4">
        <f>IF(EarningsPerDay[[#This Row],[Week '#]]&gt;=52,YEAR(EarningsPerDay[[#This Row],[Date]])-1,YEAR(EarningsPerDay[[#This Row],[Date]]))</f>
        <v>2023</v>
      </c>
      <c r="E258" s="4" t="str">
        <f>"QTR"&amp;IF(EarningsPerDay[[#This Row],[Week '#]] &lt;= 13, 1, IF(EarningsPerDay[[#This Row],[Week '#]] &lt;= 26, 2, IF(EarningsPerDay[[#This Row],[Week '#]] &lt;= 39, 3, 4)))</f>
        <v>QTR1</v>
      </c>
      <c r="F2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258" s="4">
        <f>IF(WEEKNUM(EarningsPerDay[[#This Row],[Date]], 2) = 53, 1, WEEKNUM(EarningsPerDay[[#This Row],[Date]],2))</f>
        <v>8</v>
      </c>
      <c r="H258" s="40" t="str">
        <f t="shared" si="32"/>
        <v>Friday</v>
      </c>
      <c r="I25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58" s="40" t="str" cm="1">
        <f t="array" ref="J258">IFERROR(VLOOKUP(MODE(IF(Combined[Date]=EarningsPerDay[[#This Row],[Date]],Combined[Area '#])),KPIs!$B$4:$C$7,2,FALSE),VLOOKUP(EarningsPerDay[[#This Row],[Date]],Combined[[Date]:[Primary Area]],8,FALSE))</f>
        <v>Lewiston</v>
      </c>
      <c r="K258" s="40" t="str">
        <f>_xlfn.XLOOKUP(EarningsPerDay[[#This Row],[Date]],Mileage[Date],Mileage[Weather])</f>
        <v>Clear</v>
      </c>
      <c r="L258" s="4">
        <f>_xlfn.XLOOKUP(EarningsPerDay[[#This Row],[Date]],Mileage[Date],Mileage[Hi Temp])</f>
        <v>27.3</v>
      </c>
      <c r="M258" s="12">
        <f>_xlfn.XLOOKUP(EarningsPerDay[[#This Row],[Date]],Mileage[Date],Mileage[Total Time])</f>
        <v>6.03</v>
      </c>
      <c r="N258" s="4">
        <f>_xlfn.XLOOKUP(EarningsPerDay[[#This Row],[Date]],Mileage[Date],Mileage[Mileage])</f>
        <v>116</v>
      </c>
      <c r="O258" s="4">
        <f>SUMIF(Combined[Date],EarningsPerDay[[#This Row],[Date]],Combined[Trips])</f>
        <v>12</v>
      </c>
      <c r="P258">
        <f>COUNTIF(Combined[Date],EarningsPerDay[[#This Row],[Date]])</f>
        <v>4</v>
      </c>
      <c r="Q2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8" s="11">
        <f>SUMIF(Combined[Date],EarningsPerDay[[#This Row],[Date]],Combined[Earnings])</f>
        <v>107.77</v>
      </c>
      <c r="S258" s="11">
        <f ca="1">EarningsPerDay[[#This Row],[Gross Earnings]]-(EarningsPerDay[[#This Row],[Miles]]*CpM!$D$11)</f>
        <v>81.90512125511907</v>
      </c>
      <c r="T258" s="11">
        <f t="shared" si="29"/>
        <v>17.872305140961856</v>
      </c>
      <c r="U258" s="11">
        <f t="shared" ca="1" si="30"/>
        <v>13.582938848278452</v>
      </c>
      <c r="V258" s="11">
        <f>EarningsPerDay[[#This Row],[Gross Earnings]]/EarningsPerDay[[#This Row],[Deliveries]]</f>
        <v>8.980833333333333</v>
      </c>
      <c r="W258" s="11">
        <f>EarningsPerDay[[#This Row],[Gross Earnings]]/EarningsPerDay[[#This Row],[Miles]]</f>
        <v>0.92905172413793102</v>
      </c>
      <c r="X258" s="71">
        <f>EarningsPerDay[[#This Row],[Deliveries]]/EarningsPerDay[[#This Row],[Hours]]</f>
        <v>1.9900497512437809</v>
      </c>
      <c r="Y258" s="71">
        <f>EarningsPerDay[[#This Row],[Miles]]/EarningsPerDay[[#This Row],[Deliveries]]</f>
        <v>9.6666666666666661</v>
      </c>
      <c r="Z258" s="81">
        <f>(EarningsPerDay[[#This Row],[Hours]]/EarningsPerDay[[#This Row],[Deliveries]])/24</f>
        <v>2.0937500000000001E-2</v>
      </c>
      <c r="AA2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-3.9390116628807803</v>
      </c>
      <c r="AB258" s="11">
        <f>AVERAGEIFS(EarningsPerDay[Gross $/Hour],EarningsPerDay[Week '#], EarningsPerDay[[#This Row],[Week '#]], EarningsPerDay[DOW], EarningsPerDay[[#This Row],[DOW]])</f>
        <v>27.384712072751245</v>
      </c>
      <c r="AC258" s="11">
        <f>EarningsPerDay[[#This Row],[Gross $/Hour]] - EarningsPerDay[[#This Row],[Weekly Average Earnings]]</f>
        <v>-9.5124069317893891</v>
      </c>
      <c r="AD258" s="11">
        <f>(SUMIFS(EarningsPerDay[Gross Earnings], EarningsPerDay[Date],"&gt;="&amp;EarningsPerDay[[#This Row],[Date]]-89, EarningsPerDay[Date], "&lt;="&amp;EarningsPerDay[[#This Row],[Date]]))/90</f>
        <v>64.191333333333304</v>
      </c>
    </row>
    <row r="259" spans="2:30" x14ac:dyDescent="0.35">
      <c r="B259" s="40">
        <v>44980</v>
      </c>
      <c r="C259" s="40">
        <f t="shared" si="31"/>
        <v>44980</v>
      </c>
      <c r="D259" s="4">
        <f>IF(EarningsPerDay[[#This Row],[Week '#]]&gt;=52,YEAR(EarningsPerDay[[#This Row],[Date]])-1,YEAR(EarningsPerDay[[#This Row],[Date]]))</f>
        <v>2023</v>
      </c>
      <c r="E259" s="4" t="str">
        <f>"QTR"&amp;IF(EarningsPerDay[[#This Row],[Week '#]] &lt;= 13, 1, IF(EarningsPerDay[[#This Row],[Week '#]] &lt;= 26, 2, IF(EarningsPerDay[[#This Row],[Week '#]] &lt;= 39, 3, 4)))</f>
        <v>QTR1</v>
      </c>
      <c r="F2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59" s="4">
        <f>IF(WEEKNUM(EarningsPerDay[[#This Row],[Date]], 2) = 53, 1, WEEKNUM(EarningsPerDay[[#This Row],[Date]],2))</f>
        <v>9</v>
      </c>
      <c r="H259" s="40" t="str">
        <f t="shared" si="32"/>
        <v>Thursday</v>
      </c>
      <c r="I25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59" s="40" t="str" cm="1">
        <f t="array" ref="J259">IFERROR(VLOOKUP(MODE(IF(Combined[Date]=EarningsPerDay[[#This Row],[Date]],Combined[Area '#])),KPIs!$B$4:$C$7,2,FALSE),VLOOKUP(EarningsPerDay[[#This Row],[Date]],Combined[[Date]:[Primary Area]],8,FALSE))</f>
        <v>Lewiston</v>
      </c>
      <c r="K259" s="40" t="str">
        <f>_xlfn.XLOOKUP(EarningsPerDay[[#This Row],[Date]],Mileage[Date],Mileage[Weather])</f>
        <v>Snow Storm</v>
      </c>
      <c r="L259" s="4">
        <f>_xlfn.XLOOKUP(EarningsPerDay[[#This Row],[Date]],Mileage[Date],Mileage[Hi Temp])</f>
        <v>14.3</v>
      </c>
      <c r="M259" s="12">
        <f>_xlfn.XLOOKUP(EarningsPerDay[[#This Row],[Date]],Mileage[Date],Mileage[Total Time])</f>
        <v>4.17</v>
      </c>
      <c r="N259" s="4">
        <f>_xlfn.XLOOKUP(EarningsPerDay[[#This Row],[Date]],Mileage[Date],Mileage[Mileage])</f>
        <v>45.6</v>
      </c>
      <c r="O259" s="4">
        <f>SUMIF(Combined[Date],EarningsPerDay[[#This Row],[Date]],Combined[Trips])</f>
        <v>12</v>
      </c>
      <c r="P259">
        <f>COUNTIF(Combined[Date],EarningsPerDay[[#This Row],[Date]])</f>
        <v>1</v>
      </c>
      <c r="Q2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59" s="11">
        <f>SUMIF(Combined[Date],EarningsPerDay[[#This Row],[Date]],Combined[Earnings])</f>
        <v>116.25</v>
      </c>
      <c r="S259" s="11">
        <f ca="1">EarningsPerDay[[#This Row],[Gross Earnings]]-(EarningsPerDay[[#This Row],[Miles]]*CpM!$D$11)</f>
        <v>106.08242697615026</v>
      </c>
      <c r="T259" s="11">
        <f t="shared" ref="T259:T322" si="33">R259/M259</f>
        <v>27.877697841726619</v>
      </c>
      <c r="U259" s="11">
        <f t="shared" ref="U259:U322" ca="1" si="34">S259/M259</f>
        <v>25.439430929532438</v>
      </c>
      <c r="V259" s="11">
        <f>EarningsPerDay[[#This Row],[Gross Earnings]]/EarningsPerDay[[#This Row],[Deliveries]]</f>
        <v>9.6875</v>
      </c>
      <c r="W259" s="11">
        <f>EarningsPerDay[[#This Row],[Gross Earnings]]/EarningsPerDay[[#This Row],[Miles]]</f>
        <v>2.549342105263158</v>
      </c>
      <c r="X259" s="71">
        <f>EarningsPerDay[[#This Row],[Deliveries]]/EarningsPerDay[[#This Row],[Hours]]</f>
        <v>2.8776978417266186</v>
      </c>
      <c r="Y259" s="71">
        <f>EarningsPerDay[[#This Row],[Miles]]/EarningsPerDay[[#This Row],[Deliveries]]</f>
        <v>3.8000000000000003</v>
      </c>
      <c r="Z259" s="81">
        <f>(EarningsPerDay[[#This Row],[Hours]]/EarningsPerDay[[#This Row],[Deliveries]])/24</f>
        <v>1.4479166666666666E-2</v>
      </c>
      <c r="AA2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7.3326174975800988</v>
      </c>
      <c r="AB259" s="11">
        <f>AVERAGEIFS(EarningsPerDay[Gross $/Hour],EarningsPerDay[Week '#], EarningsPerDay[[#This Row],[Week '#]], EarningsPerDay[DOW], EarningsPerDay[[#This Row],[DOW]])</f>
        <v>23.055098920863308</v>
      </c>
      <c r="AC259" s="11">
        <f>EarningsPerDay[[#This Row],[Gross $/Hour]] - EarningsPerDay[[#This Row],[Weekly Average Earnings]]</f>
        <v>4.8225989208633102</v>
      </c>
      <c r="AD259" s="11">
        <f>(SUMIFS(EarningsPerDay[Gross Earnings], EarningsPerDay[Date],"&gt;="&amp;EarningsPerDay[[#This Row],[Date]]-89, EarningsPerDay[Date], "&lt;="&amp;EarningsPerDay[[#This Row],[Date]]))/90</f>
        <v>61.512444444444434</v>
      </c>
    </row>
    <row r="260" spans="2:30" x14ac:dyDescent="0.35">
      <c r="B260" s="40">
        <v>44981</v>
      </c>
      <c r="C260" s="40">
        <f t="shared" si="31"/>
        <v>44981</v>
      </c>
      <c r="D260" s="4">
        <f>IF(EarningsPerDay[[#This Row],[Week '#]]&gt;=52,YEAR(EarningsPerDay[[#This Row],[Date]])-1,YEAR(EarningsPerDay[[#This Row],[Date]]))</f>
        <v>2023</v>
      </c>
      <c r="E260" s="4" t="str">
        <f>"QTR"&amp;IF(EarningsPerDay[[#This Row],[Week '#]] &lt;= 13, 1, IF(EarningsPerDay[[#This Row],[Week '#]] &lt;= 26, 2, IF(EarningsPerDay[[#This Row],[Week '#]] &lt;= 39, 3, 4)))</f>
        <v>QTR1</v>
      </c>
      <c r="F2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60" s="4">
        <f>IF(WEEKNUM(EarningsPerDay[[#This Row],[Date]], 2) = 53, 1, WEEKNUM(EarningsPerDay[[#This Row],[Date]],2))</f>
        <v>9</v>
      </c>
      <c r="H260" s="40" t="str">
        <f t="shared" si="32"/>
        <v>Friday</v>
      </c>
      <c r="I260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60" s="40" t="str" cm="1">
        <f t="array" ref="J260">IFERROR(VLOOKUP(MODE(IF(Combined[Date]=EarningsPerDay[[#This Row],[Date]],Combined[Area '#])),KPIs!$B$4:$C$7,2,FALSE),VLOOKUP(EarningsPerDay[[#This Row],[Date]],Combined[[Date]:[Primary Area]],8,FALSE))</f>
        <v>Lewiston</v>
      </c>
      <c r="K260" s="40" t="str">
        <f>_xlfn.XLOOKUP(EarningsPerDay[[#This Row],[Date]],Mileage[Date],Mileage[Weather])</f>
        <v>Light Snow</v>
      </c>
      <c r="L260" s="4">
        <f>_xlfn.XLOOKUP(EarningsPerDay[[#This Row],[Date]],Mileage[Date],Mileage[Hi Temp])</f>
        <v>18.399999999999999</v>
      </c>
      <c r="M260" s="12">
        <f>_xlfn.XLOOKUP(EarningsPerDay[[#This Row],[Date]],Mileage[Date],Mileage[Total Time])</f>
        <v>3.13</v>
      </c>
      <c r="N260" s="4">
        <f>_xlfn.XLOOKUP(EarningsPerDay[[#This Row],[Date]],Mileage[Date],Mileage[Mileage])</f>
        <v>58</v>
      </c>
      <c r="O260" s="4">
        <f>SUMIF(Combined[Date],EarningsPerDay[[#This Row],[Date]],Combined[Trips])</f>
        <v>8</v>
      </c>
      <c r="P260">
        <f>COUNTIF(Combined[Date],EarningsPerDay[[#This Row],[Date]])</f>
        <v>2</v>
      </c>
      <c r="Q2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0" s="11">
        <f>SUMIF(Combined[Date],EarningsPerDay[[#This Row],[Date]],Combined[Earnings])</f>
        <v>54.75</v>
      </c>
      <c r="S260" s="11">
        <f ca="1">EarningsPerDay[[#This Row],[Gross Earnings]]-(EarningsPerDay[[#This Row],[Miles]]*CpM!$D$11)</f>
        <v>41.817560627559537</v>
      </c>
      <c r="T260" s="11">
        <f t="shared" si="33"/>
        <v>17.492012779552716</v>
      </c>
      <c r="U260" s="11">
        <f t="shared" ca="1" si="34"/>
        <v>13.360243011999852</v>
      </c>
      <c r="V260" s="11">
        <f>EarningsPerDay[[#This Row],[Gross Earnings]]/EarningsPerDay[[#This Row],[Deliveries]]</f>
        <v>6.84375</v>
      </c>
      <c r="W260" s="11">
        <f>EarningsPerDay[[#This Row],[Gross Earnings]]/EarningsPerDay[[#This Row],[Miles]]</f>
        <v>0.94396551724137934</v>
      </c>
      <c r="X260" s="71">
        <f>EarningsPerDay[[#This Row],[Deliveries]]/EarningsPerDay[[#This Row],[Hours]]</f>
        <v>2.5559105431309903</v>
      </c>
      <c r="Y260" s="71">
        <f>EarningsPerDay[[#This Row],[Miles]]/EarningsPerDay[[#This Row],[Deliveries]]</f>
        <v>7.25</v>
      </c>
      <c r="Z260" s="81">
        <f>(EarningsPerDay[[#This Row],[Hours]]/EarningsPerDay[[#This Row],[Deliveries]])/24</f>
        <v>1.6302083333333332E-2</v>
      </c>
      <c r="AA2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-3.0063001366629933</v>
      </c>
      <c r="AB260" s="11">
        <f>AVERAGEIFS(EarningsPerDay[Gross $/Hour],EarningsPerDay[Week '#], EarningsPerDay[[#This Row],[Week '#]], EarningsPerDay[DOW], EarningsPerDay[[#This Row],[DOW]])</f>
        <v>21.568295546402865</v>
      </c>
      <c r="AC260" s="11">
        <f>EarningsPerDay[[#This Row],[Gross $/Hour]] - EarningsPerDay[[#This Row],[Weekly Average Earnings]]</f>
        <v>-4.0762827668501487</v>
      </c>
      <c r="AD260" s="11">
        <f>(SUMIFS(EarningsPerDay[Gross Earnings], EarningsPerDay[Date],"&gt;="&amp;EarningsPerDay[[#This Row],[Date]]-89, EarningsPerDay[Date], "&lt;="&amp;EarningsPerDay[[#This Row],[Date]]))/90</f>
        <v>60.919999999999995</v>
      </c>
    </row>
    <row r="261" spans="2:30" x14ac:dyDescent="0.35">
      <c r="B261" s="40">
        <v>44983</v>
      </c>
      <c r="C261" s="40">
        <f t="shared" si="31"/>
        <v>44983</v>
      </c>
      <c r="D261" s="4">
        <f>IF(EarningsPerDay[[#This Row],[Week '#]]&gt;=52,YEAR(EarningsPerDay[[#This Row],[Date]])-1,YEAR(EarningsPerDay[[#This Row],[Date]]))</f>
        <v>2023</v>
      </c>
      <c r="E261" s="4" t="str">
        <f>"QTR"&amp;IF(EarningsPerDay[[#This Row],[Week '#]] &lt;= 13, 1, IF(EarningsPerDay[[#This Row],[Week '#]] &lt;= 26, 2, IF(EarningsPerDay[[#This Row],[Week '#]] &lt;= 39, 3, 4)))</f>
        <v>QTR1</v>
      </c>
      <c r="F2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261" s="4">
        <f>IF(WEEKNUM(EarningsPerDay[[#This Row],[Date]], 2) = 53, 1, WEEKNUM(EarningsPerDay[[#This Row],[Date]],2))</f>
        <v>9</v>
      </c>
      <c r="H261" s="40" t="str">
        <f t="shared" si="32"/>
        <v>Sunday</v>
      </c>
      <c r="I261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261" s="40" t="str" cm="1">
        <f t="array" ref="J261">IFERROR(VLOOKUP(MODE(IF(Combined[Date]=EarningsPerDay[[#This Row],[Date]],Combined[Area '#])),KPIs!$B$4:$C$7,2,FALSE),VLOOKUP(EarningsPerDay[[#This Row],[Date]],Combined[[Date]:[Primary Area]],8,FALSE))</f>
        <v>Brunswick/Bath/Freeport</v>
      </c>
      <c r="K261" s="40" t="str">
        <f>_xlfn.XLOOKUP(EarningsPerDay[[#This Row],[Date]],Mileage[Date],Mileage[Weather])</f>
        <v>Light Snow</v>
      </c>
      <c r="L261" s="4">
        <f>_xlfn.XLOOKUP(EarningsPerDay[[#This Row],[Date]],Mileage[Date],Mileage[Hi Temp])</f>
        <v>26.8</v>
      </c>
      <c r="M261" s="12">
        <f>_xlfn.XLOOKUP(EarningsPerDay[[#This Row],[Date]],Mileage[Date],Mileage[Total Time])</f>
        <v>7.68</v>
      </c>
      <c r="N261" s="4">
        <f>_xlfn.XLOOKUP(EarningsPerDay[[#This Row],[Date]],Mileage[Date],Mileage[Mileage])</f>
        <v>128</v>
      </c>
      <c r="O261" s="4">
        <f>SUMIF(Combined[Date],EarningsPerDay[[#This Row],[Date]],Combined[Trips])</f>
        <v>21</v>
      </c>
      <c r="P261">
        <f>COUNTIF(Combined[Date],EarningsPerDay[[#This Row],[Date]])</f>
        <v>3</v>
      </c>
      <c r="Q2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1" s="11">
        <f>SUMIF(Combined[Date],EarningsPerDay[[#This Row],[Date]],Combined[Earnings])</f>
        <v>277.88</v>
      </c>
      <c r="S261" s="11">
        <f ca="1">EarningsPerDay[[#This Row],[Gross Earnings]]-(EarningsPerDay[[#This Row],[Miles]]*CpM!$D$11)</f>
        <v>249.33944414357967</v>
      </c>
      <c r="T261" s="11">
        <f t="shared" si="33"/>
        <v>36.182291666666664</v>
      </c>
      <c r="U261" s="11">
        <f t="shared" ca="1" si="34"/>
        <v>32.466073456195268</v>
      </c>
      <c r="V261" s="11">
        <f>EarningsPerDay[[#This Row],[Gross Earnings]]/EarningsPerDay[[#This Row],[Deliveries]]</f>
        <v>13.232380952380952</v>
      </c>
      <c r="W261" s="11">
        <f>EarningsPerDay[[#This Row],[Gross Earnings]]/EarningsPerDay[[#This Row],[Miles]]</f>
        <v>2.1709375</v>
      </c>
      <c r="X261" s="71">
        <f>EarningsPerDay[[#This Row],[Deliveries]]/EarningsPerDay[[#This Row],[Hours]]</f>
        <v>2.734375</v>
      </c>
      <c r="Y261" s="71">
        <f>EarningsPerDay[[#This Row],[Miles]]/EarningsPerDay[[#This Row],[Deliveries]]</f>
        <v>6.0952380952380949</v>
      </c>
      <c r="Z261" s="81">
        <f>(EarningsPerDay[[#This Row],[Hours]]/EarningsPerDay[[#This Row],[Deliveries]])/24</f>
        <v>1.5238095238095238E-2</v>
      </c>
      <c r="AA2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12.66470193004459</v>
      </c>
      <c r="AB261" s="11">
        <f>AVERAGEIFS(EarningsPerDay[Gross $/Hour],EarningsPerDay[Week '#], EarningsPerDay[[#This Row],[Week '#]], EarningsPerDay[DOW], EarningsPerDay[[#This Row],[DOW]])</f>
        <v>27.871502575489643</v>
      </c>
      <c r="AC261" s="11">
        <f>EarningsPerDay[[#This Row],[Gross $/Hour]] - EarningsPerDay[[#This Row],[Weekly Average Earnings]]</f>
        <v>8.3107890911770212</v>
      </c>
      <c r="AD261" s="11">
        <f>(SUMIFS(EarningsPerDay[Gross Earnings], EarningsPerDay[Date],"&gt;="&amp;EarningsPerDay[[#This Row],[Date]]-89, EarningsPerDay[Date], "&lt;="&amp;EarningsPerDay[[#This Row],[Date]]))/90</f>
        <v>62.389444444444443</v>
      </c>
    </row>
    <row r="262" spans="2:30" x14ac:dyDescent="0.35">
      <c r="B262" s="40">
        <v>44985</v>
      </c>
      <c r="C262" s="40">
        <f t="shared" si="31"/>
        <v>44985</v>
      </c>
      <c r="D262" s="4">
        <f>IF(EarningsPerDay[[#This Row],[Week '#]]&gt;=52,YEAR(EarningsPerDay[[#This Row],[Date]])-1,YEAR(EarningsPerDay[[#This Row],[Date]]))</f>
        <v>2023</v>
      </c>
      <c r="E262" s="4" t="str">
        <f>"QTR"&amp;IF(EarningsPerDay[[#This Row],[Week '#]] &lt;= 13, 1, IF(EarningsPerDay[[#This Row],[Week '#]] &lt;= 26, 2, IF(EarningsPerDay[[#This Row],[Week '#]] &lt;= 39, 3, 4)))</f>
        <v>QTR1</v>
      </c>
      <c r="F2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62" s="4">
        <f>IF(WEEKNUM(EarningsPerDay[[#This Row],[Date]], 2) = 53, 1, WEEKNUM(EarningsPerDay[[#This Row],[Date]],2))</f>
        <v>10</v>
      </c>
      <c r="H262" s="40" t="str">
        <f t="shared" si="32"/>
        <v>Tuesday</v>
      </c>
      <c r="I26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62" s="40" t="str" cm="1">
        <f t="array" ref="J262">IFERROR(VLOOKUP(MODE(IF(Combined[Date]=EarningsPerDay[[#This Row],[Date]],Combined[Area '#])),KPIs!$B$4:$C$7,2,FALSE),VLOOKUP(EarningsPerDay[[#This Row],[Date]],Combined[[Date]:[Primary Area]],8,FALSE))</f>
        <v>Brunswick/Bath/Freeport</v>
      </c>
      <c r="K262" s="40" t="str">
        <f>_xlfn.XLOOKUP(EarningsPerDay[[#This Row],[Date]],Mileage[Date],Mileage[Weather])</f>
        <v>Snow Storm</v>
      </c>
      <c r="L262" s="4">
        <f>_xlfn.XLOOKUP(EarningsPerDay[[#This Row],[Date]],Mileage[Date],Mileage[Hi Temp])</f>
        <v>38.9</v>
      </c>
      <c r="M262" s="12">
        <f>_xlfn.XLOOKUP(EarningsPerDay[[#This Row],[Date]],Mileage[Date],Mileage[Total Time])</f>
        <v>5.15</v>
      </c>
      <c r="N262" s="4">
        <f>_xlfn.XLOOKUP(EarningsPerDay[[#This Row],[Date]],Mileage[Date],Mileage[Mileage])</f>
        <v>92</v>
      </c>
      <c r="O262" s="4">
        <f>SUMIF(Combined[Date],EarningsPerDay[[#This Row],[Date]],Combined[Trips])</f>
        <v>9</v>
      </c>
      <c r="P262">
        <f>COUNTIF(Combined[Date],EarningsPerDay[[#This Row],[Date]])</f>
        <v>2</v>
      </c>
      <c r="Q2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2" s="11">
        <f>SUMIF(Combined[Date],EarningsPerDay[[#This Row],[Date]],Combined[Earnings])</f>
        <v>125.47</v>
      </c>
      <c r="S262" s="11">
        <f ca="1">EarningsPerDay[[#This Row],[Gross Earnings]]-(EarningsPerDay[[#This Row],[Miles]]*CpM!$D$11)</f>
        <v>104.95647547819789</v>
      </c>
      <c r="T262" s="11">
        <f t="shared" si="33"/>
        <v>24.363106796116504</v>
      </c>
      <c r="U262" s="11">
        <f t="shared" ca="1" si="34"/>
        <v>20.379898151106385</v>
      </c>
      <c r="V262" s="11">
        <f>EarningsPerDay[[#This Row],[Gross Earnings]]/EarningsPerDay[[#This Row],[Deliveries]]</f>
        <v>13.941111111111111</v>
      </c>
      <c r="W262" s="11">
        <f>EarningsPerDay[[#This Row],[Gross Earnings]]/EarningsPerDay[[#This Row],[Miles]]</f>
        <v>1.3638043478260868</v>
      </c>
      <c r="X262" s="71">
        <f>EarningsPerDay[[#This Row],[Deliveries]]/EarningsPerDay[[#This Row],[Hours]]</f>
        <v>1.7475728155339805</v>
      </c>
      <c r="Y262" s="71">
        <f>EarningsPerDay[[#This Row],[Miles]]/EarningsPerDay[[#This Row],[Deliveries]]</f>
        <v>10.222222222222221</v>
      </c>
      <c r="Z262" s="81">
        <f>(EarningsPerDay[[#This Row],[Hours]]/EarningsPerDay[[#This Row],[Deliveries]])/24</f>
        <v>2.3842592592592596E-2</v>
      </c>
      <c r="AA2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-7.9519532286262375</v>
      </c>
      <c r="AB262" s="11">
        <f>AVERAGEIFS(EarningsPerDay[Gross $/Hour],EarningsPerDay[Week '#], EarningsPerDay[[#This Row],[Week '#]], EarningsPerDay[DOW], EarningsPerDay[[#This Row],[DOW]])</f>
        <v>20.790663442097699</v>
      </c>
      <c r="AC262" s="11">
        <f>EarningsPerDay[[#This Row],[Gross $/Hour]] - EarningsPerDay[[#This Row],[Weekly Average Earnings]]</f>
        <v>3.5724433540188052</v>
      </c>
      <c r="AD262" s="11">
        <f>(SUMIFS(EarningsPerDay[Gross Earnings], EarningsPerDay[Date],"&gt;="&amp;EarningsPerDay[[#This Row],[Date]]-89, EarningsPerDay[Date], "&lt;="&amp;EarningsPerDay[[#This Row],[Date]]))/90</f>
        <v>63.783555555555559</v>
      </c>
    </row>
    <row r="263" spans="2:30" x14ac:dyDescent="0.35">
      <c r="B263" s="40">
        <v>44986</v>
      </c>
      <c r="C263" s="40">
        <f t="shared" si="31"/>
        <v>44986</v>
      </c>
      <c r="D263" s="4">
        <f>IF(EarningsPerDay[[#This Row],[Week '#]]&gt;=52,YEAR(EarningsPerDay[[#This Row],[Date]])-1,YEAR(EarningsPerDay[[#This Row],[Date]]))</f>
        <v>2023</v>
      </c>
      <c r="E263" s="4" t="str">
        <f>"QTR"&amp;IF(EarningsPerDay[[#This Row],[Week '#]] &lt;= 13, 1, IF(EarningsPerDay[[#This Row],[Week '#]] &lt;= 26, 2, IF(EarningsPerDay[[#This Row],[Week '#]] &lt;= 39, 3, 4)))</f>
        <v>QTR1</v>
      </c>
      <c r="F2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63" s="4">
        <f>IF(WEEKNUM(EarningsPerDay[[#This Row],[Date]], 2) = 53, 1, WEEKNUM(EarningsPerDay[[#This Row],[Date]],2))</f>
        <v>10</v>
      </c>
      <c r="H263" s="40" t="str">
        <f t="shared" si="32"/>
        <v>Wednesday</v>
      </c>
      <c r="I26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63" s="40" t="str" cm="1">
        <f t="array" ref="J263">IFERROR(VLOOKUP(MODE(IF(Combined[Date]=EarningsPerDay[[#This Row],[Date]],Combined[Area '#])),KPIs!$B$4:$C$7,2,FALSE),VLOOKUP(EarningsPerDay[[#This Row],[Date]],Combined[[Date]:[Primary Area]],8,FALSE))</f>
        <v>Augusta</v>
      </c>
      <c r="K263" s="40" t="str">
        <f>_xlfn.XLOOKUP(EarningsPerDay[[#This Row],[Date]],Mileage[Date],Mileage[Weather])</f>
        <v>Snow Storm</v>
      </c>
      <c r="L263" s="4">
        <f>_xlfn.XLOOKUP(EarningsPerDay[[#This Row],[Date]],Mileage[Date],Mileage[Hi Temp])</f>
        <v>34.4</v>
      </c>
      <c r="M263" s="12">
        <f>_xlfn.XLOOKUP(EarningsPerDay[[#This Row],[Date]],Mileage[Date],Mileage[Total Time])</f>
        <v>4.3499999999999996</v>
      </c>
      <c r="N263" s="4">
        <f>_xlfn.XLOOKUP(EarningsPerDay[[#This Row],[Date]],Mileage[Date],Mileage[Mileage])</f>
        <v>96</v>
      </c>
      <c r="O263" s="4">
        <f>SUMIF(Combined[Date],EarningsPerDay[[#This Row],[Date]],Combined[Trips])</f>
        <v>8</v>
      </c>
      <c r="P263">
        <f>COUNTIF(Combined[Date],EarningsPerDay[[#This Row],[Date]])</f>
        <v>2</v>
      </c>
      <c r="Q2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3" s="11">
        <f>SUMIF(Combined[Date],EarningsPerDay[[#This Row],[Date]],Combined[Earnings])</f>
        <v>75.75</v>
      </c>
      <c r="S263" s="11">
        <f ca="1">EarningsPerDay[[#This Row],[Gross Earnings]]-(EarningsPerDay[[#This Row],[Miles]]*CpM!$D$11)</f>
        <v>54.344583107684755</v>
      </c>
      <c r="T263" s="11">
        <f t="shared" si="33"/>
        <v>17.413793103448278</v>
      </c>
      <c r="U263" s="11">
        <f t="shared" ca="1" si="34"/>
        <v>12.493007610962014</v>
      </c>
      <c r="V263" s="11">
        <f>EarningsPerDay[[#This Row],[Gross Earnings]]/EarningsPerDay[[#This Row],[Deliveries]]</f>
        <v>9.46875</v>
      </c>
      <c r="W263" s="11">
        <f>EarningsPerDay[[#This Row],[Gross Earnings]]/EarningsPerDay[[#This Row],[Miles]]</f>
        <v>0.7890625</v>
      </c>
      <c r="X263" s="71">
        <f>EarningsPerDay[[#This Row],[Deliveries]]/EarningsPerDay[[#This Row],[Hours]]</f>
        <v>1.8390804597701151</v>
      </c>
      <c r="Y263" s="71">
        <f>EarningsPerDay[[#This Row],[Miles]]/EarningsPerDay[[#This Row],[Deliveries]]</f>
        <v>12</v>
      </c>
      <c r="Z263" s="81">
        <f>(EarningsPerDay[[#This Row],[Hours]]/EarningsPerDay[[#This Row],[Deliveries]])/24</f>
        <v>2.2656249999999999E-2</v>
      </c>
      <c r="AA2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0.13601532567049901</v>
      </c>
      <c r="AB263" s="11">
        <f>AVERAGEIFS(EarningsPerDay[Gross $/Hour],EarningsPerDay[Week '#], EarningsPerDay[[#This Row],[Week '#]], EarningsPerDay[DOW], EarningsPerDay[[#This Row],[DOW]])</f>
        <v>17.413793103448278</v>
      </c>
      <c r="AC263" s="11">
        <f>EarningsPerDay[[#This Row],[Gross $/Hour]] - EarningsPerDay[[#This Row],[Weekly Average Earnings]]</f>
        <v>0</v>
      </c>
      <c r="AD263" s="11">
        <f>(SUMIFS(EarningsPerDay[Gross Earnings], EarningsPerDay[Date],"&gt;="&amp;EarningsPerDay[[#This Row],[Date]]-89, EarningsPerDay[Date], "&lt;="&amp;EarningsPerDay[[#This Row],[Date]]))/90</f>
        <v>63.804444444444464</v>
      </c>
    </row>
    <row r="264" spans="2:30" x14ac:dyDescent="0.35">
      <c r="B264" s="40">
        <v>44988</v>
      </c>
      <c r="C264" s="40">
        <f t="shared" si="31"/>
        <v>44988</v>
      </c>
      <c r="D264" s="4">
        <f>IF(EarningsPerDay[[#This Row],[Week '#]]&gt;=52,YEAR(EarningsPerDay[[#This Row],[Date]])-1,YEAR(EarningsPerDay[[#This Row],[Date]]))</f>
        <v>2023</v>
      </c>
      <c r="E264" s="4" t="str">
        <f>"QTR"&amp;IF(EarningsPerDay[[#This Row],[Week '#]] &lt;= 13, 1, IF(EarningsPerDay[[#This Row],[Week '#]] &lt;= 26, 2, IF(EarningsPerDay[[#This Row],[Week '#]] &lt;= 39, 3, 4)))</f>
        <v>QTR1</v>
      </c>
      <c r="F2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64" s="4">
        <f>IF(WEEKNUM(EarningsPerDay[[#This Row],[Date]], 2) = 53, 1, WEEKNUM(EarningsPerDay[[#This Row],[Date]],2))</f>
        <v>10</v>
      </c>
      <c r="H264" s="40" t="str">
        <f t="shared" si="32"/>
        <v>Friday</v>
      </c>
      <c r="I26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64" s="40" t="str" cm="1">
        <f t="array" ref="J264">IFERROR(VLOOKUP(MODE(IF(Combined[Date]=EarningsPerDay[[#This Row],[Date]],Combined[Area '#])),KPIs!$B$4:$C$7,2,FALSE),VLOOKUP(EarningsPerDay[[#This Row],[Date]],Combined[[Date]:[Primary Area]],8,FALSE))</f>
        <v>Lewiston</v>
      </c>
      <c r="K264" s="40" t="str">
        <f>_xlfn.XLOOKUP(EarningsPerDay[[#This Row],[Date]],Mileage[Date],Mileage[Weather])</f>
        <v>Snow Storm</v>
      </c>
      <c r="L264" s="4">
        <f>_xlfn.XLOOKUP(EarningsPerDay[[#This Row],[Date]],Mileage[Date],Mileage[Hi Temp])</f>
        <v>29.3</v>
      </c>
      <c r="M264" s="12">
        <f>_xlfn.XLOOKUP(EarningsPerDay[[#This Row],[Date]],Mileage[Date],Mileage[Total Time])</f>
        <v>1.17</v>
      </c>
      <c r="N264" s="4">
        <f>_xlfn.XLOOKUP(EarningsPerDay[[#This Row],[Date]],Mileage[Date],Mileage[Mileage])</f>
        <v>22</v>
      </c>
      <c r="O264" s="4">
        <f>SUMIF(Combined[Date],EarningsPerDay[[#This Row],[Date]],Combined[Trips])</f>
        <v>3</v>
      </c>
      <c r="P264">
        <f>COUNTIF(Combined[Date],EarningsPerDay[[#This Row],[Date]])</f>
        <v>2</v>
      </c>
      <c r="Q2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4" s="11">
        <f>SUMIF(Combined[Date],EarningsPerDay[[#This Row],[Date]],Combined[Earnings])</f>
        <v>40.93</v>
      </c>
      <c r="S264" s="11">
        <f ca="1">EarningsPerDay[[#This Row],[Gross Earnings]]-(EarningsPerDay[[#This Row],[Miles]]*CpM!$D$11)</f>
        <v>36.024591962177752</v>
      </c>
      <c r="T264" s="11">
        <f t="shared" si="33"/>
        <v>34.982905982905983</v>
      </c>
      <c r="U264" s="11">
        <f t="shared" ca="1" si="34"/>
        <v>30.790249540322865</v>
      </c>
      <c r="V264" s="11">
        <f>EarningsPerDay[[#This Row],[Gross Earnings]]/EarningsPerDay[[#This Row],[Deliveries]]</f>
        <v>13.643333333333333</v>
      </c>
      <c r="W264" s="11">
        <f>EarningsPerDay[[#This Row],[Gross Earnings]]/EarningsPerDay[[#This Row],[Miles]]</f>
        <v>1.8604545454545454</v>
      </c>
      <c r="X264" s="71">
        <f>EarningsPerDay[[#This Row],[Deliveries]]/EarningsPerDay[[#This Row],[Hours]]</f>
        <v>2.5641025641025643</v>
      </c>
      <c r="Y264" s="71">
        <f>EarningsPerDay[[#This Row],[Miles]]/EarningsPerDay[[#This Row],[Deliveries]]</f>
        <v>7.333333333333333</v>
      </c>
      <c r="Z264" s="81">
        <f>(EarningsPerDay[[#This Row],[Hours]]/EarningsPerDay[[#This Row],[Deliveries]])/24</f>
        <v>1.6249999999999997E-2</v>
      </c>
      <c r="AA2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15.23616810085602</v>
      </c>
      <c r="AB264" s="11">
        <f>AVERAGEIFS(EarningsPerDay[Gross $/Hour],EarningsPerDay[Week '#], EarningsPerDay[[#This Row],[Week '#]], EarningsPerDay[DOW], EarningsPerDay[[#This Row],[DOW]])</f>
        <v>31.220108445914899</v>
      </c>
      <c r="AC264" s="11">
        <f>EarningsPerDay[[#This Row],[Gross $/Hour]] - EarningsPerDay[[#This Row],[Weekly Average Earnings]]</f>
        <v>3.7627975369910835</v>
      </c>
      <c r="AD264" s="11">
        <f>(SUMIFS(EarningsPerDay[Gross Earnings], EarningsPerDay[Date],"&gt;="&amp;EarningsPerDay[[#This Row],[Date]]-89, EarningsPerDay[Date], "&lt;="&amp;EarningsPerDay[[#This Row],[Date]]))/90</f>
        <v>62.380555555555567</v>
      </c>
    </row>
    <row r="265" spans="2:30" x14ac:dyDescent="0.35">
      <c r="B265" s="40">
        <v>44989</v>
      </c>
      <c r="C265" s="40">
        <f t="shared" si="31"/>
        <v>44989</v>
      </c>
      <c r="D265" s="4">
        <f>IF(EarningsPerDay[[#This Row],[Week '#]]&gt;=52,YEAR(EarningsPerDay[[#This Row],[Date]])-1,YEAR(EarningsPerDay[[#This Row],[Date]]))</f>
        <v>2023</v>
      </c>
      <c r="E265" s="4" t="str">
        <f>"QTR"&amp;IF(EarningsPerDay[[#This Row],[Week '#]] &lt;= 13, 1, IF(EarningsPerDay[[#This Row],[Week '#]] &lt;= 26, 2, IF(EarningsPerDay[[#This Row],[Week '#]] &lt;= 39, 3, 4)))</f>
        <v>QTR1</v>
      </c>
      <c r="F2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265" s="4">
        <f>IF(WEEKNUM(EarningsPerDay[[#This Row],[Date]], 2) = 53, 1, WEEKNUM(EarningsPerDay[[#This Row],[Date]],2))</f>
        <v>10</v>
      </c>
      <c r="H265" s="40" t="str">
        <f t="shared" si="32"/>
        <v>Saturday</v>
      </c>
      <c r="I265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265" s="40" t="str" cm="1">
        <f t="array" ref="J265">IFERROR(VLOOKUP(MODE(IF(Combined[Date]=EarningsPerDay[[#This Row],[Date]],Combined[Area '#])),KPIs!$B$4:$C$7,2,FALSE),VLOOKUP(EarningsPerDay[[#This Row],[Date]],Combined[[Date]:[Primary Area]],8,FALSE))</f>
        <v>Brunswick/Bath/Freeport</v>
      </c>
      <c r="K265" s="40" t="str">
        <f>_xlfn.XLOOKUP(EarningsPerDay[[#This Row],[Date]],Mileage[Date],Mileage[Weather])</f>
        <v>Rain / Snow Mix</v>
      </c>
      <c r="L265" s="4">
        <f>_xlfn.XLOOKUP(EarningsPerDay[[#This Row],[Date]],Mileage[Date],Mileage[Hi Temp])</f>
        <v>35.9</v>
      </c>
      <c r="M265" s="12">
        <f>_xlfn.XLOOKUP(EarningsPerDay[[#This Row],[Date]],Mileage[Date],Mileage[Total Time])</f>
        <v>5.72</v>
      </c>
      <c r="N265" s="4">
        <f>_xlfn.XLOOKUP(EarningsPerDay[[#This Row],[Date]],Mileage[Date],Mileage[Mileage])</f>
        <v>124</v>
      </c>
      <c r="O265" s="4">
        <f>SUMIF(Combined[Date],EarningsPerDay[[#This Row],[Date]],Combined[Trips])</f>
        <v>7</v>
      </c>
      <c r="P265">
        <f>COUNTIF(Combined[Date],EarningsPerDay[[#This Row],[Date]])</f>
        <v>2</v>
      </c>
      <c r="Q2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5" s="11">
        <f>SUMIF(Combined[Date],EarningsPerDay[[#This Row],[Date]],Combined[Earnings])</f>
        <v>156.65</v>
      </c>
      <c r="S265" s="11">
        <f ca="1">EarningsPerDay[[#This Row],[Gross Earnings]]-(EarningsPerDay[[#This Row],[Miles]]*CpM!$D$11)</f>
        <v>129.00133651409283</v>
      </c>
      <c r="T265" s="11">
        <f t="shared" si="33"/>
        <v>27.38636363636364</v>
      </c>
      <c r="U265" s="11">
        <f t="shared" ca="1" si="34"/>
        <v>22.552681208757487</v>
      </c>
      <c r="V265" s="11">
        <f>EarningsPerDay[[#This Row],[Gross Earnings]]/EarningsPerDay[[#This Row],[Deliveries]]</f>
        <v>22.37857142857143</v>
      </c>
      <c r="W265" s="11">
        <f>EarningsPerDay[[#This Row],[Gross Earnings]]/EarningsPerDay[[#This Row],[Miles]]</f>
        <v>1.2633064516129033</v>
      </c>
      <c r="X265" s="71">
        <f>EarningsPerDay[[#This Row],[Deliveries]]/EarningsPerDay[[#This Row],[Hours]]</f>
        <v>1.2237762237762237</v>
      </c>
      <c r="Y265" s="71">
        <f>EarningsPerDay[[#This Row],[Miles]]/EarningsPerDay[[#This Row],[Deliveries]]</f>
        <v>17.714285714285715</v>
      </c>
      <c r="Z265" s="81">
        <f>(EarningsPerDay[[#This Row],[Hours]]/EarningsPerDay[[#This Row],[Deliveries]])/24</f>
        <v>3.4047619047619042E-2</v>
      </c>
      <c r="AA2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5.4102220360011444E-2</v>
      </c>
      <c r="AB265" s="11">
        <f>AVERAGEIFS(EarningsPerDay[Gross $/Hour],EarningsPerDay[Week '#], EarningsPerDay[[#This Row],[Week '#]], EarningsPerDay[DOW], EarningsPerDay[[#This Row],[DOW]])</f>
        <v>30.543878208019763</v>
      </c>
      <c r="AC265" s="11">
        <f>EarningsPerDay[[#This Row],[Gross $/Hour]] - EarningsPerDay[[#This Row],[Weekly Average Earnings]]</f>
        <v>-3.1575145716561224</v>
      </c>
      <c r="AD265" s="11">
        <f>(SUMIFS(EarningsPerDay[Gross Earnings], EarningsPerDay[Date],"&gt;="&amp;EarningsPerDay[[#This Row],[Date]]-89, EarningsPerDay[Date], "&lt;="&amp;EarningsPerDay[[#This Row],[Date]]))/90</f>
        <v>64.121111111111119</v>
      </c>
    </row>
    <row r="266" spans="2:30" x14ac:dyDescent="0.35">
      <c r="B266" s="40">
        <v>44992</v>
      </c>
      <c r="C266" s="40">
        <f t="shared" si="31"/>
        <v>44992</v>
      </c>
      <c r="D266" s="4">
        <f>IF(EarningsPerDay[[#This Row],[Week '#]]&gt;=52,YEAR(EarningsPerDay[[#This Row],[Date]])-1,YEAR(EarningsPerDay[[#This Row],[Date]]))</f>
        <v>2023</v>
      </c>
      <c r="E266" s="4" t="str">
        <f>"QTR"&amp;IF(EarningsPerDay[[#This Row],[Week '#]] &lt;= 13, 1, IF(EarningsPerDay[[#This Row],[Week '#]] &lt;= 26, 2, IF(EarningsPerDay[[#This Row],[Week '#]] &lt;= 39, 3, 4)))</f>
        <v>QTR1</v>
      </c>
      <c r="F2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66" s="4">
        <f>IF(WEEKNUM(EarningsPerDay[[#This Row],[Date]], 2) = 53, 1, WEEKNUM(EarningsPerDay[[#This Row],[Date]],2))</f>
        <v>11</v>
      </c>
      <c r="H266" s="40" t="str">
        <f t="shared" si="32"/>
        <v>Tuesday</v>
      </c>
      <c r="I26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66" s="40" t="str" cm="1">
        <f t="array" ref="J266">IFERROR(VLOOKUP(MODE(IF(Combined[Date]=EarningsPerDay[[#This Row],[Date]],Combined[Area '#])),KPIs!$B$4:$C$7,2,FALSE),VLOOKUP(EarningsPerDay[[#This Row],[Date]],Combined[[Date]:[Primary Area]],8,FALSE))</f>
        <v>Brunswick/Bath/Freeport</v>
      </c>
      <c r="K266" s="40" t="str">
        <f>_xlfn.XLOOKUP(EarningsPerDay[[#This Row],[Date]],Mileage[Date],Mileage[Weather])</f>
        <v>Rain</v>
      </c>
      <c r="L266" s="4">
        <f>_xlfn.XLOOKUP(EarningsPerDay[[#This Row],[Date]],Mileage[Date],Mileage[Hi Temp])</f>
        <v>39.9</v>
      </c>
      <c r="M266" s="12">
        <f>_xlfn.XLOOKUP(EarningsPerDay[[#This Row],[Date]],Mileage[Date],Mileage[Total Time])</f>
        <v>4.22</v>
      </c>
      <c r="N266" s="4">
        <f>_xlfn.XLOOKUP(EarningsPerDay[[#This Row],[Date]],Mileage[Date],Mileage[Mileage])</f>
        <v>78</v>
      </c>
      <c r="O266" s="4">
        <f>SUMIF(Combined[Date],EarningsPerDay[[#This Row],[Date]],Combined[Trips])</f>
        <v>8</v>
      </c>
      <c r="P266">
        <f>COUNTIF(Combined[Date],EarningsPerDay[[#This Row],[Date]])</f>
        <v>1</v>
      </c>
      <c r="Q2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6" s="11">
        <f>SUMIF(Combined[Date],EarningsPerDay[[#This Row],[Date]],Combined[Earnings])</f>
        <v>68</v>
      </c>
      <c r="S266" s="11">
        <f ca="1">EarningsPerDay[[#This Row],[Gross Earnings]]-(EarningsPerDay[[#This Row],[Miles]]*CpM!$D$11)</f>
        <v>50.608098774993863</v>
      </c>
      <c r="T266" s="11">
        <f t="shared" si="33"/>
        <v>16.113744075829384</v>
      </c>
      <c r="U266" s="11">
        <f t="shared" ca="1" si="34"/>
        <v>11.992440468008025</v>
      </c>
      <c r="V266" s="11">
        <f>EarningsPerDay[[#This Row],[Gross Earnings]]/EarningsPerDay[[#This Row],[Deliveries]]</f>
        <v>8.5</v>
      </c>
      <c r="W266" s="11">
        <f>EarningsPerDay[[#This Row],[Gross Earnings]]/EarningsPerDay[[#This Row],[Miles]]</f>
        <v>0.87179487179487181</v>
      </c>
      <c r="X266" s="71">
        <f>EarningsPerDay[[#This Row],[Deliveries]]/EarningsPerDay[[#This Row],[Hours]]</f>
        <v>1.8957345971563981</v>
      </c>
      <c r="Y266" s="71">
        <f>EarningsPerDay[[#This Row],[Miles]]/EarningsPerDay[[#This Row],[Deliveries]]</f>
        <v>9.75</v>
      </c>
      <c r="Z266" s="81">
        <f>(EarningsPerDay[[#This Row],[Hours]]/EarningsPerDay[[#This Row],[Deliveries]])/24</f>
        <v>2.1979166666666664E-2</v>
      </c>
      <c r="AA2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-15.06532263053818</v>
      </c>
      <c r="AB266" s="11">
        <f>AVERAGEIFS(EarningsPerDay[Gross $/Hour],EarningsPerDay[Week '#], EarningsPerDay[[#This Row],[Week '#]], EarningsPerDay[DOW], EarningsPerDay[[#This Row],[DOW]])</f>
        <v>32.707806934860422</v>
      </c>
      <c r="AC266" s="11">
        <f>EarningsPerDay[[#This Row],[Gross $/Hour]] - EarningsPerDay[[#This Row],[Weekly Average Earnings]]</f>
        <v>-16.594062859031038</v>
      </c>
      <c r="AD266" s="11">
        <f>(SUMIFS(EarningsPerDay[Gross Earnings], EarningsPerDay[Date],"&gt;="&amp;EarningsPerDay[[#This Row],[Date]]-89, EarningsPerDay[Date], "&lt;="&amp;EarningsPerDay[[#This Row],[Date]]))/90</f>
        <v>62.244888888888902</v>
      </c>
    </row>
    <row r="267" spans="2:30" x14ac:dyDescent="0.35">
      <c r="B267" s="40">
        <v>44994</v>
      </c>
      <c r="C267" s="40">
        <f t="shared" si="31"/>
        <v>44994</v>
      </c>
      <c r="D267" s="4">
        <f>IF(EarningsPerDay[[#This Row],[Week '#]]&gt;=52,YEAR(EarningsPerDay[[#This Row],[Date]])-1,YEAR(EarningsPerDay[[#This Row],[Date]]))</f>
        <v>2023</v>
      </c>
      <c r="E267" s="4" t="str">
        <f>"QTR"&amp;IF(EarningsPerDay[[#This Row],[Week '#]] &lt;= 13, 1, IF(EarningsPerDay[[#This Row],[Week '#]] &lt;= 26, 2, IF(EarningsPerDay[[#This Row],[Week '#]] &lt;= 39, 3, 4)))</f>
        <v>QTR1</v>
      </c>
      <c r="F2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67" s="4">
        <f>IF(WEEKNUM(EarningsPerDay[[#This Row],[Date]], 2) = 53, 1, WEEKNUM(EarningsPerDay[[#This Row],[Date]],2))</f>
        <v>11</v>
      </c>
      <c r="H267" s="40" t="str">
        <f t="shared" si="32"/>
        <v>Thursday</v>
      </c>
      <c r="I26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67" s="40" t="str" cm="1">
        <f t="array" ref="J267">IFERROR(VLOOKUP(MODE(IF(Combined[Date]=EarningsPerDay[[#This Row],[Date]],Combined[Area '#])),KPIs!$B$4:$C$7,2,FALSE),VLOOKUP(EarningsPerDay[[#This Row],[Date]],Combined[[Date]:[Primary Area]],8,FALSE))</f>
        <v>Portland</v>
      </c>
      <c r="K267" s="40" t="str">
        <f>_xlfn.XLOOKUP(EarningsPerDay[[#This Row],[Date]],Mileage[Date],Mileage[Weather])</f>
        <v>Clear</v>
      </c>
      <c r="L267" s="4">
        <f>_xlfn.XLOOKUP(EarningsPerDay[[#This Row],[Date]],Mileage[Date],Mileage[Hi Temp])</f>
        <v>44.3</v>
      </c>
      <c r="M267" s="12">
        <f>_xlfn.XLOOKUP(EarningsPerDay[[#This Row],[Date]],Mileage[Date],Mileage[Total Time])</f>
        <v>2.4300000000000002</v>
      </c>
      <c r="N267" s="4">
        <f>_xlfn.XLOOKUP(EarningsPerDay[[#This Row],[Date]],Mileage[Date],Mileage[Mileage])</f>
        <v>59.2</v>
      </c>
      <c r="O267" s="4">
        <f>SUMIF(Combined[Date],EarningsPerDay[[#This Row],[Date]],Combined[Trips])</f>
        <v>5</v>
      </c>
      <c r="P267">
        <f>COUNTIF(Combined[Date],EarningsPerDay[[#This Row],[Date]])</f>
        <v>2</v>
      </c>
      <c r="Q2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7" s="11">
        <f>SUMIF(Combined[Date],EarningsPerDay[[#This Row],[Date]],Combined[Earnings])</f>
        <v>58.83</v>
      </c>
      <c r="S267" s="11">
        <f ca="1">EarningsPerDay[[#This Row],[Gross Earnings]]-(EarningsPerDay[[#This Row],[Miles]]*CpM!$D$11)</f>
        <v>45.629992916405598</v>
      </c>
      <c r="T267" s="11">
        <f t="shared" si="33"/>
        <v>24.209876543209873</v>
      </c>
      <c r="U267" s="11">
        <f t="shared" ca="1" si="34"/>
        <v>18.777774862718353</v>
      </c>
      <c r="V267" s="11">
        <f>EarningsPerDay[[#This Row],[Gross Earnings]]/EarningsPerDay[[#This Row],[Deliveries]]</f>
        <v>11.766</v>
      </c>
      <c r="W267" s="11">
        <f>EarningsPerDay[[#This Row],[Gross Earnings]]/EarningsPerDay[[#This Row],[Miles]]</f>
        <v>0.99374999999999991</v>
      </c>
      <c r="X267" s="71">
        <f>EarningsPerDay[[#This Row],[Deliveries]]/EarningsPerDay[[#This Row],[Hours]]</f>
        <v>2.0576131687242798</v>
      </c>
      <c r="Y267" s="71">
        <f>EarningsPerDay[[#This Row],[Miles]]/EarningsPerDay[[#This Row],[Deliveries]]</f>
        <v>11.84</v>
      </c>
      <c r="Z267" s="81">
        <f>(EarningsPerDay[[#This Row],[Hours]]/EarningsPerDay[[#This Row],[Deliveries]])/24</f>
        <v>2.0250000000000001E-2</v>
      </c>
      <c r="AA2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7.3464227279488306</v>
      </c>
      <c r="AB267" s="11">
        <f>AVERAGEIFS(EarningsPerDay[Gross $/Hour],EarningsPerDay[Week '#], EarningsPerDay[[#This Row],[Week '#]], EarningsPerDay[DOW], EarningsPerDay[[#This Row],[DOW]])</f>
        <v>21.339386458777209</v>
      </c>
      <c r="AC267" s="11">
        <f>EarningsPerDay[[#This Row],[Gross $/Hour]] - EarningsPerDay[[#This Row],[Weekly Average Earnings]]</f>
        <v>2.8704900844326637</v>
      </c>
      <c r="AD267" s="11">
        <f>(SUMIFS(EarningsPerDay[Gross Earnings], EarningsPerDay[Date],"&gt;="&amp;EarningsPerDay[[#This Row],[Date]]-89, EarningsPerDay[Date], "&lt;="&amp;EarningsPerDay[[#This Row],[Date]]))/90</f>
        <v>60.243444444444464</v>
      </c>
    </row>
    <row r="268" spans="2:30" x14ac:dyDescent="0.35">
      <c r="B268" s="40">
        <v>44995</v>
      </c>
      <c r="C268" s="40">
        <f t="shared" si="31"/>
        <v>44995</v>
      </c>
      <c r="D268" s="4">
        <f>IF(EarningsPerDay[[#This Row],[Week '#]]&gt;=52,YEAR(EarningsPerDay[[#This Row],[Date]])-1,YEAR(EarningsPerDay[[#This Row],[Date]]))</f>
        <v>2023</v>
      </c>
      <c r="E268" s="4" t="str">
        <f>"QTR"&amp;IF(EarningsPerDay[[#This Row],[Week '#]] &lt;= 13, 1, IF(EarningsPerDay[[#This Row],[Week '#]] &lt;= 26, 2, IF(EarningsPerDay[[#This Row],[Week '#]] &lt;= 39, 3, 4)))</f>
        <v>QTR1</v>
      </c>
      <c r="F2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68" s="4">
        <f>IF(WEEKNUM(EarningsPerDay[[#This Row],[Date]], 2) = 53, 1, WEEKNUM(EarningsPerDay[[#This Row],[Date]],2))</f>
        <v>11</v>
      </c>
      <c r="H268" s="40" t="str">
        <f t="shared" si="32"/>
        <v>Friday</v>
      </c>
      <c r="I26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68" s="40" t="str" cm="1">
        <f t="array" ref="J268">IFERROR(VLOOKUP(MODE(IF(Combined[Date]=EarningsPerDay[[#This Row],[Date]],Combined[Area '#])),KPIs!$B$4:$C$7,2,FALSE),VLOOKUP(EarningsPerDay[[#This Row],[Date]],Combined[[Date]:[Primary Area]],8,FALSE))</f>
        <v>Lewiston</v>
      </c>
      <c r="K268" s="40" t="str">
        <f>_xlfn.XLOOKUP(EarningsPerDay[[#This Row],[Date]],Mileage[Date],Mileage[Weather])</f>
        <v>Light Snow</v>
      </c>
      <c r="L268" s="4">
        <f>_xlfn.XLOOKUP(EarningsPerDay[[#This Row],[Date]],Mileage[Date],Mileage[Hi Temp])</f>
        <v>38.299999999999997</v>
      </c>
      <c r="M268" s="12">
        <f>_xlfn.XLOOKUP(EarningsPerDay[[#This Row],[Date]],Mileage[Date],Mileage[Total Time])</f>
        <v>3.63</v>
      </c>
      <c r="N268" s="4">
        <f>_xlfn.XLOOKUP(EarningsPerDay[[#This Row],[Date]],Mileage[Date],Mileage[Mileage])</f>
        <v>49</v>
      </c>
      <c r="O268" s="4">
        <f>SUMIF(Combined[Date],EarningsPerDay[[#This Row],[Date]],Combined[Trips])</f>
        <v>9</v>
      </c>
      <c r="P268">
        <f>COUNTIF(Combined[Date],EarningsPerDay[[#This Row],[Date]])</f>
        <v>2</v>
      </c>
      <c r="Q2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8" s="11">
        <f>SUMIF(Combined[Date],EarningsPerDay[[#This Row],[Date]],Combined[Earnings])</f>
        <v>64.08</v>
      </c>
      <c r="S268" s="11">
        <f ca="1">EarningsPerDay[[#This Row],[Gross Earnings]]-(EarningsPerDay[[#This Row],[Miles]]*CpM!$D$11)</f>
        <v>53.154318461214089</v>
      </c>
      <c r="T268" s="11">
        <f t="shared" si="33"/>
        <v>17.652892561983471</v>
      </c>
      <c r="U268" s="11">
        <f t="shared" ca="1" si="34"/>
        <v>14.643062936973578</v>
      </c>
      <c r="V268" s="11">
        <f>EarningsPerDay[[#This Row],[Gross Earnings]]/EarningsPerDay[[#This Row],[Deliveries]]</f>
        <v>7.12</v>
      </c>
      <c r="W268" s="11">
        <f>EarningsPerDay[[#This Row],[Gross Earnings]]/EarningsPerDay[[#This Row],[Miles]]</f>
        <v>1.3077551020408162</v>
      </c>
      <c r="X268" s="71">
        <f>EarningsPerDay[[#This Row],[Deliveries]]/EarningsPerDay[[#This Row],[Hours]]</f>
        <v>2.4793388429752068</v>
      </c>
      <c r="Y268" s="71">
        <f>EarningsPerDay[[#This Row],[Miles]]/EarningsPerDay[[#This Row],[Deliveries]]</f>
        <v>5.4444444444444446</v>
      </c>
      <c r="Z268" s="81">
        <f>(EarningsPerDay[[#This Row],[Hours]]/EarningsPerDay[[#This Row],[Deliveries]])/24</f>
        <v>1.6805555555555556E-2</v>
      </c>
      <c r="AA2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-5.1410789402376942</v>
      </c>
      <c r="AB268" s="11">
        <f>AVERAGEIFS(EarningsPerDay[Gross $/Hour],EarningsPerDay[Week '#], EarningsPerDay[[#This Row],[Week '#]], EarningsPerDay[DOW], EarningsPerDay[[#This Row],[DOW]])</f>
        <v>20.505198983639957</v>
      </c>
      <c r="AC268" s="11">
        <f>EarningsPerDay[[#This Row],[Gross $/Hour]] - EarningsPerDay[[#This Row],[Weekly Average Earnings]]</f>
        <v>-2.8523064216564862</v>
      </c>
      <c r="AD268" s="11">
        <f>(SUMIFS(EarningsPerDay[Gross Earnings], EarningsPerDay[Date],"&gt;="&amp;EarningsPerDay[[#This Row],[Date]]-89, EarningsPerDay[Date], "&lt;="&amp;EarningsPerDay[[#This Row],[Date]]))/90</f>
        <v>60.95544444444446</v>
      </c>
    </row>
    <row r="269" spans="2:30" x14ac:dyDescent="0.35">
      <c r="B269" s="40">
        <v>44996</v>
      </c>
      <c r="C269" s="40">
        <f t="shared" si="31"/>
        <v>44996</v>
      </c>
      <c r="D269" s="4">
        <f>IF(EarningsPerDay[[#This Row],[Week '#]]&gt;=52,YEAR(EarningsPerDay[[#This Row],[Date]])-1,YEAR(EarningsPerDay[[#This Row],[Date]]))</f>
        <v>2023</v>
      </c>
      <c r="E269" s="4" t="str">
        <f>"QTR"&amp;IF(EarningsPerDay[[#This Row],[Week '#]] &lt;= 13, 1, IF(EarningsPerDay[[#This Row],[Week '#]] &lt;= 26, 2, IF(EarningsPerDay[[#This Row],[Week '#]] &lt;= 39, 3, 4)))</f>
        <v>QTR1</v>
      </c>
      <c r="F2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269" s="4">
        <f>IF(WEEKNUM(EarningsPerDay[[#This Row],[Date]], 2) = 53, 1, WEEKNUM(EarningsPerDay[[#This Row],[Date]],2))</f>
        <v>11</v>
      </c>
      <c r="H269" s="40" t="str">
        <f t="shared" si="32"/>
        <v>Saturday</v>
      </c>
      <c r="I26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269" s="40" t="str" cm="1">
        <f t="array" ref="J269">IFERROR(VLOOKUP(MODE(IF(Combined[Date]=EarningsPerDay[[#This Row],[Date]],Combined[Area '#])),KPIs!$B$4:$C$7,2,FALSE),VLOOKUP(EarningsPerDay[[#This Row],[Date]],Combined[[Date]:[Primary Area]],8,FALSE))</f>
        <v>Brunswick/Bath/Freeport</v>
      </c>
      <c r="K269" s="40" t="str">
        <f>_xlfn.XLOOKUP(EarningsPerDay[[#This Row],[Date]],Mileage[Date],Mileage[Weather])</f>
        <v>Rain</v>
      </c>
      <c r="L269" s="4">
        <f>_xlfn.XLOOKUP(EarningsPerDay[[#This Row],[Date]],Mileage[Date],Mileage[Hi Temp])</f>
        <v>45</v>
      </c>
      <c r="M269" s="12">
        <f>_xlfn.XLOOKUP(EarningsPerDay[[#This Row],[Date]],Mileage[Date],Mileage[Total Time])</f>
        <v>6.2</v>
      </c>
      <c r="N269" s="4">
        <f>_xlfn.XLOOKUP(EarningsPerDay[[#This Row],[Date]],Mileage[Date],Mileage[Mileage])</f>
        <v>112</v>
      </c>
      <c r="O269" s="4">
        <f>SUMIF(Combined[Date],EarningsPerDay[[#This Row],[Date]],Combined[Trips])</f>
        <v>11</v>
      </c>
      <c r="P269">
        <f>COUNTIF(Combined[Date],EarningsPerDay[[#This Row],[Date]])</f>
        <v>3</v>
      </c>
      <c r="Q2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69" s="11">
        <f>SUMIF(Combined[Date],EarningsPerDay[[#This Row],[Date]],Combined[Earnings])</f>
        <v>122.45</v>
      </c>
      <c r="S269" s="11">
        <f ca="1">EarningsPerDay[[#This Row],[Gross Earnings]]-(EarningsPerDay[[#This Row],[Miles]]*CpM!$D$11)</f>
        <v>97.47701362563221</v>
      </c>
      <c r="T269" s="11">
        <f t="shared" si="33"/>
        <v>19.75</v>
      </c>
      <c r="U269" s="11">
        <f t="shared" ca="1" si="34"/>
        <v>15.722098971876163</v>
      </c>
      <c r="V269" s="11">
        <f>EarningsPerDay[[#This Row],[Gross Earnings]]/EarningsPerDay[[#This Row],[Deliveries]]</f>
        <v>11.131818181818183</v>
      </c>
      <c r="W269" s="11">
        <f>EarningsPerDay[[#This Row],[Gross Earnings]]/EarningsPerDay[[#This Row],[Miles]]</f>
        <v>1.0933035714285715</v>
      </c>
      <c r="X269" s="71">
        <f>EarningsPerDay[[#This Row],[Deliveries]]/EarningsPerDay[[#This Row],[Hours]]</f>
        <v>1.7741935483870968</v>
      </c>
      <c r="Y269" s="71">
        <f>EarningsPerDay[[#This Row],[Miles]]/EarningsPerDay[[#This Row],[Deliveries]]</f>
        <v>10.181818181818182</v>
      </c>
      <c r="Z269" s="81">
        <f>(EarningsPerDay[[#This Row],[Hours]]/EarningsPerDay[[#This Row],[Deliveries]])/24</f>
        <v>2.3484848484848483E-2</v>
      </c>
      <c r="AA2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-7.5876716380396303</v>
      </c>
      <c r="AB269" s="11">
        <f>AVERAGEIFS(EarningsPerDay[Gross $/Hour],EarningsPerDay[Week '#], EarningsPerDay[[#This Row],[Week '#]], EarningsPerDay[DOW], EarningsPerDay[[#This Row],[DOW]])</f>
        <v>24.294742211193824</v>
      </c>
      <c r="AC269" s="11">
        <f>EarningsPerDay[[#This Row],[Gross $/Hour]] - EarningsPerDay[[#This Row],[Weekly Average Earnings]]</f>
        <v>-4.5447422111938245</v>
      </c>
      <c r="AD269" s="11">
        <f>(SUMIFS(EarningsPerDay[Gross Earnings], EarningsPerDay[Date],"&gt;="&amp;EarningsPerDay[[#This Row],[Date]]-89, EarningsPerDay[Date], "&lt;="&amp;EarningsPerDay[[#This Row],[Date]]))/90</f>
        <v>61.747888888888902</v>
      </c>
    </row>
    <row r="270" spans="2:30" x14ac:dyDescent="0.35">
      <c r="B270" s="40">
        <v>44999</v>
      </c>
      <c r="C270" s="40">
        <f t="shared" si="31"/>
        <v>44999</v>
      </c>
      <c r="D270" s="4">
        <f>IF(EarningsPerDay[[#This Row],[Week '#]]&gt;=52,YEAR(EarningsPerDay[[#This Row],[Date]])-1,YEAR(EarningsPerDay[[#This Row],[Date]]))</f>
        <v>2023</v>
      </c>
      <c r="E270" s="4" t="str">
        <f>"QTR"&amp;IF(EarningsPerDay[[#This Row],[Week '#]] &lt;= 13, 1, IF(EarningsPerDay[[#This Row],[Week '#]] &lt;= 26, 2, IF(EarningsPerDay[[#This Row],[Week '#]] &lt;= 39, 3, 4)))</f>
        <v>QTR1</v>
      </c>
      <c r="F2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70" s="4">
        <f>IF(WEEKNUM(EarningsPerDay[[#This Row],[Date]], 2) = 53, 1, WEEKNUM(EarningsPerDay[[#This Row],[Date]],2))</f>
        <v>12</v>
      </c>
      <c r="H270" s="40" t="str">
        <f t="shared" si="32"/>
        <v>Tuesday</v>
      </c>
      <c r="I27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70" s="40" t="str" cm="1">
        <f t="array" ref="J270">IFERROR(VLOOKUP(MODE(IF(Combined[Date]=EarningsPerDay[[#This Row],[Date]],Combined[Area '#])),KPIs!$B$4:$C$7,2,FALSE),VLOOKUP(EarningsPerDay[[#This Row],[Date]],Combined[[Date]:[Primary Area]],8,FALSE))</f>
        <v>Brunswick/Bath/Freeport</v>
      </c>
      <c r="K270" s="40" t="str">
        <f>_xlfn.XLOOKUP(EarningsPerDay[[#This Row],[Date]],Mileage[Date],Mileage[Weather])</f>
        <v>Snow Storm</v>
      </c>
      <c r="L270" s="4">
        <f>_xlfn.XLOOKUP(EarningsPerDay[[#This Row],[Date]],Mileage[Date],Mileage[Hi Temp])</f>
        <v>28.4</v>
      </c>
      <c r="M270" s="12">
        <f>_xlfn.XLOOKUP(EarningsPerDay[[#This Row],[Date]],Mileage[Date],Mileage[Total Time])</f>
        <v>3.02</v>
      </c>
      <c r="N270" s="4">
        <f>_xlfn.XLOOKUP(EarningsPerDay[[#This Row],[Date]],Mileage[Date],Mileage[Mileage])</f>
        <v>75</v>
      </c>
      <c r="O270" s="4">
        <f>SUMIF(Combined[Date],EarningsPerDay[[#This Row],[Date]],Combined[Trips])</f>
        <v>3</v>
      </c>
      <c r="P270">
        <f>COUNTIF(Combined[Date],EarningsPerDay[[#This Row],[Date]])</f>
        <v>2</v>
      </c>
      <c r="Q2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0" s="11">
        <f>SUMIF(Combined[Date],EarningsPerDay[[#This Row],[Date]],Combined[Earnings])</f>
        <v>60.42</v>
      </c>
      <c r="S270" s="11">
        <f ca="1">EarningsPerDay[[#This Row],[Gross Earnings]]-(EarningsPerDay[[#This Row],[Miles]]*CpM!$D$11)</f>
        <v>43.697018052878718</v>
      </c>
      <c r="T270" s="11">
        <f t="shared" si="33"/>
        <v>20.006622516556291</v>
      </c>
      <c r="U270" s="11">
        <f t="shared" ca="1" si="34"/>
        <v>14.469211275787655</v>
      </c>
      <c r="V270" s="11">
        <f>EarningsPerDay[[#This Row],[Gross Earnings]]/EarningsPerDay[[#This Row],[Deliveries]]</f>
        <v>20.14</v>
      </c>
      <c r="W270" s="11">
        <f>EarningsPerDay[[#This Row],[Gross Earnings]]/EarningsPerDay[[#This Row],[Miles]]</f>
        <v>0.80559999999999998</v>
      </c>
      <c r="X270" s="71">
        <f>EarningsPerDay[[#This Row],[Deliveries]]/EarningsPerDay[[#This Row],[Hours]]</f>
        <v>0.99337748344370858</v>
      </c>
      <c r="Y270" s="71">
        <f>EarningsPerDay[[#This Row],[Miles]]/EarningsPerDay[[#This Row],[Deliveries]]</f>
        <v>25</v>
      </c>
      <c r="Z270" s="81">
        <f>(EarningsPerDay[[#This Row],[Hours]]/EarningsPerDay[[#This Row],[Deliveries]])/24</f>
        <v>4.1944444444444444E-2</v>
      </c>
      <c r="AA2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-9.2892788609939991</v>
      </c>
      <c r="AB270" s="11">
        <f>AVERAGEIFS(EarningsPerDay[Gross $/Hour],EarningsPerDay[Week '#], EarningsPerDay[[#This Row],[Week '#]], EarningsPerDay[DOW], EarningsPerDay[[#This Row],[DOW]])</f>
        <v>23.708191000470212</v>
      </c>
      <c r="AC270" s="11">
        <f>EarningsPerDay[[#This Row],[Gross $/Hour]] - EarningsPerDay[[#This Row],[Weekly Average Earnings]]</f>
        <v>-3.7015684839139205</v>
      </c>
      <c r="AD270" s="11">
        <f>(SUMIFS(EarningsPerDay[Gross Earnings], EarningsPerDay[Date],"&gt;="&amp;EarningsPerDay[[#This Row],[Date]]-89, EarningsPerDay[Date], "&lt;="&amp;EarningsPerDay[[#This Row],[Date]]))/90</f>
        <v>59.374111111111119</v>
      </c>
    </row>
    <row r="271" spans="2:30" x14ac:dyDescent="0.35">
      <c r="B271" s="40">
        <v>45000</v>
      </c>
      <c r="C271" s="40">
        <f t="shared" si="31"/>
        <v>45000</v>
      </c>
      <c r="D271" s="4">
        <f>IF(EarningsPerDay[[#This Row],[Week '#]]&gt;=52,YEAR(EarningsPerDay[[#This Row],[Date]])-1,YEAR(EarningsPerDay[[#This Row],[Date]]))</f>
        <v>2023</v>
      </c>
      <c r="E271" s="4" t="str">
        <f>"QTR"&amp;IF(EarningsPerDay[[#This Row],[Week '#]] &lt;= 13, 1, IF(EarningsPerDay[[#This Row],[Week '#]] &lt;= 26, 2, IF(EarningsPerDay[[#This Row],[Week '#]] &lt;= 39, 3, 4)))</f>
        <v>QTR1</v>
      </c>
      <c r="F2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71" s="4">
        <f>IF(WEEKNUM(EarningsPerDay[[#This Row],[Date]], 2) = 53, 1, WEEKNUM(EarningsPerDay[[#This Row],[Date]],2))</f>
        <v>12</v>
      </c>
      <c r="H271" s="40" t="str">
        <f t="shared" si="32"/>
        <v>Wednesday</v>
      </c>
      <c r="I27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71" s="40" t="str" cm="1">
        <f t="array" ref="J271">IFERROR(VLOOKUP(MODE(IF(Combined[Date]=EarningsPerDay[[#This Row],[Date]],Combined[Area '#])),KPIs!$B$4:$C$7,2,FALSE),VLOOKUP(EarningsPerDay[[#This Row],[Date]],Combined[[Date]:[Primary Area]],8,FALSE))</f>
        <v>Lewiston</v>
      </c>
      <c r="K271" s="40" t="str">
        <f>_xlfn.XLOOKUP(EarningsPerDay[[#This Row],[Date]],Mileage[Date],Mileage[Weather])</f>
        <v>Clear</v>
      </c>
      <c r="L271" s="4">
        <f>_xlfn.XLOOKUP(EarningsPerDay[[#This Row],[Date]],Mileage[Date],Mileage[Hi Temp])</f>
        <v>42.5</v>
      </c>
      <c r="M271" s="12">
        <f>_xlfn.XLOOKUP(EarningsPerDay[[#This Row],[Date]],Mileage[Date],Mileage[Total Time])</f>
        <v>4.1500000000000004</v>
      </c>
      <c r="N271" s="4">
        <f>_xlfn.XLOOKUP(EarningsPerDay[[#This Row],[Date]],Mileage[Date],Mileage[Mileage])</f>
        <v>73</v>
      </c>
      <c r="O271" s="4">
        <f>SUMIF(Combined[Date],EarningsPerDay[[#This Row],[Date]],Combined[Trips])</f>
        <v>13</v>
      </c>
      <c r="P271">
        <f>COUNTIF(Combined[Date],EarningsPerDay[[#This Row],[Date]])</f>
        <v>4</v>
      </c>
      <c r="Q2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1" s="11">
        <f>SUMIF(Combined[Date],EarningsPerDay[[#This Row],[Date]],Combined[Earnings])</f>
        <v>85.960000000000008</v>
      </c>
      <c r="S271" s="11">
        <f ca="1">EarningsPerDay[[#This Row],[Gross Earnings]]-(EarningsPerDay[[#This Row],[Miles]]*CpM!$D$11)</f>
        <v>69.682964238135284</v>
      </c>
      <c r="T271" s="11">
        <f t="shared" si="33"/>
        <v>20.713253012048192</v>
      </c>
      <c r="U271" s="11">
        <f t="shared" ca="1" si="34"/>
        <v>16.791075720032598</v>
      </c>
      <c r="V271" s="11">
        <f>EarningsPerDay[[#This Row],[Gross Earnings]]/EarningsPerDay[[#This Row],[Deliveries]]</f>
        <v>6.6123076923076933</v>
      </c>
      <c r="W271" s="11">
        <f>EarningsPerDay[[#This Row],[Gross Earnings]]/EarningsPerDay[[#This Row],[Miles]]</f>
        <v>1.1775342465753427</v>
      </c>
      <c r="X271" s="71">
        <f>EarningsPerDay[[#This Row],[Deliveries]]/EarningsPerDay[[#This Row],[Hours]]</f>
        <v>3.1325301204819276</v>
      </c>
      <c r="Y271" s="71">
        <f>EarningsPerDay[[#This Row],[Miles]]/EarningsPerDay[[#This Row],[Deliveries]]</f>
        <v>5.615384615384615</v>
      </c>
      <c r="Z271" s="81">
        <f>(EarningsPerDay[[#This Row],[Hours]]/EarningsPerDay[[#This Row],[Deliveries]])/24</f>
        <v>1.3301282051282053E-2</v>
      </c>
      <c r="AA2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0.47835368318912685</v>
      </c>
      <c r="AB271" s="11">
        <f>AVERAGEIFS(EarningsPerDay[Gross $/Hour],EarningsPerDay[Week '#], EarningsPerDay[[#This Row],[Week '#]], EarningsPerDay[DOW], EarningsPerDay[[#This Row],[DOW]])</f>
        <v>26.505470302261681</v>
      </c>
      <c r="AC271" s="11">
        <f>EarningsPerDay[[#This Row],[Gross $/Hour]] - EarningsPerDay[[#This Row],[Weekly Average Earnings]]</f>
        <v>-5.7922172902134896</v>
      </c>
      <c r="AD271" s="11">
        <f>(SUMIFS(EarningsPerDay[Gross Earnings], EarningsPerDay[Date],"&gt;="&amp;EarningsPerDay[[#This Row],[Date]]-89, EarningsPerDay[Date], "&lt;="&amp;EarningsPerDay[[#This Row],[Date]]))/90</f>
        <v>58.498222222222225</v>
      </c>
    </row>
    <row r="272" spans="2:30" x14ac:dyDescent="0.35">
      <c r="B272" s="40">
        <v>45001</v>
      </c>
      <c r="C272" s="40">
        <f t="shared" si="31"/>
        <v>45001</v>
      </c>
      <c r="D272" s="4">
        <f>IF(EarningsPerDay[[#This Row],[Week '#]]&gt;=52,YEAR(EarningsPerDay[[#This Row],[Date]])-1,YEAR(EarningsPerDay[[#This Row],[Date]]))</f>
        <v>2023</v>
      </c>
      <c r="E272" s="4" t="str">
        <f>"QTR"&amp;IF(EarningsPerDay[[#This Row],[Week '#]] &lt;= 13, 1, IF(EarningsPerDay[[#This Row],[Week '#]] &lt;= 26, 2, IF(EarningsPerDay[[#This Row],[Week '#]] &lt;= 39, 3, 4)))</f>
        <v>QTR1</v>
      </c>
      <c r="F2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72" s="4">
        <f>IF(WEEKNUM(EarningsPerDay[[#This Row],[Date]], 2) = 53, 1, WEEKNUM(EarningsPerDay[[#This Row],[Date]],2))</f>
        <v>12</v>
      </c>
      <c r="H272" s="40" t="str">
        <f t="shared" si="32"/>
        <v>Thursday</v>
      </c>
      <c r="I27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72" s="40" t="str" cm="1">
        <f t="array" ref="J272">IFERROR(VLOOKUP(MODE(IF(Combined[Date]=EarningsPerDay[[#This Row],[Date]],Combined[Area '#])),KPIs!$B$4:$C$7,2,FALSE),VLOOKUP(EarningsPerDay[[#This Row],[Date]],Combined[[Date]:[Primary Area]],8,FALSE))</f>
        <v>Brunswick/Bath/Freeport</v>
      </c>
      <c r="K272" s="40" t="str">
        <f>_xlfn.XLOOKUP(EarningsPerDay[[#This Row],[Date]],Mileage[Date],Mileage[Weather])</f>
        <v>Rain</v>
      </c>
      <c r="L272" s="4">
        <f>_xlfn.XLOOKUP(EarningsPerDay[[#This Row],[Date]],Mileage[Date],Mileage[Hi Temp])</f>
        <v>39.9</v>
      </c>
      <c r="M272" s="12">
        <f>_xlfn.XLOOKUP(EarningsPerDay[[#This Row],[Date]],Mileage[Date],Mileage[Total Time])</f>
        <v>5.12</v>
      </c>
      <c r="N272" s="4">
        <f>_xlfn.XLOOKUP(EarningsPerDay[[#This Row],[Date]],Mileage[Date],Mileage[Mileage])</f>
        <v>116.7</v>
      </c>
      <c r="O272" s="4">
        <f>SUMIF(Combined[Date],EarningsPerDay[[#This Row],[Date]],Combined[Trips])</f>
        <v>4</v>
      </c>
      <c r="P272">
        <f>COUNTIF(Combined[Date],EarningsPerDay[[#This Row],[Date]])</f>
        <v>2</v>
      </c>
      <c r="Q2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2" s="11">
        <f>SUMIF(Combined[Date],EarningsPerDay[[#This Row],[Date]],Combined[Earnings])</f>
        <v>70.19</v>
      </c>
      <c r="S272" s="11">
        <f ca="1">EarningsPerDay[[#This Row],[Gross Earnings]]-(EarningsPerDay[[#This Row],[Miles]]*CpM!$D$11)</f>
        <v>44.169040090279275</v>
      </c>
      <c r="T272" s="11">
        <f t="shared" si="33"/>
        <v>13.708984375</v>
      </c>
      <c r="U272" s="11">
        <f t="shared" ca="1" si="34"/>
        <v>8.6267656426326713</v>
      </c>
      <c r="V272" s="11">
        <f>EarningsPerDay[[#This Row],[Gross Earnings]]/EarningsPerDay[[#This Row],[Deliveries]]</f>
        <v>17.547499999999999</v>
      </c>
      <c r="W272" s="11">
        <f>EarningsPerDay[[#This Row],[Gross Earnings]]/EarningsPerDay[[#This Row],[Miles]]</f>
        <v>0.60145672664952865</v>
      </c>
      <c r="X272" s="71">
        <f>EarningsPerDay[[#This Row],[Deliveries]]/EarningsPerDay[[#This Row],[Hours]]</f>
        <v>0.78125</v>
      </c>
      <c r="Y272" s="71">
        <f>EarningsPerDay[[#This Row],[Miles]]/EarningsPerDay[[#This Row],[Deliveries]]</f>
        <v>29.175000000000001</v>
      </c>
      <c r="Z272" s="81">
        <f>(EarningsPerDay[[#This Row],[Hours]]/EarningsPerDay[[#This Row],[Deliveries]])/24</f>
        <v>5.3333333333333337E-2</v>
      </c>
      <c r="AA2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-6.6970915959773798</v>
      </c>
      <c r="AB272" s="11">
        <f>AVERAGEIFS(EarningsPerDay[Gross $/Hour],EarningsPerDay[Week '#], EarningsPerDay[[#This Row],[Week '#]], EarningsPerDay[DOW], EarningsPerDay[[#This Row],[DOW]])</f>
        <v>13.708984375</v>
      </c>
      <c r="AC272" s="11">
        <f>EarningsPerDay[[#This Row],[Gross $/Hour]] - EarningsPerDay[[#This Row],[Weekly Average Earnings]]</f>
        <v>0</v>
      </c>
      <c r="AD272" s="11">
        <f>(SUMIFS(EarningsPerDay[Gross Earnings], EarningsPerDay[Date],"&gt;="&amp;EarningsPerDay[[#This Row],[Date]]-89, EarningsPerDay[Date], "&lt;="&amp;EarningsPerDay[[#This Row],[Date]]))/90</f>
        <v>57.767777777777773</v>
      </c>
    </row>
    <row r="273" spans="2:30" x14ac:dyDescent="0.35">
      <c r="B273" s="40">
        <v>45002</v>
      </c>
      <c r="C273" s="40">
        <f t="shared" si="31"/>
        <v>45002</v>
      </c>
      <c r="D273" s="4">
        <f>IF(EarningsPerDay[[#This Row],[Week '#]]&gt;=52,YEAR(EarningsPerDay[[#This Row],[Date]])-1,YEAR(EarningsPerDay[[#This Row],[Date]]))</f>
        <v>2023</v>
      </c>
      <c r="E273" s="4" t="str">
        <f>"QTR"&amp;IF(EarningsPerDay[[#This Row],[Week '#]] &lt;= 13, 1, IF(EarningsPerDay[[#This Row],[Week '#]] &lt;= 26, 2, IF(EarningsPerDay[[#This Row],[Week '#]] &lt;= 39, 3, 4)))</f>
        <v>QTR1</v>
      </c>
      <c r="F2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73" s="4">
        <f>IF(WEEKNUM(EarningsPerDay[[#This Row],[Date]], 2) = 53, 1, WEEKNUM(EarningsPerDay[[#This Row],[Date]],2))</f>
        <v>12</v>
      </c>
      <c r="H273" s="40" t="str">
        <f t="shared" si="32"/>
        <v>Friday</v>
      </c>
      <c r="I27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73" s="40" t="str" cm="1">
        <f t="array" ref="J273">IFERROR(VLOOKUP(MODE(IF(Combined[Date]=EarningsPerDay[[#This Row],[Date]],Combined[Area '#])),KPIs!$B$4:$C$7,2,FALSE),VLOOKUP(EarningsPerDay[[#This Row],[Date]],Combined[[Date]:[Primary Area]],8,FALSE))</f>
        <v>Lewiston</v>
      </c>
      <c r="K273" s="40" t="str">
        <f>_xlfn.XLOOKUP(EarningsPerDay[[#This Row],[Date]],Mileage[Date],Mileage[Weather])</f>
        <v>Rain / Snow Mix</v>
      </c>
      <c r="L273" s="4">
        <f>_xlfn.XLOOKUP(EarningsPerDay[[#This Row],[Date]],Mileage[Date],Mileage[Hi Temp])</f>
        <v>49.1</v>
      </c>
      <c r="M273" s="12">
        <f>_xlfn.XLOOKUP(EarningsPerDay[[#This Row],[Date]],Mileage[Date],Mileage[Total Time])</f>
        <v>3.85</v>
      </c>
      <c r="N273" s="4">
        <f>_xlfn.XLOOKUP(EarningsPerDay[[#This Row],[Date]],Mileage[Date],Mileage[Mileage])</f>
        <v>54</v>
      </c>
      <c r="O273" s="4">
        <f>SUMIF(Combined[Date],EarningsPerDay[[#This Row],[Date]],Combined[Trips])</f>
        <v>8</v>
      </c>
      <c r="P273">
        <f>COUNTIF(Combined[Date],EarningsPerDay[[#This Row],[Date]])</f>
        <v>1</v>
      </c>
      <c r="Q2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3" s="11">
        <f>SUMIF(Combined[Date],EarningsPerDay[[#This Row],[Date]],Combined[Earnings])</f>
        <v>51.5</v>
      </c>
      <c r="S273" s="11">
        <f ca="1">EarningsPerDay[[#This Row],[Gross Earnings]]-(EarningsPerDay[[#This Row],[Miles]]*CpM!$D$11)</f>
        <v>39.459452998072678</v>
      </c>
      <c r="T273" s="11">
        <f t="shared" si="33"/>
        <v>13.376623376623376</v>
      </c>
      <c r="U273" s="11">
        <f t="shared" ca="1" si="34"/>
        <v>10.249208570927967</v>
      </c>
      <c r="V273" s="11">
        <f>EarningsPerDay[[#This Row],[Gross Earnings]]/EarningsPerDay[[#This Row],[Deliveries]]</f>
        <v>6.4375</v>
      </c>
      <c r="W273" s="11">
        <f>EarningsPerDay[[#This Row],[Gross Earnings]]/EarningsPerDay[[#This Row],[Miles]]</f>
        <v>0.95370370370370372</v>
      </c>
      <c r="X273" s="71">
        <f>EarningsPerDay[[#This Row],[Deliveries]]/EarningsPerDay[[#This Row],[Hours]]</f>
        <v>2.0779220779220777</v>
      </c>
      <c r="Y273" s="71">
        <f>EarningsPerDay[[#This Row],[Miles]]/EarningsPerDay[[#This Row],[Deliveries]]</f>
        <v>6.75</v>
      </c>
      <c r="Z273" s="81">
        <f>(EarningsPerDay[[#This Row],[Hours]]/EarningsPerDay[[#This Row],[Deliveries]])/24</f>
        <v>2.0052083333333335E-2</v>
      </c>
      <c r="AA2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-8.5605016355581736</v>
      </c>
      <c r="AB273" s="11">
        <f>AVERAGEIFS(EarningsPerDay[Gross $/Hour],EarningsPerDay[Week '#], EarningsPerDay[[#This Row],[Week '#]], EarningsPerDay[DOW], EarningsPerDay[[#This Row],[DOW]])</f>
        <v>24.852884451271549</v>
      </c>
      <c r="AC273" s="11">
        <f>EarningsPerDay[[#This Row],[Gross $/Hour]] - EarningsPerDay[[#This Row],[Weekly Average Earnings]]</f>
        <v>-11.476261074648173</v>
      </c>
      <c r="AD273" s="11">
        <f>(SUMIFS(EarningsPerDay[Gross Earnings], EarningsPerDay[Date],"&gt;="&amp;EarningsPerDay[[#This Row],[Date]]-89, EarningsPerDay[Date], "&lt;="&amp;EarningsPerDay[[#This Row],[Date]]))/90</f>
        <v>58.195444444444448</v>
      </c>
    </row>
    <row r="274" spans="2:30" x14ac:dyDescent="0.35">
      <c r="B274" s="40">
        <v>45003</v>
      </c>
      <c r="C274" s="40">
        <f t="shared" si="31"/>
        <v>45003</v>
      </c>
      <c r="D274" s="4">
        <f>IF(EarningsPerDay[[#This Row],[Week '#]]&gt;=52,YEAR(EarningsPerDay[[#This Row],[Date]])-1,YEAR(EarningsPerDay[[#This Row],[Date]]))</f>
        <v>2023</v>
      </c>
      <c r="E274" s="4" t="str">
        <f>"QTR"&amp;IF(EarningsPerDay[[#This Row],[Week '#]] &lt;= 13, 1, IF(EarningsPerDay[[#This Row],[Week '#]] &lt;= 26, 2, IF(EarningsPerDay[[#This Row],[Week '#]] &lt;= 39, 3, 4)))</f>
        <v>QTR1</v>
      </c>
      <c r="F2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274" s="4">
        <f>IF(WEEKNUM(EarningsPerDay[[#This Row],[Date]], 2) = 53, 1, WEEKNUM(EarningsPerDay[[#This Row],[Date]],2))</f>
        <v>12</v>
      </c>
      <c r="H274" s="40" t="str">
        <f t="shared" si="32"/>
        <v>Saturday</v>
      </c>
      <c r="I27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74" s="40" t="str" cm="1">
        <f t="array" ref="J274">IFERROR(VLOOKUP(MODE(IF(Combined[Date]=EarningsPerDay[[#This Row],[Date]],Combined[Area '#])),KPIs!$B$4:$C$7,2,FALSE),VLOOKUP(EarningsPerDay[[#This Row],[Date]],Combined[[Date]:[Primary Area]],8,FALSE))</f>
        <v>Brunswick/Bath/Freeport</v>
      </c>
      <c r="K274" s="40" t="str">
        <f>_xlfn.XLOOKUP(EarningsPerDay[[#This Row],[Date]],Mileage[Date],Mileage[Weather])</f>
        <v>Light Snow</v>
      </c>
      <c r="L274" s="4">
        <f>_xlfn.XLOOKUP(EarningsPerDay[[#This Row],[Date]],Mileage[Date],Mileage[Hi Temp])</f>
        <v>31.3</v>
      </c>
      <c r="M274" s="12">
        <f>_xlfn.XLOOKUP(EarningsPerDay[[#This Row],[Date]],Mileage[Date],Mileage[Total Time])</f>
        <v>6.23</v>
      </c>
      <c r="N274" s="4">
        <f>_xlfn.XLOOKUP(EarningsPerDay[[#This Row],[Date]],Mileage[Date],Mileage[Mileage])</f>
        <v>145</v>
      </c>
      <c r="O274" s="4">
        <f>SUMIF(Combined[Date],EarningsPerDay[[#This Row],[Date]],Combined[Trips])</f>
        <v>9</v>
      </c>
      <c r="P274">
        <f>COUNTIF(Combined[Date],EarningsPerDay[[#This Row],[Date]])</f>
        <v>3</v>
      </c>
      <c r="Q2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4" s="11">
        <f>SUMIF(Combined[Date],EarningsPerDay[[#This Row],[Date]],Combined[Earnings])</f>
        <v>94.91</v>
      </c>
      <c r="S274" s="11">
        <f ca="1">EarningsPerDay[[#This Row],[Gross Earnings]]-(EarningsPerDay[[#This Row],[Miles]]*CpM!$D$11)</f>
        <v>62.578901568898843</v>
      </c>
      <c r="T274" s="11">
        <f t="shared" si="33"/>
        <v>15.234349919743176</v>
      </c>
      <c r="U274" s="11">
        <f t="shared" ca="1" si="34"/>
        <v>10.044767507046362</v>
      </c>
      <c r="V274" s="11">
        <f>EarningsPerDay[[#This Row],[Gross Earnings]]/EarningsPerDay[[#This Row],[Deliveries]]</f>
        <v>10.545555555555556</v>
      </c>
      <c r="W274" s="11">
        <f>EarningsPerDay[[#This Row],[Gross Earnings]]/EarningsPerDay[[#This Row],[Miles]]</f>
        <v>0.65455172413793106</v>
      </c>
      <c r="X274" s="71">
        <f>EarningsPerDay[[#This Row],[Deliveries]]/EarningsPerDay[[#This Row],[Hours]]</f>
        <v>1.4446227929373996</v>
      </c>
      <c r="Y274" s="71">
        <f>EarningsPerDay[[#This Row],[Miles]]/EarningsPerDay[[#This Row],[Deliveries]]</f>
        <v>16.111111111111111</v>
      </c>
      <c r="Z274" s="81">
        <f>(EarningsPerDay[[#This Row],[Hours]]/EarningsPerDay[[#This Row],[Deliveries]])/24</f>
        <v>2.8842592592592597E-2</v>
      </c>
      <c r="AA2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-11.413533387565581</v>
      </c>
      <c r="AB274" s="11">
        <f>AVERAGEIFS(EarningsPerDay[Gross $/Hour],EarningsPerDay[Week '#], EarningsPerDay[[#This Row],[Week '#]], EarningsPerDay[DOW], EarningsPerDay[[#This Row],[DOW]])</f>
        <v>21.037978186413866</v>
      </c>
      <c r="AC274" s="11">
        <f>EarningsPerDay[[#This Row],[Gross $/Hour]] - EarningsPerDay[[#This Row],[Weekly Average Earnings]]</f>
        <v>-5.8036282666706906</v>
      </c>
      <c r="AD274" s="11">
        <f>(SUMIFS(EarningsPerDay[Gross Earnings], EarningsPerDay[Date],"&gt;="&amp;EarningsPerDay[[#This Row],[Date]]-89, EarningsPerDay[Date], "&lt;="&amp;EarningsPerDay[[#This Row],[Date]]))/90</f>
        <v>57.603999999999999</v>
      </c>
    </row>
    <row r="275" spans="2:30" x14ac:dyDescent="0.35">
      <c r="B275" s="40">
        <v>45008</v>
      </c>
      <c r="C275" s="40">
        <f t="shared" si="31"/>
        <v>45008</v>
      </c>
      <c r="D275" s="4">
        <f>IF(EarningsPerDay[[#This Row],[Week '#]]&gt;=52,YEAR(EarningsPerDay[[#This Row],[Date]])-1,YEAR(EarningsPerDay[[#This Row],[Date]]))</f>
        <v>2023</v>
      </c>
      <c r="E275" s="4" t="str">
        <f>"QTR"&amp;IF(EarningsPerDay[[#This Row],[Week '#]] &lt;= 13, 1, IF(EarningsPerDay[[#This Row],[Week '#]] &lt;= 26, 2, IF(EarningsPerDay[[#This Row],[Week '#]] &lt;= 39, 3, 4)))</f>
        <v>QTR1</v>
      </c>
      <c r="F2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75" s="4">
        <f>IF(WEEKNUM(EarningsPerDay[[#This Row],[Date]], 2) = 53, 1, WEEKNUM(EarningsPerDay[[#This Row],[Date]],2))</f>
        <v>13</v>
      </c>
      <c r="H275" s="40" t="str">
        <f t="shared" si="32"/>
        <v>Thursday</v>
      </c>
      <c r="I275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275" s="40" t="str" cm="1">
        <f t="array" ref="J275">IFERROR(VLOOKUP(MODE(IF(Combined[Date]=EarningsPerDay[[#This Row],[Date]],Combined[Area '#])),KPIs!$B$4:$C$7,2,FALSE),VLOOKUP(EarningsPerDay[[#This Row],[Date]],Combined[[Date]:[Primary Area]],8,FALSE))</f>
        <v>Portland</v>
      </c>
      <c r="K275" s="40" t="str">
        <f>_xlfn.XLOOKUP(EarningsPerDay[[#This Row],[Date]],Mileage[Date],Mileage[Weather])</f>
        <v>Rain</v>
      </c>
      <c r="L275" s="4">
        <f>_xlfn.XLOOKUP(EarningsPerDay[[#This Row],[Date]],Mileage[Date],Mileage[Hi Temp])</f>
        <v>38.9</v>
      </c>
      <c r="M275" s="12">
        <f>_xlfn.XLOOKUP(EarningsPerDay[[#This Row],[Date]],Mileage[Date],Mileage[Total Time])</f>
        <v>4.97</v>
      </c>
      <c r="N275" s="4">
        <f>_xlfn.XLOOKUP(EarningsPerDay[[#This Row],[Date]],Mileage[Date],Mileage[Mileage])</f>
        <v>61</v>
      </c>
      <c r="O275" s="4">
        <f>SUMIF(Combined[Date],EarningsPerDay[[#This Row],[Date]],Combined[Trips])</f>
        <v>10</v>
      </c>
      <c r="P275">
        <f>COUNTIF(Combined[Date],EarningsPerDay[[#This Row],[Date]])</f>
        <v>2</v>
      </c>
      <c r="Q2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5" s="11">
        <f>SUMIF(Combined[Date],EarningsPerDay[[#This Row],[Date]],Combined[Earnings])</f>
        <v>98.240000000000009</v>
      </c>
      <c r="S275" s="11">
        <f ca="1">EarningsPerDay[[#This Row],[Gross Earnings]]-(EarningsPerDay[[#This Row],[Miles]]*CpM!$D$11)</f>
        <v>84.6386413496747</v>
      </c>
      <c r="T275" s="11">
        <f t="shared" si="33"/>
        <v>19.766599597585515</v>
      </c>
      <c r="U275" s="11">
        <f t="shared" ca="1" si="34"/>
        <v>17.029907716232334</v>
      </c>
      <c r="V275" s="11">
        <f>EarningsPerDay[[#This Row],[Gross Earnings]]/EarningsPerDay[[#This Row],[Deliveries]]</f>
        <v>9.8240000000000016</v>
      </c>
      <c r="W275" s="11">
        <f>EarningsPerDay[[#This Row],[Gross Earnings]]/EarningsPerDay[[#This Row],[Miles]]</f>
        <v>1.6104918032786886</v>
      </c>
      <c r="X275" s="71">
        <f>EarningsPerDay[[#This Row],[Deliveries]]/EarningsPerDay[[#This Row],[Hours]]</f>
        <v>2.0120724346076462</v>
      </c>
      <c r="Y275" s="71">
        <f>EarningsPerDay[[#This Row],[Miles]]/EarningsPerDay[[#This Row],[Deliveries]]</f>
        <v>6.1</v>
      </c>
      <c r="Z275" s="81">
        <f>(EarningsPerDay[[#This Row],[Hours]]/EarningsPerDay[[#This Row],[Deliveries]])/24</f>
        <v>2.0708333333333332E-2</v>
      </c>
      <c r="AA2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-0.77006558164994132</v>
      </c>
      <c r="AB275" s="11">
        <f>AVERAGEIFS(EarningsPerDay[Gross $/Hour],EarningsPerDay[Week '#], EarningsPerDay[[#This Row],[Week '#]], EarningsPerDay[DOW], EarningsPerDay[[#This Row],[DOW]])</f>
        <v>22.100489612644736</v>
      </c>
      <c r="AC275" s="11">
        <f>EarningsPerDay[[#This Row],[Gross $/Hour]] - EarningsPerDay[[#This Row],[Weekly Average Earnings]]</f>
        <v>-2.3338900150592217</v>
      </c>
      <c r="AD275" s="11">
        <f>(SUMIFS(EarningsPerDay[Gross Earnings], EarningsPerDay[Date],"&gt;="&amp;EarningsPerDay[[#This Row],[Date]]-89, EarningsPerDay[Date], "&lt;="&amp;EarningsPerDay[[#This Row],[Date]]))/90</f>
        <v>56.960444444444441</v>
      </c>
    </row>
    <row r="276" spans="2:30" x14ac:dyDescent="0.35">
      <c r="B276" s="40">
        <v>45009</v>
      </c>
      <c r="C276" s="40">
        <f t="shared" si="31"/>
        <v>45009</v>
      </c>
      <c r="D276" s="4">
        <f>IF(EarningsPerDay[[#This Row],[Week '#]]&gt;=52,YEAR(EarningsPerDay[[#This Row],[Date]])-1,YEAR(EarningsPerDay[[#This Row],[Date]]))</f>
        <v>2023</v>
      </c>
      <c r="E276" s="4" t="str">
        <f>"QTR"&amp;IF(EarningsPerDay[[#This Row],[Week '#]] &lt;= 13, 1, IF(EarningsPerDay[[#This Row],[Week '#]] &lt;= 26, 2, IF(EarningsPerDay[[#This Row],[Week '#]] &lt;= 39, 3, 4)))</f>
        <v>QTR1</v>
      </c>
      <c r="F2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76" s="4">
        <f>IF(WEEKNUM(EarningsPerDay[[#This Row],[Date]], 2) = 53, 1, WEEKNUM(EarningsPerDay[[#This Row],[Date]],2))</f>
        <v>13</v>
      </c>
      <c r="H276" s="40" t="str">
        <f t="shared" si="32"/>
        <v>Friday</v>
      </c>
      <c r="I276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276" s="40" t="str" cm="1">
        <f t="array" ref="J276">IFERROR(VLOOKUP(MODE(IF(Combined[Date]=EarningsPerDay[[#This Row],[Date]],Combined[Area '#])),KPIs!$B$4:$C$7,2,FALSE),VLOOKUP(EarningsPerDay[[#This Row],[Date]],Combined[[Date]:[Primary Area]],8,FALSE))</f>
        <v>Brunswick/Bath/Freeport</v>
      </c>
      <c r="K276" s="40" t="str">
        <f>_xlfn.XLOOKUP(EarningsPerDay[[#This Row],[Date]],Mileage[Date],Mileage[Weather])</f>
        <v>Light Snow</v>
      </c>
      <c r="L276" s="4">
        <f>_xlfn.XLOOKUP(EarningsPerDay[[#This Row],[Date]],Mileage[Date],Mileage[Hi Temp])</f>
        <v>33.5</v>
      </c>
      <c r="M276" s="12">
        <f>_xlfn.XLOOKUP(EarningsPerDay[[#This Row],[Date]],Mileage[Date],Mileage[Total Time])</f>
        <v>3.18</v>
      </c>
      <c r="N276" s="4">
        <f>_xlfn.XLOOKUP(EarningsPerDay[[#This Row],[Date]],Mileage[Date],Mileage[Mileage])</f>
        <v>51</v>
      </c>
      <c r="O276" s="4">
        <f>SUMIF(Combined[Date],EarningsPerDay[[#This Row],[Date]],Combined[Trips])</f>
        <v>8</v>
      </c>
      <c r="P276">
        <f>COUNTIF(Combined[Date],EarningsPerDay[[#This Row],[Date]])</f>
        <v>2</v>
      </c>
      <c r="Q2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6" s="11">
        <f>SUMIF(Combined[Date],EarningsPerDay[[#This Row],[Date]],Combined[Earnings])</f>
        <v>65.75</v>
      </c>
      <c r="S276" s="11">
        <f ca="1">EarningsPerDay[[#This Row],[Gross Earnings]]-(EarningsPerDay[[#This Row],[Miles]]*CpM!$D$11)</f>
        <v>54.378372275957524</v>
      </c>
      <c r="T276" s="11">
        <f t="shared" si="33"/>
        <v>20.676100628930815</v>
      </c>
      <c r="U276" s="11">
        <f t="shared" ca="1" si="34"/>
        <v>17.100117067911171</v>
      </c>
      <c r="V276" s="11">
        <f>EarningsPerDay[[#This Row],[Gross Earnings]]/EarningsPerDay[[#This Row],[Deliveries]]</f>
        <v>8.21875</v>
      </c>
      <c r="W276" s="11">
        <f>EarningsPerDay[[#This Row],[Gross Earnings]]/EarningsPerDay[[#This Row],[Miles]]</f>
        <v>1.2892156862745099</v>
      </c>
      <c r="X276" s="71">
        <f>EarningsPerDay[[#This Row],[Deliveries]]/EarningsPerDay[[#This Row],[Hours]]</f>
        <v>2.5157232704402515</v>
      </c>
      <c r="Y276" s="71">
        <f>EarningsPerDay[[#This Row],[Miles]]/EarningsPerDay[[#This Row],[Deliveries]]</f>
        <v>6.375</v>
      </c>
      <c r="Z276" s="81">
        <f>(EarningsPerDay[[#This Row],[Hours]]/EarningsPerDay[[#This Row],[Deliveries]])/24</f>
        <v>1.6562500000000001E-2</v>
      </c>
      <c r="AA2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1.8607419933135567</v>
      </c>
      <c r="AB276" s="11">
        <f>AVERAGEIFS(EarningsPerDay[Gross $/Hour],EarningsPerDay[Week '#], EarningsPerDay[[#This Row],[Week '#]], EarningsPerDay[DOW], EarningsPerDay[[#This Row],[DOW]])</f>
        <v>21.587544461558959</v>
      </c>
      <c r="AC276" s="11">
        <f>EarningsPerDay[[#This Row],[Gross $/Hour]] - EarningsPerDay[[#This Row],[Weekly Average Earnings]]</f>
        <v>-0.91144383262814443</v>
      </c>
      <c r="AD276" s="11">
        <f>(SUMIFS(EarningsPerDay[Gross Earnings], EarningsPerDay[Date],"&gt;="&amp;EarningsPerDay[[#This Row],[Date]]-89, EarningsPerDay[Date], "&lt;="&amp;EarningsPerDay[[#This Row],[Date]]))/90</f>
        <v>57.690999999999995</v>
      </c>
    </row>
    <row r="277" spans="2:30" x14ac:dyDescent="0.35">
      <c r="B277" s="40">
        <v>45010</v>
      </c>
      <c r="C277" s="40">
        <f t="shared" si="31"/>
        <v>45010</v>
      </c>
      <c r="D277" s="4">
        <f>IF(EarningsPerDay[[#This Row],[Week '#]]&gt;=52,YEAR(EarningsPerDay[[#This Row],[Date]])-1,YEAR(EarningsPerDay[[#This Row],[Date]]))</f>
        <v>2023</v>
      </c>
      <c r="E277" s="4" t="str">
        <f>"QTR"&amp;IF(EarningsPerDay[[#This Row],[Week '#]] &lt;= 13, 1, IF(EarningsPerDay[[#This Row],[Week '#]] &lt;= 26, 2, IF(EarningsPerDay[[#This Row],[Week '#]] &lt;= 39, 3, 4)))</f>
        <v>QTR1</v>
      </c>
      <c r="F2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77" s="4">
        <f>IF(WEEKNUM(EarningsPerDay[[#This Row],[Date]], 2) = 53, 1, WEEKNUM(EarningsPerDay[[#This Row],[Date]],2))</f>
        <v>13</v>
      </c>
      <c r="H277" s="40" t="str">
        <f t="shared" si="32"/>
        <v>Saturday</v>
      </c>
      <c r="I27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277" s="40" t="str" cm="1">
        <f t="array" ref="J277">IFERROR(VLOOKUP(MODE(IF(Combined[Date]=EarningsPerDay[[#This Row],[Date]],Combined[Area '#])),KPIs!$B$4:$C$7,2,FALSE),VLOOKUP(EarningsPerDay[[#This Row],[Date]],Combined[[Date]:[Primary Area]],8,FALSE))</f>
        <v>Brunswick/Bath/Freeport</v>
      </c>
      <c r="K277" s="40" t="str">
        <f>_xlfn.XLOOKUP(EarningsPerDay[[#This Row],[Date]],Mileage[Date],Mileage[Weather])</f>
        <v>Rain / Snow Mix</v>
      </c>
      <c r="L277" s="4">
        <f>_xlfn.XLOOKUP(EarningsPerDay[[#This Row],[Date]],Mileage[Date],Mileage[Hi Temp])</f>
        <v>41.9</v>
      </c>
      <c r="M277" s="12">
        <f>_xlfn.XLOOKUP(EarningsPerDay[[#This Row],[Date]],Mileage[Date],Mileage[Total Time])</f>
        <v>4.03</v>
      </c>
      <c r="N277" s="4">
        <f>_xlfn.XLOOKUP(EarningsPerDay[[#This Row],[Date]],Mileage[Date],Mileage[Mileage])</f>
        <v>81</v>
      </c>
      <c r="O277" s="4">
        <f>SUMIF(Combined[Date],EarningsPerDay[[#This Row],[Date]],Combined[Trips])</f>
        <v>8</v>
      </c>
      <c r="P277">
        <f>COUNTIF(Combined[Date],EarningsPerDay[[#This Row],[Date]])</f>
        <v>2</v>
      </c>
      <c r="Q2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7" s="11">
        <f>SUMIF(Combined[Date],EarningsPerDay[[#This Row],[Date]],Combined[Earnings])</f>
        <v>116.67</v>
      </c>
      <c r="S277" s="11">
        <f ca="1">EarningsPerDay[[#This Row],[Gross Earnings]]-(EarningsPerDay[[#This Row],[Miles]]*CpM!$D$11)</f>
        <v>98.609179497109011</v>
      </c>
      <c r="T277" s="11">
        <f t="shared" si="33"/>
        <v>28.950372208436722</v>
      </c>
      <c r="U277" s="11">
        <f t="shared" ca="1" si="34"/>
        <v>24.468779031540695</v>
      </c>
      <c r="V277" s="11">
        <f>EarningsPerDay[[#This Row],[Gross Earnings]]/EarningsPerDay[[#This Row],[Deliveries]]</f>
        <v>14.58375</v>
      </c>
      <c r="W277" s="11">
        <f>EarningsPerDay[[#This Row],[Gross Earnings]]/EarningsPerDay[[#This Row],[Miles]]</f>
        <v>1.4403703703703703</v>
      </c>
      <c r="X277" s="71">
        <f>EarningsPerDay[[#This Row],[Deliveries]]/EarningsPerDay[[#This Row],[Hours]]</f>
        <v>1.9851116625310172</v>
      </c>
      <c r="Y277" s="71">
        <f>EarningsPerDay[[#This Row],[Miles]]/EarningsPerDay[[#This Row],[Deliveries]]</f>
        <v>10.125</v>
      </c>
      <c r="Z277" s="81">
        <f>(EarningsPerDay[[#This Row],[Hours]]/EarningsPerDay[[#This Row],[Deliveries]])/24</f>
        <v>2.0989583333333336E-2</v>
      </c>
      <c r="AA2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3.253616683425097</v>
      </c>
      <c r="AB277" s="11">
        <f>AVERAGEIFS(EarningsPerDay[Gross $/Hour],EarningsPerDay[Week '#], EarningsPerDay[[#This Row],[Week '#]], EarningsPerDay[DOW], EarningsPerDay[[#This Row],[DOW]])</f>
        <v>30.297774755848877</v>
      </c>
      <c r="AC277" s="11">
        <f>EarningsPerDay[[#This Row],[Gross $/Hour]] - EarningsPerDay[[#This Row],[Weekly Average Earnings]]</f>
        <v>-1.3474025474121554</v>
      </c>
      <c r="AD277" s="11">
        <f>(SUMIFS(EarningsPerDay[Gross Earnings], EarningsPerDay[Date],"&gt;="&amp;EarningsPerDay[[#This Row],[Date]]-89, EarningsPerDay[Date], "&lt;="&amp;EarningsPerDay[[#This Row],[Date]]))/90</f>
        <v>58.987333333333332</v>
      </c>
    </row>
    <row r="278" spans="2:30" x14ac:dyDescent="0.35">
      <c r="B278" s="40">
        <v>45011</v>
      </c>
      <c r="C278" s="40">
        <f t="shared" si="31"/>
        <v>45011</v>
      </c>
      <c r="D278" s="4">
        <f>IF(EarningsPerDay[[#This Row],[Week '#]]&gt;=52,YEAR(EarningsPerDay[[#This Row],[Date]])-1,YEAR(EarningsPerDay[[#This Row],[Date]]))</f>
        <v>2023</v>
      </c>
      <c r="E278" s="4" t="str">
        <f>"QTR"&amp;IF(EarningsPerDay[[#This Row],[Week '#]] &lt;= 13, 1, IF(EarningsPerDay[[#This Row],[Week '#]] &lt;= 26, 2, IF(EarningsPerDay[[#This Row],[Week '#]] &lt;= 39, 3, 4)))</f>
        <v>QTR1</v>
      </c>
      <c r="F2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278" s="4">
        <f>IF(WEEKNUM(EarningsPerDay[[#This Row],[Date]], 2) = 53, 1, WEEKNUM(EarningsPerDay[[#This Row],[Date]],2))</f>
        <v>13</v>
      </c>
      <c r="H278" s="40" t="str">
        <f t="shared" si="32"/>
        <v>Sunday</v>
      </c>
      <c r="I27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78" s="40" t="str" cm="1">
        <f t="array" ref="J278">IFERROR(VLOOKUP(MODE(IF(Combined[Date]=EarningsPerDay[[#This Row],[Date]],Combined[Area '#])),KPIs!$B$4:$C$7,2,FALSE),VLOOKUP(EarningsPerDay[[#This Row],[Date]],Combined[[Date]:[Primary Area]],8,FALSE))</f>
        <v>Portland</v>
      </c>
      <c r="K278" s="40" t="str">
        <f>_xlfn.XLOOKUP(EarningsPerDay[[#This Row],[Date]],Mileage[Date],Mileage[Weather])</f>
        <v>Partially Cloudy</v>
      </c>
      <c r="L278" s="4">
        <f>_xlfn.XLOOKUP(EarningsPerDay[[#This Row],[Date]],Mileage[Date],Mileage[Hi Temp])</f>
        <v>52.3</v>
      </c>
      <c r="M278" s="12">
        <f>_xlfn.XLOOKUP(EarningsPerDay[[#This Row],[Date]],Mileage[Date],Mileage[Total Time])</f>
        <v>4.5999999999999996</v>
      </c>
      <c r="N278" s="4">
        <f>_xlfn.XLOOKUP(EarningsPerDay[[#This Row],[Date]],Mileage[Date],Mileage[Mileage])</f>
        <v>77</v>
      </c>
      <c r="O278" s="4">
        <f>SUMIF(Combined[Date],EarningsPerDay[[#This Row],[Date]],Combined[Trips])</f>
        <v>10</v>
      </c>
      <c r="P278">
        <f>COUNTIF(Combined[Date],EarningsPerDay[[#This Row],[Date]])</f>
        <v>3</v>
      </c>
      <c r="Q2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8" s="11">
        <f>SUMIF(Combined[Date],EarningsPerDay[[#This Row],[Date]],Combined[Earnings])</f>
        <v>114.53</v>
      </c>
      <c r="S278" s="11">
        <f ca="1">EarningsPerDay[[#This Row],[Gross Earnings]]-(EarningsPerDay[[#This Row],[Miles]]*CpM!$D$11)</f>
        <v>97.361071867622144</v>
      </c>
      <c r="T278" s="11">
        <f t="shared" si="33"/>
        <v>24.897826086956524</v>
      </c>
      <c r="U278" s="11">
        <f t="shared" ca="1" si="34"/>
        <v>21.165450406004815</v>
      </c>
      <c r="V278" s="11">
        <f>EarningsPerDay[[#This Row],[Gross Earnings]]/EarningsPerDay[[#This Row],[Deliveries]]</f>
        <v>11.452999999999999</v>
      </c>
      <c r="W278" s="11">
        <f>EarningsPerDay[[#This Row],[Gross Earnings]]/EarningsPerDay[[#This Row],[Miles]]</f>
        <v>1.4874025974025975</v>
      </c>
      <c r="X278" s="71">
        <f>EarningsPerDay[[#This Row],[Deliveries]]/EarningsPerDay[[#This Row],[Hours]]</f>
        <v>2.1739130434782612</v>
      </c>
      <c r="Y278" s="71">
        <f>EarningsPerDay[[#This Row],[Miles]]/EarningsPerDay[[#This Row],[Deliveries]]</f>
        <v>7.7</v>
      </c>
      <c r="Z278" s="81">
        <f>(EarningsPerDay[[#This Row],[Hours]]/EarningsPerDay[[#This Row],[Deliveries]])/24</f>
        <v>1.9166666666666665E-2</v>
      </c>
      <c r="AA2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9.9769476976902247</v>
      </c>
      <c r="AB278" s="11">
        <f>AVERAGEIFS(EarningsPerDay[Gross $/Hour],EarningsPerDay[Week '#], EarningsPerDay[[#This Row],[Week '#]], EarningsPerDay[DOW], EarningsPerDay[[#This Row],[DOW]])</f>
        <v>24.684581833287179</v>
      </c>
      <c r="AC278" s="11">
        <f>EarningsPerDay[[#This Row],[Gross $/Hour]] - EarningsPerDay[[#This Row],[Weekly Average Earnings]]</f>
        <v>0.21324425366934463</v>
      </c>
      <c r="AD278" s="11">
        <f>(SUMIFS(EarningsPerDay[Gross Earnings], EarningsPerDay[Date],"&gt;="&amp;EarningsPerDay[[#This Row],[Date]]-89, EarningsPerDay[Date], "&lt;="&amp;EarningsPerDay[[#This Row],[Date]]))/90</f>
        <v>60.259888888888881</v>
      </c>
    </row>
    <row r="279" spans="2:30" x14ac:dyDescent="0.35">
      <c r="B279" s="40">
        <v>45014</v>
      </c>
      <c r="C279" s="40">
        <f t="shared" si="31"/>
        <v>45014</v>
      </c>
      <c r="D279" s="4">
        <f>IF(EarningsPerDay[[#This Row],[Week '#]]&gt;=52,YEAR(EarningsPerDay[[#This Row],[Date]])-1,YEAR(EarningsPerDay[[#This Row],[Date]]))</f>
        <v>2023</v>
      </c>
      <c r="E279" s="4" t="str">
        <f>"QTR"&amp;IF(EarningsPerDay[[#This Row],[Week '#]] &lt;= 13, 1, IF(EarningsPerDay[[#This Row],[Week '#]] &lt;= 26, 2, IF(EarningsPerDay[[#This Row],[Week '#]] &lt;= 39, 3, 4)))</f>
        <v>QTR2</v>
      </c>
      <c r="F2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79" s="4">
        <f>IF(WEEKNUM(EarningsPerDay[[#This Row],[Date]], 2) = 53, 1, WEEKNUM(EarningsPerDay[[#This Row],[Date]],2))</f>
        <v>14</v>
      </c>
      <c r="H279" s="40" t="str">
        <f t="shared" si="32"/>
        <v>Wednesday</v>
      </c>
      <c r="I27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79" s="40" t="str" cm="1">
        <f t="array" ref="J279">IFERROR(VLOOKUP(MODE(IF(Combined[Date]=EarningsPerDay[[#This Row],[Date]],Combined[Area '#])),KPIs!$B$4:$C$7,2,FALSE),VLOOKUP(EarningsPerDay[[#This Row],[Date]],Combined[[Date]:[Primary Area]],8,FALSE))</f>
        <v>Portland</v>
      </c>
      <c r="K279" s="40" t="str">
        <f>_xlfn.XLOOKUP(EarningsPerDay[[#This Row],[Date]],Mileage[Date],Mileage[Weather])</f>
        <v>Rain / Snow Mix</v>
      </c>
      <c r="L279" s="4">
        <f>_xlfn.XLOOKUP(EarningsPerDay[[#This Row],[Date]],Mileage[Date],Mileage[Hi Temp])</f>
        <v>33</v>
      </c>
      <c r="M279" s="12">
        <f>_xlfn.XLOOKUP(EarningsPerDay[[#This Row],[Date]],Mileage[Date],Mileage[Total Time])</f>
        <v>4.7300000000000004</v>
      </c>
      <c r="N279" s="4">
        <f>_xlfn.XLOOKUP(EarningsPerDay[[#This Row],[Date]],Mileage[Date],Mileage[Mileage])</f>
        <v>71.8</v>
      </c>
      <c r="O279" s="4">
        <f>SUMIF(Combined[Date],EarningsPerDay[[#This Row],[Date]],Combined[Trips])</f>
        <v>10</v>
      </c>
      <c r="P279">
        <f>COUNTIF(Combined[Date],EarningsPerDay[[#This Row],[Date]])</f>
        <v>3</v>
      </c>
      <c r="Q2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79" s="11">
        <f>SUMIF(Combined[Date],EarningsPerDay[[#This Row],[Date]],Combined[Earnings])</f>
        <v>66.98</v>
      </c>
      <c r="S279" s="11">
        <f ca="1">EarningsPerDay[[#This Row],[Gross Earnings]]-(EarningsPerDay[[#This Row],[Miles]]*CpM!$D$11)</f>
        <v>50.970531949289224</v>
      </c>
      <c r="T279" s="11">
        <f t="shared" si="33"/>
        <v>14.160676532769555</v>
      </c>
      <c r="U279" s="11">
        <f t="shared" ca="1" si="34"/>
        <v>10.776010982936411</v>
      </c>
      <c r="V279" s="11">
        <f>EarningsPerDay[[#This Row],[Gross Earnings]]/EarningsPerDay[[#This Row],[Deliveries]]</f>
        <v>6.6980000000000004</v>
      </c>
      <c r="W279" s="11">
        <f>EarningsPerDay[[#This Row],[Gross Earnings]]/EarningsPerDay[[#This Row],[Miles]]</f>
        <v>0.93286908077994435</v>
      </c>
      <c r="X279" s="71">
        <f>EarningsPerDay[[#This Row],[Deliveries]]/EarningsPerDay[[#This Row],[Hours]]</f>
        <v>2.1141649048625792</v>
      </c>
      <c r="Y279" s="71">
        <f>EarningsPerDay[[#This Row],[Miles]]/EarningsPerDay[[#This Row],[Deliveries]]</f>
        <v>7.18</v>
      </c>
      <c r="Z279" s="81">
        <f>(EarningsPerDay[[#This Row],[Hours]]/EarningsPerDay[[#This Row],[Deliveries]])/24</f>
        <v>1.9708333333333335E-2</v>
      </c>
      <c r="AA2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-7.5472182040725482</v>
      </c>
      <c r="AB279" s="11">
        <f>AVERAGEIFS(EarningsPerDay[Gross $/Hour],EarningsPerDay[Week '#], EarningsPerDay[[#This Row],[Week '#]], EarningsPerDay[DOW], EarningsPerDay[[#This Row],[DOW]])</f>
        <v>15.580338266384778</v>
      </c>
      <c r="AC279" s="11">
        <f>EarningsPerDay[[#This Row],[Gross $/Hour]] - EarningsPerDay[[#This Row],[Weekly Average Earnings]]</f>
        <v>-1.4196617336152233</v>
      </c>
      <c r="AD279" s="11">
        <f>(SUMIFS(EarningsPerDay[Gross Earnings], EarningsPerDay[Date],"&gt;="&amp;EarningsPerDay[[#This Row],[Date]]-89, EarningsPerDay[Date], "&lt;="&amp;EarningsPerDay[[#This Row],[Date]]))/90</f>
        <v>59.1522222222222</v>
      </c>
    </row>
    <row r="280" spans="2:30" x14ac:dyDescent="0.35">
      <c r="B280" s="40">
        <v>45015</v>
      </c>
      <c r="C280" s="40">
        <f t="shared" si="31"/>
        <v>45015</v>
      </c>
      <c r="D280" s="4">
        <f>IF(EarningsPerDay[[#This Row],[Week '#]]&gt;=52,YEAR(EarningsPerDay[[#This Row],[Date]])-1,YEAR(EarningsPerDay[[#This Row],[Date]]))</f>
        <v>2023</v>
      </c>
      <c r="E280" s="4" t="str">
        <f>"QTR"&amp;IF(EarningsPerDay[[#This Row],[Week '#]] &lt;= 13, 1, IF(EarningsPerDay[[#This Row],[Week '#]] &lt;= 26, 2, IF(EarningsPerDay[[#This Row],[Week '#]] &lt;= 39, 3, 4)))</f>
        <v>QTR2</v>
      </c>
      <c r="F2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80" s="4">
        <f>IF(WEEKNUM(EarningsPerDay[[#This Row],[Date]], 2) = 53, 1, WEEKNUM(EarningsPerDay[[#This Row],[Date]],2))</f>
        <v>14</v>
      </c>
      <c r="H280" s="40" t="str">
        <f t="shared" si="32"/>
        <v>Thursday</v>
      </c>
      <c r="I28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80" s="40" t="str" cm="1">
        <f t="array" ref="J280">IFERROR(VLOOKUP(MODE(IF(Combined[Date]=EarningsPerDay[[#This Row],[Date]],Combined[Area '#])),KPIs!$B$4:$C$7,2,FALSE),VLOOKUP(EarningsPerDay[[#This Row],[Date]],Combined[[Date]:[Primary Area]],8,FALSE))</f>
        <v>Lewiston</v>
      </c>
      <c r="K280" s="40" t="str">
        <f>_xlfn.XLOOKUP(EarningsPerDay[[#This Row],[Date]],Mileage[Date],Mileage[Weather])</f>
        <v>Light Snow</v>
      </c>
      <c r="L280" s="4">
        <f>_xlfn.XLOOKUP(EarningsPerDay[[#This Row],[Date]],Mileage[Date],Mileage[Hi Temp])</f>
        <v>38.6</v>
      </c>
      <c r="M280" s="12">
        <f>_xlfn.XLOOKUP(EarningsPerDay[[#This Row],[Date]],Mileage[Date],Mileage[Total Time])</f>
        <v>4.92</v>
      </c>
      <c r="N280" s="4">
        <f>_xlfn.XLOOKUP(EarningsPerDay[[#This Row],[Date]],Mileage[Date],Mileage[Mileage])</f>
        <v>80</v>
      </c>
      <c r="O280" s="4">
        <f>SUMIF(Combined[Date],EarningsPerDay[[#This Row],[Date]],Combined[Trips])</f>
        <v>11</v>
      </c>
      <c r="P280">
        <f>COUNTIF(Combined[Date],EarningsPerDay[[#This Row],[Date]])</f>
        <v>3</v>
      </c>
      <c r="Q2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0" s="11">
        <f>SUMIF(Combined[Date],EarningsPerDay[[#This Row],[Date]],Combined[Earnings])</f>
        <v>103.39</v>
      </c>
      <c r="S280" s="11">
        <f ca="1">EarningsPerDay[[#This Row],[Gross Earnings]]-(EarningsPerDay[[#This Row],[Miles]]*CpM!$D$11)</f>
        <v>85.55215258973729</v>
      </c>
      <c r="T280" s="11">
        <f t="shared" si="33"/>
        <v>21.014227642276424</v>
      </c>
      <c r="U280" s="11">
        <f t="shared" ca="1" si="34"/>
        <v>17.388648900353108</v>
      </c>
      <c r="V280" s="11">
        <f>EarningsPerDay[[#This Row],[Gross Earnings]]/EarningsPerDay[[#This Row],[Deliveries]]</f>
        <v>9.3990909090909085</v>
      </c>
      <c r="W280" s="11">
        <f>EarningsPerDay[[#This Row],[Gross Earnings]]/EarningsPerDay[[#This Row],[Miles]]</f>
        <v>1.2923750000000001</v>
      </c>
      <c r="X280" s="71">
        <f>EarningsPerDay[[#This Row],[Deliveries]]/EarningsPerDay[[#This Row],[Hours]]</f>
        <v>2.2357723577235773</v>
      </c>
      <c r="Y280" s="71">
        <f>EarningsPerDay[[#This Row],[Miles]]/EarningsPerDay[[#This Row],[Deliveries]]</f>
        <v>7.2727272727272725</v>
      </c>
      <c r="Z280" s="81">
        <f>(EarningsPerDay[[#This Row],[Hours]]/EarningsPerDay[[#This Row],[Deliveries]])/24</f>
        <v>1.8636363636363635E-2</v>
      </c>
      <c r="AA2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3.244996873045654</v>
      </c>
      <c r="AB280" s="11">
        <f>AVERAGEIFS(EarningsPerDay[Gross $/Hour],EarningsPerDay[Week '#], EarningsPerDay[[#This Row],[Week '#]], EarningsPerDay[DOW], EarningsPerDay[[#This Row],[DOW]])</f>
        <v>20.685685249709643</v>
      </c>
      <c r="AC280" s="11">
        <f>EarningsPerDay[[#This Row],[Gross $/Hour]] - EarningsPerDay[[#This Row],[Weekly Average Earnings]]</f>
        <v>0.32854239256678142</v>
      </c>
      <c r="AD280" s="11">
        <f>(SUMIFS(EarningsPerDay[Gross Earnings], EarningsPerDay[Date],"&gt;="&amp;EarningsPerDay[[#This Row],[Date]]-89, EarningsPerDay[Date], "&lt;="&amp;EarningsPerDay[[#This Row],[Date]]))/90</f>
        <v>59.046999999999983</v>
      </c>
    </row>
    <row r="281" spans="2:30" x14ac:dyDescent="0.35">
      <c r="B281" s="40">
        <v>45016</v>
      </c>
      <c r="C281" s="40">
        <f t="shared" si="31"/>
        <v>45016</v>
      </c>
      <c r="D281" s="4">
        <f>IF(EarningsPerDay[[#This Row],[Week '#]]&gt;=52,YEAR(EarningsPerDay[[#This Row],[Date]])-1,YEAR(EarningsPerDay[[#This Row],[Date]]))</f>
        <v>2023</v>
      </c>
      <c r="E281" s="4" t="str">
        <f>"QTR"&amp;IF(EarningsPerDay[[#This Row],[Week '#]] &lt;= 13, 1, IF(EarningsPerDay[[#This Row],[Week '#]] &lt;= 26, 2, IF(EarningsPerDay[[#This Row],[Week '#]] &lt;= 39, 3, 4)))</f>
        <v>QTR2</v>
      </c>
      <c r="F2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81" s="4">
        <f>IF(WEEKNUM(EarningsPerDay[[#This Row],[Date]], 2) = 53, 1, WEEKNUM(EarningsPerDay[[#This Row],[Date]],2))</f>
        <v>14</v>
      </c>
      <c r="H281" s="40" t="str">
        <f t="shared" si="32"/>
        <v>Friday</v>
      </c>
      <c r="I28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81" s="40" t="str" cm="1">
        <f t="array" ref="J281">IFERROR(VLOOKUP(MODE(IF(Combined[Date]=EarningsPerDay[[#This Row],[Date]],Combined[Area '#])),KPIs!$B$4:$C$7,2,FALSE),VLOOKUP(EarningsPerDay[[#This Row],[Date]],Combined[[Date]:[Primary Area]],8,FALSE))</f>
        <v>Portland</v>
      </c>
      <c r="K281" s="40" t="str">
        <f>_xlfn.XLOOKUP(EarningsPerDay[[#This Row],[Date]],Mileage[Date],Mileage[Weather])</f>
        <v>Rain / Snow Mix</v>
      </c>
      <c r="L281" s="4">
        <f>_xlfn.XLOOKUP(EarningsPerDay[[#This Row],[Date]],Mileage[Date],Mileage[Hi Temp])</f>
        <v>42.3</v>
      </c>
      <c r="M281" s="12">
        <f>_xlfn.XLOOKUP(EarningsPerDay[[#This Row],[Date]],Mileage[Date],Mileage[Total Time])</f>
        <v>8.9499999999999993</v>
      </c>
      <c r="N281" s="4">
        <f>_xlfn.XLOOKUP(EarningsPerDay[[#This Row],[Date]],Mileage[Date],Mileage[Mileage])</f>
        <v>166</v>
      </c>
      <c r="O281" s="4">
        <f>SUMIF(Combined[Date],EarningsPerDay[[#This Row],[Date]],Combined[Trips])</f>
        <v>18</v>
      </c>
      <c r="P281">
        <f>COUNTIF(Combined[Date],EarningsPerDay[[#This Row],[Date]])</f>
        <v>4</v>
      </c>
      <c r="Q2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1" s="11">
        <f>SUMIF(Combined[Date],EarningsPerDay[[#This Row],[Date]],Combined[Earnings])</f>
        <v>206.46000000000004</v>
      </c>
      <c r="S281" s="11">
        <f ca="1">EarningsPerDay[[#This Row],[Gross Earnings]]-(EarningsPerDay[[#This Row],[Miles]]*CpM!$D$11)</f>
        <v>169.44646662370491</v>
      </c>
      <c r="T281" s="11">
        <f t="shared" si="33"/>
        <v>23.068156424581012</v>
      </c>
      <c r="U281" s="11">
        <f t="shared" ca="1" si="34"/>
        <v>18.932566103207254</v>
      </c>
      <c r="V281" s="11">
        <f>EarningsPerDay[[#This Row],[Gross Earnings]]/EarningsPerDay[[#This Row],[Deliveries]]</f>
        <v>11.470000000000002</v>
      </c>
      <c r="W281" s="11">
        <f>EarningsPerDay[[#This Row],[Gross Earnings]]/EarningsPerDay[[#This Row],[Miles]]</f>
        <v>1.2437349397590363</v>
      </c>
      <c r="X281" s="71">
        <f>EarningsPerDay[[#This Row],[Deliveries]]/EarningsPerDay[[#This Row],[Hours]]</f>
        <v>2.011173184357542</v>
      </c>
      <c r="Y281" s="71">
        <f>EarningsPerDay[[#This Row],[Miles]]/EarningsPerDay[[#This Row],[Deliveries]]</f>
        <v>9.2222222222222214</v>
      </c>
      <c r="Z281" s="81">
        <f>(EarningsPerDay[[#This Row],[Hours]]/EarningsPerDay[[#This Row],[Deliveries]])/24</f>
        <v>2.071759259259259E-2</v>
      </c>
      <c r="AA2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1.0542767708746723</v>
      </c>
      <c r="AB281" s="11">
        <f>AVERAGEIFS(EarningsPerDay[Gross $/Hour],EarningsPerDay[Week '#], EarningsPerDay[[#This Row],[Week '#]], EarningsPerDay[DOW], EarningsPerDay[[#This Row],[DOW]])</f>
        <v>30.149780691629349</v>
      </c>
      <c r="AC281" s="11">
        <f>EarningsPerDay[[#This Row],[Gross $/Hour]] - EarningsPerDay[[#This Row],[Weekly Average Earnings]]</f>
        <v>-7.0816242670483369</v>
      </c>
      <c r="AD281" s="11">
        <f>(SUMIFS(EarningsPerDay[Gross Earnings], EarningsPerDay[Date],"&gt;="&amp;EarningsPerDay[[#This Row],[Date]]-89, EarningsPerDay[Date], "&lt;="&amp;EarningsPerDay[[#This Row],[Date]]))/90</f>
        <v>61.340999999999987</v>
      </c>
    </row>
    <row r="282" spans="2:30" x14ac:dyDescent="0.35">
      <c r="B282" s="40">
        <v>45017</v>
      </c>
      <c r="C282" s="40">
        <f t="shared" si="31"/>
        <v>45017</v>
      </c>
      <c r="D282" s="4">
        <f>IF(EarningsPerDay[[#This Row],[Week '#]]&gt;=52,YEAR(EarningsPerDay[[#This Row],[Date]])-1,YEAR(EarningsPerDay[[#This Row],[Date]]))</f>
        <v>2023</v>
      </c>
      <c r="E282" s="4" t="str">
        <f>"QTR"&amp;IF(EarningsPerDay[[#This Row],[Week '#]] &lt;= 13, 1, IF(EarningsPerDay[[#This Row],[Week '#]] &lt;= 26, 2, IF(EarningsPerDay[[#This Row],[Week '#]] &lt;= 39, 3, 4)))</f>
        <v>QTR2</v>
      </c>
      <c r="F2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282" s="4">
        <f>IF(WEEKNUM(EarningsPerDay[[#This Row],[Date]], 2) = 53, 1, WEEKNUM(EarningsPerDay[[#This Row],[Date]],2))</f>
        <v>14</v>
      </c>
      <c r="H282" s="40" t="str">
        <f t="shared" si="32"/>
        <v>Saturday</v>
      </c>
      <c r="I28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82" s="40" t="str" cm="1">
        <f t="array" ref="J282">IFERROR(VLOOKUP(MODE(IF(Combined[Date]=EarningsPerDay[[#This Row],[Date]],Combined[Area '#])),KPIs!$B$4:$C$7,2,FALSE),VLOOKUP(EarningsPerDay[[#This Row],[Date]],Combined[[Date]:[Primary Area]],8,FALSE))</f>
        <v>Portland</v>
      </c>
      <c r="K282" s="40" t="str">
        <f>_xlfn.XLOOKUP(EarningsPerDay[[#This Row],[Date]],Mileage[Date],Mileage[Weather])</f>
        <v>Partially Cloudy</v>
      </c>
      <c r="L282" s="4">
        <f>_xlfn.XLOOKUP(EarningsPerDay[[#This Row],[Date]],Mileage[Date],Mileage[Hi Temp])</f>
        <v>37.799999999999997</v>
      </c>
      <c r="M282" s="12">
        <f>_xlfn.XLOOKUP(EarningsPerDay[[#This Row],[Date]],Mileage[Date],Mileage[Total Time])</f>
        <v>4.58</v>
      </c>
      <c r="N282" s="4">
        <f>_xlfn.XLOOKUP(EarningsPerDay[[#This Row],[Date]],Mileage[Date],Mileage[Mileage])</f>
        <v>81</v>
      </c>
      <c r="O282" s="4">
        <f>SUMIF(Combined[Date],EarningsPerDay[[#This Row],[Date]],Combined[Trips])</f>
        <v>10</v>
      </c>
      <c r="P282">
        <f>COUNTIF(Combined[Date],EarningsPerDay[[#This Row],[Date]])</f>
        <v>3</v>
      </c>
      <c r="Q2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2" s="11">
        <f>SUMIF(Combined[Date],EarningsPerDay[[#This Row],[Date]],Combined[Earnings])</f>
        <v>78.900000000000006</v>
      </c>
      <c r="S282" s="11">
        <f ca="1">EarningsPerDay[[#This Row],[Gross Earnings]]-(EarningsPerDay[[#This Row],[Miles]]*CpM!$D$11)</f>
        <v>60.839179497109015</v>
      </c>
      <c r="T282" s="11">
        <f t="shared" si="33"/>
        <v>17.227074235807862</v>
      </c>
      <c r="U282" s="11">
        <f t="shared" ca="1" si="34"/>
        <v>13.28366364565699</v>
      </c>
      <c r="V282" s="11">
        <f>EarningsPerDay[[#This Row],[Gross Earnings]]/EarningsPerDay[[#This Row],[Deliveries]]</f>
        <v>7.8900000000000006</v>
      </c>
      <c r="W282" s="11">
        <f>EarningsPerDay[[#This Row],[Gross Earnings]]/EarningsPerDay[[#This Row],[Miles]]</f>
        <v>0.97407407407407409</v>
      </c>
      <c r="X282" s="71">
        <f>EarningsPerDay[[#This Row],[Deliveries]]/EarningsPerDay[[#This Row],[Hours]]</f>
        <v>2.1834061135371177</v>
      </c>
      <c r="Y282" s="71">
        <f>EarningsPerDay[[#This Row],[Miles]]/EarningsPerDay[[#This Row],[Deliveries]]</f>
        <v>8.1</v>
      </c>
      <c r="Z282" s="81">
        <f>(EarningsPerDay[[#This Row],[Hours]]/EarningsPerDay[[#This Row],[Deliveries]])/24</f>
        <v>1.9083333333333334E-2</v>
      </c>
      <c r="AA2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-1.4571916372080089</v>
      </c>
      <c r="AB282" s="11">
        <f>AVERAGEIFS(EarningsPerDay[Gross $/Hour],EarningsPerDay[Week '#], EarningsPerDay[[#This Row],[Week '#]], EarningsPerDay[DOW], EarningsPerDay[[#This Row],[DOW]])</f>
        <v>21.691133638317044</v>
      </c>
      <c r="AC282" s="11">
        <f>EarningsPerDay[[#This Row],[Gross $/Hour]] - EarningsPerDay[[#This Row],[Weekly Average Earnings]]</f>
        <v>-4.4640594025091822</v>
      </c>
      <c r="AD282" s="11">
        <f>(SUMIFS(EarningsPerDay[Gross Earnings], EarningsPerDay[Date],"&gt;="&amp;EarningsPerDay[[#This Row],[Date]]-89, EarningsPerDay[Date], "&lt;="&amp;EarningsPerDay[[#This Row],[Date]]))/90</f>
        <v>60.490222222222208</v>
      </c>
    </row>
    <row r="283" spans="2:30" x14ac:dyDescent="0.35">
      <c r="B283" s="40">
        <v>45020</v>
      </c>
      <c r="C283" s="40">
        <f t="shared" si="31"/>
        <v>45020</v>
      </c>
      <c r="D283" s="4">
        <f>IF(EarningsPerDay[[#This Row],[Week '#]]&gt;=52,YEAR(EarningsPerDay[[#This Row],[Date]])-1,YEAR(EarningsPerDay[[#This Row],[Date]]))</f>
        <v>2023</v>
      </c>
      <c r="E283" s="4" t="str">
        <f>"QTR"&amp;IF(EarningsPerDay[[#This Row],[Week '#]] &lt;= 13, 1, IF(EarningsPerDay[[#This Row],[Week '#]] &lt;= 26, 2, IF(EarningsPerDay[[#This Row],[Week '#]] &lt;= 39, 3, 4)))</f>
        <v>QTR2</v>
      </c>
      <c r="F2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283" s="4">
        <f>IF(WEEKNUM(EarningsPerDay[[#This Row],[Date]], 2) = 53, 1, WEEKNUM(EarningsPerDay[[#This Row],[Date]],2))</f>
        <v>15</v>
      </c>
      <c r="H283" s="40" t="str">
        <f t="shared" si="32"/>
        <v>Tuesday</v>
      </c>
      <c r="I28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83" s="40" t="str" cm="1">
        <f t="array" ref="J283">IFERROR(VLOOKUP(MODE(IF(Combined[Date]=EarningsPerDay[[#This Row],[Date]],Combined[Area '#])),KPIs!$B$4:$C$7,2,FALSE),VLOOKUP(EarningsPerDay[[#This Row],[Date]],Combined[[Date]:[Primary Area]],8,FALSE))</f>
        <v>Brunswick/Bath/Freeport</v>
      </c>
      <c r="K283" s="40" t="str">
        <f>_xlfn.XLOOKUP(EarningsPerDay[[#This Row],[Date]],Mileage[Date],Mileage[Weather])</f>
        <v>Freezing Rain / Ice</v>
      </c>
      <c r="L283" s="4">
        <f>_xlfn.XLOOKUP(EarningsPerDay[[#This Row],[Date]],Mileage[Date],Mileage[Hi Temp])</f>
        <v>43.8</v>
      </c>
      <c r="M283" s="12">
        <f>_xlfn.XLOOKUP(EarningsPerDay[[#This Row],[Date]],Mileage[Date],Mileage[Total Time])</f>
        <v>1.9</v>
      </c>
      <c r="N283" s="4">
        <f>_xlfn.XLOOKUP(EarningsPerDay[[#This Row],[Date]],Mileage[Date],Mileage[Mileage])</f>
        <v>36.4</v>
      </c>
      <c r="O283" s="4">
        <f>SUMIF(Combined[Date],EarningsPerDay[[#This Row],[Date]],Combined[Trips])</f>
        <v>3</v>
      </c>
      <c r="P283">
        <f>COUNTIF(Combined[Date],EarningsPerDay[[#This Row],[Date]])</f>
        <v>1</v>
      </c>
      <c r="Q2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3" s="11">
        <f>SUMIF(Combined[Date],EarningsPerDay[[#This Row],[Date]],Combined[Earnings])</f>
        <v>25.5</v>
      </c>
      <c r="S283" s="11">
        <f ca="1">EarningsPerDay[[#This Row],[Gross Earnings]]-(EarningsPerDay[[#This Row],[Miles]]*CpM!$D$11)</f>
        <v>17.38377942833047</v>
      </c>
      <c r="T283" s="11">
        <f t="shared" si="33"/>
        <v>13.421052631578949</v>
      </c>
      <c r="U283" s="11">
        <f t="shared" ca="1" si="34"/>
        <v>9.1493575938581433</v>
      </c>
      <c r="V283" s="11">
        <f>EarningsPerDay[[#This Row],[Gross Earnings]]/EarningsPerDay[[#This Row],[Deliveries]]</f>
        <v>8.5</v>
      </c>
      <c r="W283" s="11">
        <f>EarningsPerDay[[#This Row],[Gross Earnings]]/EarningsPerDay[[#This Row],[Miles]]</f>
        <v>0.70054945054945061</v>
      </c>
      <c r="X283" s="71">
        <f>EarningsPerDay[[#This Row],[Deliveries]]/EarningsPerDay[[#This Row],[Hours]]</f>
        <v>1.5789473684210527</v>
      </c>
      <c r="Y283" s="71">
        <f>EarningsPerDay[[#This Row],[Miles]]/EarningsPerDay[[#This Row],[Deliveries]]</f>
        <v>12.133333333333333</v>
      </c>
      <c r="Z283" s="81">
        <f>(EarningsPerDay[[#This Row],[Hours]]/EarningsPerDay[[#This Row],[Deliveries]])/24</f>
        <v>2.6388888888888889E-2</v>
      </c>
      <c r="AA2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-9.9697503562828587</v>
      </c>
      <c r="AB283" s="11">
        <f>AVERAGEIFS(EarningsPerDay[Gross $/Hour],EarningsPerDay[Week '#], EarningsPerDay[[#This Row],[Week '#]], EarningsPerDay[DOW], EarningsPerDay[[#This Row],[DOW]])</f>
        <v>21.082970919354722</v>
      </c>
      <c r="AC283" s="11">
        <f>EarningsPerDay[[#This Row],[Gross $/Hour]] - EarningsPerDay[[#This Row],[Weekly Average Earnings]]</f>
        <v>-7.661918287775773</v>
      </c>
      <c r="AD283" s="11">
        <f>(SUMIFS(EarningsPerDay[Gross Earnings], EarningsPerDay[Date],"&gt;="&amp;EarningsPerDay[[#This Row],[Date]]-89, EarningsPerDay[Date], "&lt;="&amp;EarningsPerDay[[#This Row],[Date]]))/90</f>
        <v>58.381222222222206</v>
      </c>
    </row>
    <row r="284" spans="2:30" x14ac:dyDescent="0.35">
      <c r="B284" s="40">
        <v>45029</v>
      </c>
      <c r="C284" s="40">
        <f t="shared" si="31"/>
        <v>45029</v>
      </c>
      <c r="D284" s="4">
        <f>IF(EarningsPerDay[[#This Row],[Week '#]]&gt;=52,YEAR(EarningsPerDay[[#This Row],[Date]])-1,YEAR(EarningsPerDay[[#This Row],[Date]]))</f>
        <v>2023</v>
      </c>
      <c r="E284" s="4" t="str">
        <f>"QTR"&amp;IF(EarningsPerDay[[#This Row],[Week '#]] &lt;= 13, 1, IF(EarningsPerDay[[#This Row],[Week '#]] &lt;= 26, 2, IF(EarningsPerDay[[#This Row],[Week '#]] &lt;= 39, 3, 4)))</f>
        <v>QTR2</v>
      </c>
      <c r="F2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84" s="4">
        <f>IF(WEEKNUM(EarningsPerDay[[#This Row],[Date]], 2) = 53, 1, WEEKNUM(EarningsPerDay[[#This Row],[Date]],2))</f>
        <v>16</v>
      </c>
      <c r="H284" s="40" t="str">
        <f t="shared" si="32"/>
        <v>Thursday</v>
      </c>
      <c r="I28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84" s="40" t="str" cm="1">
        <f t="array" ref="J284">IFERROR(VLOOKUP(MODE(IF(Combined[Date]=EarningsPerDay[[#This Row],[Date]],Combined[Area '#])),KPIs!$B$4:$C$7,2,FALSE),VLOOKUP(EarningsPerDay[[#This Row],[Date]],Combined[[Date]:[Primary Area]],8,FALSE))</f>
        <v>Brunswick/Bath/Freeport</v>
      </c>
      <c r="K284" s="40" t="str">
        <f>_xlfn.XLOOKUP(EarningsPerDay[[#This Row],[Date]],Mileage[Date],Mileage[Weather])</f>
        <v>Clear</v>
      </c>
      <c r="L284" s="4">
        <f>_xlfn.XLOOKUP(EarningsPerDay[[#This Row],[Date]],Mileage[Date],Mileage[Hi Temp])</f>
        <v>78.400000000000006</v>
      </c>
      <c r="M284" s="12">
        <f>_xlfn.XLOOKUP(EarningsPerDay[[#This Row],[Date]],Mileage[Date],Mileage[Total Time])</f>
        <v>4.3</v>
      </c>
      <c r="N284" s="4">
        <f>_xlfn.XLOOKUP(EarningsPerDay[[#This Row],[Date]],Mileage[Date],Mileage[Mileage])</f>
        <v>105.8</v>
      </c>
      <c r="O284" s="4">
        <f>SUMIF(Combined[Date],EarningsPerDay[[#This Row],[Date]],Combined[Trips])</f>
        <v>8</v>
      </c>
      <c r="P284">
        <f>COUNTIF(Combined[Date],EarningsPerDay[[#This Row],[Date]])</f>
        <v>4</v>
      </c>
      <c r="Q2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4" s="11">
        <f>SUMIF(Combined[Date],EarningsPerDay[[#This Row],[Date]],Combined[Earnings])</f>
        <v>104.67</v>
      </c>
      <c r="S284" s="11">
        <f ca="1">EarningsPerDay[[#This Row],[Gross Earnings]]-(EarningsPerDay[[#This Row],[Miles]]*CpM!$D$11)</f>
        <v>81.079446799927581</v>
      </c>
      <c r="T284" s="11">
        <f t="shared" si="33"/>
        <v>24.34186046511628</v>
      </c>
      <c r="U284" s="11">
        <f t="shared" ca="1" si="34"/>
        <v>18.855685302308739</v>
      </c>
      <c r="V284" s="11">
        <f>EarningsPerDay[[#This Row],[Gross Earnings]]/EarningsPerDay[[#This Row],[Deliveries]]</f>
        <v>13.08375</v>
      </c>
      <c r="W284" s="11">
        <f>EarningsPerDay[[#This Row],[Gross Earnings]]/EarningsPerDay[[#This Row],[Miles]]</f>
        <v>0.98931947069943293</v>
      </c>
      <c r="X284" s="71">
        <f>EarningsPerDay[[#This Row],[Deliveries]]/EarningsPerDay[[#This Row],[Hours]]</f>
        <v>1.8604651162790697</v>
      </c>
      <c r="Y284" s="71">
        <f>EarningsPerDay[[#This Row],[Miles]]/EarningsPerDay[[#This Row],[Deliveries]]</f>
        <v>13.225</v>
      </c>
      <c r="Z284" s="81">
        <f>(EarningsPerDay[[#This Row],[Hours]]/EarningsPerDay[[#This Row],[Deliveries]])/24</f>
        <v>2.2395833333333334E-2</v>
      </c>
      <c r="AA2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0.21512320590909439</v>
      </c>
      <c r="AB284" s="11">
        <f>AVERAGEIFS(EarningsPerDay[Gross $/Hour],EarningsPerDay[Week '#], EarningsPerDay[[#This Row],[Week '#]], EarningsPerDay[DOW], EarningsPerDay[[#This Row],[DOW]])</f>
        <v>20.870675779631931</v>
      </c>
      <c r="AC284" s="11">
        <f>EarningsPerDay[[#This Row],[Gross $/Hour]] - EarningsPerDay[[#This Row],[Weekly Average Earnings]]</f>
        <v>3.4711846854843493</v>
      </c>
      <c r="AD284" s="11">
        <f>(SUMIFS(EarningsPerDay[Gross Earnings], EarningsPerDay[Date],"&gt;="&amp;EarningsPerDay[[#This Row],[Date]]-89, EarningsPerDay[Date], "&lt;="&amp;EarningsPerDay[[#This Row],[Date]]))/90</f>
        <v>52.285999999999987</v>
      </c>
    </row>
    <row r="285" spans="2:30" x14ac:dyDescent="0.35">
      <c r="B285" s="40">
        <v>45031</v>
      </c>
      <c r="C285" s="40">
        <f t="shared" si="31"/>
        <v>45031</v>
      </c>
      <c r="D285" s="4">
        <f>IF(EarningsPerDay[[#This Row],[Week '#]]&gt;=52,YEAR(EarningsPerDay[[#This Row],[Date]])-1,YEAR(EarningsPerDay[[#This Row],[Date]]))</f>
        <v>2023</v>
      </c>
      <c r="E285" s="4" t="str">
        <f>"QTR"&amp;IF(EarningsPerDay[[#This Row],[Week '#]] &lt;= 13, 1, IF(EarningsPerDay[[#This Row],[Week '#]] &lt;= 26, 2, IF(EarningsPerDay[[#This Row],[Week '#]] &lt;= 39, 3, 4)))</f>
        <v>QTR2</v>
      </c>
      <c r="F2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285" s="4">
        <f>IF(WEEKNUM(EarningsPerDay[[#This Row],[Date]], 2) = 53, 1, WEEKNUM(EarningsPerDay[[#This Row],[Date]],2))</f>
        <v>16</v>
      </c>
      <c r="H285" s="40" t="str">
        <f t="shared" si="32"/>
        <v>Saturday</v>
      </c>
      <c r="I285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285" s="40" t="str" cm="1">
        <f t="array" ref="J285">IFERROR(VLOOKUP(MODE(IF(Combined[Date]=EarningsPerDay[[#This Row],[Date]],Combined[Area '#])),KPIs!$B$4:$C$7,2,FALSE),VLOOKUP(EarningsPerDay[[#This Row],[Date]],Combined[[Date]:[Primary Area]],8,FALSE))</f>
        <v>Brunswick/Bath/Freeport</v>
      </c>
      <c r="K285" s="40" t="str">
        <f>_xlfn.XLOOKUP(EarningsPerDay[[#This Row],[Date]],Mileage[Date],Mileage[Weather])</f>
        <v>Rain</v>
      </c>
      <c r="L285" s="4">
        <f>_xlfn.XLOOKUP(EarningsPerDay[[#This Row],[Date]],Mileage[Date],Mileage[Hi Temp])</f>
        <v>66</v>
      </c>
      <c r="M285" s="12">
        <f>_xlfn.XLOOKUP(EarningsPerDay[[#This Row],[Date]],Mileage[Date],Mileage[Total Time])</f>
        <v>5.62</v>
      </c>
      <c r="N285" s="4">
        <f>_xlfn.XLOOKUP(EarningsPerDay[[#This Row],[Date]],Mileage[Date],Mileage[Mileage])</f>
        <v>101</v>
      </c>
      <c r="O285" s="4">
        <f>SUMIF(Combined[Date],EarningsPerDay[[#This Row],[Date]],Combined[Trips])</f>
        <v>13</v>
      </c>
      <c r="P285">
        <f>COUNTIF(Combined[Date],EarningsPerDay[[#This Row],[Date]])</f>
        <v>4</v>
      </c>
      <c r="Q2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5" s="11">
        <f>SUMIF(Combined[Date],EarningsPerDay[[#This Row],[Date]],Combined[Earnings])</f>
        <v>131.49</v>
      </c>
      <c r="S285" s="11">
        <f ca="1">EarningsPerDay[[#This Row],[Gross Earnings]]-(EarningsPerDay[[#This Row],[Miles]]*CpM!$D$11)</f>
        <v>108.96971764454335</v>
      </c>
      <c r="T285" s="11">
        <f t="shared" si="33"/>
        <v>23.396797153024913</v>
      </c>
      <c r="U285" s="11">
        <f t="shared" ca="1" si="34"/>
        <v>19.389629474118035</v>
      </c>
      <c r="V285" s="11">
        <f>EarningsPerDay[[#This Row],[Gross Earnings]]/EarningsPerDay[[#This Row],[Deliveries]]</f>
        <v>10.114615384615385</v>
      </c>
      <c r="W285" s="11">
        <f>EarningsPerDay[[#This Row],[Gross Earnings]]/EarningsPerDay[[#This Row],[Miles]]</f>
        <v>1.3018811881188119</v>
      </c>
      <c r="X285" s="71">
        <f>EarningsPerDay[[#This Row],[Deliveries]]/EarningsPerDay[[#This Row],[Hours]]</f>
        <v>2.3131672597864767</v>
      </c>
      <c r="Y285" s="71">
        <f>EarningsPerDay[[#This Row],[Miles]]/EarningsPerDay[[#This Row],[Deliveries]]</f>
        <v>7.7692307692307692</v>
      </c>
      <c r="Z285" s="81">
        <f>(EarningsPerDay[[#This Row],[Hours]]/EarningsPerDay[[#This Row],[Deliveries]])/24</f>
        <v>1.8012820512820514E-2</v>
      </c>
      <c r="AA2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-4.1090104413442319</v>
      </c>
      <c r="AB285" s="11">
        <f>AVERAGEIFS(EarningsPerDay[Gross $/Hour],EarningsPerDay[Week '#], EarningsPerDay[[#This Row],[Week '#]], EarningsPerDay[DOW], EarningsPerDay[[#This Row],[DOW]])</f>
        <v>24.77708469395462</v>
      </c>
      <c r="AC285" s="11">
        <f>EarningsPerDay[[#This Row],[Gross $/Hour]] - EarningsPerDay[[#This Row],[Weekly Average Earnings]]</f>
        <v>-1.3802875409297073</v>
      </c>
      <c r="AD285" s="11">
        <f>(SUMIFS(EarningsPerDay[Gross Earnings], EarningsPerDay[Date],"&gt;="&amp;EarningsPerDay[[#This Row],[Date]]-89, EarningsPerDay[Date], "&lt;="&amp;EarningsPerDay[[#This Row],[Date]]))/90</f>
        <v>53.746999999999986</v>
      </c>
    </row>
    <row r="286" spans="2:30" x14ac:dyDescent="0.35">
      <c r="B286" s="40">
        <v>45035</v>
      </c>
      <c r="C286" s="40">
        <f t="shared" si="31"/>
        <v>45035</v>
      </c>
      <c r="D286" s="4">
        <f>IF(EarningsPerDay[[#This Row],[Week '#]]&gt;=52,YEAR(EarningsPerDay[[#This Row],[Date]])-1,YEAR(EarningsPerDay[[#This Row],[Date]]))</f>
        <v>2023</v>
      </c>
      <c r="E286" s="4" t="str">
        <f>"QTR"&amp;IF(EarningsPerDay[[#This Row],[Week '#]] &lt;= 13, 1, IF(EarningsPerDay[[#This Row],[Week '#]] &lt;= 26, 2, IF(EarningsPerDay[[#This Row],[Week '#]] &lt;= 39, 3, 4)))</f>
        <v>QTR2</v>
      </c>
      <c r="F2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86" s="4">
        <f>IF(WEEKNUM(EarningsPerDay[[#This Row],[Date]], 2) = 53, 1, WEEKNUM(EarningsPerDay[[#This Row],[Date]],2))</f>
        <v>17</v>
      </c>
      <c r="H286" s="40" t="str">
        <f t="shared" si="32"/>
        <v>Wednesday</v>
      </c>
      <c r="I28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86" s="40" t="str" cm="1">
        <f t="array" ref="J286">IFERROR(VLOOKUP(MODE(IF(Combined[Date]=EarningsPerDay[[#This Row],[Date]],Combined[Area '#])),KPIs!$B$4:$C$7,2,FALSE),VLOOKUP(EarningsPerDay[[#This Row],[Date]],Combined[[Date]:[Primary Area]],8,FALSE))</f>
        <v>Brunswick/Bath/Freeport</v>
      </c>
      <c r="K286" s="40" t="str">
        <f>_xlfn.XLOOKUP(EarningsPerDay[[#This Row],[Date]],Mileage[Date],Mileage[Weather])</f>
        <v>Partially Cloudy</v>
      </c>
      <c r="L286" s="4">
        <f>_xlfn.XLOOKUP(EarningsPerDay[[#This Row],[Date]],Mileage[Date],Mileage[Hi Temp])</f>
        <v>54.3</v>
      </c>
      <c r="M286" s="12">
        <f>_xlfn.XLOOKUP(EarningsPerDay[[#This Row],[Date]],Mileage[Date],Mileage[Total Time])</f>
        <v>4.8499999999999996</v>
      </c>
      <c r="N286" s="4">
        <f>_xlfn.XLOOKUP(EarningsPerDay[[#This Row],[Date]],Mileage[Date],Mileage[Mileage])</f>
        <v>110.8</v>
      </c>
      <c r="O286" s="4">
        <f>SUMIF(Combined[Date],EarningsPerDay[[#This Row],[Date]],Combined[Trips])</f>
        <v>10</v>
      </c>
      <c r="P286">
        <f>COUNTIF(Combined[Date],EarningsPerDay[[#This Row],[Date]])</f>
        <v>2</v>
      </c>
      <c r="Q2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6" s="11">
        <f>SUMIF(Combined[Date],EarningsPerDay[[#This Row],[Date]],Combined[Earnings])</f>
        <v>91.19</v>
      </c>
      <c r="S286" s="11">
        <f ca="1">EarningsPerDay[[#This Row],[Gross Earnings]]-(EarningsPerDay[[#This Row],[Miles]]*CpM!$D$11)</f>
        <v>66.48458133678615</v>
      </c>
      <c r="T286" s="11">
        <f t="shared" si="33"/>
        <v>18.802061855670104</v>
      </c>
      <c r="U286" s="11">
        <f t="shared" ca="1" si="34"/>
        <v>13.70816110036828</v>
      </c>
      <c r="V286" s="11">
        <f>EarningsPerDay[[#This Row],[Gross Earnings]]/EarningsPerDay[[#This Row],[Deliveries]]</f>
        <v>9.1189999999999998</v>
      </c>
      <c r="W286" s="11">
        <f>EarningsPerDay[[#This Row],[Gross Earnings]]/EarningsPerDay[[#This Row],[Miles]]</f>
        <v>0.82301444043321303</v>
      </c>
      <c r="X286" s="71">
        <f>EarningsPerDay[[#This Row],[Deliveries]]/EarningsPerDay[[#This Row],[Hours]]</f>
        <v>2.061855670103093</v>
      </c>
      <c r="Y286" s="71">
        <f>EarningsPerDay[[#This Row],[Miles]]/EarningsPerDay[[#This Row],[Deliveries]]</f>
        <v>11.08</v>
      </c>
      <c r="Z286" s="81">
        <f>(EarningsPerDay[[#This Row],[Hours]]/EarningsPerDay[[#This Row],[Deliveries]])/24</f>
        <v>2.0208333333333332E-2</v>
      </c>
      <c r="AA2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-12.163715183827865</v>
      </c>
      <c r="AB286" s="11">
        <f>AVERAGEIFS(EarningsPerDay[Gross $/Hour],EarningsPerDay[Week '#], EarningsPerDay[[#This Row],[Week '#]], EarningsPerDay[DOW], EarningsPerDay[[#This Row],[DOW]])</f>
        <v>29.968200278941691</v>
      </c>
      <c r="AC286" s="11">
        <f>EarningsPerDay[[#This Row],[Gross $/Hour]] - EarningsPerDay[[#This Row],[Weekly Average Earnings]]</f>
        <v>-11.166138423271587</v>
      </c>
      <c r="AD286" s="11">
        <f>(SUMIFS(EarningsPerDay[Gross Earnings], EarningsPerDay[Date],"&gt;="&amp;EarningsPerDay[[#This Row],[Date]]-89, EarningsPerDay[Date], "&lt;="&amp;EarningsPerDay[[#This Row],[Date]]))/90</f>
        <v>52.287555555555535</v>
      </c>
    </row>
    <row r="287" spans="2:30" x14ac:dyDescent="0.35">
      <c r="B287" s="40">
        <v>45036</v>
      </c>
      <c r="C287" s="40">
        <f t="shared" si="31"/>
        <v>45036</v>
      </c>
      <c r="D287" s="4">
        <f>IF(EarningsPerDay[[#This Row],[Week '#]]&gt;=52,YEAR(EarningsPerDay[[#This Row],[Date]])-1,YEAR(EarningsPerDay[[#This Row],[Date]]))</f>
        <v>2023</v>
      </c>
      <c r="E287" s="4" t="str">
        <f>"QTR"&amp;IF(EarningsPerDay[[#This Row],[Week '#]] &lt;= 13, 1, IF(EarningsPerDay[[#This Row],[Week '#]] &lt;= 26, 2, IF(EarningsPerDay[[#This Row],[Week '#]] &lt;= 39, 3, 4)))</f>
        <v>QTR2</v>
      </c>
      <c r="F2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87" s="4">
        <f>IF(WEEKNUM(EarningsPerDay[[#This Row],[Date]], 2) = 53, 1, WEEKNUM(EarningsPerDay[[#This Row],[Date]],2))</f>
        <v>17</v>
      </c>
      <c r="H287" s="40" t="str">
        <f t="shared" si="32"/>
        <v>Thursday</v>
      </c>
      <c r="I28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87" s="40" t="str" cm="1">
        <f t="array" ref="J287">IFERROR(VLOOKUP(MODE(IF(Combined[Date]=EarningsPerDay[[#This Row],[Date]],Combined[Area '#])),KPIs!$B$4:$C$7,2,FALSE),VLOOKUP(EarningsPerDay[[#This Row],[Date]],Combined[[Date]:[Primary Area]],8,FALSE))</f>
        <v>Brunswick/Bath/Freeport</v>
      </c>
      <c r="K287" s="40" t="str">
        <f>_xlfn.XLOOKUP(EarningsPerDay[[#This Row],[Date]],Mileage[Date],Mileage[Weather])</f>
        <v>Partially Cloudy</v>
      </c>
      <c r="L287" s="4">
        <f>_xlfn.XLOOKUP(EarningsPerDay[[#This Row],[Date]],Mileage[Date],Mileage[Hi Temp])</f>
        <v>53.7</v>
      </c>
      <c r="M287" s="12">
        <f>_xlfn.XLOOKUP(EarningsPerDay[[#This Row],[Date]],Mileage[Date],Mileage[Total Time])</f>
        <v>5.6</v>
      </c>
      <c r="N287" s="4">
        <f>_xlfn.XLOOKUP(EarningsPerDay[[#This Row],[Date]],Mileage[Date],Mileage[Mileage])</f>
        <v>128</v>
      </c>
      <c r="O287" s="4">
        <f>SUMIF(Combined[Date],EarningsPerDay[[#This Row],[Date]],Combined[Trips])</f>
        <v>14</v>
      </c>
      <c r="P287">
        <f>COUNTIF(Combined[Date],EarningsPerDay[[#This Row],[Date]])</f>
        <v>3</v>
      </c>
      <c r="Q2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7" s="11">
        <f>SUMIF(Combined[Date],EarningsPerDay[[#This Row],[Date]],Combined[Earnings])</f>
        <v>134.42000000000002</v>
      </c>
      <c r="S287" s="11">
        <f ca="1">EarningsPerDay[[#This Row],[Gross Earnings]]-(EarningsPerDay[[#This Row],[Miles]]*CpM!$D$11)</f>
        <v>105.87944414357969</v>
      </c>
      <c r="T287" s="11">
        <f t="shared" si="33"/>
        <v>24.003571428571433</v>
      </c>
      <c r="U287" s="11">
        <f t="shared" ca="1" si="34"/>
        <v>18.907043597067801</v>
      </c>
      <c r="V287" s="11">
        <f>EarningsPerDay[[#This Row],[Gross Earnings]]/EarningsPerDay[[#This Row],[Deliveries]]</f>
        <v>9.6014285714285723</v>
      </c>
      <c r="W287" s="11">
        <f>EarningsPerDay[[#This Row],[Gross Earnings]]/EarningsPerDay[[#This Row],[Miles]]</f>
        <v>1.0501562500000001</v>
      </c>
      <c r="X287" s="71">
        <f>EarningsPerDay[[#This Row],[Deliveries]]/EarningsPerDay[[#This Row],[Hours]]</f>
        <v>2.5</v>
      </c>
      <c r="Y287" s="71">
        <f>EarningsPerDay[[#This Row],[Miles]]/EarningsPerDay[[#This Row],[Deliveries]]</f>
        <v>9.1428571428571423</v>
      </c>
      <c r="Z287" s="81">
        <f>(EarningsPerDay[[#This Row],[Hours]]/EarningsPerDay[[#This Row],[Deliveries]])/24</f>
        <v>1.6666666666666666E-2</v>
      </c>
      <c r="AA2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-0.15389771719419088</v>
      </c>
      <c r="AB287" s="11">
        <f>AVERAGEIFS(EarningsPerDay[Gross $/Hour],EarningsPerDay[Week '#], EarningsPerDay[[#This Row],[Week '#]], EarningsPerDay[DOW], EarningsPerDay[[#This Row],[DOW]])</f>
        <v>20.958704774337935</v>
      </c>
      <c r="AC287" s="11">
        <f>EarningsPerDay[[#This Row],[Gross $/Hour]] - EarningsPerDay[[#This Row],[Weekly Average Earnings]]</f>
        <v>3.0448666542334983</v>
      </c>
      <c r="AD287" s="11">
        <f>(SUMIFS(EarningsPerDay[Gross Earnings], EarningsPerDay[Date],"&gt;="&amp;EarningsPerDay[[#This Row],[Date]]-89, EarningsPerDay[Date], "&lt;="&amp;EarningsPerDay[[#This Row],[Date]]))/90</f>
        <v>53.781111111111095</v>
      </c>
    </row>
    <row r="288" spans="2:30" x14ac:dyDescent="0.35">
      <c r="B288" s="40">
        <v>45037</v>
      </c>
      <c r="C288" s="40">
        <f t="shared" si="31"/>
        <v>45037</v>
      </c>
      <c r="D288" s="4">
        <f>IF(EarningsPerDay[[#This Row],[Week '#]]&gt;=52,YEAR(EarningsPerDay[[#This Row],[Date]])-1,YEAR(EarningsPerDay[[#This Row],[Date]]))</f>
        <v>2023</v>
      </c>
      <c r="E288" s="4" t="str">
        <f>"QTR"&amp;IF(EarningsPerDay[[#This Row],[Week '#]] &lt;= 13, 1, IF(EarningsPerDay[[#This Row],[Week '#]] &lt;= 26, 2, IF(EarningsPerDay[[#This Row],[Week '#]] &lt;= 39, 3, 4)))</f>
        <v>QTR2</v>
      </c>
      <c r="F2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88" s="4">
        <f>IF(WEEKNUM(EarningsPerDay[[#This Row],[Date]], 2) = 53, 1, WEEKNUM(EarningsPerDay[[#This Row],[Date]],2))</f>
        <v>17</v>
      </c>
      <c r="H288" s="40" t="str">
        <f t="shared" si="32"/>
        <v>Friday</v>
      </c>
      <c r="I28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288" s="40" t="str" cm="1">
        <f t="array" ref="J288">IFERROR(VLOOKUP(MODE(IF(Combined[Date]=EarningsPerDay[[#This Row],[Date]],Combined[Area '#])),KPIs!$B$4:$C$7,2,FALSE),VLOOKUP(EarningsPerDay[[#This Row],[Date]],Combined[[Date]:[Primary Area]],8,FALSE))</f>
        <v>Brunswick/Bath/Freeport</v>
      </c>
      <c r="K288" s="40" t="str">
        <f>_xlfn.XLOOKUP(EarningsPerDay[[#This Row],[Date]],Mileage[Date],Mileage[Weather])</f>
        <v>Partially Cloudy</v>
      </c>
      <c r="L288" s="4">
        <f>_xlfn.XLOOKUP(EarningsPerDay[[#This Row],[Date]],Mileage[Date],Mileage[Hi Temp])</f>
        <v>53.2</v>
      </c>
      <c r="M288" s="12">
        <f>_xlfn.XLOOKUP(EarningsPerDay[[#This Row],[Date]],Mileage[Date],Mileage[Total Time])</f>
        <v>2.8</v>
      </c>
      <c r="N288" s="4">
        <f>_xlfn.XLOOKUP(EarningsPerDay[[#This Row],[Date]],Mileage[Date],Mileage[Mileage])</f>
        <v>65</v>
      </c>
      <c r="O288" s="4">
        <f>SUMIF(Combined[Date],EarningsPerDay[[#This Row],[Date]],Combined[Trips])</f>
        <v>7</v>
      </c>
      <c r="P288">
        <f>COUNTIF(Combined[Date],EarningsPerDay[[#This Row],[Date]])</f>
        <v>2</v>
      </c>
      <c r="Q2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8" s="11">
        <f>SUMIF(Combined[Date],EarningsPerDay[[#This Row],[Date]],Combined[Earnings])</f>
        <v>76.42</v>
      </c>
      <c r="S288" s="11">
        <f ca="1">EarningsPerDay[[#This Row],[Gross Earnings]]-(EarningsPerDay[[#This Row],[Miles]]*CpM!$D$11)</f>
        <v>61.926748979161552</v>
      </c>
      <c r="T288" s="11">
        <f t="shared" si="33"/>
        <v>27.292857142857144</v>
      </c>
      <c r="U288" s="11">
        <f t="shared" ca="1" si="34"/>
        <v>22.116696063986272</v>
      </c>
      <c r="V288" s="11">
        <f>EarningsPerDay[[#This Row],[Gross Earnings]]/EarningsPerDay[[#This Row],[Deliveries]]</f>
        <v>10.917142857142858</v>
      </c>
      <c r="W288" s="11">
        <f>EarningsPerDay[[#This Row],[Gross Earnings]]/EarningsPerDay[[#This Row],[Miles]]</f>
        <v>1.1756923076923078</v>
      </c>
      <c r="X288" s="71">
        <f>EarningsPerDay[[#This Row],[Deliveries]]/EarningsPerDay[[#This Row],[Hours]]</f>
        <v>2.5</v>
      </c>
      <c r="Y288" s="71">
        <f>EarningsPerDay[[#This Row],[Miles]]/EarningsPerDay[[#This Row],[Deliveries]]</f>
        <v>9.2857142857142865</v>
      </c>
      <c r="Z288" s="81">
        <f>(EarningsPerDay[[#This Row],[Hours]]/EarningsPerDay[[#This Row],[Deliveries]])/24</f>
        <v>1.6666666666666666E-2</v>
      </c>
      <c r="AA2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-0.32396825396825335</v>
      </c>
      <c r="AB288" s="11">
        <f>AVERAGEIFS(EarningsPerDay[Gross $/Hour],EarningsPerDay[Week '#], EarningsPerDay[[#This Row],[Week '#]], EarningsPerDay[DOW], EarningsPerDay[[#This Row],[DOW]])</f>
        <v>27.058394201331158</v>
      </c>
      <c r="AC288" s="11">
        <f>EarningsPerDay[[#This Row],[Gross $/Hour]] - EarningsPerDay[[#This Row],[Weekly Average Earnings]]</f>
        <v>0.23446294152598668</v>
      </c>
      <c r="AD288" s="11">
        <f>(SUMIFS(EarningsPerDay[Gross Earnings], EarningsPerDay[Date],"&gt;="&amp;EarningsPerDay[[#This Row],[Date]]-89, EarningsPerDay[Date], "&lt;="&amp;EarningsPerDay[[#This Row],[Date]]))/90</f>
        <v>52.98044444444443</v>
      </c>
    </row>
    <row r="289" spans="2:30" x14ac:dyDescent="0.35">
      <c r="B289" s="40">
        <v>45038</v>
      </c>
      <c r="C289" s="40">
        <f t="shared" si="31"/>
        <v>45038</v>
      </c>
      <c r="D289" s="4">
        <f>IF(EarningsPerDay[[#This Row],[Week '#]]&gt;=52,YEAR(EarningsPerDay[[#This Row],[Date]])-1,YEAR(EarningsPerDay[[#This Row],[Date]]))</f>
        <v>2023</v>
      </c>
      <c r="E289" s="4" t="str">
        <f>"QTR"&amp;IF(EarningsPerDay[[#This Row],[Week '#]] &lt;= 13, 1, IF(EarningsPerDay[[#This Row],[Week '#]] &lt;= 26, 2, IF(EarningsPerDay[[#This Row],[Week '#]] &lt;= 39, 3, 4)))</f>
        <v>QTR2</v>
      </c>
      <c r="F2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89" s="4">
        <f>IF(WEEKNUM(EarningsPerDay[[#This Row],[Date]], 2) = 53, 1, WEEKNUM(EarningsPerDay[[#This Row],[Date]],2))</f>
        <v>17</v>
      </c>
      <c r="H289" s="40" t="str">
        <f t="shared" si="32"/>
        <v>Saturday</v>
      </c>
      <c r="I289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289" s="40" t="str" cm="1">
        <f t="array" ref="J289">IFERROR(VLOOKUP(MODE(IF(Combined[Date]=EarningsPerDay[[#This Row],[Date]],Combined[Area '#])),KPIs!$B$4:$C$7,2,FALSE),VLOOKUP(EarningsPerDay[[#This Row],[Date]],Combined[[Date]:[Primary Area]],8,FALSE))</f>
        <v>Brunswick/Bath/Freeport</v>
      </c>
      <c r="K289" s="40" t="str">
        <f>_xlfn.XLOOKUP(EarningsPerDay[[#This Row],[Date]],Mileage[Date],Mileage[Weather])</f>
        <v>Rain</v>
      </c>
      <c r="L289" s="4">
        <f>_xlfn.XLOOKUP(EarningsPerDay[[#This Row],[Date]],Mileage[Date],Mileage[Hi Temp])</f>
        <v>52.3</v>
      </c>
      <c r="M289" s="12">
        <f>_xlfn.XLOOKUP(EarningsPerDay[[#This Row],[Date]],Mileage[Date],Mileage[Total Time])</f>
        <v>6.2</v>
      </c>
      <c r="N289" s="4">
        <f>_xlfn.XLOOKUP(EarningsPerDay[[#This Row],[Date]],Mileage[Date],Mileage[Mileage])</f>
        <v>138</v>
      </c>
      <c r="O289" s="4">
        <f>SUMIF(Combined[Date],EarningsPerDay[[#This Row],[Date]],Combined[Trips])</f>
        <v>15</v>
      </c>
      <c r="P289">
        <f>COUNTIF(Combined[Date],EarningsPerDay[[#This Row],[Date]])</f>
        <v>4</v>
      </c>
      <c r="Q2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89" s="11">
        <f>SUMIF(Combined[Date],EarningsPerDay[[#This Row],[Date]],Combined[Earnings])</f>
        <v>161</v>
      </c>
      <c r="S289" s="11">
        <f ca="1">EarningsPerDay[[#This Row],[Gross Earnings]]-(EarningsPerDay[[#This Row],[Miles]]*CpM!$D$11)</f>
        <v>130.22971321729682</v>
      </c>
      <c r="T289" s="11">
        <f t="shared" si="33"/>
        <v>25.967741935483872</v>
      </c>
      <c r="U289" s="11">
        <f t="shared" ca="1" si="34"/>
        <v>21.004792454402711</v>
      </c>
      <c r="V289" s="11">
        <f>EarningsPerDay[[#This Row],[Gross Earnings]]/EarningsPerDay[[#This Row],[Deliveries]]</f>
        <v>10.733333333333333</v>
      </c>
      <c r="W289" s="11">
        <f>EarningsPerDay[[#This Row],[Gross Earnings]]/EarningsPerDay[[#This Row],[Miles]]</f>
        <v>1.1666666666666667</v>
      </c>
      <c r="X289" s="71">
        <f>EarningsPerDay[[#This Row],[Deliveries]]/EarningsPerDay[[#This Row],[Hours]]</f>
        <v>2.4193548387096775</v>
      </c>
      <c r="Y289" s="71">
        <f>EarningsPerDay[[#This Row],[Miles]]/EarningsPerDay[[#This Row],[Deliveries]]</f>
        <v>9.1999999999999993</v>
      </c>
      <c r="Z289" s="81">
        <f>(EarningsPerDay[[#This Row],[Hours]]/EarningsPerDay[[#This Row],[Deliveries]])/24</f>
        <v>1.7222222222222222E-2</v>
      </c>
      <c r="AA2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-0.95106416726466847</v>
      </c>
      <c r="AB289" s="11">
        <f>AVERAGEIFS(EarningsPerDay[Gross $/Hour],EarningsPerDay[Week '#], EarningsPerDay[[#This Row],[Week '#]], EarningsPerDay[DOW], EarningsPerDay[[#This Row],[DOW]])</f>
        <v>23.513308240547271</v>
      </c>
      <c r="AC289" s="11">
        <f>EarningsPerDay[[#This Row],[Gross $/Hour]] - EarningsPerDay[[#This Row],[Weekly Average Earnings]]</f>
        <v>2.4544336949366006</v>
      </c>
      <c r="AD289" s="11">
        <f>(SUMIFS(EarningsPerDay[Gross Earnings], EarningsPerDay[Date],"&gt;="&amp;EarningsPerDay[[#This Row],[Date]]-89, EarningsPerDay[Date], "&lt;="&amp;EarningsPerDay[[#This Row],[Date]]))/90</f>
        <v>54.769333333333321</v>
      </c>
    </row>
    <row r="290" spans="2:30" x14ac:dyDescent="0.35">
      <c r="B290" s="40">
        <v>45039</v>
      </c>
      <c r="C290" s="40">
        <f t="shared" si="31"/>
        <v>45039</v>
      </c>
      <c r="D290" s="4">
        <f>IF(EarningsPerDay[[#This Row],[Week '#]]&gt;=52,YEAR(EarningsPerDay[[#This Row],[Date]])-1,YEAR(EarningsPerDay[[#This Row],[Date]]))</f>
        <v>2023</v>
      </c>
      <c r="E290" s="4" t="str">
        <f>"QTR"&amp;IF(EarningsPerDay[[#This Row],[Week '#]] &lt;= 13, 1, IF(EarningsPerDay[[#This Row],[Week '#]] &lt;= 26, 2, IF(EarningsPerDay[[#This Row],[Week '#]] &lt;= 39, 3, 4)))</f>
        <v>QTR2</v>
      </c>
      <c r="F2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290" s="4">
        <f>IF(WEEKNUM(EarningsPerDay[[#This Row],[Date]], 2) = 53, 1, WEEKNUM(EarningsPerDay[[#This Row],[Date]],2))</f>
        <v>17</v>
      </c>
      <c r="H290" s="40" t="str">
        <f t="shared" si="32"/>
        <v>Sunday</v>
      </c>
      <c r="I29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0" s="40" t="str" cm="1">
        <f t="array" ref="J290">IFERROR(VLOOKUP(MODE(IF(Combined[Date]=EarningsPerDay[[#This Row],[Date]],Combined[Area '#])),KPIs!$B$4:$C$7,2,FALSE),VLOOKUP(EarningsPerDay[[#This Row],[Date]],Combined[[Date]:[Primary Area]],8,FALSE))</f>
        <v>Augusta</v>
      </c>
      <c r="K290" s="40" t="str">
        <f>_xlfn.XLOOKUP(EarningsPerDay[[#This Row],[Date]],Mileage[Date],Mileage[Weather])</f>
        <v>Rain</v>
      </c>
      <c r="L290" s="4">
        <f>_xlfn.XLOOKUP(EarningsPerDay[[#This Row],[Date]],Mileage[Date],Mileage[Hi Temp])</f>
        <v>42.4</v>
      </c>
      <c r="M290" s="12">
        <f>_xlfn.XLOOKUP(EarningsPerDay[[#This Row],[Date]],Mileage[Date],Mileage[Total Time])</f>
        <v>4.3</v>
      </c>
      <c r="N290" s="4">
        <f>_xlfn.XLOOKUP(EarningsPerDay[[#This Row],[Date]],Mileage[Date],Mileage[Mileage])</f>
        <v>82</v>
      </c>
      <c r="O290" s="4">
        <f>SUMIF(Combined[Date],EarningsPerDay[[#This Row],[Date]],Combined[Trips])</f>
        <v>9</v>
      </c>
      <c r="P290">
        <f>COUNTIF(Combined[Date],EarningsPerDay[[#This Row],[Date]])</f>
        <v>3</v>
      </c>
      <c r="Q29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0" s="11">
        <f>SUMIF(Combined[Date],EarningsPerDay[[#This Row],[Date]],Combined[Earnings])</f>
        <v>99.08</v>
      </c>
      <c r="S290" s="11">
        <f ca="1">EarningsPerDay[[#This Row],[Gross Earnings]]-(EarningsPerDay[[#This Row],[Miles]]*CpM!$D$11)</f>
        <v>80.796206404480728</v>
      </c>
      <c r="T290" s="11">
        <f t="shared" si="33"/>
        <v>23.041860465116279</v>
      </c>
      <c r="U290" s="11">
        <f t="shared" ca="1" si="34"/>
        <v>18.789815442902494</v>
      </c>
      <c r="V290" s="11">
        <f>EarningsPerDay[[#This Row],[Gross Earnings]]/EarningsPerDay[[#This Row],[Deliveries]]</f>
        <v>11.008888888888889</v>
      </c>
      <c r="W290" s="11">
        <f>EarningsPerDay[[#This Row],[Gross Earnings]]/EarningsPerDay[[#This Row],[Miles]]</f>
        <v>1.2082926829268292</v>
      </c>
      <c r="X290" s="71">
        <f>EarningsPerDay[[#This Row],[Deliveries]]/EarningsPerDay[[#This Row],[Hours]]</f>
        <v>2.0930232558139537</v>
      </c>
      <c r="Y290" s="71">
        <f>EarningsPerDay[[#This Row],[Miles]]/EarningsPerDay[[#This Row],[Deliveries]]</f>
        <v>9.1111111111111107</v>
      </c>
      <c r="Z290" s="81">
        <f>(EarningsPerDay[[#This Row],[Hours]]/EarningsPerDay[[#This Row],[Deliveries]])/24</f>
        <v>1.9907407407407405E-2</v>
      </c>
      <c r="AA29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90" s="11">
        <f>AVERAGEIFS(EarningsPerDay[Gross $/Hour],EarningsPerDay[Week '#], EarningsPerDay[[#This Row],[Week '#]], EarningsPerDay[DOW], EarningsPerDay[[#This Row],[DOW]])</f>
        <v>18.958528045340856</v>
      </c>
      <c r="AC290" s="11">
        <f>EarningsPerDay[[#This Row],[Gross $/Hour]] - EarningsPerDay[[#This Row],[Weekly Average Earnings]]</f>
        <v>4.0833324197754237</v>
      </c>
      <c r="AD290" s="11">
        <f>(SUMIFS(EarningsPerDay[Gross Earnings], EarningsPerDay[Date],"&gt;="&amp;EarningsPerDay[[#This Row],[Date]]-89, EarningsPerDay[Date], "&lt;="&amp;EarningsPerDay[[#This Row],[Date]]))/90</f>
        <v>55.87022222222221</v>
      </c>
    </row>
    <row r="291" spans="2:30" x14ac:dyDescent="0.35">
      <c r="B291" s="40">
        <v>45042</v>
      </c>
      <c r="C291" s="40">
        <f t="shared" si="31"/>
        <v>45042</v>
      </c>
      <c r="D291" s="4">
        <f>IF(EarningsPerDay[[#This Row],[Week '#]]&gt;=52,YEAR(EarningsPerDay[[#This Row],[Date]])-1,YEAR(EarningsPerDay[[#This Row],[Date]]))</f>
        <v>2023</v>
      </c>
      <c r="E291" s="4" t="str">
        <f>"QTR"&amp;IF(EarningsPerDay[[#This Row],[Week '#]] &lt;= 13, 1, IF(EarningsPerDay[[#This Row],[Week '#]] &lt;= 26, 2, IF(EarningsPerDay[[#This Row],[Week '#]] &lt;= 39, 3, 4)))</f>
        <v>QTR2</v>
      </c>
      <c r="F2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91" s="4">
        <f>IF(WEEKNUM(EarningsPerDay[[#This Row],[Date]], 2) = 53, 1, WEEKNUM(EarningsPerDay[[#This Row],[Date]],2))</f>
        <v>18</v>
      </c>
      <c r="H291" s="40" t="str">
        <f t="shared" si="32"/>
        <v>Wednesday</v>
      </c>
      <c r="I29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91" s="40" t="str" cm="1">
        <f t="array" ref="J291">IFERROR(VLOOKUP(MODE(IF(Combined[Date]=EarningsPerDay[[#This Row],[Date]],Combined[Area '#])),KPIs!$B$4:$C$7,2,FALSE),VLOOKUP(EarningsPerDay[[#This Row],[Date]],Combined[[Date]:[Primary Area]],8,FALSE))</f>
        <v>Portland</v>
      </c>
      <c r="K291" s="40" t="str">
        <f>_xlfn.XLOOKUP(EarningsPerDay[[#This Row],[Date]],Mileage[Date],Mileage[Weather])</f>
        <v>Rain</v>
      </c>
      <c r="L291" s="4">
        <f>_xlfn.XLOOKUP(EarningsPerDay[[#This Row],[Date]],Mileage[Date],Mileage[Hi Temp])</f>
        <v>55.1</v>
      </c>
      <c r="M291" s="12">
        <f>_xlfn.XLOOKUP(EarningsPerDay[[#This Row],[Date]],Mileage[Date],Mileage[Total Time])</f>
        <v>4.97</v>
      </c>
      <c r="N291" s="4">
        <f>_xlfn.XLOOKUP(EarningsPerDay[[#This Row],[Date]],Mileage[Date],Mileage[Mileage])</f>
        <v>100</v>
      </c>
      <c r="O291" s="4">
        <f>SUMIF(Combined[Date],EarningsPerDay[[#This Row],[Date]],Combined[Trips])</f>
        <v>12</v>
      </c>
      <c r="P291">
        <f>COUNTIF(Combined[Date],EarningsPerDay[[#This Row],[Date]])</f>
        <v>4</v>
      </c>
      <c r="Q2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1" s="11">
        <f>SUMIF(Combined[Date],EarningsPerDay[[#This Row],[Date]],Combined[Earnings])</f>
        <v>121.06</v>
      </c>
      <c r="S291" s="11">
        <f ca="1">EarningsPerDay[[#This Row],[Gross Earnings]]-(EarningsPerDay[[#This Row],[Miles]]*CpM!$D$11)</f>
        <v>98.762690737171624</v>
      </c>
      <c r="T291" s="11">
        <f t="shared" si="33"/>
        <v>24.358148893360163</v>
      </c>
      <c r="U291" s="11">
        <f t="shared" ca="1" si="34"/>
        <v>19.871768759994293</v>
      </c>
      <c r="V291" s="11">
        <f>EarningsPerDay[[#This Row],[Gross Earnings]]/EarningsPerDay[[#This Row],[Deliveries]]</f>
        <v>10.088333333333333</v>
      </c>
      <c r="W291" s="11">
        <f>EarningsPerDay[[#This Row],[Gross Earnings]]/EarningsPerDay[[#This Row],[Miles]]</f>
        <v>1.2106000000000001</v>
      </c>
      <c r="X291" s="71">
        <f>EarningsPerDay[[#This Row],[Deliveries]]/EarningsPerDay[[#This Row],[Hours]]</f>
        <v>2.4144869215291753</v>
      </c>
      <c r="Y291" s="71">
        <f>EarningsPerDay[[#This Row],[Miles]]/EarningsPerDay[[#This Row],[Deliveries]]</f>
        <v>8.3333333333333339</v>
      </c>
      <c r="Z291" s="81">
        <f>(EarningsPerDay[[#This Row],[Hours]]/EarningsPerDay[[#This Row],[Deliveries]])/24</f>
        <v>1.7256944444444443E-2</v>
      </c>
      <c r="AA2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6.4238632585543343</v>
      </c>
      <c r="AB291" s="11">
        <f>AVERAGEIFS(EarningsPerDay[Gross $/Hour],EarningsPerDay[Week '#], EarningsPerDay[[#This Row],[Week '#]], EarningsPerDay[DOW], EarningsPerDay[[#This Row],[DOW]])</f>
        <v>22.36763015414142</v>
      </c>
      <c r="AC291" s="11">
        <f>EarningsPerDay[[#This Row],[Gross $/Hour]] - EarningsPerDay[[#This Row],[Weekly Average Earnings]]</f>
        <v>1.9905187392187429</v>
      </c>
      <c r="AD291" s="11">
        <f>(SUMIFS(EarningsPerDay[Gross Earnings], EarningsPerDay[Date],"&gt;="&amp;EarningsPerDay[[#This Row],[Date]]-89, EarningsPerDay[Date], "&lt;="&amp;EarningsPerDay[[#This Row],[Date]]))/90</f>
        <v>55.283555555555552</v>
      </c>
    </row>
    <row r="292" spans="2:30" x14ac:dyDescent="0.35">
      <c r="B292" s="40">
        <v>45043</v>
      </c>
      <c r="C292" s="40">
        <f t="shared" si="31"/>
        <v>45043</v>
      </c>
      <c r="D292" s="4">
        <f>IF(EarningsPerDay[[#This Row],[Week '#]]&gt;=52,YEAR(EarningsPerDay[[#This Row],[Date]])-1,YEAR(EarningsPerDay[[#This Row],[Date]]))</f>
        <v>2023</v>
      </c>
      <c r="E292" s="4" t="str">
        <f>"QTR"&amp;IF(EarningsPerDay[[#This Row],[Week '#]] &lt;= 13, 1, IF(EarningsPerDay[[#This Row],[Week '#]] &lt;= 26, 2, IF(EarningsPerDay[[#This Row],[Week '#]] &lt;= 39, 3, 4)))</f>
        <v>QTR2</v>
      </c>
      <c r="F2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92" s="4">
        <f>IF(WEEKNUM(EarningsPerDay[[#This Row],[Date]], 2) = 53, 1, WEEKNUM(EarningsPerDay[[#This Row],[Date]],2))</f>
        <v>18</v>
      </c>
      <c r="H292" s="40" t="str">
        <f t="shared" si="32"/>
        <v>Thursday</v>
      </c>
      <c r="I29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2" s="40" t="str" cm="1">
        <f t="array" ref="J292">IFERROR(VLOOKUP(MODE(IF(Combined[Date]=EarningsPerDay[[#This Row],[Date]],Combined[Area '#])),KPIs!$B$4:$C$7,2,FALSE),VLOOKUP(EarningsPerDay[[#This Row],[Date]],Combined[[Date]:[Primary Area]],8,FALSE))</f>
        <v>Augusta</v>
      </c>
      <c r="K292" s="40" t="str">
        <f>_xlfn.XLOOKUP(EarningsPerDay[[#This Row],[Date]],Mileage[Date],Mileage[Weather])</f>
        <v>Clear</v>
      </c>
      <c r="L292" s="4">
        <f>_xlfn.XLOOKUP(EarningsPerDay[[#This Row],[Date]],Mileage[Date],Mileage[Hi Temp])</f>
        <v>62.7</v>
      </c>
      <c r="M292" s="12">
        <f>_xlfn.XLOOKUP(EarningsPerDay[[#This Row],[Date]],Mileage[Date],Mileage[Total Time])</f>
        <v>3.12</v>
      </c>
      <c r="N292" s="4">
        <f>_xlfn.XLOOKUP(EarningsPerDay[[#This Row],[Date]],Mileage[Date],Mileage[Mileage])</f>
        <v>78</v>
      </c>
      <c r="O292" s="4">
        <f>SUMIF(Combined[Date],EarningsPerDay[[#This Row],[Date]],Combined[Trips])</f>
        <v>4</v>
      </c>
      <c r="P292">
        <f>COUNTIF(Combined[Date],EarningsPerDay[[#This Row],[Date]])</f>
        <v>2</v>
      </c>
      <c r="Q2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2" s="11">
        <f>SUMIF(Combined[Date],EarningsPerDay[[#This Row],[Date]],Combined[Earnings])</f>
        <v>42.45</v>
      </c>
      <c r="S292" s="11">
        <f ca="1">EarningsPerDay[[#This Row],[Gross Earnings]]-(EarningsPerDay[[#This Row],[Miles]]*CpM!$D$11)</f>
        <v>25.058098774993866</v>
      </c>
      <c r="T292" s="11">
        <f t="shared" si="33"/>
        <v>13.605769230769232</v>
      </c>
      <c r="U292" s="11">
        <f t="shared" ca="1" si="34"/>
        <v>8.0314419150621355</v>
      </c>
      <c r="V292" s="11">
        <f>EarningsPerDay[[#This Row],[Gross Earnings]]/EarningsPerDay[[#This Row],[Deliveries]]</f>
        <v>10.612500000000001</v>
      </c>
      <c r="W292" s="11">
        <f>EarningsPerDay[[#This Row],[Gross Earnings]]/EarningsPerDay[[#This Row],[Miles]]</f>
        <v>0.5442307692307693</v>
      </c>
      <c r="X292" s="71">
        <f>EarningsPerDay[[#This Row],[Deliveries]]/EarningsPerDay[[#This Row],[Hours]]</f>
        <v>1.2820512820512819</v>
      </c>
      <c r="Y292" s="71">
        <f>EarningsPerDay[[#This Row],[Miles]]/EarningsPerDay[[#This Row],[Deliveries]]</f>
        <v>19.5</v>
      </c>
      <c r="Z292" s="81">
        <f>(EarningsPerDay[[#This Row],[Hours]]/EarningsPerDay[[#This Row],[Deliveries]])/24</f>
        <v>3.2500000000000001E-2</v>
      </c>
      <c r="AA29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92" s="11">
        <f>AVERAGEIFS(EarningsPerDay[Gross $/Hour],EarningsPerDay[Week '#], EarningsPerDay[[#This Row],[Week '#]], EarningsPerDay[DOW], EarningsPerDay[[#This Row],[DOW]])</f>
        <v>19.452916652940207</v>
      </c>
      <c r="AC292" s="11">
        <f>EarningsPerDay[[#This Row],[Gross $/Hour]] - EarningsPerDay[[#This Row],[Weekly Average Earnings]]</f>
        <v>-5.8471474221709752</v>
      </c>
      <c r="AD292" s="11">
        <f>(SUMIFS(EarningsPerDay[Gross Earnings], EarningsPerDay[Date],"&gt;="&amp;EarningsPerDay[[#This Row],[Date]]-89, EarningsPerDay[Date], "&lt;="&amp;EarningsPerDay[[#This Row],[Date]]))/90</f>
        <v>54.832111111111104</v>
      </c>
    </row>
    <row r="293" spans="2:30" x14ac:dyDescent="0.35">
      <c r="B293" s="40">
        <v>45044</v>
      </c>
      <c r="C293" s="40">
        <f t="shared" si="31"/>
        <v>45044</v>
      </c>
      <c r="D293" s="4">
        <f>IF(EarningsPerDay[[#This Row],[Week '#]]&gt;=52,YEAR(EarningsPerDay[[#This Row],[Date]])-1,YEAR(EarningsPerDay[[#This Row],[Date]]))</f>
        <v>2023</v>
      </c>
      <c r="E293" s="4" t="str">
        <f>"QTR"&amp;IF(EarningsPerDay[[#This Row],[Week '#]] &lt;= 13, 1, IF(EarningsPerDay[[#This Row],[Week '#]] &lt;= 26, 2, IF(EarningsPerDay[[#This Row],[Week '#]] &lt;= 39, 3, 4)))</f>
        <v>QTR2</v>
      </c>
      <c r="F2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93" s="4">
        <f>IF(WEEKNUM(EarningsPerDay[[#This Row],[Date]], 2) = 53, 1, WEEKNUM(EarningsPerDay[[#This Row],[Date]],2))</f>
        <v>18</v>
      </c>
      <c r="H293" s="40" t="str">
        <f t="shared" si="32"/>
        <v>Friday</v>
      </c>
      <c r="I29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3" s="40" t="str" cm="1">
        <f t="array" ref="J293">IFERROR(VLOOKUP(MODE(IF(Combined[Date]=EarningsPerDay[[#This Row],[Date]],Combined[Area '#])),KPIs!$B$4:$C$7,2,FALSE),VLOOKUP(EarningsPerDay[[#This Row],[Date]],Combined[[Date]:[Primary Area]],8,FALSE))</f>
        <v>Brunswick/Bath/Freeport</v>
      </c>
      <c r="K293" s="40" t="str">
        <f>_xlfn.XLOOKUP(EarningsPerDay[[#This Row],[Date]],Mileage[Date],Mileage[Weather])</f>
        <v>Partially Cloudy</v>
      </c>
      <c r="L293" s="4">
        <f>_xlfn.XLOOKUP(EarningsPerDay[[#This Row],[Date]],Mileage[Date],Mileage[Hi Temp])</f>
        <v>57.2</v>
      </c>
      <c r="M293" s="12">
        <f>_xlfn.XLOOKUP(EarningsPerDay[[#This Row],[Date]],Mileage[Date],Mileage[Total Time])</f>
        <v>3.43</v>
      </c>
      <c r="N293" s="4">
        <f>_xlfn.XLOOKUP(EarningsPerDay[[#This Row],[Date]],Mileage[Date],Mileage[Mileage])</f>
        <v>63</v>
      </c>
      <c r="O293" s="4">
        <f>SUMIF(Combined[Date],EarningsPerDay[[#This Row],[Date]],Combined[Trips])</f>
        <v>9</v>
      </c>
      <c r="P293">
        <f>COUNTIF(Combined[Date],EarningsPerDay[[#This Row],[Date]])</f>
        <v>3</v>
      </c>
      <c r="Q2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3" s="11">
        <f>SUMIF(Combined[Date],EarningsPerDay[[#This Row],[Date]],Combined[Earnings])</f>
        <v>116.42</v>
      </c>
      <c r="S293" s="11">
        <f ca="1">EarningsPerDay[[#This Row],[Gross Earnings]]-(EarningsPerDay[[#This Row],[Miles]]*CpM!$D$11)</f>
        <v>102.37269516441812</v>
      </c>
      <c r="T293" s="11">
        <f t="shared" si="33"/>
        <v>33.941690962099123</v>
      </c>
      <c r="U293" s="11">
        <f t="shared" ca="1" si="34"/>
        <v>29.846266811783707</v>
      </c>
      <c r="V293" s="11">
        <f>EarningsPerDay[[#This Row],[Gross Earnings]]/EarningsPerDay[[#This Row],[Deliveries]]</f>
        <v>12.935555555555556</v>
      </c>
      <c r="W293" s="11">
        <f>EarningsPerDay[[#This Row],[Gross Earnings]]/EarningsPerDay[[#This Row],[Miles]]</f>
        <v>1.847936507936508</v>
      </c>
      <c r="X293" s="71">
        <f>EarningsPerDay[[#This Row],[Deliveries]]/EarningsPerDay[[#This Row],[Hours]]</f>
        <v>2.6239067055393583</v>
      </c>
      <c r="Y293" s="71">
        <f>EarningsPerDay[[#This Row],[Miles]]/EarningsPerDay[[#This Row],[Deliveries]]</f>
        <v>7</v>
      </c>
      <c r="Z293" s="81">
        <f>(EarningsPerDay[[#This Row],[Hours]]/EarningsPerDay[[#This Row],[Deliveries]])/24</f>
        <v>1.5879629629629629E-2</v>
      </c>
      <c r="AA2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6.4328549832631445</v>
      </c>
      <c r="AB293" s="11">
        <f>AVERAGEIFS(EarningsPerDay[Gross $/Hour],EarningsPerDay[Week '#], EarningsPerDay[[#This Row],[Week '#]], EarningsPerDay[DOW], EarningsPerDay[[#This Row],[DOW]])</f>
        <v>28.304790435178003</v>
      </c>
      <c r="AC293" s="11">
        <f>EarningsPerDay[[#This Row],[Gross $/Hour]] - EarningsPerDay[[#This Row],[Weekly Average Earnings]]</f>
        <v>5.6369005269211208</v>
      </c>
      <c r="AD293" s="11">
        <f>(SUMIFS(EarningsPerDay[Gross Earnings], EarningsPerDay[Date],"&gt;="&amp;EarningsPerDay[[#This Row],[Date]]-89, EarningsPerDay[Date], "&lt;="&amp;EarningsPerDay[[#This Row],[Date]]))/90</f>
        <v>55.046666666666667</v>
      </c>
    </row>
    <row r="294" spans="2:30" x14ac:dyDescent="0.35">
      <c r="B294" s="40">
        <v>45045</v>
      </c>
      <c r="C294" s="40">
        <f t="shared" si="31"/>
        <v>45045</v>
      </c>
      <c r="D294" s="4">
        <f>IF(EarningsPerDay[[#This Row],[Week '#]]&gt;=52,YEAR(EarningsPerDay[[#This Row],[Date]])-1,YEAR(EarningsPerDay[[#This Row],[Date]]))</f>
        <v>2023</v>
      </c>
      <c r="E294" s="4" t="str">
        <f>"QTR"&amp;IF(EarningsPerDay[[#This Row],[Week '#]] &lt;= 13, 1, IF(EarningsPerDay[[#This Row],[Week '#]] &lt;= 26, 2, IF(EarningsPerDay[[#This Row],[Week '#]] &lt;= 39, 3, 4)))</f>
        <v>QTR2</v>
      </c>
      <c r="F2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94" s="4">
        <f>IF(WEEKNUM(EarningsPerDay[[#This Row],[Date]], 2) = 53, 1, WEEKNUM(EarningsPerDay[[#This Row],[Date]],2))</f>
        <v>18</v>
      </c>
      <c r="H294" s="40" t="str">
        <f t="shared" si="32"/>
        <v>Saturday</v>
      </c>
      <c r="I29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4" s="40" t="str" cm="1">
        <f t="array" ref="J294">IFERROR(VLOOKUP(MODE(IF(Combined[Date]=EarningsPerDay[[#This Row],[Date]],Combined[Area '#])),KPIs!$B$4:$C$7,2,FALSE),VLOOKUP(EarningsPerDay[[#This Row],[Date]],Combined[[Date]:[Primary Area]],8,FALSE))</f>
        <v>Brunswick/Bath/Freeport</v>
      </c>
      <c r="K294" s="40" t="str">
        <f>_xlfn.XLOOKUP(EarningsPerDay[[#This Row],[Date]],Mileage[Date],Mileage[Weather])</f>
        <v>Rain</v>
      </c>
      <c r="L294" s="4">
        <f>_xlfn.XLOOKUP(EarningsPerDay[[#This Row],[Date]],Mileage[Date],Mileage[Hi Temp])</f>
        <v>45.5</v>
      </c>
      <c r="M294" s="12">
        <f>_xlfn.XLOOKUP(EarningsPerDay[[#This Row],[Date]],Mileage[Date],Mileage[Total Time])</f>
        <v>1.1299999999999999</v>
      </c>
      <c r="N294" s="4">
        <f>_xlfn.XLOOKUP(EarningsPerDay[[#This Row],[Date]],Mileage[Date],Mileage[Mileage])</f>
        <v>26</v>
      </c>
      <c r="O294" s="4">
        <f>SUMIF(Combined[Date],EarningsPerDay[[#This Row],[Date]],Combined[Trips])</f>
        <v>3</v>
      </c>
      <c r="P294">
        <f>COUNTIF(Combined[Date],EarningsPerDay[[#This Row],[Date]])</f>
        <v>2</v>
      </c>
      <c r="Q2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4" s="11">
        <f>SUMIF(Combined[Date],EarningsPerDay[[#This Row],[Date]],Combined[Earnings])</f>
        <v>37.67</v>
      </c>
      <c r="S294" s="11">
        <f ca="1">EarningsPerDay[[#This Row],[Gross Earnings]]-(EarningsPerDay[[#This Row],[Miles]]*CpM!$D$11)</f>
        <v>31.87269959166462</v>
      </c>
      <c r="T294" s="11">
        <f t="shared" si="33"/>
        <v>33.336283185840713</v>
      </c>
      <c r="U294" s="11">
        <f t="shared" ca="1" si="34"/>
        <v>28.205928842181084</v>
      </c>
      <c r="V294" s="11">
        <f>EarningsPerDay[[#This Row],[Gross Earnings]]/EarningsPerDay[[#This Row],[Deliveries]]</f>
        <v>12.556666666666667</v>
      </c>
      <c r="W294" s="11">
        <f>EarningsPerDay[[#This Row],[Gross Earnings]]/EarningsPerDay[[#This Row],[Miles]]</f>
        <v>1.4488461538461539</v>
      </c>
      <c r="X294" s="71">
        <f>EarningsPerDay[[#This Row],[Deliveries]]/EarningsPerDay[[#This Row],[Hours]]</f>
        <v>2.6548672566371683</v>
      </c>
      <c r="Y294" s="71">
        <f>EarningsPerDay[[#This Row],[Miles]]/EarningsPerDay[[#This Row],[Deliveries]]</f>
        <v>8.6666666666666661</v>
      </c>
      <c r="Z294" s="81">
        <f>(EarningsPerDay[[#This Row],[Hours]]/EarningsPerDay[[#This Row],[Deliveries]])/24</f>
        <v>1.5694444444444445E-2</v>
      </c>
      <c r="AA2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6.5363601040002557</v>
      </c>
      <c r="AB294" s="11">
        <f>AVERAGEIFS(EarningsPerDay[Gross $/Hour],EarningsPerDay[Week '#], EarningsPerDay[[#This Row],[Week '#]], EarningsPerDay[DOW], EarningsPerDay[[#This Row],[DOW]])</f>
        <v>25.165112615762578</v>
      </c>
      <c r="AC294" s="11">
        <f>EarningsPerDay[[#This Row],[Gross $/Hour]] - EarningsPerDay[[#This Row],[Weekly Average Earnings]]</f>
        <v>8.1711705700781359</v>
      </c>
      <c r="AD294" s="11">
        <f>(SUMIFS(EarningsPerDay[Gross Earnings], EarningsPerDay[Date],"&gt;="&amp;EarningsPerDay[[#This Row],[Date]]-89, EarningsPerDay[Date], "&lt;="&amp;EarningsPerDay[[#This Row],[Date]]))/90</f>
        <v>55.465222222222224</v>
      </c>
    </row>
    <row r="295" spans="2:30" x14ac:dyDescent="0.35">
      <c r="B295" s="40">
        <v>45046</v>
      </c>
      <c r="C295" s="40">
        <f t="shared" si="31"/>
        <v>45046</v>
      </c>
      <c r="D295" s="4">
        <f>IF(EarningsPerDay[[#This Row],[Week '#]]&gt;=52,YEAR(EarningsPerDay[[#This Row],[Date]])-1,YEAR(EarningsPerDay[[#This Row],[Date]]))</f>
        <v>2023</v>
      </c>
      <c r="E295" s="4" t="str">
        <f>"QTR"&amp;IF(EarningsPerDay[[#This Row],[Week '#]] &lt;= 13, 1, IF(EarningsPerDay[[#This Row],[Week '#]] &lt;= 26, 2, IF(EarningsPerDay[[#This Row],[Week '#]] &lt;= 39, 3, 4)))</f>
        <v>QTR2</v>
      </c>
      <c r="F2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295" s="4">
        <f>IF(WEEKNUM(EarningsPerDay[[#This Row],[Date]], 2) = 53, 1, WEEKNUM(EarningsPerDay[[#This Row],[Date]],2))</f>
        <v>18</v>
      </c>
      <c r="H295" s="40" t="str">
        <f t="shared" si="32"/>
        <v>Sunday</v>
      </c>
      <c r="I29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95" s="40" t="str" cm="1">
        <f t="array" ref="J295">IFERROR(VLOOKUP(MODE(IF(Combined[Date]=EarningsPerDay[[#This Row],[Date]],Combined[Area '#])),KPIs!$B$4:$C$7,2,FALSE),VLOOKUP(EarningsPerDay[[#This Row],[Date]],Combined[[Date]:[Primary Area]],8,FALSE))</f>
        <v>Augusta</v>
      </c>
      <c r="K295" s="40" t="str">
        <f>_xlfn.XLOOKUP(EarningsPerDay[[#This Row],[Date]],Mileage[Date],Mileage[Weather])</f>
        <v>Rain</v>
      </c>
      <c r="L295" s="4">
        <f>_xlfn.XLOOKUP(EarningsPerDay[[#This Row],[Date]],Mileage[Date],Mileage[Hi Temp])</f>
        <v>61.9</v>
      </c>
      <c r="M295" s="12">
        <f>_xlfn.XLOOKUP(EarningsPerDay[[#This Row],[Date]],Mileage[Date],Mileage[Total Time])</f>
        <v>4.32</v>
      </c>
      <c r="N295" s="4">
        <f>_xlfn.XLOOKUP(EarningsPerDay[[#This Row],[Date]],Mileage[Date],Mileage[Mileage])</f>
        <v>90</v>
      </c>
      <c r="O295" s="4">
        <f>SUMIF(Combined[Date],EarningsPerDay[[#This Row],[Date]],Combined[Trips])</f>
        <v>8</v>
      </c>
      <c r="P295">
        <f>COUNTIF(Combined[Date],EarningsPerDay[[#This Row],[Date]])</f>
        <v>3</v>
      </c>
      <c r="Q29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5" s="11">
        <f>SUMIF(Combined[Date],EarningsPerDay[[#This Row],[Date]],Combined[Earnings])</f>
        <v>67.78</v>
      </c>
      <c r="S295" s="11">
        <f ca="1">EarningsPerDay[[#This Row],[Gross Earnings]]-(EarningsPerDay[[#This Row],[Miles]]*CpM!$D$11)</f>
        <v>47.712421663454457</v>
      </c>
      <c r="T295" s="11">
        <f t="shared" si="33"/>
        <v>15.689814814814815</v>
      </c>
      <c r="U295" s="11">
        <f t="shared" ca="1" si="34"/>
        <v>11.044542051725568</v>
      </c>
      <c r="V295" s="11">
        <f>EarningsPerDay[[#This Row],[Gross Earnings]]/EarningsPerDay[[#This Row],[Deliveries]]</f>
        <v>8.4725000000000001</v>
      </c>
      <c r="W295" s="11">
        <f>EarningsPerDay[[#This Row],[Gross Earnings]]/EarningsPerDay[[#This Row],[Miles]]</f>
        <v>0.75311111111111118</v>
      </c>
      <c r="X295" s="71">
        <f>EarningsPerDay[[#This Row],[Deliveries]]/EarningsPerDay[[#This Row],[Hours]]</f>
        <v>1.8518518518518516</v>
      </c>
      <c r="Y295" s="71">
        <f>EarningsPerDay[[#This Row],[Miles]]/EarningsPerDay[[#This Row],[Deliveries]]</f>
        <v>11.25</v>
      </c>
      <c r="Z295" s="81">
        <f>(EarningsPerDay[[#This Row],[Hours]]/EarningsPerDay[[#This Row],[Deliveries]])/24</f>
        <v>2.2500000000000003E-2</v>
      </c>
      <c r="AA2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-7.3520456503014646</v>
      </c>
      <c r="AB295" s="11">
        <f>AVERAGEIFS(EarningsPerDay[Gross $/Hour],EarningsPerDay[Week '#], EarningsPerDay[[#This Row],[Week '#]], EarningsPerDay[DOW], EarningsPerDay[[#This Row],[DOW]])</f>
        <v>19.246597619330164</v>
      </c>
      <c r="AC295" s="11">
        <f>EarningsPerDay[[#This Row],[Gross $/Hour]] - EarningsPerDay[[#This Row],[Weekly Average Earnings]]</f>
        <v>-3.5567828045153487</v>
      </c>
      <c r="AD295" s="11">
        <f>(SUMIFS(EarningsPerDay[Gross Earnings], EarningsPerDay[Date],"&gt;="&amp;EarningsPerDay[[#This Row],[Date]]-89, EarningsPerDay[Date], "&lt;="&amp;EarningsPerDay[[#This Row],[Date]]))/90</f>
        <v>56.218333333333327</v>
      </c>
    </row>
    <row r="296" spans="2:30" x14ac:dyDescent="0.35">
      <c r="B296" s="40">
        <v>45048</v>
      </c>
      <c r="C296" s="40">
        <f t="shared" si="31"/>
        <v>45048</v>
      </c>
      <c r="D296" s="4">
        <f>IF(EarningsPerDay[[#This Row],[Week '#]]&gt;=52,YEAR(EarningsPerDay[[#This Row],[Date]])-1,YEAR(EarningsPerDay[[#This Row],[Date]]))</f>
        <v>2023</v>
      </c>
      <c r="E296" s="4" t="str">
        <f>"QTR"&amp;IF(EarningsPerDay[[#This Row],[Week '#]] &lt;= 13, 1, IF(EarningsPerDay[[#This Row],[Week '#]] &lt;= 26, 2, IF(EarningsPerDay[[#This Row],[Week '#]] &lt;= 39, 3, 4)))</f>
        <v>QTR2</v>
      </c>
      <c r="F2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96" s="4">
        <f>IF(WEEKNUM(EarningsPerDay[[#This Row],[Date]], 2) = 53, 1, WEEKNUM(EarningsPerDay[[#This Row],[Date]],2))</f>
        <v>19</v>
      </c>
      <c r="H296" s="40" t="str">
        <f t="shared" si="32"/>
        <v>Tuesday</v>
      </c>
      <c r="I29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96" s="40" t="str" cm="1">
        <f t="array" ref="J296">IFERROR(VLOOKUP(MODE(IF(Combined[Date]=EarningsPerDay[[#This Row],[Date]],Combined[Area '#])),KPIs!$B$4:$C$7,2,FALSE),VLOOKUP(EarningsPerDay[[#This Row],[Date]],Combined[[Date]:[Primary Area]],8,FALSE))</f>
        <v>Augusta</v>
      </c>
      <c r="K296" s="40" t="str">
        <f>_xlfn.XLOOKUP(EarningsPerDay[[#This Row],[Date]],Mileage[Date],Mileage[Weather])</f>
        <v>Rain</v>
      </c>
      <c r="L296" s="4">
        <f>_xlfn.XLOOKUP(EarningsPerDay[[#This Row],[Date]],Mileage[Date],Mileage[Hi Temp])</f>
        <v>40.9</v>
      </c>
      <c r="M296" s="12">
        <f>_xlfn.XLOOKUP(EarningsPerDay[[#This Row],[Date]],Mileage[Date],Mileage[Total Time])</f>
        <v>5.28</v>
      </c>
      <c r="N296" s="4">
        <f>_xlfn.XLOOKUP(EarningsPerDay[[#This Row],[Date]],Mileage[Date],Mileage[Mileage])</f>
        <v>130.5</v>
      </c>
      <c r="O296" s="4">
        <f>SUMIF(Combined[Date],EarningsPerDay[[#This Row],[Date]],Combined[Trips])</f>
        <v>9</v>
      </c>
      <c r="P296">
        <f>COUNTIF(Combined[Date],EarningsPerDay[[#This Row],[Date]])</f>
        <v>2</v>
      </c>
      <c r="Q2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6" s="11">
        <f>SUMIF(Combined[Date],EarningsPerDay[[#This Row],[Date]],Combined[Earnings])</f>
        <v>80.819999999999993</v>
      </c>
      <c r="S296" s="11">
        <f ca="1">EarningsPerDay[[#This Row],[Gross Earnings]]-(EarningsPerDay[[#This Row],[Miles]]*CpM!$D$11)</f>
        <v>51.722011412008953</v>
      </c>
      <c r="T296" s="11">
        <f t="shared" si="33"/>
        <v>15.30681818181818</v>
      </c>
      <c r="U296" s="11">
        <f t="shared" ca="1" si="34"/>
        <v>9.7958354946986645</v>
      </c>
      <c r="V296" s="11">
        <f>EarningsPerDay[[#This Row],[Gross Earnings]]/EarningsPerDay[[#This Row],[Deliveries]]</f>
        <v>8.9799999999999986</v>
      </c>
      <c r="W296" s="11">
        <f>EarningsPerDay[[#This Row],[Gross Earnings]]/EarningsPerDay[[#This Row],[Miles]]</f>
        <v>0.61931034482758618</v>
      </c>
      <c r="X296" s="71">
        <f>EarningsPerDay[[#This Row],[Deliveries]]/EarningsPerDay[[#This Row],[Hours]]</f>
        <v>1.7045454545454544</v>
      </c>
      <c r="Y296" s="71">
        <f>EarningsPerDay[[#This Row],[Miles]]/EarningsPerDay[[#This Row],[Deliveries]]</f>
        <v>14.5</v>
      </c>
      <c r="Z296" s="81">
        <f>(EarningsPerDay[[#This Row],[Hours]]/EarningsPerDay[[#This Row],[Deliveries]])/24</f>
        <v>2.4444444444444446E-2</v>
      </c>
      <c r="AA29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296" s="11">
        <f>AVERAGEIFS(EarningsPerDay[Gross $/Hour],EarningsPerDay[Week '#], EarningsPerDay[[#This Row],[Week '#]], EarningsPerDay[DOW], EarningsPerDay[[#This Row],[DOW]])</f>
        <v>18.163573021829258</v>
      </c>
      <c r="AC296" s="11">
        <f>EarningsPerDay[[#This Row],[Gross $/Hour]] - EarningsPerDay[[#This Row],[Weekly Average Earnings]]</f>
        <v>-2.856754840011078</v>
      </c>
      <c r="AD296" s="11">
        <f>(SUMIFS(EarningsPerDay[Gross Earnings], EarningsPerDay[Date],"&gt;="&amp;EarningsPerDay[[#This Row],[Date]]-89, EarningsPerDay[Date], "&lt;="&amp;EarningsPerDay[[#This Row],[Date]]))/90</f>
        <v>53.7241111111111</v>
      </c>
    </row>
    <row r="297" spans="2:30" x14ac:dyDescent="0.35">
      <c r="B297" s="40">
        <v>45049</v>
      </c>
      <c r="C297" s="40">
        <f t="shared" si="31"/>
        <v>45049</v>
      </c>
      <c r="D297" s="4">
        <f>IF(EarningsPerDay[[#This Row],[Week '#]]&gt;=52,YEAR(EarningsPerDay[[#This Row],[Date]])-1,YEAR(EarningsPerDay[[#This Row],[Date]]))</f>
        <v>2023</v>
      </c>
      <c r="E297" s="4" t="str">
        <f>"QTR"&amp;IF(EarningsPerDay[[#This Row],[Week '#]] &lt;= 13, 1, IF(EarningsPerDay[[#This Row],[Week '#]] &lt;= 26, 2, IF(EarningsPerDay[[#This Row],[Week '#]] &lt;= 39, 3, 4)))</f>
        <v>QTR2</v>
      </c>
      <c r="F2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97" s="4">
        <f>IF(WEEKNUM(EarningsPerDay[[#This Row],[Date]], 2) = 53, 1, WEEKNUM(EarningsPerDay[[#This Row],[Date]],2))</f>
        <v>19</v>
      </c>
      <c r="H297" s="40" t="str">
        <f t="shared" si="32"/>
        <v>Wednesday</v>
      </c>
      <c r="I29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297" s="40" t="str" cm="1">
        <f t="array" ref="J297">IFERROR(VLOOKUP(MODE(IF(Combined[Date]=EarningsPerDay[[#This Row],[Date]],Combined[Area '#])),KPIs!$B$4:$C$7,2,FALSE),VLOOKUP(EarningsPerDay[[#This Row],[Date]],Combined[[Date]:[Primary Area]],8,FALSE))</f>
        <v>Portland</v>
      </c>
      <c r="K297" s="40" t="str">
        <f>_xlfn.XLOOKUP(EarningsPerDay[[#This Row],[Date]],Mileage[Date],Mileage[Weather])</f>
        <v>Rain</v>
      </c>
      <c r="L297" s="4">
        <f>_xlfn.XLOOKUP(EarningsPerDay[[#This Row],[Date]],Mileage[Date],Mileage[Hi Temp])</f>
        <v>50.6</v>
      </c>
      <c r="M297" s="12">
        <f>_xlfn.XLOOKUP(EarningsPerDay[[#This Row],[Date]],Mileage[Date],Mileage[Total Time])</f>
        <v>5.63</v>
      </c>
      <c r="N297" s="4">
        <f>_xlfn.XLOOKUP(EarningsPerDay[[#This Row],[Date]],Mileage[Date],Mileage[Mileage])</f>
        <v>93</v>
      </c>
      <c r="O297" s="4">
        <f>SUMIF(Combined[Date],EarningsPerDay[[#This Row],[Date]],Combined[Trips])</f>
        <v>16</v>
      </c>
      <c r="P297">
        <f>COUNTIF(Combined[Date],EarningsPerDay[[#This Row],[Date]])</f>
        <v>3</v>
      </c>
      <c r="Q2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7" s="11">
        <f>SUMIF(Combined[Date],EarningsPerDay[[#This Row],[Date]],Combined[Earnings])</f>
        <v>109.32</v>
      </c>
      <c r="S297" s="11">
        <f ca="1">EarningsPerDay[[#This Row],[Gross Earnings]]-(EarningsPerDay[[#This Row],[Miles]]*CpM!$D$11)</f>
        <v>88.583502385569602</v>
      </c>
      <c r="T297" s="11">
        <f t="shared" si="33"/>
        <v>19.417406749555948</v>
      </c>
      <c r="U297" s="11">
        <f t="shared" ca="1" si="34"/>
        <v>15.734192253209521</v>
      </c>
      <c r="V297" s="11">
        <f>EarningsPerDay[[#This Row],[Gross Earnings]]/EarningsPerDay[[#This Row],[Deliveries]]</f>
        <v>6.8324999999999996</v>
      </c>
      <c r="W297" s="11">
        <f>EarningsPerDay[[#This Row],[Gross Earnings]]/EarningsPerDay[[#This Row],[Miles]]</f>
        <v>1.1754838709677418</v>
      </c>
      <c r="X297" s="71">
        <f>EarningsPerDay[[#This Row],[Deliveries]]/EarningsPerDay[[#This Row],[Hours]]</f>
        <v>2.8419182948490231</v>
      </c>
      <c r="Y297" s="71">
        <f>EarningsPerDay[[#This Row],[Miles]]/EarningsPerDay[[#This Row],[Deliveries]]</f>
        <v>5.8125</v>
      </c>
      <c r="Z297" s="81">
        <f>(EarningsPerDay[[#This Row],[Hours]]/EarningsPerDay[[#This Row],[Deliveries]])/24</f>
        <v>1.4661458333333334E-2</v>
      </c>
      <c r="AA2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-0.65816663810132425</v>
      </c>
      <c r="AB297" s="11">
        <f>AVERAGEIFS(EarningsPerDay[Gross $/Hour],EarningsPerDay[Week '#], EarningsPerDay[[#This Row],[Week '#]], EarningsPerDay[DOW], EarningsPerDay[[#This Row],[DOW]])</f>
        <v>24.426643904418047</v>
      </c>
      <c r="AC297" s="11">
        <f>EarningsPerDay[[#This Row],[Gross $/Hour]] - EarningsPerDay[[#This Row],[Weekly Average Earnings]]</f>
        <v>-5.0092371548620989</v>
      </c>
      <c r="AD297" s="11">
        <f>(SUMIFS(EarningsPerDay[Gross Earnings], EarningsPerDay[Date],"&gt;="&amp;EarningsPerDay[[#This Row],[Date]]-89, EarningsPerDay[Date], "&lt;="&amp;EarningsPerDay[[#This Row],[Date]]))/90</f>
        <v>54.938777777777766</v>
      </c>
    </row>
    <row r="298" spans="2:30" x14ac:dyDescent="0.35">
      <c r="B298" s="40">
        <v>45050</v>
      </c>
      <c r="C298" s="40">
        <f t="shared" si="31"/>
        <v>45050</v>
      </c>
      <c r="D298" s="4">
        <f>IF(EarningsPerDay[[#This Row],[Week '#]]&gt;=52,YEAR(EarningsPerDay[[#This Row],[Date]])-1,YEAR(EarningsPerDay[[#This Row],[Date]]))</f>
        <v>2023</v>
      </c>
      <c r="E298" s="4" t="str">
        <f>"QTR"&amp;IF(EarningsPerDay[[#This Row],[Week '#]] &lt;= 13, 1, IF(EarningsPerDay[[#This Row],[Week '#]] &lt;= 26, 2, IF(EarningsPerDay[[#This Row],[Week '#]] &lt;= 39, 3, 4)))</f>
        <v>QTR2</v>
      </c>
      <c r="F2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98" s="4">
        <f>IF(WEEKNUM(EarningsPerDay[[#This Row],[Date]], 2) = 53, 1, WEEKNUM(EarningsPerDay[[#This Row],[Date]],2))</f>
        <v>19</v>
      </c>
      <c r="H298" s="40" t="str">
        <f t="shared" si="32"/>
        <v>Thursday</v>
      </c>
      <c r="I29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8" s="40" t="str" cm="1">
        <f t="array" ref="J298">IFERROR(VLOOKUP(MODE(IF(Combined[Date]=EarningsPerDay[[#This Row],[Date]],Combined[Area '#])),KPIs!$B$4:$C$7,2,FALSE),VLOOKUP(EarningsPerDay[[#This Row],[Date]],Combined[[Date]:[Primary Area]],8,FALSE))</f>
        <v>Brunswick/Bath/Freeport</v>
      </c>
      <c r="K298" s="40" t="str">
        <f>_xlfn.XLOOKUP(EarningsPerDay[[#This Row],[Date]],Mileage[Date],Mileage[Weather])</f>
        <v>Rain</v>
      </c>
      <c r="L298" s="4">
        <f>_xlfn.XLOOKUP(EarningsPerDay[[#This Row],[Date]],Mileage[Date],Mileage[Hi Temp])</f>
        <v>63.4</v>
      </c>
      <c r="M298" s="12">
        <f>_xlfn.XLOOKUP(EarningsPerDay[[#This Row],[Date]],Mileage[Date],Mileage[Total Time])</f>
        <v>3.32</v>
      </c>
      <c r="N298" s="4">
        <f>_xlfn.XLOOKUP(EarningsPerDay[[#This Row],[Date]],Mileage[Date],Mileage[Mileage])</f>
        <v>63</v>
      </c>
      <c r="O298" s="4">
        <f>SUMIF(Combined[Date],EarningsPerDay[[#This Row],[Date]],Combined[Trips])</f>
        <v>8</v>
      </c>
      <c r="P298">
        <f>COUNTIF(Combined[Date],EarningsPerDay[[#This Row],[Date]])</f>
        <v>2</v>
      </c>
      <c r="Q2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8" s="11">
        <f>SUMIF(Combined[Date],EarningsPerDay[[#This Row],[Date]],Combined[Earnings])</f>
        <v>69.290000000000006</v>
      </c>
      <c r="S298" s="11">
        <f ca="1">EarningsPerDay[[#This Row],[Gross Earnings]]-(EarningsPerDay[[#This Row],[Miles]]*CpM!$D$11)</f>
        <v>55.242695164418123</v>
      </c>
      <c r="T298" s="11">
        <f t="shared" si="33"/>
        <v>20.870481927710845</v>
      </c>
      <c r="U298" s="11">
        <f t="shared" ca="1" si="34"/>
        <v>16.639366013378954</v>
      </c>
      <c r="V298" s="11">
        <f>EarningsPerDay[[#This Row],[Gross Earnings]]/EarningsPerDay[[#This Row],[Deliveries]]</f>
        <v>8.6612500000000008</v>
      </c>
      <c r="W298" s="11">
        <f>EarningsPerDay[[#This Row],[Gross Earnings]]/EarningsPerDay[[#This Row],[Miles]]</f>
        <v>1.0998412698412698</v>
      </c>
      <c r="X298" s="71">
        <f>EarningsPerDay[[#This Row],[Deliveries]]/EarningsPerDay[[#This Row],[Hours]]</f>
        <v>2.4096385542168677</v>
      </c>
      <c r="Y298" s="71">
        <f>EarningsPerDay[[#This Row],[Miles]]/EarningsPerDay[[#This Row],[Deliveries]]</f>
        <v>7.875</v>
      </c>
      <c r="Z298" s="81">
        <f>(EarningsPerDay[[#This Row],[Hours]]/EarningsPerDay[[#This Row],[Deliveries]])/24</f>
        <v>1.7291666666666667E-2</v>
      </c>
      <c r="AA2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-3.2677500034055065</v>
      </c>
      <c r="AB298" s="11">
        <f>AVERAGEIFS(EarningsPerDay[Gross $/Hour],EarningsPerDay[Week '#], EarningsPerDay[[#This Row],[Week '#]], EarningsPerDay[DOW], EarningsPerDay[[#This Row],[DOW]])</f>
        <v>21.385404996263951</v>
      </c>
      <c r="AC298" s="11">
        <f>EarningsPerDay[[#This Row],[Gross $/Hour]] - EarningsPerDay[[#This Row],[Weekly Average Earnings]]</f>
        <v>-0.51492306855310588</v>
      </c>
      <c r="AD298" s="11">
        <f>(SUMIFS(EarningsPerDay[Gross Earnings], EarningsPerDay[Date],"&gt;="&amp;EarningsPerDay[[#This Row],[Date]]-89, EarningsPerDay[Date], "&lt;="&amp;EarningsPerDay[[#This Row],[Date]]))/90</f>
        <v>55.708666666666652</v>
      </c>
    </row>
    <row r="299" spans="2:30" x14ac:dyDescent="0.35">
      <c r="B299" s="40">
        <v>45051</v>
      </c>
      <c r="C299" s="40">
        <f t="shared" si="31"/>
        <v>45051</v>
      </c>
      <c r="D299" s="4">
        <f>IF(EarningsPerDay[[#This Row],[Week '#]]&gt;=52,YEAR(EarningsPerDay[[#This Row],[Date]])-1,YEAR(EarningsPerDay[[#This Row],[Date]]))</f>
        <v>2023</v>
      </c>
      <c r="E299" s="4" t="str">
        <f>"QTR"&amp;IF(EarningsPerDay[[#This Row],[Week '#]] &lt;= 13, 1, IF(EarningsPerDay[[#This Row],[Week '#]] &lt;= 26, 2, IF(EarningsPerDay[[#This Row],[Week '#]] &lt;= 39, 3, 4)))</f>
        <v>QTR2</v>
      </c>
      <c r="F2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299" s="4">
        <f>IF(WEEKNUM(EarningsPerDay[[#This Row],[Date]], 2) = 53, 1, WEEKNUM(EarningsPerDay[[#This Row],[Date]],2))</f>
        <v>19</v>
      </c>
      <c r="H299" s="40" t="str">
        <f t="shared" si="32"/>
        <v>Friday</v>
      </c>
      <c r="I29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299" s="40" t="str" cm="1">
        <f t="array" ref="J299">IFERROR(VLOOKUP(MODE(IF(Combined[Date]=EarningsPerDay[[#This Row],[Date]],Combined[Area '#])),KPIs!$B$4:$C$7,2,FALSE),VLOOKUP(EarningsPerDay[[#This Row],[Date]],Combined[[Date]:[Primary Area]],8,FALSE))</f>
        <v>Portland</v>
      </c>
      <c r="K299" s="40" t="str">
        <f>_xlfn.XLOOKUP(EarningsPerDay[[#This Row],[Date]],Mileage[Date],Mileage[Weather])</f>
        <v>Clear</v>
      </c>
      <c r="L299" s="4">
        <f>_xlfn.XLOOKUP(EarningsPerDay[[#This Row],[Date]],Mileage[Date],Mileage[Hi Temp])</f>
        <v>74.7</v>
      </c>
      <c r="M299" s="12">
        <f>_xlfn.XLOOKUP(EarningsPerDay[[#This Row],[Date]],Mileage[Date],Mileage[Total Time])</f>
        <v>7.35</v>
      </c>
      <c r="N299" s="4">
        <f>_xlfn.XLOOKUP(EarningsPerDay[[#This Row],[Date]],Mileage[Date],Mileage[Mileage])</f>
        <v>155</v>
      </c>
      <c r="O299" s="4">
        <f>SUMIF(Combined[Date],EarningsPerDay[[#This Row],[Date]],Combined[Trips])</f>
        <v>15</v>
      </c>
      <c r="P299">
        <f>COUNTIF(Combined[Date],EarningsPerDay[[#This Row],[Date]])</f>
        <v>2</v>
      </c>
      <c r="Q29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299" s="11">
        <f>SUMIF(Combined[Date],EarningsPerDay[[#This Row],[Date]],Combined[Earnings])</f>
        <v>154.94</v>
      </c>
      <c r="S299" s="11">
        <f ca="1">EarningsPerDay[[#This Row],[Gross Earnings]]-(EarningsPerDay[[#This Row],[Miles]]*CpM!$D$11)</f>
        <v>120.379170642616</v>
      </c>
      <c r="T299" s="11">
        <f t="shared" si="33"/>
        <v>21.080272108843538</v>
      </c>
      <c r="U299" s="11">
        <f t="shared" ca="1" si="34"/>
        <v>16.378118454777688</v>
      </c>
      <c r="V299" s="11">
        <f>EarningsPerDay[[#This Row],[Gross Earnings]]/EarningsPerDay[[#This Row],[Deliveries]]</f>
        <v>10.329333333333333</v>
      </c>
      <c r="W299" s="11">
        <f>EarningsPerDay[[#This Row],[Gross Earnings]]/EarningsPerDay[[#This Row],[Miles]]</f>
        <v>0.99961290322580643</v>
      </c>
      <c r="X299" s="71">
        <f>EarningsPerDay[[#This Row],[Deliveries]]/EarningsPerDay[[#This Row],[Hours]]</f>
        <v>2.0408163265306123</v>
      </c>
      <c r="Y299" s="71">
        <f>EarningsPerDay[[#This Row],[Miles]]/EarningsPerDay[[#This Row],[Deliveries]]</f>
        <v>10.333333333333334</v>
      </c>
      <c r="Z299" s="81">
        <f>(EarningsPerDay[[#This Row],[Hours]]/EarningsPerDay[[#This Row],[Deliveries]])/24</f>
        <v>2.0416666666666666E-2</v>
      </c>
      <c r="AA2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-1.0653921412221372</v>
      </c>
      <c r="AB299" s="11">
        <f>AVERAGEIFS(EarningsPerDay[Gross $/Hour],EarningsPerDay[Week '#], EarningsPerDay[[#This Row],[Week '#]], EarningsPerDay[DOW], EarningsPerDay[[#This Row],[DOW]])</f>
        <v>15.596737876437123</v>
      </c>
      <c r="AC299" s="11">
        <f>EarningsPerDay[[#This Row],[Gross $/Hour]] - EarningsPerDay[[#This Row],[Weekly Average Earnings]]</f>
        <v>5.4835342324064147</v>
      </c>
      <c r="AD299" s="11">
        <f>(SUMIFS(EarningsPerDay[Gross Earnings], EarningsPerDay[Date],"&gt;="&amp;EarningsPerDay[[#This Row],[Date]]-89, EarningsPerDay[Date], "&lt;="&amp;EarningsPerDay[[#This Row],[Date]]))/90</f>
        <v>57.430222222222206</v>
      </c>
    </row>
    <row r="300" spans="2:30" x14ac:dyDescent="0.35">
      <c r="B300" s="40">
        <v>45053</v>
      </c>
      <c r="C300" s="40">
        <f t="shared" si="31"/>
        <v>45053</v>
      </c>
      <c r="D300" s="4">
        <f>IF(EarningsPerDay[[#This Row],[Week '#]]&gt;=52,YEAR(EarningsPerDay[[#This Row],[Date]])-1,YEAR(EarningsPerDay[[#This Row],[Date]]))</f>
        <v>2023</v>
      </c>
      <c r="E300" s="4" t="str">
        <f>"QTR"&amp;IF(EarningsPerDay[[#This Row],[Week '#]] &lt;= 13, 1, IF(EarningsPerDay[[#This Row],[Week '#]] &lt;= 26, 2, IF(EarningsPerDay[[#This Row],[Week '#]] &lt;= 39, 3, 4)))</f>
        <v>QTR2</v>
      </c>
      <c r="F3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00" s="4">
        <f>IF(WEEKNUM(EarningsPerDay[[#This Row],[Date]], 2) = 53, 1, WEEKNUM(EarningsPerDay[[#This Row],[Date]],2))</f>
        <v>19</v>
      </c>
      <c r="H300" s="40" t="str">
        <f t="shared" si="32"/>
        <v>Sunday</v>
      </c>
      <c r="I30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00" s="40" t="str" cm="1">
        <f t="array" ref="J300">IFERROR(VLOOKUP(MODE(IF(Combined[Date]=EarningsPerDay[[#This Row],[Date]],Combined[Area '#])),KPIs!$B$4:$C$7,2,FALSE),VLOOKUP(EarningsPerDay[[#This Row],[Date]],Combined[[Date]:[Primary Area]],8,FALSE))</f>
        <v>Portland</v>
      </c>
      <c r="K300" s="40" t="str">
        <f>_xlfn.XLOOKUP(EarningsPerDay[[#This Row],[Date]],Mileage[Date],Mileage[Weather])</f>
        <v>Clear</v>
      </c>
      <c r="L300" s="4">
        <f>_xlfn.XLOOKUP(EarningsPerDay[[#This Row],[Date]],Mileage[Date],Mileage[Hi Temp])</f>
        <v>66.8</v>
      </c>
      <c r="M300" s="12">
        <f>_xlfn.XLOOKUP(EarningsPerDay[[#This Row],[Date]],Mileage[Date],Mileage[Total Time])</f>
        <v>3.93</v>
      </c>
      <c r="N300" s="4">
        <f>_xlfn.XLOOKUP(EarningsPerDay[[#This Row],[Date]],Mileage[Date],Mileage[Mileage])</f>
        <v>75</v>
      </c>
      <c r="O300" s="4">
        <f>SUMIF(Combined[Date],EarningsPerDay[[#This Row],[Date]],Combined[Trips])</f>
        <v>7</v>
      </c>
      <c r="P300">
        <f>COUNTIF(Combined[Date],EarningsPerDay[[#This Row],[Date]])</f>
        <v>2</v>
      </c>
      <c r="Q3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0" s="11">
        <f>SUMIF(Combined[Date],EarningsPerDay[[#This Row],[Date]],Combined[Earnings])</f>
        <v>73.87</v>
      </c>
      <c r="S300" s="11">
        <f ca="1">EarningsPerDay[[#This Row],[Gross Earnings]]-(EarningsPerDay[[#This Row],[Miles]]*CpM!$D$11)</f>
        <v>57.147018052878721</v>
      </c>
      <c r="T300" s="11">
        <f t="shared" si="33"/>
        <v>18.796437659033078</v>
      </c>
      <c r="U300" s="11">
        <f t="shared" ca="1" si="34"/>
        <v>14.541225967653618</v>
      </c>
      <c r="V300" s="11">
        <f>EarningsPerDay[[#This Row],[Gross Earnings]]/EarningsPerDay[[#This Row],[Deliveries]]</f>
        <v>10.552857142857144</v>
      </c>
      <c r="W300" s="11">
        <f>EarningsPerDay[[#This Row],[Gross Earnings]]/EarningsPerDay[[#This Row],[Miles]]</f>
        <v>0.98493333333333344</v>
      </c>
      <c r="X300" s="71">
        <f>EarningsPerDay[[#This Row],[Deliveries]]/EarningsPerDay[[#This Row],[Hours]]</f>
        <v>1.7811704834605597</v>
      </c>
      <c r="Y300" s="71">
        <f>EarningsPerDay[[#This Row],[Miles]]/EarningsPerDay[[#This Row],[Deliveries]]</f>
        <v>10.714285714285714</v>
      </c>
      <c r="Z300" s="81">
        <f>(EarningsPerDay[[#This Row],[Hours]]/EarningsPerDay[[#This Row],[Deliveries]])/24</f>
        <v>2.3392857142857146E-2</v>
      </c>
      <c r="AA3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-7.3329492717138152</v>
      </c>
      <c r="AB300" s="11">
        <f>AVERAGEIFS(EarningsPerDay[Gross $/Hour],EarningsPerDay[Week '#], EarningsPerDay[[#This Row],[Week '#]], EarningsPerDay[DOW], EarningsPerDay[[#This Row],[DOW]])</f>
        <v>22.364407354106703</v>
      </c>
      <c r="AC300" s="11">
        <f>EarningsPerDay[[#This Row],[Gross $/Hour]] - EarningsPerDay[[#This Row],[Weekly Average Earnings]]</f>
        <v>-3.567969695073625</v>
      </c>
      <c r="AD300" s="11">
        <f>(SUMIFS(EarningsPerDay[Gross Earnings], EarningsPerDay[Date],"&gt;="&amp;EarningsPerDay[[#This Row],[Date]]-89, EarningsPerDay[Date], "&lt;="&amp;EarningsPerDay[[#This Row],[Date]]))/90</f>
        <v>58.250999999999983</v>
      </c>
    </row>
    <row r="301" spans="2:30" x14ac:dyDescent="0.35">
      <c r="B301" s="40">
        <v>45056</v>
      </c>
      <c r="C301" s="40">
        <f t="shared" si="31"/>
        <v>45056</v>
      </c>
      <c r="D301" s="4">
        <f>IF(EarningsPerDay[[#This Row],[Week '#]]&gt;=52,YEAR(EarningsPerDay[[#This Row],[Date]])-1,YEAR(EarningsPerDay[[#This Row],[Date]]))</f>
        <v>2023</v>
      </c>
      <c r="E301" s="4" t="str">
        <f>"QTR"&amp;IF(EarningsPerDay[[#This Row],[Week '#]] &lt;= 13, 1, IF(EarningsPerDay[[#This Row],[Week '#]] &lt;= 26, 2, IF(EarningsPerDay[[#This Row],[Week '#]] &lt;= 39, 3, 4)))</f>
        <v>QTR2</v>
      </c>
      <c r="F3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01" s="4">
        <f>IF(WEEKNUM(EarningsPerDay[[#This Row],[Date]], 2) = 53, 1, WEEKNUM(EarningsPerDay[[#This Row],[Date]],2))</f>
        <v>20</v>
      </c>
      <c r="H301" s="40" t="str">
        <f t="shared" si="32"/>
        <v>Wednesday</v>
      </c>
      <c r="I30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01" s="40" t="str" cm="1">
        <f t="array" ref="J301">IFERROR(VLOOKUP(MODE(IF(Combined[Date]=EarningsPerDay[[#This Row],[Date]],Combined[Area '#])),KPIs!$B$4:$C$7,2,FALSE),VLOOKUP(EarningsPerDay[[#This Row],[Date]],Combined[[Date]:[Primary Area]],8,FALSE))</f>
        <v>Brunswick/Bath/Freeport</v>
      </c>
      <c r="K301" s="40" t="str">
        <f>_xlfn.XLOOKUP(EarningsPerDay[[#This Row],[Date]],Mileage[Date],Mileage[Weather])</f>
        <v>Clear</v>
      </c>
      <c r="L301" s="4">
        <f>_xlfn.XLOOKUP(EarningsPerDay[[#This Row],[Date]],Mileage[Date],Mileage[Hi Temp])</f>
        <v>78.7</v>
      </c>
      <c r="M301" s="12">
        <f>_xlfn.XLOOKUP(EarningsPerDay[[#This Row],[Date]],Mileage[Date],Mileage[Total Time])</f>
        <v>4.43</v>
      </c>
      <c r="N301" s="4">
        <f>_xlfn.XLOOKUP(EarningsPerDay[[#This Row],[Date]],Mileage[Date],Mileage[Mileage])</f>
        <v>111</v>
      </c>
      <c r="O301" s="4">
        <f>SUMIF(Combined[Date],EarningsPerDay[[#This Row],[Date]],Combined[Trips])</f>
        <v>6</v>
      </c>
      <c r="P301">
        <f>COUNTIF(Combined[Date],EarningsPerDay[[#This Row],[Date]])</f>
        <v>2</v>
      </c>
      <c r="Q3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1" s="11">
        <f>SUMIF(Combined[Date],EarningsPerDay[[#This Row],[Date]],Combined[Earnings])</f>
        <v>79.960000000000008</v>
      </c>
      <c r="S301" s="11">
        <f ca="1">EarningsPerDay[[#This Row],[Gross Earnings]]-(EarningsPerDay[[#This Row],[Miles]]*CpM!$D$11)</f>
        <v>55.209986718260502</v>
      </c>
      <c r="T301" s="11">
        <f t="shared" si="33"/>
        <v>18.049661399548537</v>
      </c>
      <c r="U301" s="11">
        <f t="shared" ca="1" si="34"/>
        <v>12.462750952203274</v>
      </c>
      <c r="V301" s="11">
        <f>EarningsPerDay[[#This Row],[Gross Earnings]]/EarningsPerDay[[#This Row],[Deliveries]]</f>
        <v>13.326666666666668</v>
      </c>
      <c r="W301" s="11">
        <f>EarningsPerDay[[#This Row],[Gross Earnings]]/EarningsPerDay[[#This Row],[Miles]]</f>
        <v>0.72036036036036044</v>
      </c>
      <c r="X301" s="71">
        <f>EarningsPerDay[[#This Row],[Deliveries]]/EarningsPerDay[[#This Row],[Hours]]</f>
        <v>1.3544018058690745</v>
      </c>
      <c r="Y301" s="71">
        <f>EarningsPerDay[[#This Row],[Miles]]/EarningsPerDay[[#This Row],[Deliveries]]</f>
        <v>18.5</v>
      </c>
      <c r="Z301" s="81">
        <f>(EarningsPerDay[[#This Row],[Hours]]/EarningsPerDay[[#This Row],[Deliveries]])/24</f>
        <v>3.0763888888888886E-2</v>
      </c>
      <c r="AA3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-9.8751868439924664</v>
      </c>
      <c r="AB301" s="11">
        <f>AVERAGEIFS(EarningsPerDay[Gross $/Hour],EarningsPerDay[Week '#], EarningsPerDay[[#This Row],[Week '#]], EarningsPerDay[DOW], EarningsPerDay[[#This Row],[DOW]])</f>
        <v>24.268423200414826</v>
      </c>
      <c r="AC301" s="11">
        <f>EarningsPerDay[[#This Row],[Gross $/Hour]] - EarningsPerDay[[#This Row],[Weekly Average Earnings]]</f>
        <v>-6.2187618008662895</v>
      </c>
      <c r="AD301" s="11">
        <f>(SUMIFS(EarningsPerDay[Gross Earnings], EarningsPerDay[Date],"&gt;="&amp;EarningsPerDay[[#This Row],[Date]]-89, EarningsPerDay[Date], "&lt;="&amp;EarningsPerDay[[#This Row],[Date]]))/90</f>
        <v>55.780888888888875</v>
      </c>
    </row>
    <row r="302" spans="2:30" x14ac:dyDescent="0.35">
      <c r="B302" s="40">
        <v>45058</v>
      </c>
      <c r="C302" s="40">
        <f t="shared" si="31"/>
        <v>45058</v>
      </c>
      <c r="D302" s="4">
        <f>IF(EarningsPerDay[[#This Row],[Week '#]]&gt;=52,YEAR(EarningsPerDay[[#This Row],[Date]])-1,YEAR(EarningsPerDay[[#This Row],[Date]]))</f>
        <v>2023</v>
      </c>
      <c r="E302" s="4" t="str">
        <f>"QTR"&amp;IF(EarningsPerDay[[#This Row],[Week '#]] &lt;= 13, 1, IF(EarningsPerDay[[#This Row],[Week '#]] &lt;= 26, 2, IF(EarningsPerDay[[#This Row],[Week '#]] &lt;= 39, 3, 4)))</f>
        <v>QTR2</v>
      </c>
      <c r="F3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02" s="4">
        <f>IF(WEEKNUM(EarningsPerDay[[#This Row],[Date]], 2) = 53, 1, WEEKNUM(EarningsPerDay[[#This Row],[Date]],2))</f>
        <v>20</v>
      </c>
      <c r="H302" s="40" t="str">
        <f t="shared" si="32"/>
        <v>Friday</v>
      </c>
      <c r="I30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02" s="40" t="str" cm="1">
        <f t="array" ref="J302">IFERROR(VLOOKUP(MODE(IF(Combined[Date]=EarningsPerDay[[#This Row],[Date]],Combined[Area '#])),KPIs!$B$4:$C$7,2,FALSE),VLOOKUP(EarningsPerDay[[#This Row],[Date]],Combined[[Date]:[Primary Area]],8,FALSE))</f>
        <v>Brunswick/Bath/Freeport</v>
      </c>
      <c r="K302" s="40" t="str">
        <f>_xlfn.XLOOKUP(EarningsPerDay[[#This Row],[Date]],Mileage[Date],Mileage[Weather])</f>
        <v>Clear</v>
      </c>
      <c r="L302" s="4">
        <f>_xlfn.XLOOKUP(EarningsPerDay[[#This Row],[Date]],Mileage[Date],Mileage[Hi Temp])</f>
        <v>70.099999999999994</v>
      </c>
      <c r="M302" s="12">
        <f>_xlfn.XLOOKUP(EarningsPerDay[[#This Row],[Date]],Mileage[Date],Mileage[Total Time])</f>
        <v>6.35</v>
      </c>
      <c r="N302" s="4">
        <f>_xlfn.XLOOKUP(EarningsPerDay[[#This Row],[Date]],Mileage[Date],Mileage[Mileage])</f>
        <v>147</v>
      </c>
      <c r="O302" s="4">
        <f>SUMIF(Combined[Date],EarningsPerDay[[#This Row],[Date]],Combined[Trips])</f>
        <v>13</v>
      </c>
      <c r="P302">
        <f>COUNTIF(Combined[Date],EarningsPerDay[[#This Row],[Date]])</f>
        <v>3</v>
      </c>
      <c r="Q30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02" s="11">
        <f>SUMIF(Combined[Date],EarningsPerDay[[#This Row],[Date]],Combined[Earnings])</f>
        <v>127.80000000000001</v>
      </c>
      <c r="S302" s="11">
        <f ca="1">EarningsPerDay[[#This Row],[Gross Earnings]]-(EarningsPerDay[[#This Row],[Miles]]*CpM!$D$11)</f>
        <v>95.022955383642284</v>
      </c>
      <c r="T302" s="11">
        <f t="shared" si="33"/>
        <v>20.125984251968507</v>
      </c>
      <c r="U302" s="11">
        <f t="shared" ca="1" si="34"/>
        <v>14.964244942305871</v>
      </c>
      <c r="V302" s="11">
        <f>EarningsPerDay[[#This Row],[Gross Earnings]]/EarningsPerDay[[#This Row],[Deliveries]]</f>
        <v>9.8307692307692314</v>
      </c>
      <c r="W302" s="11">
        <f>EarningsPerDay[[#This Row],[Gross Earnings]]/EarningsPerDay[[#This Row],[Miles]]</f>
        <v>0.86938775510204092</v>
      </c>
      <c r="X302" s="71">
        <f>EarningsPerDay[[#This Row],[Deliveries]]/EarningsPerDay[[#This Row],[Hours]]</f>
        <v>2.0472440944881889</v>
      </c>
      <c r="Y302" s="71">
        <f>EarningsPerDay[[#This Row],[Miles]]/EarningsPerDay[[#This Row],[Deliveries]]</f>
        <v>11.307692307692308</v>
      </c>
      <c r="Z302" s="81">
        <f>(EarningsPerDay[[#This Row],[Hours]]/EarningsPerDay[[#This Row],[Deliveries]])/24</f>
        <v>2.0352564102564103E-2</v>
      </c>
      <c r="AA3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-8.9910654726832568</v>
      </c>
      <c r="AB302" s="11">
        <f>AVERAGEIFS(EarningsPerDay[Gross $/Hour],EarningsPerDay[Week '#], EarningsPerDay[[#This Row],[Week '#]], EarningsPerDay[DOW], EarningsPerDay[[#This Row],[DOW]])</f>
        <v>26.162300455424486</v>
      </c>
      <c r="AC302" s="11">
        <f>EarningsPerDay[[#This Row],[Gross $/Hour]] - EarningsPerDay[[#This Row],[Weekly Average Earnings]]</f>
        <v>-6.0363162034559785</v>
      </c>
      <c r="AD302" s="11">
        <f>(SUMIFS(EarningsPerDay[Gross Earnings], EarningsPerDay[Date],"&gt;="&amp;EarningsPerDay[[#This Row],[Date]]-89, EarningsPerDay[Date], "&lt;="&amp;EarningsPerDay[[#This Row],[Date]]))/90</f>
        <v>54.407222222222217</v>
      </c>
    </row>
    <row r="303" spans="2:30" x14ac:dyDescent="0.35">
      <c r="B303" s="40">
        <v>45064</v>
      </c>
      <c r="C303" s="40">
        <f t="shared" ref="C303:C366" si="35">B303</f>
        <v>45064</v>
      </c>
      <c r="D303" s="4">
        <f>IF(EarningsPerDay[[#This Row],[Week '#]]&gt;=52,YEAR(EarningsPerDay[[#This Row],[Date]])-1,YEAR(EarningsPerDay[[#This Row],[Date]]))</f>
        <v>2023</v>
      </c>
      <c r="E303" s="4" t="str">
        <f>"QTR"&amp;IF(EarningsPerDay[[#This Row],[Week '#]] &lt;= 13, 1, IF(EarningsPerDay[[#This Row],[Week '#]] &lt;= 26, 2, IF(EarningsPerDay[[#This Row],[Week '#]] &lt;= 39, 3, 4)))</f>
        <v>QTR2</v>
      </c>
      <c r="F3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03" s="4">
        <f>IF(WEEKNUM(EarningsPerDay[[#This Row],[Date]], 2) = 53, 1, WEEKNUM(EarningsPerDay[[#This Row],[Date]],2))</f>
        <v>21</v>
      </c>
      <c r="H303" s="40" t="str">
        <f t="shared" ref="H303:H366" si="36">TEXT(B303,"DDDD")</f>
        <v>Thursday</v>
      </c>
      <c r="I30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03" s="40" t="str" cm="1">
        <f t="array" ref="J303">IFERROR(VLOOKUP(MODE(IF(Combined[Date]=EarningsPerDay[[#This Row],[Date]],Combined[Area '#])),KPIs!$B$4:$C$7,2,FALSE),VLOOKUP(EarningsPerDay[[#This Row],[Date]],Combined[[Date]:[Primary Area]],8,FALSE))</f>
        <v>Portland</v>
      </c>
      <c r="K303" s="40" t="str">
        <f>_xlfn.XLOOKUP(EarningsPerDay[[#This Row],[Date]],Mileage[Date],Mileage[Weather])</f>
        <v>Clear</v>
      </c>
      <c r="L303" s="4">
        <f>_xlfn.XLOOKUP(EarningsPerDay[[#This Row],[Date]],Mileage[Date],Mileage[Hi Temp])</f>
        <v>62.4</v>
      </c>
      <c r="M303" s="12">
        <f>_xlfn.XLOOKUP(EarningsPerDay[[#This Row],[Date]],Mileage[Date],Mileage[Total Time])</f>
        <v>3.7</v>
      </c>
      <c r="N303" s="4">
        <f>_xlfn.XLOOKUP(EarningsPerDay[[#This Row],[Date]],Mileage[Date],Mileage[Mileage])</f>
        <v>87</v>
      </c>
      <c r="O303" s="4">
        <f>SUMIF(Combined[Date],EarningsPerDay[[#This Row],[Date]],Combined[Trips])</f>
        <v>7</v>
      </c>
      <c r="P303">
        <f>COUNTIF(Combined[Date],EarningsPerDay[[#This Row],[Date]])</f>
        <v>3</v>
      </c>
      <c r="Q3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3" s="11">
        <f>SUMIF(Combined[Date],EarningsPerDay[[#This Row],[Date]],Combined[Earnings])</f>
        <v>59.27</v>
      </c>
      <c r="S303" s="11">
        <f ca="1">EarningsPerDay[[#This Row],[Gross Earnings]]-(EarningsPerDay[[#This Row],[Miles]]*CpM!$D$11)</f>
        <v>39.871340941339312</v>
      </c>
      <c r="T303" s="11">
        <f t="shared" si="33"/>
        <v>16.018918918918921</v>
      </c>
      <c r="U303" s="11">
        <f t="shared" ca="1" si="34"/>
        <v>10.776038092253868</v>
      </c>
      <c r="V303" s="11">
        <f>EarningsPerDay[[#This Row],[Gross Earnings]]/EarningsPerDay[[#This Row],[Deliveries]]</f>
        <v>8.4671428571428571</v>
      </c>
      <c r="W303" s="11">
        <f>EarningsPerDay[[#This Row],[Gross Earnings]]/EarningsPerDay[[#This Row],[Miles]]</f>
        <v>0.68126436781609201</v>
      </c>
      <c r="X303" s="71">
        <f>EarningsPerDay[[#This Row],[Deliveries]]/EarningsPerDay[[#This Row],[Hours]]</f>
        <v>1.8918918918918919</v>
      </c>
      <c r="Y303" s="71">
        <f>EarningsPerDay[[#This Row],[Miles]]/EarningsPerDay[[#This Row],[Deliveries]]</f>
        <v>12.428571428571429</v>
      </c>
      <c r="Z303" s="81">
        <f>(EarningsPerDay[[#This Row],[Hours]]/EarningsPerDay[[#This Row],[Deliveries]])/24</f>
        <v>2.2023809523809525E-2</v>
      </c>
      <c r="AA3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-1.6640373405079245</v>
      </c>
      <c r="AB303" s="11">
        <f>AVERAGEIFS(EarningsPerDay[Gross $/Hour],EarningsPerDay[Week '#], EarningsPerDay[[#This Row],[Week '#]], EarningsPerDay[DOW], EarningsPerDay[[#This Row],[DOW]])</f>
        <v>19.770465325238188</v>
      </c>
      <c r="AC303" s="11">
        <f>EarningsPerDay[[#This Row],[Gross $/Hour]] - EarningsPerDay[[#This Row],[Weekly Average Earnings]]</f>
        <v>-3.7515464063192674</v>
      </c>
      <c r="AD303" s="11">
        <f>(SUMIFS(EarningsPerDay[Gross Earnings], EarningsPerDay[Date],"&gt;="&amp;EarningsPerDay[[#This Row],[Date]]-89, EarningsPerDay[Date], "&lt;="&amp;EarningsPerDay[[#This Row],[Date]]))/90</f>
        <v>48.215111111111128</v>
      </c>
    </row>
    <row r="304" spans="2:30" x14ac:dyDescent="0.35">
      <c r="B304" s="40">
        <v>45067</v>
      </c>
      <c r="C304" s="40">
        <f t="shared" si="35"/>
        <v>45067</v>
      </c>
      <c r="D304" s="4">
        <f>IF(EarningsPerDay[[#This Row],[Week '#]]&gt;=52,YEAR(EarningsPerDay[[#This Row],[Date]])-1,YEAR(EarningsPerDay[[#This Row],[Date]]))</f>
        <v>2023</v>
      </c>
      <c r="E304" s="4" t="str">
        <f>"QTR"&amp;IF(EarningsPerDay[[#This Row],[Week '#]] &lt;= 13, 1, IF(EarningsPerDay[[#This Row],[Week '#]] &lt;= 26, 2, IF(EarningsPerDay[[#This Row],[Week '#]] &lt;= 39, 3, 4)))</f>
        <v>QTR2</v>
      </c>
      <c r="F3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04" s="4">
        <f>IF(WEEKNUM(EarningsPerDay[[#This Row],[Date]], 2) = 53, 1, WEEKNUM(EarningsPerDay[[#This Row],[Date]],2))</f>
        <v>21</v>
      </c>
      <c r="H304" s="40" t="str">
        <f t="shared" si="36"/>
        <v>Sunday</v>
      </c>
      <c r="I30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04" s="40" t="str" cm="1">
        <f t="array" ref="J304">IFERROR(VLOOKUP(MODE(IF(Combined[Date]=EarningsPerDay[[#This Row],[Date]],Combined[Area '#])),KPIs!$B$4:$C$7,2,FALSE),VLOOKUP(EarningsPerDay[[#This Row],[Date]],Combined[[Date]:[Primary Area]],8,FALSE))</f>
        <v>Portland</v>
      </c>
      <c r="K304" s="40" t="str">
        <f>_xlfn.XLOOKUP(EarningsPerDay[[#This Row],[Date]],Mileage[Date],Mileage[Weather])</f>
        <v>Clear</v>
      </c>
      <c r="L304" s="4">
        <f>_xlfn.XLOOKUP(EarningsPerDay[[#This Row],[Date]],Mileage[Date],Mileage[Hi Temp])</f>
        <v>64.5</v>
      </c>
      <c r="M304" s="12">
        <f>_xlfn.XLOOKUP(EarningsPerDay[[#This Row],[Date]],Mileage[Date],Mileage[Total Time])</f>
        <v>2.2799999999999998</v>
      </c>
      <c r="N304" s="4">
        <f>_xlfn.XLOOKUP(EarningsPerDay[[#This Row],[Date]],Mileage[Date],Mileage[Mileage])</f>
        <v>46.9</v>
      </c>
      <c r="O304" s="4">
        <f>SUMIF(Combined[Date],EarningsPerDay[[#This Row],[Date]],Combined[Trips])</f>
        <v>3</v>
      </c>
      <c r="P304">
        <f>COUNTIF(Combined[Date],EarningsPerDay[[#This Row],[Date]])</f>
        <v>1</v>
      </c>
      <c r="Q3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4" s="11">
        <f>SUMIF(Combined[Date],EarningsPerDay[[#This Row],[Date]],Combined[Earnings])</f>
        <v>19.8</v>
      </c>
      <c r="S304" s="11">
        <f ca="1">EarningsPerDay[[#This Row],[Gross Earnings]]-(EarningsPerDay[[#This Row],[Miles]]*CpM!$D$11)</f>
        <v>9.3425619557334905</v>
      </c>
      <c r="T304" s="11">
        <f t="shared" si="33"/>
        <v>8.6842105263157912</v>
      </c>
      <c r="U304" s="11">
        <f t="shared" ca="1" si="34"/>
        <v>4.0976148928655665</v>
      </c>
      <c r="V304" s="11">
        <f>EarningsPerDay[[#This Row],[Gross Earnings]]/EarningsPerDay[[#This Row],[Deliveries]]</f>
        <v>6.6000000000000005</v>
      </c>
      <c r="W304" s="11">
        <f>EarningsPerDay[[#This Row],[Gross Earnings]]/EarningsPerDay[[#This Row],[Miles]]</f>
        <v>0.42217484008528788</v>
      </c>
      <c r="X304" s="71">
        <f>EarningsPerDay[[#This Row],[Deliveries]]/EarningsPerDay[[#This Row],[Hours]]</f>
        <v>1.3157894736842106</v>
      </c>
      <c r="Y304" s="71">
        <f>EarningsPerDay[[#This Row],[Miles]]/EarningsPerDay[[#This Row],[Deliveries]]</f>
        <v>15.633333333333333</v>
      </c>
      <c r="Z304" s="81">
        <f>(EarningsPerDay[[#This Row],[Hours]]/EarningsPerDay[[#This Row],[Deliveries]])/24</f>
        <v>3.1666666666666662E-2</v>
      </c>
      <c r="AA3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-15.978586550088338</v>
      </c>
      <c r="AB304" s="11">
        <f>AVERAGEIFS(EarningsPerDay[Gross $/Hour],EarningsPerDay[Week '#], EarningsPerDay[[#This Row],[Week '#]], EarningsPerDay[DOW], EarningsPerDay[[#This Row],[DOW]])</f>
        <v>18.720893141945773</v>
      </c>
      <c r="AC304" s="11">
        <f>EarningsPerDay[[#This Row],[Gross $/Hour]] - EarningsPerDay[[#This Row],[Weekly Average Earnings]]</f>
        <v>-10.036682615629982</v>
      </c>
      <c r="AD304" s="11">
        <f>(SUMIFS(EarningsPerDay[Gross Earnings], EarningsPerDay[Date],"&gt;="&amp;EarningsPerDay[[#This Row],[Date]]-89, EarningsPerDay[Date], "&lt;="&amp;EarningsPerDay[[#This Row],[Date]]))/90</f>
        <v>48.435111111111127</v>
      </c>
    </row>
    <row r="305" spans="2:30" x14ac:dyDescent="0.35">
      <c r="B305" s="40">
        <v>45068</v>
      </c>
      <c r="C305" s="40">
        <f t="shared" si="35"/>
        <v>45068</v>
      </c>
      <c r="D305" s="4">
        <f>IF(EarningsPerDay[[#This Row],[Week '#]]&gt;=52,YEAR(EarningsPerDay[[#This Row],[Date]])-1,YEAR(EarningsPerDay[[#This Row],[Date]]))</f>
        <v>2023</v>
      </c>
      <c r="E305" s="4" t="str">
        <f>"QTR"&amp;IF(EarningsPerDay[[#This Row],[Week '#]] &lt;= 13, 1, IF(EarningsPerDay[[#This Row],[Week '#]] &lt;= 26, 2, IF(EarningsPerDay[[#This Row],[Week '#]] &lt;= 39, 3, 4)))</f>
        <v>QTR2</v>
      </c>
      <c r="F3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05" s="4">
        <f>IF(WEEKNUM(EarningsPerDay[[#This Row],[Date]], 2) = 53, 1, WEEKNUM(EarningsPerDay[[#This Row],[Date]],2))</f>
        <v>22</v>
      </c>
      <c r="H305" s="40" t="str">
        <f t="shared" si="36"/>
        <v>Monday</v>
      </c>
      <c r="I30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05" s="40" t="str" cm="1">
        <f t="array" ref="J305">IFERROR(VLOOKUP(MODE(IF(Combined[Date]=EarningsPerDay[[#This Row],[Date]],Combined[Area '#])),KPIs!$B$4:$C$7,2,FALSE),VLOOKUP(EarningsPerDay[[#This Row],[Date]],Combined[[Date]:[Primary Area]],8,FALSE))</f>
        <v>Augusta</v>
      </c>
      <c r="K305" s="40" t="str">
        <f>_xlfn.XLOOKUP(EarningsPerDay[[#This Row],[Date]],Mileage[Date],Mileage[Weather])</f>
        <v>Clear</v>
      </c>
      <c r="L305" s="4">
        <f>_xlfn.XLOOKUP(EarningsPerDay[[#This Row],[Date]],Mileage[Date],Mileage[Hi Temp])</f>
        <v>63.1</v>
      </c>
      <c r="M305" s="12">
        <f>_xlfn.XLOOKUP(EarningsPerDay[[#This Row],[Date]],Mileage[Date],Mileage[Total Time])</f>
        <v>4.4000000000000004</v>
      </c>
      <c r="N305" s="4">
        <f>_xlfn.XLOOKUP(EarningsPerDay[[#This Row],[Date]],Mileage[Date],Mileage[Mileage])</f>
        <v>106</v>
      </c>
      <c r="O305" s="4">
        <f>SUMIF(Combined[Date],EarningsPerDay[[#This Row],[Date]],Combined[Trips])</f>
        <v>8</v>
      </c>
      <c r="P305">
        <f>COUNTIF(Combined[Date],EarningsPerDay[[#This Row],[Date]])</f>
        <v>3</v>
      </c>
      <c r="Q3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5" s="11">
        <f>SUMIF(Combined[Date],EarningsPerDay[[#This Row],[Date]],Combined[Earnings])</f>
        <v>90.36</v>
      </c>
      <c r="S305" s="11">
        <f ca="1">EarningsPerDay[[#This Row],[Gross Earnings]]-(EarningsPerDay[[#This Row],[Miles]]*CpM!$D$11)</f>
        <v>66.724852181401914</v>
      </c>
      <c r="T305" s="11">
        <f t="shared" si="33"/>
        <v>20.536363636363635</v>
      </c>
      <c r="U305" s="11">
        <f t="shared" ca="1" si="34"/>
        <v>15.164739132136797</v>
      </c>
      <c r="V305" s="11">
        <f>EarningsPerDay[[#This Row],[Gross Earnings]]/EarningsPerDay[[#This Row],[Deliveries]]</f>
        <v>11.295</v>
      </c>
      <c r="W305" s="11">
        <f>EarningsPerDay[[#This Row],[Gross Earnings]]/EarningsPerDay[[#This Row],[Miles]]</f>
        <v>0.85245283018867923</v>
      </c>
      <c r="X305" s="71">
        <f>EarningsPerDay[[#This Row],[Deliveries]]/EarningsPerDay[[#This Row],[Hours]]</f>
        <v>1.8181818181818181</v>
      </c>
      <c r="Y305" s="71">
        <f>EarningsPerDay[[#This Row],[Miles]]/EarningsPerDay[[#This Row],[Deliveries]]</f>
        <v>13.25</v>
      </c>
      <c r="Z305" s="81">
        <f>(EarningsPerDay[[#This Row],[Hours]]/EarningsPerDay[[#This Row],[Deliveries]])/24</f>
        <v>2.2916666666666669E-2</v>
      </c>
      <c r="AA30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05" s="11">
        <f>AVERAGEIFS(EarningsPerDay[Gross $/Hour],EarningsPerDay[Week '#], EarningsPerDay[[#This Row],[Week '#]], EarningsPerDay[DOW], EarningsPerDay[[#This Row],[DOW]])</f>
        <v>18.734097495073303</v>
      </c>
      <c r="AC305" s="11">
        <f>EarningsPerDay[[#This Row],[Gross $/Hour]] - EarningsPerDay[[#This Row],[Weekly Average Earnings]]</f>
        <v>1.8022661412903318</v>
      </c>
      <c r="AD305" s="11">
        <f>(SUMIFS(EarningsPerDay[Gross Earnings], EarningsPerDay[Date],"&gt;="&amp;EarningsPerDay[[#This Row],[Date]]-89, EarningsPerDay[Date], "&lt;="&amp;EarningsPerDay[[#This Row],[Date]]))/90</f>
        <v>49.439111111111124</v>
      </c>
    </row>
    <row r="306" spans="2:30" x14ac:dyDescent="0.35">
      <c r="B306" s="40">
        <v>45070</v>
      </c>
      <c r="C306" s="40">
        <f t="shared" si="35"/>
        <v>45070</v>
      </c>
      <c r="D306" s="4">
        <f>IF(EarningsPerDay[[#This Row],[Week '#]]&gt;=52,YEAR(EarningsPerDay[[#This Row],[Date]])-1,YEAR(EarningsPerDay[[#This Row],[Date]]))</f>
        <v>2023</v>
      </c>
      <c r="E306" s="4" t="str">
        <f>"QTR"&amp;IF(EarningsPerDay[[#This Row],[Week '#]] &lt;= 13, 1, IF(EarningsPerDay[[#This Row],[Week '#]] &lt;= 26, 2, IF(EarningsPerDay[[#This Row],[Week '#]] &lt;= 39, 3, 4)))</f>
        <v>QTR2</v>
      </c>
      <c r="F3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06" s="4">
        <f>IF(WEEKNUM(EarningsPerDay[[#This Row],[Date]], 2) = 53, 1, WEEKNUM(EarningsPerDay[[#This Row],[Date]],2))</f>
        <v>22</v>
      </c>
      <c r="H306" s="40" t="str">
        <f t="shared" si="36"/>
        <v>Wednesday</v>
      </c>
      <c r="I30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06" s="40" t="str" cm="1">
        <f t="array" ref="J306">IFERROR(VLOOKUP(MODE(IF(Combined[Date]=EarningsPerDay[[#This Row],[Date]],Combined[Area '#])),KPIs!$B$4:$C$7,2,FALSE),VLOOKUP(EarningsPerDay[[#This Row],[Date]],Combined[[Date]:[Primary Area]],8,FALSE))</f>
        <v>Portland</v>
      </c>
      <c r="K306" s="40" t="str">
        <f>_xlfn.XLOOKUP(EarningsPerDay[[#This Row],[Date]],Mileage[Date],Mileage[Weather])</f>
        <v>Rain</v>
      </c>
      <c r="L306" s="4">
        <f>_xlfn.XLOOKUP(EarningsPerDay[[#This Row],[Date]],Mileage[Date],Mileage[Hi Temp])</f>
        <v>62.1</v>
      </c>
      <c r="M306" s="12">
        <f>_xlfn.XLOOKUP(EarningsPerDay[[#This Row],[Date]],Mileage[Date],Mileage[Total Time])</f>
        <v>4.63</v>
      </c>
      <c r="N306" s="4">
        <f>_xlfn.XLOOKUP(EarningsPerDay[[#This Row],[Date]],Mileage[Date],Mileage[Mileage])</f>
        <v>92</v>
      </c>
      <c r="O306" s="4">
        <f>SUMIF(Combined[Date],EarningsPerDay[[#This Row],[Date]],Combined[Trips])</f>
        <v>11</v>
      </c>
      <c r="P306">
        <f>COUNTIF(Combined[Date],EarningsPerDay[[#This Row],[Date]])</f>
        <v>3</v>
      </c>
      <c r="Q3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6" s="11">
        <f>SUMIF(Combined[Date],EarningsPerDay[[#This Row],[Date]],Combined[Earnings])</f>
        <v>100.25999999999999</v>
      </c>
      <c r="S306" s="11">
        <f ca="1">EarningsPerDay[[#This Row],[Gross Earnings]]-(EarningsPerDay[[#This Row],[Miles]]*CpM!$D$11)</f>
        <v>79.74647547819788</v>
      </c>
      <c r="T306" s="11">
        <f t="shared" si="33"/>
        <v>21.654427645788335</v>
      </c>
      <c r="U306" s="11">
        <f t="shared" ca="1" si="34"/>
        <v>17.223860794427189</v>
      </c>
      <c r="V306" s="11">
        <f>EarningsPerDay[[#This Row],[Gross Earnings]]/EarningsPerDay[[#This Row],[Deliveries]]</f>
        <v>9.1145454545454534</v>
      </c>
      <c r="W306" s="11">
        <f>EarningsPerDay[[#This Row],[Gross Earnings]]/EarningsPerDay[[#This Row],[Miles]]</f>
        <v>1.0897826086956521</v>
      </c>
      <c r="X306" s="71">
        <f>EarningsPerDay[[#This Row],[Deliveries]]/EarningsPerDay[[#This Row],[Hours]]</f>
        <v>2.3758099352051838</v>
      </c>
      <c r="Y306" s="71">
        <f>EarningsPerDay[[#This Row],[Miles]]/EarningsPerDay[[#This Row],[Deliveries]]</f>
        <v>8.3636363636363633</v>
      </c>
      <c r="Z306" s="81">
        <f>(EarningsPerDay[[#This Row],[Hours]]/EarningsPerDay[[#This Row],[Deliveries]])/24</f>
        <v>1.7537878787878786E-2</v>
      </c>
      <c r="AA3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1.7433959176563931</v>
      </c>
      <c r="AB306" s="11">
        <f>AVERAGEIFS(EarningsPerDay[Gross $/Hour],EarningsPerDay[Week '#], EarningsPerDay[[#This Row],[Week '#]], EarningsPerDay[DOW], EarningsPerDay[[#This Row],[DOW]])</f>
        <v>21.882177824775361</v>
      </c>
      <c r="AC306" s="11">
        <f>EarningsPerDay[[#This Row],[Gross $/Hour]] - EarningsPerDay[[#This Row],[Weekly Average Earnings]]</f>
        <v>-0.22775017898702643</v>
      </c>
      <c r="AD306" s="11">
        <f>(SUMIFS(EarningsPerDay[Gross Earnings], EarningsPerDay[Date],"&gt;="&amp;EarningsPerDay[[#This Row],[Date]]-89, EarningsPerDay[Date], "&lt;="&amp;EarningsPerDay[[#This Row],[Date]]))/90</f>
        <v>49.261444444444464</v>
      </c>
    </row>
    <row r="307" spans="2:30" x14ac:dyDescent="0.35">
      <c r="B307" s="40">
        <v>45072</v>
      </c>
      <c r="C307" s="40">
        <f t="shared" si="35"/>
        <v>45072</v>
      </c>
      <c r="D307" s="4">
        <f>IF(EarningsPerDay[[#This Row],[Week '#]]&gt;=52,YEAR(EarningsPerDay[[#This Row],[Date]])-1,YEAR(EarningsPerDay[[#This Row],[Date]]))</f>
        <v>2023</v>
      </c>
      <c r="E307" s="4" t="str">
        <f>"QTR"&amp;IF(EarningsPerDay[[#This Row],[Week '#]] &lt;= 13, 1, IF(EarningsPerDay[[#This Row],[Week '#]] &lt;= 26, 2, IF(EarningsPerDay[[#This Row],[Week '#]] &lt;= 39, 3, 4)))</f>
        <v>QTR2</v>
      </c>
      <c r="F3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07" s="4">
        <f>IF(WEEKNUM(EarningsPerDay[[#This Row],[Date]], 2) = 53, 1, WEEKNUM(EarningsPerDay[[#This Row],[Date]],2))</f>
        <v>22</v>
      </c>
      <c r="H307" s="40" t="str">
        <f t="shared" si="36"/>
        <v>Friday</v>
      </c>
      <c r="I307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307" s="40" t="str" cm="1">
        <f t="array" ref="J307">IFERROR(VLOOKUP(MODE(IF(Combined[Date]=EarningsPerDay[[#This Row],[Date]],Combined[Area '#])),KPIs!$B$4:$C$7,2,FALSE),VLOOKUP(EarningsPerDay[[#This Row],[Date]],Combined[[Date]:[Primary Area]],8,FALSE))</f>
        <v>Brunswick/Bath/Freeport</v>
      </c>
      <c r="K307" s="40" t="str">
        <f>_xlfn.XLOOKUP(EarningsPerDay[[#This Row],[Date]],Mileage[Date],Mileage[Weather])</f>
        <v>Clear</v>
      </c>
      <c r="L307" s="4">
        <f>_xlfn.XLOOKUP(EarningsPerDay[[#This Row],[Date]],Mileage[Date],Mileage[Hi Temp])</f>
        <v>79.900000000000006</v>
      </c>
      <c r="M307" s="12">
        <f>_xlfn.XLOOKUP(EarningsPerDay[[#This Row],[Date]],Mileage[Date],Mileage[Total Time])</f>
        <v>7.85</v>
      </c>
      <c r="N307" s="4">
        <f>_xlfn.XLOOKUP(EarningsPerDay[[#This Row],[Date]],Mileage[Date],Mileage[Mileage])</f>
        <v>167</v>
      </c>
      <c r="O307" s="4">
        <f>SUMIF(Combined[Date],EarningsPerDay[[#This Row],[Date]],Combined[Trips])</f>
        <v>15</v>
      </c>
      <c r="P307">
        <f>COUNTIF(Combined[Date],EarningsPerDay[[#This Row],[Date]])</f>
        <v>3</v>
      </c>
      <c r="Q30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07" s="11">
        <f>SUMIF(Combined[Date],EarningsPerDay[[#This Row],[Date]],Combined[Earnings])</f>
        <v>182.65</v>
      </c>
      <c r="S307" s="11">
        <f ca="1">EarningsPerDay[[#This Row],[Gross Earnings]]-(EarningsPerDay[[#This Row],[Miles]]*CpM!$D$11)</f>
        <v>145.4134935310766</v>
      </c>
      <c r="T307" s="11">
        <f t="shared" si="33"/>
        <v>23.267515923566879</v>
      </c>
      <c r="U307" s="11">
        <f t="shared" ca="1" si="34"/>
        <v>18.524011914786829</v>
      </c>
      <c r="V307" s="11">
        <f>EarningsPerDay[[#This Row],[Gross Earnings]]/EarningsPerDay[[#This Row],[Deliveries]]</f>
        <v>12.176666666666668</v>
      </c>
      <c r="W307" s="11">
        <f>EarningsPerDay[[#This Row],[Gross Earnings]]/EarningsPerDay[[#This Row],[Miles]]</f>
        <v>1.0937125748502994</v>
      </c>
      <c r="X307" s="71">
        <f>EarningsPerDay[[#This Row],[Deliveries]]/EarningsPerDay[[#This Row],[Hours]]</f>
        <v>1.910828025477707</v>
      </c>
      <c r="Y307" s="71">
        <f>EarningsPerDay[[#This Row],[Miles]]/EarningsPerDay[[#This Row],[Deliveries]]</f>
        <v>11.133333333333333</v>
      </c>
      <c r="Z307" s="81">
        <f>(EarningsPerDay[[#This Row],[Hours]]/EarningsPerDay[[#This Row],[Deliveries]])/24</f>
        <v>2.1805555555555554E-2</v>
      </c>
      <c r="AA3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-4.051320706548232</v>
      </c>
      <c r="AB307" s="11">
        <f>AVERAGEIFS(EarningsPerDay[Gross $/Hour],EarningsPerDay[Week '#], EarningsPerDay[[#This Row],[Week '#]], EarningsPerDay[DOW], EarningsPerDay[[#This Row],[DOW]])</f>
        <v>22.313396922264502</v>
      </c>
      <c r="AC307" s="11">
        <f>EarningsPerDay[[#This Row],[Gross $/Hour]] - EarningsPerDay[[#This Row],[Weekly Average Earnings]]</f>
        <v>0.95411900130237726</v>
      </c>
      <c r="AD307" s="11">
        <f>(SUMIFS(EarningsPerDay[Gross Earnings], EarningsPerDay[Date],"&gt;="&amp;EarningsPerDay[[#This Row],[Date]]-89, EarningsPerDay[Date], "&lt;="&amp;EarningsPerDay[[#This Row],[Date]]))/90</f>
        <v>50.682555555555567</v>
      </c>
    </row>
    <row r="308" spans="2:30" x14ac:dyDescent="0.35">
      <c r="B308" s="40">
        <v>45077</v>
      </c>
      <c r="C308" s="40">
        <f t="shared" si="35"/>
        <v>45077</v>
      </c>
      <c r="D308" s="4">
        <f>IF(EarningsPerDay[[#This Row],[Week '#]]&gt;=52,YEAR(EarningsPerDay[[#This Row],[Date]])-1,YEAR(EarningsPerDay[[#This Row],[Date]]))</f>
        <v>2023</v>
      </c>
      <c r="E308" s="4" t="str">
        <f>"QTR"&amp;IF(EarningsPerDay[[#This Row],[Week '#]] &lt;= 13, 1, IF(EarningsPerDay[[#This Row],[Week '#]] &lt;= 26, 2, IF(EarningsPerDay[[#This Row],[Week '#]] &lt;= 39, 3, 4)))</f>
        <v>QTR2</v>
      </c>
      <c r="F3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08" s="4">
        <f>IF(WEEKNUM(EarningsPerDay[[#This Row],[Date]], 2) = 53, 1, WEEKNUM(EarningsPerDay[[#This Row],[Date]],2))</f>
        <v>23</v>
      </c>
      <c r="H308" s="40" t="str">
        <f t="shared" si="36"/>
        <v>Wednesday</v>
      </c>
      <c r="I30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08" s="40" t="str" cm="1">
        <f t="array" ref="J308">IFERROR(VLOOKUP(MODE(IF(Combined[Date]=EarningsPerDay[[#This Row],[Date]],Combined[Area '#])),KPIs!$B$4:$C$7,2,FALSE),VLOOKUP(EarningsPerDay[[#This Row],[Date]],Combined[[Date]:[Primary Area]],8,FALSE))</f>
        <v>Portland</v>
      </c>
      <c r="K308" s="40" t="str">
        <f>_xlfn.XLOOKUP(EarningsPerDay[[#This Row],[Date]],Mileage[Date],Mileage[Weather])</f>
        <v>Rain</v>
      </c>
      <c r="L308" s="4">
        <f>_xlfn.XLOOKUP(EarningsPerDay[[#This Row],[Date]],Mileage[Date],Mileage[Hi Temp])</f>
        <v>87.4</v>
      </c>
      <c r="M308" s="12">
        <f>_xlfn.XLOOKUP(EarningsPerDay[[#This Row],[Date]],Mileage[Date],Mileage[Total Time])</f>
        <v>3.97</v>
      </c>
      <c r="N308" s="4">
        <f>_xlfn.XLOOKUP(EarningsPerDay[[#This Row],[Date]],Mileage[Date],Mileage[Mileage])</f>
        <v>81</v>
      </c>
      <c r="O308" s="4">
        <f>SUMIF(Combined[Date],EarningsPerDay[[#This Row],[Date]],Combined[Trips])</f>
        <v>5</v>
      </c>
      <c r="P308">
        <f>COUNTIF(Combined[Date],EarningsPerDay[[#This Row],[Date]])</f>
        <v>1</v>
      </c>
      <c r="Q30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8" s="11">
        <f>SUMIF(Combined[Date],EarningsPerDay[[#This Row],[Date]],Combined[Earnings])</f>
        <v>52.38</v>
      </c>
      <c r="S308" s="11">
        <f ca="1">EarningsPerDay[[#This Row],[Gross Earnings]]-(EarningsPerDay[[#This Row],[Miles]]*CpM!$D$11)</f>
        <v>34.319179497109012</v>
      </c>
      <c r="T308" s="11">
        <f t="shared" si="33"/>
        <v>13.193954659949622</v>
      </c>
      <c r="U308" s="11">
        <f t="shared" ca="1" si="34"/>
        <v>8.6446295962491213</v>
      </c>
      <c r="V308" s="11">
        <f>EarningsPerDay[[#This Row],[Gross Earnings]]/EarningsPerDay[[#This Row],[Deliveries]]</f>
        <v>10.476000000000001</v>
      </c>
      <c r="W308" s="11">
        <f>EarningsPerDay[[#This Row],[Gross Earnings]]/EarningsPerDay[[#This Row],[Miles]]</f>
        <v>0.64666666666666672</v>
      </c>
      <c r="X308" s="71">
        <f>EarningsPerDay[[#This Row],[Deliveries]]/EarningsPerDay[[#This Row],[Hours]]</f>
        <v>1.2594458438287153</v>
      </c>
      <c r="Y308" s="71">
        <f>EarningsPerDay[[#This Row],[Miles]]/EarningsPerDay[[#This Row],[Deliveries]]</f>
        <v>16.2</v>
      </c>
      <c r="Z308" s="81">
        <f>(EarningsPerDay[[#This Row],[Hours]]/EarningsPerDay[[#This Row],[Deliveries]])/24</f>
        <v>3.3083333333333333E-2</v>
      </c>
      <c r="AA3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-7.0657562517135979</v>
      </c>
      <c r="AB308" s="11">
        <f>AVERAGEIFS(EarningsPerDay[Gross $/Hour],EarningsPerDay[Week '#], EarningsPerDay[[#This Row],[Week '#]], EarningsPerDay[DOW], EarningsPerDay[[#This Row],[DOW]])</f>
        <v>18.692679503627101</v>
      </c>
      <c r="AC308" s="11">
        <f>EarningsPerDay[[#This Row],[Gross $/Hour]] - EarningsPerDay[[#This Row],[Weekly Average Earnings]]</f>
        <v>-5.4987248436774792</v>
      </c>
      <c r="AD308" s="11">
        <f>(SUMIFS(EarningsPerDay[Gross Earnings], EarningsPerDay[Date],"&gt;="&amp;EarningsPerDay[[#This Row],[Date]]-89, EarningsPerDay[Date], "&lt;="&amp;EarningsPerDay[[#This Row],[Date]]))/90</f>
        <v>45.94122222222223</v>
      </c>
    </row>
    <row r="309" spans="2:30" x14ac:dyDescent="0.35">
      <c r="B309" s="40">
        <v>45078</v>
      </c>
      <c r="C309" s="40">
        <f t="shared" si="35"/>
        <v>45078</v>
      </c>
      <c r="D309" s="4">
        <f>IF(EarningsPerDay[[#This Row],[Week '#]]&gt;=52,YEAR(EarningsPerDay[[#This Row],[Date]])-1,YEAR(EarningsPerDay[[#This Row],[Date]]))</f>
        <v>2023</v>
      </c>
      <c r="E309" s="4" t="str">
        <f>"QTR"&amp;IF(EarningsPerDay[[#This Row],[Week '#]] &lt;= 13, 1, IF(EarningsPerDay[[#This Row],[Week '#]] &lt;= 26, 2, IF(EarningsPerDay[[#This Row],[Week '#]] &lt;= 39, 3, 4)))</f>
        <v>QTR2</v>
      </c>
      <c r="F3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09" s="4">
        <f>IF(WEEKNUM(EarningsPerDay[[#This Row],[Date]], 2) = 53, 1, WEEKNUM(EarningsPerDay[[#This Row],[Date]],2))</f>
        <v>23</v>
      </c>
      <c r="H309" s="40" t="str">
        <f t="shared" si="36"/>
        <v>Thursday</v>
      </c>
      <c r="I30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09" s="40" t="str" cm="1">
        <f t="array" ref="J309">IFERROR(VLOOKUP(MODE(IF(Combined[Date]=EarningsPerDay[[#This Row],[Date]],Combined[Area '#])),KPIs!$B$4:$C$7,2,FALSE),VLOOKUP(EarningsPerDay[[#This Row],[Date]],Combined[[Date]:[Primary Area]],8,FALSE))</f>
        <v>Brunswick/Bath/Freeport</v>
      </c>
      <c r="K309" s="40" t="str">
        <f>_xlfn.XLOOKUP(EarningsPerDay[[#This Row],[Date]],Mileage[Date],Mileage[Weather])</f>
        <v>Rain</v>
      </c>
      <c r="L309" s="4">
        <f>_xlfn.XLOOKUP(EarningsPerDay[[#This Row],[Date]],Mileage[Date],Mileage[Hi Temp])</f>
        <v>85</v>
      </c>
      <c r="M309" s="12">
        <f>_xlfn.XLOOKUP(EarningsPerDay[[#This Row],[Date]],Mileage[Date],Mileage[Total Time])</f>
        <v>4.87</v>
      </c>
      <c r="N309" s="4">
        <f>_xlfn.XLOOKUP(EarningsPerDay[[#This Row],[Date]],Mileage[Date],Mileage[Mileage])</f>
        <v>64</v>
      </c>
      <c r="O309" s="4">
        <f>SUMIF(Combined[Date],EarningsPerDay[[#This Row],[Date]],Combined[Trips])</f>
        <v>13</v>
      </c>
      <c r="P309">
        <f>COUNTIF(Combined[Date],EarningsPerDay[[#This Row],[Date]])</f>
        <v>1</v>
      </c>
      <c r="Q3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09" s="11">
        <f>SUMIF(Combined[Date],EarningsPerDay[[#This Row],[Date]],Combined[Earnings])</f>
        <v>108</v>
      </c>
      <c r="S309" s="11">
        <f ca="1">EarningsPerDay[[#This Row],[Gross Earnings]]-(EarningsPerDay[[#This Row],[Miles]]*CpM!$D$11)</f>
        <v>93.729722071789837</v>
      </c>
      <c r="T309" s="11">
        <f t="shared" si="33"/>
        <v>22.17659137577002</v>
      </c>
      <c r="U309" s="11">
        <f t="shared" ca="1" si="34"/>
        <v>19.246349501394217</v>
      </c>
      <c r="V309" s="11">
        <f>EarningsPerDay[[#This Row],[Gross Earnings]]/EarningsPerDay[[#This Row],[Deliveries]]</f>
        <v>8.3076923076923084</v>
      </c>
      <c r="W309" s="11">
        <f>EarningsPerDay[[#This Row],[Gross Earnings]]/EarningsPerDay[[#This Row],[Miles]]</f>
        <v>1.6875</v>
      </c>
      <c r="X309" s="71">
        <f>EarningsPerDay[[#This Row],[Deliveries]]/EarningsPerDay[[#This Row],[Hours]]</f>
        <v>2.6694045174537986</v>
      </c>
      <c r="Y309" s="71">
        <f>EarningsPerDay[[#This Row],[Miles]]/EarningsPerDay[[#This Row],[Deliveries]]</f>
        <v>4.9230769230769234</v>
      </c>
      <c r="Z309" s="81">
        <f>(EarningsPerDay[[#This Row],[Hours]]/EarningsPerDay[[#This Row],[Deliveries]])/24</f>
        <v>1.560897435897436E-2</v>
      </c>
      <c r="AA3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-1.5985572216346071</v>
      </c>
      <c r="AB309" s="11">
        <f>AVERAGEIFS(EarningsPerDay[Gross $/Hour],EarningsPerDay[Week '#], EarningsPerDay[[#This Row],[Week '#]], EarningsPerDay[DOW], EarningsPerDay[[#This Row],[DOW]])</f>
        <v>27.094757647407121</v>
      </c>
      <c r="AC309" s="11">
        <f>EarningsPerDay[[#This Row],[Gross $/Hour]] - EarningsPerDay[[#This Row],[Weekly Average Earnings]]</f>
        <v>-4.9181662716371015</v>
      </c>
      <c r="AD309" s="11">
        <f>(SUMIFS(EarningsPerDay[Gross Earnings], EarningsPerDay[Date],"&gt;="&amp;EarningsPerDay[[#This Row],[Date]]-89, EarningsPerDay[Date], "&lt;="&amp;EarningsPerDay[[#This Row],[Date]]))/90</f>
        <v>46.686444444444454</v>
      </c>
    </row>
    <row r="310" spans="2:30" x14ac:dyDescent="0.35">
      <c r="B310" s="40">
        <v>45079</v>
      </c>
      <c r="C310" s="40">
        <f t="shared" si="35"/>
        <v>45079</v>
      </c>
      <c r="D310" s="4">
        <f>IF(EarningsPerDay[[#This Row],[Week '#]]&gt;=52,YEAR(EarningsPerDay[[#This Row],[Date]])-1,YEAR(EarningsPerDay[[#This Row],[Date]]))</f>
        <v>2023</v>
      </c>
      <c r="E310" s="4" t="str">
        <f>"QTR"&amp;IF(EarningsPerDay[[#This Row],[Week '#]] &lt;= 13, 1, IF(EarningsPerDay[[#This Row],[Week '#]] &lt;= 26, 2, IF(EarningsPerDay[[#This Row],[Week '#]] &lt;= 39, 3, 4)))</f>
        <v>QTR2</v>
      </c>
      <c r="F3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10" s="4">
        <f>IF(WEEKNUM(EarningsPerDay[[#This Row],[Date]], 2) = 53, 1, WEEKNUM(EarningsPerDay[[#This Row],[Date]],2))</f>
        <v>23</v>
      </c>
      <c r="H310" s="40" t="str">
        <f t="shared" si="36"/>
        <v>Friday</v>
      </c>
      <c r="I31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0" s="40" t="str" cm="1">
        <f t="array" ref="J310">IFERROR(VLOOKUP(MODE(IF(Combined[Date]=EarningsPerDay[[#This Row],[Date]],Combined[Area '#])),KPIs!$B$4:$C$7,2,FALSE),VLOOKUP(EarningsPerDay[[#This Row],[Date]],Combined[[Date]:[Primary Area]],8,FALSE))</f>
        <v>Brunswick/Bath/Freeport</v>
      </c>
      <c r="K310" s="40" t="str">
        <f>_xlfn.XLOOKUP(EarningsPerDay[[#This Row],[Date]],Mileage[Date],Mileage[Weather])</f>
        <v>Rain</v>
      </c>
      <c r="L310" s="4">
        <f>_xlfn.XLOOKUP(EarningsPerDay[[#This Row],[Date]],Mileage[Date],Mileage[Hi Temp])</f>
        <v>46</v>
      </c>
      <c r="M310" s="12">
        <f>_xlfn.XLOOKUP(EarningsPerDay[[#This Row],[Date]],Mileage[Date],Mileage[Total Time])</f>
        <v>5.08</v>
      </c>
      <c r="N310" s="4">
        <f>_xlfn.XLOOKUP(EarningsPerDay[[#This Row],[Date]],Mileage[Date],Mileage[Mileage])</f>
        <v>118</v>
      </c>
      <c r="O310" s="4">
        <f>SUMIF(Combined[Date],EarningsPerDay[[#This Row],[Date]],Combined[Trips])</f>
        <v>9</v>
      </c>
      <c r="P310">
        <f>COUNTIF(Combined[Date],EarningsPerDay[[#This Row],[Date]])</f>
        <v>2</v>
      </c>
      <c r="Q3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0" s="11">
        <f>SUMIF(Combined[Date],EarningsPerDay[[#This Row],[Date]],Combined[Earnings])</f>
        <v>113.58</v>
      </c>
      <c r="S310" s="11">
        <f ca="1">EarningsPerDay[[#This Row],[Gross Earnings]]-(EarningsPerDay[[#This Row],[Miles]]*CpM!$D$11)</f>
        <v>87.269175069862513</v>
      </c>
      <c r="T310" s="11">
        <f t="shared" si="33"/>
        <v>22.358267716535433</v>
      </c>
      <c r="U310" s="11">
        <f t="shared" ca="1" si="34"/>
        <v>17.178971470445376</v>
      </c>
      <c r="V310" s="11">
        <f>EarningsPerDay[[#This Row],[Gross Earnings]]/EarningsPerDay[[#This Row],[Deliveries]]</f>
        <v>12.62</v>
      </c>
      <c r="W310" s="11">
        <f>EarningsPerDay[[#This Row],[Gross Earnings]]/EarningsPerDay[[#This Row],[Miles]]</f>
        <v>0.96254237288135591</v>
      </c>
      <c r="X310" s="71">
        <f>EarningsPerDay[[#This Row],[Deliveries]]/EarningsPerDay[[#This Row],[Hours]]</f>
        <v>1.7716535433070866</v>
      </c>
      <c r="Y310" s="71">
        <f>EarningsPerDay[[#This Row],[Miles]]/EarningsPerDay[[#This Row],[Deliveries]]</f>
        <v>13.111111111111111</v>
      </c>
      <c r="Z310" s="81">
        <f>(EarningsPerDay[[#This Row],[Hours]]/EarningsPerDay[[#This Row],[Deliveries]])/24</f>
        <v>2.3518518518518518E-2</v>
      </c>
      <c r="AA3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-4.2853487958216405</v>
      </c>
      <c r="AB310" s="11">
        <f>AVERAGEIFS(EarningsPerDay[Gross $/Hour],EarningsPerDay[Week '#], EarningsPerDay[[#This Row],[Week '#]], EarningsPerDay[DOW], EarningsPerDay[[#This Row],[DOW]])</f>
        <v>20.101809097414456</v>
      </c>
      <c r="AC310" s="11">
        <f>EarningsPerDay[[#This Row],[Gross $/Hour]] - EarningsPerDay[[#This Row],[Weekly Average Earnings]]</f>
        <v>2.256458619120977</v>
      </c>
      <c r="AD310" s="11">
        <f>(SUMIFS(EarningsPerDay[Gross Earnings], EarningsPerDay[Date],"&gt;="&amp;EarningsPerDay[[#This Row],[Date]]-89, EarningsPerDay[Date], "&lt;="&amp;EarningsPerDay[[#This Row],[Date]]))/90</f>
        <v>46.20788888888891</v>
      </c>
    </row>
    <row r="311" spans="2:30" x14ac:dyDescent="0.35">
      <c r="B311" s="40">
        <v>45086</v>
      </c>
      <c r="C311" s="40">
        <f t="shared" si="35"/>
        <v>45086</v>
      </c>
      <c r="D311" s="4">
        <f>IF(EarningsPerDay[[#This Row],[Week '#]]&gt;=52,YEAR(EarningsPerDay[[#This Row],[Date]])-1,YEAR(EarningsPerDay[[#This Row],[Date]]))</f>
        <v>2023</v>
      </c>
      <c r="E311" s="4" t="str">
        <f>"QTR"&amp;IF(EarningsPerDay[[#This Row],[Week '#]] &lt;= 13, 1, IF(EarningsPerDay[[#This Row],[Week '#]] &lt;= 26, 2, IF(EarningsPerDay[[#This Row],[Week '#]] &lt;= 39, 3, 4)))</f>
        <v>QTR2</v>
      </c>
      <c r="F3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11" s="4">
        <f>IF(WEEKNUM(EarningsPerDay[[#This Row],[Date]], 2) = 53, 1, WEEKNUM(EarningsPerDay[[#This Row],[Date]],2))</f>
        <v>24</v>
      </c>
      <c r="H311" s="40" t="str">
        <f t="shared" si="36"/>
        <v>Friday</v>
      </c>
      <c r="I31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1" s="40" t="str" cm="1">
        <f t="array" ref="J311">IFERROR(VLOOKUP(MODE(IF(Combined[Date]=EarningsPerDay[[#This Row],[Date]],Combined[Area '#])),KPIs!$B$4:$C$7,2,FALSE),VLOOKUP(EarningsPerDay[[#This Row],[Date]],Combined[[Date]:[Primary Area]],8,FALSE))</f>
        <v>Brunswick/Bath/Freeport</v>
      </c>
      <c r="K311" s="40" t="str">
        <f>_xlfn.XLOOKUP(EarningsPerDay[[#This Row],[Date]],Mileage[Date],Mileage[Weather])</f>
        <v>Overcast</v>
      </c>
      <c r="L311" s="4">
        <f>_xlfn.XLOOKUP(EarningsPerDay[[#This Row],[Date]],Mileage[Date],Mileage[Hi Temp])</f>
        <v>62</v>
      </c>
      <c r="M311" s="12">
        <f>_xlfn.XLOOKUP(EarningsPerDay[[#This Row],[Date]],Mileage[Date],Mileage[Total Time])</f>
        <v>5.43</v>
      </c>
      <c r="N311" s="4">
        <f>_xlfn.XLOOKUP(EarningsPerDay[[#This Row],[Date]],Mileage[Date],Mileage[Mileage])</f>
        <v>112</v>
      </c>
      <c r="O311" s="4">
        <f>SUMIF(Combined[Date],EarningsPerDay[[#This Row],[Date]],Combined[Trips])</f>
        <v>10</v>
      </c>
      <c r="P311">
        <f>COUNTIF(Combined[Date],EarningsPerDay[[#This Row],[Date]])</f>
        <v>3</v>
      </c>
      <c r="Q31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11" s="11">
        <f>SUMIF(Combined[Date],EarningsPerDay[[#This Row],[Date]],Combined[Earnings])</f>
        <v>112.88</v>
      </c>
      <c r="S311" s="11">
        <f ca="1">EarningsPerDay[[#This Row],[Gross Earnings]]-(EarningsPerDay[[#This Row],[Miles]]*CpM!$D$11)</f>
        <v>87.907013625632203</v>
      </c>
      <c r="T311" s="11">
        <f t="shared" si="33"/>
        <v>20.788213627992633</v>
      </c>
      <c r="U311" s="11">
        <f t="shared" ca="1" si="34"/>
        <v>16.189136947630242</v>
      </c>
      <c r="V311" s="11">
        <f>EarningsPerDay[[#This Row],[Gross Earnings]]/EarningsPerDay[[#This Row],[Deliveries]]</f>
        <v>11.288</v>
      </c>
      <c r="W311" s="11">
        <f>EarningsPerDay[[#This Row],[Gross Earnings]]/EarningsPerDay[[#This Row],[Miles]]</f>
        <v>1.0078571428571428</v>
      </c>
      <c r="X311" s="71">
        <f>EarningsPerDay[[#This Row],[Deliveries]]/EarningsPerDay[[#This Row],[Hours]]</f>
        <v>1.8416206261510131</v>
      </c>
      <c r="Y311" s="71">
        <f>EarningsPerDay[[#This Row],[Miles]]/EarningsPerDay[[#This Row],[Deliveries]]</f>
        <v>11.2</v>
      </c>
      <c r="Z311" s="81">
        <f>(EarningsPerDay[[#This Row],[Hours]]/EarningsPerDay[[#This Row],[Deliveries]])/24</f>
        <v>2.2624999999999996E-2</v>
      </c>
      <c r="AA3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-5.2432101992470663</v>
      </c>
      <c r="AB311" s="11">
        <f>AVERAGEIFS(EarningsPerDay[Gross $/Hour],EarningsPerDay[Week '#], EarningsPerDay[[#This Row],[Week '#]], EarningsPerDay[DOW], EarningsPerDay[[#This Row],[DOW]])</f>
        <v>23.104506448136657</v>
      </c>
      <c r="AC311" s="11">
        <f>EarningsPerDay[[#This Row],[Gross $/Hour]] - EarningsPerDay[[#This Row],[Weekly Average Earnings]]</f>
        <v>-2.3162928201440245</v>
      </c>
      <c r="AD311" s="11">
        <f>(SUMIFS(EarningsPerDay[Gross Earnings], EarningsPerDay[Date],"&gt;="&amp;EarningsPerDay[[#This Row],[Date]]-89, EarningsPerDay[Date], "&lt;="&amp;EarningsPerDay[[#This Row],[Date]]))/90</f>
        <v>43.980333333333355</v>
      </c>
    </row>
    <row r="312" spans="2:30" x14ac:dyDescent="0.35">
      <c r="B312" s="40">
        <v>45087</v>
      </c>
      <c r="C312" s="40">
        <f t="shared" si="35"/>
        <v>45087</v>
      </c>
      <c r="D312" s="4">
        <f>IF(EarningsPerDay[[#This Row],[Week '#]]&gt;=52,YEAR(EarningsPerDay[[#This Row],[Date]])-1,YEAR(EarningsPerDay[[#This Row],[Date]]))</f>
        <v>2023</v>
      </c>
      <c r="E312" s="4" t="str">
        <f>"QTR"&amp;IF(EarningsPerDay[[#This Row],[Week '#]] &lt;= 13, 1, IF(EarningsPerDay[[#This Row],[Week '#]] &lt;= 26, 2, IF(EarningsPerDay[[#This Row],[Week '#]] &lt;= 39, 3, 4)))</f>
        <v>QTR2</v>
      </c>
      <c r="F3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12" s="4">
        <f>IF(WEEKNUM(EarningsPerDay[[#This Row],[Date]], 2) = 53, 1, WEEKNUM(EarningsPerDay[[#This Row],[Date]],2))</f>
        <v>24</v>
      </c>
      <c r="H312" s="40" t="str">
        <f t="shared" si="36"/>
        <v>Saturday</v>
      </c>
      <c r="I31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2" s="40" t="str" cm="1">
        <f t="array" ref="J312">IFERROR(VLOOKUP(MODE(IF(Combined[Date]=EarningsPerDay[[#This Row],[Date]],Combined[Area '#])),KPIs!$B$4:$C$7,2,FALSE),VLOOKUP(EarningsPerDay[[#This Row],[Date]],Combined[[Date]:[Primary Area]],8,FALSE))</f>
        <v>Brunswick/Bath/Freeport</v>
      </c>
      <c r="K312" s="40" t="str">
        <f>_xlfn.XLOOKUP(EarningsPerDay[[#This Row],[Date]],Mileage[Date],Mileage[Weather])</f>
        <v>Partially Cloudy</v>
      </c>
      <c r="L312" s="4">
        <f>_xlfn.XLOOKUP(EarningsPerDay[[#This Row],[Date]],Mileage[Date],Mileage[Hi Temp])</f>
        <v>64</v>
      </c>
      <c r="M312" s="12">
        <f>_xlfn.XLOOKUP(EarningsPerDay[[#This Row],[Date]],Mileage[Date],Mileage[Total Time])</f>
        <v>4.2</v>
      </c>
      <c r="N312" s="4">
        <f>_xlfn.XLOOKUP(EarningsPerDay[[#This Row],[Date]],Mileage[Date],Mileage[Mileage])</f>
        <v>81</v>
      </c>
      <c r="O312" s="4">
        <f>SUMIF(Combined[Date],EarningsPerDay[[#This Row],[Date]],Combined[Trips])</f>
        <v>14</v>
      </c>
      <c r="P312">
        <f>COUNTIF(Combined[Date],EarningsPerDay[[#This Row],[Date]])</f>
        <v>3</v>
      </c>
      <c r="Q3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2" s="11">
        <f>SUMIF(Combined[Date],EarningsPerDay[[#This Row],[Date]],Combined[Earnings])</f>
        <v>118.8</v>
      </c>
      <c r="S312" s="11">
        <f ca="1">EarningsPerDay[[#This Row],[Gross Earnings]]-(EarningsPerDay[[#This Row],[Miles]]*CpM!$D$11)</f>
        <v>100.73917949710901</v>
      </c>
      <c r="T312" s="11">
        <f t="shared" si="33"/>
        <v>28.285714285714285</v>
      </c>
      <c r="U312" s="11">
        <f t="shared" ca="1" si="34"/>
        <v>23.985518927883096</v>
      </c>
      <c r="V312" s="11">
        <f>EarningsPerDay[[#This Row],[Gross Earnings]]/EarningsPerDay[[#This Row],[Deliveries]]</f>
        <v>8.4857142857142858</v>
      </c>
      <c r="W312" s="11">
        <f>EarningsPerDay[[#This Row],[Gross Earnings]]/EarningsPerDay[[#This Row],[Miles]]</f>
        <v>1.4666666666666666</v>
      </c>
      <c r="X312" s="71">
        <f>EarningsPerDay[[#This Row],[Deliveries]]/EarningsPerDay[[#This Row],[Hours]]</f>
        <v>3.333333333333333</v>
      </c>
      <c r="Y312" s="71">
        <f>EarningsPerDay[[#This Row],[Miles]]/EarningsPerDay[[#This Row],[Deliveries]]</f>
        <v>5.7857142857142856</v>
      </c>
      <c r="Z312" s="81">
        <f>(EarningsPerDay[[#This Row],[Hours]]/EarningsPerDay[[#This Row],[Deliveries]])/24</f>
        <v>1.2499999999999999E-2</v>
      </c>
      <c r="AA3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0.75952897009602083</v>
      </c>
      <c r="AB312" s="11">
        <f>AVERAGEIFS(EarningsPerDay[Gross $/Hour],EarningsPerDay[Week '#], EarningsPerDay[[#This Row],[Week '#]], EarningsPerDay[DOW], EarningsPerDay[[#This Row],[DOW]])</f>
        <v>22.337827564977648</v>
      </c>
      <c r="AC312" s="11">
        <f>EarningsPerDay[[#This Row],[Gross $/Hour]] - EarningsPerDay[[#This Row],[Weekly Average Earnings]]</f>
        <v>5.947886720736637</v>
      </c>
      <c r="AD312" s="11">
        <f>(SUMIFS(EarningsPerDay[Gross Earnings], EarningsPerDay[Date],"&gt;="&amp;EarningsPerDay[[#This Row],[Date]]-89, EarningsPerDay[Date], "&lt;="&amp;EarningsPerDay[[#This Row],[Date]]))/90</f>
        <v>45.300333333333356</v>
      </c>
    </row>
    <row r="313" spans="2:30" x14ac:dyDescent="0.35">
      <c r="B313" s="40">
        <v>45097</v>
      </c>
      <c r="C313" s="40">
        <f t="shared" si="35"/>
        <v>45097</v>
      </c>
      <c r="D313" s="4">
        <f>IF(EarningsPerDay[[#This Row],[Week '#]]&gt;=52,YEAR(EarningsPerDay[[#This Row],[Date]])-1,YEAR(EarningsPerDay[[#This Row],[Date]]))</f>
        <v>2023</v>
      </c>
      <c r="E313" s="4" t="str">
        <f>"QTR"&amp;IF(EarningsPerDay[[#This Row],[Week '#]] &lt;= 13, 1, IF(EarningsPerDay[[#This Row],[Week '#]] &lt;= 26, 2, IF(EarningsPerDay[[#This Row],[Week '#]] &lt;= 39, 3, 4)))</f>
        <v>QTR2</v>
      </c>
      <c r="F3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13" s="4">
        <f>IF(WEEKNUM(EarningsPerDay[[#This Row],[Date]], 2) = 53, 1, WEEKNUM(EarningsPerDay[[#This Row],[Date]],2))</f>
        <v>26</v>
      </c>
      <c r="H313" s="40" t="str">
        <f t="shared" si="36"/>
        <v>Tuesday</v>
      </c>
      <c r="I31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13" s="40" t="str" cm="1">
        <f t="array" ref="J313">IFERROR(VLOOKUP(MODE(IF(Combined[Date]=EarningsPerDay[[#This Row],[Date]],Combined[Area '#])),KPIs!$B$4:$C$7,2,FALSE),VLOOKUP(EarningsPerDay[[#This Row],[Date]],Combined[[Date]:[Primary Area]],8,FALSE))</f>
        <v>Augusta</v>
      </c>
      <c r="K313" s="40" t="str">
        <f>_xlfn.XLOOKUP(EarningsPerDay[[#This Row],[Date]],Mileage[Date],Mileage[Weather])</f>
        <v>Partially Cloudy</v>
      </c>
      <c r="L313" s="4">
        <f>_xlfn.XLOOKUP(EarningsPerDay[[#This Row],[Date]],Mileage[Date],Mileage[Hi Temp])</f>
        <v>69</v>
      </c>
      <c r="M313" s="12">
        <f>_xlfn.XLOOKUP(EarningsPerDay[[#This Row],[Date]],Mileage[Date],Mileage[Total Time])</f>
        <v>5.45</v>
      </c>
      <c r="N313" s="4">
        <f>_xlfn.XLOOKUP(EarningsPerDay[[#This Row],[Date]],Mileage[Date],Mileage[Mileage])</f>
        <v>120</v>
      </c>
      <c r="O313" s="4">
        <f>SUMIF(Combined[Date],EarningsPerDay[[#This Row],[Date]],Combined[Trips])</f>
        <v>10</v>
      </c>
      <c r="P313">
        <f>COUNTIF(Combined[Date],EarningsPerDay[[#This Row],[Date]])</f>
        <v>4</v>
      </c>
      <c r="Q3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3" s="11">
        <f>SUMIF(Combined[Date],EarningsPerDay[[#This Row],[Date]],Combined[Earnings])</f>
        <v>105.32</v>
      </c>
      <c r="S313" s="11">
        <f ca="1">EarningsPerDay[[#This Row],[Gross Earnings]]-(EarningsPerDay[[#This Row],[Miles]]*CpM!$D$11)</f>
        <v>78.563228884605934</v>
      </c>
      <c r="T313" s="11">
        <f t="shared" si="33"/>
        <v>19.324770642201834</v>
      </c>
      <c r="U313" s="11">
        <f t="shared" ca="1" si="34"/>
        <v>14.415271354973566</v>
      </c>
      <c r="V313" s="11">
        <f>EarningsPerDay[[#This Row],[Gross Earnings]]/EarningsPerDay[[#This Row],[Deliveries]]</f>
        <v>10.532</v>
      </c>
      <c r="W313" s="11">
        <f>EarningsPerDay[[#This Row],[Gross Earnings]]/EarningsPerDay[[#This Row],[Miles]]</f>
        <v>0.8776666666666666</v>
      </c>
      <c r="X313" s="71">
        <f>EarningsPerDay[[#This Row],[Deliveries]]/EarningsPerDay[[#This Row],[Hours]]</f>
        <v>1.8348623853211008</v>
      </c>
      <c r="Y313" s="71">
        <f>EarningsPerDay[[#This Row],[Miles]]/EarningsPerDay[[#This Row],[Deliveries]]</f>
        <v>12</v>
      </c>
      <c r="Z313" s="81">
        <f>(EarningsPerDay[[#This Row],[Hours]]/EarningsPerDay[[#This Row],[Deliveries]])/24</f>
        <v>2.2708333333333334E-2</v>
      </c>
      <c r="AA3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4.0179524603836541</v>
      </c>
      <c r="AB313" s="11">
        <f>AVERAGEIFS(EarningsPerDay[Gross $/Hour],EarningsPerDay[Week '#], EarningsPerDay[[#This Row],[Week '#]], EarningsPerDay[DOW], EarningsPerDay[[#This Row],[DOW]])</f>
        <v>20.492635020175374</v>
      </c>
      <c r="AC313" s="11">
        <f>EarningsPerDay[[#This Row],[Gross $/Hour]] - EarningsPerDay[[#This Row],[Weekly Average Earnings]]</f>
        <v>-1.1678643779735403</v>
      </c>
      <c r="AD313" s="11">
        <f>(SUMIFS(EarningsPerDay[Gross Earnings], EarningsPerDay[Date],"&gt;="&amp;EarningsPerDay[[#This Row],[Date]]-89, EarningsPerDay[Date], "&lt;="&amp;EarningsPerDay[[#This Row],[Date]]))/90</f>
        <v>42.437444444444466</v>
      </c>
    </row>
    <row r="314" spans="2:30" x14ac:dyDescent="0.35">
      <c r="B314" s="40">
        <v>45098</v>
      </c>
      <c r="C314" s="40">
        <f t="shared" si="35"/>
        <v>45098</v>
      </c>
      <c r="D314" s="4">
        <f>IF(EarningsPerDay[[#This Row],[Week '#]]&gt;=52,YEAR(EarningsPerDay[[#This Row],[Date]])-1,YEAR(EarningsPerDay[[#This Row],[Date]]))</f>
        <v>2023</v>
      </c>
      <c r="E314" s="4" t="str">
        <f>"QTR"&amp;IF(EarningsPerDay[[#This Row],[Week '#]] &lt;= 13, 1, IF(EarningsPerDay[[#This Row],[Week '#]] &lt;= 26, 2, IF(EarningsPerDay[[#This Row],[Week '#]] &lt;= 39, 3, 4)))</f>
        <v>QTR2</v>
      </c>
      <c r="F3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14" s="4">
        <f>IF(WEEKNUM(EarningsPerDay[[#This Row],[Date]], 2) = 53, 1, WEEKNUM(EarningsPerDay[[#This Row],[Date]],2))</f>
        <v>26</v>
      </c>
      <c r="H314" s="40" t="str">
        <f t="shared" si="36"/>
        <v>Wednesday</v>
      </c>
      <c r="I31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14" s="40" t="str" cm="1">
        <f t="array" ref="J314">IFERROR(VLOOKUP(MODE(IF(Combined[Date]=EarningsPerDay[[#This Row],[Date]],Combined[Area '#])),KPIs!$B$4:$C$7,2,FALSE),VLOOKUP(EarningsPerDay[[#This Row],[Date]],Combined[[Date]:[Primary Area]],8,FALSE))</f>
        <v>Portland</v>
      </c>
      <c r="K314" s="40" t="str">
        <f>_xlfn.XLOOKUP(EarningsPerDay[[#This Row],[Date]],Mileage[Date],Mileage[Weather])</f>
        <v>Overcast</v>
      </c>
      <c r="L314" s="4">
        <f>_xlfn.XLOOKUP(EarningsPerDay[[#This Row],[Date]],Mileage[Date],Mileage[Hi Temp])</f>
        <v>78</v>
      </c>
      <c r="M314" s="12">
        <f>_xlfn.XLOOKUP(EarningsPerDay[[#This Row],[Date]],Mileage[Date],Mileage[Total Time])</f>
        <v>4.07</v>
      </c>
      <c r="N314" s="4">
        <f>_xlfn.XLOOKUP(EarningsPerDay[[#This Row],[Date]],Mileage[Date],Mileage[Mileage])</f>
        <v>93</v>
      </c>
      <c r="O314" s="4">
        <f>SUMIF(Combined[Date],EarningsPerDay[[#This Row],[Date]],Combined[Trips])</f>
        <v>7</v>
      </c>
      <c r="P314">
        <f>COUNTIF(Combined[Date],EarningsPerDay[[#This Row],[Date]])</f>
        <v>2</v>
      </c>
      <c r="Q3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4" s="11">
        <f>SUMIF(Combined[Date],EarningsPerDay[[#This Row],[Date]],Combined[Earnings])</f>
        <v>61.18</v>
      </c>
      <c r="S314" s="11">
        <f ca="1">EarningsPerDay[[#This Row],[Gross Earnings]]-(EarningsPerDay[[#This Row],[Miles]]*CpM!$D$11)</f>
        <v>40.443502385569602</v>
      </c>
      <c r="T314" s="11">
        <f t="shared" si="33"/>
        <v>15.031941031941031</v>
      </c>
      <c r="U314" s="11">
        <f t="shared" ca="1" si="34"/>
        <v>9.9369784731129229</v>
      </c>
      <c r="V314" s="11">
        <f>EarningsPerDay[[#This Row],[Gross Earnings]]/EarningsPerDay[[#This Row],[Deliveries]]</f>
        <v>8.74</v>
      </c>
      <c r="W314" s="11">
        <f>EarningsPerDay[[#This Row],[Gross Earnings]]/EarningsPerDay[[#This Row],[Miles]]</f>
        <v>0.65784946236559139</v>
      </c>
      <c r="X314" s="71">
        <f>EarningsPerDay[[#This Row],[Deliveries]]/EarningsPerDay[[#This Row],[Hours]]</f>
        <v>1.7199017199017197</v>
      </c>
      <c r="Y314" s="71">
        <f>EarningsPerDay[[#This Row],[Miles]]/EarningsPerDay[[#This Row],[Deliveries]]</f>
        <v>13.285714285714286</v>
      </c>
      <c r="Z314" s="81">
        <f>(EarningsPerDay[[#This Row],[Hours]]/EarningsPerDay[[#This Row],[Deliveries]])/24</f>
        <v>2.4226190476190481E-2</v>
      </c>
      <c r="AA3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-4.050143837769923</v>
      </c>
      <c r="AB314" s="11">
        <f>AVERAGEIFS(EarningsPerDay[Gross $/Hour],EarningsPerDay[Week '#], EarningsPerDay[[#This Row],[Week '#]], EarningsPerDay[DOW], EarningsPerDay[[#This Row],[DOW]])</f>
        <v>14.873473218905231</v>
      </c>
      <c r="AC314" s="11">
        <f>EarningsPerDay[[#This Row],[Gross $/Hour]] - EarningsPerDay[[#This Row],[Weekly Average Earnings]]</f>
        <v>0.15846781303580038</v>
      </c>
      <c r="AD314" s="11">
        <f>(SUMIFS(EarningsPerDay[Gross Earnings], EarningsPerDay[Date],"&gt;="&amp;EarningsPerDay[[#This Row],[Date]]-89, EarningsPerDay[Date], "&lt;="&amp;EarningsPerDay[[#This Row],[Date]]))/90</f>
        <v>42.025666666666673</v>
      </c>
    </row>
    <row r="315" spans="2:30" x14ac:dyDescent="0.35">
      <c r="B315" s="40">
        <v>45100</v>
      </c>
      <c r="C315" s="40">
        <f t="shared" si="35"/>
        <v>45100</v>
      </c>
      <c r="D315" s="4">
        <f>IF(EarningsPerDay[[#This Row],[Week '#]]&gt;=52,YEAR(EarningsPerDay[[#This Row],[Date]])-1,YEAR(EarningsPerDay[[#This Row],[Date]]))</f>
        <v>2023</v>
      </c>
      <c r="E315" s="4" t="str">
        <f>"QTR"&amp;IF(EarningsPerDay[[#This Row],[Week '#]] &lt;= 13, 1, IF(EarningsPerDay[[#This Row],[Week '#]] &lt;= 26, 2, IF(EarningsPerDay[[#This Row],[Week '#]] &lt;= 39, 3, 4)))</f>
        <v>QTR2</v>
      </c>
      <c r="F3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15" s="4">
        <f>IF(WEEKNUM(EarningsPerDay[[#This Row],[Date]], 2) = 53, 1, WEEKNUM(EarningsPerDay[[#This Row],[Date]],2))</f>
        <v>26</v>
      </c>
      <c r="H315" s="40" t="str">
        <f t="shared" si="36"/>
        <v>Friday</v>
      </c>
      <c r="I31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15" s="40" t="str" cm="1">
        <f t="array" ref="J315">IFERROR(VLOOKUP(MODE(IF(Combined[Date]=EarningsPerDay[[#This Row],[Date]],Combined[Area '#])),KPIs!$B$4:$C$7,2,FALSE),VLOOKUP(EarningsPerDay[[#This Row],[Date]],Combined[[Date]:[Primary Area]],8,FALSE))</f>
        <v>Augusta</v>
      </c>
      <c r="K315" s="40" t="str">
        <f>_xlfn.XLOOKUP(EarningsPerDay[[#This Row],[Date]],Mileage[Date],Mileage[Weather])</f>
        <v>Rain</v>
      </c>
      <c r="L315" s="4">
        <f>_xlfn.XLOOKUP(EarningsPerDay[[#This Row],[Date]],Mileage[Date],Mileage[Hi Temp])</f>
        <v>78</v>
      </c>
      <c r="M315" s="12">
        <f>_xlfn.XLOOKUP(EarningsPerDay[[#This Row],[Date]],Mileage[Date],Mileage[Total Time])</f>
        <v>5.07</v>
      </c>
      <c r="N315" s="4">
        <f>_xlfn.XLOOKUP(EarningsPerDay[[#This Row],[Date]],Mileage[Date],Mileage[Mileage])</f>
        <v>114</v>
      </c>
      <c r="O315" s="4">
        <f>SUMIF(Combined[Date],EarningsPerDay[[#This Row],[Date]],Combined[Trips])</f>
        <v>8</v>
      </c>
      <c r="P315">
        <f>COUNTIF(Combined[Date],EarningsPerDay[[#This Row],[Date]])</f>
        <v>3</v>
      </c>
      <c r="Q3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5" s="11">
        <f>SUMIF(Combined[Date],EarningsPerDay[[#This Row],[Date]],Combined[Earnings])</f>
        <v>109.46000000000001</v>
      </c>
      <c r="S315" s="11">
        <f ca="1">EarningsPerDay[[#This Row],[Gross Earnings]]-(EarningsPerDay[[#This Row],[Miles]]*CpM!$D$11)</f>
        <v>84.041067440375656</v>
      </c>
      <c r="T315" s="11">
        <f t="shared" si="33"/>
        <v>21.589743589743591</v>
      </c>
      <c r="U315" s="11">
        <f t="shared" ca="1" si="34"/>
        <v>16.576147424137208</v>
      </c>
      <c r="V315" s="11">
        <f>EarningsPerDay[[#This Row],[Gross Earnings]]/EarningsPerDay[[#This Row],[Deliveries]]</f>
        <v>13.682500000000001</v>
      </c>
      <c r="W315" s="11">
        <f>EarningsPerDay[[#This Row],[Gross Earnings]]/EarningsPerDay[[#This Row],[Miles]]</f>
        <v>0.96017543859649135</v>
      </c>
      <c r="X315" s="71">
        <f>EarningsPerDay[[#This Row],[Deliveries]]/EarningsPerDay[[#This Row],[Hours]]</f>
        <v>1.5779092702169624</v>
      </c>
      <c r="Y315" s="71">
        <f>EarningsPerDay[[#This Row],[Miles]]/EarningsPerDay[[#This Row],[Deliveries]]</f>
        <v>14.25</v>
      </c>
      <c r="Z315" s="81">
        <f>(EarningsPerDay[[#This Row],[Hours]]/EarningsPerDay[[#This Row],[Deliveries]])/24</f>
        <v>2.6406250000000003E-2</v>
      </c>
      <c r="AA315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15" s="11">
        <f>AVERAGEIFS(EarningsPerDay[Gross $/Hour],EarningsPerDay[Week '#], EarningsPerDay[[#This Row],[Week '#]], EarningsPerDay[DOW], EarningsPerDay[[#This Row],[DOW]])</f>
        <v>26.982702895536416</v>
      </c>
      <c r="AC315" s="11">
        <f>EarningsPerDay[[#This Row],[Gross $/Hour]] - EarningsPerDay[[#This Row],[Weekly Average Earnings]]</f>
        <v>-5.3929593057928251</v>
      </c>
      <c r="AD315" s="11">
        <f>(SUMIFS(EarningsPerDay[Gross Earnings], EarningsPerDay[Date],"&gt;="&amp;EarningsPerDay[[#This Row],[Date]]-89, EarningsPerDay[Date], "&lt;="&amp;EarningsPerDay[[#This Row],[Date]]))/90</f>
        <v>41.215000000000011</v>
      </c>
    </row>
    <row r="316" spans="2:30" x14ac:dyDescent="0.35">
      <c r="B316" s="40">
        <v>45112</v>
      </c>
      <c r="C316" s="40">
        <f t="shared" si="35"/>
        <v>45112</v>
      </c>
      <c r="D316" s="4">
        <f>IF(EarningsPerDay[[#This Row],[Week '#]]&gt;=52,YEAR(EarningsPerDay[[#This Row],[Date]])-1,YEAR(EarningsPerDay[[#This Row],[Date]]))</f>
        <v>2023</v>
      </c>
      <c r="E316" s="4" t="str">
        <f>"QTR"&amp;IF(EarningsPerDay[[#This Row],[Week '#]] &lt;= 13, 1, IF(EarningsPerDay[[#This Row],[Week '#]] &lt;= 26, 2, IF(EarningsPerDay[[#This Row],[Week '#]] &lt;= 39, 3, 4)))</f>
        <v>QTR3</v>
      </c>
      <c r="F3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16" s="4">
        <f>IF(WEEKNUM(EarningsPerDay[[#This Row],[Date]], 2) = 53, 1, WEEKNUM(EarningsPerDay[[#This Row],[Date]],2))</f>
        <v>28</v>
      </c>
      <c r="H316" s="40" t="str">
        <f t="shared" si="36"/>
        <v>Wednesday</v>
      </c>
      <c r="I31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6" s="40" t="str" cm="1">
        <f t="array" ref="J316">IFERROR(VLOOKUP(MODE(IF(Combined[Date]=EarningsPerDay[[#This Row],[Date]],Combined[Area '#])),KPIs!$B$4:$C$7,2,FALSE),VLOOKUP(EarningsPerDay[[#This Row],[Date]],Combined[[Date]:[Primary Area]],8,FALSE))</f>
        <v>Portland</v>
      </c>
      <c r="K316" s="40" t="str">
        <f>_xlfn.XLOOKUP(EarningsPerDay[[#This Row],[Date]],Mileage[Date],Mileage[Weather])</f>
        <v>Clear &amp; Humid</v>
      </c>
      <c r="L316" s="4">
        <f>_xlfn.XLOOKUP(EarningsPerDay[[#This Row],[Date]],Mileage[Date],Mileage[Hi Temp])</f>
        <v>77</v>
      </c>
      <c r="M316" s="12">
        <f>_xlfn.XLOOKUP(EarningsPerDay[[#This Row],[Date]],Mileage[Date],Mileage[Total Time])</f>
        <v>5.93</v>
      </c>
      <c r="N316" s="4">
        <f>_xlfn.XLOOKUP(EarningsPerDay[[#This Row],[Date]],Mileage[Date],Mileage[Mileage])</f>
        <v>109</v>
      </c>
      <c r="O316" s="4">
        <f>SUMIF(Combined[Date],EarningsPerDay[[#This Row],[Date]],Combined[Trips])</f>
        <v>13</v>
      </c>
      <c r="P316">
        <f>COUNTIF(Combined[Date],EarningsPerDay[[#This Row],[Date]])</f>
        <v>3</v>
      </c>
      <c r="Q3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6" s="11">
        <f>SUMIF(Combined[Date],EarningsPerDay[[#This Row],[Date]],Combined[Earnings])</f>
        <v>120.53999999999999</v>
      </c>
      <c r="S316" s="11">
        <f ca="1">EarningsPerDay[[#This Row],[Gross Earnings]]-(EarningsPerDay[[#This Row],[Miles]]*CpM!$D$11)</f>
        <v>96.235932903517053</v>
      </c>
      <c r="T316" s="11">
        <f t="shared" si="33"/>
        <v>20.327150084317033</v>
      </c>
      <c r="U316" s="11">
        <f t="shared" ca="1" si="34"/>
        <v>16.228656476141158</v>
      </c>
      <c r="V316" s="11">
        <f>EarningsPerDay[[#This Row],[Gross Earnings]]/EarningsPerDay[[#This Row],[Deliveries]]</f>
        <v>9.2723076923076917</v>
      </c>
      <c r="W316" s="11">
        <f>EarningsPerDay[[#This Row],[Gross Earnings]]/EarningsPerDay[[#This Row],[Miles]]</f>
        <v>1.1058715596330275</v>
      </c>
      <c r="X316" s="71">
        <f>EarningsPerDay[[#This Row],[Deliveries]]/EarningsPerDay[[#This Row],[Hours]]</f>
        <v>2.1922428330522767</v>
      </c>
      <c r="Y316" s="71">
        <f>EarningsPerDay[[#This Row],[Miles]]/EarningsPerDay[[#This Row],[Deliveries]]</f>
        <v>8.384615384615385</v>
      </c>
      <c r="Z316" s="81">
        <f>(EarningsPerDay[[#This Row],[Hours]]/EarningsPerDay[[#This Row],[Deliveries]])/24</f>
        <v>1.9006410256410255E-2</v>
      </c>
      <c r="AA3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-3.4540894635271044</v>
      </c>
      <c r="AB316" s="11">
        <f>AVERAGEIFS(EarningsPerDay[Gross $/Hour],EarningsPerDay[Week '#], EarningsPerDay[[#This Row],[Week '#]], EarningsPerDay[DOW], EarningsPerDay[[#This Row],[DOW]])</f>
        <v>20.380241708825185</v>
      </c>
      <c r="AC316" s="11">
        <f>EarningsPerDay[[#This Row],[Gross $/Hour]] - EarningsPerDay[[#This Row],[Weekly Average Earnings]]</f>
        <v>-5.309162450815208E-2</v>
      </c>
      <c r="AD316" s="11">
        <f>(SUMIFS(EarningsPerDay[Gross Earnings], EarningsPerDay[Date],"&gt;="&amp;EarningsPerDay[[#This Row],[Date]]-89, EarningsPerDay[Date], "&lt;="&amp;EarningsPerDay[[#This Row],[Date]]))/90</f>
        <v>35.934777777777782</v>
      </c>
    </row>
    <row r="317" spans="2:30" x14ac:dyDescent="0.35">
      <c r="B317" s="40">
        <v>45114</v>
      </c>
      <c r="C317" s="40">
        <f t="shared" si="35"/>
        <v>45114</v>
      </c>
      <c r="D317" s="4">
        <f>IF(EarningsPerDay[[#This Row],[Week '#]]&gt;=52,YEAR(EarningsPerDay[[#This Row],[Date]])-1,YEAR(EarningsPerDay[[#This Row],[Date]]))</f>
        <v>2023</v>
      </c>
      <c r="E317" s="4" t="str">
        <f>"QTR"&amp;IF(EarningsPerDay[[#This Row],[Week '#]] &lt;= 13, 1, IF(EarningsPerDay[[#This Row],[Week '#]] &lt;= 26, 2, IF(EarningsPerDay[[#This Row],[Week '#]] &lt;= 39, 3, 4)))</f>
        <v>QTR3</v>
      </c>
      <c r="F3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17" s="4">
        <f>IF(WEEKNUM(EarningsPerDay[[#This Row],[Date]], 2) = 53, 1, WEEKNUM(EarningsPerDay[[#This Row],[Date]],2))</f>
        <v>28</v>
      </c>
      <c r="H317" s="40" t="str">
        <f t="shared" si="36"/>
        <v>Friday</v>
      </c>
      <c r="I31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7" s="40" t="str" cm="1">
        <f t="array" ref="J317">IFERROR(VLOOKUP(MODE(IF(Combined[Date]=EarningsPerDay[[#This Row],[Date]],Combined[Area '#])),KPIs!$B$4:$C$7,2,FALSE),VLOOKUP(EarningsPerDay[[#This Row],[Date]],Combined[[Date]:[Primary Area]],8,FALSE))</f>
        <v>Portland</v>
      </c>
      <c r="K317" s="40" t="str">
        <f>_xlfn.XLOOKUP(EarningsPerDay[[#This Row],[Date]],Mileage[Date],Mileage[Weather])</f>
        <v>Clear &amp; Humid</v>
      </c>
      <c r="L317" s="4">
        <f>_xlfn.XLOOKUP(EarningsPerDay[[#This Row],[Date]],Mileage[Date],Mileage[Hi Temp])</f>
        <v>72</v>
      </c>
      <c r="M317" s="12">
        <f>_xlfn.XLOOKUP(EarningsPerDay[[#This Row],[Date]],Mileage[Date],Mileage[Total Time])</f>
        <v>7.85</v>
      </c>
      <c r="N317" s="4">
        <f>_xlfn.XLOOKUP(EarningsPerDay[[#This Row],[Date]],Mileage[Date],Mileage[Mileage])</f>
        <v>140.80000000000001</v>
      </c>
      <c r="O317" s="4">
        <f>SUMIF(Combined[Date],EarningsPerDay[[#This Row],[Date]],Combined[Trips])</f>
        <v>11</v>
      </c>
      <c r="P317">
        <f>COUNTIF(Combined[Date],EarningsPerDay[[#This Row],[Date]])</f>
        <v>2</v>
      </c>
      <c r="Q3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7" s="11">
        <f>SUMIF(Combined[Date],EarningsPerDay[[#This Row],[Date]],Combined[Earnings])</f>
        <v>175.13</v>
      </c>
      <c r="S317" s="11">
        <f ca="1">EarningsPerDay[[#This Row],[Gross Earnings]]-(EarningsPerDay[[#This Row],[Miles]]*CpM!$D$11)</f>
        <v>143.73538855793763</v>
      </c>
      <c r="T317" s="11">
        <f t="shared" si="33"/>
        <v>22.309554140127389</v>
      </c>
      <c r="U317" s="11">
        <f t="shared" ca="1" si="34"/>
        <v>18.310240580628999</v>
      </c>
      <c r="V317" s="11">
        <f>EarningsPerDay[[#This Row],[Gross Earnings]]/EarningsPerDay[[#This Row],[Deliveries]]</f>
        <v>15.92090909090909</v>
      </c>
      <c r="W317" s="11">
        <f>EarningsPerDay[[#This Row],[Gross Earnings]]/EarningsPerDay[[#This Row],[Miles]]</f>
        <v>1.2438210227272726</v>
      </c>
      <c r="X317" s="71">
        <f>EarningsPerDay[[#This Row],[Deliveries]]/EarningsPerDay[[#This Row],[Hours]]</f>
        <v>1.4012738853503186</v>
      </c>
      <c r="Y317" s="71">
        <f>EarningsPerDay[[#This Row],[Miles]]/EarningsPerDay[[#This Row],[Deliveries]]</f>
        <v>12.8</v>
      </c>
      <c r="Z317" s="81">
        <f>(EarningsPerDay[[#This Row],[Hours]]/EarningsPerDay[[#This Row],[Deliveries]])/24</f>
        <v>2.9734848484848486E-2</v>
      </c>
      <c r="AA3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-0.15579725560331781</v>
      </c>
      <c r="AB317" s="11">
        <f>AVERAGEIFS(EarningsPerDay[Gross $/Hour],EarningsPerDay[Week '#], EarningsPerDay[[#This Row],[Week '#]], EarningsPerDay[DOW], EarningsPerDay[[#This Row],[DOW]])</f>
        <v>19.758050348801941</v>
      </c>
      <c r="AC317" s="11">
        <f>EarningsPerDay[[#This Row],[Gross $/Hour]] - EarningsPerDay[[#This Row],[Weekly Average Earnings]]</f>
        <v>2.5515037913254481</v>
      </c>
      <c r="AD317" s="11">
        <f>(SUMIFS(EarningsPerDay[Gross Earnings], EarningsPerDay[Date],"&gt;="&amp;EarningsPerDay[[#This Row],[Date]]-89, EarningsPerDay[Date], "&lt;="&amp;EarningsPerDay[[#This Row],[Date]]))/90</f>
        <v>37.880666666666677</v>
      </c>
    </row>
    <row r="318" spans="2:30" x14ac:dyDescent="0.35">
      <c r="B318" s="40">
        <v>45115</v>
      </c>
      <c r="C318" s="40">
        <f t="shared" si="35"/>
        <v>45115</v>
      </c>
      <c r="D318" s="4">
        <f>IF(EarningsPerDay[[#This Row],[Week '#]]&gt;=52,YEAR(EarningsPerDay[[#This Row],[Date]])-1,YEAR(EarningsPerDay[[#This Row],[Date]]))</f>
        <v>2023</v>
      </c>
      <c r="E318" s="4" t="str">
        <f>"QTR"&amp;IF(EarningsPerDay[[#This Row],[Week '#]] &lt;= 13, 1, IF(EarningsPerDay[[#This Row],[Week '#]] &lt;= 26, 2, IF(EarningsPerDay[[#This Row],[Week '#]] &lt;= 39, 3, 4)))</f>
        <v>QTR3</v>
      </c>
      <c r="F3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18" s="4">
        <f>IF(WEEKNUM(EarningsPerDay[[#This Row],[Date]], 2) = 53, 1, WEEKNUM(EarningsPerDay[[#This Row],[Date]],2))</f>
        <v>28</v>
      </c>
      <c r="H318" s="40" t="str">
        <f t="shared" si="36"/>
        <v>Saturday</v>
      </c>
      <c r="I31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8" s="40" t="str" cm="1">
        <f t="array" ref="J318">IFERROR(VLOOKUP(MODE(IF(Combined[Date]=EarningsPerDay[[#This Row],[Date]],Combined[Area '#])),KPIs!$B$4:$C$7,2,FALSE),VLOOKUP(EarningsPerDay[[#This Row],[Date]],Combined[[Date]:[Primary Area]],8,FALSE))</f>
        <v>Augusta</v>
      </c>
      <c r="K318" s="40" t="str">
        <f>_xlfn.XLOOKUP(EarningsPerDay[[#This Row],[Date]],Mileage[Date],Mileage[Weather])</f>
        <v>Clear &amp; Humid</v>
      </c>
      <c r="L318" s="4">
        <f>_xlfn.XLOOKUP(EarningsPerDay[[#This Row],[Date]],Mileage[Date],Mileage[Hi Temp])</f>
        <v>69</v>
      </c>
      <c r="M318" s="12">
        <f>_xlfn.XLOOKUP(EarningsPerDay[[#This Row],[Date]],Mileage[Date],Mileage[Total Time])</f>
        <v>5.38</v>
      </c>
      <c r="N318" s="4">
        <f>_xlfn.XLOOKUP(EarningsPerDay[[#This Row],[Date]],Mileage[Date],Mileage[Mileage])</f>
        <v>116</v>
      </c>
      <c r="O318" s="4">
        <f>SUMIF(Combined[Date],EarningsPerDay[[#This Row],[Date]],Combined[Trips])</f>
        <v>12</v>
      </c>
      <c r="P318">
        <f>COUNTIF(Combined[Date],EarningsPerDay[[#This Row],[Date]])</f>
        <v>3</v>
      </c>
      <c r="Q3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8" s="11">
        <f>SUMIF(Combined[Date],EarningsPerDay[[#This Row],[Date]],Combined[Earnings])</f>
        <v>97.22999999999999</v>
      </c>
      <c r="S318" s="11">
        <f ca="1">EarningsPerDay[[#This Row],[Gross Earnings]]-(EarningsPerDay[[#This Row],[Miles]]*CpM!$D$11)</f>
        <v>71.365121255119064</v>
      </c>
      <c r="T318" s="11">
        <f t="shared" si="33"/>
        <v>18.072490706319702</v>
      </c>
      <c r="U318" s="11">
        <f t="shared" ca="1" si="34"/>
        <v>13.264892426602056</v>
      </c>
      <c r="V318" s="11">
        <f>EarningsPerDay[[#This Row],[Gross Earnings]]/EarningsPerDay[[#This Row],[Deliveries]]</f>
        <v>8.1024999999999991</v>
      </c>
      <c r="W318" s="11">
        <f>EarningsPerDay[[#This Row],[Gross Earnings]]/EarningsPerDay[[#This Row],[Miles]]</f>
        <v>0.83818965517241373</v>
      </c>
      <c r="X318" s="71">
        <f>EarningsPerDay[[#This Row],[Deliveries]]/EarningsPerDay[[#This Row],[Hours]]</f>
        <v>2.2304832713754648</v>
      </c>
      <c r="Y318" s="71">
        <f>EarningsPerDay[[#This Row],[Miles]]/EarningsPerDay[[#This Row],[Deliveries]]</f>
        <v>9.6666666666666661</v>
      </c>
      <c r="Z318" s="81">
        <f>(EarningsPerDay[[#This Row],[Hours]]/EarningsPerDay[[#This Row],[Deliveries]])/24</f>
        <v>1.8680555555555554E-2</v>
      </c>
      <c r="AA31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18" s="11">
        <f>AVERAGEIFS(EarningsPerDay[Gross $/Hour],EarningsPerDay[Week '#], EarningsPerDay[[#This Row],[Week '#]], EarningsPerDay[DOW], EarningsPerDay[[#This Row],[DOW]])</f>
        <v>18.072490706319702</v>
      </c>
      <c r="AC318" s="11">
        <f>EarningsPerDay[[#This Row],[Gross $/Hour]] - EarningsPerDay[[#This Row],[Weekly Average Earnings]]</f>
        <v>0</v>
      </c>
      <c r="AD318" s="11">
        <f>(SUMIFS(EarningsPerDay[Gross Earnings], EarningsPerDay[Date],"&gt;="&amp;EarningsPerDay[[#This Row],[Date]]-89, EarningsPerDay[Date], "&lt;="&amp;EarningsPerDay[[#This Row],[Date]]))/90</f>
        <v>38.961000000000006</v>
      </c>
    </row>
    <row r="319" spans="2:30" x14ac:dyDescent="0.35">
      <c r="B319" s="40">
        <v>45116</v>
      </c>
      <c r="C319" s="40">
        <f t="shared" si="35"/>
        <v>45116</v>
      </c>
      <c r="D319" s="4">
        <f>IF(EarningsPerDay[[#This Row],[Week '#]]&gt;=52,YEAR(EarningsPerDay[[#This Row],[Date]])-1,YEAR(EarningsPerDay[[#This Row],[Date]]))</f>
        <v>2023</v>
      </c>
      <c r="E319" s="4" t="str">
        <f>"QTR"&amp;IF(EarningsPerDay[[#This Row],[Week '#]] &lt;= 13, 1, IF(EarningsPerDay[[#This Row],[Week '#]] &lt;= 26, 2, IF(EarningsPerDay[[#This Row],[Week '#]] &lt;= 39, 3, 4)))</f>
        <v>QTR3</v>
      </c>
      <c r="F3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19" s="4">
        <f>IF(WEEKNUM(EarningsPerDay[[#This Row],[Date]], 2) = 53, 1, WEEKNUM(EarningsPerDay[[#This Row],[Date]],2))</f>
        <v>28</v>
      </c>
      <c r="H319" s="40" t="str">
        <f t="shared" si="36"/>
        <v>Sunday</v>
      </c>
      <c r="I31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19" s="40" t="str" cm="1">
        <f t="array" ref="J319">IFERROR(VLOOKUP(MODE(IF(Combined[Date]=EarningsPerDay[[#This Row],[Date]],Combined[Area '#])),KPIs!$B$4:$C$7,2,FALSE),VLOOKUP(EarningsPerDay[[#This Row],[Date]],Combined[[Date]:[Primary Area]],8,FALSE))</f>
        <v>Lewiston</v>
      </c>
      <c r="K319" s="40" t="str">
        <f>_xlfn.XLOOKUP(EarningsPerDay[[#This Row],[Date]],Mileage[Date],Mileage[Weather])</f>
        <v>Partially cloudy &amp; Humid</v>
      </c>
      <c r="L319" s="4">
        <f>_xlfn.XLOOKUP(EarningsPerDay[[#This Row],[Date]],Mileage[Date],Mileage[Hi Temp])</f>
        <v>72</v>
      </c>
      <c r="M319" s="12">
        <f>_xlfn.XLOOKUP(EarningsPerDay[[#This Row],[Date]],Mileage[Date],Mileage[Total Time])</f>
        <v>4.95</v>
      </c>
      <c r="N319" s="4">
        <f>_xlfn.XLOOKUP(EarningsPerDay[[#This Row],[Date]],Mileage[Date],Mileage[Mileage])</f>
        <v>81</v>
      </c>
      <c r="O319" s="4">
        <f>SUMIF(Combined[Date],EarningsPerDay[[#This Row],[Date]],Combined[Trips])</f>
        <v>11</v>
      </c>
      <c r="P319">
        <f>COUNTIF(Combined[Date],EarningsPerDay[[#This Row],[Date]])</f>
        <v>4</v>
      </c>
      <c r="Q3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19" s="11">
        <f>SUMIF(Combined[Date],EarningsPerDay[[#This Row],[Date]],Combined[Earnings])</f>
        <v>86.87</v>
      </c>
      <c r="S319" s="11">
        <f ca="1">EarningsPerDay[[#This Row],[Gross Earnings]]-(EarningsPerDay[[#This Row],[Miles]]*CpM!$D$11)</f>
        <v>68.809179497109014</v>
      </c>
      <c r="T319" s="11">
        <f t="shared" si="33"/>
        <v>17.549494949494949</v>
      </c>
      <c r="U319" s="11">
        <f t="shared" ca="1" si="34"/>
        <v>13.900844342850306</v>
      </c>
      <c r="V319" s="11">
        <f>EarningsPerDay[[#This Row],[Gross Earnings]]/EarningsPerDay[[#This Row],[Deliveries]]</f>
        <v>7.8972727272727274</v>
      </c>
      <c r="W319" s="11">
        <f>EarningsPerDay[[#This Row],[Gross Earnings]]/EarningsPerDay[[#This Row],[Miles]]</f>
        <v>1.0724691358024692</v>
      </c>
      <c r="X319" s="71">
        <f>EarningsPerDay[[#This Row],[Deliveries]]/EarningsPerDay[[#This Row],[Hours]]</f>
        <v>2.2222222222222223</v>
      </c>
      <c r="Y319" s="71">
        <f>EarningsPerDay[[#This Row],[Miles]]/EarningsPerDay[[#This Row],[Deliveries]]</f>
        <v>7.3636363636363633</v>
      </c>
      <c r="Z319" s="81">
        <f>(EarningsPerDay[[#This Row],[Hours]]/EarningsPerDay[[#This Row],[Deliveries]])/24</f>
        <v>1.8749999999999999E-2</v>
      </c>
      <c r="AA3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-6.6101824698598897</v>
      </c>
      <c r="AB319" s="11">
        <f>AVERAGEIFS(EarningsPerDay[Gross $/Hour],EarningsPerDay[Week '#], EarningsPerDay[[#This Row],[Week '#]], EarningsPerDay[DOW], EarningsPerDay[[#This Row],[DOW]])</f>
        <v>17.549494949494949</v>
      </c>
      <c r="AC319" s="11">
        <f>EarningsPerDay[[#This Row],[Gross $/Hour]] - EarningsPerDay[[#This Row],[Weekly Average Earnings]]</f>
        <v>0</v>
      </c>
      <c r="AD319" s="11">
        <f>(SUMIFS(EarningsPerDay[Gross Earnings], EarningsPerDay[Date],"&gt;="&amp;EarningsPerDay[[#This Row],[Date]]-89, EarningsPerDay[Date], "&lt;="&amp;EarningsPerDay[[#This Row],[Date]]))/90</f>
        <v>39.926222222222229</v>
      </c>
    </row>
    <row r="320" spans="2:30" x14ac:dyDescent="0.35">
      <c r="B320" s="40">
        <v>45118</v>
      </c>
      <c r="C320" s="40">
        <f t="shared" si="35"/>
        <v>45118</v>
      </c>
      <c r="D320" s="4">
        <f>IF(EarningsPerDay[[#This Row],[Week '#]]&gt;=52,YEAR(EarningsPerDay[[#This Row],[Date]])-1,YEAR(EarningsPerDay[[#This Row],[Date]]))</f>
        <v>2023</v>
      </c>
      <c r="E320" s="4" t="str">
        <f>"QTR"&amp;IF(EarningsPerDay[[#This Row],[Week '#]] &lt;= 13, 1, IF(EarningsPerDay[[#This Row],[Week '#]] &lt;= 26, 2, IF(EarningsPerDay[[#This Row],[Week '#]] &lt;= 39, 3, 4)))</f>
        <v>QTR3</v>
      </c>
      <c r="F3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0" s="4">
        <f>IF(WEEKNUM(EarningsPerDay[[#This Row],[Date]], 2) = 53, 1, WEEKNUM(EarningsPerDay[[#This Row],[Date]],2))</f>
        <v>29</v>
      </c>
      <c r="H320" s="40" t="str">
        <f t="shared" si="36"/>
        <v>Tuesday</v>
      </c>
      <c r="I32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0" s="40" t="str" cm="1">
        <f t="array" ref="J320">IFERROR(VLOOKUP(MODE(IF(Combined[Date]=EarningsPerDay[[#This Row],[Date]],Combined[Area '#])),KPIs!$B$4:$C$7,2,FALSE),VLOOKUP(EarningsPerDay[[#This Row],[Date]],Combined[[Date]:[Primary Area]],8,FALSE))</f>
        <v>Portland</v>
      </c>
      <c r="K320" s="40" t="str">
        <f>_xlfn.XLOOKUP(EarningsPerDay[[#This Row],[Date]],Mileage[Date],Mileage[Weather])</f>
        <v>Clear</v>
      </c>
      <c r="L320" s="4">
        <f>_xlfn.XLOOKUP(EarningsPerDay[[#This Row],[Date]],Mileage[Date],Mileage[Hi Temp])</f>
        <v>82</v>
      </c>
      <c r="M320" s="12">
        <f>_xlfn.XLOOKUP(EarningsPerDay[[#This Row],[Date]],Mileage[Date],Mileage[Total Time])</f>
        <v>5.98</v>
      </c>
      <c r="N320" s="4">
        <f>_xlfn.XLOOKUP(EarningsPerDay[[#This Row],[Date]],Mileage[Date],Mileage[Mileage])</f>
        <v>115</v>
      </c>
      <c r="O320" s="4">
        <f>SUMIF(Combined[Date],EarningsPerDay[[#This Row],[Date]],Combined[Trips])</f>
        <v>12</v>
      </c>
      <c r="P320">
        <f>COUNTIF(Combined[Date],EarningsPerDay[[#This Row],[Date]])</f>
        <v>3</v>
      </c>
      <c r="Q3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0" s="11">
        <f>SUMIF(Combined[Date],EarningsPerDay[[#This Row],[Date]],Combined[Earnings])</f>
        <v>112.93</v>
      </c>
      <c r="S320" s="11">
        <f ca="1">EarningsPerDay[[#This Row],[Gross Earnings]]-(EarningsPerDay[[#This Row],[Miles]]*CpM!$D$11)</f>
        <v>87.288094347747375</v>
      </c>
      <c r="T320" s="11">
        <f t="shared" si="33"/>
        <v>18.884615384615383</v>
      </c>
      <c r="U320" s="11">
        <f t="shared" ca="1" si="34"/>
        <v>14.596671295609928</v>
      </c>
      <c r="V320" s="11">
        <f>EarningsPerDay[[#This Row],[Gross Earnings]]/EarningsPerDay[[#This Row],[Deliveries]]</f>
        <v>9.4108333333333345</v>
      </c>
      <c r="W320" s="11">
        <f>EarningsPerDay[[#This Row],[Gross Earnings]]/EarningsPerDay[[#This Row],[Miles]]</f>
        <v>0.9820000000000001</v>
      </c>
      <c r="X320" s="71">
        <f>EarningsPerDay[[#This Row],[Deliveries]]/EarningsPerDay[[#This Row],[Hours]]</f>
        <v>2.0066889632107023</v>
      </c>
      <c r="Y320" s="71">
        <f>EarningsPerDay[[#This Row],[Miles]]/EarningsPerDay[[#This Row],[Deliveries]]</f>
        <v>9.5833333333333339</v>
      </c>
      <c r="Z320" s="81">
        <f>(EarningsPerDay[[#This Row],[Hours]]/EarningsPerDay[[#This Row],[Deliveries]])/24</f>
        <v>2.0763888888888891E-2</v>
      </c>
      <c r="AA3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-4.3735664217759869</v>
      </c>
      <c r="AB320" s="11">
        <f>AVERAGEIFS(EarningsPerDay[Gross $/Hour],EarningsPerDay[Week '#], EarningsPerDay[[#This Row],[Week '#]], EarningsPerDay[DOW], EarningsPerDay[[#This Row],[DOW]])</f>
        <v>21.063307692307692</v>
      </c>
      <c r="AC320" s="11">
        <f>EarningsPerDay[[#This Row],[Gross $/Hour]] - EarningsPerDay[[#This Row],[Weekly Average Earnings]]</f>
        <v>-2.1786923076923088</v>
      </c>
      <c r="AD320" s="11">
        <f>(SUMIFS(EarningsPerDay[Gross Earnings], EarningsPerDay[Date],"&gt;="&amp;EarningsPerDay[[#This Row],[Date]]-89, EarningsPerDay[Date], "&lt;="&amp;EarningsPerDay[[#This Row],[Date]]))/90</f>
        <v>41.181000000000004</v>
      </c>
    </row>
    <row r="321" spans="2:30" x14ac:dyDescent="0.35">
      <c r="B321" s="40">
        <v>45119</v>
      </c>
      <c r="C321" s="40">
        <f t="shared" si="35"/>
        <v>45119</v>
      </c>
      <c r="D321" s="4">
        <f>IF(EarningsPerDay[[#This Row],[Week '#]]&gt;=52,YEAR(EarningsPerDay[[#This Row],[Date]])-1,YEAR(EarningsPerDay[[#This Row],[Date]]))</f>
        <v>2023</v>
      </c>
      <c r="E321" s="4" t="str">
        <f>"QTR"&amp;IF(EarningsPerDay[[#This Row],[Week '#]] &lt;= 13, 1, IF(EarningsPerDay[[#This Row],[Week '#]] &lt;= 26, 2, IF(EarningsPerDay[[#This Row],[Week '#]] &lt;= 39, 3, 4)))</f>
        <v>QTR3</v>
      </c>
      <c r="F3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1" s="4">
        <f>IF(WEEKNUM(EarningsPerDay[[#This Row],[Date]], 2) = 53, 1, WEEKNUM(EarningsPerDay[[#This Row],[Date]],2))</f>
        <v>29</v>
      </c>
      <c r="H321" s="40" t="str">
        <f t="shared" si="36"/>
        <v>Wednesday</v>
      </c>
      <c r="I32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1" s="40" t="str" cm="1">
        <f t="array" ref="J321">IFERROR(VLOOKUP(MODE(IF(Combined[Date]=EarningsPerDay[[#This Row],[Date]],Combined[Area '#])),KPIs!$B$4:$C$7,2,FALSE),VLOOKUP(EarningsPerDay[[#This Row],[Date]],Combined[[Date]:[Primary Area]],8,FALSE))</f>
        <v>Portland</v>
      </c>
      <c r="K321" s="40" t="str">
        <f>_xlfn.XLOOKUP(EarningsPerDay[[#This Row],[Date]],Mileage[Date],Mileage[Weather])</f>
        <v>Clear &amp; Humid</v>
      </c>
      <c r="L321" s="4">
        <f>_xlfn.XLOOKUP(EarningsPerDay[[#This Row],[Date]],Mileage[Date],Mileage[Hi Temp])</f>
        <v>75</v>
      </c>
      <c r="M321" s="12">
        <f>_xlfn.XLOOKUP(EarningsPerDay[[#This Row],[Date]],Mileage[Date],Mileage[Total Time])</f>
        <v>5.6</v>
      </c>
      <c r="N321" s="4">
        <f>_xlfn.XLOOKUP(EarningsPerDay[[#This Row],[Date]],Mileage[Date],Mileage[Mileage])</f>
        <v>129</v>
      </c>
      <c r="O321" s="4">
        <f>SUMIF(Combined[Date],EarningsPerDay[[#This Row],[Date]],Combined[Trips])</f>
        <v>12</v>
      </c>
      <c r="P321">
        <f>COUNTIF(Combined[Date],EarningsPerDay[[#This Row],[Date]])</f>
        <v>3</v>
      </c>
      <c r="Q3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1" s="11">
        <f>SUMIF(Combined[Date],EarningsPerDay[[#This Row],[Date]],Combined[Earnings])</f>
        <v>103.98</v>
      </c>
      <c r="S321" s="11">
        <f ca="1">EarningsPerDay[[#This Row],[Gross Earnings]]-(EarningsPerDay[[#This Row],[Miles]]*CpM!$D$11)</f>
        <v>75.216471050951384</v>
      </c>
      <c r="T321" s="11">
        <f t="shared" si="33"/>
        <v>18.567857142857143</v>
      </c>
      <c r="U321" s="11">
        <f t="shared" ca="1" si="34"/>
        <v>13.43151268766989</v>
      </c>
      <c r="V321" s="11">
        <f>EarningsPerDay[[#This Row],[Gross Earnings]]/EarningsPerDay[[#This Row],[Deliveries]]</f>
        <v>8.6650000000000009</v>
      </c>
      <c r="W321" s="11">
        <f>EarningsPerDay[[#This Row],[Gross Earnings]]/EarningsPerDay[[#This Row],[Miles]]</f>
        <v>0.80604651162790697</v>
      </c>
      <c r="X321" s="71">
        <f>EarningsPerDay[[#This Row],[Deliveries]]/EarningsPerDay[[#This Row],[Hours]]</f>
        <v>2.1428571428571428</v>
      </c>
      <c r="Y321" s="71">
        <f>EarningsPerDay[[#This Row],[Miles]]/EarningsPerDay[[#This Row],[Deliveries]]</f>
        <v>10.75</v>
      </c>
      <c r="Z321" s="81">
        <f>(EarningsPerDay[[#This Row],[Hours]]/EarningsPerDay[[#This Row],[Deliveries]])/24</f>
        <v>1.9444444444444441E-2</v>
      </c>
      <c r="AA3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-4.6377008277324769</v>
      </c>
      <c r="AB321" s="11">
        <f>AVERAGEIFS(EarningsPerDay[Gross $/Hour],EarningsPerDay[Week '#], EarningsPerDay[[#This Row],[Week '#]], EarningsPerDay[DOW], EarningsPerDay[[#This Row],[DOW]])</f>
        <v>21.177052197860014</v>
      </c>
      <c r="AC321" s="11">
        <f>EarningsPerDay[[#This Row],[Gross $/Hour]] - EarningsPerDay[[#This Row],[Weekly Average Earnings]]</f>
        <v>-2.6091950550028713</v>
      </c>
      <c r="AD321" s="11">
        <f>(SUMIFS(EarningsPerDay[Gross Earnings], EarningsPerDay[Date],"&gt;="&amp;EarningsPerDay[[#This Row],[Date]]-89, EarningsPerDay[Date], "&lt;="&amp;EarningsPerDay[[#This Row],[Date]]))/90</f>
        <v>41.173333333333332</v>
      </c>
    </row>
    <row r="322" spans="2:30" x14ac:dyDescent="0.35">
      <c r="B322" s="40">
        <v>45120</v>
      </c>
      <c r="C322" s="40">
        <f t="shared" si="35"/>
        <v>45120</v>
      </c>
      <c r="D322" s="4">
        <f>IF(EarningsPerDay[[#This Row],[Week '#]]&gt;=52,YEAR(EarningsPerDay[[#This Row],[Date]])-1,YEAR(EarningsPerDay[[#This Row],[Date]]))</f>
        <v>2023</v>
      </c>
      <c r="E322" s="4" t="str">
        <f>"QTR"&amp;IF(EarningsPerDay[[#This Row],[Week '#]] &lt;= 13, 1, IF(EarningsPerDay[[#This Row],[Week '#]] &lt;= 26, 2, IF(EarningsPerDay[[#This Row],[Week '#]] &lt;= 39, 3, 4)))</f>
        <v>QTR3</v>
      </c>
      <c r="F3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2" s="4">
        <f>IF(WEEKNUM(EarningsPerDay[[#This Row],[Date]], 2) = 53, 1, WEEKNUM(EarningsPerDay[[#This Row],[Date]],2))</f>
        <v>29</v>
      </c>
      <c r="H322" s="40" t="str">
        <f t="shared" si="36"/>
        <v>Thursday</v>
      </c>
      <c r="I32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2" s="40" t="str" cm="1">
        <f t="array" ref="J322">IFERROR(VLOOKUP(MODE(IF(Combined[Date]=EarningsPerDay[[#This Row],[Date]],Combined[Area '#])),KPIs!$B$4:$C$7,2,FALSE),VLOOKUP(EarningsPerDay[[#This Row],[Date]],Combined[[Date]:[Primary Area]],8,FALSE))</f>
        <v>Augusta</v>
      </c>
      <c r="K322" s="40" t="str">
        <f>_xlfn.XLOOKUP(EarningsPerDay[[#This Row],[Date]],Mileage[Date],Mileage[Weather])</f>
        <v>Clear &amp; Humid</v>
      </c>
      <c r="L322" s="4">
        <f>_xlfn.XLOOKUP(EarningsPerDay[[#This Row],[Date]],Mileage[Date],Mileage[Hi Temp])</f>
        <v>79</v>
      </c>
      <c r="M322" s="12">
        <f>_xlfn.XLOOKUP(EarningsPerDay[[#This Row],[Date]],Mileage[Date],Mileage[Total Time])</f>
        <v>5.05</v>
      </c>
      <c r="N322" s="4">
        <f>_xlfn.XLOOKUP(EarningsPerDay[[#This Row],[Date]],Mileage[Date],Mileage[Mileage])</f>
        <v>117</v>
      </c>
      <c r="O322" s="4">
        <f>SUMIF(Combined[Date],EarningsPerDay[[#This Row],[Date]],Combined[Trips])</f>
        <v>8</v>
      </c>
      <c r="P322">
        <f>COUNTIF(Combined[Date],EarningsPerDay[[#This Row],[Date]])</f>
        <v>1</v>
      </c>
      <c r="Q3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2" s="11">
        <f>SUMIF(Combined[Date],EarningsPerDay[[#This Row],[Date]],Combined[Earnings])</f>
        <v>64.75</v>
      </c>
      <c r="S322" s="11">
        <f ca="1">EarningsPerDay[[#This Row],[Gross Earnings]]-(EarningsPerDay[[#This Row],[Miles]]*CpM!$D$11)</f>
        <v>38.662148162490794</v>
      </c>
      <c r="T322" s="11">
        <f t="shared" si="33"/>
        <v>12.821782178217822</v>
      </c>
      <c r="U322" s="11">
        <f t="shared" ca="1" si="34"/>
        <v>7.6558709232655042</v>
      </c>
      <c r="V322" s="11">
        <f>EarningsPerDay[[#This Row],[Gross Earnings]]/EarningsPerDay[[#This Row],[Deliveries]]</f>
        <v>8.09375</v>
      </c>
      <c r="W322" s="11">
        <f>EarningsPerDay[[#This Row],[Gross Earnings]]/EarningsPerDay[[#This Row],[Miles]]</f>
        <v>0.55341880341880345</v>
      </c>
      <c r="X322" s="71">
        <f>EarningsPerDay[[#This Row],[Deliveries]]/EarningsPerDay[[#This Row],[Hours]]</f>
        <v>1.5841584158415842</v>
      </c>
      <c r="Y322" s="71">
        <f>EarningsPerDay[[#This Row],[Miles]]/EarningsPerDay[[#This Row],[Deliveries]]</f>
        <v>14.625</v>
      </c>
      <c r="Z322" s="81">
        <f>(EarningsPerDay[[#This Row],[Hours]]/EarningsPerDay[[#This Row],[Deliveries]])/24</f>
        <v>2.6302083333333334E-2</v>
      </c>
      <c r="AA32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22" s="11">
        <f>AVERAGEIFS(EarningsPerDay[Gross $/Hour],EarningsPerDay[Week '#], EarningsPerDay[[#This Row],[Week '#]], EarningsPerDay[DOW], EarningsPerDay[[#This Row],[DOW]])</f>
        <v>17.497399025616847</v>
      </c>
      <c r="AC322" s="11">
        <f>EarningsPerDay[[#This Row],[Gross $/Hour]] - EarningsPerDay[[#This Row],[Weekly Average Earnings]]</f>
        <v>-4.6756168473990254</v>
      </c>
      <c r="AD322" s="11">
        <f>(SUMIFS(EarningsPerDay[Gross Earnings], EarningsPerDay[Date],"&gt;="&amp;EarningsPerDay[[#This Row],[Date]]-89, EarningsPerDay[Date], "&lt;="&amp;EarningsPerDay[[#This Row],[Date]]))/90</f>
        <v>41.892777777777773</v>
      </c>
    </row>
    <row r="323" spans="2:30" x14ac:dyDescent="0.35">
      <c r="B323" s="40">
        <v>45121</v>
      </c>
      <c r="C323" s="40">
        <f t="shared" si="35"/>
        <v>45121</v>
      </c>
      <c r="D323" s="4">
        <f>IF(EarningsPerDay[[#This Row],[Week '#]]&gt;=52,YEAR(EarningsPerDay[[#This Row],[Date]])-1,YEAR(EarningsPerDay[[#This Row],[Date]]))</f>
        <v>2023</v>
      </c>
      <c r="E323" s="4" t="str">
        <f>"QTR"&amp;IF(EarningsPerDay[[#This Row],[Week '#]] &lt;= 13, 1, IF(EarningsPerDay[[#This Row],[Week '#]] &lt;= 26, 2, IF(EarningsPerDay[[#This Row],[Week '#]] &lt;= 39, 3, 4)))</f>
        <v>QTR3</v>
      </c>
      <c r="F3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3" s="4">
        <f>IF(WEEKNUM(EarningsPerDay[[#This Row],[Date]], 2) = 53, 1, WEEKNUM(EarningsPerDay[[#This Row],[Date]],2))</f>
        <v>29</v>
      </c>
      <c r="H323" s="40" t="str">
        <f t="shared" si="36"/>
        <v>Friday</v>
      </c>
      <c r="I32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3" s="40" t="str" cm="1">
        <f t="array" ref="J323">IFERROR(VLOOKUP(MODE(IF(Combined[Date]=EarningsPerDay[[#This Row],[Date]],Combined[Area '#])),KPIs!$B$4:$C$7,2,FALSE),VLOOKUP(EarningsPerDay[[#This Row],[Date]],Combined[[Date]:[Primary Area]],8,FALSE))</f>
        <v>Portland</v>
      </c>
      <c r="K323" s="40" t="str">
        <f>_xlfn.XLOOKUP(EarningsPerDay[[#This Row],[Date]],Mileage[Date],Mileage[Weather])</f>
        <v>Partially Cloudy</v>
      </c>
      <c r="L323" s="4">
        <f>_xlfn.XLOOKUP(EarningsPerDay[[#This Row],[Date]],Mileage[Date],Mileage[Hi Temp])</f>
        <v>73</v>
      </c>
      <c r="M323" s="12">
        <f>_xlfn.XLOOKUP(EarningsPerDay[[#This Row],[Date]],Mileage[Date],Mileage[Total Time])</f>
        <v>6.6</v>
      </c>
      <c r="N323" s="4">
        <f>_xlfn.XLOOKUP(EarningsPerDay[[#This Row],[Date]],Mileage[Date],Mileage[Mileage])</f>
        <v>147.19999999999999</v>
      </c>
      <c r="O323" s="4">
        <f>SUMIF(Combined[Date],EarningsPerDay[[#This Row],[Date]],Combined[Trips])</f>
        <v>13</v>
      </c>
      <c r="P323">
        <f>COUNTIF(Combined[Date],EarningsPerDay[[#This Row],[Date]])</f>
        <v>3</v>
      </c>
      <c r="Q3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3" s="11">
        <f>SUMIF(Combined[Date],EarningsPerDay[[#This Row],[Date]],Combined[Earnings])</f>
        <v>113.83</v>
      </c>
      <c r="S323" s="11">
        <f ca="1">EarningsPerDay[[#This Row],[Gross Earnings]]-(EarningsPerDay[[#This Row],[Miles]]*CpM!$D$11)</f>
        <v>81.00836076511662</v>
      </c>
      <c r="T323" s="11">
        <f t="shared" ref="T323:T386" si="37">R323/M323</f>
        <v>17.246969696969696</v>
      </c>
      <c r="U323" s="11">
        <f t="shared" ref="U323:U386" ca="1" si="38">S323/M323</f>
        <v>12.273994055320701</v>
      </c>
      <c r="V323" s="11">
        <f>EarningsPerDay[[#This Row],[Gross Earnings]]/EarningsPerDay[[#This Row],[Deliveries]]</f>
        <v>8.7561538461538468</v>
      </c>
      <c r="W323" s="11">
        <f>EarningsPerDay[[#This Row],[Gross Earnings]]/EarningsPerDay[[#This Row],[Miles]]</f>
        <v>0.77330163043478262</v>
      </c>
      <c r="X323" s="71">
        <f>EarningsPerDay[[#This Row],[Deliveries]]/EarningsPerDay[[#This Row],[Hours]]</f>
        <v>1.9696969696969697</v>
      </c>
      <c r="Y323" s="71">
        <f>EarningsPerDay[[#This Row],[Miles]]/EarningsPerDay[[#This Row],[Deliveries]]</f>
        <v>11.323076923076922</v>
      </c>
      <c r="Z323" s="81">
        <f>(EarningsPerDay[[#This Row],[Hours]]/EarningsPerDay[[#This Row],[Deliveries]])/24</f>
        <v>2.1153846153846152E-2</v>
      </c>
      <c r="AA3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-5.1794323848601813</v>
      </c>
      <c r="AB323" s="11">
        <f>AVERAGEIFS(EarningsPerDay[Gross $/Hour],EarningsPerDay[Week '#], EarningsPerDay[[#This Row],[Week '#]], EarningsPerDay[DOW], EarningsPerDay[[#This Row],[DOW]])</f>
        <v>19.277372919603788</v>
      </c>
      <c r="AC323" s="11">
        <f>EarningsPerDay[[#This Row],[Gross $/Hour]] - EarningsPerDay[[#This Row],[Weekly Average Earnings]]</f>
        <v>-2.0304032226340922</v>
      </c>
      <c r="AD323" s="11">
        <f>(SUMIFS(EarningsPerDay[Gross Earnings], EarningsPerDay[Date],"&gt;="&amp;EarningsPerDay[[#This Row],[Date]]-89, EarningsPerDay[Date], "&lt;="&amp;EarningsPerDay[[#This Row],[Date]]))/90</f>
        <v>41.696555555555555</v>
      </c>
    </row>
    <row r="324" spans="2:30" x14ac:dyDescent="0.35">
      <c r="B324" s="40">
        <v>45122</v>
      </c>
      <c r="C324" s="40">
        <f t="shared" si="35"/>
        <v>45122</v>
      </c>
      <c r="D324" s="4">
        <f>IF(EarningsPerDay[[#This Row],[Week '#]]&gt;=52,YEAR(EarningsPerDay[[#This Row],[Date]])-1,YEAR(EarningsPerDay[[#This Row],[Date]]))</f>
        <v>2023</v>
      </c>
      <c r="E324" s="4" t="str">
        <f>"QTR"&amp;IF(EarningsPerDay[[#This Row],[Week '#]] &lt;= 13, 1, IF(EarningsPerDay[[#This Row],[Week '#]] &lt;= 26, 2, IF(EarningsPerDay[[#This Row],[Week '#]] &lt;= 39, 3, 4)))</f>
        <v>QTR3</v>
      </c>
      <c r="F3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4" s="4">
        <f>IF(WEEKNUM(EarningsPerDay[[#This Row],[Date]], 2) = 53, 1, WEEKNUM(EarningsPerDay[[#This Row],[Date]],2))</f>
        <v>29</v>
      </c>
      <c r="H324" s="40" t="str">
        <f t="shared" si="36"/>
        <v>Saturday</v>
      </c>
      <c r="I324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324" s="40" t="str" cm="1">
        <f t="array" ref="J324">IFERROR(VLOOKUP(MODE(IF(Combined[Date]=EarningsPerDay[[#This Row],[Date]],Combined[Area '#])),KPIs!$B$4:$C$7,2,FALSE),VLOOKUP(EarningsPerDay[[#This Row],[Date]],Combined[[Date]:[Primary Area]],8,FALSE))</f>
        <v>Lewiston</v>
      </c>
      <c r="K324" s="40" t="str">
        <f>_xlfn.XLOOKUP(EarningsPerDay[[#This Row],[Date]],Mileage[Date],Mileage[Weather])</f>
        <v>Partially cloudy &amp; Humid</v>
      </c>
      <c r="L324" s="4">
        <f>_xlfn.XLOOKUP(EarningsPerDay[[#This Row],[Date]],Mileage[Date],Mileage[Hi Temp])</f>
        <v>78</v>
      </c>
      <c r="M324" s="12">
        <f>_xlfn.XLOOKUP(EarningsPerDay[[#This Row],[Date]],Mileage[Date],Mileage[Total Time])</f>
        <v>6.95</v>
      </c>
      <c r="N324" s="4">
        <f>_xlfn.XLOOKUP(EarningsPerDay[[#This Row],[Date]],Mileage[Date],Mileage[Mileage])</f>
        <v>95</v>
      </c>
      <c r="O324" s="4">
        <f>SUMIF(Combined[Date],EarningsPerDay[[#This Row],[Date]],Combined[Trips])</f>
        <v>16</v>
      </c>
      <c r="P324">
        <f>COUNTIF(Combined[Date],EarningsPerDay[[#This Row],[Date]])</f>
        <v>2</v>
      </c>
      <c r="Q3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4" s="11">
        <f>SUMIF(Combined[Date],EarningsPerDay[[#This Row],[Date]],Combined[Earnings])</f>
        <v>123.79</v>
      </c>
      <c r="S324" s="11">
        <f ca="1">EarningsPerDay[[#This Row],[Gross Earnings]]-(EarningsPerDay[[#This Row],[Miles]]*CpM!$D$11)</f>
        <v>102.60755620031304</v>
      </c>
      <c r="T324" s="11">
        <f t="shared" si="37"/>
        <v>17.811510791366906</v>
      </c>
      <c r="U324" s="11">
        <f t="shared" ca="1" si="38"/>
        <v>14.763677151124178</v>
      </c>
      <c r="V324" s="11">
        <f>EarningsPerDay[[#This Row],[Gross Earnings]]/EarningsPerDay[[#This Row],[Deliveries]]</f>
        <v>7.7368750000000004</v>
      </c>
      <c r="W324" s="11">
        <f>EarningsPerDay[[#This Row],[Gross Earnings]]/EarningsPerDay[[#This Row],[Miles]]</f>
        <v>1.3030526315789475</v>
      </c>
      <c r="X324" s="71">
        <f>EarningsPerDay[[#This Row],[Deliveries]]/EarningsPerDay[[#This Row],[Hours]]</f>
        <v>2.3021582733812949</v>
      </c>
      <c r="Y324" s="71">
        <f>EarningsPerDay[[#This Row],[Miles]]/EarningsPerDay[[#This Row],[Deliveries]]</f>
        <v>5.9375</v>
      </c>
      <c r="Z324" s="81">
        <f>(EarningsPerDay[[#This Row],[Hours]]/EarningsPerDay[[#This Row],[Deliveries]])/24</f>
        <v>1.8098958333333335E-2</v>
      </c>
      <c r="AA3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-5.0185271848673203</v>
      </c>
      <c r="AB324" s="11">
        <f>AVERAGEIFS(EarningsPerDay[Gross $/Hour],EarningsPerDay[Week '#], EarningsPerDay[[#This Row],[Week '#]], EarningsPerDay[DOW], EarningsPerDay[[#This Row],[DOW]])</f>
        <v>20.038561698743642</v>
      </c>
      <c r="AC324" s="11">
        <f>EarningsPerDay[[#This Row],[Gross $/Hour]] - EarningsPerDay[[#This Row],[Weekly Average Earnings]]</f>
        <v>-2.2270509073767357</v>
      </c>
      <c r="AD324" s="11">
        <f>(SUMIFS(EarningsPerDay[Gross Earnings], EarningsPerDay[Date],"&gt;="&amp;EarningsPerDay[[#This Row],[Date]]-89, EarningsPerDay[Date], "&lt;="&amp;EarningsPerDay[[#This Row],[Date]]))/90</f>
        <v>43.072000000000003</v>
      </c>
    </row>
    <row r="325" spans="2:30" x14ac:dyDescent="0.35">
      <c r="B325" s="40">
        <v>45123</v>
      </c>
      <c r="C325" s="40">
        <f t="shared" si="35"/>
        <v>45123</v>
      </c>
      <c r="D325" s="4">
        <f>IF(EarningsPerDay[[#This Row],[Week '#]]&gt;=52,YEAR(EarningsPerDay[[#This Row],[Date]])-1,YEAR(EarningsPerDay[[#This Row],[Date]]))</f>
        <v>2023</v>
      </c>
      <c r="E325" s="4" t="str">
        <f>"QTR"&amp;IF(EarningsPerDay[[#This Row],[Week '#]] &lt;= 13, 1, IF(EarningsPerDay[[#This Row],[Week '#]] &lt;= 26, 2, IF(EarningsPerDay[[#This Row],[Week '#]] &lt;= 39, 3, 4)))</f>
        <v>QTR3</v>
      </c>
      <c r="F3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25" s="4">
        <f>IF(WEEKNUM(EarningsPerDay[[#This Row],[Date]], 2) = 53, 1, WEEKNUM(EarningsPerDay[[#This Row],[Date]],2))</f>
        <v>29</v>
      </c>
      <c r="H325" s="40" t="str">
        <f t="shared" si="36"/>
        <v>Sunday</v>
      </c>
      <c r="I325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325" s="40" t="str" cm="1">
        <f t="array" ref="J325">IFERROR(VLOOKUP(MODE(IF(Combined[Date]=EarningsPerDay[[#This Row],[Date]],Combined[Area '#])),KPIs!$B$4:$C$7,2,FALSE),VLOOKUP(EarningsPerDay[[#This Row],[Date]],Combined[[Date]:[Primary Area]],8,FALSE))</f>
        <v>Brunswick/Bath/Freeport</v>
      </c>
      <c r="K325" s="40" t="str">
        <f>_xlfn.XLOOKUP(EarningsPerDay[[#This Row],[Date]],Mileage[Date],Mileage[Weather])</f>
        <v>Rain</v>
      </c>
      <c r="L325" s="4">
        <f>_xlfn.XLOOKUP(EarningsPerDay[[#This Row],[Date]],Mileage[Date],Mileage[Hi Temp])</f>
        <v>75</v>
      </c>
      <c r="M325" s="12">
        <f>_xlfn.XLOOKUP(EarningsPerDay[[#This Row],[Date]],Mileage[Date],Mileage[Total Time])</f>
        <v>2.65</v>
      </c>
      <c r="N325" s="4">
        <f>_xlfn.XLOOKUP(EarningsPerDay[[#This Row],[Date]],Mileage[Date],Mileage[Mileage])</f>
        <v>62</v>
      </c>
      <c r="O325" s="4">
        <f>SUMIF(Combined[Date],EarningsPerDay[[#This Row],[Date]],Combined[Trips])</f>
        <v>5</v>
      </c>
      <c r="P325">
        <f>COUNTIF(Combined[Date],EarningsPerDay[[#This Row],[Date]])</f>
        <v>3</v>
      </c>
      <c r="Q3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5" s="11">
        <f>SUMIF(Combined[Date],EarningsPerDay[[#This Row],[Date]],Combined[Earnings])</f>
        <v>58.629999999999995</v>
      </c>
      <c r="S325" s="11">
        <f ca="1">EarningsPerDay[[#This Row],[Gross Earnings]]-(EarningsPerDay[[#This Row],[Miles]]*CpM!$D$11)</f>
        <v>44.805668257046399</v>
      </c>
      <c r="T325" s="11">
        <f t="shared" si="37"/>
        <v>22.124528301886791</v>
      </c>
      <c r="U325" s="11">
        <f t="shared" ca="1" si="38"/>
        <v>16.90779934228166</v>
      </c>
      <c r="V325" s="11">
        <f>EarningsPerDay[[#This Row],[Gross Earnings]]/EarningsPerDay[[#This Row],[Deliveries]]</f>
        <v>11.725999999999999</v>
      </c>
      <c r="W325" s="11">
        <f>EarningsPerDay[[#This Row],[Gross Earnings]]/EarningsPerDay[[#This Row],[Miles]]</f>
        <v>0.9456451612903225</v>
      </c>
      <c r="X325" s="71">
        <f>EarningsPerDay[[#This Row],[Deliveries]]/EarningsPerDay[[#This Row],[Hours]]</f>
        <v>1.8867924528301887</v>
      </c>
      <c r="Y325" s="71">
        <f>EarningsPerDay[[#This Row],[Miles]]/EarningsPerDay[[#This Row],[Deliveries]]</f>
        <v>12.4</v>
      </c>
      <c r="Z325" s="81">
        <f>(EarningsPerDay[[#This Row],[Hours]]/EarningsPerDay[[#This Row],[Deliveries]])/24</f>
        <v>2.2083333333333333E-2</v>
      </c>
      <c r="AA3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-1.8184114271305916</v>
      </c>
      <c r="AB325" s="11">
        <f>AVERAGEIFS(EarningsPerDay[Gross $/Hour],EarningsPerDay[Week '#], EarningsPerDay[[#This Row],[Week '#]], EarningsPerDay[DOW], EarningsPerDay[[#This Row],[DOW]])</f>
        <v>22.124528301886791</v>
      </c>
      <c r="AC325" s="11">
        <f>EarningsPerDay[[#This Row],[Gross $/Hour]] - EarningsPerDay[[#This Row],[Weekly Average Earnings]]</f>
        <v>0</v>
      </c>
      <c r="AD325" s="11">
        <f>(SUMIFS(EarningsPerDay[Gross Earnings], EarningsPerDay[Date],"&gt;="&amp;EarningsPerDay[[#This Row],[Date]]-89, EarningsPerDay[Date], "&lt;="&amp;EarningsPerDay[[#This Row],[Date]]))/90</f>
        <v>43.723444444444446</v>
      </c>
    </row>
    <row r="326" spans="2:30" x14ac:dyDescent="0.35">
      <c r="B326" s="40">
        <v>45124</v>
      </c>
      <c r="C326" s="40">
        <f t="shared" si="35"/>
        <v>45124</v>
      </c>
      <c r="D326" s="4">
        <f>IF(EarningsPerDay[[#This Row],[Week '#]]&gt;=52,YEAR(EarningsPerDay[[#This Row],[Date]])-1,YEAR(EarningsPerDay[[#This Row],[Date]]))</f>
        <v>2023</v>
      </c>
      <c r="E326" s="4" t="str">
        <f>"QTR"&amp;IF(EarningsPerDay[[#This Row],[Week '#]] &lt;= 13, 1, IF(EarningsPerDay[[#This Row],[Week '#]] &lt;= 26, 2, IF(EarningsPerDay[[#This Row],[Week '#]] &lt;= 39, 3, 4)))</f>
        <v>QTR3</v>
      </c>
      <c r="F3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26" s="4">
        <f>IF(WEEKNUM(EarningsPerDay[[#This Row],[Date]], 2) = 53, 1, WEEKNUM(EarningsPerDay[[#This Row],[Date]],2))</f>
        <v>30</v>
      </c>
      <c r="H326" s="40" t="str">
        <f t="shared" si="36"/>
        <v>Monday</v>
      </c>
      <c r="I32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6" s="40" t="str" cm="1">
        <f t="array" ref="J326">IFERROR(VLOOKUP(MODE(IF(Combined[Date]=EarningsPerDay[[#This Row],[Date]],Combined[Area '#])),KPIs!$B$4:$C$7,2,FALSE),VLOOKUP(EarningsPerDay[[#This Row],[Date]],Combined[[Date]:[Primary Area]],8,FALSE))</f>
        <v>Portland</v>
      </c>
      <c r="K326" s="40" t="str">
        <f>_xlfn.XLOOKUP(EarningsPerDay[[#This Row],[Date]],Mileage[Date],Mileage[Weather])</f>
        <v>Clear &amp; Humid</v>
      </c>
      <c r="L326" s="4">
        <f>_xlfn.XLOOKUP(EarningsPerDay[[#This Row],[Date]],Mileage[Date],Mileage[Hi Temp])</f>
        <v>81</v>
      </c>
      <c r="M326" s="12">
        <f>_xlfn.XLOOKUP(EarningsPerDay[[#This Row],[Date]],Mileage[Date],Mileage[Total Time])</f>
        <v>7.18</v>
      </c>
      <c r="N326" s="4">
        <f>_xlfn.XLOOKUP(EarningsPerDay[[#This Row],[Date]],Mileage[Date],Mileage[Mileage])</f>
        <v>156.1</v>
      </c>
      <c r="O326" s="4">
        <f>SUMIF(Combined[Date],EarningsPerDay[[#This Row],[Date]],Combined[Trips])</f>
        <v>14</v>
      </c>
      <c r="P326">
        <f>COUNTIF(Combined[Date],EarningsPerDay[[#This Row],[Date]])</f>
        <v>3</v>
      </c>
      <c r="Q3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6" s="11">
        <f>SUMIF(Combined[Date],EarningsPerDay[[#This Row],[Date]],Combined[Earnings])</f>
        <v>163.4</v>
      </c>
      <c r="S326" s="11">
        <f ca="1">EarningsPerDay[[#This Row],[Gross Earnings]]-(EarningsPerDay[[#This Row],[Miles]]*CpM!$D$11)</f>
        <v>128.59390024072491</v>
      </c>
      <c r="T326" s="11">
        <f t="shared" si="37"/>
        <v>22.757660167130922</v>
      </c>
      <c r="U326" s="11">
        <f t="shared" ca="1" si="38"/>
        <v>17.910013961103747</v>
      </c>
      <c r="V326" s="11">
        <f>EarningsPerDay[[#This Row],[Gross Earnings]]/EarningsPerDay[[#This Row],[Deliveries]]</f>
        <v>11.671428571428573</v>
      </c>
      <c r="W326" s="11">
        <f>EarningsPerDay[[#This Row],[Gross Earnings]]/EarningsPerDay[[#This Row],[Miles]]</f>
        <v>1.0467648942985266</v>
      </c>
      <c r="X326" s="71">
        <f>EarningsPerDay[[#This Row],[Deliveries]]/EarningsPerDay[[#This Row],[Hours]]</f>
        <v>1.9498607242339834</v>
      </c>
      <c r="Y326" s="71">
        <f>EarningsPerDay[[#This Row],[Miles]]/EarningsPerDay[[#This Row],[Deliveries]]</f>
        <v>11.15</v>
      </c>
      <c r="Z326" s="81">
        <f>(EarningsPerDay[[#This Row],[Hours]]/EarningsPerDay[[#This Row],[Deliveries]])/24</f>
        <v>2.1369047619047617E-2</v>
      </c>
      <c r="AA3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1.100977402786711</v>
      </c>
      <c r="AB326" s="11">
        <f>AVERAGEIFS(EarningsPerDay[Gross $/Hour],EarningsPerDay[Week '#], EarningsPerDay[[#This Row],[Week '#]], EarningsPerDay[DOW], EarningsPerDay[[#This Row],[DOW]])</f>
        <v>21.493139294091776</v>
      </c>
      <c r="AC326" s="11">
        <f>EarningsPerDay[[#This Row],[Gross $/Hour]] - EarningsPerDay[[#This Row],[Weekly Average Earnings]]</f>
        <v>1.264520873039146</v>
      </c>
      <c r="AD326" s="11">
        <f>(SUMIFS(EarningsPerDay[Gross Earnings], EarningsPerDay[Date],"&gt;="&amp;EarningsPerDay[[#This Row],[Date]]-89, EarningsPerDay[Date], "&lt;="&amp;EarningsPerDay[[#This Row],[Date]]))/90</f>
        <v>45.539000000000001</v>
      </c>
    </row>
    <row r="327" spans="2:30" x14ac:dyDescent="0.35">
      <c r="B327" s="40">
        <v>45125</v>
      </c>
      <c r="C327" s="40">
        <f t="shared" si="35"/>
        <v>45125</v>
      </c>
      <c r="D327" s="4">
        <f>IF(EarningsPerDay[[#This Row],[Week '#]]&gt;=52,YEAR(EarningsPerDay[[#This Row],[Date]])-1,YEAR(EarningsPerDay[[#This Row],[Date]]))</f>
        <v>2023</v>
      </c>
      <c r="E327" s="4" t="str">
        <f>"QTR"&amp;IF(EarningsPerDay[[#This Row],[Week '#]] &lt;= 13, 1, IF(EarningsPerDay[[#This Row],[Week '#]] &lt;= 26, 2, IF(EarningsPerDay[[#This Row],[Week '#]] &lt;= 39, 3, 4)))</f>
        <v>QTR3</v>
      </c>
      <c r="F3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27" s="4">
        <f>IF(WEEKNUM(EarningsPerDay[[#This Row],[Date]], 2) = 53, 1, WEEKNUM(EarningsPerDay[[#This Row],[Date]],2))</f>
        <v>30</v>
      </c>
      <c r="H327" s="40" t="str">
        <f t="shared" si="36"/>
        <v>Tuesday</v>
      </c>
      <c r="I32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27" s="40" t="str" cm="1">
        <f t="array" ref="J327">IFERROR(VLOOKUP(MODE(IF(Combined[Date]=EarningsPerDay[[#This Row],[Date]],Combined[Area '#])),KPIs!$B$4:$C$7,2,FALSE),VLOOKUP(EarningsPerDay[[#This Row],[Date]],Combined[[Date]:[Primary Area]],8,FALSE))</f>
        <v>Portland</v>
      </c>
      <c r="K327" s="40" t="str">
        <f>_xlfn.XLOOKUP(EarningsPerDay[[#This Row],[Date]],Mileage[Date],Mileage[Weather])</f>
        <v>Clear</v>
      </c>
      <c r="L327" s="4">
        <f>_xlfn.XLOOKUP(EarningsPerDay[[#This Row],[Date]],Mileage[Date],Mileage[Hi Temp])</f>
        <v>73</v>
      </c>
      <c r="M327" s="12">
        <f>_xlfn.XLOOKUP(EarningsPerDay[[#This Row],[Date]],Mileage[Date],Mileage[Total Time])</f>
        <v>5.88</v>
      </c>
      <c r="N327" s="4">
        <f>_xlfn.XLOOKUP(EarningsPerDay[[#This Row],[Date]],Mileage[Date],Mileage[Mileage])</f>
        <v>123</v>
      </c>
      <c r="O327" s="4">
        <f>SUMIF(Combined[Date],EarningsPerDay[[#This Row],[Date]],Combined[Trips])</f>
        <v>9</v>
      </c>
      <c r="P327">
        <f>COUNTIF(Combined[Date],EarningsPerDay[[#This Row],[Date]])</f>
        <v>3</v>
      </c>
      <c r="Q3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7" s="11">
        <f>SUMIF(Combined[Date],EarningsPerDay[[#This Row],[Date]],Combined[Earnings])</f>
        <v>115.79</v>
      </c>
      <c r="S327" s="11">
        <f ca="1">EarningsPerDay[[#This Row],[Gross Earnings]]-(EarningsPerDay[[#This Row],[Miles]]*CpM!$D$11)</f>
        <v>88.364309606721093</v>
      </c>
      <c r="T327" s="11">
        <f t="shared" si="37"/>
        <v>19.692176870748302</v>
      </c>
      <c r="U327" s="11">
        <f t="shared" ca="1" si="38"/>
        <v>15.027943810666853</v>
      </c>
      <c r="V327" s="11">
        <f>EarningsPerDay[[#This Row],[Gross Earnings]]/EarningsPerDay[[#This Row],[Deliveries]]</f>
        <v>12.865555555555556</v>
      </c>
      <c r="W327" s="11">
        <f>EarningsPerDay[[#This Row],[Gross Earnings]]/EarningsPerDay[[#This Row],[Miles]]</f>
        <v>0.94138211382113823</v>
      </c>
      <c r="X327" s="71">
        <f>EarningsPerDay[[#This Row],[Deliveries]]/EarningsPerDay[[#This Row],[Hours]]</f>
        <v>1.5306122448979591</v>
      </c>
      <c r="Y327" s="71">
        <f>EarningsPerDay[[#This Row],[Miles]]/EarningsPerDay[[#This Row],[Deliveries]]</f>
        <v>13.666666666666666</v>
      </c>
      <c r="Z327" s="81">
        <f>(EarningsPerDay[[#This Row],[Hours]]/EarningsPerDay[[#This Row],[Deliveries]])/24</f>
        <v>2.7222222222222221E-2</v>
      </c>
      <c r="AA3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-2.6912916512878731</v>
      </c>
      <c r="AB327" s="11">
        <f>AVERAGEIFS(EarningsPerDay[Gross $/Hour],EarningsPerDay[Week '#], EarningsPerDay[[#This Row],[Week '#]], EarningsPerDay[DOW], EarningsPerDay[[#This Row],[DOW]])</f>
        <v>19.176198587306246</v>
      </c>
      <c r="AC327" s="11">
        <f>EarningsPerDay[[#This Row],[Gross $/Hour]] - EarningsPerDay[[#This Row],[Weekly Average Earnings]]</f>
        <v>0.5159782834420561</v>
      </c>
      <c r="AD327" s="11">
        <f>(SUMIFS(EarningsPerDay[Gross Earnings], EarningsPerDay[Date],"&gt;="&amp;EarningsPerDay[[#This Row],[Date]]-89, EarningsPerDay[Date], "&lt;="&amp;EarningsPerDay[[#This Row],[Date]]))/90</f>
        <v>45.812333333333342</v>
      </c>
    </row>
    <row r="328" spans="2:30" x14ac:dyDescent="0.35">
      <c r="B328" s="40">
        <v>45129</v>
      </c>
      <c r="C328" s="40">
        <f t="shared" si="35"/>
        <v>45129</v>
      </c>
      <c r="D328" s="4">
        <f>IF(EarningsPerDay[[#This Row],[Week '#]]&gt;=52,YEAR(EarningsPerDay[[#This Row],[Date]])-1,YEAR(EarningsPerDay[[#This Row],[Date]]))</f>
        <v>2023</v>
      </c>
      <c r="E328" s="4" t="str">
        <f>"QTR"&amp;IF(EarningsPerDay[[#This Row],[Week '#]] &lt;= 13, 1, IF(EarningsPerDay[[#This Row],[Week '#]] &lt;= 26, 2, IF(EarningsPerDay[[#This Row],[Week '#]] &lt;= 39, 3, 4)))</f>
        <v>QTR3</v>
      </c>
      <c r="F3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28" s="4">
        <f>IF(WEEKNUM(EarningsPerDay[[#This Row],[Date]], 2) = 53, 1, WEEKNUM(EarningsPerDay[[#This Row],[Date]],2))</f>
        <v>30</v>
      </c>
      <c r="H328" s="40" t="str">
        <f t="shared" si="36"/>
        <v>Saturday</v>
      </c>
      <c r="I328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328" s="40" t="str" cm="1">
        <f t="array" ref="J328">IFERROR(VLOOKUP(MODE(IF(Combined[Date]=EarningsPerDay[[#This Row],[Date]],Combined[Area '#])),KPIs!$B$4:$C$7,2,FALSE),VLOOKUP(EarningsPerDay[[#This Row],[Date]],Combined[[Date]:[Primary Area]],8,FALSE))</f>
        <v>Lewiston</v>
      </c>
      <c r="K328" s="40" t="str">
        <f>_xlfn.XLOOKUP(EarningsPerDay[[#This Row],[Date]],Mileage[Date],Mileage[Weather])</f>
        <v>Partially cloudy &amp; Humid</v>
      </c>
      <c r="L328" s="4">
        <f>_xlfn.XLOOKUP(EarningsPerDay[[#This Row],[Date]],Mileage[Date],Mileage[Hi Temp])</f>
        <v>75</v>
      </c>
      <c r="M328" s="12">
        <f>_xlfn.XLOOKUP(EarningsPerDay[[#This Row],[Date]],Mileage[Date],Mileage[Total Time])</f>
        <v>8.92</v>
      </c>
      <c r="N328" s="4">
        <f>_xlfn.XLOOKUP(EarningsPerDay[[#This Row],[Date]],Mileage[Date],Mileage[Mileage])</f>
        <v>171</v>
      </c>
      <c r="O328" s="4">
        <f>SUMIF(Combined[Date],EarningsPerDay[[#This Row],[Date]],Combined[Trips])</f>
        <v>19</v>
      </c>
      <c r="P328">
        <f>COUNTIF(Combined[Date],EarningsPerDay[[#This Row],[Date]])</f>
        <v>5</v>
      </c>
      <c r="Q3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8" s="11">
        <f>SUMIF(Combined[Date],EarningsPerDay[[#This Row],[Date]],Combined[Earnings])</f>
        <v>193.75</v>
      </c>
      <c r="S328" s="11">
        <f ca="1">EarningsPerDay[[#This Row],[Gross Earnings]]-(EarningsPerDay[[#This Row],[Miles]]*CpM!$D$11)</f>
        <v>155.62160116056347</v>
      </c>
      <c r="T328" s="11">
        <f t="shared" si="37"/>
        <v>21.720852017937219</v>
      </c>
      <c r="U328" s="11">
        <f t="shared" ca="1" si="38"/>
        <v>17.446367843112498</v>
      </c>
      <c r="V328" s="11">
        <f>EarningsPerDay[[#This Row],[Gross Earnings]]/EarningsPerDay[[#This Row],[Deliveries]]</f>
        <v>10.197368421052632</v>
      </c>
      <c r="W328" s="11">
        <f>EarningsPerDay[[#This Row],[Gross Earnings]]/EarningsPerDay[[#This Row],[Miles]]</f>
        <v>1.1330409356725146</v>
      </c>
      <c r="X328" s="71">
        <f>EarningsPerDay[[#This Row],[Deliveries]]/EarningsPerDay[[#This Row],[Hours]]</f>
        <v>2.1300448430493275</v>
      </c>
      <c r="Y328" s="71">
        <f>EarningsPerDay[[#This Row],[Miles]]/EarningsPerDay[[#This Row],[Deliveries]]</f>
        <v>9</v>
      </c>
      <c r="Z328" s="81">
        <f>(EarningsPerDay[[#This Row],[Hours]]/EarningsPerDay[[#This Row],[Deliveries]])/24</f>
        <v>1.9561403508771929E-2</v>
      </c>
      <c r="AA3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0.56365643665876419</v>
      </c>
      <c r="AB328" s="11">
        <f>AVERAGEIFS(EarningsPerDay[Gross $/Hour],EarningsPerDay[Week '#], EarningsPerDay[[#This Row],[Week '#]], EarningsPerDay[DOW], EarningsPerDay[[#This Row],[DOW]])</f>
        <v>18.936657968408081</v>
      </c>
      <c r="AC328" s="11">
        <f>EarningsPerDay[[#This Row],[Gross $/Hour]] - EarningsPerDay[[#This Row],[Weekly Average Earnings]]</f>
        <v>2.7841940495291375</v>
      </c>
      <c r="AD328" s="11">
        <f>(SUMIFS(EarningsPerDay[Gross Earnings], EarningsPerDay[Date],"&gt;="&amp;EarningsPerDay[[#This Row],[Date]]-89, EarningsPerDay[Date], "&lt;="&amp;EarningsPerDay[[#This Row],[Date]]))/90</f>
        <v>42.73266666666666</v>
      </c>
    </row>
    <row r="329" spans="2:30" x14ac:dyDescent="0.35">
      <c r="B329" s="40">
        <v>45131</v>
      </c>
      <c r="C329" s="40">
        <f t="shared" si="35"/>
        <v>45131</v>
      </c>
      <c r="D329" s="4">
        <f>IF(EarningsPerDay[[#This Row],[Week '#]]&gt;=52,YEAR(EarningsPerDay[[#This Row],[Date]])-1,YEAR(EarningsPerDay[[#This Row],[Date]]))</f>
        <v>2023</v>
      </c>
      <c r="E329" s="4" t="str">
        <f>"QTR"&amp;IF(EarningsPerDay[[#This Row],[Week '#]] &lt;= 13, 1, IF(EarningsPerDay[[#This Row],[Week '#]] &lt;= 26, 2, IF(EarningsPerDay[[#This Row],[Week '#]] &lt;= 39, 3, 4)))</f>
        <v>QTR3</v>
      </c>
      <c r="F3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29" s="4">
        <f>IF(WEEKNUM(EarningsPerDay[[#This Row],[Date]], 2) = 53, 1, WEEKNUM(EarningsPerDay[[#This Row],[Date]],2))</f>
        <v>31</v>
      </c>
      <c r="H329" s="40" t="str">
        <f t="shared" si="36"/>
        <v>Monday</v>
      </c>
      <c r="I32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29" s="40" t="str" cm="1">
        <f t="array" ref="J329">IFERROR(VLOOKUP(MODE(IF(Combined[Date]=EarningsPerDay[[#This Row],[Date]],Combined[Area '#])),KPIs!$B$4:$C$7,2,FALSE),VLOOKUP(EarningsPerDay[[#This Row],[Date]],Combined[[Date]:[Primary Area]],8,FALSE))</f>
        <v>Portland</v>
      </c>
      <c r="K329" s="40" t="str">
        <f>_xlfn.XLOOKUP(EarningsPerDay[[#This Row],[Date]],Mileage[Date],Mileage[Weather])</f>
        <v>Clear</v>
      </c>
      <c r="L329" s="4">
        <f>_xlfn.XLOOKUP(EarningsPerDay[[#This Row],[Date]],Mileage[Date],Mileage[Hi Temp])</f>
        <v>79</v>
      </c>
      <c r="M329" s="12">
        <f>_xlfn.XLOOKUP(EarningsPerDay[[#This Row],[Date]],Mileage[Date],Mileage[Total Time])</f>
        <v>3.43</v>
      </c>
      <c r="N329" s="4">
        <f>_xlfn.XLOOKUP(EarningsPerDay[[#This Row],[Date]],Mileage[Date],Mileage[Mileage])</f>
        <v>78.8</v>
      </c>
      <c r="O329" s="4">
        <f>SUMIF(Combined[Date],EarningsPerDay[[#This Row],[Date]],Combined[Trips])</f>
        <v>6</v>
      </c>
      <c r="P329">
        <f>COUNTIF(Combined[Date],EarningsPerDay[[#This Row],[Date]])</f>
        <v>2</v>
      </c>
      <c r="Q3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29" s="11">
        <f>SUMIF(Combined[Date],EarningsPerDay[[#This Row],[Date]],Combined[Earnings])</f>
        <v>50.69</v>
      </c>
      <c r="S329" s="11">
        <f ca="1">EarningsPerDay[[#This Row],[Gross Earnings]]-(EarningsPerDay[[#This Row],[Miles]]*CpM!$D$11)</f>
        <v>33.119720300891231</v>
      </c>
      <c r="T329" s="11">
        <f t="shared" si="37"/>
        <v>14.778425655976674</v>
      </c>
      <c r="U329" s="11">
        <f t="shared" ca="1" si="38"/>
        <v>9.6558951314551695</v>
      </c>
      <c r="V329" s="11">
        <f>EarningsPerDay[[#This Row],[Gross Earnings]]/EarningsPerDay[[#This Row],[Deliveries]]</f>
        <v>8.4483333333333324</v>
      </c>
      <c r="W329" s="11">
        <f>EarningsPerDay[[#This Row],[Gross Earnings]]/EarningsPerDay[[#This Row],[Miles]]</f>
        <v>0.64327411167512694</v>
      </c>
      <c r="X329" s="71">
        <f>EarningsPerDay[[#This Row],[Deliveries]]/EarningsPerDay[[#This Row],[Hours]]</f>
        <v>1.749271137026239</v>
      </c>
      <c r="Y329" s="71">
        <f>EarningsPerDay[[#This Row],[Miles]]/EarningsPerDay[[#This Row],[Deliveries]]</f>
        <v>13.133333333333333</v>
      </c>
      <c r="Z329" s="81">
        <f>(EarningsPerDay[[#This Row],[Hours]]/EarningsPerDay[[#This Row],[Deliveries]])/24</f>
        <v>2.3819444444444445E-2</v>
      </c>
      <c r="AA3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-7.0617533421653196</v>
      </c>
      <c r="AB329" s="11">
        <f>AVERAGEIFS(EarningsPerDay[Gross $/Hour],EarningsPerDay[Week '#], EarningsPerDay[[#This Row],[Week '#]], EarningsPerDay[DOW], EarningsPerDay[[#This Row],[DOW]])</f>
        <v>21.130380645893315</v>
      </c>
      <c r="AC329" s="11">
        <f>EarningsPerDay[[#This Row],[Gross $/Hour]] - EarningsPerDay[[#This Row],[Weekly Average Earnings]]</f>
        <v>-6.3519549899166403</v>
      </c>
      <c r="AD329" s="11">
        <f>(SUMIFS(EarningsPerDay[Gross Earnings], EarningsPerDay[Date],"&gt;="&amp;EarningsPerDay[[#This Row],[Date]]-89, EarningsPerDay[Date], "&lt;="&amp;EarningsPerDay[[#This Row],[Date]]))/90</f>
        <v>43.295888888888882</v>
      </c>
    </row>
    <row r="330" spans="2:30" x14ac:dyDescent="0.35">
      <c r="B330" s="40">
        <v>45136</v>
      </c>
      <c r="C330" s="40">
        <f t="shared" si="35"/>
        <v>45136</v>
      </c>
      <c r="D330" s="4">
        <f>IF(EarningsPerDay[[#This Row],[Week '#]]&gt;=52,YEAR(EarningsPerDay[[#This Row],[Date]])-1,YEAR(EarningsPerDay[[#This Row],[Date]]))</f>
        <v>2023</v>
      </c>
      <c r="E330" s="4" t="str">
        <f>"QTR"&amp;IF(EarningsPerDay[[#This Row],[Week '#]] &lt;= 13, 1, IF(EarningsPerDay[[#This Row],[Week '#]] &lt;= 26, 2, IF(EarningsPerDay[[#This Row],[Week '#]] &lt;= 39, 3, 4)))</f>
        <v>QTR3</v>
      </c>
      <c r="F3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30" s="4">
        <f>IF(WEEKNUM(EarningsPerDay[[#This Row],[Date]], 2) = 53, 1, WEEKNUM(EarningsPerDay[[#This Row],[Date]],2))</f>
        <v>31</v>
      </c>
      <c r="H330" s="40" t="str">
        <f t="shared" si="36"/>
        <v>Saturday</v>
      </c>
      <c r="I330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330" s="40" t="str" cm="1">
        <f t="array" ref="J330">IFERROR(VLOOKUP(MODE(IF(Combined[Date]=EarningsPerDay[[#This Row],[Date]],Combined[Area '#])),KPIs!$B$4:$C$7,2,FALSE),VLOOKUP(EarningsPerDay[[#This Row],[Date]],Combined[[Date]:[Primary Area]],8,FALSE))</f>
        <v>Lewiston</v>
      </c>
      <c r="K330" s="40" t="str">
        <f>_xlfn.XLOOKUP(EarningsPerDay[[#This Row],[Date]],Mileage[Date],Mileage[Weather])</f>
        <v>Rain</v>
      </c>
      <c r="L330" s="4">
        <f>_xlfn.XLOOKUP(EarningsPerDay[[#This Row],[Date]],Mileage[Date],Mileage[Hi Temp])</f>
        <v>64</v>
      </c>
      <c r="M330" s="12">
        <f>_xlfn.XLOOKUP(EarningsPerDay[[#This Row],[Date]],Mileage[Date],Mileage[Total Time])</f>
        <v>8.57</v>
      </c>
      <c r="N330" s="4">
        <f>_xlfn.XLOOKUP(EarningsPerDay[[#This Row],[Date]],Mileage[Date],Mileage[Mileage])</f>
        <v>116</v>
      </c>
      <c r="O330" s="4">
        <f>SUMIF(Combined[Date],EarningsPerDay[[#This Row],[Date]],Combined[Trips])</f>
        <v>19</v>
      </c>
      <c r="P330">
        <f>COUNTIF(Combined[Date],EarningsPerDay[[#This Row],[Date]])</f>
        <v>4</v>
      </c>
      <c r="Q33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0" s="11">
        <f>SUMIF(Combined[Date],EarningsPerDay[[#This Row],[Date]],Combined[Earnings])</f>
        <v>198.07999999999998</v>
      </c>
      <c r="S330" s="11">
        <f ca="1">EarningsPerDay[[#This Row],[Gross Earnings]]-(EarningsPerDay[[#This Row],[Miles]]*CpM!$D$11)</f>
        <v>172.21512125511907</v>
      </c>
      <c r="T330" s="11">
        <f t="shared" si="37"/>
        <v>23.113185530921818</v>
      </c>
      <c r="U330" s="11">
        <f t="shared" ca="1" si="38"/>
        <v>20.095113331985889</v>
      </c>
      <c r="V330" s="11">
        <f>EarningsPerDay[[#This Row],[Gross Earnings]]/EarningsPerDay[[#This Row],[Deliveries]]</f>
        <v>10.425263157894737</v>
      </c>
      <c r="W330" s="11">
        <f>EarningsPerDay[[#This Row],[Gross Earnings]]/EarningsPerDay[[#This Row],[Miles]]</f>
        <v>1.7075862068965515</v>
      </c>
      <c r="X330" s="71">
        <f>EarningsPerDay[[#This Row],[Deliveries]]/EarningsPerDay[[#This Row],[Hours]]</f>
        <v>2.2170361726954493</v>
      </c>
      <c r="Y330" s="71">
        <f>EarningsPerDay[[#This Row],[Miles]]/EarningsPerDay[[#This Row],[Deliveries]]</f>
        <v>6.1052631578947372</v>
      </c>
      <c r="Z330" s="81">
        <f>(EarningsPerDay[[#This Row],[Hours]]/EarningsPerDay[[#This Row],[Deliveries]])/24</f>
        <v>1.8793859649122807E-2</v>
      </c>
      <c r="AA3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1.8150758404786735</v>
      </c>
      <c r="AB330" s="11">
        <f>AVERAGEIFS(EarningsPerDay[Gross $/Hour],EarningsPerDay[Week '#], EarningsPerDay[[#This Row],[Week '#]], EarningsPerDay[DOW], EarningsPerDay[[#This Row],[DOW]])</f>
        <v>22.885934984497997</v>
      </c>
      <c r="AC330" s="11">
        <f>EarningsPerDay[[#This Row],[Gross $/Hour]] - EarningsPerDay[[#This Row],[Weekly Average Earnings]]</f>
        <v>0.22725054642382148</v>
      </c>
      <c r="AD330" s="11">
        <f>(SUMIFS(EarningsPerDay[Gross Earnings], EarningsPerDay[Date],"&gt;="&amp;EarningsPerDay[[#This Row],[Date]]-89, EarningsPerDay[Date], "&lt;="&amp;EarningsPerDay[[#This Row],[Date]]))/90</f>
        <v>41.214777777777776</v>
      </c>
    </row>
    <row r="331" spans="2:30" x14ac:dyDescent="0.35">
      <c r="B331" s="40">
        <v>45138</v>
      </c>
      <c r="C331" s="40">
        <f t="shared" si="35"/>
        <v>45138</v>
      </c>
      <c r="D331" s="4">
        <f>IF(EarningsPerDay[[#This Row],[Week '#]]&gt;=52,YEAR(EarningsPerDay[[#This Row],[Date]])-1,YEAR(EarningsPerDay[[#This Row],[Date]]))</f>
        <v>2023</v>
      </c>
      <c r="E331" s="4" t="str">
        <f>"QTR"&amp;IF(EarningsPerDay[[#This Row],[Week '#]] &lt;= 13, 1, IF(EarningsPerDay[[#This Row],[Week '#]] &lt;= 26, 2, IF(EarningsPerDay[[#This Row],[Week '#]] &lt;= 39, 3, 4)))</f>
        <v>QTR3</v>
      </c>
      <c r="F3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31" s="4">
        <f>IF(WEEKNUM(EarningsPerDay[[#This Row],[Date]], 2) = 53, 1, WEEKNUM(EarningsPerDay[[#This Row],[Date]],2))</f>
        <v>32</v>
      </c>
      <c r="H331" s="40" t="str">
        <f t="shared" si="36"/>
        <v>Monday</v>
      </c>
      <c r="I33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31" s="40" t="str" cm="1">
        <f t="array" ref="J331">IFERROR(VLOOKUP(MODE(IF(Combined[Date]=EarningsPerDay[[#This Row],[Date]],Combined[Area '#])),KPIs!$B$4:$C$7,2,FALSE),VLOOKUP(EarningsPerDay[[#This Row],[Date]],Combined[[Date]:[Primary Area]],8,FALSE))</f>
        <v>Portland</v>
      </c>
      <c r="K331" s="40" t="str">
        <f>_xlfn.XLOOKUP(EarningsPerDay[[#This Row],[Date]],Mileage[Date],Mileage[Weather])</f>
        <v>Clear &amp; Humid</v>
      </c>
      <c r="L331" s="4">
        <f>_xlfn.XLOOKUP(EarningsPerDay[[#This Row],[Date]],Mileage[Date],Mileage[Hi Temp])</f>
        <v>68</v>
      </c>
      <c r="M331" s="12">
        <f>_xlfn.XLOOKUP(EarningsPerDay[[#This Row],[Date]],Mileage[Date],Mileage[Total Time])</f>
        <v>5.53</v>
      </c>
      <c r="N331" s="4">
        <f>_xlfn.XLOOKUP(EarningsPerDay[[#This Row],[Date]],Mileage[Date],Mileage[Mileage])</f>
        <v>113</v>
      </c>
      <c r="O331" s="4">
        <f>SUMIF(Combined[Date],EarningsPerDay[[#This Row],[Date]],Combined[Trips])</f>
        <v>9</v>
      </c>
      <c r="P331">
        <f>COUNTIF(Combined[Date],EarningsPerDay[[#This Row],[Date]])</f>
        <v>3</v>
      </c>
      <c r="Q3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1" s="11">
        <f>SUMIF(Combined[Date],EarningsPerDay[[#This Row],[Date]],Combined[Earnings])</f>
        <v>104.9</v>
      </c>
      <c r="S331" s="11">
        <f ca="1">EarningsPerDay[[#This Row],[Gross Earnings]]-(EarningsPerDay[[#This Row],[Miles]]*CpM!$D$11)</f>
        <v>79.704040533003933</v>
      </c>
      <c r="T331" s="11">
        <f t="shared" si="37"/>
        <v>18.969258589511753</v>
      </c>
      <c r="U331" s="11">
        <f t="shared" ca="1" si="38"/>
        <v>14.413027221158034</v>
      </c>
      <c r="V331" s="11">
        <f>EarningsPerDay[[#This Row],[Gross Earnings]]/EarningsPerDay[[#This Row],[Deliveries]]</f>
        <v>11.655555555555557</v>
      </c>
      <c r="W331" s="11">
        <f>EarningsPerDay[[#This Row],[Gross Earnings]]/EarningsPerDay[[#This Row],[Miles]]</f>
        <v>0.92831858407079648</v>
      </c>
      <c r="X331" s="71">
        <f>EarningsPerDay[[#This Row],[Deliveries]]/EarningsPerDay[[#This Row],[Hours]]</f>
        <v>1.6274864376130198</v>
      </c>
      <c r="Y331" s="71">
        <f>EarningsPerDay[[#This Row],[Miles]]/EarningsPerDay[[#This Row],[Deliveries]]</f>
        <v>12.555555555555555</v>
      </c>
      <c r="Z331" s="81">
        <f>(EarningsPerDay[[#This Row],[Hours]]/EarningsPerDay[[#This Row],[Deliveries]])/24</f>
        <v>2.5601851851851851E-2</v>
      </c>
      <c r="AA3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-1.8620985026066208</v>
      </c>
      <c r="AB331" s="11">
        <f>AVERAGEIFS(EarningsPerDay[Gross $/Hour],EarningsPerDay[Week '#], EarningsPerDay[[#This Row],[Week '#]], EarningsPerDay[DOW], EarningsPerDay[[#This Row],[DOW]])</f>
        <v>21.616253226379811</v>
      </c>
      <c r="AC331" s="11">
        <f>EarningsPerDay[[#This Row],[Gross $/Hour]] - EarningsPerDay[[#This Row],[Weekly Average Earnings]]</f>
        <v>-2.6469946368680581</v>
      </c>
      <c r="AD331" s="11">
        <f>(SUMIFS(EarningsPerDay[Gross Earnings], EarningsPerDay[Date],"&gt;="&amp;EarningsPerDay[[#This Row],[Date]]-89, EarningsPerDay[Date], "&lt;="&amp;EarningsPerDay[[#This Row],[Date]]))/90</f>
        <v>41.48233333333333</v>
      </c>
    </row>
    <row r="332" spans="2:30" x14ac:dyDescent="0.35">
      <c r="B332" s="40">
        <v>45140</v>
      </c>
      <c r="C332" s="40">
        <f t="shared" si="35"/>
        <v>45140</v>
      </c>
      <c r="D332" s="4">
        <f>IF(EarningsPerDay[[#This Row],[Week '#]]&gt;=52,YEAR(EarningsPerDay[[#This Row],[Date]])-1,YEAR(EarningsPerDay[[#This Row],[Date]]))</f>
        <v>2023</v>
      </c>
      <c r="E332" s="4" t="str">
        <f>"QTR"&amp;IF(EarningsPerDay[[#This Row],[Week '#]] &lt;= 13, 1, IF(EarningsPerDay[[#This Row],[Week '#]] &lt;= 26, 2, IF(EarningsPerDay[[#This Row],[Week '#]] &lt;= 39, 3, 4)))</f>
        <v>QTR3</v>
      </c>
      <c r="F3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32" s="4">
        <f>IF(WEEKNUM(EarningsPerDay[[#This Row],[Date]], 2) = 53, 1, WEEKNUM(EarningsPerDay[[#This Row],[Date]],2))</f>
        <v>32</v>
      </c>
      <c r="H332" s="40" t="str">
        <f t="shared" si="36"/>
        <v>Wednesday</v>
      </c>
      <c r="I33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32" s="40" t="str" cm="1">
        <f t="array" ref="J332">IFERROR(VLOOKUP(MODE(IF(Combined[Date]=EarningsPerDay[[#This Row],[Date]],Combined[Area '#])),KPIs!$B$4:$C$7,2,FALSE),VLOOKUP(EarningsPerDay[[#This Row],[Date]],Combined[[Date]:[Primary Area]],8,FALSE))</f>
        <v>Augusta</v>
      </c>
      <c r="K332" s="40" t="str">
        <f>_xlfn.XLOOKUP(EarningsPerDay[[#This Row],[Date]],Mileage[Date],Mileage[Weather])</f>
        <v>Clear</v>
      </c>
      <c r="L332" s="4">
        <f>_xlfn.XLOOKUP(EarningsPerDay[[#This Row],[Date]],Mileage[Date],Mileage[Hi Temp])</f>
        <v>72</v>
      </c>
      <c r="M332" s="12">
        <f>_xlfn.XLOOKUP(EarningsPerDay[[#This Row],[Date]],Mileage[Date],Mileage[Total Time])</f>
        <v>4.45</v>
      </c>
      <c r="N332" s="4">
        <f>_xlfn.XLOOKUP(EarningsPerDay[[#This Row],[Date]],Mileage[Date],Mileage[Mileage])</f>
        <v>109</v>
      </c>
      <c r="O332" s="4">
        <f>SUMIF(Combined[Date],EarningsPerDay[[#This Row],[Date]],Combined[Trips])</f>
        <v>8</v>
      </c>
      <c r="P332">
        <f>COUNTIF(Combined[Date],EarningsPerDay[[#This Row],[Date]])</f>
        <v>3</v>
      </c>
      <c r="Q3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2" s="11">
        <f>SUMIF(Combined[Date],EarningsPerDay[[#This Row],[Date]],Combined[Earnings])</f>
        <v>66.69</v>
      </c>
      <c r="S332" s="11">
        <f ca="1">EarningsPerDay[[#This Row],[Gross Earnings]]-(EarningsPerDay[[#This Row],[Miles]]*CpM!$D$11)</f>
        <v>42.385932903517059</v>
      </c>
      <c r="T332" s="11">
        <f t="shared" si="37"/>
        <v>14.986516853932583</v>
      </c>
      <c r="U332" s="11">
        <f t="shared" ca="1" si="38"/>
        <v>9.5249287423633842</v>
      </c>
      <c r="V332" s="11">
        <f>EarningsPerDay[[#This Row],[Gross Earnings]]/EarningsPerDay[[#This Row],[Deliveries]]</f>
        <v>8.3362499999999997</v>
      </c>
      <c r="W332" s="11">
        <f>EarningsPerDay[[#This Row],[Gross Earnings]]/EarningsPerDay[[#This Row],[Miles]]</f>
        <v>0.61183486238532103</v>
      </c>
      <c r="X332" s="71">
        <f>EarningsPerDay[[#This Row],[Deliveries]]/EarningsPerDay[[#This Row],[Hours]]</f>
        <v>1.797752808988764</v>
      </c>
      <c r="Y332" s="71">
        <f>EarningsPerDay[[#This Row],[Miles]]/EarningsPerDay[[#This Row],[Deliveries]]</f>
        <v>13.625</v>
      </c>
      <c r="Z332" s="81">
        <f>(EarningsPerDay[[#This Row],[Hours]]/EarningsPerDay[[#This Row],[Deliveries]])/24</f>
        <v>2.3177083333333334E-2</v>
      </c>
      <c r="AA33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32" s="11">
        <f>AVERAGEIFS(EarningsPerDay[Gross $/Hour],EarningsPerDay[Week '#], EarningsPerDay[[#This Row],[Week '#]], EarningsPerDay[DOW], EarningsPerDay[[#This Row],[DOW]])</f>
        <v>15.763025868826759</v>
      </c>
      <c r="AC332" s="11">
        <f>EarningsPerDay[[#This Row],[Gross $/Hour]] - EarningsPerDay[[#This Row],[Weekly Average Earnings]]</f>
        <v>-0.77650901489417556</v>
      </c>
      <c r="AD332" s="11">
        <f>(SUMIFS(EarningsPerDay[Gross Earnings], EarningsPerDay[Date],"&gt;="&amp;EarningsPerDay[[#This Row],[Date]]-89, EarningsPerDay[Date], "&lt;="&amp;EarningsPerDay[[#This Row],[Date]]))/90</f>
        <v>40.238777777777777</v>
      </c>
    </row>
    <row r="333" spans="2:30" x14ac:dyDescent="0.35">
      <c r="B333" s="40">
        <v>45142</v>
      </c>
      <c r="C333" s="40">
        <f t="shared" si="35"/>
        <v>45142</v>
      </c>
      <c r="D333" s="4">
        <f>IF(EarningsPerDay[[#This Row],[Week '#]]&gt;=52,YEAR(EarningsPerDay[[#This Row],[Date]])-1,YEAR(EarningsPerDay[[#This Row],[Date]]))</f>
        <v>2023</v>
      </c>
      <c r="E333" s="4" t="str">
        <f>"QTR"&amp;IF(EarningsPerDay[[#This Row],[Week '#]] &lt;= 13, 1, IF(EarningsPerDay[[#This Row],[Week '#]] &lt;= 26, 2, IF(EarningsPerDay[[#This Row],[Week '#]] &lt;= 39, 3, 4)))</f>
        <v>QTR3</v>
      </c>
      <c r="F3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33" s="4">
        <f>IF(WEEKNUM(EarningsPerDay[[#This Row],[Date]], 2) = 53, 1, WEEKNUM(EarningsPerDay[[#This Row],[Date]],2))</f>
        <v>32</v>
      </c>
      <c r="H333" s="40" t="str">
        <f t="shared" si="36"/>
        <v>Friday</v>
      </c>
      <c r="I33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33" s="40" t="str" cm="1">
        <f t="array" ref="J333">IFERROR(VLOOKUP(MODE(IF(Combined[Date]=EarningsPerDay[[#This Row],[Date]],Combined[Area '#])),KPIs!$B$4:$C$7,2,FALSE),VLOOKUP(EarningsPerDay[[#This Row],[Date]],Combined[[Date]:[Primary Area]],8,FALSE))</f>
        <v>Brunswick/Bath/Freeport</v>
      </c>
      <c r="K333" s="40" t="str">
        <f>_xlfn.XLOOKUP(EarningsPerDay[[#This Row],[Date]],Mileage[Date],Mileage[Weather])</f>
        <v>Stormy</v>
      </c>
      <c r="L333" s="4">
        <f>_xlfn.XLOOKUP(EarningsPerDay[[#This Row],[Date]],Mileage[Date],Mileage[Hi Temp])</f>
        <v>66</v>
      </c>
      <c r="M333" s="12">
        <f>_xlfn.XLOOKUP(EarningsPerDay[[#This Row],[Date]],Mileage[Date],Mileage[Total Time])</f>
        <v>4.28</v>
      </c>
      <c r="N333" s="4">
        <f>_xlfn.XLOOKUP(EarningsPerDay[[#This Row],[Date]],Mileage[Date],Mileage[Mileage])</f>
        <v>85</v>
      </c>
      <c r="O333" s="4">
        <f>SUMIF(Combined[Date],EarningsPerDay[[#This Row],[Date]],Combined[Trips])</f>
        <v>11</v>
      </c>
      <c r="P333">
        <f>COUNTIF(Combined[Date],EarningsPerDay[[#This Row],[Date]])</f>
        <v>1</v>
      </c>
      <c r="Q3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3" s="11">
        <f>SUMIF(Combined[Date],EarningsPerDay[[#This Row],[Date]],Combined[Earnings])</f>
        <v>73.69</v>
      </c>
      <c r="S333" s="11">
        <f ca="1">EarningsPerDay[[#This Row],[Gross Earnings]]-(EarningsPerDay[[#This Row],[Miles]]*CpM!$D$11)</f>
        <v>54.737287126595874</v>
      </c>
      <c r="T333" s="11">
        <f t="shared" si="37"/>
        <v>17.217289719626166</v>
      </c>
      <c r="U333" s="11">
        <f t="shared" ca="1" si="38"/>
        <v>12.789085777242025</v>
      </c>
      <c r="V333" s="11">
        <f>EarningsPerDay[[#This Row],[Gross Earnings]]/EarningsPerDay[[#This Row],[Deliveries]]</f>
        <v>6.6990909090909092</v>
      </c>
      <c r="W333" s="11">
        <f>EarningsPerDay[[#This Row],[Gross Earnings]]/EarningsPerDay[[#This Row],[Miles]]</f>
        <v>0.86694117647058822</v>
      </c>
      <c r="X333" s="71">
        <f>EarningsPerDay[[#This Row],[Deliveries]]/EarningsPerDay[[#This Row],[Hours]]</f>
        <v>2.570093457943925</v>
      </c>
      <c r="Y333" s="71">
        <f>EarningsPerDay[[#This Row],[Miles]]/EarningsPerDay[[#This Row],[Deliveries]]</f>
        <v>7.7272727272727275</v>
      </c>
      <c r="Z333" s="81">
        <f>(EarningsPerDay[[#This Row],[Hours]]/EarningsPerDay[[#This Row],[Deliveries]])/24</f>
        <v>1.6212121212121212E-2</v>
      </c>
      <c r="AA3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-7.2013983655264369</v>
      </c>
      <c r="AB333" s="11">
        <f>AVERAGEIFS(EarningsPerDay[Gross $/Hour],EarningsPerDay[Week '#], EarningsPerDay[[#This Row],[Week '#]], EarningsPerDay[DOW], EarningsPerDay[[#This Row],[DOW]])</f>
        <v>17.967106899099438</v>
      </c>
      <c r="AC333" s="11">
        <f>EarningsPerDay[[#This Row],[Gross $/Hour]] - EarningsPerDay[[#This Row],[Weekly Average Earnings]]</f>
        <v>-0.74981717947327198</v>
      </c>
      <c r="AD333" s="11">
        <f>(SUMIFS(EarningsPerDay[Gross Earnings], EarningsPerDay[Date],"&gt;="&amp;EarningsPerDay[[#This Row],[Date]]-89, EarningsPerDay[Date], "&lt;="&amp;EarningsPerDay[[#This Row],[Date]]))/90</f>
        <v>39.335999999999999</v>
      </c>
    </row>
    <row r="334" spans="2:30" x14ac:dyDescent="0.35">
      <c r="B334" s="40">
        <v>45143</v>
      </c>
      <c r="C334" s="40">
        <f t="shared" si="35"/>
        <v>45143</v>
      </c>
      <c r="D334" s="4">
        <f>IF(EarningsPerDay[[#This Row],[Week '#]]&gt;=52,YEAR(EarningsPerDay[[#This Row],[Date]])-1,YEAR(EarningsPerDay[[#This Row],[Date]]))</f>
        <v>2023</v>
      </c>
      <c r="E334" s="4" t="str">
        <f>"QTR"&amp;IF(EarningsPerDay[[#This Row],[Week '#]] &lt;= 13, 1, IF(EarningsPerDay[[#This Row],[Week '#]] &lt;= 26, 2, IF(EarningsPerDay[[#This Row],[Week '#]] &lt;= 39, 3, 4)))</f>
        <v>QTR3</v>
      </c>
      <c r="F3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34" s="4">
        <f>IF(WEEKNUM(EarningsPerDay[[#This Row],[Date]], 2) = 53, 1, WEEKNUM(EarningsPerDay[[#This Row],[Date]],2))</f>
        <v>32</v>
      </c>
      <c r="H334" s="40" t="str">
        <f t="shared" si="36"/>
        <v>Saturday</v>
      </c>
      <c r="I334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34" s="40" t="str" cm="1">
        <f t="array" ref="J334">IFERROR(VLOOKUP(MODE(IF(Combined[Date]=EarningsPerDay[[#This Row],[Date]],Combined[Area '#])),KPIs!$B$4:$C$7,2,FALSE),VLOOKUP(EarningsPerDay[[#This Row],[Date]],Combined[[Date]:[Primary Area]],8,FALSE))</f>
        <v>Lewiston</v>
      </c>
      <c r="K334" s="40" t="str">
        <f>_xlfn.XLOOKUP(EarningsPerDay[[#This Row],[Date]],Mileage[Date],Mileage[Weather])</f>
        <v>Clear</v>
      </c>
      <c r="L334" s="4">
        <f>_xlfn.XLOOKUP(EarningsPerDay[[#This Row],[Date]],Mileage[Date],Mileage[Hi Temp])</f>
        <v>73</v>
      </c>
      <c r="M334" s="12">
        <f>_xlfn.XLOOKUP(EarningsPerDay[[#This Row],[Date]],Mileage[Date],Mileage[Total Time])</f>
        <v>9.2200000000000006</v>
      </c>
      <c r="N334" s="4">
        <f>_xlfn.XLOOKUP(EarningsPerDay[[#This Row],[Date]],Mileage[Date],Mileage[Mileage])</f>
        <v>162</v>
      </c>
      <c r="O334" s="4">
        <f>SUMIF(Combined[Date],EarningsPerDay[[#This Row],[Date]],Combined[Trips])</f>
        <v>18</v>
      </c>
      <c r="P334">
        <f>COUNTIF(Combined[Date],EarningsPerDay[[#This Row],[Date]])</f>
        <v>3</v>
      </c>
      <c r="Q3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4" s="11">
        <f>SUMIF(Combined[Date],EarningsPerDay[[#This Row],[Date]],Combined[Earnings])</f>
        <v>191.78</v>
      </c>
      <c r="S334" s="11">
        <f ca="1">EarningsPerDay[[#This Row],[Gross Earnings]]-(EarningsPerDay[[#This Row],[Miles]]*CpM!$D$11)</f>
        <v>155.65835899421802</v>
      </c>
      <c r="T334" s="11">
        <f t="shared" si="37"/>
        <v>20.800433839479393</v>
      </c>
      <c r="U334" s="11">
        <f t="shared" ca="1" si="38"/>
        <v>16.882685357290455</v>
      </c>
      <c r="V334" s="11">
        <f>EarningsPerDay[[#This Row],[Gross Earnings]]/EarningsPerDay[[#This Row],[Deliveries]]</f>
        <v>10.654444444444444</v>
      </c>
      <c r="W334" s="11">
        <f>EarningsPerDay[[#This Row],[Gross Earnings]]/EarningsPerDay[[#This Row],[Miles]]</f>
        <v>1.1838271604938271</v>
      </c>
      <c r="X334" s="71">
        <f>EarningsPerDay[[#This Row],[Deliveries]]/EarningsPerDay[[#This Row],[Hours]]</f>
        <v>1.9522776572668112</v>
      </c>
      <c r="Y334" s="71">
        <f>EarningsPerDay[[#This Row],[Miles]]/EarningsPerDay[[#This Row],[Deliveries]]</f>
        <v>9</v>
      </c>
      <c r="Z334" s="81">
        <f>(EarningsPerDay[[#This Row],[Hours]]/EarningsPerDay[[#This Row],[Deliveries]])/24</f>
        <v>2.1342592592592594E-2</v>
      </c>
      <c r="AA3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-0.86069101905948742</v>
      </c>
      <c r="AB334" s="11">
        <f>AVERAGEIFS(EarningsPerDay[Gross $/Hour],EarningsPerDay[Week '#], EarningsPerDay[[#This Row],[Week '#]], EarningsPerDay[DOW], EarningsPerDay[[#This Row],[DOW]])</f>
        <v>19.537625371175935</v>
      </c>
      <c r="AC334" s="11">
        <f>EarningsPerDay[[#This Row],[Gross $/Hour]] - EarningsPerDay[[#This Row],[Weekly Average Earnings]]</f>
        <v>1.2628084683034579</v>
      </c>
      <c r="AD334" s="11">
        <f>(SUMIFS(EarningsPerDay[Gross Earnings], EarningsPerDay[Date],"&gt;="&amp;EarningsPerDay[[#This Row],[Date]]-89, EarningsPerDay[Date], "&lt;="&amp;EarningsPerDay[[#This Row],[Date]]))/90</f>
        <v>40.646111111111111</v>
      </c>
    </row>
    <row r="335" spans="2:30" x14ac:dyDescent="0.35">
      <c r="B335" s="40">
        <v>45144</v>
      </c>
      <c r="C335" s="40">
        <f t="shared" si="35"/>
        <v>45144</v>
      </c>
      <c r="D335" s="4">
        <f>IF(EarningsPerDay[[#This Row],[Week '#]]&gt;=52,YEAR(EarningsPerDay[[#This Row],[Date]])-1,YEAR(EarningsPerDay[[#This Row],[Date]]))</f>
        <v>2023</v>
      </c>
      <c r="E335" s="4" t="str">
        <f>"QTR"&amp;IF(EarningsPerDay[[#This Row],[Week '#]] &lt;= 13, 1, IF(EarningsPerDay[[#This Row],[Week '#]] &lt;= 26, 2, IF(EarningsPerDay[[#This Row],[Week '#]] &lt;= 39, 3, 4)))</f>
        <v>QTR3</v>
      </c>
      <c r="F3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35" s="4">
        <f>IF(WEEKNUM(EarningsPerDay[[#This Row],[Date]], 2) = 53, 1, WEEKNUM(EarningsPerDay[[#This Row],[Date]],2))</f>
        <v>32</v>
      </c>
      <c r="H335" s="40" t="str">
        <f t="shared" si="36"/>
        <v>Sunday</v>
      </c>
      <c r="I335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35" s="40" t="str" cm="1">
        <f t="array" ref="J335">IFERROR(VLOOKUP(MODE(IF(Combined[Date]=EarningsPerDay[[#This Row],[Date]],Combined[Area '#])),KPIs!$B$4:$C$7,2,FALSE),VLOOKUP(EarningsPerDay[[#This Row],[Date]],Combined[[Date]:[Primary Area]],8,FALSE))</f>
        <v>Lewiston</v>
      </c>
      <c r="K335" s="40" t="str">
        <f>_xlfn.XLOOKUP(EarningsPerDay[[#This Row],[Date]],Mileage[Date],Mileage[Weather])</f>
        <v>Clear</v>
      </c>
      <c r="L335" s="4">
        <f>_xlfn.XLOOKUP(EarningsPerDay[[#This Row],[Date]],Mileage[Date],Mileage[Hi Temp])</f>
        <v>79</v>
      </c>
      <c r="M335" s="12">
        <f>_xlfn.XLOOKUP(EarningsPerDay[[#This Row],[Date]],Mileage[Date],Mileage[Total Time])</f>
        <v>4.05</v>
      </c>
      <c r="N335" s="4">
        <f>_xlfn.XLOOKUP(EarningsPerDay[[#This Row],[Date]],Mileage[Date],Mileage[Mileage])</f>
        <v>68</v>
      </c>
      <c r="O335" s="4">
        <f>SUMIF(Combined[Date],EarningsPerDay[[#This Row],[Date]],Combined[Trips])</f>
        <v>7</v>
      </c>
      <c r="P335">
        <f>COUNTIF(Combined[Date],EarningsPerDay[[#This Row],[Date]])</f>
        <v>3</v>
      </c>
      <c r="Q3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5" s="11">
        <f>SUMIF(Combined[Date],EarningsPerDay[[#This Row],[Date]],Combined[Earnings])</f>
        <v>78.960000000000008</v>
      </c>
      <c r="S335" s="11">
        <f ca="1">EarningsPerDay[[#This Row],[Gross Earnings]]-(EarningsPerDay[[#This Row],[Miles]]*CpM!$D$11)</f>
        <v>63.797829701276711</v>
      </c>
      <c r="T335" s="11">
        <f t="shared" si="37"/>
        <v>19.4962962962963</v>
      </c>
      <c r="U335" s="11">
        <f t="shared" ca="1" si="38"/>
        <v>15.752550543525114</v>
      </c>
      <c r="V335" s="11">
        <f>EarningsPerDay[[#This Row],[Gross Earnings]]/EarningsPerDay[[#This Row],[Deliveries]]</f>
        <v>11.280000000000001</v>
      </c>
      <c r="W335" s="11">
        <f>EarningsPerDay[[#This Row],[Gross Earnings]]/EarningsPerDay[[#This Row],[Miles]]</f>
        <v>1.1611764705882355</v>
      </c>
      <c r="X335" s="71">
        <f>EarningsPerDay[[#This Row],[Deliveries]]/EarningsPerDay[[#This Row],[Hours]]</f>
        <v>1.7283950617283952</v>
      </c>
      <c r="Y335" s="71">
        <f>EarningsPerDay[[#This Row],[Miles]]/EarningsPerDay[[#This Row],[Deliveries]]</f>
        <v>9.7142857142857135</v>
      </c>
      <c r="Z335" s="81">
        <f>(EarningsPerDay[[#This Row],[Hours]]/EarningsPerDay[[#This Row],[Deliveries]])/24</f>
        <v>2.4107142857142855E-2</v>
      </c>
      <c r="AA3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-1.3582898881285956</v>
      </c>
      <c r="AB335" s="11">
        <f>AVERAGEIFS(EarningsPerDay[Gross $/Hour],EarningsPerDay[Week '#], EarningsPerDay[[#This Row],[Week '#]], EarningsPerDay[DOW], EarningsPerDay[[#This Row],[DOW]])</f>
        <v>22.915748241573912</v>
      </c>
      <c r="AC335" s="11">
        <f>EarningsPerDay[[#This Row],[Gross $/Hour]] - EarningsPerDay[[#This Row],[Weekly Average Earnings]]</f>
        <v>-3.4194519452776113</v>
      </c>
      <c r="AD335" s="11">
        <f>(SUMIFS(EarningsPerDay[Gross Earnings], EarningsPerDay[Date],"&gt;="&amp;EarningsPerDay[[#This Row],[Date]]-89, EarningsPerDay[Date], "&lt;="&amp;EarningsPerDay[[#This Row],[Date]]))/90</f>
        <v>41.523444444444443</v>
      </c>
    </row>
    <row r="336" spans="2:30" x14ac:dyDescent="0.35">
      <c r="B336" s="40">
        <v>45145</v>
      </c>
      <c r="C336" s="40">
        <f t="shared" si="35"/>
        <v>45145</v>
      </c>
      <c r="D336" s="4">
        <f>IF(EarningsPerDay[[#This Row],[Week '#]]&gt;=52,YEAR(EarningsPerDay[[#This Row],[Date]])-1,YEAR(EarningsPerDay[[#This Row],[Date]]))</f>
        <v>2023</v>
      </c>
      <c r="E336" s="4" t="str">
        <f>"QTR"&amp;IF(EarningsPerDay[[#This Row],[Week '#]] &lt;= 13, 1, IF(EarningsPerDay[[#This Row],[Week '#]] &lt;= 26, 2, IF(EarningsPerDay[[#This Row],[Week '#]] &lt;= 39, 3, 4)))</f>
        <v>QTR3</v>
      </c>
      <c r="F3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36" s="4">
        <f>IF(WEEKNUM(EarningsPerDay[[#This Row],[Date]], 2) = 53, 1, WEEKNUM(EarningsPerDay[[#This Row],[Date]],2))</f>
        <v>33</v>
      </c>
      <c r="H336" s="40" t="str">
        <f t="shared" si="36"/>
        <v>Monday</v>
      </c>
      <c r="I33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36" s="40" t="str" cm="1">
        <f t="array" ref="J336">IFERROR(VLOOKUP(MODE(IF(Combined[Date]=EarningsPerDay[[#This Row],[Date]],Combined[Area '#])),KPIs!$B$4:$C$7,2,FALSE),VLOOKUP(EarningsPerDay[[#This Row],[Date]],Combined[[Date]:[Primary Area]],8,FALSE))</f>
        <v>Augusta</v>
      </c>
      <c r="K336" s="40" t="str">
        <f>_xlfn.XLOOKUP(EarningsPerDay[[#This Row],[Date]],Mileage[Date],Mileage[Weather])</f>
        <v>Clear</v>
      </c>
      <c r="L336" s="4">
        <f>_xlfn.XLOOKUP(EarningsPerDay[[#This Row],[Date]],Mileage[Date],Mileage[Hi Temp])</f>
        <v>70</v>
      </c>
      <c r="M336" s="12">
        <f>_xlfn.XLOOKUP(EarningsPerDay[[#This Row],[Date]],Mileage[Date],Mileage[Total Time])</f>
        <v>5.48</v>
      </c>
      <c r="N336" s="4">
        <f>_xlfn.XLOOKUP(EarningsPerDay[[#This Row],[Date]],Mileage[Date],Mileage[Mileage])</f>
        <v>132</v>
      </c>
      <c r="O336" s="4">
        <f>SUMIF(Combined[Date],EarningsPerDay[[#This Row],[Date]],Combined[Trips])</f>
        <v>9</v>
      </c>
      <c r="P336">
        <f>COUNTIF(Combined[Date],EarningsPerDay[[#This Row],[Date]])</f>
        <v>2</v>
      </c>
      <c r="Q33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36" s="11">
        <f>SUMIF(Combined[Date],EarningsPerDay[[#This Row],[Date]],Combined[Earnings])</f>
        <v>85.910000000000011</v>
      </c>
      <c r="S336" s="11">
        <f ca="1">EarningsPerDay[[#This Row],[Gross Earnings]]-(EarningsPerDay[[#This Row],[Miles]]*CpM!$D$11)</f>
        <v>56.477551773066544</v>
      </c>
      <c r="T336" s="11">
        <f t="shared" si="37"/>
        <v>15.677007299270073</v>
      </c>
      <c r="U336" s="11">
        <f t="shared" ca="1" si="38"/>
        <v>10.30612258632601</v>
      </c>
      <c r="V336" s="11">
        <f>EarningsPerDay[[#This Row],[Gross Earnings]]/EarningsPerDay[[#This Row],[Deliveries]]</f>
        <v>9.5455555555555573</v>
      </c>
      <c r="W336" s="11">
        <f>EarningsPerDay[[#This Row],[Gross Earnings]]/EarningsPerDay[[#This Row],[Miles]]</f>
        <v>0.65083333333333337</v>
      </c>
      <c r="X336" s="71">
        <f>EarningsPerDay[[#This Row],[Deliveries]]/EarningsPerDay[[#This Row],[Hours]]</f>
        <v>1.6423357664233575</v>
      </c>
      <c r="Y336" s="71">
        <f>EarningsPerDay[[#This Row],[Miles]]/EarningsPerDay[[#This Row],[Deliveries]]</f>
        <v>14.666666666666666</v>
      </c>
      <c r="Z336" s="81">
        <f>(EarningsPerDay[[#This Row],[Hours]]/EarningsPerDay[[#This Row],[Deliveries]])/24</f>
        <v>2.5370370370370373E-2</v>
      </c>
      <c r="AA33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36" s="11">
        <f>AVERAGEIFS(EarningsPerDay[Gross $/Hour],EarningsPerDay[Week '#], EarningsPerDay[[#This Row],[Week '#]], EarningsPerDay[DOW], EarningsPerDay[[#This Row],[DOW]])</f>
        <v>15.658282216918668</v>
      </c>
      <c r="AC336" s="11">
        <f>EarningsPerDay[[#This Row],[Gross $/Hour]] - EarningsPerDay[[#This Row],[Weekly Average Earnings]]</f>
        <v>1.8725082351405575E-2</v>
      </c>
      <c r="AD336" s="11">
        <f>(SUMIFS(EarningsPerDay[Gross Earnings], EarningsPerDay[Date],"&gt;="&amp;EarningsPerDay[[#This Row],[Date]]-89, EarningsPerDay[Date], "&lt;="&amp;EarningsPerDay[[#This Row],[Date]]))/90</f>
        <v>42.478000000000002</v>
      </c>
    </row>
    <row r="337" spans="2:30" x14ac:dyDescent="0.35">
      <c r="B337" s="40">
        <v>45146</v>
      </c>
      <c r="C337" s="40">
        <f t="shared" si="35"/>
        <v>45146</v>
      </c>
      <c r="D337" s="4">
        <f>IF(EarningsPerDay[[#This Row],[Week '#]]&gt;=52,YEAR(EarningsPerDay[[#This Row],[Date]])-1,YEAR(EarningsPerDay[[#This Row],[Date]]))</f>
        <v>2023</v>
      </c>
      <c r="E337" s="4" t="str">
        <f>"QTR"&amp;IF(EarningsPerDay[[#This Row],[Week '#]] &lt;= 13, 1, IF(EarningsPerDay[[#This Row],[Week '#]] &lt;= 26, 2, IF(EarningsPerDay[[#This Row],[Week '#]] &lt;= 39, 3, 4)))</f>
        <v>QTR3</v>
      </c>
      <c r="F3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37" s="4">
        <f>IF(WEEKNUM(EarningsPerDay[[#This Row],[Date]], 2) = 53, 1, WEEKNUM(EarningsPerDay[[#This Row],[Date]],2))</f>
        <v>33</v>
      </c>
      <c r="H337" s="40" t="str">
        <f t="shared" si="36"/>
        <v>Tuesday</v>
      </c>
      <c r="I33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37" s="40" t="str" cm="1">
        <f t="array" ref="J337">IFERROR(VLOOKUP(MODE(IF(Combined[Date]=EarningsPerDay[[#This Row],[Date]],Combined[Area '#])),KPIs!$B$4:$C$7,2,FALSE),VLOOKUP(EarningsPerDay[[#This Row],[Date]],Combined[[Date]:[Primary Area]],8,FALSE))</f>
        <v>Brunswick/Bath/Freeport</v>
      </c>
      <c r="K337" s="40" t="str">
        <f>_xlfn.XLOOKUP(EarningsPerDay[[#This Row],[Date]],Mileage[Date],Mileage[Weather])</f>
        <v>Rain</v>
      </c>
      <c r="L337" s="4">
        <f>_xlfn.XLOOKUP(EarningsPerDay[[#This Row],[Date]],Mileage[Date],Mileage[Hi Temp])</f>
        <v>68</v>
      </c>
      <c r="M337" s="12">
        <f>_xlfn.XLOOKUP(EarningsPerDay[[#This Row],[Date]],Mileage[Date],Mileage[Total Time])</f>
        <v>4.97</v>
      </c>
      <c r="N337" s="4">
        <f>_xlfn.XLOOKUP(EarningsPerDay[[#This Row],[Date]],Mileage[Date],Mileage[Mileage])</f>
        <v>124</v>
      </c>
      <c r="O337" s="4">
        <f>SUMIF(Combined[Date],EarningsPerDay[[#This Row],[Date]],Combined[Trips])</f>
        <v>9</v>
      </c>
      <c r="P337">
        <f>COUNTIF(Combined[Date],EarningsPerDay[[#This Row],[Date]])</f>
        <v>3</v>
      </c>
      <c r="Q3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7" s="11">
        <f>SUMIF(Combined[Date],EarningsPerDay[[#This Row],[Date]],Combined[Earnings])</f>
        <v>106.41999999999999</v>
      </c>
      <c r="S337" s="11">
        <f ca="1">EarningsPerDay[[#This Row],[Gross Earnings]]-(EarningsPerDay[[#This Row],[Miles]]*CpM!$D$11)</f>
        <v>78.771336514092795</v>
      </c>
      <c r="T337" s="11">
        <f t="shared" si="37"/>
        <v>21.412474849094565</v>
      </c>
      <c r="U337" s="11">
        <f t="shared" ca="1" si="38"/>
        <v>15.849363483720886</v>
      </c>
      <c r="V337" s="11">
        <f>EarningsPerDay[[#This Row],[Gross Earnings]]/EarningsPerDay[[#This Row],[Deliveries]]</f>
        <v>11.824444444444444</v>
      </c>
      <c r="W337" s="11">
        <f>EarningsPerDay[[#This Row],[Gross Earnings]]/EarningsPerDay[[#This Row],[Miles]]</f>
        <v>0.85822580645161284</v>
      </c>
      <c r="X337" s="71">
        <f>EarningsPerDay[[#This Row],[Deliveries]]/EarningsPerDay[[#This Row],[Hours]]</f>
        <v>1.8108651911468814</v>
      </c>
      <c r="Y337" s="71">
        <f>EarningsPerDay[[#This Row],[Miles]]/EarningsPerDay[[#This Row],[Deliveries]]</f>
        <v>13.777777777777779</v>
      </c>
      <c r="Z337" s="81">
        <f>(EarningsPerDay[[#This Row],[Hours]]/EarningsPerDay[[#This Row],[Deliveries]])/24</f>
        <v>2.3009259259259257E-2</v>
      </c>
      <c r="AA3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-1.1269720567917965</v>
      </c>
      <c r="AB337" s="11">
        <f>AVERAGEIFS(EarningsPerDay[Gross $/Hour],EarningsPerDay[Week '#], EarningsPerDay[[#This Row],[Week '#]], EarningsPerDay[DOW], EarningsPerDay[[#This Row],[DOW]])</f>
        <v>17.127735570511192</v>
      </c>
      <c r="AC337" s="11">
        <f>EarningsPerDay[[#This Row],[Gross $/Hour]] - EarningsPerDay[[#This Row],[Weekly Average Earnings]]</f>
        <v>4.2847392785833733</v>
      </c>
      <c r="AD337" s="11">
        <f>(SUMIFS(EarningsPerDay[Gross Earnings], EarningsPerDay[Date],"&gt;="&amp;EarningsPerDay[[#This Row],[Date]]-89, EarningsPerDay[Date], "&lt;="&amp;EarningsPerDay[[#This Row],[Date]]))/90</f>
        <v>42.771999999999998</v>
      </c>
    </row>
    <row r="338" spans="2:30" x14ac:dyDescent="0.35">
      <c r="B338" s="40">
        <v>45148</v>
      </c>
      <c r="C338" s="40">
        <f t="shared" si="35"/>
        <v>45148</v>
      </c>
      <c r="D338" s="4">
        <f>IF(EarningsPerDay[[#This Row],[Week '#]]&gt;=52,YEAR(EarningsPerDay[[#This Row],[Date]])-1,YEAR(EarningsPerDay[[#This Row],[Date]]))</f>
        <v>2023</v>
      </c>
      <c r="E338" s="4" t="str">
        <f>"QTR"&amp;IF(EarningsPerDay[[#This Row],[Week '#]] &lt;= 13, 1, IF(EarningsPerDay[[#This Row],[Week '#]] &lt;= 26, 2, IF(EarningsPerDay[[#This Row],[Week '#]] &lt;= 39, 3, 4)))</f>
        <v>QTR3</v>
      </c>
      <c r="F3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38" s="4">
        <f>IF(WEEKNUM(EarningsPerDay[[#This Row],[Date]], 2) = 53, 1, WEEKNUM(EarningsPerDay[[#This Row],[Date]],2))</f>
        <v>33</v>
      </c>
      <c r="H338" s="40" t="str">
        <f t="shared" si="36"/>
        <v>Thursday</v>
      </c>
      <c r="I33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38" s="40" t="str" cm="1">
        <f t="array" ref="J338">IFERROR(VLOOKUP(MODE(IF(Combined[Date]=EarningsPerDay[[#This Row],[Date]],Combined[Area '#])),KPIs!$B$4:$C$7,2,FALSE),VLOOKUP(EarningsPerDay[[#This Row],[Date]],Combined[[Date]:[Primary Area]],8,FALSE))</f>
        <v>Portland</v>
      </c>
      <c r="K338" s="40" t="str">
        <f>_xlfn.XLOOKUP(EarningsPerDay[[#This Row],[Date]],Mileage[Date],Mileage[Weather])</f>
        <v>Overcast</v>
      </c>
      <c r="L338" s="4">
        <f>_xlfn.XLOOKUP(EarningsPerDay[[#This Row],[Date]],Mileage[Date],Mileage[Hi Temp])</f>
        <v>73</v>
      </c>
      <c r="M338" s="12">
        <f>_xlfn.XLOOKUP(EarningsPerDay[[#This Row],[Date]],Mileage[Date],Mileage[Total Time])</f>
        <v>2.92</v>
      </c>
      <c r="N338" s="4">
        <f>_xlfn.XLOOKUP(EarningsPerDay[[#This Row],[Date]],Mileage[Date],Mileage[Mileage])</f>
        <v>69</v>
      </c>
      <c r="O338" s="4">
        <f>SUMIF(Combined[Date],EarningsPerDay[[#This Row],[Date]],Combined[Trips])</f>
        <v>5</v>
      </c>
      <c r="P338">
        <f>COUNTIF(Combined[Date],EarningsPerDay[[#This Row],[Date]])</f>
        <v>2</v>
      </c>
      <c r="Q3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38" s="11">
        <f>SUMIF(Combined[Date],EarningsPerDay[[#This Row],[Date]],Combined[Earnings])</f>
        <v>57.32</v>
      </c>
      <c r="S338" s="11">
        <f ca="1">EarningsPerDay[[#This Row],[Gross Earnings]]-(EarningsPerDay[[#This Row],[Miles]]*CpM!$D$11)</f>
        <v>41.934856608648417</v>
      </c>
      <c r="T338" s="11">
        <f t="shared" si="37"/>
        <v>19.63013698630137</v>
      </c>
      <c r="U338" s="11">
        <f t="shared" ca="1" si="38"/>
        <v>14.361252263235759</v>
      </c>
      <c r="V338" s="11">
        <f>EarningsPerDay[[#This Row],[Gross Earnings]]/EarningsPerDay[[#This Row],[Deliveries]]</f>
        <v>11.464</v>
      </c>
      <c r="W338" s="11">
        <f>EarningsPerDay[[#This Row],[Gross Earnings]]/EarningsPerDay[[#This Row],[Miles]]</f>
        <v>0.83072463768115945</v>
      </c>
      <c r="X338" s="71">
        <f>EarningsPerDay[[#This Row],[Deliveries]]/EarningsPerDay[[#This Row],[Hours]]</f>
        <v>1.7123287671232876</v>
      </c>
      <c r="Y338" s="71">
        <f>EarningsPerDay[[#This Row],[Miles]]/EarningsPerDay[[#This Row],[Deliveries]]</f>
        <v>13.8</v>
      </c>
      <c r="Z338" s="81">
        <f>(EarningsPerDay[[#This Row],[Hours]]/EarningsPerDay[[#This Row],[Deliveries]])/24</f>
        <v>2.4333333333333332E-2</v>
      </c>
      <c r="AA3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-2.3585751349107511</v>
      </c>
      <c r="AB338" s="11">
        <f>AVERAGEIFS(EarningsPerDay[Gross $/Hour],EarningsPerDay[Week '#], EarningsPerDay[[#This Row],[Week '#]], EarningsPerDay[DOW], EarningsPerDay[[#This Row],[DOW]])</f>
        <v>17.47428262633742</v>
      </c>
      <c r="AC338" s="11">
        <f>EarningsPerDay[[#This Row],[Gross $/Hour]] - EarningsPerDay[[#This Row],[Weekly Average Earnings]]</f>
        <v>2.1558543599639499</v>
      </c>
      <c r="AD338" s="11">
        <f>(SUMIFS(EarningsPerDay[Gross Earnings], EarningsPerDay[Date],"&gt;="&amp;EarningsPerDay[[#This Row],[Date]]-89, EarningsPerDay[Date], "&lt;="&amp;EarningsPerDay[[#This Row],[Date]]))/90</f>
        <v>41.988888888888901</v>
      </c>
    </row>
    <row r="339" spans="2:30" x14ac:dyDescent="0.35">
      <c r="B339" s="40">
        <v>45149</v>
      </c>
      <c r="C339" s="40">
        <f t="shared" si="35"/>
        <v>45149</v>
      </c>
      <c r="D339" s="4">
        <f>IF(EarningsPerDay[[#This Row],[Week '#]]&gt;=52,YEAR(EarningsPerDay[[#This Row],[Date]])-1,YEAR(EarningsPerDay[[#This Row],[Date]]))</f>
        <v>2023</v>
      </c>
      <c r="E339" s="4" t="str">
        <f>"QTR"&amp;IF(EarningsPerDay[[#This Row],[Week '#]] &lt;= 13, 1, IF(EarningsPerDay[[#This Row],[Week '#]] &lt;= 26, 2, IF(EarningsPerDay[[#This Row],[Week '#]] &lt;= 39, 3, 4)))</f>
        <v>QTR3</v>
      </c>
      <c r="F3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39" s="4">
        <f>IF(WEEKNUM(EarningsPerDay[[#This Row],[Date]], 2) = 53, 1, WEEKNUM(EarningsPerDay[[#This Row],[Date]],2))</f>
        <v>33</v>
      </c>
      <c r="H339" s="40" t="str">
        <f t="shared" si="36"/>
        <v>Friday</v>
      </c>
      <c r="I33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39" s="40" t="str" cm="1">
        <f t="array" ref="J339">IFERROR(VLOOKUP(MODE(IF(Combined[Date]=EarningsPerDay[[#This Row],[Date]],Combined[Area '#])),KPIs!$B$4:$C$7,2,FALSE),VLOOKUP(EarningsPerDay[[#This Row],[Date]],Combined[[Date]:[Primary Area]],8,FALSE))</f>
        <v>Brunswick/Bath/Freeport</v>
      </c>
      <c r="K339" s="40" t="str">
        <f>_xlfn.XLOOKUP(EarningsPerDay[[#This Row],[Date]],Mileage[Date],Mileage[Weather])</f>
        <v>Clear</v>
      </c>
      <c r="L339" s="4">
        <f>_xlfn.XLOOKUP(EarningsPerDay[[#This Row],[Date]],Mileage[Date],Mileage[Hi Temp])</f>
        <v>73</v>
      </c>
      <c r="M339" s="12">
        <f>_xlfn.XLOOKUP(EarningsPerDay[[#This Row],[Date]],Mileage[Date],Mileage[Total Time])</f>
        <v>3.27</v>
      </c>
      <c r="N339" s="4">
        <f>_xlfn.XLOOKUP(EarningsPerDay[[#This Row],[Date]],Mileage[Date],Mileage[Mileage])</f>
        <v>67</v>
      </c>
      <c r="O339" s="4">
        <f>SUMIF(Combined[Date],EarningsPerDay[[#This Row],[Date]],Combined[Trips])</f>
        <v>5</v>
      </c>
      <c r="P339">
        <f>COUNTIF(Combined[Date],EarningsPerDay[[#This Row],[Date]])</f>
        <v>2</v>
      </c>
      <c r="Q33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39" s="11">
        <f>SUMIF(Combined[Date],EarningsPerDay[[#This Row],[Date]],Combined[Earnings])</f>
        <v>51.76</v>
      </c>
      <c r="S339" s="11">
        <f ca="1">EarningsPerDay[[#This Row],[Gross Earnings]]-(EarningsPerDay[[#This Row],[Miles]]*CpM!$D$11)</f>
        <v>36.820802793904981</v>
      </c>
      <c r="T339" s="11">
        <f t="shared" si="37"/>
        <v>15.82874617737003</v>
      </c>
      <c r="U339" s="11">
        <f t="shared" ca="1" si="38"/>
        <v>11.260184340643725</v>
      </c>
      <c r="V339" s="11">
        <f>EarningsPerDay[[#This Row],[Gross Earnings]]/EarningsPerDay[[#This Row],[Deliveries]]</f>
        <v>10.352</v>
      </c>
      <c r="W339" s="11">
        <f>EarningsPerDay[[#This Row],[Gross Earnings]]/EarningsPerDay[[#This Row],[Miles]]</f>
        <v>0.77253731343283583</v>
      </c>
      <c r="X339" s="71">
        <f>EarningsPerDay[[#This Row],[Deliveries]]/EarningsPerDay[[#This Row],[Hours]]</f>
        <v>1.5290519877675841</v>
      </c>
      <c r="Y339" s="71">
        <f>EarningsPerDay[[#This Row],[Miles]]/EarningsPerDay[[#This Row],[Deliveries]]</f>
        <v>13.4</v>
      </c>
      <c r="Z339" s="81">
        <f>(EarningsPerDay[[#This Row],[Hours]]/EarningsPerDay[[#This Row],[Deliveries]])/24</f>
        <v>2.725E-2</v>
      </c>
      <c r="AA3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-7.3897088468615006</v>
      </c>
      <c r="AB339" s="11">
        <f>AVERAGEIFS(EarningsPerDay[Gross $/Hour],EarningsPerDay[Week '#], EarningsPerDay[[#This Row],[Week '#]], EarningsPerDay[DOW], EarningsPerDay[[#This Row],[DOW]])</f>
        <v>19.306427700229733</v>
      </c>
      <c r="AC339" s="11">
        <f>EarningsPerDay[[#This Row],[Gross $/Hour]] - EarningsPerDay[[#This Row],[Weekly Average Earnings]]</f>
        <v>-3.4776815228597027</v>
      </c>
      <c r="AD339" s="11">
        <f>(SUMIFS(EarningsPerDay[Gross Earnings], EarningsPerDay[Date],"&gt;="&amp;EarningsPerDay[[#This Row],[Date]]-89, EarningsPerDay[Date], "&lt;="&amp;EarningsPerDay[[#This Row],[Date]]))/90</f>
        <v>42.564000000000014</v>
      </c>
    </row>
    <row r="340" spans="2:30" x14ac:dyDescent="0.35">
      <c r="B340" s="40">
        <v>45154</v>
      </c>
      <c r="C340" s="40">
        <f t="shared" si="35"/>
        <v>45154</v>
      </c>
      <c r="D340" s="4">
        <f>IF(EarningsPerDay[[#This Row],[Week '#]]&gt;=52,YEAR(EarningsPerDay[[#This Row],[Date]])-1,YEAR(EarningsPerDay[[#This Row],[Date]]))</f>
        <v>2023</v>
      </c>
      <c r="E340" s="4" t="str">
        <f>"QTR"&amp;IF(EarningsPerDay[[#This Row],[Week '#]] &lt;= 13, 1, IF(EarningsPerDay[[#This Row],[Week '#]] &lt;= 26, 2, IF(EarningsPerDay[[#This Row],[Week '#]] &lt;= 39, 3, 4)))</f>
        <v>QTR3</v>
      </c>
      <c r="F3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40" s="4">
        <f>IF(WEEKNUM(EarningsPerDay[[#This Row],[Date]], 2) = 53, 1, WEEKNUM(EarningsPerDay[[#This Row],[Date]],2))</f>
        <v>34</v>
      </c>
      <c r="H340" s="40" t="str">
        <f t="shared" si="36"/>
        <v>Wednesday</v>
      </c>
      <c r="I34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40" s="40" t="str" cm="1">
        <f t="array" ref="J340">IFERROR(VLOOKUP(MODE(IF(Combined[Date]=EarningsPerDay[[#This Row],[Date]],Combined[Area '#])),KPIs!$B$4:$C$7,2,FALSE),VLOOKUP(EarningsPerDay[[#This Row],[Date]],Combined[[Date]:[Primary Area]],8,FALSE))</f>
        <v>Portland</v>
      </c>
      <c r="K340" s="40" t="str">
        <f>_xlfn.XLOOKUP(EarningsPerDay[[#This Row],[Date]],Mileage[Date],Mileage[Weather])</f>
        <v>Overcast</v>
      </c>
      <c r="L340" s="4">
        <f>_xlfn.XLOOKUP(EarningsPerDay[[#This Row],[Date]],Mileage[Date],Mileage[Hi Temp])</f>
        <v>66</v>
      </c>
      <c r="M340" s="12">
        <f>_xlfn.XLOOKUP(EarningsPerDay[[#This Row],[Date]],Mileage[Date],Mileage[Total Time])</f>
        <v>5.57</v>
      </c>
      <c r="N340" s="4">
        <f>_xlfn.XLOOKUP(EarningsPerDay[[#This Row],[Date]],Mileage[Date],Mileage[Mileage])</f>
        <v>95</v>
      </c>
      <c r="O340" s="4">
        <f>SUMIF(Combined[Date],EarningsPerDay[[#This Row],[Date]],Combined[Trips])</f>
        <v>14</v>
      </c>
      <c r="P340">
        <f>COUNTIF(Combined[Date],EarningsPerDay[[#This Row],[Date]])</f>
        <v>2</v>
      </c>
      <c r="Q3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0" s="11">
        <f>SUMIF(Combined[Date],EarningsPerDay[[#This Row],[Date]],Combined[Earnings])</f>
        <v>131.44</v>
      </c>
      <c r="S340" s="11">
        <f ca="1">EarningsPerDay[[#This Row],[Gross Earnings]]-(EarningsPerDay[[#This Row],[Miles]]*CpM!$D$11)</f>
        <v>110.25755620031303</v>
      </c>
      <c r="T340" s="11">
        <f t="shared" si="37"/>
        <v>23.597845601436266</v>
      </c>
      <c r="U340" s="11">
        <f t="shared" ca="1" si="38"/>
        <v>19.794893393233938</v>
      </c>
      <c r="V340" s="11">
        <f>EarningsPerDay[[#This Row],[Gross Earnings]]/EarningsPerDay[[#This Row],[Deliveries]]</f>
        <v>9.3885714285714279</v>
      </c>
      <c r="W340" s="11">
        <f>EarningsPerDay[[#This Row],[Gross Earnings]]/EarningsPerDay[[#This Row],[Miles]]</f>
        <v>1.383578947368421</v>
      </c>
      <c r="X340" s="71">
        <f>EarningsPerDay[[#This Row],[Deliveries]]/EarningsPerDay[[#This Row],[Hours]]</f>
        <v>2.5134649910233393</v>
      </c>
      <c r="Y340" s="71">
        <f>EarningsPerDay[[#This Row],[Miles]]/EarningsPerDay[[#This Row],[Deliveries]]</f>
        <v>6.7857142857142856</v>
      </c>
      <c r="Z340" s="81">
        <f>(EarningsPerDay[[#This Row],[Hours]]/EarningsPerDay[[#This Row],[Deliveries]])/24</f>
        <v>1.6577380952380951E-2</v>
      </c>
      <c r="AA3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1.0548163205227148</v>
      </c>
      <c r="AB340" s="11">
        <f>AVERAGEIFS(EarningsPerDay[Gross $/Hour],EarningsPerDay[Week '#], EarningsPerDay[[#This Row],[Week '#]], EarningsPerDay[DOW], EarningsPerDay[[#This Row],[DOW]])</f>
        <v>23.323781261793304</v>
      </c>
      <c r="AC340" s="11">
        <f>EarningsPerDay[[#This Row],[Gross $/Hour]] - EarningsPerDay[[#This Row],[Weekly Average Earnings]]</f>
        <v>0.27406433964296184</v>
      </c>
      <c r="AD340" s="11">
        <f>(SUMIFS(EarningsPerDay[Gross Earnings], EarningsPerDay[Date],"&gt;="&amp;EarningsPerDay[[#This Row],[Date]]-89, EarningsPerDay[Date], "&lt;="&amp;EarningsPerDay[[#This Row],[Date]]))/90</f>
        <v>43.365888888888904</v>
      </c>
    </row>
    <row r="341" spans="2:30" x14ac:dyDescent="0.35">
      <c r="B341" s="40">
        <v>45155</v>
      </c>
      <c r="C341" s="40">
        <f t="shared" si="35"/>
        <v>45155</v>
      </c>
      <c r="D341" s="4">
        <f>IF(EarningsPerDay[[#This Row],[Week '#]]&gt;=52,YEAR(EarningsPerDay[[#This Row],[Date]])-1,YEAR(EarningsPerDay[[#This Row],[Date]]))</f>
        <v>2023</v>
      </c>
      <c r="E341" s="4" t="str">
        <f>"QTR"&amp;IF(EarningsPerDay[[#This Row],[Week '#]] &lt;= 13, 1, IF(EarningsPerDay[[#This Row],[Week '#]] &lt;= 26, 2, IF(EarningsPerDay[[#This Row],[Week '#]] &lt;= 39, 3, 4)))</f>
        <v>QTR3</v>
      </c>
      <c r="F3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41" s="4">
        <f>IF(WEEKNUM(EarningsPerDay[[#This Row],[Date]], 2) = 53, 1, WEEKNUM(EarningsPerDay[[#This Row],[Date]],2))</f>
        <v>34</v>
      </c>
      <c r="H341" s="40" t="str">
        <f t="shared" si="36"/>
        <v>Thursday</v>
      </c>
      <c r="I34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41" s="40" t="str" cm="1">
        <f t="array" ref="J341">IFERROR(VLOOKUP(MODE(IF(Combined[Date]=EarningsPerDay[[#This Row],[Date]],Combined[Area '#])),KPIs!$B$4:$C$7,2,FALSE),VLOOKUP(EarningsPerDay[[#This Row],[Date]],Combined[[Date]:[Primary Area]],8,FALSE))</f>
        <v>Portland</v>
      </c>
      <c r="K341" s="40" t="str">
        <f>_xlfn.XLOOKUP(EarningsPerDay[[#This Row],[Date]],Mileage[Date],Mileage[Weather])</f>
        <v>Overcast</v>
      </c>
      <c r="L341" s="4">
        <f>_xlfn.XLOOKUP(EarningsPerDay[[#This Row],[Date]],Mileage[Date],Mileage[Hi Temp])</f>
        <v>66</v>
      </c>
      <c r="M341" s="12">
        <f>_xlfn.XLOOKUP(EarningsPerDay[[#This Row],[Date]],Mileage[Date],Mileage[Total Time])</f>
        <v>4.0199999999999996</v>
      </c>
      <c r="N341" s="4">
        <f>_xlfn.XLOOKUP(EarningsPerDay[[#This Row],[Date]],Mileage[Date],Mileage[Mileage])</f>
        <v>88</v>
      </c>
      <c r="O341" s="4">
        <f>SUMIF(Combined[Date],EarningsPerDay[[#This Row],[Date]],Combined[Trips])</f>
        <v>11</v>
      </c>
      <c r="P341">
        <f>COUNTIF(Combined[Date],EarningsPerDay[[#This Row],[Date]])</f>
        <v>2</v>
      </c>
      <c r="Q34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41" s="11">
        <f>SUMIF(Combined[Date],EarningsPerDay[[#This Row],[Date]],Combined[Earnings])</f>
        <v>97.8</v>
      </c>
      <c r="S341" s="11">
        <f ca="1">EarningsPerDay[[#This Row],[Gross Earnings]]-(EarningsPerDay[[#This Row],[Miles]]*CpM!$D$11)</f>
        <v>78.178367848711019</v>
      </c>
      <c r="T341" s="11">
        <f t="shared" si="37"/>
        <v>24.328358208955226</v>
      </c>
      <c r="U341" s="11">
        <f t="shared" ca="1" si="38"/>
        <v>19.447355186246526</v>
      </c>
      <c r="V341" s="11">
        <f>EarningsPerDay[[#This Row],[Gross Earnings]]/EarningsPerDay[[#This Row],[Deliveries]]</f>
        <v>8.8909090909090907</v>
      </c>
      <c r="W341" s="11">
        <f>EarningsPerDay[[#This Row],[Gross Earnings]]/EarningsPerDay[[#This Row],[Miles]]</f>
        <v>1.1113636363636363</v>
      </c>
      <c r="X341" s="71">
        <f>EarningsPerDay[[#This Row],[Deliveries]]/EarningsPerDay[[#This Row],[Hours]]</f>
        <v>2.7363184079601992</v>
      </c>
      <c r="Y341" s="71">
        <f>EarningsPerDay[[#This Row],[Miles]]/EarningsPerDay[[#This Row],[Deliveries]]</f>
        <v>8</v>
      </c>
      <c r="Z341" s="81">
        <f>(EarningsPerDay[[#This Row],[Hours]]/EarningsPerDay[[#This Row],[Deliveries]])/24</f>
        <v>1.5227272727272726E-2</v>
      </c>
      <c r="AA3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2.9292898714707931</v>
      </c>
      <c r="AB341" s="11">
        <f>AVERAGEIFS(EarningsPerDay[Gross $/Hour],EarningsPerDay[Week '#], EarningsPerDay[[#This Row],[Week '#]], EarningsPerDay[DOW], EarningsPerDay[[#This Row],[DOW]])</f>
        <v>20.801092160105405</v>
      </c>
      <c r="AC341" s="11">
        <f>EarningsPerDay[[#This Row],[Gross $/Hour]] - EarningsPerDay[[#This Row],[Weekly Average Earnings]]</f>
        <v>3.5272660488498211</v>
      </c>
      <c r="AD341" s="11">
        <f>(SUMIFS(EarningsPerDay[Gross Earnings], EarningsPerDay[Date],"&gt;="&amp;EarningsPerDay[[#This Row],[Date]]-89, EarningsPerDay[Date], "&lt;="&amp;EarningsPerDay[[#This Row],[Date]]))/90</f>
        <v>44.45255555555557</v>
      </c>
    </row>
    <row r="342" spans="2:30" x14ac:dyDescent="0.35">
      <c r="B342" s="40">
        <v>45156</v>
      </c>
      <c r="C342" s="40">
        <f t="shared" si="35"/>
        <v>45156</v>
      </c>
      <c r="D342" s="4">
        <f>IF(EarningsPerDay[[#This Row],[Week '#]]&gt;=52,YEAR(EarningsPerDay[[#This Row],[Date]])-1,YEAR(EarningsPerDay[[#This Row],[Date]]))</f>
        <v>2023</v>
      </c>
      <c r="E342" s="4" t="str">
        <f>"QTR"&amp;IF(EarningsPerDay[[#This Row],[Week '#]] &lt;= 13, 1, IF(EarningsPerDay[[#This Row],[Week '#]] &lt;= 26, 2, IF(EarningsPerDay[[#This Row],[Week '#]] &lt;= 39, 3, 4)))</f>
        <v>QTR3</v>
      </c>
      <c r="F3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42" s="4">
        <f>IF(WEEKNUM(EarningsPerDay[[#This Row],[Date]], 2) = 53, 1, WEEKNUM(EarningsPerDay[[#This Row],[Date]],2))</f>
        <v>34</v>
      </c>
      <c r="H342" s="40" t="str">
        <f t="shared" si="36"/>
        <v>Friday</v>
      </c>
      <c r="I34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42" s="40" t="str" cm="1">
        <f t="array" ref="J342">IFERROR(VLOOKUP(MODE(IF(Combined[Date]=EarningsPerDay[[#This Row],[Date]],Combined[Area '#])),KPIs!$B$4:$C$7,2,FALSE),VLOOKUP(EarningsPerDay[[#This Row],[Date]],Combined[[Date]:[Primary Area]],8,FALSE))</f>
        <v>Augusta</v>
      </c>
      <c r="K342" s="40" t="str">
        <f>_xlfn.XLOOKUP(EarningsPerDay[[#This Row],[Date]],Mileage[Date],Mileage[Weather])</f>
        <v>Overcast</v>
      </c>
      <c r="L342" s="4">
        <f>_xlfn.XLOOKUP(EarningsPerDay[[#This Row],[Date]],Mileage[Date],Mileage[Hi Temp])</f>
        <v>70</v>
      </c>
      <c r="M342" s="12">
        <f>_xlfn.XLOOKUP(EarningsPerDay[[#This Row],[Date]],Mileage[Date],Mileage[Total Time])</f>
        <v>5.6</v>
      </c>
      <c r="N342" s="4">
        <f>_xlfn.XLOOKUP(EarningsPerDay[[#This Row],[Date]],Mileage[Date],Mileage[Mileage])</f>
        <v>133</v>
      </c>
      <c r="O342" s="4">
        <f>SUMIF(Combined[Date],EarningsPerDay[[#This Row],[Date]],Combined[Trips])</f>
        <v>12</v>
      </c>
      <c r="P342">
        <f>COUNTIF(Combined[Date],EarningsPerDay[[#This Row],[Date]])</f>
        <v>4</v>
      </c>
      <c r="Q34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42" s="11">
        <f>SUMIF(Combined[Date],EarningsPerDay[[#This Row],[Date]],Combined[Earnings])</f>
        <v>110.04999999999998</v>
      </c>
      <c r="S342" s="11">
        <f ca="1">EarningsPerDay[[#This Row],[Gross Earnings]]-(EarningsPerDay[[#This Row],[Miles]]*CpM!$D$11)</f>
        <v>80.394578680438229</v>
      </c>
      <c r="T342" s="11">
        <f t="shared" si="37"/>
        <v>19.651785714285712</v>
      </c>
      <c r="U342" s="11">
        <f t="shared" ca="1" si="38"/>
        <v>14.356174764363971</v>
      </c>
      <c r="V342" s="11">
        <f>EarningsPerDay[[#This Row],[Gross Earnings]]/EarningsPerDay[[#This Row],[Deliveries]]</f>
        <v>9.1708333333333325</v>
      </c>
      <c r="W342" s="11">
        <f>EarningsPerDay[[#This Row],[Gross Earnings]]/EarningsPerDay[[#This Row],[Miles]]</f>
        <v>0.82744360902255631</v>
      </c>
      <c r="X342" s="71">
        <f>EarningsPerDay[[#This Row],[Deliveries]]/EarningsPerDay[[#This Row],[Hours]]</f>
        <v>2.1428571428571428</v>
      </c>
      <c r="Y342" s="71">
        <f>EarningsPerDay[[#This Row],[Miles]]/EarningsPerDay[[#This Row],[Deliveries]]</f>
        <v>11.083333333333334</v>
      </c>
      <c r="Z342" s="81">
        <f>(EarningsPerDay[[#This Row],[Hours]]/EarningsPerDay[[#This Row],[Deliveries]])/24</f>
        <v>1.9444444444444441E-2</v>
      </c>
      <c r="AA34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42" s="11">
        <f>AVERAGEIFS(EarningsPerDay[Gross $/Hour],EarningsPerDay[Week '#], EarningsPerDay[[#This Row],[Week '#]], EarningsPerDay[DOW], EarningsPerDay[[#This Row],[DOW]])</f>
        <v>25.991327331647295</v>
      </c>
      <c r="AC342" s="11">
        <f>EarningsPerDay[[#This Row],[Gross $/Hour]] - EarningsPerDay[[#This Row],[Weekly Average Earnings]]</f>
        <v>-6.3395416173615828</v>
      </c>
      <c r="AD342" s="11">
        <f>(SUMIFS(EarningsPerDay[Gross Earnings], EarningsPerDay[Date],"&gt;="&amp;EarningsPerDay[[#This Row],[Date]]-89, EarningsPerDay[Date], "&lt;="&amp;EarningsPerDay[[#This Row],[Date]]))/90</f>
        <v>45.675333333333349</v>
      </c>
    </row>
    <row r="343" spans="2:30" x14ac:dyDescent="0.35">
      <c r="B343" s="40">
        <v>45157</v>
      </c>
      <c r="C343" s="40">
        <f t="shared" si="35"/>
        <v>45157</v>
      </c>
      <c r="D343" s="4">
        <f>IF(EarningsPerDay[[#This Row],[Week '#]]&gt;=52,YEAR(EarningsPerDay[[#This Row],[Date]])-1,YEAR(EarningsPerDay[[#This Row],[Date]]))</f>
        <v>2023</v>
      </c>
      <c r="E343" s="4" t="str">
        <f>"QTR"&amp;IF(EarningsPerDay[[#This Row],[Week '#]] &lt;= 13, 1, IF(EarningsPerDay[[#This Row],[Week '#]] &lt;= 26, 2, IF(EarningsPerDay[[#This Row],[Week '#]] &lt;= 39, 3, 4)))</f>
        <v>QTR3</v>
      </c>
      <c r="F3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43" s="4">
        <f>IF(WEEKNUM(EarningsPerDay[[#This Row],[Date]], 2) = 53, 1, WEEKNUM(EarningsPerDay[[#This Row],[Date]],2))</f>
        <v>34</v>
      </c>
      <c r="H343" s="40" t="str">
        <f t="shared" si="36"/>
        <v>Saturday</v>
      </c>
      <c r="I34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43" s="40" t="str" cm="1">
        <f t="array" ref="J343">IFERROR(VLOOKUP(MODE(IF(Combined[Date]=EarningsPerDay[[#This Row],[Date]],Combined[Area '#])),KPIs!$B$4:$C$7,2,FALSE),VLOOKUP(EarningsPerDay[[#This Row],[Date]],Combined[[Date]:[Primary Area]],8,FALSE))</f>
        <v>Lewiston</v>
      </c>
      <c r="K343" s="40" t="str">
        <f>_xlfn.XLOOKUP(EarningsPerDay[[#This Row],[Date]],Mileage[Date],Mileage[Weather])</f>
        <v>Overcast</v>
      </c>
      <c r="L343" s="4">
        <f>_xlfn.XLOOKUP(EarningsPerDay[[#This Row],[Date]],Mileage[Date],Mileage[Hi Temp])</f>
        <v>68</v>
      </c>
      <c r="M343" s="12">
        <f>_xlfn.XLOOKUP(EarningsPerDay[[#This Row],[Date]],Mileage[Date],Mileage[Total Time])</f>
        <v>5.37</v>
      </c>
      <c r="N343" s="4">
        <f>_xlfn.XLOOKUP(EarningsPerDay[[#This Row],[Date]],Mileage[Date],Mileage[Mileage])</f>
        <v>64</v>
      </c>
      <c r="O343" s="4">
        <f>SUMIF(Combined[Date],EarningsPerDay[[#This Row],[Date]],Combined[Trips])</f>
        <v>15</v>
      </c>
      <c r="P343">
        <f>COUNTIF(Combined[Date],EarningsPerDay[[#This Row],[Date]])</f>
        <v>2</v>
      </c>
      <c r="Q34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43" s="11">
        <f>SUMIF(Combined[Date],EarningsPerDay[[#This Row],[Date]],Combined[Earnings])</f>
        <v>104.25</v>
      </c>
      <c r="S343" s="11">
        <f ca="1">EarningsPerDay[[#This Row],[Gross Earnings]]-(EarningsPerDay[[#This Row],[Miles]]*CpM!$D$11)</f>
        <v>89.979722071789837</v>
      </c>
      <c r="T343" s="11">
        <f t="shared" si="37"/>
        <v>19.41340782122905</v>
      </c>
      <c r="U343" s="11">
        <f t="shared" ca="1" si="38"/>
        <v>16.756000385808164</v>
      </c>
      <c r="V343" s="11">
        <f>EarningsPerDay[[#This Row],[Gross Earnings]]/EarningsPerDay[[#This Row],[Deliveries]]</f>
        <v>6.95</v>
      </c>
      <c r="W343" s="11">
        <f>EarningsPerDay[[#This Row],[Gross Earnings]]/EarningsPerDay[[#This Row],[Miles]]</f>
        <v>1.62890625</v>
      </c>
      <c r="X343" s="71">
        <f>EarningsPerDay[[#This Row],[Deliveries]]/EarningsPerDay[[#This Row],[Hours]]</f>
        <v>2.7932960893854748</v>
      </c>
      <c r="Y343" s="71">
        <f>EarningsPerDay[[#This Row],[Miles]]/EarningsPerDay[[#This Row],[Deliveries]]</f>
        <v>4.2666666666666666</v>
      </c>
      <c r="Z343" s="81">
        <f>(EarningsPerDay[[#This Row],[Hours]]/EarningsPerDay[[#This Row],[Deliveries]])/24</f>
        <v>1.4916666666666667E-2</v>
      </c>
      <c r="AA3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-2.1042685341332472</v>
      </c>
      <c r="AB343" s="11">
        <f>AVERAGEIFS(EarningsPerDay[Gross $/Hour],EarningsPerDay[Week '#], EarningsPerDay[[#This Row],[Week '#]], EarningsPerDay[DOW], EarningsPerDay[[#This Row],[DOW]])</f>
        <v>19.755357688810538</v>
      </c>
      <c r="AC343" s="11">
        <f>EarningsPerDay[[#This Row],[Gross $/Hour]] - EarningsPerDay[[#This Row],[Weekly Average Earnings]]</f>
        <v>-0.34194986758148715</v>
      </c>
      <c r="AD343" s="11">
        <f>(SUMIFS(EarningsPerDay[Gross Earnings], EarningsPerDay[Date],"&gt;="&amp;EarningsPerDay[[#This Row],[Date]]-89, EarningsPerDay[Date], "&lt;="&amp;EarningsPerDay[[#This Row],[Date]]))/90</f>
        <v>46.613666666666681</v>
      </c>
    </row>
    <row r="344" spans="2:30" x14ac:dyDescent="0.35">
      <c r="B344" s="40">
        <v>45158</v>
      </c>
      <c r="C344" s="40">
        <f t="shared" si="35"/>
        <v>45158</v>
      </c>
      <c r="D344" s="4">
        <f>IF(EarningsPerDay[[#This Row],[Week '#]]&gt;=52,YEAR(EarningsPerDay[[#This Row],[Date]])-1,YEAR(EarningsPerDay[[#This Row],[Date]]))</f>
        <v>2023</v>
      </c>
      <c r="E344" s="4" t="str">
        <f>"QTR"&amp;IF(EarningsPerDay[[#This Row],[Week '#]] &lt;= 13, 1, IF(EarningsPerDay[[#This Row],[Week '#]] &lt;= 26, 2, IF(EarningsPerDay[[#This Row],[Week '#]] &lt;= 39, 3, 4)))</f>
        <v>QTR3</v>
      </c>
      <c r="F3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44" s="4">
        <f>IF(WEEKNUM(EarningsPerDay[[#This Row],[Date]], 2) = 53, 1, WEEKNUM(EarningsPerDay[[#This Row],[Date]],2))</f>
        <v>34</v>
      </c>
      <c r="H344" s="40" t="str">
        <f t="shared" si="36"/>
        <v>Sunday</v>
      </c>
      <c r="I34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44" s="40" t="str" cm="1">
        <f t="array" ref="J344">IFERROR(VLOOKUP(MODE(IF(Combined[Date]=EarningsPerDay[[#This Row],[Date]],Combined[Area '#])),KPIs!$B$4:$C$7,2,FALSE),VLOOKUP(EarningsPerDay[[#This Row],[Date]],Combined[[Date]:[Primary Area]],8,FALSE))</f>
        <v>Lewiston</v>
      </c>
      <c r="K344" s="40" t="str">
        <f>_xlfn.XLOOKUP(EarningsPerDay[[#This Row],[Date]],Mileage[Date],Mileage[Weather])</f>
        <v>Clear</v>
      </c>
      <c r="L344" s="4">
        <f>_xlfn.XLOOKUP(EarningsPerDay[[#This Row],[Date]],Mileage[Date],Mileage[Hi Temp])</f>
        <v>79</v>
      </c>
      <c r="M344" s="12">
        <f>_xlfn.XLOOKUP(EarningsPerDay[[#This Row],[Date]],Mileage[Date],Mileage[Total Time])</f>
        <v>1.38</v>
      </c>
      <c r="N344" s="4">
        <f>_xlfn.XLOOKUP(EarningsPerDay[[#This Row],[Date]],Mileage[Date],Mileage[Mileage])</f>
        <v>29</v>
      </c>
      <c r="O344" s="4">
        <f>SUMIF(Combined[Date],EarningsPerDay[[#This Row],[Date]],Combined[Trips])</f>
        <v>2</v>
      </c>
      <c r="P344">
        <f>COUNTIF(Combined[Date],EarningsPerDay[[#This Row],[Date]])</f>
        <v>1</v>
      </c>
      <c r="Q34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44" s="11">
        <f>SUMIF(Combined[Date],EarningsPerDay[[#This Row],[Date]],Combined[Earnings])</f>
        <v>20.39</v>
      </c>
      <c r="S344" s="11">
        <f ca="1">EarningsPerDay[[#This Row],[Gross Earnings]]-(EarningsPerDay[[#This Row],[Miles]]*CpM!$D$11)</f>
        <v>13.923780313779769</v>
      </c>
      <c r="T344" s="11">
        <f t="shared" si="37"/>
        <v>14.775362318840582</v>
      </c>
      <c r="U344" s="11">
        <f t="shared" ca="1" si="38"/>
        <v>10.089695879550558</v>
      </c>
      <c r="V344" s="11">
        <f>EarningsPerDay[[#This Row],[Gross Earnings]]/EarningsPerDay[[#This Row],[Deliveries]]</f>
        <v>10.195</v>
      </c>
      <c r="W344" s="11">
        <f>EarningsPerDay[[#This Row],[Gross Earnings]]/EarningsPerDay[[#This Row],[Miles]]</f>
        <v>0.70310344827586213</v>
      </c>
      <c r="X344" s="71">
        <f>EarningsPerDay[[#This Row],[Deliveries]]/EarningsPerDay[[#This Row],[Hours]]</f>
        <v>1.4492753623188408</v>
      </c>
      <c r="Y344" s="71">
        <f>EarningsPerDay[[#This Row],[Miles]]/EarningsPerDay[[#This Row],[Deliveries]]</f>
        <v>14.5</v>
      </c>
      <c r="Z344" s="81">
        <f>(EarningsPerDay[[#This Row],[Hours]]/EarningsPerDay[[#This Row],[Deliveries]])/24</f>
        <v>2.8749999999999998E-2</v>
      </c>
      <c r="AA3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-5.6264605695414502</v>
      </c>
      <c r="AB344" s="11">
        <f>AVERAGEIFS(EarningsPerDay[Gross $/Hour],EarningsPerDay[Week '#], EarningsPerDay[[#This Row],[Week '#]], EarningsPerDay[DOW], EarningsPerDay[[#This Row],[DOW]])</f>
        <v>20.818424402663531</v>
      </c>
      <c r="AC344" s="11">
        <f>EarningsPerDay[[#This Row],[Gross $/Hour]] - EarningsPerDay[[#This Row],[Weekly Average Earnings]]</f>
        <v>-6.0430620838229494</v>
      </c>
      <c r="AD344" s="11">
        <f>(SUMIFS(EarningsPerDay[Gross Earnings], EarningsPerDay[Date],"&gt;="&amp;EarningsPerDay[[#This Row],[Date]]-89, EarningsPerDay[Date], "&lt;="&amp;EarningsPerDay[[#This Row],[Date]]))/90</f>
        <v>45.836222222222233</v>
      </c>
    </row>
    <row r="345" spans="2:30" x14ac:dyDescent="0.35">
      <c r="B345" s="40">
        <v>45161</v>
      </c>
      <c r="C345" s="40">
        <f t="shared" si="35"/>
        <v>45161</v>
      </c>
      <c r="D345" s="4">
        <f>IF(EarningsPerDay[[#This Row],[Week '#]]&gt;=52,YEAR(EarningsPerDay[[#This Row],[Date]])-1,YEAR(EarningsPerDay[[#This Row],[Date]]))</f>
        <v>2023</v>
      </c>
      <c r="E345" s="4" t="str">
        <f>"QTR"&amp;IF(EarningsPerDay[[#This Row],[Week '#]] &lt;= 13, 1, IF(EarningsPerDay[[#This Row],[Week '#]] &lt;= 26, 2, IF(EarningsPerDay[[#This Row],[Week '#]] &lt;= 39, 3, 4)))</f>
        <v>QTR3</v>
      </c>
      <c r="F3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45" s="4">
        <f>IF(WEEKNUM(EarningsPerDay[[#This Row],[Date]], 2) = 53, 1, WEEKNUM(EarningsPerDay[[#This Row],[Date]],2))</f>
        <v>35</v>
      </c>
      <c r="H345" s="40" t="str">
        <f t="shared" si="36"/>
        <v>Wednesday</v>
      </c>
      <c r="I34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45" s="40" t="str" cm="1">
        <f t="array" ref="J345">IFERROR(VLOOKUP(MODE(IF(Combined[Date]=EarningsPerDay[[#This Row],[Date]],Combined[Area '#])),KPIs!$B$4:$C$7,2,FALSE),VLOOKUP(EarningsPerDay[[#This Row],[Date]],Combined[[Date]:[Primary Area]],8,FALSE))</f>
        <v>Brunswick/Bath/Freeport</v>
      </c>
      <c r="K345" s="40" t="str">
        <f>_xlfn.XLOOKUP(EarningsPerDay[[#This Row],[Date]],Mileage[Date],Mileage[Weather])</f>
        <v>Clear</v>
      </c>
      <c r="L345" s="4">
        <f>_xlfn.XLOOKUP(EarningsPerDay[[#This Row],[Date]],Mileage[Date],Mileage[Hi Temp])</f>
        <v>73</v>
      </c>
      <c r="M345" s="12">
        <f>_xlfn.XLOOKUP(EarningsPerDay[[#This Row],[Date]],Mileage[Date],Mileage[Total Time])</f>
        <v>4.0199999999999996</v>
      </c>
      <c r="N345" s="4">
        <f>_xlfn.XLOOKUP(EarningsPerDay[[#This Row],[Date]],Mileage[Date],Mileage[Mileage])</f>
        <v>104</v>
      </c>
      <c r="O345" s="4">
        <f>SUMIF(Combined[Date],EarningsPerDay[[#This Row],[Date]],Combined[Trips])</f>
        <v>8</v>
      </c>
      <c r="P345">
        <f>COUNTIF(Combined[Date],EarningsPerDay[[#This Row],[Date]])</f>
        <v>1</v>
      </c>
      <c r="Q34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45" s="11">
        <f>SUMIF(Combined[Date],EarningsPerDay[[#This Row],[Date]],Combined[Earnings])</f>
        <v>82.61</v>
      </c>
      <c r="S345" s="11">
        <f ca="1">EarningsPerDay[[#This Row],[Gross Earnings]]-(EarningsPerDay[[#This Row],[Miles]]*CpM!$D$11)</f>
        <v>59.420798366658481</v>
      </c>
      <c r="T345" s="11">
        <f t="shared" si="37"/>
        <v>20.549751243781095</v>
      </c>
      <c r="U345" s="11">
        <f t="shared" ca="1" si="38"/>
        <v>14.78129312603445</v>
      </c>
      <c r="V345" s="11">
        <f>EarningsPerDay[[#This Row],[Gross Earnings]]/EarningsPerDay[[#This Row],[Deliveries]]</f>
        <v>10.32625</v>
      </c>
      <c r="W345" s="11">
        <f>EarningsPerDay[[#This Row],[Gross Earnings]]/EarningsPerDay[[#This Row],[Miles]]</f>
        <v>0.7943269230769231</v>
      </c>
      <c r="X345" s="71">
        <f>EarningsPerDay[[#This Row],[Deliveries]]/EarningsPerDay[[#This Row],[Hours]]</f>
        <v>1.9900497512437814</v>
      </c>
      <c r="Y345" s="71">
        <f>EarningsPerDay[[#This Row],[Miles]]/EarningsPerDay[[#This Row],[Deliveries]]</f>
        <v>13</v>
      </c>
      <c r="Z345" s="81">
        <f>(EarningsPerDay[[#This Row],[Hours]]/EarningsPerDay[[#This Row],[Deliveries]])/24</f>
        <v>2.0937499999999998E-2</v>
      </c>
      <c r="AA3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0.11641791044775829</v>
      </c>
      <c r="AB345" s="11">
        <f>AVERAGEIFS(EarningsPerDay[Gross $/Hour],EarningsPerDay[Week '#], EarningsPerDay[[#This Row],[Week '#]], EarningsPerDay[DOW], EarningsPerDay[[#This Row],[DOW]])</f>
        <v>24.84553283501565</v>
      </c>
      <c r="AC345" s="11">
        <f>EarningsPerDay[[#This Row],[Gross $/Hour]] - EarningsPerDay[[#This Row],[Weekly Average Earnings]]</f>
        <v>-4.2957815912345545</v>
      </c>
      <c r="AD345" s="11">
        <f>(SUMIFS(EarningsPerDay[Gross Earnings], EarningsPerDay[Date],"&gt;="&amp;EarningsPerDay[[#This Row],[Date]]-89, EarningsPerDay[Date], "&lt;="&amp;EarningsPerDay[[#This Row],[Date]]))/90</f>
        <v>45.640111111111118</v>
      </c>
    </row>
    <row r="346" spans="2:30" x14ac:dyDescent="0.35">
      <c r="B346" s="40">
        <v>45162</v>
      </c>
      <c r="C346" s="40">
        <f t="shared" si="35"/>
        <v>45162</v>
      </c>
      <c r="D346" s="4">
        <f>IF(EarningsPerDay[[#This Row],[Week '#]]&gt;=52,YEAR(EarningsPerDay[[#This Row],[Date]])-1,YEAR(EarningsPerDay[[#This Row],[Date]]))</f>
        <v>2023</v>
      </c>
      <c r="E346" s="4" t="str">
        <f>"QTR"&amp;IF(EarningsPerDay[[#This Row],[Week '#]] &lt;= 13, 1, IF(EarningsPerDay[[#This Row],[Week '#]] &lt;= 26, 2, IF(EarningsPerDay[[#This Row],[Week '#]] &lt;= 39, 3, 4)))</f>
        <v>QTR3</v>
      </c>
      <c r="F3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46" s="4">
        <f>IF(WEEKNUM(EarningsPerDay[[#This Row],[Date]], 2) = 53, 1, WEEKNUM(EarningsPerDay[[#This Row],[Date]],2))</f>
        <v>35</v>
      </c>
      <c r="H346" s="40" t="str">
        <f t="shared" si="36"/>
        <v>Thursday</v>
      </c>
      <c r="I34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46" s="40" t="str" cm="1">
        <f t="array" ref="J346">IFERROR(VLOOKUP(MODE(IF(Combined[Date]=EarningsPerDay[[#This Row],[Date]],Combined[Area '#])),KPIs!$B$4:$C$7,2,FALSE),VLOOKUP(EarningsPerDay[[#This Row],[Date]],Combined[[Date]:[Primary Area]],8,FALSE))</f>
        <v>Portland</v>
      </c>
      <c r="K346" s="40" t="str">
        <f>_xlfn.XLOOKUP(EarningsPerDay[[#This Row],[Date]],Mileage[Date],Mileage[Weather])</f>
        <v>Overcast</v>
      </c>
      <c r="L346" s="4">
        <f>_xlfn.XLOOKUP(EarningsPerDay[[#This Row],[Date]],Mileage[Date],Mileage[Hi Temp])</f>
        <v>68</v>
      </c>
      <c r="M346" s="12">
        <f>_xlfn.XLOOKUP(EarningsPerDay[[#This Row],[Date]],Mileage[Date],Mileage[Total Time])</f>
        <v>3.25</v>
      </c>
      <c r="N346" s="4">
        <f>_xlfn.XLOOKUP(EarningsPerDay[[#This Row],[Date]],Mileage[Date],Mileage[Mileage])</f>
        <v>67</v>
      </c>
      <c r="O346" s="4">
        <f>SUMIF(Combined[Date],EarningsPerDay[[#This Row],[Date]],Combined[Trips])</f>
        <v>6</v>
      </c>
      <c r="P346">
        <f>COUNTIF(Combined[Date],EarningsPerDay[[#This Row],[Date]])</f>
        <v>3</v>
      </c>
      <c r="Q3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6" s="11">
        <f>SUMIF(Combined[Date],EarningsPerDay[[#This Row],[Date]],Combined[Earnings])</f>
        <v>55.68</v>
      </c>
      <c r="S346" s="11">
        <f ca="1">EarningsPerDay[[#This Row],[Gross Earnings]]-(EarningsPerDay[[#This Row],[Miles]]*CpM!$D$11)</f>
        <v>40.740802793904983</v>
      </c>
      <c r="T346" s="11">
        <f t="shared" si="37"/>
        <v>17.132307692307691</v>
      </c>
      <c r="U346" s="11">
        <f t="shared" ca="1" si="38"/>
        <v>12.535631628893841</v>
      </c>
      <c r="V346" s="11">
        <f>EarningsPerDay[[#This Row],[Gross Earnings]]/EarningsPerDay[[#This Row],[Deliveries]]</f>
        <v>9.2799999999999994</v>
      </c>
      <c r="W346" s="11">
        <f>EarningsPerDay[[#This Row],[Gross Earnings]]/EarningsPerDay[[#This Row],[Miles]]</f>
        <v>0.83104477611940297</v>
      </c>
      <c r="X346" s="71">
        <f>EarningsPerDay[[#This Row],[Deliveries]]/EarningsPerDay[[#This Row],[Hours]]</f>
        <v>1.8461538461538463</v>
      </c>
      <c r="Y346" s="71">
        <f>EarningsPerDay[[#This Row],[Miles]]/EarningsPerDay[[#This Row],[Deliveries]]</f>
        <v>11.166666666666666</v>
      </c>
      <c r="Z346" s="81">
        <f>(EarningsPerDay[[#This Row],[Hours]]/EarningsPerDay[[#This Row],[Deliveries]])/24</f>
        <v>2.2569444444444444E-2</v>
      </c>
      <c r="AA3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-4.8526186194708991</v>
      </c>
      <c r="AB346" s="11">
        <f>AVERAGEIFS(EarningsPerDay[Gross $/Hour],EarningsPerDay[Week '#], EarningsPerDay[[#This Row],[Week '#]], EarningsPerDay[DOW], EarningsPerDay[[#This Row],[DOW]])</f>
        <v>18.697475216463797</v>
      </c>
      <c r="AC346" s="11">
        <f>EarningsPerDay[[#This Row],[Gross $/Hour]] - EarningsPerDay[[#This Row],[Weekly Average Earnings]]</f>
        <v>-1.5651675241561058</v>
      </c>
      <c r="AD346" s="11">
        <f>(SUMIFS(EarningsPerDay[Gross Earnings], EarningsPerDay[Date],"&gt;="&amp;EarningsPerDay[[#This Row],[Date]]-89, EarningsPerDay[Date], "&lt;="&amp;EarningsPerDay[[#This Row],[Date]]))/90</f>
        <v>44.229333333333344</v>
      </c>
    </row>
    <row r="347" spans="2:30" x14ac:dyDescent="0.35">
      <c r="B347" s="40">
        <v>45163</v>
      </c>
      <c r="C347" s="40">
        <f t="shared" si="35"/>
        <v>45163</v>
      </c>
      <c r="D347" s="4">
        <f>IF(EarningsPerDay[[#This Row],[Week '#]]&gt;=52,YEAR(EarningsPerDay[[#This Row],[Date]])-1,YEAR(EarningsPerDay[[#This Row],[Date]]))</f>
        <v>2023</v>
      </c>
      <c r="E347" s="4" t="str">
        <f>"QTR"&amp;IF(EarningsPerDay[[#This Row],[Week '#]] &lt;= 13, 1, IF(EarningsPerDay[[#This Row],[Week '#]] &lt;= 26, 2, IF(EarningsPerDay[[#This Row],[Week '#]] &lt;= 39, 3, 4)))</f>
        <v>QTR3</v>
      </c>
      <c r="F3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47" s="4">
        <f>IF(WEEKNUM(EarningsPerDay[[#This Row],[Date]], 2) = 53, 1, WEEKNUM(EarningsPerDay[[#This Row],[Date]],2))</f>
        <v>35</v>
      </c>
      <c r="H347" s="40" t="str">
        <f t="shared" si="36"/>
        <v>Friday</v>
      </c>
      <c r="I34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47" s="40" t="str" cm="1">
        <f t="array" ref="J347">IFERROR(VLOOKUP(MODE(IF(Combined[Date]=EarningsPerDay[[#This Row],[Date]],Combined[Area '#])),KPIs!$B$4:$C$7,2,FALSE),VLOOKUP(EarningsPerDay[[#This Row],[Date]],Combined[[Date]:[Primary Area]],8,FALSE))</f>
        <v>Brunswick/Bath/Freeport</v>
      </c>
      <c r="K347" s="40" t="str">
        <f>_xlfn.XLOOKUP(EarningsPerDay[[#This Row],[Date]],Mileage[Date],Mileage[Weather])</f>
        <v>Rain</v>
      </c>
      <c r="L347" s="4">
        <f>_xlfn.XLOOKUP(EarningsPerDay[[#This Row],[Date]],Mileage[Date],Mileage[Hi Temp])</f>
        <v>66</v>
      </c>
      <c r="M347" s="12">
        <f>_xlfn.XLOOKUP(EarningsPerDay[[#This Row],[Date]],Mileage[Date],Mileage[Total Time])</f>
        <v>7.03</v>
      </c>
      <c r="N347" s="4">
        <f>_xlfn.XLOOKUP(EarningsPerDay[[#This Row],[Date]],Mileage[Date],Mileage[Mileage])</f>
        <v>117</v>
      </c>
      <c r="O347" s="4">
        <f>SUMIF(Combined[Date],EarningsPerDay[[#This Row],[Date]],Combined[Trips])</f>
        <v>13</v>
      </c>
      <c r="P347">
        <f>COUNTIF(Combined[Date],EarningsPerDay[[#This Row],[Date]])</f>
        <v>5</v>
      </c>
      <c r="Q3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7" s="11">
        <f>SUMIF(Combined[Date],EarningsPerDay[[#This Row],[Date]],Combined[Earnings])</f>
        <v>173.74</v>
      </c>
      <c r="S347" s="11">
        <f ca="1">EarningsPerDay[[#This Row],[Gross Earnings]]-(EarningsPerDay[[#This Row],[Miles]]*CpM!$D$11)</f>
        <v>147.65214816249079</v>
      </c>
      <c r="T347" s="11">
        <f t="shared" si="37"/>
        <v>24.714082503556188</v>
      </c>
      <c r="U347" s="11">
        <f t="shared" ca="1" si="38"/>
        <v>21.003150520980196</v>
      </c>
      <c r="V347" s="11">
        <f>EarningsPerDay[[#This Row],[Gross Earnings]]/EarningsPerDay[[#This Row],[Deliveries]]</f>
        <v>13.364615384615385</v>
      </c>
      <c r="W347" s="11">
        <f>EarningsPerDay[[#This Row],[Gross Earnings]]/EarningsPerDay[[#This Row],[Miles]]</f>
        <v>1.4849572649572651</v>
      </c>
      <c r="X347" s="71">
        <f>EarningsPerDay[[#This Row],[Deliveries]]/EarningsPerDay[[#This Row],[Hours]]</f>
        <v>1.8492176386913228</v>
      </c>
      <c r="Y347" s="71">
        <f>EarningsPerDay[[#This Row],[Miles]]/EarningsPerDay[[#This Row],[Deliveries]]</f>
        <v>9</v>
      </c>
      <c r="Z347" s="81">
        <f>(EarningsPerDay[[#This Row],[Hours]]/EarningsPerDay[[#This Row],[Deliveries]])/24</f>
        <v>2.2532051282051282E-2</v>
      </c>
      <c r="AA3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2.5513001717334447</v>
      </c>
      <c r="AB347" s="11">
        <f>AVERAGEIFS(EarningsPerDay[Gross $/Hour],EarningsPerDay[Week '#], EarningsPerDay[[#This Row],[Week '#]], EarningsPerDay[DOW], EarningsPerDay[[#This Row],[DOW]])</f>
        <v>23.151453859227949</v>
      </c>
      <c r="AC347" s="11">
        <f>EarningsPerDay[[#This Row],[Gross $/Hour]] - EarningsPerDay[[#This Row],[Weekly Average Earnings]]</f>
        <v>1.5626286443282389</v>
      </c>
      <c r="AD347" s="11">
        <f>(SUMIFS(EarningsPerDay[Gross Earnings], EarningsPerDay[Date],"&gt;="&amp;EarningsPerDay[[#This Row],[Date]]-89, EarningsPerDay[Date], "&lt;="&amp;EarningsPerDay[[#This Row],[Date]]))/90</f>
        <v>46.159777777777791</v>
      </c>
    </row>
    <row r="348" spans="2:30" x14ac:dyDescent="0.35">
      <c r="B348" s="40">
        <v>45164</v>
      </c>
      <c r="C348" s="40">
        <f t="shared" si="35"/>
        <v>45164</v>
      </c>
      <c r="D348" s="4">
        <f>IF(EarningsPerDay[[#This Row],[Week '#]]&gt;=52,YEAR(EarningsPerDay[[#This Row],[Date]])-1,YEAR(EarningsPerDay[[#This Row],[Date]]))</f>
        <v>2023</v>
      </c>
      <c r="E348" s="4" t="str">
        <f>"QTR"&amp;IF(EarningsPerDay[[#This Row],[Week '#]] &lt;= 13, 1, IF(EarningsPerDay[[#This Row],[Week '#]] &lt;= 26, 2, IF(EarningsPerDay[[#This Row],[Week '#]] &lt;= 39, 3, 4)))</f>
        <v>QTR3</v>
      </c>
      <c r="F3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48" s="4">
        <f>IF(WEEKNUM(EarningsPerDay[[#This Row],[Date]], 2) = 53, 1, WEEKNUM(EarningsPerDay[[#This Row],[Date]],2))</f>
        <v>35</v>
      </c>
      <c r="H348" s="40" t="str">
        <f t="shared" si="36"/>
        <v>Saturday</v>
      </c>
      <c r="I348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348" s="40" t="str" cm="1">
        <f t="array" ref="J348">IFERROR(VLOOKUP(MODE(IF(Combined[Date]=EarningsPerDay[[#This Row],[Date]],Combined[Area '#])),KPIs!$B$4:$C$7,2,FALSE),VLOOKUP(EarningsPerDay[[#This Row],[Date]],Combined[[Date]:[Primary Area]],8,FALSE))</f>
        <v>Portland</v>
      </c>
      <c r="K348" s="40" t="str">
        <f>_xlfn.XLOOKUP(EarningsPerDay[[#This Row],[Date]],Mileage[Date],Mileage[Weather])</f>
        <v>Partially cloudy &amp; Humid</v>
      </c>
      <c r="L348" s="4">
        <f>_xlfn.XLOOKUP(EarningsPerDay[[#This Row],[Date]],Mileage[Date],Mileage[Hi Temp])</f>
        <v>72</v>
      </c>
      <c r="M348" s="12">
        <f>_xlfn.XLOOKUP(EarningsPerDay[[#This Row],[Date]],Mileage[Date],Mileage[Total Time])</f>
        <v>8.0299999999999994</v>
      </c>
      <c r="N348" s="4">
        <f>_xlfn.XLOOKUP(EarningsPerDay[[#This Row],[Date]],Mileage[Date],Mileage[Mileage])</f>
        <v>181</v>
      </c>
      <c r="O348" s="4">
        <f>SUMIF(Combined[Date],EarningsPerDay[[#This Row],[Date]],Combined[Trips])</f>
        <v>16</v>
      </c>
      <c r="P348">
        <f>COUNTIF(Combined[Date],EarningsPerDay[[#This Row],[Date]])</f>
        <v>5</v>
      </c>
      <c r="Q3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8" s="11">
        <f>SUMIF(Combined[Date],EarningsPerDay[[#This Row],[Date]],Combined[Earnings])</f>
        <v>149.58000000000001</v>
      </c>
      <c r="S348" s="11">
        <f ca="1">EarningsPerDay[[#This Row],[Gross Earnings]]-(EarningsPerDay[[#This Row],[Miles]]*CpM!$D$11)</f>
        <v>109.22187023428063</v>
      </c>
      <c r="T348" s="11">
        <f t="shared" si="37"/>
        <v>18.627646326276466</v>
      </c>
      <c r="U348" s="11">
        <f t="shared" ca="1" si="38"/>
        <v>13.601727301902944</v>
      </c>
      <c r="V348" s="11">
        <f>EarningsPerDay[[#This Row],[Gross Earnings]]/EarningsPerDay[[#This Row],[Deliveries]]</f>
        <v>9.3487500000000008</v>
      </c>
      <c r="W348" s="11">
        <f>EarningsPerDay[[#This Row],[Gross Earnings]]/EarningsPerDay[[#This Row],[Miles]]</f>
        <v>0.82640883977900559</v>
      </c>
      <c r="X348" s="71">
        <f>EarningsPerDay[[#This Row],[Deliveries]]/EarningsPerDay[[#This Row],[Hours]]</f>
        <v>1.9925280199252804</v>
      </c>
      <c r="Y348" s="71">
        <f>EarningsPerDay[[#This Row],[Miles]]/EarningsPerDay[[#This Row],[Deliveries]]</f>
        <v>11.3125</v>
      </c>
      <c r="Z348" s="81">
        <f>(EarningsPerDay[[#This Row],[Hours]]/EarningsPerDay[[#This Row],[Deliveries]])/24</f>
        <v>2.0911458333333331E-2</v>
      </c>
      <c r="AA3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-2.3352568995299841</v>
      </c>
      <c r="AB348" s="11">
        <f>AVERAGEIFS(EarningsPerDay[Gross $/Hour],EarningsPerDay[Week '#], EarningsPerDay[[#This Row],[Week '#]], EarningsPerDay[DOW], EarningsPerDay[[#This Row],[DOW]])</f>
        <v>18.425763461645694</v>
      </c>
      <c r="AC348" s="11">
        <f>EarningsPerDay[[#This Row],[Gross $/Hour]] - EarningsPerDay[[#This Row],[Weekly Average Earnings]]</f>
        <v>0.20188286463077176</v>
      </c>
      <c r="AD348" s="11">
        <f>(SUMIFS(EarningsPerDay[Gross Earnings], EarningsPerDay[Date],"&gt;="&amp;EarningsPerDay[[#This Row],[Date]]-89, EarningsPerDay[Date], "&lt;="&amp;EarningsPerDay[[#This Row],[Date]]))/90</f>
        <v>47.82177777777779</v>
      </c>
    </row>
    <row r="349" spans="2:30" x14ac:dyDescent="0.35">
      <c r="B349" s="40">
        <v>45167</v>
      </c>
      <c r="C349" s="40">
        <f t="shared" si="35"/>
        <v>45167</v>
      </c>
      <c r="D349" s="4">
        <f>IF(EarningsPerDay[[#This Row],[Week '#]]&gt;=52,YEAR(EarningsPerDay[[#This Row],[Date]])-1,YEAR(EarningsPerDay[[#This Row],[Date]]))</f>
        <v>2023</v>
      </c>
      <c r="E349" s="4" t="str">
        <f>"QTR"&amp;IF(EarningsPerDay[[#This Row],[Week '#]] &lt;= 13, 1, IF(EarningsPerDay[[#This Row],[Week '#]] &lt;= 26, 2, IF(EarningsPerDay[[#This Row],[Week '#]] &lt;= 39, 3, 4)))</f>
        <v>QTR3</v>
      </c>
      <c r="F3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49" s="4">
        <f>IF(WEEKNUM(EarningsPerDay[[#This Row],[Date]], 2) = 53, 1, WEEKNUM(EarningsPerDay[[#This Row],[Date]],2))</f>
        <v>36</v>
      </c>
      <c r="H349" s="40" t="str">
        <f t="shared" si="36"/>
        <v>Tuesday</v>
      </c>
      <c r="I34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49" s="40" t="str" cm="1">
        <f t="array" ref="J349">IFERROR(VLOOKUP(MODE(IF(Combined[Date]=EarningsPerDay[[#This Row],[Date]],Combined[Area '#])),KPIs!$B$4:$C$7,2,FALSE),VLOOKUP(EarningsPerDay[[#This Row],[Date]],Combined[[Date]:[Primary Area]],8,FALSE))</f>
        <v>Brunswick/Bath/Freeport</v>
      </c>
      <c r="K349" s="40" t="str">
        <f>_xlfn.XLOOKUP(EarningsPerDay[[#This Row],[Date]],Mileage[Date],Mileage[Weather])</f>
        <v>Partially Cloudy</v>
      </c>
      <c r="L349" s="4">
        <f>_xlfn.XLOOKUP(EarningsPerDay[[#This Row],[Date]],Mileage[Date],Mileage[Hi Temp])</f>
        <v>72</v>
      </c>
      <c r="M349" s="12">
        <f>_xlfn.XLOOKUP(EarningsPerDay[[#This Row],[Date]],Mileage[Date],Mileage[Total Time])</f>
        <v>3.82</v>
      </c>
      <c r="N349" s="4">
        <f>_xlfn.XLOOKUP(EarningsPerDay[[#This Row],[Date]],Mileage[Date],Mileage[Mileage])</f>
        <v>71</v>
      </c>
      <c r="O349" s="4">
        <f>SUMIF(Combined[Date],EarningsPerDay[[#This Row],[Date]],Combined[Trips])</f>
        <v>12</v>
      </c>
      <c r="P349">
        <f>COUNTIF(Combined[Date],EarningsPerDay[[#This Row],[Date]])</f>
        <v>3</v>
      </c>
      <c r="Q3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49" s="11">
        <f>SUMIF(Combined[Date],EarningsPerDay[[#This Row],[Date]],Combined[Earnings])</f>
        <v>80.94</v>
      </c>
      <c r="S349" s="11">
        <f ca="1">EarningsPerDay[[#This Row],[Gross Earnings]]-(EarningsPerDay[[#This Row],[Miles]]*CpM!$D$11)</f>
        <v>65.108910423391848</v>
      </c>
      <c r="T349" s="11">
        <f t="shared" si="37"/>
        <v>21.188481675392669</v>
      </c>
      <c r="U349" s="11">
        <f t="shared" ca="1" si="38"/>
        <v>17.044217388322473</v>
      </c>
      <c r="V349" s="11">
        <f>EarningsPerDay[[#This Row],[Gross Earnings]]/EarningsPerDay[[#This Row],[Deliveries]]</f>
        <v>6.7450000000000001</v>
      </c>
      <c r="W349" s="11">
        <f>EarningsPerDay[[#This Row],[Gross Earnings]]/EarningsPerDay[[#This Row],[Miles]]</f>
        <v>1.1399999999999999</v>
      </c>
      <c r="X349" s="71">
        <f>EarningsPerDay[[#This Row],[Deliveries]]/EarningsPerDay[[#This Row],[Hours]]</f>
        <v>3.1413612565445028</v>
      </c>
      <c r="Y349" s="71">
        <f>EarningsPerDay[[#This Row],[Miles]]/EarningsPerDay[[#This Row],[Deliveries]]</f>
        <v>5.916666666666667</v>
      </c>
      <c r="Z349" s="81">
        <f>(EarningsPerDay[[#This Row],[Hours]]/EarningsPerDay[[#This Row],[Deliveries]])/24</f>
        <v>1.3263888888888888E-2</v>
      </c>
      <c r="AA3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-1.0692222162957421</v>
      </c>
      <c r="AB349" s="11">
        <f>AVERAGEIFS(EarningsPerDay[Gross $/Hour],EarningsPerDay[Week '#], EarningsPerDay[[#This Row],[Week '#]], EarningsPerDay[DOW], EarningsPerDay[[#This Row],[DOW]])</f>
        <v>21.806363018460878</v>
      </c>
      <c r="AC349" s="11">
        <f>EarningsPerDay[[#This Row],[Gross $/Hour]] - EarningsPerDay[[#This Row],[Weekly Average Earnings]]</f>
        <v>-0.61788134306820908</v>
      </c>
      <c r="AD349" s="11">
        <f>(SUMIFS(EarningsPerDay[Gross Earnings], EarningsPerDay[Date],"&gt;="&amp;EarningsPerDay[[#This Row],[Date]]-89, EarningsPerDay[Date], "&lt;="&amp;EarningsPerDay[[#This Row],[Date]]))/90</f>
        <v>48.139111111111113</v>
      </c>
    </row>
    <row r="350" spans="2:30" x14ac:dyDescent="0.35">
      <c r="B350" s="40">
        <v>45168</v>
      </c>
      <c r="C350" s="40">
        <f t="shared" si="35"/>
        <v>45168</v>
      </c>
      <c r="D350" s="4">
        <f>IF(EarningsPerDay[[#This Row],[Week '#]]&gt;=52,YEAR(EarningsPerDay[[#This Row],[Date]])-1,YEAR(EarningsPerDay[[#This Row],[Date]]))</f>
        <v>2023</v>
      </c>
      <c r="E350" s="4" t="str">
        <f>"QTR"&amp;IF(EarningsPerDay[[#This Row],[Week '#]] &lt;= 13, 1, IF(EarningsPerDay[[#This Row],[Week '#]] &lt;= 26, 2, IF(EarningsPerDay[[#This Row],[Week '#]] &lt;= 39, 3, 4)))</f>
        <v>QTR3</v>
      </c>
      <c r="F3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50" s="4">
        <f>IF(WEEKNUM(EarningsPerDay[[#This Row],[Date]], 2) = 53, 1, WEEKNUM(EarningsPerDay[[#This Row],[Date]],2))</f>
        <v>36</v>
      </c>
      <c r="H350" s="40" t="str">
        <f t="shared" si="36"/>
        <v>Wednesday</v>
      </c>
      <c r="I3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50" s="40" t="str" cm="1">
        <f t="array" ref="J350">IFERROR(VLOOKUP(MODE(IF(Combined[Date]=EarningsPerDay[[#This Row],[Date]],Combined[Area '#])),KPIs!$B$4:$C$7,2,FALSE),VLOOKUP(EarningsPerDay[[#This Row],[Date]],Combined[[Date]:[Primary Area]],8,FALSE))</f>
        <v>Portland</v>
      </c>
      <c r="K350" s="40" t="str">
        <f>_xlfn.XLOOKUP(EarningsPerDay[[#This Row],[Date]],Mileage[Date],Mileage[Weather])</f>
        <v>Clear &amp; Humid</v>
      </c>
      <c r="L350" s="4">
        <f>_xlfn.XLOOKUP(EarningsPerDay[[#This Row],[Date]],Mileage[Date],Mileage[Hi Temp])</f>
        <v>72</v>
      </c>
      <c r="M350" s="12">
        <f>_xlfn.XLOOKUP(EarningsPerDay[[#This Row],[Date]],Mileage[Date],Mileage[Total Time])</f>
        <v>5.17</v>
      </c>
      <c r="N350" s="4">
        <f>_xlfn.XLOOKUP(EarningsPerDay[[#This Row],[Date]],Mileage[Date],Mileage[Mileage])</f>
        <v>98</v>
      </c>
      <c r="O350" s="4">
        <f>SUMIF(Combined[Date],EarningsPerDay[[#This Row],[Date]],Combined[Trips])</f>
        <v>10</v>
      </c>
      <c r="P350">
        <f>COUNTIF(Combined[Date],EarningsPerDay[[#This Row],[Date]])</f>
        <v>3</v>
      </c>
      <c r="Q3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0" s="11">
        <f>SUMIF(Combined[Date],EarningsPerDay[[#This Row],[Date]],Combined[Earnings])</f>
        <v>106.1</v>
      </c>
      <c r="S350" s="11">
        <f ca="1">EarningsPerDay[[#This Row],[Gross Earnings]]-(EarningsPerDay[[#This Row],[Miles]]*CpM!$D$11)</f>
        <v>84.248636922428176</v>
      </c>
      <c r="T350" s="11">
        <f t="shared" si="37"/>
        <v>20.522243713733076</v>
      </c>
      <c r="U350" s="11">
        <f t="shared" ca="1" si="38"/>
        <v>16.295674453080885</v>
      </c>
      <c r="V350" s="11">
        <f>EarningsPerDay[[#This Row],[Gross Earnings]]/EarningsPerDay[[#This Row],[Deliveries]]</f>
        <v>10.61</v>
      </c>
      <c r="W350" s="11">
        <f>EarningsPerDay[[#This Row],[Gross Earnings]]/EarningsPerDay[[#This Row],[Miles]]</f>
        <v>1.0826530612244898</v>
      </c>
      <c r="X350" s="71">
        <f>EarningsPerDay[[#This Row],[Deliveries]]/EarningsPerDay[[#This Row],[Hours]]</f>
        <v>1.9342359767891684</v>
      </c>
      <c r="Y350" s="71">
        <f>EarningsPerDay[[#This Row],[Miles]]/EarningsPerDay[[#This Row],[Deliveries]]</f>
        <v>9.8000000000000007</v>
      </c>
      <c r="Z350" s="81">
        <f>(EarningsPerDay[[#This Row],[Hours]]/EarningsPerDay[[#This Row],[Deliveries]])/24</f>
        <v>2.1541666666666667E-2</v>
      </c>
      <c r="AA3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-2.1526376072458149</v>
      </c>
      <c r="AB350" s="11">
        <f>AVERAGEIFS(EarningsPerDay[Gross $/Hour],EarningsPerDay[Week '#], EarningsPerDay[[#This Row],[Week '#]], EarningsPerDay[DOW], EarningsPerDay[[#This Row],[DOW]])</f>
        <v>25.564780393451905</v>
      </c>
      <c r="AC350" s="11">
        <f>EarningsPerDay[[#This Row],[Gross $/Hour]] - EarningsPerDay[[#This Row],[Weekly Average Earnings]]</f>
        <v>-5.0425366797188289</v>
      </c>
      <c r="AD350" s="11">
        <f>(SUMIFS(EarningsPerDay[Gross Earnings], EarningsPerDay[Date],"&gt;="&amp;EarningsPerDay[[#This Row],[Date]]-89, EarningsPerDay[Date], "&lt;="&amp;EarningsPerDay[[#This Row],[Date]]))/90</f>
        <v>48.118000000000009</v>
      </c>
    </row>
    <row r="351" spans="2:30" x14ac:dyDescent="0.35">
      <c r="B351" s="40">
        <v>45169</v>
      </c>
      <c r="C351" s="40">
        <f t="shared" si="35"/>
        <v>45169</v>
      </c>
      <c r="D351" s="4">
        <f>IF(EarningsPerDay[[#This Row],[Week '#]]&gt;=52,YEAR(EarningsPerDay[[#This Row],[Date]])-1,YEAR(EarningsPerDay[[#This Row],[Date]]))</f>
        <v>2023</v>
      </c>
      <c r="E351" s="4" t="str">
        <f>"QTR"&amp;IF(EarningsPerDay[[#This Row],[Week '#]] &lt;= 13, 1, IF(EarningsPerDay[[#This Row],[Week '#]] &lt;= 26, 2, IF(EarningsPerDay[[#This Row],[Week '#]] &lt;= 39, 3, 4)))</f>
        <v>QTR3</v>
      </c>
      <c r="F3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51" s="4">
        <f>IF(WEEKNUM(EarningsPerDay[[#This Row],[Date]], 2) = 53, 1, WEEKNUM(EarningsPerDay[[#This Row],[Date]],2))</f>
        <v>36</v>
      </c>
      <c r="H351" s="40" t="str">
        <f t="shared" si="36"/>
        <v>Thursday</v>
      </c>
      <c r="I35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51" s="40" t="str" cm="1">
        <f t="array" ref="J351">IFERROR(VLOOKUP(MODE(IF(Combined[Date]=EarningsPerDay[[#This Row],[Date]],Combined[Area '#])),KPIs!$B$4:$C$7,2,FALSE),VLOOKUP(EarningsPerDay[[#This Row],[Date]],Combined[[Date]:[Primary Area]],8,FALSE))</f>
        <v>Portland</v>
      </c>
      <c r="K351" s="40" t="str">
        <f>_xlfn.XLOOKUP(EarningsPerDay[[#This Row],[Date]],Mileage[Date],Mileage[Weather])</f>
        <v>Clear</v>
      </c>
      <c r="L351" s="4">
        <f>_xlfn.XLOOKUP(EarningsPerDay[[#This Row],[Date]],Mileage[Date],Mileage[Hi Temp])</f>
        <v>64</v>
      </c>
      <c r="M351" s="12">
        <f>_xlfn.XLOOKUP(EarningsPerDay[[#This Row],[Date]],Mileage[Date],Mileage[Total Time])</f>
        <v>7.45</v>
      </c>
      <c r="N351" s="4">
        <f>_xlfn.XLOOKUP(EarningsPerDay[[#This Row],[Date]],Mileage[Date],Mileage[Mileage])</f>
        <v>111</v>
      </c>
      <c r="O351" s="4">
        <f>SUMIF(Combined[Date],EarningsPerDay[[#This Row],[Date]],Combined[Trips])</f>
        <v>15</v>
      </c>
      <c r="P351">
        <f>COUNTIF(Combined[Date],EarningsPerDay[[#This Row],[Date]])</f>
        <v>3</v>
      </c>
      <c r="Q3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1" s="11">
        <f>SUMIF(Combined[Date],EarningsPerDay[[#This Row],[Date]],Combined[Earnings])</f>
        <v>152.05000000000001</v>
      </c>
      <c r="S351" s="11">
        <f ca="1">EarningsPerDay[[#This Row],[Gross Earnings]]-(EarningsPerDay[[#This Row],[Miles]]*CpM!$D$11)</f>
        <v>127.2999867182605</v>
      </c>
      <c r="T351" s="11">
        <f t="shared" si="37"/>
        <v>20.409395973154364</v>
      </c>
      <c r="U351" s="11">
        <f t="shared" ca="1" si="38"/>
        <v>17.087246539363825</v>
      </c>
      <c r="V351" s="11">
        <f>EarningsPerDay[[#This Row],[Gross Earnings]]/EarningsPerDay[[#This Row],[Deliveries]]</f>
        <v>10.136666666666667</v>
      </c>
      <c r="W351" s="11">
        <f>EarningsPerDay[[#This Row],[Gross Earnings]]/EarningsPerDay[[#This Row],[Miles]]</f>
        <v>1.3698198198198199</v>
      </c>
      <c r="X351" s="71">
        <f>EarningsPerDay[[#This Row],[Deliveries]]/EarningsPerDay[[#This Row],[Hours]]</f>
        <v>2.0134228187919461</v>
      </c>
      <c r="Y351" s="71">
        <f>EarningsPerDay[[#This Row],[Miles]]/EarningsPerDay[[#This Row],[Deliveries]]</f>
        <v>7.4</v>
      </c>
      <c r="Z351" s="81">
        <f>(EarningsPerDay[[#This Row],[Hours]]/EarningsPerDay[[#This Row],[Deliveries]])/24</f>
        <v>2.0694444444444446E-2</v>
      </c>
      <c r="AA3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-0.76676056871241016</v>
      </c>
      <c r="AB351" s="11">
        <f>AVERAGEIFS(EarningsPerDay[Gross $/Hour],EarningsPerDay[Week '#], EarningsPerDay[[#This Row],[Week '#]], EarningsPerDay[DOW], EarningsPerDay[[#This Row],[DOW]])</f>
        <v>19.339270454773725</v>
      </c>
      <c r="AC351" s="11">
        <f>EarningsPerDay[[#This Row],[Gross $/Hour]] - EarningsPerDay[[#This Row],[Weekly Average Earnings]]</f>
        <v>1.0701255183806389</v>
      </c>
      <c r="AD351" s="11">
        <f>(SUMIFS(EarningsPerDay[Gross Earnings], EarningsPerDay[Date],"&gt;="&amp;EarningsPerDay[[#This Row],[Date]]-89, EarningsPerDay[Date], "&lt;="&amp;EarningsPerDay[[#This Row],[Date]]))/90</f>
        <v>48.545444444444456</v>
      </c>
    </row>
    <row r="352" spans="2:30" x14ac:dyDescent="0.35">
      <c r="B352" s="40">
        <v>45170</v>
      </c>
      <c r="C352" s="40">
        <f t="shared" si="35"/>
        <v>45170</v>
      </c>
      <c r="D352" s="4">
        <f>IF(EarningsPerDay[[#This Row],[Week '#]]&gt;=52,YEAR(EarningsPerDay[[#This Row],[Date]])-1,YEAR(EarningsPerDay[[#This Row],[Date]]))</f>
        <v>2023</v>
      </c>
      <c r="E352" s="4" t="str">
        <f>"QTR"&amp;IF(EarningsPerDay[[#This Row],[Week '#]] &lt;= 13, 1, IF(EarningsPerDay[[#This Row],[Week '#]] &lt;= 26, 2, IF(EarningsPerDay[[#This Row],[Week '#]] &lt;= 39, 3, 4)))</f>
        <v>QTR3</v>
      </c>
      <c r="F3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52" s="4">
        <f>IF(WEEKNUM(EarningsPerDay[[#This Row],[Date]], 2) = 53, 1, WEEKNUM(EarningsPerDay[[#This Row],[Date]],2))</f>
        <v>36</v>
      </c>
      <c r="H352" s="40" t="str">
        <f t="shared" si="36"/>
        <v>Friday</v>
      </c>
      <c r="I352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52" s="40" t="str" cm="1">
        <f t="array" ref="J352">IFERROR(VLOOKUP(MODE(IF(Combined[Date]=EarningsPerDay[[#This Row],[Date]],Combined[Area '#])),KPIs!$B$4:$C$7,2,FALSE),VLOOKUP(EarningsPerDay[[#This Row],[Date]],Combined[[Date]:[Primary Area]],8,FALSE))</f>
        <v>Lewiston</v>
      </c>
      <c r="K352" s="40" t="str">
        <f>_xlfn.XLOOKUP(EarningsPerDay[[#This Row],[Date]],Mileage[Date],Mileage[Weather])</f>
        <v>Clear</v>
      </c>
      <c r="L352" s="4">
        <f>_xlfn.XLOOKUP(EarningsPerDay[[#This Row],[Date]],Mileage[Date],Mileage[Hi Temp])</f>
        <v>73</v>
      </c>
      <c r="M352" s="12">
        <f>_xlfn.XLOOKUP(EarningsPerDay[[#This Row],[Date]],Mileage[Date],Mileage[Total Time])</f>
        <v>3.87</v>
      </c>
      <c r="N352" s="4">
        <f>_xlfn.XLOOKUP(EarningsPerDay[[#This Row],[Date]],Mileage[Date],Mileage[Mileage])</f>
        <v>75</v>
      </c>
      <c r="O352" s="4">
        <f>SUMIF(Combined[Date],EarningsPerDay[[#This Row],[Date]],Combined[Trips])</f>
        <v>8</v>
      </c>
      <c r="P352">
        <f>COUNTIF(Combined[Date],EarningsPerDay[[#This Row],[Date]])</f>
        <v>2</v>
      </c>
      <c r="Q35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52" s="11">
        <f>SUMIF(Combined[Date],EarningsPerDay[[#This Row],[Date]],Combined[Earnings])</f>
        <v>63.02</v>
      </c>
      <c r="S352" s="11">
        <f ca="1">EarningsPerDay[[#This Row],[Gross Earnings]]-(EarningsPerDay[[#This Row],[Miles]]*CpM!$D$11)</f>
        <v>46.297018052878713</v>
      </c>
      <c r="T352" s="11">
        <f t="shared" si="37"/>
        <v>16.284237726098191</v>
      </c>
      <c r="U352" s="11">
        <f t="shared" ca="1" si="38"/>
        <v>11.963053760433775</v>
      </c>
      <c r="V352" s="11">
        <f>EarningsPerDay[[#This Row],[Gross Earnings]]/EarningsPerDay[[#This Row],[Deliveries]]</f>
        <v>7.8775000000000004</v>
      </c>
      <c r="W352" s="11">
        <f>EarningsPerDay[[#This Row],[Gross Earnings]]/EarningsPerDay[[#This Row],[Miles]]</f>
        <v>0.84026666666666672</v>
      </c>
      <c r="X352" s="71">
        <f>EarningsPerDay[[#This Row],[Deliveries]]/EarningsPerDay[[#This Row],[Hours]]</f>
        <v>2.0671834625322996</v>
      </c>
      <c r="Y352" s="71">
        <f>EarningsPerDay[[#This Row],[Miles]]/EarningsPerDay[[#This Row],[Deliveries]]</f>
        <v>9.375</v>
      </c>
      <c r="Z352" s="81">
        <f>(EarningsPerDay[[#This Row],[Hours]]/EarningsPerDay[[#This Row],[Deliveries]])/24</f>
        <v>2.0156250000000001E-2</v>
      </c>
      <c r="AA3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-8.3513178294573649</v>
      </c>
      <c r="AB352" s="11">
        <f>AVERAGEIFS(EarningsPerDay[Gross $/Hour],EarningsPerDay[Week '#], EarningsPerDay[[#This Row],[Week '#]], EarningsPerDay[DOW], EarningsPerDay[[#This Row],[DOW]])</f>
        <v>21.674707341206283</v>
      </c>
      <c r="AC352" s="11">
        <f>EarningsPerDay[[#This Row],[Gross $/Hour]] - EarningsPerDay[[#This Row],[Weekly Average Earnings]]</f>
        <v>-5.390469615108092</v>
      </c>
      <c r="AD352" s="11">
        <f>(SUMIFS(EarningsPerDay[Gross Earnings], EarningsPerDay[Date],"&gt;="&amp;EarningsPerDay[[#This Row],[Date]]-89, EarningsPerDay[Date], "&lt;="&amp;EarningsPerDay[[#This Row],[Date]]))/90</f>
        <v>49.245666666666686</v>
      </c>
    </row>
    <row r="353" spans="2:30" x14ac:dyDescent="0.35">
      <c r="B353" s="40">
        <v>45171</v>
      </c>
      <c r="C353" s="40">
        <f t="shared" si="35"/>
        <v>45171</v>
      </c>
      <c r="D353" s="4">
        <f>IF(EarningsPerDay[[#This Row],[Week '#]]&gt;=52,YEAR(EarningsPerDay[[#This Row],[Date]])-1,YEAR(EarningsPerDay[[#This Row],[Date]]))</f>
        <v>2023</v>
      </c>
      <c r="E353" s="4" t="str">
        <f>"QTR"&amp;IF(EarningsPerDay[[#This Row],[Week '#]] &lt;= 13, 1, IF(EarningsPerDay[[#This Row],[Week '#]] &lt;= 26, 2, IF(EarningsPerDay[[#This Row],[Week '#]] &lt;= 39, 3, 4)))</f>
        <v>QTR3</v>
      </c>
      <c r="F3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353" s="4">
        <f>IF(WEEKNUM(EarningsPerDay[[#This Row],[Date]], 2) = 53, 1, WEEKNUM(EarningsPerDay[[#This Row],[Date]],2))</f>
        <v>36</v>
      </c>
      <c r="H353" s="40" t="str">
        <f t="shared" si="36"/>
        <v>Saturday</v>
      </c>
      <c r="I353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53" s="40" t="str" cm="1">
        <f t="array" ref="J353">IFERROR(VLOOKUP(MODE(IF(Combined[Date]=EarningsPerDay[[#This Row],[Date]],Combined[Area '#])),KPIs!$B$4:$C$7,2,FALSE),VLOOKUP(EarningsPerDay[[#This Row],[Date]],Combined[[Date]:[Primary Area]],8,FALSE))</f>
        <v>Brunswick/Bath/Freeport</v>
      </c>
      <c r="K353" s="40" t="str">
        <f>_xlfn.XLOOKUP(EarningsPerDay[[#This Row],[Date]],Mileage[Date],Mileage[Weather])</f>
        <v>Clear</v>
      </c>
      <c r="L353" s="4">
        <f>_xlfn.XLOOKUP(EarningsPerDay[[#This Row],[Date]],Mileage[Date],Mileage[Hi Temp])</f>
        <v>70</v>
      </c>
      <c r="M353" s="12">
        <f>_xlfn.XLOOKUP(EarningsPerDay[[#This Row],[Date]],Mileage[Date],Mileage[Total Time])</f>
        <v>7.38</v>
      </c>
      <c r="N353" s="4">
        <f>_xlfn.XLOOKUP(EarningsPerDay[[#This Row],[Date]],Mileage[Date],Mileage[Mileage])</f>
        <v>177</v>
      </c>
      <c r="O353" s="4">
        <f>SUMIF(Combined[Date],EarningsPerDay[[#This Row],[Date]],Combined[Trips])</f>
        <v>18</v>
      </c>
      <c r="P353">
        <f>COUNTIF(Combined[Date],EarningsPerDay[[#This Row],[Date]])</f>
        <v>6</v>
      </c>
      <c r="Q35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53" s="11">
        <f>SUMIF(Combined[Date],EarningsPerDay[[#This Row],[Date]],Combined[Earnings])</f>
        <v>173.91</v>
      </c>
      <c r="S353" s="11">
        <f ca="1">EarningsPerDay[[#This Row],[Gross Earnings]]-(EarningsPerDay[[#This Row],[Miles]]*CpM!$D$11)</f>
        <v>134.44376260479376</v>
      </c>
      <c r="T353" s="11">
        <f t="shared" si="37"/>
        <v>23.565040650406505</v>
      </c>
      <c r="U353" s="11">
        <f t="shared" ca="1" si="38"/>
        <v>18.217312006069616</v>
      </c>
      <c r="V353" s="11">
        <f>EarningsPerDay[[#This Row],[Gross Earnings]]/EarningsPerDay[[#This Row],[Deliveries]]</f>
        <v>9.6616666666666671</v>
      </c>
      <c r="W353" s="11">
        <f>EarningsPerDay[[#This Row],[Gross Earnings]]/EarningsPerDay[[#This Row],[Miles]]</f>
        <v>0.98254237288135593</v>
      </c>
      <c r="X353" s="71">
        <f>EarningsPerDay[[#This Row],[Deliveries]]/EarningsPerDay[[#This Row],[Hours]]</f>
        <v>2.4390243902439024</v>
      </c>
      <c r="Y353" s="71">
        <f>EarningsPerDay[[#This Row],[Miles]]/EarningsPerDay[[#This Row],[Deliveries]]</f>
        <v>9.8333333333333339</v>
      </c>
      <c r="Z353" s="81">
        <f>(EarningsPerDay[[#This Row],[Hours]]/EarningsPerDay[[#This Row],[Deliveries]])/24</f>
        <v>1.7083333333333332E-2</v>
      </c>
      <c r="AA3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5.1562768415837716</v>
      </c>
      <c r="AB353" s="11">
        <f>AVERAGEIFS(EarningsPerDay[Gross $/Hour],EarningsPerDay[Week '#], EarningsPerDay[[#This Row],[Week '#]], EarningsPerDay[DOW], EarningsPerDay[[#This Row],[DOW]])</f>
        <v>22.045530235932333</v>
      </c>
      <c r="AC353" s="11">
        <f>EarningsPerDay[[#This Row],[Gross $/Hour]] - EarningsPerDay[[#This Row],[Weekly Average Earnings]]</f>
        <v>1.5195104144741727</v>
      </c>
      <c r="AD353" s="11">
        <f>(SUMIFS(EarningsPerDay[Gross Earnings], EarningsPerDay[Date],"&gt;="&amp;EarningsPerDay[[#This Row],[Date]]-89, EarningsPerDay[Date], "&lt;="&amp;EarningsPerDay[[#This Row],[Date]]))/90</f>
        <v>51.178000000000011</v>
      </c>
    </row>
    <row r="354" spans="2:30" x14ac:dyDescent="0.35">
      <c r="B354" s="40">
        <v>45175</v>
      </c>
      <c r="C354" s="40">
        <f t="shared" si="35"/>
        <v>45175</v>
      </c>
      <c r="D354" s="4">
        <f>IF(EarningsPerDay[[#This Row],[Week '#]]&gt;=52,YEAR(EarningsPerDay[[#This Row],[Date]])-1,YEAR(EarningsPerDay[[#This Row],[Date]]))</f>
        <v>2023</v>
      </c>
      <c r="E354" s="4" t="str">
        <f>"QTR"&amp;IF(EarningsPerDay[[#This Row],[Week '#]] &lt;= 13, 1, IF(EarningsPerDay[[#This Row],[Week '#]] &lt;= 26, 2, IF(EarningsPerDay[[#This Row],[Week '#]] &lt;= 39, 3, 4)))</f>
        <v>QTR3</v>
      </c>
      <c r="F3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54" s="4">
        <f>IF(WEEKNUM(EarningsPerDay[[#This Row],[Date]], 2) = 53, 1, WEEKNUM(EarningsPerDay[[#This Row],[Date]],2))</f>
        <v>37</v>
      </c>
      <c r="H354" s="40" t="str">
        <f t="shared" si="36"/>
        <v>Wednesday</v>
      </c>
      <c r="I35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54" s="40" t="str" cm="1">
        <f t="array" ref="J354">IFERROR(VLOOKUP(MODE(IF(Combined[Date]=EarningsPerDay[[#This Row],[Date]],Combined[Area '#])),KPIs!$B$4:$C$7,2,FALSE),VLOOKUP(EarningsPerDay[[#This Row],[Date]],Combined[[Date]:[Primary Area]],8,FALSE))</f>
        <v>Brunswick/Bath/Freeport</v>
      </c>
      <c r="K354" s="40" t="str">
        <f>_xlfn.XLOOKUP(EarningsPerDay[[#This Row],[Date]],Mileage[Date],Mileage[Weather])</f>
        <v>Clear &amp; Humid</v>
      </c>
      <c r="L354" s="4">
        <f>_xlfn.XLOOKUP(EarningsPerDay[[#This Row],[Date]],Mileage[Date],Mileage[Hi Temp])</f>
        <v>81</v>
      </c>
      <c r="M354" s="12">
        <f>_xlfn.XLOOKUP(EarningsPerDay[[#This Row],[Date]],Mileage[Date],Mileage[Total Time])</f>
        <v>4.75</v>
      </c>
      <c r="N354" s="4">
        <f>_xlfn.XLOOKUP(EarningsPerDay[[#This Row],[Date]],Mileage[Date],Mileage[Mileage])</f>
        <v>119</v>
      </c>
      <c r="O354" s="4">
        <f>SUMIF(Combined[Date],EarningsPerDay[[#This Row],[Date]],Combined[Trips])</f>
        <v>10</v>
      </c>
      <c r="P354">
        <f>COUNTIF(Combined[Date],EarningsPerDay[[#This Row],[Date]])</f>
        <v>3</v>
      </c>
      <c r="Q3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4" s="11">
        <f>SUMIF(Combined[Date],EarningsPerDay[[#This Row],[Date]],Combined[Earnings])</f>
        <v>145.09</v>
      </c>
      <c r="S354" s="11">
        <f ca="1">EarningsPerDay[[#This Row],[Gross Earnings]]-(EarningsPerDay[[#This Row],[Miles]]*CpM!$D$11)</f>
        <v>118.55620197723422</v>
      </c>
      <c r="T354" s="11">
        <f t="shared" si="37"/>
        <v>30.545263157894738</v>
      </c>
      <c r="U354" s="11">
        <f t="shared" ca="1" si="38"/>
        <v>24.959200416259836</v>
      </c>
      <c r="V354" s="11">
        <f>EarningsPerDay[[#This Row],[Gross Earnings]]/EarningsPerDay[[#This Row],[Deliveries]]</f>
        <v>14.509</v>
      </c>
      <c r="W354" s="11">
        <f>EarningsPerDay[[#This Row],[Gross Earnings]]/EarningsPerDay[[#This Row],[Miles]]</f>
        <v>1.2192436974789915</v>
      </c>
      <c r="X354" s="71">
        <f>EarningsPerDay[[#This Row],[Deliveries]]/EarningsPerDay[[#This Row],[Hours]]</f>
        <v>2.1052631578947367</v>
      </c>
      <c r="Y354" s="71">
        <f>EarningsPerDay[[#This Row],[Miles]]/EarningsPerDay[[#This Row],[Deliveries]]</f>
        <v>11.9</v>
      </c>
      <c r="Z354" s="81">
        <f>(EarningsPerDay[[#This Row],[Hours]]/EarningsPerDay[[#This Row],[Deliveries]])/24</f>
        <v>1.9791666666666666E-2</v>
      </c>
      <c r="AA3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10.053720869337521</v>
      </c>
      <c r="AB354" s="11">
        <f>AVERAGEIFS(EarningsPerDay[Gross $/Hour],EarningsPerDay[Week '#], EarningsPerDay[[#This Row],[Week '#]], EarningsPerDay[DOW], EarningsPerDay[[#This Row],[DOW]])</f>
        <v>17.244530305697353</v>
      </c>
      <c r="AC354" s="11">
        <f>EarningsPerDay[[#This Row],[Gross $/Hour]] - EarningsPerDay[[#This Row],[Weekly Average Earnings]]</f>
        <v>13.300732852197385</v>
      </c>
      <c r="AD354" s="11">
        <f>(SUMIFS(EarningsPerDay[Gross Earnings], EarningsPerDay[Date],"&gt;="&amp;EarningsPerDay[[#This Row],[Date]]-89, EarningsPerDay[Date], "&lt;="&amp;EarningsPerDay[[#This Row],[Date]]))/90</f>
        <v>52.790111111111131</v>
      </c>
    </row>
    <row r="355" spans="2:30" x14ac:dyDescent="0.35">
      <c r="B355" s="40">
        <v>45176</v>
      </c>
      <c r="C355" s="40">
        <f t="shared" si="35"/>
        <v>45176</v>
      </c>
      <c r="D355" s="4">
        <f>IF(EarningsPerDay[[#This Row],[Week '#]]&gt;=52,YEAR(EarningsPerDay[[#This Row],[Date]])-1,YEAR(EarningsPerDay[[#This Row],[Date]]))</f>
        <v>2023</v>
      </c>
      <c r="E355" s="4" t="str">
        <f>"QTR"&amp;IF(EarningsPerDay[[#This Row],[Week '#]] &lt;= 13, 1, IF(EarningsPerDay[[#This Row],[Week '#]] &lt;= 26, 2, IF(EarningsPerDay[[#This Row],[Week '#]] &lt;= 39, 3, 4)))</f>
        <v>QTR3</v>
      </c>
      <c r="F3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55" s="4">
        <f>IF(WEEKNUM(EarningsPerDay[[#This Row],[Date]], 2) = 53, 1, WEEKNUM(EarningsPerDay[[#This Row],[Date]],2))</f>
        <v>37</v>
      </c>
      <c r="H355" s="40" t="str">
        <f t="shared" si="36"/>
        <v>Thursday</v>
      </c>
      <c r="I35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55" s="40" t="str" cm="1">
        <f t="array" ref="J355">IFERROR(VLOOKUP(MODE(IF(Combined[Date]=EarningsPerDay[[#This Row],[Date]],Combined[Area '#])),KPIs!$B$4:$C$7,2,FALSE),VLOOKUP(EarningsPerDay[[#This Row],[Date]],Combined[[Date]:[Primary Area]],8,FALSE))</f>
        <v>Portland</v>
      </c>
      <c r="K355" s="40" t="str">
        <f>_xlfn.XLOOKUP(EarningsPerDay[[#This Row],[Date]],Mileage[Date],Mileage[Weather])</f>
        <v>Clear &amp; Humid</v>
      </c>
      <c r="L355" s="4">
        <f>_xlfn.XLOOKUP(EarningsPerDay[[#This Row],[Date]],Mileage[Date],Mileage[Hi Temp])</f>
        <v>75</v>
      </c>
      <c r="M355" s="12">
        <f>_xlfn.XLOOKUP(EarningsPerDay[[#This Row],[Date]],Mileage[Date],Mileage[Total Time])</f>
        <v>5.38</v>
      </c>
      <c r="N355" s="4">
        <f>_xlfn.XLOOKUP(EarningsPerDay[[#This Row],[Date]],Mileage[Date],Mileage[Mileage])</f>
        <v>107</v>
      </c>
      <c r="O355" s="4">
        <f>SUMIF(Combined[Date],EarningsPerDay[[#This Row],[Date]],Combined[Trips])</f>
        <v>13</v>
      </c>
      <c r="P355">
        <f>COUNTIF(Combined[Date],EarningsPerDay[[#This Row],[Date]])</f>
        <v>2</v>
      </c>
      <c r="Q3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5" s="11">
        <f>SUMIF(Combined[Date],EarningsPerDay[[#This Row],[Date]],Combined[Earnings])</f>
        <v>134.89999999999998</v>
      </c>
      <c r="S355" s="11">
        <f ca="1">EarningsPerDay[[#This Row],[Gross Earnings]]-(EarningsPerDay[[#This Row],[Miles]]*CpM!$D$11)</f>
        <v>111.04187908877361</v>
      </c>
      <c r="T355" s="11">
        <f t="shared" si="37"/>
        <v>25.07434944237918</v>
      </c>
      <c r="U355" s="11">
        <f t="shared" ca="1" si="38"/>
        <v>20.639754477467214</v>
      </c>
      <c r="V355" s="11">
        <f>EarningsPerDay[[#This Row],[Gross Earnings]]/EarningsPerDay[[#This Row],[Deliveries]]</f>
        <v>10.376923076923076</v>
      </c>
      <c r="W355" s="11">
        <f>EarningsPerDay[[#This Row],[Gross Earnings]]/EarningsPerDay[[#This Row],[Miles]]</f>
        <v>1.2607476635514017</v>
      </c>
      <c r="X355" s="71">
        <f>EarningsPerDay[[#This Row],[Deliveries]]/EarningsPerDay[[#This Row],[Hours]]</f>
        <v>2.4163568773234201</v>
      </c>
      <c r="Y355" s="71">
        <f>EarningsPerDay[[#This Row],[Miles]]/EarningsPerDay[[#This Row],[Deliveries]]</f>
        <v>8.2307692307692299</v>
      </c>
      <c r="Z355" s="81">
        <f>(EarningsPerDay[[#This Row],[Hours]]/EarningsPerDay[[#This Row],[Deliveries]])/24</f>
        <v>1.7243589743589745E-2</v>
      </c>
      <c r="AA3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4.0077301246141772</v>
      </c>
      <c r="AB355" s="11">
        <f>AVERAGEIFS(EarningsPerDay[Gross $/Hour],EarningsPerDay[Week '#], EarningsPerDay[[#This Row],[Week '#]], EarningsPerDay[DOW], EarningsPerDay[[#This Row],[DOW]])</f>
        <v>24.77561450694693</v>
      </c>
      <c r="AC355" s="11">
        <f>EarningsPerDay[[#This Row],[Gross $/Hour]] - EarningsPerDay[[#This Row],[Weekly Average Earnings]]</f>
        <v>0.29873493543225038</v>
      </c>
      <c r="AD355" s="11">
        <f>(SUMIFS(EarningsPerDay[Gross Earnings], EarningsPerDay[Date],"&gt;="&amp;EarningsPerDay[[#This Row],[Date]]-89, EarningsPerDay[Date], "&lt;="&amp;EarningsPerDay[[#This Row],[Date]]))/90</f>
        <v>53.034777777777791</v>
      </c>
    </row>
    <row r="356" spans="2:30" x14ac:dyDescent="0.35">
      <c r="B356" s="40">
        <v>45177</v>
      </c>
      <c r="C356" s="40">
        <f t="shared" si="35"/>
        <v>45177</v>
      </c>
      <c r="D356" s="4">
        <f>IF(EarningsPerDay[[#This Row],[Week '#]]&gt;=52,YEAR(EarningsPerDay[[#This Row],[Date]])-1,YEAR(EarningsPerDay[[#This Row],[Date]]))</f>
        <v>2023</v>
      </c>
      <c r="E356" s="4" t="str">
        <f>"QTR"&amp;IF(EarningsPerDay[[#This Row],[Week '#]] &lt;= 13, 1, IF(EarningsPerDay[[#This Row],[Week '#]] &lt;= 26, 2, IF(EarningsPerDay[[#This Row],[Week '#]] &lt;= 39, 3, 4)))</f>
        <v>QTR3</v>
      </c>
      <c r="F3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56" s="4">
        <f>IF(WEEKNUM(EarningsPerDay[[#This Row],[Date]], 2) = 53, 1, WEEKNUM(EarningsPerDay[[#This Row],[Date]],2))</f>
        <v>37</v>
      </c>
      <c r="H356" s="40" t="str">
        <f t="shared" si="36"/>
        <v>Friday</v>
      </c>
      <c r="I35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56" s="40" t="str" cm="1">
        <f t="array" ref="J356">IFERROR(VLOOKUP(MODE(IF(Combined[Date]=EarningsPerDay[[#This Row],[Date]],Combined[Area '#])),KPIs!$B$4:$C$7,2,FALSE),VLOOKUP(EarningsPerDay[[#This Row],[Date]],Combined[[Date]:[Primary Area]],8,FALSE))</f>
        <v>Brunswick/Bath/Freeport</v>
      </c>
      <c r="K356" s="40" t="str">
        <f>_xlfn.XLOOKUP(EarningsPerDay[[#This Row],[Date]],Mileage[Date],Mileage[Weather])</f>
        <v>Stormy</v>
      </c>
      <c r="L356" s="4">
        <f>_xlfn.XLOOKUP(EarningsPerDay[[#This Row],[Date]],Mileage[Date],Mileage[Hi Temp])</f>
        <v>79</v>
      </c>
      <c r="M356" s="12">
        <f>_xlfn.XLOOKUP(EarningsPerDay[[#This Row],[Date]],Mileage[Date],Mileage[Total Time])</f>
        <v>5.2</v>
      </c>
      <c r="N356" s="4">
        <f>_xlfn.XLOOKUP(EarningsPerDay[[#This Row],[Date]],Mileage[Date],Mileage[Mileage])</f>
        <v>84</v>
      </c>
      <c r="O356" s="4">
        <f>SUMIF(Combined[Date],EarningsPerDay[[#This Row],[Date]],Combined[Trips])</f>
        <v>11</v>
      </c>
      <c r="P356">
        <f>COUNTIF(Combined[Date],EarningsPerDay[[#This Row],[Date]])</f>
        <v>2</v>
      </c>
      <c r="Q3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6" s="11">
        <f>SUMIF(Combined[Date],EarningsPerDay[[#This Row],[Date]],Combined[Earnings])</f>
        <v>140.01999999999998</v>
      </c>
      <c r="S356" s="11">
        <f ca="1">EarningsPerDay[[#This Row],[Gross Earnings]]-(EarningsPerDay[[#This Row],[Miles]]*CpM!$D$11)</f>
        <v>121.29026021922414</v>
      </c>
      <c r="T356" s="11">
        <f t="shared" si="37"/>
        <v>26.926923076923071</v>
      </c>
      <c r="U356" s="11">
        <f t="shared" ca="1" si="38"/>
        <v>23.325050042158487</v>
      </c>
      <c r="V356" s="11">
        <f>EarningsPerDay[[#This Row],[Gross Earnings]]/EarningsPerDay[[#This Row],[Deliveries]]</f>
        <v>12.729090909090907</v>
      </c>
      <c r="W356" s="11">
        <f>EarningsPerDay[[#This Row],[Gross Earnings]]/EarningsPerDay[[#This Row],[Miles]]</f>
        <v>1.6669047619047617</v>
      </c>
      <c r="X356" s="71">
        <f>EarningsPerDay[[#This Row],[Deliveries]]/EarningsPerDay[[#This Row],[Hours]]</f>
        <v>2.1153846153846154</v>
      </c>
      <c r="Y356" s="71">
        <f>EarningsPerDay[[#This Row],[Miles]]/EarningsPerDay[[#This Row],[Deliveries]]</f>
        <v>7.6363636363636367</v>
      </c>
      <c r="Z356" s="81">
        <f>(EarningsPerDay[[#This Row],[Hours]]/EarningsPerDay[[#This Row],[Deliveries]])/24</f>
        <v>1.9696969696969695E-2</v>
      </c>
      <c r="AA3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4.4452282236336451</v>
      </c>
      <c r="AB356" s="11">
        <f>AVERAGEIFS(EarningsPerDay[Gross $/Hour],EarningsPerDay[Week '#], EarningsPerDay[[#This Row],[Week '#]], EarningsPerDay[DOW], EarningsPerDay[[#This Row],[DOW]])</f>
        <v>27.690267905647875</v>
      </c>
      <c r="AC356" s="11">
        <f>EarningsPerDay[[#This Row],[Gross $/Hour]] - EarningsPerDay[[#This Row],[Weekly Average Earnings]]</f>
        <v>-0.76334482872480436</v>
      </c>
      <c r="AD356" s="11">
        <f>(SUMIFS(EarningsPerDay[Gross Earnings], EarningsPerDay[Date],"&gt;="&amp;EarningsPerDay[[#This Row],[Date]]-89, EarningsPerDay[Date], "&lt;="&amp;EarningsPerDay[[#This Row],[Date]]))/90</f>
        <v>53.270555555555561</v>
      </c>
    </row>
    <row r="357" spans="2:30" x14ac:dyDescent="0.35">
      <c r="B357" s="40">
        <v>45179</v>
      </c>
      <c r="C357" s="40">
        <f t="shared" si="35"/>
        <v>45179</v>
      </c>
      <c r="D357" s="4">
        <f>IF(EarningsPerDay[[#This Row],[Week '#]]&gt;=52,YEAR(EarningsPerDay[[#This Row],[Date]])-1,YEAR(EarningsPerDay[[#This Row],[Date]]))</f>
        <v>2023</v>
      </c>
      <c r="E357" s="4" t="str">
        <f>"QTR"&amp;IF(EarningsPerDay[[#This Row],[Week '#]] &lt;= 13, 1, IF(EarningsPerDay[[#This Row],[Week '#]] &lt;= 26, 2, IF(EarningsPerDay[[#This Row],[Week '#]] &lt;= 39, 3, 4)))</f>
        <v>QTR3</v>
      </c>
      <c r="F3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357" s="4">
        <f>IF(WEEKNUM(EarningsPerDay[[#This Row],[Date]], 2) = 53, 1, WEEKNUM(EarningsPerDay[[#This Row],[Date]],2))</f>
        <v>37</v>
      </c>
      <c r="H357" s="40" t="str">
        <f t="shared" si="36"/>
        <v>Sunday</v>
      </c>
      <c r="I35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57" s="40" t="str" cm="1">
        <f t="array" ref="J357">IFERROR(VLOOKUP(MODE(IF(Combined[Date]=EarningsPerDay[[#This Row],[Date]],Combined[Area '#])),KPIs!$B$4:$C$7,2,FALSE),VLOOKUP(EarningsPerDay[[#This Row],[Date]],Combined[[Date]:[Primary Area]],8,FALSE))</f>
        <v>Portland</v>
      </c>
      <c r="K357" s="40" t="str">
        <f>_xlfn.XLOOKUP(EarningsPerDay[[#This Row],[Date]],Mileage[Date],Mileage[Weather])</f>
        <v>Clear &amp; Humid</v>
      </c>
      <c r="L357" s="4">
        <f>_xlfn.XLOOKUP(EarningsPerDay[[#This Row],[Date]],Mileage[Date],Mileage[Hi Temp])</f>
        <v>64</v>
      </c>
      <c r="M357" s="12">
        <f>_xlfn.XLOOKUP(EarningsPerDay[[#This Row],[Date]],Mileage[Date],Mileage[Total Time])</f>
        <v>4.6500000000000004</v>
      </c>
      <c r="N357" s="4">
        <f>_xlfn.XLOOKUP(EarningsPerDay[[#This Row],[Date]],Mileage[Date],Mileage[Mileage])</f>
        <v>111</v>
      </c>
      <c r="O357" s="4">
        <f>SUMIF(Combined[Date],EarningsPerDay[[#This Row],[Date]],Combined[Trips])</f>
        <v>8</v>
      </c>
      <c r="P357">
        <f>COUNTIF(Combined[Date],EarningsPerDay[[#This Row],[Date]])</f>
        <v>2</v>
      </c>
      <c r="Q3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7" s="11">
        <f>SUMIF(Combined[Date],EarningsPerDay[[#This Row],[Date]],Combined[Earnings])</f>
        <v>115.17999999999999</v>
      </c>
      <c r="S357" s="11">
        <f ca="1">EarningsPerDay[[#This Row],[Gross Earnings]]-(EarningsPerDay[[#This Row],[Miles]]*CpM!$D$11)</f>
        <v>90.429986718260494</v>
      </c>
      <c r="T357" s="11">
        <f t="shared" si="37"/>
        <v>24.769892473118276</v>
      </c>
      <c r="U357" s="11">
        <f t="shared" ca="1" si="38"/>
        <v>19.447308971668921</v>
      </c>
      <c r="V357" s="11">
        <f>EarningsPerDay[[#This Row],[Gross Earnings]]/EarningsPerDay[[#This Row],[Deliveries]]</f>
        <v>14.397499999999999</v>
      </c>
      <c r="W357" s="11">
        <f>EarningsPerDay[[#This Row],[Gross Earnings]]/EarningsPerDay[[#This Row],[Miles]]</f>
        <v>1.0376576576576575</v>
      </c>
      <c r="X357" s="71">
        <f>EarningsPerDay[[#This Row],[Deliveries]]/EarningsPerDay[[#This Row],[Hours]]</f>
        <v>1.7204301075268815</v>
      </c>
      <c r="Y357" s="71">
        <f>EarningsPerDay[[#This Row],[Miles]]/EarningsPerDay[[#This Row],[Deliveries]]</f>
        <v>13.875</v>
      </c>
      <c r="Z357" s="81">
        <f>(EarningsPerDay[[#This Row],[Hours]]/EarningsPerDay[[#This Row],[Deliveries]])/24</f>
        <v>2.4218750000000001E-2</v>
      </c>
      <c r="AA357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57" s="11">
        <f>AVERAGEIFS(EarningsPerDay[Gross $/Hour],EarningsPerDay[Week '#], EarningsPerDay[[#This Row],[Week '#]], EarningsPerDay[DOW], EarningsPerDay[[#This Row],[DOW]])</f>
        <v>25.652020692468419</v>
      </c>
      <c r="AC357" s="11">
        <f>EarningsPerDay[[#This Row],[Gross $/Hour]] - EarningsPerDay[[#This Row],[Weekly Average Earnings]]</f>
        <v>-0.88212821935014318</v>
      </c>
      <c r="AD357" s="11">
        <f>(SUMIFS(EarningsPerDay[Gross Earnings], EarningsPerDay[Date],"&gt;="&amp;EarningsPerDay[[#This Row],[Date]]-89, EarningsPerDay[Date], "&lt;="&amp;EarningsPerDay[[#This Row],[Date]]))/90</f>
        <v>54.550333333333342</v>
      </c>
    </row>
    <row r="358" spans="2:30" x14ac:dyDescent="0.35">
      <c r="B358" s="40">
        <v>45180</v>
      </c>
      <c r="C358" s="40">
        <f t="shared" si="35"/>
        <v>45180</v>
      </c>
      <c r="D358" s="4">
        <f>IF(EarningsPerDay[[#This Row],[Week '#]]&gt;=52,YEAR(EarningsPerDay[[#This Row],[Date]])-1,YEAR(EarningsPerDay[[#This Row],[Date]]))</f>
        <v>2023</v>
      </c>
      <c r="E358" s="4" t="str">
        <f>"QTR"&amp;IF(EarningsPerDay[[#This Row],[Week '#]] &lt;= 13, 1, IF(EarningsPerDay[[#This Row],[Week '#]] &lt;= 26, 2, IF(EarningsPerDay[[#This Row],[Week '#]] &lt;= 39, 3, 4)))</f>
        <v>QTR3</v>
      </c>
      <c r="F3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358" s="4">
        <f>IF(WEEKNUM(EarningsPerDay[[#This Row],[Date]], 2) = 53, 1, WEEKNUM(EarningsPerDay[[#This Row],[Date]],2))</f>
        <v>38</v>
      </c>
      <c r="H358" s="40" t="str">
        <f t="shared" si="36"/>
        <v>Monday</v>
      </c>
      <c r="I35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58" s="40" t="str" cm="1">
        <f t="array" ref="J358">IFERROR(VLOOKUP(MODE(IF(Combined[Date]=EarningsPerDay[[#This Row],[Date]],Combined[Area '#])),KPIs!$B$4:$C$7,2,FALSE),VLOOKUP(EarningsPerDay[[#This Row],[Date]],Combined[[Date]:[Primary Area]],8,FALSE))</f>
        <v>Brunswick/Bath/Freeport</v>
      </c>
      <c r="K358" s="40" t="str">
        <f>_xlfn.XLOOKUP(EarningsPerDay[[#This Row],[Date]],Mileage[Date],Mileage[Weather])</f>
        <v>Rain</v>
      </c>
      <c r="L358" s="4">
        <f>_xlfn.XLOOKUP(EarningsPerDay[[#This Row],[Date]],Mileage[Date],Mileage[Hi Temp])</f>
        <v>72</v>
      </c>
      <c r="M358" s="12">
        <f>_xlfn.XLOOKUP(EarningsPerDay[[#This Row],[Date]],Mileage[Date],Mileage[Total Time])</f>
        <v>4.58</v>
      </c>
      <c r="N358" s="4">
        <f>_xlfn.XLOOKUP(EarningsPerDay[[#This Row],[Date]],Mileage[Date],Mileage[Mileage])</f>
        <v>124</v>
      </c>
      <c r="O358" s="4">
        <f>SUMIF(Combined[Date],EarningsPerDay[[#This Row],[Date]],Combined[Trips])</f>
        <v>10</v>
      </c>
      <c r="P358">
        <f>COUNTIF(Combined[Date],EarningsPerDay[[#This Row],[Date]])</f>
        <v>3</v>
      </c>
      <c r="Q3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8" s="11">
        <f>SUMIF(Combined[Date],EarningsPerDay[[#This Row],[Date]],Combined[Earnings])</f>
        <v>116.56</v>
      </c>
      <c r="S358" s="11">
        <f ca="1">EarningsPerDay[[#This Row],[Gross Earnings]]-(EarningsPerDay[[#This Row],[Miles]]*CpM!$D$11)</f>
        <v>88.91133651409281</v>
      </c>
      <c r="T358" s="11">
        <f t="shared" si="37"/>
        <v>25.449781659388645</v>
      </c>
      <c r="U358" s="11">
        <f t="shared" ca="1" si="38"/>
        <v>19.412955570762623</v>
      </c>
      <c r="V358" s="11">
        <f>EarningsPerDay[[#This Row],[Gross Earnings]]/EarningsPerDay[[#This Row],[Deliveries]]</f>
        <v>11.656000000000001</v>
      </c>
      <c r="W358" s="11">
        <f>EarningsPerDay[[#This Row],[Gross Earnings]]/EarningsPerDay[[#This Row],[Miles]]</f>
        <v>0.94000000000000006</v>
      </c>
      <c r="X358" s="71">
        <f>EarningsPerDay[[#This Row],[Deliveries]]/EarningsPerDay[[#This Row],[Hours]]</f>
        <v>2.1834061135371177</v>
      </c>
      <c r="Y358" s="71">
        <f>EarningsPerDay[[#This Row],[Miles]]/EarningsPerDay[[#This Row],[Deliveries]]</f>
        <v>12.4</v>
      </c>
      <c r="Z358" s="81">
        <f>(EarningsPerDay[[#This Row],[Hours]]/EarningsPerDay[[#This Row],[Deliveries]])/24</f>
        <v>1.9083333333333334E-2</v>
      </c>
      <c r="AA3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12.222576774721075</v>
      </c>
      <c r="AB358" s="11">
        <f>AVERAGEIFS(EarningsPerDay[Gross $/Hour],EarningsPerDay[Week '#], EarningsPerDay[[#This Row],[Week '#]], EarningsPerDay[DOW], EarningsPerDay[[#This Row],[DOW]])</f>
        <v>21.99424772969833</v>
      </c>
      <c r="AC358" s="11">
        <f>EarningsPerDay[[#This Row],[Gross $/Hour]] - EarningsPerDay[[#This Row],[Weekly Average Earnings]]</f>
        <v>3.4555339296903149</v>
      </c>
      <c r="AD358" s="11">
        <f>(SUMIFS(EarningsPerDay[Gross Earnings], EarningsPerDay[Date],"&gt;="&amp;EarningsPerDay[[#This Row],[Date]]-89, EarningsPerDay[Date], "&lt;="&amp;EarningsPerDay[[#This Row],[Date]]))/90</f>
        <v>55.845444444444453</v>
      </c>
    </row>
    <row r="359" spans="2:30" x14ac:dyDescent="0.35">
      <c r="B359" s="40">
        <v>45182</v>
      </c>
      <c r="C359" s="40">
        <f t="shared" si="35"/>
        <v>45182</v>
      </c>
      <c r="D359" s="4">
        <f>IF(EarningsPerDay[[#This Row],[Week '#]]&gt;=52,YEAR(EarningsPerDay[[#This Row],[Date]])-1,YEAR(EarningsPerDay[[#This Row],[Date]]))</f>
        <v>2023</v>
      </c>
      <c r="E359" s="4" t="str">
        <f>"QTR"&amp;IF(EarningsPerDay[[#This Row],[Week '#]] &lt;= 13, 1, IF(EarningsPerDay[[#This Row],[Week '#]] &lt;= 26, 2, IF(EarningsPerDay[[#This Row],[Week '#]] &lt;= 39, 3, 4)))</f>
        <v>QTR3</v>
      </c>
      <c r="F3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359" s="4">
        <f>IF(WEEKNUM(EarningsPerDay[[#This Row],[Date]], 2) = 53, 1, WEEKNUM(EarningsPerDay[[#This Row],[Date]],2))</f>
        <v>38</v>
      </c>
      <c r="H359" s="40" t="str">
        <f t="shared" si="36"/>
        <v>Wednesday</v>
      </c>
      <c r="I35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59" s="40" t="str" cm="1">
        <f t="array" ref="J359">IFERROR(VLOOKUP(MODE(IF(Combined[Date]=EarningsPerDay[[#This Row],[Date]],Combined[Area '#])),KPIs!$B$4:$C$7,2,FALSE),VLOOKUP(EarningsPerDay[[#This Row],[Date]],Combined[[Date]:[Primary Area]],8,FALSE))</f>
        <v>Brunswick/Bath/Freeport</v>
      </c>
      <c r="K359" s="40" t="str">
        <f>_xlfn.XLOOKUP(EarningsPerDay[[#This Row],[Date]],Mileage[Date],Mileage[Weather])</f>
        <v>Overcast</v>
      </c>
      <c r="L359" s="4">
        <f>_xlfn.XLOOKUP(EarningsPerDay[[#This Row],[Date]],Mileage[Date],Mileage[Hi Temp])</f>
        <v>70</v>
      </c>
      <c r="M359" s="12">
        <f>_xlfn.XLOOKUP(EarningsPerDay[[#This Row],[Date]],Mileage[Date],Mileage[Total Time])</f>
        <v>3.55</v>
      </c>
      <c r="N359" s="4">
        <f>_xlfn.XLOOKUP(EarningsPerDay[[#This Row],[Date]],Mileage[Date],Mileage[Mileage])</f>
        <v>79</v>
      </c>
      <c r="O359" s="4">
        <f>SUMIF(Combined[Date],EarningsPerDay[[#This Row],[Date]],Combined[Trips])</f>
        <v>8</v>
      </c>
      <c r="P359">
        <f>COUNTIF(Combined[Date],EarningsPerDay[[#This Row],[Date]])</f>
        <v>1</v>
      </c>
      <c r="Q3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59" s="11">
        <f>SUMIF(Combined[Date],EarningsPerDay[[#This Row],[Date]],Combined[Earnings])</f>
        <v>90</v>
      </c>
      <c r="S359" s="11">
        <f ca="1">EarningsPerDay[[#This Row],[Gross Earnings]]-(EarningsPerDay[[#This Row],[Miles]]*CpM!$D$11)</f>
        <v>72.385125682365583</v>
      </c>
      <c r="T359" s="11">
        <f t="shared" si="37"/>
        <v>25.35211267605634</v>
      </c>
      <c r="U359" s="11">
        <f t="shared" ca="1" si="38"/>
        <v>20.390176248553686</v>
      </c>
      <c r="V359" s="11">
        <f>EarningsPerDay[[#This Row],[Gross Earnings]]/EarningsPerDay[[#This Row],[Deliveries]]</f>
        <v>11.25</v>
      </c>
      <c r="W359" s="11">
        <f>EarningsPerDay[[#This Row],[Gross Earnings]]/EarningsPerDay[[#This Row],[Miles]]</f>
        <v>1.139240506329114</v>
      </c>
      <c r="X359" s="71">
        <f>EarningsPerDay[[#This Row],[Deliveries]]/EarningsPerDay[[#This Row],[Hours]]</f>
        <v>2.2535211267605635</v>
      </c>
      <c r="Y359" s="71">
        <f>EarningsPerDay[[#This Row],[Miles]]/EarningsPerDay[[#This Row],[Deliveries]]</f>
        <v>9.875</v>
      </c>
      <c r="Z359" s="81">
        <f>(EarningsPerDay[[#This Row],[Hours]]/EarningsPerDay[[#This Row],[Deliveries]])/24</f>
        <v>1.8489583333333334E-2</v>
      </c>
      <c r="AA3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1.5093300977199533</v>
      </c>
      <c r="AB359" s="11">
        <f>AVERAGEIFS(EarningsPerDay[Gross $/Hour],EarningsPerDay[Week '#], EarningsPerDay[[#This Row],[Week '#]], EarningsPerDay[DOW], EarningsPerDay[[#This Row],[DOW]])</f>
        <v>24.018463214819</v>
      </c>
      <c r="AC359" s="11">
        <f>EarningsPerDay[[#This Row],[Gross $/Hour]] - EarningsPerDay[[#This Row],[Weekly Average Earnings]]</f>
        <v>1.3336494612373393</v>
      </c>
      <c r="AD359" s="11">
        <f>(SUMIFS(EarningsPerDay[Gross Earnings], EarningsPerDay[Date],"&gt;="&amp;EarningsPerDay[[#This Row],[Date]]-89, EarningsPerDay[Date], "&lt;="&amp;EarningsPerDay[[#This Row],[Date]]))/90</f>
        <v>56.845444444444453</v>
      </c>
    </row>
    <row r="360" spans="2:30" x14ac:dyDescent="0.35">
      <c r="B360" s="40">
        <v>45183</v>
      </c>
      <c r="C360" s="40">
        <f t="shared" si="35"/>
        <v>45183</v>
      </c>
      <c r="D360" s="4">
        <f>IF(EarningsPerDay[[#This Row],[Week '#]]&gt;=52,YEAR(EarningsPerDay[[#This Row],[Date]])-1,YEAR(EarningsPerDay[[#This Row],[Date]]))</f>
        <v>2023</v>
      </c>
      <c r="E360" s="4" t="str">
        <f>"QTR"&amp;IF(EarningsPerDay[[#This Row],[Week '#]] &lt;= 13, 1, IF(EarningsPerDay[[#This Row],[Week '#]] &lt;= 26, 2, IF(EarningsPerDay[[#This Row],[Week '#]] &lt;= 39, 3, 4)))</f>
        <v>QTR3</v>
      </c>
      <c r="F3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360" s="4">
        <f>IF(WEEKNUM(EarningsPerDay[[#This Row],[Date]], 2) = 53, 1, WEEKNUM(EarningsPerDay[[#This Row],[Date]],2))</f>
        <v>38</v>
      </c>
      <c r="H360" s="40" t="str">
        <f t="shared" si="36"/>
        <v>Thursday</v>
      </c>
      <c r="I36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60" s="40" t="str" cm="1">
        <f t="array" ref="J360">IFERROR(VLOOKUP(MODE(IF(Combined[Date]=EarningsPerDay[[#This Row],[Date]],Combined[Area '#])),KPIs!$B$4:$C$7,2,FALSE),VLOOKUP(EarningsPerDay[[#This Row],[Date]],Combined[[Date]:[Primary Area]],8,FALSE))</f>
        <v>Brunswick/Bath/Freeport</v>
      </c>
      <c r="K360" s="40" t="str">
        <f>_xlfn.XLOOKUP(EarningsPerDay[[#This Row],[Date]],Mileage[Date],Mileage[Weather])</f>
        <v>Clear</v>
      </c>
      <c r="L360" s="4">
        <f>_xlfn.XLOOKUP(EarningsPerDay[[#This Row],[Date]],Mileage[Date],Mileage[Hi Temp])</f>
        <v>66</v>
      </c>
      <c r="M360" s="12">
        <f>_xlfn.XLOOKUP(EarningsPerDay[[#This Row],[Date]],Mileage[Date],Mileage[Total Time])</f>
        <v>0.9</v>
      </c>
      <c r="N360" s="4">
        <f>_xlfn.XLOOKUP(EarningsPerDay[[#This Row],[Date]],Mileage[Date],Mileage[Mileage])</f>
        <v>22</v>
      </c>
      <c r="O360" s="4">
        <f>SUMIF(Combined[Date],EarningsPerDay[[#This Row],[Date]],Combined[Trips])</f>
        <v>1</v>
      </c>
      <c r="P360">
        <f>COUNTIF(Combined[Date],EarningsPerDay[[#This Row],[Date]])</f>
        <v>1</v>
      </c>
      <c r="Q3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0" s="11">
        <f>SUMIF(Combined[Date],EarningsPerDay[[#This Row],[Date]],Combined[Earnings])</f>
        <v>21.98</v>
      </c>
      <c r="S360" s="11">
        <f ca="1">EarningsPerDay[[#This Row],[Gross Earnings]]-(EarningsPerDay[[#This Row],[Miles]]*CpM!$D$11)</f>
        <v>17.074591962177756</v>
      </c>
      <c r="T360" s="11">
        <f t="shared" si="37"/>
        <v>24.422222222222221</v>
      </c>
      <c r="U360" s="11">
        <f t="shared" ca="1" si="38"/>
        <v>18.971768846864173</v>
      </c>
      <c r="V360" s="11">
        <f>EarningsPerDay[[#This Row],[Gross Earnings]]/EarningsPerDay[[#This Row],[Deliveries]]</f>
        <v>21.98</v>
      </c>
      <c r="W360" s="11">
        <f>EarningsPerDay[[#This Row],[Gross Earnings]]/EarningsPerDay[[#This Row],[Miles]]</f>
        <v>0.99909090909090914</v>
      </c>
      <c r="X360" s="71">
        <f>EarningsPerDay[[#This Row],[Deliveries]]/EarningsPerDay[[#This Row],[Hours]]</f>
        <v>1.1111111111111112</v>
      </c>
      <c r="Y360" s="71">
        <f>EarningsPerDay[[#This Row],[Miles]]/EarningsPerDay[[#This Row],[Deliveries]]</f>
        <v>22</v>
      </c>
      <c r="Z360" s="81">
        <f>(EarningsPerDay[[#This Row],[Hours]]/EarningsPerDay[[#This Row],[Deliveries]])/24</f>
        <v>3.7499999999999999E-2</v>
      </c>
      <c r="AA3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7.9833532457188348</v>
      </c>
      <c r="AB360" s="11">
        <f>AVERAGEIFS(EarningsPerDay[Gross $/Hour],EarningsPerDay[Week '#], EarningsPerDay[[#This Row],[Week '#]], EarningsPerDay[DOW], EarningsPerDay[[#This Row],[DOW]])</f>
        <v>19.309961720695359</v>
      </c>
      <c r="AC360" s="11">
        <f>EarningsPerDay[[#This Row],[Gross $/Hour]] - EarningsPerDay[[#This Row],[Weekly Average Earnings]]</f>
        <v>5.1122605015268618</v>
      </c>
      <c r="AD360" s="11">
        <f>(SUMIFS(EarningsPerDay[Gross Earnings], EarningsPerDay[Date],"&gt;="&amp;EarningsPerDay[[#This Row],[Date]]-89, EarningsPerDay[Date], "&lt;="&amp;EarningsPerDay[[#This Row],[Date]]))/90</f>
        <v>57.089666666666673</v>
      </c>
    </row>
    <row r="361" spans="2:30" x14ac:dyDescent="0.35">
      <c r="B361" s="40">
        <v>45185</v>
      </c>
      <c r="C361" s="40">
        <f t="shared" si="35"/>
        <v>45185</v>
      </c>
      <c r="D361" s="4">
        <f>IF(EarningsPerDay[[#This Row],[Week '#]]&gt;=52,YEAR(EarningsPerDay[[#This Row],[Date]])-1,YEAR(EarningsPerDay[[#This Row],[Date]]))</f>
        <v>2023</v>
      </c>
      <c r="E361" s="4" t="str">
        <f>"QTR"&amp;IF(EarningsPerDay[[#This Row],[Week '#]] &lt;= 13, 1, IF(EarningsPerDay[[#This Row],[Week '#]] &lt;= 26, 2, IF(EarningsPerDay[[#This Row],[Week '#]] &lt;= 39, 3, 4)))</f>
        <v>QTR3</v>
      </c>
      <c r="F3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361" s="4">
        <f>IF(WEEKNUM(EarningsPerDay[[#This Row],[Date]], 2) = 53, 1, WEEKNUM(EarningsPerDay[[#This Row],[Date]],2))</f>
        <v>38</v>
      </c>
      <c r="H361" s="40" t="str">
        <f t="shared" si="36"/>
        <v>Saturday</v>
      </c>
      <c r="I361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361" s="40" t="str" cm="1">
        <f t="array" ref="J361">IFERROR(VLOOKUP(MODE(IF(Combined[Date]=EarningsPerDay[[#This Row],[Date]],Combined[Area '#])),KPIs!$B$4:$C$7,2,FALSE),VLOOKUP(EarningsPerDay[[#This Row],[Date]],Combined[[Date]:[Primary Area]],8,FALSE))</f>
        <v>Brunswick/Bath/Freeport</v>
      </c>
      <c r="K361" s="40" t="str">
        <f>_xlfn.XLOOKUP(EarningsPerDay[[#This Row],[Date]],Mileage[Date],Mileage[Weather])</f>
        <v>Rain</v>
      </c>
      <c r="L361" s="4">
        <f>_xlfn.XLOOKUP(EarningsPerDay[[#This Row],[Date]],Mileage[Date],Mileage[Hi Temp])</f>
        <v>66</v>
      </c>
      <c r="M361" s="12">
        <f>_xlfn.XLOOKUP(EarningsPerDay[[#This Row],[Date]],Mileage[Date],Mileage[Total Time])</f>
        <v>5.17</v>
      </c>
      <c r="N361" s="4">
        <f>_xlfn.XLOOKUP(EarningsPerDay[[#This Row],[Date]],Mileage[Date],Mileage[Mileage])</f>
        <v>109</v>
      </c>
      <c r="O361" s="4">
        <f>SUMIF(Combined[Date],EarningsPerDay[[#This Row],[Date]],Combined[Trips])</f>
        <v>10</v>
      </c>
      <c r="P361">
        <f>COUNTIF(Combined[Date],EarningsPerDay[[#This Row],[Date]])</f>
        <v>4</v>
      </c>
      <c r="Q36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61" s="11">
        <f>SUMIF(Combined[Date],EarningsPerDay[[#This Row],[Date]],Combined[Earnings])</f>
        <v>104.97000000000001</v>
      </c>
      <c r="S361" s="11">
        <f ca="1">EarningsPerDay[[#This Row],[Gross Earnings]]-(EarningsPerDay[[#This Row],[Miles]]*CpM!$D$11)</f>
        <v>80.665932903517074</v>
      </c>
      <c r="T361" s="11">
        <f t="shared" si="37"/>
        <v>20.303675048355903</v>
      </c>
      <c r="U361" s="11">
        <f t="shared" ca="1" si="38"/>
        <v>15.602694952324386</v>
      </c>
      <c r="V361" s="11">
        <f>EarningsPerDay[[#This Row],[Gross Earnings]]/EarningsPerDay[[#This Row],[Deliveries]]</f>
        <v>10.497000000000002</v>
      </c>
      <c r="W361" s="11">
        <f>EarningsPerDay[[#This Row],[Gross Earnings]]/EarningsPerDay[[#This Row],[Miles]]</f>
        <v>0.96302752293577998</v>
      </c>
      <c r="X361" s="71">
        <f>EarningsPerDay[[#This Row],[Deliveries]]/EarningsPerDay[[#This Row],[Hours]]</f>
        <v>1.9342359767891684</v>
      </c>
      <c r="Y361" s="71">
        <f>EarningsPerDay[[#This Row],[Miles]]/EarningsPerDay[[#This Row],[Deliveries]]</f>
        <v>10.9</v>
      </c>
      <c r="Z361" s="81">
        <f>(EarningsPerDay[[#This Row],[Hours]]/EarningsPerDay[[#This Row],[Deliveries]])/24</f>
        <v>2.1541666666666667E-2</v>
      </c>
      <c r="AA3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1.250376634335197</v>
      </c>
      <c r="AB361" s="11">
        <f>AVERAGEIFS(EarningsPerDay[Gross $/Hour],EarningsPerDay[Week '#], EarningsPerDay[[#This Row],[Week '#]], EarningsPerDay[DOW], EarningsPerDay[[#This Row],[DOW]])</f>
        <v>20.303675048355903</v>
      </c>
      <c r="AC361" s="11">
        <f>EarningsPerDay[[#This Row],[Gross $/Hour]] - EarningsPerDay[[#This Row],[Weekly Average Earnings]]</f>
        <v>0</v>
      </c>
      <c r="AD361" s="11">
        <f>(SUMIFS(EarningsPerDay[Gross Earnings], EarningsPerDay[Date],"&gt;="&amp;EarningsPerDay[[#This Row],[Date]]-89, EarningsPerDay[Date], "&lt;="&amp;EarningsPerDay[[#This Row],[Date]]))/90</f>
        <v>58.256000000000007</v>
      </c>
    </row>
    <row r="362" spans="2:30" x14ac:dyDescent="0.35">
      <c r="B362" s="40">
        <v>45188</v>
      </c>
      <c r="C362" s="40">
        <f t="shared" si="35"/>
        <v>45188</v>
      </c>
      <c r="D362" s="4">
        <f>IF(EarningsPerDay[[#This Row],[Week '#]]&gt;=52,YEAR(EarningsPerDay[[#This Row],[Date]])-1,YEAR(EarningsPerDay[[#This Row],[Date]]))</f>
        <v>2023</v>
      </c>
      <c r="E362" s="4" t="str">
        <f>"QTR"&amp;IF(EarningsPerDay[[#This Row],[Week '#]] &lt;= 13, 1, IF(EarningsPerDay[[#This Row],[Week '#]] &lt;= 26, 2, IF(EarningsPerDay[[#This Row],[Week '#]] &lt;= 39, 3, 4)))</f>
        <v>QTR3</v>
      </c>
      <c r="F3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62" s="4">
        <f>IF(WEEKNUM(EarningsPerDay[[#This Row],[Date]], 2) = 53, 1, WEEKNUM(EarningsPerDay[[#This Row],[Date]],2))</f>
        <v>39</v>
      </c>
      <c r="H362" s="40" t="str">
        <f t="shared" si="36"/>
        <v>Tuesday</v>
      </c>
      <c r="I36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62" s="40" t="str" cm="1">
        <f t="array" ref="J362">IFERROR(VLOOKUP(MODE(IF(Combined[Date]=EarningsPerDay[[#This Row],[Date]],Combined[Area '#])),KPIs!$B$4:$C$7,2,FALSE),VLOOKUP(EarningsPerDay[[#This Row],[Date]],Combined[[Date]:[Primary Area]],8,FALSE))</f>
        <v>Augusta</v>
      </c>
      <c r="K362" s="40" t="str">
        <f>_xlfn.XLOOKUP(EarningsPerDay[[#This Row],[Date]],Mileage[Date],Mileage[Weather])</f>
        <v>Clear</v>
      </c>
      <c r="L362" s="4">
        <f>_xlfn.XLOOKUP(EarningsPerDay[[#This Row],[Date]],Mileage[Date],Mileage[Hi Temp])</f>
        <v>63</v>
      </c>
      <c r="M362" s="12">
        <f>_xlfn.XLOOKUP(EarningsPerDay[[#This Row],[Date]],Mileage[Date],Mileage[Total Time])</f>
        <v>3.72</v>
      </c>
      <c r="N362" s="4">
        <f>_xlfn.XLOOKUP(EarningsPerDay[[#This Row],[Date]],Mileage[Date],Mileage[Mileage])</f>
        <v>87</v>
      </c>
      <c r="O362" s="4">
        <f>SUMIF(Combined[Date],EarningsPerDay[[#This Row],[Date]],Combined[Trips])</f>
        <v>6</v>
      </c>
      <c r="P362">
        <f>COUNTIF(Combined[Date],EarningsPerDay[[#This Row],[Date]])</f>
        <v>2</v>
      </c>
      <c r="Q3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2" s="11">
        <f>SUMIF(Combined[Date],EarningsPerDay[[#This Row],[Date]],Combined[Earnings])</f>
        <v>54.95</v>
      </c>
      <c r="S362" s="11">
        <f ca="1">EarningsPerDay[[#This Row],[Gross Earnings]]-(EarningsPerDay[[#This Row],[Miles]]*CpM!$D$11)</f>
        <v>35.551340941339305</v>
      </c>
      <c r="T362" s="11">
        <f t="shared" si="37"/>
        <v>14.771505376344086</v>
      </c>
      <c r="U362" s="11">
        <f t="shared" ca="1" si="38"/>
        <v>9.5568120810051891</v>
      </c>
      <c r="V362" s="11">
        <f>EarningsPerDay[[#This Row],[Gross Earnings]]/EarningsPerDay[[#This Row],[Deliveries]]</f>
        <v>9.1583333333333332</v>
      </c>
      <c r="W362" s="11">
        <f>EarningsPerDay[[#This Row],[Gross Earnings]]/EarningsPerDay[[#This Row],[Miles]]</f>
        <v>0.63160919540229887</v>
      </c>
      <c r="X362" s="71">
        <f>EarningsPerDay[[#This Row],[Deliveries]]/EarningsPerDay[[#This Row],[Hours]]</f>
        <v>1.6129032258064515</v>
      </c>
      <c r="Y362" s="71">
        <f>EarningsPerDay[[#This Row],[Miles]]/EarningsPerDay[[#This Row],[Deliveries]]</f>
        <v>14.5</v>
      </c>
      <c r="Z362" s="81">
        <f>(EarningsPerDay[[#This Row],[Hours]]/EarningsPerDay[[#This Row],[Deliveries]])/24</f>
        <v>2.5833333333333333E-2</v>
      </c>
      <c r="AA36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62" s="11">
        <f>AVERAGEIFS(EarningsPerDay[Gross $/Hour],EarningsPerDay[Week '#], EarningsPerDay[[#This Row],[Week '#]], EarningsPerDay[DOW], EarningsPerDay[[#This Row],[DOW]])</f>
        <v>23.655376691383267</v>
      </c>
      <c r="AC362" s="11">
        <f>EarningsPerDay[[#This Row],[Gross $/Hour]] - EarningsPerDay[[#This Row],[Weekly Average Earnings]]</f>
        <v>-8.8838713150391815</v>
      </c>
      <c r="AD362" s="11">
        <f>(SUMIFS(EarningsPerDay[Gross Earnings], EarningsPerDay[Date],"&gt;="&amp;EarningsPerDay[[#This Row],[Date]]-89, EarningsPerDay[Date], "&lt;="&amp;EarningsPerDay[[#This Row],[Date]]))/90</f>
        <v>57.016555555555584</v>
      </c>
    </row>
    <row r="363" spans="2:30" x14ac:dyDescent="0.35">
      <c r="B363" s="40">
        <v>45190</v>
      </c>
      <c r="C363" s="40">
        <f t="shared" si="35"/>
        <v>45190</v>
      </c>
      <c r="D363" s="4">
        <f>IF(EarningsPerDay[[#This Row],[Week '#]]&gt;=52,YEAR(EarningsPerDay[[#This Row],[Date]])-1,YEAR(EarningsPerDay[[#This Row],[Date]]))</f>
        <v>2023</v>
      </c>
      <c r="E363" s="4" t="str">
        <f>"QTR"&amp;IF(EarningsPerDay[[#This Row],[Week '#]] &lt;= 13, 1, IF(EarningsPerDay[[#This Row],[Week '#]] &lt;= 26, 2, IF(EarningsPerDay[[#This Row],[Week '#]] &lt;= 39, 3, 4)))</f>
        <v>QTR3</v>
      </c>
      <c r="F3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63" s="4">
        <f>IF(WEEKNUM(EarningsPerDay[[#This Row],[Date]], 2) = 53, 1, WEEKNUM(EarningsPerDay[[#This Row],[Date]],2))</f>
        <v>39</v>
      </c>
      <c r="H363" s="40" t="str">
        <f t="shared" si="36"/>
        <v>Thursday</v>
      </c>
      <c r="I36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63" s="40" t="str" cm="1">
        <f t="array" ref="J363">IFERROR(VLOOKUP(MODE(IF(Combined[Date]=EarningsPerDay[[#This Row],[Date]],Combined[Area '#])),KPIs!$B$4:$C$7,2,FALSE),VLOOKUP(EarningsPerDay[[#This Row],[Date]],Combined[[Date]:[Primary Area]],8,FALSE))</f>
        <v>Portland</v>
      </c>
      <c r="K363" s="40" t="str">
        <f>_xlfn.XLOOKUP(EarningsPerDay[[#This Row],[Date]],Mileage[Date],Mileage[Weather])</f>
        <v>Partially Cloudy</v>
      </c>
      <c r="L363" s="4">
        <f>_xlfn.XLOOKUP(EarningsPerDay[[#This Row],[Date]],Mileage[Date],Mileage[Hi Temp])</f>
        <v>63</v>
      </c>
      <c r="M363" s="12">
        <f>_xlfn.XLOOKUP(EarningsPerDay[[#This Row],[Date]],Mileage[Date],Mileage[Total Time])</f>
        <v>2.5499999999999998</v>
      </c>
      <c r="N363" s="4">
        <f>_xlfn.XLOOKUP(EarningsPerDay[[#This Row],[Date]],Mileage[Date],Mileage[Mileage])</f>
        <v>71</v>
      </c>
      <c r="O363" s="4">
        <f>SUMIF(Combined[Date],EarningsPerDay[[#This Row],[Date]],Combined[Trips])</f>
        <v>5</v>
      </c>
      <c r="P363">
        <f>COUNTIF(Combined[Date],EarningsPerDay[[#This Row],[Date]])</f>
        <v>1</v>
      </c>
      <c r="Q3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3" s="11">
        <f>SUMIF(Combined[Date],EarningsPerDay[[#This Row],[Date]],Combined[Earnings])</f>
        <v>46.19</v>
      </c>
      <c r="S363" s="11">
        <f ca="1">EarningsPerDay[[#This Row],[Gross Earnings]]-(EarningsPerDay[[#This Row],[Miles]]*CpM!$D$11)</f>
        <v>30.358910423391848</v>
      </c>
      <c r="T363" s="11">
        <f t="shared" si="37"/>
        <v>18.113725490196078</v>
      </c>
      <c r="U363" s="11">
        <f t="shared" ca="1" si="38"/>
        <v>11.905455067996805</v>
      </c>
      <c r="V363" s="11">
        <f>EarningsPerDay[[#This Row],[Gross Earnings]]/EarningsPerDay[[#This Row],[Deliveries]]</f>
        <v>9.2379999999999995</v>
      </c>
      <c r="W363" s="11">
        <f>EarningsPerDay[[#This Row],[Gross Earnings]]/EarningsPerDay[[#This Row],[Miles]]</f>
        <v>0.65056338028169014</v>
      </c>
      <c r="X363" s="71">
        <f>EarningsPerDay[[#This Row],[Deliveries]]/EarningsPerDay[[#This Row],[Hours]]</f>
        <v>1.9607843137254903</v>
      </c>
      <c r="Y363" s="71">
        <f>EarningsPerDay[[#This Row],[Miles]]/EarningsPerDay[[#This Row],[Deliveries]]</f>
        <v>14.2</v>
      </c>
      <c r="Z363" s="81">
        <f>(EarningsPerDay[[#This Row],[Hours]]/EarningsPerDay[[#This Row],[Deliveries]])/24</f>
        <v>2.1250000000000002E-2</v>
      </c>
      <c r="AA3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-3.4538600931456962</v>
      </c>
      <c r="AB363" s="11">
        <f>AVERAGEIFS(EarningsPerDay[Gross $/Hour],EarningsPerDay[Week '#], EarningsPerDay[[#This Row],[Week '#]], EarningsPerDay[DOW], EarningsPerDay[[#This Row],[DOW]])</f>
        <v>18.113725490196078</v>
      </c>
      <c r="AC363" s="11">
        <f>EarningsPerDay[[#This Row],[Gross $/Hour]] - EarningsPerDay[[#This Row],[Weekly Average Earnings]]</f>
        <v>0</v>
      </c>
      <c r="AD363" s="11">
        <f>(SUMIFS(EarningsPerDay[Gross Earnings], EarningsPerDay[Date],"&gt;="&amp;EarningsPerDay[[#This Row],[Date]]-89, EarningsPerDay[Date], "&lt;="&amp;EarningsPerDay[[#This Row],[Date]]))/90</f>
        <v>56.313555555555567</v>
      </c>
    </row>
    <row r="364" spans="2:30" x14ac:dyDescent="0.35">
      <c r="B364" s="40">
        <v>45191</v>
      </c>
      <c r="C364" s="40">
        <f t="shared" si="35"/>
        <v>45191</v>
      </c>
      <c r="D364" s="4">
        <f>IF(EarningsPerDay[[#This Row],[Week '#]]&gt;=52,YEAR(EarningsPerDay[[#This Row],[Date]])-1,YEAR(EarningsPerDay[[#This Row],[Date]]))</f>
        <v>2023</v>
      </c>
      <c r="E364" s="4" t="str">
        <f>"QTR"&amp;IF(EarningsPerDay[[#This Row],[Week '#]] &lt;= 13, 1, IF(EarningsPerDay[[#This Row],[Week '#]] &lt;= 26, 2, IF(EarningsPerDay[[#This Row],[Week '#]] &lt;= 39, 3, 4)))</f>
        <v>QTR3</v>
      </c>
      <c r="F3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64" s="4">
        <f>IF(WEEKNUM(EarningsPerDay[[#This Row],[Date]], 2) = 53, 1, WEEKNUM(EarningsPerDay[[#This Row],[Date]],2))</f>
        <v>39</v>
      </c>
      <c r="H364" s="40" t="str">
        <f t="shared" si="36"/>
        <v>Friday</v>
      </c>
      <c r="I36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64" s="40" t="str" cm="1">
        <f t="array" ref="J364">IFERROR(VLOOKUP(MODE(IF(Combined[Date]=EarningsPerDay[[#This Row],[Date]],Combined[Area '#])),KPIs!$B$4:$C$7,2,FALSE),VLOOKUP(EarningsPerDay[[#This Row],[Date]],Combined[[Date]:[Primary Area]],8,FALSE))</f>
        <v>Brunswick/Bath/Freeport</v>
      </c>
      <c r="K364" s="40" t="str">
        <f>_xlfn.XLOOKUP(EarningsPerDay[[#This Row],[Date]],Mileage[Date],Mileage[Weather])</f>
        <v>Clear</v>
      </c>
      <c r="L364" s="4">
        <f>_xlfn.XLOOKUP(EarningsPerDay[[#This Row],[Date]],Mileage[Date],Mileage[Hi Temp])</f>
        <v>59</v>
      </c>
      <c r="M364" s="12">
        <f>_xlfn.XLOOKUP(EarningsPerDay[[#This Row],[Date]],Mileage[Date],Mileage[Total Time])</f>
        <v>0.63</v>
      </c>
      <c r="N364" s="4">
        <f>_xlfn.XLOOKUP(EarningsPerDay[[#This Row],[Date]],Mileage[Date],Mileage[Mileage])</f>
        <v>14</v>
      </c>
      <c r="O364" s="4">
        <f>SUMIF(Combined[Date],EarningsPerDay[[#This Row],[Date]],Combined[Trips])</f>
        <v>1</v>
      </c>
      <c r="P364">
        <f>COUNTIF(Combined[Date],EarningsPerDay[[#This Row],[Date]])</f>
        <v>1</v>
      </c>
      <c r="Q3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4" s="11">
        <f>SUMIF(Combined[Date],EarningsPerDay[[#This Row],[Date]],Combined[Earnings])</f>
        <v>11.5</v>
      </c>
      <c r="S364" s="11">
        <f ca="1">EarningsPerDay[[#This Row],[Gross Earnings]]-(EarningsPerDay[[#This Row],[Miles]]*CpM!$D$11)</f>
        <v>8.3783767032040259</v>
      </c>
      <c r="T364" s="11">
        <f t="shared" si="37"/>
        <v>18.253968253968253</v>
      </c>
      <c r="U364" s="11">
        <f t="shared" ca="1" si="38"/>
        <v>13.29901064000639</v>
      </c>
      <c r="V364" s="11">
        <f>EarningsPerDay[[#This Row],[Gross Earnings]]/EarningsPerDay[[#This Row],[Deliveries]]</f>
        <v>11.5</v>
      </c>
      <c r="W364" s="11">
        <f>EarningsPerDay[[#This Row],[Gross Earnings]]/EarningsPerDay[[#This Row],[Miles]]</f>
        <v>0.8214285714285714</v>
      </c>
      <c r="X364" s="71">
        <f>EarningsPerDay[[#This Row],[Deliveries]]/EarningsPerDay[[#This Row],[Hours]]</f>
        <v>1.5873015873015872</v>
      </c>
      <c r="Y364" s="71">
        <f>EarningsPerDay[[#This Row],[Miles]]/EarningsPerDay[[#This Row],[Deliveries]]</f>
        <v>14</v>
      </c>
      <c r="Z364" s="81">
        <f>(EarningsPerDay[[#This Row],[Hours]]/EarningsPerDay[[#This Row],[Deliveries]])/24</f>
        <v>2.6249999999999999E-2</v>
      </c>
      <c r="AA3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-4.7216408463915762</v>
      </c>
      <c r="AB364" s="11">
        <f>AVERAGEIFS(EarningsPerDay[Gross $/Hour],EarningsPerDay[Week '#], EarningsPerDay[[#This Row],[Week '#]], EarningsPerDay[DOW], EarningsPerDay[[#This Row],[DOW]])</f>
        <v>26.595370713059737</v>
      </c>
      <c r="AC364" s="11">
        <f>EarningsPerDay[[#This Row],[Gross $/Hour]] - EarningsPerDay[[#This Row],[Weekly Average Earnings]]</f>
        <v>-8.3414024590914835</v>
      </c>
      <c r="AD364" s="11">
        <f>(SUMIFS(EarningsPerDay[Gross Earnings], EarningsPerDay[Date],"&gt;="&amp;EarningsPerDay[[#This Row],[Date]]-89, EarningsPerDay[Date], "&lt;="&amp;EarningsPerDay[[#This Row],[Date]]))/90</f>
        <v>56.441333333333347</v>
      </c>
    </row>
    <row r="365" spans="2:30" x14ac:dyDescent="0.35">
      <c r="B365" s="40">
        <v>45192</v>
      </c>
      <c r="C365" s="40">
        <f t="shared" si="35"/>
        <v>45192</v>
      </c>
      <c r="D365" s="4">
        <f>IF(EarningsPerDay[[#This Row],[Week '#]]&gt;=52,YEAR(EarningsPerDay[[#This Row],[Date]])-1,YEAR(EarningsPerDay[[#This Row],[Date]]))</f>
        <v>2023</v>
      </c>
      <c r="E365" s="4" t="str">
        <f>"QTR"&amp;IF(EarningsPerDay[[#This Row],[Week '#]] &lt;= 13, 1, IF(EarningsPerDay[[#This Row],[Week '#]] &lt;= 26, 2, IF(EarningsPerDay[[#This Row],[Week '#]] &lt;= 39, 3, 4)))</f>
        <v>QTR3</v>
      </c>
      <c r="F3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365" s="4">
        <f>IF(WEEKNUM(EarningsPerDay[[#This Row],[Date]], 2) = 53, 1, WEEKNUM(EarningsPerDay[[#This Row],[Date]],2))</f>
        <v>39</v>
      </c>
      <c r="H365" s="40" t="str">
        <f t="shared" si="36"/>
        <v>Saturday</v>
      </c>
      <c r="I365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365" s="40" t="str" cm="1">
        <f t="array" ref="J365">IFERROR(VLOOKUP(MODE(IF(Combined[Date]=EarningsPerDay[[#This Row],[Date]],Combined[Area '#])),KPIs!$B$4:$C$7,2,FALSE),VLOOKUP(EarningsPerDay[[#This Row],[Date]],Combined[[Date]:[Primary Area]],8,FALSE))</f>
        <v>Lewiston</v>
      </c>
      <c r="K365" s="40" t="str">
        <f>_xlfn.XLOOKUP(EarningsPerDay[[#This Row],[Date]],Mileage[Date],Mileage[Weather])</f>
        <v>Clear</v>
      </c>
      <c r="L365" s="4">
        <f>_xlfn.XLOOKUP(EarningsPerDay[[#This Row],[Date]],Mileage[Date],Mileage[Hi Temp])</f>
        <v>57</v>
      </c>
      <c r="M365" s="12">
        <f>_xlfn.XLOOKUP(EarningsPerDay[[#This Row],[Date]],Mileage[Date],Mileage[Total Time])</f>
        <v>9.42</v>
      </c>
      <c r="N365" s="4">
        <f>_xlfn.XLOOKUP(EarningsPerDay[[#This Row],[Date]],Mileage[Date],Mileage[Mileage])</f>
        <v>126</v>
      </c>
      <c r="O365" s="4">
        <f>SUMIF(Combined[Date],EarningsPerDay[[#This Row],[Date]],Combined[Trips])</f>
        <v>26</v>
      </c>
      <c r="P365">
        <f>COUNTIF(Combined[Date],EarningsPerDay[[#This Row],[Date]])</f>
        <v>5</v>
      </c>
      <c r="Q3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5" s="11">
        <f>SUMIF(Combined[Date],EarningsPerDay[[#This Row],[Date]],Combined[Earnings])</f>
        <v>213.76000000000002</v>
      </c>
      <c r="S365" s="11">
        <f ca="1">EarningsPerDay[[#This Row],[Gross Earnings]]-(EarningsPerDay[[#This Row],[Miles]]*CpM!$D$11)</f>
        <v>185.66539032883625</v>
      </c>
      <c r="T365" s="11">
        <f t="shared" si="37"/>
        <v>22.692144373673038</v>
      </c>
      <c r="U365" s="11">
        <f t="shared" ca="1" si="38"/>
        <v>19.709701733422108</v>
      </c>
      <c r="V365" s="11">
        <f>EarningsPerDay[[#This Row],[Gross Earnings]]/EarningsPerDay[[#This Row],[Deliveries]]</f>
        <v>8.2215384615384615</v>
      </c>
      <c r="W365" s="11">
        <f>EarningsPerDay[[#This Row],[Gross Earnings]]/EarningsPerDay[[#This Row],[Miles]]</f>
        <v>1.6965079365079367</v>
      </c>
      <c r="X365" s="71">
        <f>EarningsPerDay[[#This Row],[Deliveries]]/EarningsPerDay[[#This Row],[Hours]]</f>
        <v>2.7600849256900211</v>
      </c>
      <c r="Y365" s="71">
        <f>EarningsPerDay[[#This Row],[Miles]]/EarningsPerDay[[#This Row],[Deliveries]]</f>
        <v>4.8461538461538458</v>
      </c>
      <c r="Z365" s="81">
        <f>(EarningsPerDay[[#This Row],[Hours]]/EarningsPerDay[[#This Row],[Deliveries]])/24</f>
        <v>1.5096153846153848E-2</v>
      </c>
      <c r="AA3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1.4750778089012044</v>
      </c>
      <c r="AB365" s="11">
        <f>AVERAGEIFS(EarningsPerDay[Gross $/Hour],EarningsPerDay[Week '#], EarningsPerDay[[#This Row],[Week '#]], EarningsPerDay[DOW], EarningsPerDay[[#This Row],[DOW]])</f>
        <v>26.218122565395614</v>
      </c>
      <c r="AC365" s="11">
        <f>EarningsPerDay[[#This Row],[Gross $/Hour]] - EarningsPerDay[[#This Row],[Weekly Average Earnings]]</f>
        <v>-3.5259781917225759</v>
      </c>
      <c r="AD365" s="11">
        <f>(SUMIFS(EarningsPerDay[Gross Earnings], EarningsPerDay[Date],"&gt;="&amp;EarningsPerDay[[#This Row],[Date]]-89, EarningsPerDay[Date], "&lt;="&amp;EarningsPerDay[[#This Row],[Date]]))/90</f>
        <v>58.816444444444457</v>
      </c>
    </row>
    <row r="366" spans="2:30" x14ac:dyDescent="0.35">
      <c r="B366" s="40">
        <v>45194</v>
      </c>
      <c r="C366" s="40">
        <f t="shared" si="35"/>
        <v>45194</v>
      </c>
      <c r="D366" s="4">
        <f>IF(EarningsPerDay[[#This Row],[Week '#]]&gt;=52,YEAR(EarningsPerDay[[#This Row],[Date]])-1,YEAR(EarningsPerDay[[#This Row],[Date]]))</f>
        <v>2023</v>
      </c>
      <c r="E366" s="4" t="str">
        <f>"QTR"&amp;IF(EarningsPerDay[[#This Row],[Week '#]] &lt;= 13, 1, IF(EarningsPerDay[[#This Row],[Week '#]] &lt;= 26, 2, IF(EarningsPerDay[[#This Row],[Week '#]] &lt;= 39, 3, 4)))</f>
        <v>QTR4</v>
      </c>
      <c r="F3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66" s="4">
        <f>IF(WEEKNUM(EarningsPerDay[[#This Row],[Date]], 2) = 53, 1, WEEKNUM(EarningsPerDay[[#This Row],[Date]],2))</f>
        <v>40</v>
      </c>
      <c r="H366" s="40" t="str">
        <f t="shared" si="36"/>
        <v>Monday</v>
      </c>
      <c r="I36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66" s="40" t="str" cm="1">
        <f t="array" ref="J366">IFERROR(VLOOKUP(MODE(IF(Combined[Date]=EarningsPerDay[[#This Row],[Date]],Combined[Area '#])),KPIs!$B$4:$C$7,2,FALSE),VLOOKUP(EarningsPerDay[[#This Row],[Date]],Combined[[Date]:[Primary Area]],8,FALSE))</f>
        <v>Brunswick/Bath/Freeport</v>
      </c>
      <c r="K366" s="40" t="str">
        <f>_xlfn.XLOOKUP(EarningsPerDay[[#This Row],[Date]],Mileage[Date],Mileage[Weather])</f>
        <v>Clear</v>
      </c>
      <c r="L366" s="4">
        <f>_xlfn.XLOOKUP(EarningsPerDay[[#This Row],[Date]],Mileage[Date],Mileage[Hi Temp])</f>
        <v>59</v>
      </c>
      <c r="M366" s="12">
        <f>_xlfn.XLOOKUP(EarningsPerDay[[#This Row],[Date]],Mileage[Date],Mileage[Total Time])</f>
        <v>2.92</v>
      </c>
      <c r="N366" s="4">
        <f>_xlfn.XLOOKUP(EarningsPerDay[[#This Row],[Date]],Mileage[Date],Mileage[Mileage])</f>
        <v>75</v>
      </c>
      <c r="O366" s="4">
        <f>SUMIF(Combined[Date],EarningsPerDay[[#This Row],[Date]],Combined[Trips])</f>
        <v>5</v>
      </c>
      <c r="P366">
        <f>COUNTIF(Combined[Date],EarningsPerDay[[#This Row],[Date]])</f>
        <v>2</v>
      </c>
      <c r="Q3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6" s="11">
        <f>SUMIF(Combined[Date],EarningsPerDay[[#This Row],[Date]],Combined[Earnings])</f>
        <v>70.97</v>
      </c>
      <c r="S366" s="11">
        <f ca="1">EarningsPerDay[[#This Row],[Gross Earnings]]-(EarningsPerDay[[#This Row],[Miles]]*CpM!$D$11)</f>
        <v>54.247018052878715</v>
      </c>
      <c r="T366" s="11">
        <f t="shared" si="37"/>
        <v>24.304794520547944</v>
      </c>
      <c r="U366" s="11">
        <f t="shared" ca="1" si="38"/>
        <v>18.577745908520107</v>
      </c>
      <c r="V366" s="11">
        <f>EarningsPerDay[[#This Row],[Gross Earnings]]/EarningsPerDay[[#This Row],[Deliveries]]</f>
        <v>14.193999999999999</v>
      </c>
      <c r="W366" s="11">
        <f>EarningsPerDay[[#This Row],[Gross Earnings]]/EarningsPerDay[[#This Row],[Miles]]</f>
        <v>0.9462666666666667</v>
      </c>
      <c r="X366" s="71">
        <f>EarningsPerDay[[#This Row],[Deliveries]]/EarningsPerDay[[#This Row],[Hours]]</f>
        <v>1.7123287671232876</v>
      </c>
      <c r="Y366" s="71">
        <f>EarningsPerDay[[#This Row],[Miles]]/EarningsPerDay[[#This Row],[Deliveries]]</f>
        <v>15</v>
      </c>
      <c r="Z366" s="81">
        <f>(EarningsPerDay[[#This Row],[Hours]]/EarningsPerDay[[#This Row],[Deliveries]])/24</f>
        <v>2.4333333333333332E-2</v>
      </c>
      <c r="AA3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1.160148428415436</v>
      </c>
      <c r="AB366" s="11">
        <f>AVERAGEIFS(EarningsPerDay[Gross $/Hour],EarningsPerDay[Week '#], EarningsPerDay[[#This Row],[Week '#]], EarningsPerDay[DOW], EarningsPerDay[[#This Row],[DOW]])</f>
        <v>24.06211505700087</v>
      </c>
      <c r="AC366" s="11">
        <f>EarningsPerDay[[#This Row],[Gross $/Hour]] - EarningsPerDay[[#This Row],[Weekly Average Earnings]]</f>
        <v>0.24267946354707348</v>
      </c>
      <c r="AD366" s="11">
        <f>(SUMIFS(EarningsPerDay[Gross Earnings], EarningsPerDay[Date],"&gt;="&amp;EarningsPerDay[[#This Row],[Date]]-89, EarningsPerDay[Date], "&lt;="&amp;EarningsPerDay[[#This Row],[Date]]))/90</f>
        <v>59.605000000000018</v>
      </c>
    </row>
    <row r="367" spans="2:30" x14ac:dyDescent="0.35">
      <c r="B367" s="40">
        <v>45195</v>
      </c>
      <c r="C367" s="40">
        <f t="shared" ref="C367:C430" si="39">B367</f>
        <v>45195</v>
      </c>
      <c r="D367" s="4">
        <f>IF(EarningsPerDay[[#This Row],[Week '#]]&gt;=52,YEAR(EarningsPerDay[[#This Row],[Date]])-1,YEAR(EarningsPerDay[[#This Row],[Date]]))</f>
        <v>2023</v>
      </c>
      <c r="E367" s="4" t="str">
        <f>"QTR"&amp;IF(EarningsPerDay[[#This Row],[Week '#]] &lt;= 13, 1, IF(EarningsPerDay[[#This Row],[Week '#]] &lt;= 26, 2, IF(EarningsPerDay[[#This Row],[Week '#]] &lt;= 39, 3, 4)))</f>
        <v>QTR4</v>
      </c>
      <c r="F3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67" s="4">
        <f>IF(WEEKNUM(EarningsPerDay[[#This Row],[Date]], 2) = 53, 1, WEEKNUM(EarningsPerDay[[#This Row],[Date]],2))</f>
        <v>40</v>
      </c>
      <c r="H367" s="40" t="str">
        <f t="shared" ref="H367:H430" si="40">TEXT(B367,"DDDD")</f>
        <v>Tuesday</v>
      </c>
      <c r="I36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67" s="40" t="str" cm="1">
        <f t="array" ref="J367">IFERROR(VLOOKUP(MODE(IF(Combined[Date]=EarningsPerDay[[#This Row],[Date]],Combined[Area '#])),KPIs!$B$4:$C$7,2,FALSE),VLOOKUP(EarningsPerDay[[#This Row],[Date]],Combined[[Date]:[Primary Area]],8,FALSE))</f>
        <v>Lewiston</v>
      </c>
      <c r="K367" s="40" t="str">
        <f>_xlfn.XLOOKUP(EarningsPerDay[[#This Row],[Date]],Mileage[Date],Mileage[Weather])</f>
        <v>Clear</v>
      </c>
      <c r="L367" s="4">
        <f>_xlfn.XLOOKUP(EarningsPerDay[[#This Row],[Date]],Mileage[Date],Mileage[Hi Temp])</f>
        <v>61</v>
      </c>
      <c r="M367" s="12">
        <f>_xlfn.XLOOKUP(EarningsPerDay[[#This Row],[Date]],Mileage[Date],Mileage[Total Time])</f>
        <v>3.5</v>
      </c>
      <c r="N367" s="4">
        <f>_xlfn.XLOOKUP(EarningsPerDay[[#This Row],[Date]],Mileage[Date],Mileage[Mileage])</f>
        <v>63</v>
      </c>
      <c r="O367" s="4">
        <f>SUMIF(Combined[Date],EarningsPerDay[[#This Row],[Date]],Combined[Trips])</f>
        <v>8</v>
      </c>
      <c r="P367">
        <f>COUNTIF(Combined[Date],EarningsPerDay[[#This Row],[Date]])</f>
        <v>3</v>
      </c>
      <c r="Q36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67" s="11">
        <f>SUMIF(Combined[Date],EarningsPerDay[[#This Row],[Date]],Combined[Earnings])</f>
        <v>60.169999999999995</v>
      </c>
      <c r="S367" s="11">
        <f ca="1">EarningsPerDay[[#This Row],[Gross Earnings]]-(EarningsPerDay[[#This Row],[Miles]]*CpM!$D$11)</f>
        <v>46.122695164418111</v>
      </c>
      <c r="T367" s="11">
        <f t="shared" si="37"/>
        <v>17.19142857142857</v>
      </c>
      <c r="U367" s="11">
        <f t="shared" ca="1" si="38"/>
        <v>13.177912904119461</v>
      </c>
      <c r="V367" s="11">
        <f>EarningsPerDay[[#This Row],[Gross Earnings]]/EarningsPerDay[[#This Row],[Deliveries]]</f>
        <v>7.5212499999999993</v>
      </c>
      <c r="W367" s="11">
        <f>EarningsPerDay[[#This Row],[Gross Earnings]]/EarningsPerDay[[#This Row],[Miles]]</f>
        <v>0.95507936507936497</v>
      </c>
      <c r="X367" s="71">
        <f>EarningsPerDay[[#This Row],[Deliveries]]/EarningsPerDay[[#This Row],[Hours]]</f>
        <v>2.2857142857142856</v>
      </c>
      <c r="Y367" s="71">
        <f>EarningsPerDay[[#This Row],[Miles]]/EarningsPerDay[[#This Row],[Deliveries]]</f>
        <v>7.875</v>
      </c>
      <c r="Z367" s="81">
        <f>(EarningsPerDay[[#This Row],[Hours]]/EarningsPerDay[[#This Row],[Deliveries]])/24</f>
        <v>1.8229166666666668E-2</v>
      </c>
      <c r="AA3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-0.64387745917449024</v>
      </c>
      <c r="AB367" s="11">
        <f>AVERAGEIFS(EarningsPerDay[Gross $/Hour],EarningsPerDay[Week '#], EarningsPerDay[[#This Row],[Week '#]], EarningsPerDay[DOW], EarningsPerDay[[#This Row],[DOW]])</f>
        <v>21.837681604110177</v>
      </c>
      <c r="AC367" s="11">
        <f>EarningsPerDay[[#This Row],[Gross $/Hour]] - EarningsPerDay[[#This Row],[Weekly Average Earnings]]</f>
        <v>-4.6462530326816065</v>
      </c>
      <c r="AD367" s="11">
        <f>(SUMIFS(EarningsPerDay[Gross Earnings], EarningsPerDay[Date],"&gt;="&amp;EarningsPerDay[[#This Row],[Date]]-89, EarningsPerDay[Date], "&lt;="&amp;EarningsPerDay[[#This Row],[Date]]))/90</f>
        <v>60.273555555555575</v>
      </c>
    </row>
    <row r="368" spans="2:30" x14ac:dyDescent="0.35">
      <c r="B368" s="40">
        <v>45196</v>
      </c>
      <c r="C368" s="40">
        <f t="shared" si="39"/>
        <v>45196</v>
      </c>
      <c r="D368" s="4">
        <f>IF(EarningsPerDay[[#This Row],[Week '#]]&gt;=52,YEAR(EarningsPerDay[[#This Row],[Date]])-1,YEAR(EarningsPerDay[[#This Row],[Date]]))</f>
        <v>2023</v>
      </c>
      <c r="E368" s="4" t="str">
        <f>"QTR"&amp;IF(EarningsPerDay[[#This Row],[Week '#]] &lt;= 13, 1, IF(EarningsPerDay[[#This Row],[Week '#]] &lt;= 26, 2, IF(EarningsPerDay[[#This Row],[Week '#]] &lt;= 39, 3, 4)))</f>
        <v>QTR4</v>
      </c>
      <c r="F3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68" s="4">
        <f>IF(WEEKNUM(EarningsPerDay[[#This Row],[Date]], 2) = 53, 1, WEEKNUM(EarningsPerDay[[#This Row],[Date]],2))</f>
        <v>40</v>
      </c>
      <c r="H368" s="40" t="str">
        <f t="shared" si="40"/>
        <v>Wednesday</v>
      </c>
      <c r="I36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68" s="40" t="str" cm="1">
        <f t="array" ref="J368">IFERROR(VLOOKUP(MODE(IF(Combined[Date]=EarningsPerDay[[#This Row],[Date]],Combined[Area '#])),KPIs!$B$4:$C$7,2,FALSE),VLOOKUP(EarningsPerDay[[#This Row],[Date]],Combined[[Date]:[Primary Area]],8,FALSE))</f>
        <v>Brunswick/Bath/Freeport</v>
      </c>
      <c r="K368" s="40" t="str">
        <f>_xlfn.XLOOKUP(EarningsPerDay[[#This Row],[Date]],Mileage[Date],Mileage[Weather])</f>
        <v>Clear</v>
      </c>
      <c r="L368" s="4">
        <f>_xlfn.XLOOKUP(EarningsPerDay[[#This Row],[Date]],Mileage[Date],Mileage[Hi Temp])</f>
        <v>63</v>
      </c>
      <c r="M368" s="12">
        <f>_xlfn.XLOOKUP(EarningsPerDay[[#This Row],[Date]],Mileage[Date],Mileage[Total Time])</f>
        <v>3.18</v>
      </c>
      <c r="N368" s="4">
        <f>_xlfn.XLOOKUP(EarningsPerDay[[#This Row],[Date]],Mileage[Date],Mileage[Mileage])</f>
        <v>81</v>
      </c>
      <c r="O368" s="4">
        <f>SUMIF(Combined[Date],EarningsPerDay[[#This Row],[Date]],Combined[Trips])</f>
        <v>7</v>
      </c>
      <c r="P368">
        <f>COUNTIF(Combined[Date],EarningsPerDay[[#This Row],[Date]])</f>
        <v>2</v>
      </c>
      <c r="Q36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68" s="11">
        <f>SUMIF(Combined[Date],EarningsPerDay[[#This Row],[Date]],Combined[Earnings])</f>
        <v>61.66</v>
      </c>
      <c r="S368" s="11">
        <f ca="1">EarningsPerDay[[#This Row],[Gross Earnings]]-(EarningsPerDay[[#This Row],[Miles]]*CpM!$D$11)</f>
        <v>43.599179497109006</v>
      </c>
      <c r="T368" s="11">
        <f t="shared" si="37"/>
        <v>19.389937106918236</v>
      </c>
      <c r="U368" s="11">
        <f t="shared" ca="1" si="38"/>
        <v>13.710433804122328</v>
      </c>
      <c r="V368" s="11">
        <f>EarningsPerDay[[#This Row],[Gross Earnings]]/EarningsPerDay[[#This Row],[Deliveries]]</f>
        <v>8.8085714285714278</v>
      </c>
      <c r="W368" s="11">
        <f>EarningsPerDay[[#This Row],[Gross Earnings]]/EarningsPerDay[[#This Row],[Miles]]</f>
        <v>0.76123456790123456</v>
      </c>
      <c r="X368" s="71">
        <f>EarningsPerDay[[#This Row],[Deliveries]]/EarningsPerDay[[#This Row],[Hours]]</f>
        <v>2.2012578616352201</v>
      </c>
      <c r="Y368" s="71">
        <f>EarningsPerDay[[#This Row],[Miles]]/EarningsPerDay[[#This Row],[Deliveries]]</f>
        <v>11.571428571428571</v>
      </c>
      <c r="Z368" s="81">
        <f>(EarningsPerDay[[#This Row],[Hours]]/EarningsPerDay[[#This Row],[Deliveries]])/24</f>
        <v>1.892857142857143E-2</v>
      </c>
      <c r="AA3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-2.7673745742684446</v>
      </c>
      <c r="AB368" s="11">
        <f>AVERAGEIFS(EarningsPerDay[Gross $/Hour],EarningsPerDay[Week '#], EarningsPerDay[[#This Row],[Week '#]], EarningsPerDay[DOW], EarningsPerDay[[#This Row],[DOW]])</f>
        <v>22.445740158397388</v>
      </c>
      <c r="AC368" s="11">
        <f>EarningsPerDay[[#This Row],[Gross $/Hour]] - EarningsPerDay[[#This Row],[Weekly Average Earnings]]</f>
        <v>-3.0558030514791525</v>
      </c>
      <c r="AD368" s="11">
        <f>(SUMIFS(EarningsPerDay[Gross Earnings], EarningsPerDay[Date],"&gt;="&amp;EarningsPerDay[[#This Row],[Date]]-89, EarningsPerDay[Date], "&lt;="&amp;EarningsPerDay[[#This Row],[Date]]))/90</f>
        <v>60.958666666666687</v>
      </c>
    </row>
    <row r="369" spans="2:30" x14ac:dyDescent="0.35">
      <c r="B369" s="40">
        <v>45197</v>
      </c>
      <c r="C369" s="40">
        <f t="shared" si="39"/>
        <v>45197</v>
      </c>
      <c r="D369" s="4">
        <f>IF(EarningsPerDay[[#This Row],[Week '#]]&gt;=52,YEAR(EarningsPerDay[[#This Row],[Date]])-1,YEAR(EarningsPerDay[[#This Row],[Date]]))</f>
        <v>2023</v>
      </c>
      <c r="E369" s="4" t="str">
        <f>"QTR"&amp;IF(EarningsPerDay[[#This Row],[Week '#]] &lt;= 13, 1, IF(EarningsPerDay[[#This Row],[Week '#]] &lt;= 26, 2, IF(EarningsPerDay[[#This Row],[Week '#]] &lt;= 39, 3, 4)))</f>
        <v>QTR4</v>
      </c>
      <c r="F3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69" s="4">
        <f>IF(WEEKNUM(EarningsPerDay[[#This Row],[Date]], 2) = 53, 1, WEEKNUM(EarningsPerDay[[#This Row],[Date]],2))</f>
        <v>40</v>
      </c>
      <c r="H369" s="40" t="str">
        <f t="shared" si="40"/>
        <v>Thursday</v>
      </c>
      <c r="I36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69" s="40" t="str" cm="1">
        <f t="array" ref="J369">IFERROR(VLOOKUP(MODE(IF(Combined[Date]=EarningsPerDay[[#This Row],[Date]],Combined[Area '#])),KPIs!$B$4:$C$7,2,FALSE),VLOOKUP(EarningsPerDay[[#This Row],[Date]],Combined[[Date]:[Primary Area]],8,FALSE))</f>
        <v>Portland</v>
      </c>
      <c r="K369" s="40" t="str">
        <f>_xlfn.XLOOKUP(EarningsPerDay[[#This Row],[Date]],Mileage[Date],Mileage[Weather])</f>
        <v>Partially Cloudy</v>
      </c>
      <c r="L369" s="4">
        <f>_xlfn.XLOOKUP(EarningsPerDay[[#This Row],[Date]],Mileage[Date],Mileage[Hi Temp])</f>
        <v>55</v>
      </c>
      <c r="M369" s="12">
        <f>_xlfn.XLOOKUP(EarningsPerDay[[#This Row],[Date]],Mileage[Date],Mileage[Total Time])</f>
        <v>1.25</v>
      </c>
      <c r="N369" s="4">
        <f>_xlfn.XLOOKUP(EarningsPerDay[[#This Row],[Date]],Mileage[Date],Mileage[Mileage])</f>
        <v>48</v>
      </c>
      <c r="O369" s="4">
        <f>SUMIF(Combined[Date],EarningsPerDay[[#This Row],[Date]],Combined[Trips])</f>
        <v>2</v>
      </c>
      <c r="P369">
        <f>COUNTIF(Combined[Date],EarningsPerDay[[#This Row],[Date]])</f>
        <v>2</v>
      </c>
      <c r="Q3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69" s="11">
        <f>SUMIF(Combined[Date],EarningsPerDay[[#This Row],[Date]],Combined[Earnings])</f>
        <v>24.990000000000002</v>
      </c>
      <c r="S369" s="11">
        <f ca="1">EarningsPerDay[[#This Row],[Gross Earnings]]-(EarningsPerDay[[#This Row],[Miles]]*CpM!$D$11)</f>
        <v>14.287291553842378</v>
      </c>
      <c r="T369" s="11">
        <f t="shared" si="37"/>
        <v>19.992000000000001</v>
      </c>
      <c r="U369" s="11">
        <f t="shared" ca="1" si="38"/>
        <v>11.429833243073903</v>
      </c>
      <c r="V369" s="11">
        <f>EarningsPerDay[[#This Row],[Gross Earnings]]/EarningsPerDay[[#This Row],[Deliveries]]</f>
        <v>12.495000000000001</v>
      </c>
      <c r="W369" s="11">
        <f>EarningsPerDay[[#This Row],[Gross Earnings]]/EarningsPerDay[[#This Row],[Miles]]</f>
        <v>0.520625</v>
      </c>
      <c r="X369" s="71">
        <f>EarningsPerDay[[#This Row],[Deliveries]]/EarningsPerDay[[#This Row],[Hours]]</f>
        <v>1.6</v>
      </c>
      <c r="Y369" s="71">
        <f>EarningsPerDay[[#This Row],[Miles]]/EarningsPerDay[[#This Row],[Deliveries]]</f>
        <v>24</v>
      </c>
      <c r="Z369" s="81">
        <f>(EarningsPerDay[[#This Row],[Hours]]/EarningsPerDay[[#This Row],[Deliveries]])/24</f>
        <v>2.6041666666666668E-2</v>
      </c>
      <c r="AA3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4.9434654002713714</v>
      </c>
      <c r="AB369" s="11">
        <f>AVERAGEIFS(EarningsPerDay[Gross $/Hour],EarningsPerDay[Week '#], EarningsPerDay[[#This Row],[Week '#]], EarningsPerDay[DOW], EarningsPerDay[[#This Row],[DOW]])</f>
        <v>15.797159782482936</v>
      </c>
      <c r="AC369" s="11">
        <f>EarningsPerDay[[#This Row],[Gross $/Hour]] - EarningsPerDay[[#This Row],[Weekly Average Earnings]]</f>
        <v>4.1948402175170649</v>
      </c>
      <c r="AD369" s="11">
        <f>(SUMIFS(EarningsPerDay[Gross Earnings], EarningsPerDay[Date],"&gt;="&amp;EarningsPerDay[[#This Row],[Date]]-89, EarningsPerDay[Date], "&lt;="&amp;EarningsPerDay[[#This Row],[Date]]))/90</f>
        <v>61.236333333333349</v>
      </c>
    </row>
    <row r="370" spans="2:30" x14ac:dyDescent="0.35">
      <c r="B370" s="40">
        <v>45198</v>
      </c>
      <c r="C370" s="40">
        <f t="shared" si="39"/>
        <v>45198</v>
      </c>
      <c r="D370" s="4">
        <f>IF(EarningsPerDay[[#This Row],[Week '#]]&gt;=52,YEAR(EarningsPerDay[[#This Row],[Date]])-1,YEAR(EarningsPerDay[[#This Row],[Date]]))</f>
        <v>2023</v>
      </c>
      <c r="E370" s="4" t="str">
        <f>"QTR"&amp;IF(EarningsPerDay[[#This Row],[Week '#]] &lt;= 13, 1, IF(EarningsPerDay[[#This Row],[Week '#]] &lt;= 26, 2, IF(EarningsPerDay[[#This Row],[Week '#]] &lt;= 39, 3, 4)))</f>
        <v>QTR4</v>
      </c>
      <c r="F3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370" s="4">
        <f>IF(WEEKNUM(EarningsPerDay[[#This Row],[Date]], 2) = 53, 1, WEEKNUM(EarningsPerDay[[#This Row],[Date]],2))</f>
        <v>40</v>
      </c>
      <c r="H370" s="40" t="str">
        <f t="shared" si="40"/>
        <v>Friday</v>
      </c>
      <c r="I37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70" s="40" t="str" cm="1">
        <f t="array" ref="J370">IFERROR(VLOOKUP(MODE(IF(Combined[Date]=EarningsPerDay[[#This Row],[Date]],Combined[Area '#])),KPIs!$B$4:$C$7,2,FALSE),VLOOKUP(EarningsPerDay[[#This Row],[Date]],Combined[[Date]:[Primary Area]],8,FALSE))</f>
        <v>Brunswick/Bath/Freeport</v>
      </c>
      <c r="K370" s="40" t="str">
        <f>_xlfn.XLOOKUP(EarningsPerDay[[#This Row],[Date]],Mileage[Date],Mileage[Weather])</f>
        <v>Partially Cloudy</v>
      </c>
      <c r="L370" s="4">
        <f>_xlfn.XLOOKUP(EarningsPerDay[[#This Row],[Date]],Mileage[Date],Mileage[Hi Temp])</f>
        <v>61</v>
      </c>
      <c r="M370" s="12">
        <f>_xlfn.XLOOKUP(EarningsPerDay[[#This Row],[Date]],Mileage[Date],Mileage[Total Time])</f>
        <v>6.72</v>
      </c>
      <c r="N370" s="4">
        <f>_xlfn.XLOOKUP(EarningsPerDay[[#This Row],[Date]],Mileage[Date],Mileage[Mileage])</f>
        <v>145</v>
      </c>
      <c r="O370" s="4">
        <f>SUMIF(Combined[Date],EarningsPerDay[[#This Row],[Date]],Combined[Trips])</f>
        <v>14</v>
      </c>
      <c r="P370">
        <f>COUNTIF(Combined[Date],EarningsPerDay[[#This Row],[Date]])</f>
        <v>4</v>
      </c>
      <c r="Q37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70" s="11">
        <f>SUMIF(Combined[Date],EarningsPerDay[[#This Row],[Date]],Combined[Earnings])</f>
        <v>156.98000000000002</v>
      </c>
      <c r="S370" s="11">
        <f ca="1">EarningsPerDay[[#This Row],[Gross Earnings]]-(EarningsPerDay[[#This Row],[Miles]]*CpM!$D$11)</f>
        <v>124.64890156889886</v>
      </c>
      <c r="T370" s="11">
        <f t="shared" si="37"/>
        <v>23.360119047619051</v>
      </c>
      <c r="U370" s="11">
        <f t="shared" ca="1" si="38"/>
        <v>18.548943685848045</v>
      </c>
      <c r="V370" s="11">
        <f>EarningsPerDay[[#This Row],[Gross Earnings]]/EarningsPerDay[[#This Row],[Deliveries]]</f>
        <v>11.212857142857144</v>
      </c>
      <c r="W370" s="11">
        <f>EarningsPerDay[[#This Row],[Gross Earnings]]/EarningsPerDay[[#This Row],[Miles]]</f>
        <v>1.0826206896551724</v>
      </c>
      <c r="X370" s="71">
        <f>EarningsPerDay[[#This Row],[Deliveries]]/EarningsPerDay[[#This Row],[Hours]]</f>
        <v>2.0833333333333335</v>
      </c>
      <c r="Y370" s="71">
        <f>EarningsPerDay[[#This Row],[Miles]]/EarningsPerDay[[#This Row],[Deliveries]]</f>
        <v>10.357142857142858</v>
      </c>
      <c r="Z370" s="81">
        <f>(EarningsPerDay[[#This Row],[Hours]]/EarningsPerDay[[#This Row],[Deliveries]])/24</f>
        <v>0.02</v>
      </c>
      <c r="AA3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4.7351413609455051E-2</v>
      </c>
      <c r="AB370" s="11">
        <f>AVERAGEIFS(EarningsPerDay[Gross $/Hour],EarningsPerDay[Week '#], EarningsPerDay[[#This Row],[Week '#]], EarningsPerDay[DOW], EarningsPerDay[[#This Row],[DOW]])</f>
        <v>23.899665803545115</v>
      </c>
      <c r="AC370" s="11">
        <f>EarningsPerDay[[#This Row],[Gross $/Hour]] - EarningsPerDay[[#This Row],[Weekly Average Earnings]]</f>
        <v>-0.53954675592606449</v>
      </c>
      <c r="AD370" s="11">
        <f>(SUMIFS(EarningsPerDay[Gross Earnings], EarningsPerDay[Date],"&gt;="&amp;EarningsPerDay[[#This Row],[Date]]-89, EarningsPerDay[Date], "&lt;="&amp;EarningsPerDay[[#This Row],[Date]]))/90</f>
        <v>62.980555555555576</v>
      </c>
    </row>
    <row r="371" spans="2:30" x14ac:dyDescent="0.35">
      <c r="B371" s="40">
        <v>45201</v>
      </c>
      <c r="C371" s="40">
        <f t="shared" si="39"/>
        <v>45201</v>
      </c>
      <c r="D371" s="4">
        <f>IF(EarningsPerDay[[#This Row],[Week '#]]&gt;=52,YEAR(EarningsPerDay[[#This Row],[Date]])-1,YEAR(EarningsPerDay[[#This Row],[Date]]))</f>
        <v>2023</v>
      </c>
      <c r="E371" s="4" t="str">
        <f>"QTR"&amp;IF(EarningsPerDay[[#This Row],[Week '#]] &lt;= 13, 1, IF(EarningsPerDay[[#This Row],[Week '#]] &lt;= 26, 2, IF(EarningsPerDay[[#This Row],[Week '#]] &lt;= 39, 3, 4)))</f>
        <v>QTR4</v>
      </c>
      <c r="F3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71" s="4">
        <f>IF(WEEKNUM(EarningsPerDay[[#This Row],[Date]], 2) = 53, 1, WEEKNUM(EarningsPerDay[[#This Row],[Date]],2))</f>
        <v>41</v>
      </c>
      <c r="H371" s="40" t="str">
        <f t="shared" si="40"/>
        <v>Monday</v>
      </c>
      <c r="I37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1" s="40" t="str" cm="1">
        <f t="array" ref="J371">IFERROR(VLOOKUP(MODE(IF(Combined[Date]=EarningsPerDay[[#This Row],[Date]],Combined[Area '#])),KPIs!$B$4:$C$7,2,FALSE),VLOOKUP(EarningsPerDay[[#This Row],[Date]],Combined[[Date]:[Primary Area]],8,FALSE))</f>
        <v>Lewiston</v>
      </c>
      <c r="K371" s="40" t="str">
        <f>_xlfn.XLOOKUP(EarningsPerDay[[#This Row],[Date]],Mileage[Date],Mileage[Weather])</f>
        <v>Clear</v>
      </c>
      <c r="L371" s="4">
        <f>_xlfn.XLOOKUP(EarningsPerDay[[#This Row],[Date]],Mileage[Date],Mileage[Hi Temp])</f>
        <v>64</v>
      </c>
      <c r="M371" s="12">
        <f>_xlfn.XLOOKUP(EarningsPerDay[[#This Row],[Date]],Mileage[Date],Mileage[Total Time])</f>
        <v>5.22</v>
      </c>
      <c r="N371" s="4">
        <f>_xlfn.XLOOKUP(EarningsPerDay[[#This Row],[Date]],Mileage[Date],Mileage[Mileage])</f>
        <v>106</v>
      </c>
      <c r="O371" s="4">
        <f>SUMIF(Combined[Date],EarningsPerDay[[#This Row],[Date]],Combined[Trips])</f>
        <v>10</v>
      </c>
      <c r="P371">
        <f>COUNTIF(Combined[Date],EarningsPerDay[[#This Row],[Date]])</f>
        <v>3</v>
      </c>
      <c r="Q37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71" s="11">
        <f>SUMIF(Combined[Date],EarningsPerDay[[#This Row],[Date]],Combined[Earnings])</f>
        <v>77.8</v>
      </c>
      <c r="S371" s="11">
        <f ca="1">EarningsPerDay[[#This Row],[Gross Earnings]]-(EarningsPerDay[[#This Row],[Miles]]*CpM!$D$11)</f>
        <v>54.164852181401912</v>
      </c>
      <c r="T371" s="11">
        <f t="shared" si="37"/>
        <v>14.904214559386974</v>
      </c>
      <c r="U371" s="11">
        <f t="shared" ca="1" si="38"/>
        <v>10.376408463870099</v>
      </c>
      <c r="V371" s="11">
        <f>EarningsPerDay[[#This Row],[Gross Earnings]]/EarningsPerDay[[#This Row],[Deliveries]]</f>
        <v>7.7799999999999994</v>
      </c>
      <c r="W371" s="11">
        <f>EarningsPerDay[[#This Row],[Gross Earnings]]/EarningsPerDay[[#This Row],[Miles]]</f>
        <v>0.73396226415094334</v>
      </c>
      <c r="X371" s="71">
        <f>EarningsPerDay[[#This Row],[Deliveries]]/EarningsPerDay[[#This Row],[Hours]]</f>
        <v>1.9157088122605366</v>
      </c>
      <c r="Y371" s="71">
        <f>EarningsPerDay[[#This Row],[Miles]]/EarningsPerDay[[#This Row],[Deliveries]]</f>
        <v>10.6</v>
      </c>
      <c r="Z371" s="81">
        <f>(EarningsPerDay[[#This Row],[Hours]]/EarningsPerDay[[#This Row],[Deliveries]])/24</f>
        <v>2.1750000000000002E-2</v>
      </c>
      <c r="AA3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-9.2482497880732115</v>
      </c>
      <c r="AB371" s="11">
        <f>AVERAGEIFS(EarningsPerDay[Gross $/Hour],EarningsPerDay[Week '#], EarningsPerDay[[#This Row],[Week '#]], EarningsPerDay[DOW], EarningsPerDay[[#This Row],[DOW]])</f>
        <v>25.660106415887583</v>
      </c>
      <c r="AC371" s="11">
        <f>EarningsPerDay[[#This Row],[Gross $/Hour]] - EarningsPerDay[[#This Row],[Weekly Average Earnings]]</f>
        <v>-10.755891856500609</v>
      </c>
      <c r="AD371" s="11">
        <f>(SUMIFS(EarningsPerDay[Gross Earnings], EarningsPerDay[Date],"&gt;="&amp;EarningsPerDay[[#This Row],[Date]]-89, EarningsPerDay[Date], "&lt;="&amp;EarningsPerDay[[#This Row],[Date]]))/90</f>
        <v>63.84500000000002</v>
      </c>
    </row>
    <row r="372" spans="2:30" x14ac:dyDescent="0.35">
      <c r="B372" s="40">
        <v>45204</v>
      </c>
      <c r="C372" s="40">
        <f t="shared" si="39"/>
        <v>45204</v>
      </c>
      <c r="D372" s="4">
        <f>IF(EarningsPerDay[[#This Row],[Week '#]]&gt;=52,YEAR(EarningsPerDay[[#This Row],[Date]])-1,YEAR(EarningsPerDay[[#This Row],[Date]]))</f>
        <v>2023</v>
      </c>
      <c r="E372" s="4" t="str">
        <f>"QTR"&amp;IF(EarningsPerDay[[#This Row],[Week '#]] &lt;= 13, 1, IF(EarningsPerDay[[#This Row],[Week '#]] &lt;= 26, 2, IF(EarningsPerDay[[#This Row],[Week '#]] &lt;= 39, 3, 4)))</f>
        <v>QTR4</v>
      </c>
      <c r="F3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72" s="4">
        <f>IF(WEEKNUM(EarningsPerDay[[#This Row],[Date]], 2) = 53, 1, WEEKNUM(EarningsPerDay[[#This Row],[Date]],2))</f>
        <v>41</v>
      </c>
      <c r="H372" s="40" t="str">
        <f t="shared" si="40"/>
        <v>Thursday</v>
      </c>
      <c r="I37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72" s="40" t="str" cm="1">
        <f t="array" ref="J372">IFERROR(VLOOKUP(MODE(IF(Combined[Date]=EarningsPerDay[[#This Row],[Date]],Combined[Area '#])),KPIs!$B$4:$C$7,2,FALSE),VLOOKUP(EarningsPerDay[[#This Row],[Date]],Combined[[Date]:[Primary Area]],8,FALSE))</f>
        <v>Brunswick/Bath/Freeport</v>
      </c>
      <c r="K372" s="40" t="str">
        <f>_xlfn.XLOOKUP(EarningsPerDay[[#This Row],[Date]],Mileage[Date],Mileage[Weather])</f>
        <v>Overcast</v>
      </c>
      <c r="L372" s="4">
        <f>_xlfn.XLOOKUP(EarningsPerDay[[#This Row],[Date]],Mileage[Date],Mileage[Hi Temp])</f>
        <v>63</v>
      </c>
      <c r="M372" s="12">
        <f>_xlfn.XLOOKUP(EarningsPerDay[[#This Row],[Date]],Mileage[Date],Mileage[Total Time])</f>
        <v>4.08</v>
      </c>
      <c r="N372" s="4">
        <f>_xlfn.XLOOKUP(EarningsPerDay[[#This Row],[Date]],Mileage[Date],Mileage[Mileage])</f>
        <v>88</v>
      </c>
      <c r="O372" s="4">
        <f>SUMIF(Combined[Date],EarningsPerDay[[#This Row],[Date]],Combined[Trips])</f>
        <v>9</v>
      </c>
      <c r="P372">
        <f>COUNTIF(Combined[Date],EarningsPerDay[[#This Row],[Date]])</f>
        <v>2</v>
      </c>
      <c r="Q3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2" s="11">
        <f>SUMIF(Combined[Date],EarningsPerDay[[#This Row],[Date]],Combined[Earnings])</f>
        <v>94.3</v>
      </c>
      <c r="S372" s="11">
        <f ca="1">EarningsPerDay[[#This Row],[Gross Earnings]]-(EarningsPerDay[[#This Row],[Miles]]*CpM!$D$11)</f>
        <v>74.678367848711019</v>
      </c>
      <c r="T372" s="11">
        <f t="shared" si="37"/>
        <v>23.112745098039216</v>
      </c>
      <c r="U372" s="11">
        <f t="shared" ca="1" si="38"/>
        <v>18.303521531546817</v>
      </c>
      <c r="V372" s="11">
        <f>EarningsPerDay[[#This Row],[Gross Earnings]]/EarningsPerDay[[#This Row],[Deliveries]]</f>
        <v>10.477777777777778</v>
      </c>
      <c r="W372" s="11">
        <f>EarningsPerDay[[#This Row],[Gross Earnings]]/EarningsPerDay[[#This Row],[Miles]]</f>
        <v>1.071590909090909</v>
      </c>
      <c r="X372" s="71">
        <f>EarningsPerDay[[#This Row],[Deliveries]]/EarningsPerDay[[#This Row],[Hours]]</f>
        <v>2.2058823529411766</v>
      </c>
      <c r="Y372" s="71">
        <f>EarningsPerDay[[#This Row],[Miles]]/EarningsPerDay[[#This Row],[Deliveries]]</f>
        <v>9.7777777777777786</v>
      </c>
      <c r="Z372" s="81">
        <f>(EarningsPerDay[[#This Row],[Hours]]/EarningsPerDay[[#This Row],[Deliveries]])/24</f>
        <v>1.8888888888888889E-2</v>
      </c>
      <c r="AA3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2.2461636023387292</v>
      </c>
      <c r="AB372" s="11">
        <f>AVERAGEIFS(EarningsPerDay[Gross $/Hour],EarningsPerDay[Week '#], EarningsPerDay[[#This Row],[Week '#]], EarningsPerDay[DOW], EarningsPerDay[[#This Row],[DOW]])</f>
        <v>25.855566097406705</v>
      </c>
      <c r="AC372" s="11">
        <f>EarningsPerDay[[#This Row],[Gross $/Hour]] - EarningsPerDay[[#This Row],[Weekly Average Earnings]]</f>
        <v>-2.7428209993674884</v>
      </c>
      <c r="AD372" s="11">
        <f>(SUMIFS(EarningsPerDay[Gross Earnings], EarningsPerDay[Date],"&gt;="&amp;EarningsPerDay[[#This Row],[Date]]-89, EarningsPerDay[Date], "&lt;="&amp;EarningsPerDay[[#This Row],[Date]]))/90</f>
        <v>61.607555555555578</v>
      </c>
    </row>
    <row r="373" spans="2:30" x14ac:dyDescent="0.35">
      <c r="B373" s="40">
        <v>45205</v>
      </c>
      <c r="C373" s="40">
        <f t="shared" si="39"/>
        <v>45205</v>
      </c>
      <c r="D373" s="4">
        <f>IF(EarningsPerDay[[#This Row],[Week '#]]&gt;=52,YEAR(EarningsPerDay[[#This Row],[Date]])-1,YEAR(EarningsPerDay[[#This Row],[Date]]))</f>
        <v>2023</v>
      </c>
      <c r="E373" s="4" t="str">
        <f>"QTR"&amp;IF(EarningsPerDay[[#This Row],[Week '#]] &lt;= 13, 1, IF(EarningsPerDay[[#This Row],[Week '#]] &lt;= 26, 2, IF(EarningsPerDay[[#This Row],[Week '#]] &lt;= 39, 3, 4)))</f>
        <v>QTR4</v>
      </c>
      <c r="F3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373" s="4">
        <f>IF(WEEKNUM(EarningsPerDay[[#This Row],[Date]], 2) = 53, 1, WEEKNUM(EarningsPerDay[[#This Row],[Date]],2))</f>
        <v>41</v>
      </c>
      <c r="H373" s="40" t="str">
        <f t="shared" si="40"/>
        <v>Friday</v>
      </c>
      <c r="I37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3" s="40" t="str" cm="1">
        <f t="array" ref="J373">IFERROR(VLOOKUP(MODE(IF(Combined[Date]=EarningsPerDay[[#This Row],[Date]],Combined[Area '#])),KPIs!$B$4:$C$7,2,FALSE),VLOOKUP(EarningsPerDay[[#This Row],[Date]],Combined[[Date]:[Primary Area]],8,FALSE))</f>
        <v>Brunswick/Bath/Freeport</v>
      </c>
      <c r="K373" s="40" t="str">
        <f>_xlfn.XLOOKUP(EarningsPerDay[[#This Row],[Date]],Mileage[Date],Mileage[Weather])</f>
        <v>Partially Cloudy</v>
      </c>
      <c r="L373" s="4">
        <f>_xlfn.XLOOKUP(EarningsPerDay[[#This Row],[Date]],Mileage[Date],Mileage[Hi Temp])</f>
        <v>63</v>
      </c>
      <c r="M373" s="12">
        <f>_xlfn.XLOOKUP(EarningsPerDay[[#This Row],[Date]],Mileage[Date],Mileage[Total Time])</f>
        <v>1.8</v>
      </c>
      <c r="N373" s="4">
        <f>_xlfn.XLOOKUP(EarningsPerDay[[#This Row],[Date]],Mileage[Date],Mileage[Mileage])</f>
        <v>35</v>
      </c>
      <c r="O373" s="4">
        <f>SUMIF(Combined[Date],EarningsPerDay[[#This Row],[Date]],Combined[Trips])</f>
        <v>5</v>
      </c>
      <c r="P373">
        <f>COUNTIF(Combined[Date],EarningsPerDay[[#This Row],[Date]])</f>
        <v>1</v>
      </c>
      <c r="Q37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73" s="11">
        <f>SUMIF(Combined[Date],EarningsPerDay[[#This Row],[Date]],Combined[Earnings])</f>
        <v>47.39</v>
      </c>
      <c r="S373" s="11">
        <f ca="1">EarningsPerDay[[#This Row],[Gross Earnings]]-(EarningsPerDay[[#This Row],[Miles]]*CpM!$D$11)</f>
        <v>39.585941758010065</v>
      </c>
      <c r="T373" s="11">
        <f t="shared" si="37"/>
        <v>26.327777777777776</v>
      </c>
      <c r="U373" s="11">
        <f t="shared" ca="1" si="38"/>
        <v>21.992189865561148</v>
      </c>
      <c r="V373" s="11">
        <f>EarningsPerDay[[#This Row],[Gross Earnings]]/EarningsPerDay[[#This Row],[Deliveries]]</f>
        <v>9.4779999999999998</v>
      </c>
      <c r="W373" s="11">
        <f>EarningsPerDay[[#This Row],[Gross Earnings]]/EarningsPerDay[[#This Row],[Miles]]</f>
        <v>1.3540000000000001</v>
      </c>
      <c r="X373" s="71">
        <f>EarningsPerDay[[#This Row],[Deliveries]]/EarningsPerDay[[#This Row],[Hours]]</f>
        <v>2.7777777777777777</v>
      </c>
      <c r="Y373" s="71">
        <f>EarningsPerDay[[#This Row],[Miles]]/EarningsPerDay[[#This Row],[Deliveries]]</f>
        <v>7</v>
      </c>
      <c r="Z373" s="81">
        <f>(EarningsPerDay[[#This Row],[Hours]]/EarningsPerDay[[#This Row],[Deliveries]])/24</f>
        <v>1.4999999999999999E-2</v>
      </c>
      <c r="AA3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3.0107054698036855</v>
      </c>
      <c r="AB373" s="11">
        <f>AVERAGEIFS(EarningsPerDay[Gross $/Hour],EarningsPerDay[Week '#], EarningsPerDay[[#This Row],[Week '#]], EarningsPerDay[DOW], EarningsPerDay[[#This Row],[DOW]])</f>
        <v>28.332958593802513</v>
      </c>
      <c r="AC373" s="11">
        <f>EarningsPerDay[[#This Row],[Gross $/Hour]] - EarningsPerDay[[#This Row],[Weekly Average Earnings]]</f>
        <v>-2.0051808160247369</v>
      </c>
      <c r="AD373" s="11">
        <f>(SUMIFS(EarningsPerDay[Gross Earnings], EarningsPerDay[Date],"&gt;="&amp;EarningsPerDay[[#This Row],[Date]]-89, EarningsPerDay[Date], "&lt;="&amp;EarningsPerDay[[#This Row],[Date]]))/90</f>
        <v>61.05377777777781</v>
      </c>
    </row>
    <row r="374" spans="2:30" x14ac:dyDescent="0.35">
      <c r="B374" s="40">
        <v>45208</v>
      </c>
      <c r="C374" s="40">
        <f t="shared" si="39"/>
        <v>45208</v>
      </c>
      <c r="D374" s="4">
        <f>IF(EarningsPerDay[[#This Row],[Week '#]]&gt;=52,YEAR(EarningsPerDay[[#This Row],[Date]])-1,YEAR(EarningsPerDay[[#This Row],[Date]]))</f>
        <v>2023</v>
      </c>
      <c r="E374" s="4" t="str">
        <f>"QTR"&amp;IF(EarningsPerDay[[#This Row],[Week '#]] &lt;= 13, 1, IF(EarningsPerDay[[#This Row],[Week '#]] &lt;= 26, 2, IF(EarningsPerDay[[#This Row],[Week '#]] &lt;= 39, 3, 4)))</f>
        <v>QTR4</v>
      </c>
      <c r="F3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74" s="4">
        <f>IF(WEEKNUM(EarningsPerDay[[#This Row],[Date]], 2) = 53, 1, WEEKNUM(EarningsPerDay[[#This Row],[Date]],2))</f>
        <v>42</v>
      </c>
      <c r="H374" s="40" t="str">
        <f t="shared" si="40"/>
        <v>Monday</v>
      </c>
      <c r="I37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4" s="40" t="str" cm="1">
        <f t="array" ref="J374">IFERROR(VLOOKUP(MODE(IF(Combined[Date]=EarningsPerDay[[#This Row],[Date]],Combined[Area '#])),KPIs!$B$4:$C$7,2,FALSE),VLOOKUP(EarningsPerDay[[#This Row],[Date]],Combined[[Date]:[Primary Area]],8,FALSE))</f>
        <v>Brunswick/Bath/Freeport</v>
      </c>
      <c r="K374" s="40" t="str">
        <f>_xlfn.XLOOKUP(EarningsPerDay[[#This Row],[Date]],Mileage[Date],Mileage[Weather])</f>
        <v>Clear</v>
      </c>
      <c r="L374" s="4">
        <f>_xlfn.XLOOKUP(EarningsPerDay[[#This Row],[Date]],Mileage[Date],Mileage[Hi Temp])</f>
        <v>52</v>
      </c>
      <c r="M374" s="12">
        <f>_xlfn.XLOOKUP(EarningsPerDay[[#This Row],[Date]],Mileage[Date],Mileage[Total Time])</f>
        <v>4.37</v>
      </c>
      <c r="N374" s="4">
        <f>_xlfn.XLOOKUP(EarningsPerDay[[#This Row],[Date]],Mileage[Date],Mileage[Mileage])</f>
        <v>69</v>
      </c>
      <c r="O374" s="4">
        <f>SUMIF(Combined[Date],EarningsPerDay[[#This Row],[Date]],Combined[Trips])</f>
        <v>10</v>
      </c>
      <c r="P374">
        <f>COUNTIF(Combined[Date],EarningsPerDay[[#This Row],[Date]])</f>
        <v>2</v>
      </c>
      <c r="Q3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4" s="11">
        <f>SUMIF(Combined[Date],EarningsPerDay[[#This Row],[Date]],Combined[Earnings])</f>
        <v>121.93</v>
      </c>
      <c r="S374" s="11">
        <f ca="1">EarningsPerDay[[#This Row],[Gross Earnings]]-(EarningsPerDay[[#This Row],[Miles]]*CpM!$D$11)</f>
        <v>106.54485660864842</v>
      </c>
      <c r="T374" s="11">
        <f t="shared" si="37"/>
        <v>27.901601830663616</v>
      </c>
      <c r="U374" s="11">
        <f t="shared" ca="1" si="38"/>
        <v>24.380974052322291</v>
      </c>
      <c r="V374" s="11">
        <f>EarningsPerDay[[#This Row],[Gross Earnings]]/EarningsPerDay[[#This Row],[Deliveries]]</f>
        <v>12.193000000000001</v>
      </c>
      <c r="W374" s="11">
        <f>EarningsPerDay[[#This Row],[Gross Earnings]]/EarningsPerDay[[#This Row],[Miles]]</f>
        <v>1.7671014492753625</v>
      </c>
      <c r="X374" s="71">
        <f>EarningsPerDay[[#This Row],[Deliveries]]/EarningsPerDay[[#This Row],[Hours]]</f>
        <v>2.2883295194508007</v>
      </c>
      <c r="Y374" s="71">
        <f>EarningsPerDay[[#This Row],[Miles]]/EarningsPerDay[[#This Row],[Deliveries]]</f>
        <v>6.9</v>
      </c>
      <c r="Z374" s="81">
        <f>(EarningsPerDay[[#This Row],[Hours]]/EarningsPerDay[[#This Row],[Deliveries]])/24</f>
        <v>1.8208333333333333E-2</v>
      </c>
      <c r="AA3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4.52492605284802</v>
      </c>
      <c r="AB374" s="11">
        <f>AVERAGEIFS(EarningsPerDay[Gross $/Hour],EarningsPerDay[Week '#], EarningsPerDay[[#This Row],[Week '#]], EarningsPerDay[DOW], EarningsPerDay[[#This Row],[DOW]])</f>
        <v>24.193893597623301</v>
      </c>
      <c r="AC374" s="11">
        <f>EarningsPerDay[[#This Row],[Gross $/Hour]] - EarningsPerDay[[#This Row],[Weekly Average Earnings]]</f>
        <v>3.7077082330403144</v>
      </c>
      <c r="AD374" s="11">
        <f>(SUMIFS(EarningsPerDay[Gross Earnings], EarningsPerDay[Date],"&gt;="&amp;EarningsPerDay[[#This Row],[Date]]-89, EarningsPerDay[Date], "&lt;="&amp;EarningsPerDay[[#This Row],[Date]]))/90</f>
        <v>60.18855555555556</v>
      </c>
    </row>
    <row r="375" spans="2:30" x14ac:dyDescent="0.35">
      <c r="B375" s="40">
        <v>45209</v>
      </c>
      <c r="C375" s="40">
        <f t="shared" si="39"/>
        <v>45209</v>
      </c>
      <c r="D375" s="4">
        <f>IF(EarningsPerDay[[#This Row],[Week '#]]&gt;=52,YEAR(EarningsPerDay[[#This Row],[Date]])-1,YEAR(EarningsPerDay[[#This Row],[Date]]))</f>
        <v>2023</v>
      </c>
      <c r="E375" s="4" t="str">
        <f>"QTR"&amp;IF(EarningsPerDay[[#This Row],[Week '#]] &lt;= 13, 1, IF(EarningsPerDay[[#This Row],[Week '#]] &lt;= 26, 2, IF(EarningsPerDay[[#This Row],[Week '#]] &lt;= 39, 3, 4)))</f>
        <v>QTR4</v>
      </c>
      <c r="F3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75" s="4">
        <f>IF(WEEKNUM(EarningsPerDay[[#This Row],[Date]], 2) = 53, 1, WEEKNUM(EarningsPerDay[[#This Row],[Date]],2))</f>
        <v>42</v>
      </c>
      <c r="H375" s="40" t="str">
        <f t="shared" si="40"/>
        <v>Tuesday</v>
      </c>
      <c r="I37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5" s="40" t="str" cm="1">
        <f t="array" ref="J375">IFERROR(VLOOKUP(MODE(IF(Combined[Date]=EarningsPerDay[[#This Row],[Date]],Combined[Area '#])),KPIs!$B$4:$C$7,2,FALSE),VLOOKUP(EarningsPerDay[[#This Row],[Date]],Combined[[Date]:[Primary Area]],8,FALSE))</f>
        <v>Brunswick/Bath/Freeport</v>
      </c>
      <c r="K375" s="40" t="str">
        <f>_xlfn.XLOOKUP(EarningsPerDay[[#This Row],[Date]],Mileage[Date],Mileage[Weather])</f>
        <v>Overcast</v>
      </c>
      <c r="L375" s="4">
        <f>_xlfn.XLOOKUP(EarningsPerDay[[#This Row],[Date]],Mileage[Date],Mileage[Hi Temp])</f>
        <v>55</v>
      </c>
      <c r="M375" s="12">
        <f>_xlfn.XLOOKUP(EarningsPerDay[[#This Row],[Date]],Mileage[Date],Mileage[Total Time])</f>
        <v>3.87</v>
      </c>
      <c r="N375" s="4">
        <f>_xlfn.XLOOKUP(EarningsPerDay[[#This Row],[Date]],Mileage[Date],Mileage[Mileage])</f>
        <v>48</v>
      </c>
      <c r="O375" s="4">
        <f>SUMIF(Combined[Date],EarningsPerDay[[#This Row],[Date]],Combined[Trips])</f>
        <v>7</v>
      </c>
      <c r="P375">
        <f>COUNTIF(Combined[Date],EarningsPerDay[[#This Row],[Date]])</f>
        <v>2</v>
      </c>
      <c r="Q3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5" s="11">
        <f>SUMIF(Combined[Date],EarningsPerDay[[#This Row],[Date]],Combined[Earnings])</f>
        <v>62.44</v>
      </c>
      <c r="S375" s="11">
        <f ca="1">EarningsPerDay[[#This Row],[Gross Earnings]]-(EarningsPerDay[[#This Row],[Miles]]*CpM!$D$11)</f>
        <v>51.737291553842375</v>
      </c>
      <c r="T375" s="11">
        <f t="shared" si="37"/>
        <v>16.134366925064597</v>
      </c>
      <c r="U375" s="11">
        <f t="shared" ca="1" si="38"/>
        <v>13.368809187039373</v>
      </c>
      <c r="V375" s="11">
        <f>EarningsPerDay[[#This Row],[Gross Earnings]]/EarningsPerDay[[#This Row],[Deliveries]]</f>
        <v>8.92</v>
      </c>
      <c r="W375" s="11">
        <f>EarningsPerDay[[#This Row],[Gross Earnings]]/EarningsPerDay[[#This Row],[Miles]]</f>
        <v>1.3008333333333333</v>
      </c>
      <c r="X375" s="71">
        <f>EarningsPerDay[[#This Row],[Deliveries]]/EarningsPerDay[[#This Row],[Hours]]</f>
        <v>1.8087855297157622</v>
      </c>
      <c r="Y375" s="71">
        <f>EarningsPerDay[[#This Row],[Miles]]/EarningsPerDay[[#This Row],[Deliveries]]</f>
        <v>6.8571428571428568</v>
      </c>
      <c r="Z375" s="81">
        <f>(EarningsPerDay[[#This Row],[Hours]]/EarningsPerDay[[#This Row],[Deliveries]])/24</f>
        <v>2.3035714285714284E-2</v>
      </c>
      <c r="AA3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-8.627220181784601</v>
      </c>
      <c r="AB375" s="11">
        <f>AVERAGEIFS(EarningsPerDay[Gross $/Hour],EarningsPerDay[Week '#], EarningsPerDay[[#This Row],[Week '#]], EarningsPerDay[DOW], EarningsPerDay[[#This Row],[DOW]])</f>
        <v>15.221578115729622</v>
      </c>
      <c r="AC375" s="11">
        <f>EarningsPerDay[[#This Row],[Gross $/Hour]] - EarningsPerDay[[#This Row],[Weekly Average Earnings]]</f>
        <v>0.91278880933497497</v>
      </c>
      <c r="AD375" s="11">
        <f>(SUMIFS(EarningsPerDay[Gross Earnings], EarningsPerDay[Date],"&gt;="&amp;EarningsPerDay[[#This Row],[Date]]-89, EarningsPerDay[Date], "&lt;="&amp;EarningsPerDay[[#This Row],[Date]]))/90</f>
        <v>59.727000000000004</v>
      </c>
    </row>
    <row r="376" spans="2:30" x14ac:dyDescent="0.35">
      <c r="B376" s="40">
        <v>45212</v>
      </c>
      <c r="C376" s="40">
        <f t="shared" si="39"/>
        <v>45212</v>
      </c>
      <c r="D376" s="4">
        <f>IF(EarningsPerDay[[#This Row],[Week '#]]&gt;=52,YEAR(EarningsPerDay[[#This Row],[Date]])-1,YEAR(EarningsPerDay[[#This Row],[Date]]))</f>
        <v>2023</v>
      </c>
      <c r="E376" s="4" t="str">
        <f>"QTR"&amp;IF(EarningsPerDay[[#This Row],[Week '#]] &lt;= 13, 1, IF(EarningsPerDay[[#This Row],[Week '#]] &lt;= 26, 2, IF(EarningsPerDay[[#This Row],[Week '#]] &lt;= 39, 3, 4)))</f>
        <v>QTR4</v>
      </c>
      <c r="F3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76" s="4">
        <f>IF(WEEKNUM(EarningsPerDay[[#This Row],[Date]], 2) = 53, 1, WEEKNUM(EarningsPerDay[[#This Row],[Date]],2))</f>
        <v>42</v>
      </c>
      <c r="H376" s="40" t="str">
        <f t="shared" si="40"/>
        <v>Friday</v>
      </c>
      <c r="I37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6" s="40" t="str" cm="1">
        <f t="array" ref="J376">IFERROR(VLOOKUP(MODE(IF(Combined[Date]=EarningsPerDay[[#This Row],[Date]],Combined[Area '#])),KPIs!$B$4:$C$7,2,FALSE),VLOOKUP(EarningsPerDay[[#This Row],[Date]],Combined[[Date]:[Primary Area]],8,FALSE))</f>
        <v>Augusta</v>
      </c>
      <c r="K376" s="40" t="str">
        <f>_xlfn.XLOOKUP(EarningsPerDay[[#This Row],[Date]],Mileage[Date],Mileage[Weather])</f>
        <v>Clear</v>
      </c>
      <c r="L376" s="4">
        <f>_xlfn.XLOOKUP(EarningsPerDay[[#This Row],[Date]],Mileage[Date],Mileage[Hi Temp])</f>
        <v>54</v>
      </c>
      <c r="M376" s="12">
        <f>_xlfn.XLOOKUP(EarningsPerDay[[#This Row],[Date]],Mileage[Date],Mileage[Total Time])</f>
        <v>5.67</v>
      </c>
      <c r="N376" s="4">
        <f>_xlfn.XLOOKUP(EarningsPerDay[[#This Row],[Date]],Mileage[Date],Mileage[Mileage])</f>
        <v>127</v>
      </c>
      <c r="O376" s="4">
        <f>SUMIF(Combined[Date],EarningsPerDay[[#This Row],[Date]],Combined[Trips])</f>
        <v>11</v>
      </c>
      <c r="P376">
        <f>COUNTIF(Combined[Date],EarningsPerDay[[#This Row],[Date]])</f>
        <v>1</v>
      </c>
      <c r="Q37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76" s="11">
        <f>SUMIF(Combined[Date],EarningsPerDay[[#This Row],[Date]],Combined[Earnings])</f>
        <v>135.33000000000001</v>
      </c>
      <c r="S376" s="11">
        <f ca="1">EarningsPerDay[[#This Row],[Gross Earnings]]-(EarningsPerDay[[#This Row],[Miles]]*CpM!$D$11)</f>
        <v>107.01241723620797</v>
      </c>
      <c r="T376" s="11">
        <f t="shared" si="37"/>
        <v>23.867724867724871</v>
      </c>
      <c r="U376" s="11">
        <f t="shared" ca="1" si="38"/>
        <v>18.873442193334739</v>
      </c>
      <c r="V376" s="11">
        <f>EarningsPerDay[[#This Row],[Gross Earnings]]/EarningsPerDay[[#This Row],[Deliveries]]</f>
        <v>12.302727272727275</v>
      </c>
      <c r="W376" s="11">
        <f>EarningsPerDay[[#This Row],[Gross Earnings]]/EarningsPerDay[[#This Row],[Miles]]</f>
        <v>1.0655905511811024</v>
      </c>
      <c r="X376" s="71">
        <f>EarningsPerDay[[#This Row],[Deliveries]]/EarningsPerDay[[#This Row],[Hours]]</f>
        <v>1.9400352733686068</v>
      </c>
      <c r="Y376" s="71">
        <f>EarningsPerDay[[#This Row],[Miles]]/EarningsPerDay[[#This Row],[Deliveries]]</f>
        <v>11.545454545454545</v>
      </c>
      <c r="Z376" s="81">
        <f>(EarningsPerDay[[#This Row],[Hours]]/EarningsPerDay[[#This Row],[Deliveries]])/24</f>
        <v>2.147727272727273E-2</v>
      </c>
      <c r="AA37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76" s="11">
        <f>AVERAGEIFS(EarningsPerDay[Gross $/Hour],EarningsPerDay[Week '#], EarningsPerDay[[#This Row],[Week '#]], EarningsPerDay[DOW], EarningsPerDay[[#This Row],[DOW]])</f>
        <v>24.71711727802343</v>
      </c>
      <c r="AC376" s="11">
        <f>EarningsPerDay[[#This Row],[Gross $/Hour]] - EarningsPerDay[[#This Row],[Weekly Average Earnings]]</f>
        <v>-0.8493924102985595</v>
      </c>
      <c r="AD376" s="11">
        <f>(SUMIFS(EarningsPerDay[Gross Earnings], EarningsPerDay[Date],"&gt;="&amp;EarningsPerDay[[#This Row],[Date]]-89, EarningsPerDay[Date], "&lt;="&amp;EarningsPerDay[[#This Row],[Date]]))/90</f>
        <v>57.870999999999995</v>
      </c>
    </row>
    <row r="377" spans="2:30" x14ac:dyDescent="0.35">
      <c r="B377" s="40">
        <v>45214</v>
      </c>
      <c r="C377" s="40">
        <f t="shared" si="39"/>
        <v>45214</v>
      </c>
      <c r="D377" s="4">
        <f>IF(EarningsPerDay[[#This Row],[Week '#]]&gt;=52,YEAR(EarningsPerDay[[#This Row],[Date]])-1,YEAR(EarningsPerDay[[#This Row],[Date]]))</f>
        <v>2023</v>
      </c>
      <c r="E377" s="4" t="str">
        <f>"QTR"&amp;IF(EarningsPerDay[[#This Row],[Week '#]] &lt;= 13, 1, IF(EarningsPerDay[[#This Row],[Week '#]] &lt;= 26, 2, IF(EarningsPerDay[[#This Row],[Week '#]] &lt;= 39, 3, 4)))</f>
        <v>QTR4</v>
      </c>
      <c r="F3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377" s="4">
        <f>IF(WEEKNUM(EarningsPerDay[[#This Row],[Date]], 2) = 53, 1, WEEKNUM(EarningsPerDay[[#This Row],[Date]],2))</f>
        <v>42</v>
      </c>
      <c r="H377" s="40" t="str">
        <f t="shared" si="40"/>
        <v>Sunday</v>
      </c>
      <c r="I37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77" s="40" t="str" cm="1">
        <f t="array" ref="J377">IFERROR(VLOOKUP(MODE(IF(Combined[Date]=EarningsPerDay[[#This Row],[Date]],Combined[Area '#])),KPIs!$B$4:$C$7,2,FALSE),VLOOKUP(EarningsPerDay[[#This Row],[Date]],Combined[[Date]:[Primary Area]],8,FALSE))</f>
        <v>Brunswick/Bath/Freeport</v>
      </c>
      <c r="K377" s="40" t="str">
        <f>_xlfn.XLOOKUP(EarningsPerDay[[#This Row],[Date]],Mileage[Date],Mileage[Weather])</f>
        <v>Overcast</v>
      </c>
      <c r="L377" s="4">
        <f>_xlfn.XLOOKUP(EarningsPerDay[[#This Row],[Date]],Mileage[Date],Mileage[Hi Temp])</f>
        <v>54</v>
      </c>
      <c r="M377" s="12">
        <f>_xlfn.XLOOKUP(EarningsPerDay[[#This Row],[Date]],Mileage[Date],Mileage[Total Time])</f>
        <v>1.68</v>
      </c>
      <c r="N377" s="4">
        <f>_xlfn.XLOOKUP(EarningsPerDay[[#This Row],[Date]],Mileage[Date],Mileage[Mileage])</f>
        <v>33</v>
      </c>
      <c r="O377" s="4">
        <f>SUMIF(Combined[Date],EarningsPerDay[[#This Row],[Date]],Combined[Trips])</f>
        <v>4</v>
      </c>
      <c r="P377">
        <f>COUNTIF(Combined[Date],EarningsPerDay[[#This Row],[Date]])</f>
        <v>1</v>
      </c>
      <c r="Q3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7" s="11">
        <f>SUMIF(Combined[Date],EarningsPerDay[[#This Row],[Date]],Combined[Earnings])</f>
        <v>50.75</v>
      </c>
      <c r="S377" s="11">
        <f ca="1">EarningsPerDay[[#This Row],[Gross Earnings]]-(EarningsPerDay[[#This Row],[Miles]]*CpM!$D$11)</f>
        <v>43.391887943266632</v>
      </c>
      <c r="T377" s="11">
        <f t="shared" si="37"/>
        <v>30.208333333333336</v>
      </c>
      <c r="U377" s="11">
        <f t="shared" ca="1" si="38"/>
        <v>25.828504728134902</v>
      </c>
      <c r="V377" s="11">
        <f>EarningsPerDay[[#This Row],[Gross Earnings]]/EarningsPerDay[[#This Row],[Deliveries]]</f>
        <v>12.6875</v>
      </c>
      <c r="W377" s="11">
        <f>EarningsPerDay[[#This Row],[Gross Earnings]]/EarningsPerDay[[#This Row],[Miles]]</f>
        <v>1.5378787878787878</v>
      </c>
      <c r="X377" s="71">
        <f>EarningsPerDay[[#This Row],[Deliveries]]/EarningsPerDay[[#This Row],[Hours]]</f>
        <v>2.3809523809523809</v>
      </c>
      <c r="Y377" s="71">
        <f>EarningsPerDay[[#This Row],[Miles]]/EarningsPerDay[[#This Row],[Deliveries]]</f>
        <v>8.25</v>
      </c>
      <c r="Z377" s="81">
        <f>(EarningsPerDay[[#This Row],[Hours]]/EarningsPerDay[[#This Row],[Deliveries]])/24</f>
        <v>1.7499999999999998E-2</v>
      </c>
      <c r="AA3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11.569742505883813</v>
      </c>
      <c r="AB377" s="11">
        <f>AVERAGEIFS(EarningsPerDay[Gross $/Hour],EarningsPerDay[Week '#], EarningsPerDay[[#This Row],[Week '#]], EarningsPerDay[DOW], EarningsPerDay[[#This Row],[DOW]])</f>
        <v>25.972257118927978</v>
      </c>
      <c r="AC377" s="11">
        <f>EarningsPerDay[[#This Row],[Gross $/Hour]] - EarningsPerDay[[#This Row],[Weekly Average Earnings]]</f>
        <v>4.2360762144053581</v>
      </c>
      <c r="AD377" s="11">
        <f>(SUMIFS(EarningsPerDay[Gross Earnings], EarningsPerDay[Date],"&gt;="&amp;EarningsPerDay[[#This Row],[Date]]-89, EarningsPerDay[Date], "&lt;="&amp;EarningsPerDay[[#This Row],[Date]]))/90</f>
        <v>55.967888888888893</v>
      </c>
    </row>
    <row r="378" spans="2:30" x14ac:dyDescent="0.35">
      <c r="B378" s="40">
        <v>45216</v>
      </c>
      <c r="C378" s="40">
        <f t="shared" si="39"/>
        <v>45216</v>
      </c>
      <c r="D378" s="4">
        <f>IF(EarningsPerDay[[#This Row],[Week '#]]&gt;=52,YEAR(EarningsPerDay[[#This Row],[Date]])-1,YEAR(EarningsPerDay[[#This Row],[Date]]))</f>
        <v>2023</v>
      </c>
      <c r="E378" s="4" t="str">
        <f>"QTR"&amp;IF(EarningsPerDay[[#This Row],[Week '#]] &lt;= 13, 1, IF(EarningsPerDay[[#This Row],[Week '#]] &lt;= 26, 2, IF(EarningsPerDay[[#This Row],[Week '#]] &lt;= 39, 3, 4)))</f>
        <v>QTR4</v>
      </c>
      <c r="F3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78" s="4">
        <f>IF(WEEKNUM(EarningsPerDay[[#This Row],[Date]], 2) = 53, 1, WEEKNUM(EarningsPerDay[[#This Row],[Date]],2))</f>
        <v>43</v>
      </c>
      <c r="H378" s="40" t="str">
        <f t="shared" si="40"/>
        <v>Tuesday</v>
      </c>
      <c r="I37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78" s="40" t="str" cm="1">
        <f t="array" ref="J378">IFERROR(VLOOKUP(MODE(IF(Combined[Date]=EarningsPerDay[[#This Row],[Date]],Combined[Area '#])),KPIs!$B$4:$C$7,2,FALSE),VLOOKUP(EarningsPerDay[[#This Row],[Date]],Combined[[Date]:[Primary Area]],8,FALSE))</f>
        <v>Portland</v>
      </c>
      <c r="K378" s="40" t="str">
        <f>_xlfn.XLOOKUP(EarningsPerDay[[#This Row],[Date]],Mileage[Date],Mileage[Weather])</f>
        <v>Overcast</v>
      </c>
      <c r="L378" s="4">
        <f>_xlfn.XLOOKUP(EarningsPerDay[[#This Row],[Date]],Mileage[Date],Mileage[Hi Temp])</f>
        <v>52</v>
      </c>
      <c r="M378" s="12">
        <f>_xlfn.XLOOKUP(EarningsPerDay[[#This Row],[Date]],Mileage[Date],Mileage[Total Time])</f>
        <v>5.42</v>
      </c>
      <c r="N378" s="4">
        <f>_xlfn.XLOOKUP(EarningsPerDay[[#This Row],[Date]],Mileage[Date],Mileage[Mileage])</f>
        <v>92</v>
      </c>
      <c r="O378" s="4">
        <f>SUMIF(Combined[Date],EarningsPerDay[[#This Row],[Date]],Combined[Trips])</f>
        <v>15</v>
      </c>
      <c r="P378">
        <f>COUNTIF(Combined[Date],EarningsPerDay[[#This Row],[Date]])</f>
        <v>1</v>
      </c>
      <c r="Q3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8" s="11">
        <f>SUMIF(Combined[Date],EarningsPerDay[[#This Row],[Date]],Combined[Earnings])</f>
        <v>126.25</v>
      </c>
      <c r="S378" s="11">
        <f ca="1">EarningsPerDay[[#This Row],[Gross Earnings]]-(EarningsPerDay[[#This Row],[Miles]]*CpM!$D$11)</f>
        <v>105.73647547819789</v>
      </c>
      <c r="T378" s="11">
        <f t="shared" si="37"/>
        <v>23.293357933579337</v>
      </c>
      <c r="U378" s="11">
        <f t="shared" ca="1" si="38"/>
        <v>19.508574811475626</v>
      </c>
      <c r="V378" s="11">
        <f>EarningsPerDay[[#This Row],[Gross Earnings]]/EarningsPerDay[[#This Row],[Deliveries]]</f>
        <v>8.4166666666666661</v>
      </c>
      <c r="W378" s="11">
        <f>EarningsPerDay[[#This Row],[Gross Earnings]]/EarningsPerDay[[#This Row],[Miles]]</f>
        <v>1.3722826086956521</v>
      </c>
      <c r="X378" s="71">
        <f>EarningsPerDay[[#This Row],[Deliveries]]/EarningsPerDay[[#This Row],[Hours]]</f>
        <v>2.7675276752767526</v>
      </c>
      <c r="Y378" s="71">
        <f>EarningsPerDay[[#This Row],[Miles]]/EarningsPerDay[[#This Row],[Deliveries]]</f>
        <v>6.1333333333333337</v>
      </c>
      <c r="Z378" s="81">
        <f>(EarningsPerDay[[#This Row],[Hours]]/EarningsPerDay[[#This Row],[Deliveries]])/24</f>
        <v>1.5055555555555556E-2</v>
      </c>
      <c r="AA3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4.7757215699429736</v>
      </c>
      <c r="AB378" s="11">
        <f>AVERAGEIFS(EarningsPerDay[Gross $/Hour],EarningsPerDay[Week '#], EarningsPerDay[[#This Row],[Week '#]], EarningsPerDay[DOW], EarningsPerDay[[#This Row],[DOW]])</f>
        <v>22.257518733367181</v>
      </c>
      <c r="AC378" s="11">
        <f>EarningsPerDay[[#This Row],[Gross $/Hour]] - EarningsPerDay[[#This Row],[Weekly Average Earnings]]</f>
        <v>1.0358392002121555</v>
      </c>
      <c r="AD378" s="11">
        <f>(SUMIFS(EarningsPerDay[Gross Earnings], EarningsPerDay[Date],"&gt;="&amp;EarningsPerDay[[#This Row],[Date]]-89, EarningsPerDay[Date], "&lt;="&amp;EarningsPerDay[[#This Row],[Date]]))/90</f>
        <v>56.084111111111106</v>
      </c>
    </row>
    <row r="379" spans="2:30" x14ac:dyDescent="0.35">
      <c r="B379" s="40">
        <v>45217</v>
      </c>
      <c r="C379" s="40">
        <f t="shared" si="39"/>
        <v>45217</v>
      </c>
      <c r="D379" s="4">
        <f>IF(EarningsPerDay[[#This Row],[Week '#]]&gt;=52,YEAR(EarningsPerDay[[#This Row],[Date]])-1,YEAR(EarningsPerDay[[#This Row],[Date]]))</f>
        <v>2023</v>
      </c>
      <c r="E379" s="4" t="str">
        <f>"QTR"&amp;IF(EarningsPerDay[[#This Row],[Week '#]] &lt;= 13, 1, IF(EarningsPerDay[[#This Row],[Week '#]] &lt;= 26, 2, IF(EarningsPerDay[[#This Row],[Week '#]] &lt;= 39, 3, 4)))</f>
        <v>QTR4</v>
      </c>
      <c r="F3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379" s="4">
        <f>IF(WEEKNUM(EarningsPerDay[[#This Row],[Date]], 2) = 53, 1, WEEKNUM(EarningsPerDay[[#This Row],[Date]],2))</f>
        <v>43</v>
      </c>
      <c r="H379" s="40" t="str">
        <f t="shared" si="40"/>
        <v>Wednesday</v>
      </c>
      <c r="I37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79" s="40" t="str" cm="1">
        <f t="array" ref="J379">IFERROR(VLOOKUP(MODE(IF(Combined[Date]=EarningsPerDay[[#This Row],[Date]],Combined[Area '#])),KPIs!$B$4:$C$7,2,FALSE),VLOOKUP(EarningsPerDay[[#This Row],[Date]],Combined[[Date]:[Primary Area]],8,FALSE))</f>
        <v>Brunswick/Bath/Freeport</v>
      </c>
      <c r="K379" s="40" t="str">
        <f>_xlfn.XLOOKUP(EarningsPerDay[[#This Row],[Date]],Mileage[Date],Mileage[Weather])</f>
        <v>Overcast</v>
      </c>
      <c r="L379" s="4">
        <f>_xlfn.XLOOKUP(EarningsPerDay[[#This Row],[Date]],Mileage[Date],Mileage[Hi Temp])</f>
        <v>54</v>
      </c>
      <c r="M379" s="12">
        <f>_xlfn.XLOOKUP(EarningsPerDay[[#This Row],[Date]],Mileage[Date],Mileage[Total Time])</f>
        <v>4.5</v>
      </c>
      <c r="N379" s="4">
        <f>_xlfn.XLOOKUP(EarningsPerDay[[#This Row],[Date]],Mileage[Date],Mileage[Mileage])</f>
        <v>111</v>
      </c>
      <c r="O379" s="4">
        <f>SUMIF(Combined[Date],EarningsPerDay[[#This Row],[Date]],Combined[Trips])</f>
        <v>9</v>
      </c>
      <c r="P379">
        <f>COUNTIF(Combined[Date],EarningsPerDay[[#This Row],[Date]])</f>
        <v>4</v>
      </c>
      <c r="Q3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79" s="11">
        <f>SUMIF(Combined[Date],EarningsPerDay[[#This Row],[Date]],Combined[Earnings])</f>
        <v>115.52000000000001</v>
      </c>
      <c r="S379" s="11">
        <f ca="1">EarningsPerDay[[#This Row],[Gross Earnings]]-(EarningsPerDay[[#This Row],[Miles]]*CpM!$D$11)</f>
        <v>90.769986718260498</v>
      </c>
      <c r="T379" s="11">
        <f t="shared" si="37"/>
        <v>25.671111111111113</v>
      </c>
      <c r="U379" s="11">
        <f t="shared" ca="1" si="38"/>
        <v>20.171108159613443</v>
      </c>
      <c r="V379" s="11">
        <f>EarningsPerDay[[#This Row],[Gross Earnings]]/EarningsPerDay[[#This Row],[Deliveries]]</f>
        <v>12.835555555555556</v>
      </c>
      <c r="W379" s="11">
        <f>EarningsPerDay[[#This Row],[Gross Earnings]]/EarningsPerDay[[#This Row],[Miles]]</f>
        <v>1.0407207207207207</v>
      </c>
      <c r="X379" s="71">
        <f>EarningsPerDay[[#This Row],[Deliveries]]/EarningsPerDay[[#This Row],[Hours]]</f>
        <v>2</v>
      </c>
      <c r="Y379" s="71">
        <f>EarningsPerDay[[#This Row],[Miles]]/EarningsPerDay[[#This Row],[Deliveries]]</f>
        <v>12.333333333333334</v>
      </c>
      <c r="Z379" s="81">
        <f>(EarningsPerDay[[#This Row],[Hours]]/EarningsPerDay[[#This Row],[Deliveries]])/24</f>
        <v>2.0833333333333332E-2</v>
      </c>
      <c r="AA3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3.9750285256358424</v>
      </c>
      <c r="AB379" s="11">
        <f>AVERAGEIFS(EarningsPerDay[Gross $/Hour],EarningsPerDay[Week '#], EarningsPerDay[[#This Row],[Week '#]], EarningsPerDay[DOW], EarningsPerDay[[#This Row],[DOW]])</f>
        <v>25.671111111111113</v>
      </c>
      <c r="AC379" s="11">
        <f>EarningsPerDay[[#This Row],[Gross $/Hour]] - EarningsPerDay[[#This Row],[Weekly Average Earnings]]</f>
        <v>0</v>
      </c>
      <c r="AD379" s="11">
        <f>(SUMIFS(EarningsPerDay[Gross Earnings], EarningsPerDay[Date],"&gt;="&amp;EarningsPerDay[[#This Row],[Date]]-89, EarningsPerDay[Date], "&lt;="&amp;EarningsPerDay[[#This Row],[Date]]))/90</f>
        <v>57.367666666666665</v>
      </c>
    </row>
    <row r="380" spans="2:30" x14ac:dyDescent="0.35">
      <c r="B380" s="40">
        <v>45222</v>
      </c>
      <c r="C380" s="40">
        <f t="shared" si="39"/>
        <v>45222</v>
      </c>
      <c r="D380" s="4">
        <f>IF(EarningsPerDay[[#This Row],[Week '#]]&gt;=52,YEAR(EarningsPerDay[[#This Row],[Date]])-1,YEAR(EarningsPerDay[[#This Row],[Date]]))</f>
        <v>2023</v>
      </c>
      <c r="E380" s="4" t="str">
        <f>"QTR"&amp;IF(EarningsPerDay[[#This Row],[Week '#]] &lt;= 13, 1, IF(EarningsPerDay[[#This Row],[Week '#]] &lt;= 26, 2, IF(EarningsPerDay[[#This Row],[Week '#]] &lt;= 39, 3, 4)))</f>
        <v>QTR4</v>
      </c>
      <c r="F3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80" s="4">
        <f>IF(WEEKNUM(EarningsPerDay[[#This Row],[Date]], 2) = 53, 1, WEEKNUM(EarningsPerDay[[#This Row],[Date]],2))</f>
        <v>44</v>
      </c>
      <c r="H380" s="40" t="str">
        <f t="shared" si="40"/>
        <v>Monday</v>
      </c>
      <c r="I38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80" s="40" t="str" cm="1">
        <f t="array" ref="J380">IFERROR(VLOOKUP(MODE(IF(Combined[Date]=EarningsPerDay[[#This Row],[Date]],Combined[Area '#])),KPIs!$B$4:$C$7,2,FALSE),VLOOKUP(EarningsPerDay[[#This Row],[Date]],Combined[[Date]:[Primary Area]],8,FALSE))</f>
        <v>Brunswick/Bath/Freeport</v>
      </c>
      <c r="K380" s="40" t="str">
        <f>_xlfn.XLOOKUP(EarningsPerDay[[#This Row],[Date]],Mileage[Date],Mileage[Weather])</f>
        <v>Partially Cloudy</v>
      </c>
      <c r="L380" s="4">
        <f>_xlfn.XLOOKUP(EarningsPerDay[[#This Row],[Date]],Mileage[Date],Mileage[Hi Temp])</f>
        <v>48</v>
      </c>
      <c r="M380" s="12">
        <f>_xlfn.XLOOKUP(EarningsPerDay[[#This Row],[Date]],Mileage[Date],Mileage[Total Time])</f>
        <v>3.28</v>
      </c>
      <c r="N380" s="4">
        <f>_xlfn.XLOOKUP(EarningsPerDay[[#This Row],[Date]],Mileage[Date],Mileage[Mileage])</f>
        <v>54</v>
      </c>
      <c r="O380" s="4">
        <f>SUMIF(Combined[Date],EarningsPerDay[[#This Row],[Date]],Combined[Trips])</f>
        <v>9</v>
      </c>
      <c r="P380">
        <f>COUNTIF(Combined[Date],EarningsPerDay[[#This Row],[Date]])</f>
        <v>3</v>
      </c>
      <c r="Q3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0" s="11">
        <f>SUMIF(Combined[Date],EarningsPerDay[[#This Row],[Date]],Combined[Earnings])</f>
        <v>93.95</v>
      </c>
      <c r="S380" s="11">
        <f ca="1">EarningsPerDay[[#This Row],[Gross Earnings]]-(EarningsPerDay[[#This Row],[Miles]]*CpM!$D$11)</f>
        <v>81.90945299807268</v>
      </c>
      <c r="T380" s="11">
        <f t="shared" si="37"/>
        <v>28.64329268292683</v>
      </c>
      <c r="U380" s="11">
        <f t="shared" ca="1" si="38"/>
        <v>24.972394206729476</v>
      </c>
      <c r="V380" s="11">
        <f>EarningsPerDay[[#This Row],[Gross Earnings]]/EarningsPerDay[[#This Row],[Deliveries]]</f>
        <v>10.43888888888889</v>
      </c>
      <c r="W380" s="11">
        <f>EarningsPerDay[[#This Row],[Gross Earnings]]/EarningsPerDay[[#This Row],[Miles]]</f>
        <v>1.7398148148148149</v>
      </c>
      <c r="X380" s="71">
        <f>EarningsPerDay[[#This Row],[Deliveries]]/EarningsPerDay[[#This Row],[Hours]]</f>
        <v>2.7439024390243905</v>
      </c>
      <c r="Y380" s="71">
        <f>EarningsPerDay[[#This Row],[Miles]]/EarningsPerDay[[#This Row],[Deliveries]]</f>
        <v>6</v>
      </c>
      <c r="Z380" s="81">
        <f>(EarningsPerDay[[#This Row],[Hours]]/EarningsPerDay[[#This Row],[Deliveries]])/24</f>
        <v>1.5185185185185184E-2</v>
      </c>
      <c r="AA3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4.5124625629699011</v>
      </c>
      <c r="AB380" s="11">
        <f>AVERAGEIFS(EarningsPerDay[Gross $/Hour],EarningsPerDay[Week '#], EarningsPerDay[[#This Row],[Week '#]], EarningsPerDay[DOW], EarningsPerDay[[#This Row],[DOW]])</f>
        <v>23.348653143428958</v>
      </c>
      <c r="AC380" s="11">
        <f>EarningsPerDay[[#This Row],[Gross $/Hour]] - EarningsPerDay[[#This Row],[Weekly Average Earnings]]</f>
        <v>5.2946395394978722</v>
      </c>
      <c r="AD380" s="11">
        <f>(SUMIFS(EarningsPerDay[Gross Earnings], EarningsPerDay[Date],"&gt;="&amp;EarningsPerDay[[#This Row],[Date]]-89, EarningsPerDay[Date], "&lt;="&amp;EarningsPerDay[[#This Row],[Date]]))/90</f>
        <v>55.695555555555558</v>
      </c>
    </row>
    <row r="381" spans="2:30" x14ac:dyDescent="0.35">
      <c r="B381" s="40">
        <v>45223</v>
      </c>
      <c r="C381" s="40">
        <f t="shared" si="39"/>
        <v>45223</v>
      </c>
      <c r="D381" s="4">
        <f>IF(EarningsPerDay[[#This Row],[Week '#]]&gt;=52,YEAR(EarningsPerDay[[#This Row],[Date]])-1,YEAR(EarningsPerDay[[#This Row],[Date]]))</f>
        <v>2023</v>
      </c>
      <c r="E381" s="4" t="str">
        <f>"QTR"&amp;IF(EarningsPerDay[[#This Row],[Week '#]] &lt;= 13, 1, IF(EarningsPerDay[[#This Row],[Week '#]] &lt;= 26, 2, IF(EarningsPerDay[[#This Row],[Week '#]] &lt;= 39, 3, 4)))</f>
        <v>QTR4</v>
      </c>
      <c r="F3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81" s="4">
        <f>IF(WEEKNUM(EarningsPerDay[[#This Row],[Date]], 2) = 53, 1, WEEKNUM(EarningsPerDay[[#This Row],[Date]],2))</f>
        <v>44</v>
      </c>
      <c r="H381" s="40" t="str">
        <f t="shared" si="40"/>
        <v>Tuesday</v>
      </c>
      <c r="I38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81" s="40" t="str" cm="1">
        <f t="array" ref="J381">IFERROR(VLOOKUP(MODE(IF(Combined[Date]=EarningsPerDay[[#This Row],[Date]],Combined[Area '#])),KPIs!$B$4:$C$7,2,FALSE),VLOOKUP(EarningsPerDay[[#This Row],[Date]],Combined[[Date]:[Primary Area]],8,FALSE))</f>
        <v>Brunswick/Bath/Freeport</v>
      </c>
      <c r="K381" s="40" t="str">
        <f>_xlfn.XLOOKUP(EarningsPerDay[[#This Row],[Date]],Mileage[Date],Mileage[Weather])</f>
        <v>Overcast</v>
      </c>
      <c r="L381" s="4">
        <f>_xlfn.XLOOKUP(EarningsPerDay[[#This Row],[Date]],Mileage[Date],Mileage[Hi Temp])</f>
        <v>50</v>
      </c>
      <c r="M381" s="12">
        <f>_xlfn.XLOOKUP(EarningsPerDay[[#This Row],[Date]],Mileage[Date],Mileage[Total Time])</f>
        <v>3.33</v>
      </c>
      <c r="N381" s="4">
        <f>_xlfn.XLOOKUP(EarningsPerDay[[#This Row],[Date]],Mileage[Date],Mileage[Mileage])</f>
        <v>64</v>
      </c>
      <c r="O381" s="4">
        <f>SUMIF(Combined[Date],EarningsPerDay[[#This Row],[Date]],Combined[Trips])</f>
        <v>10</v>
      </c>
      <c r="P381">
        <f>COUNTIF(Combined[Date],EarningsPerDay[[#This Row],[Date]])</f>
        <v>2</v>
      </c>
      <c r="Q3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1" s="11">
        <f>SUMIF(Combined[Date],EarningsPerDay[[#This Row],[Date]],Combined[Earnings])</f>
        <v>89.179999999999993</v>
      </c>
      <c r="S381" s="11">
        <f ca="1">EarningsPerDay[[#This Row],[Gross Earnings]]-(EarningsPerDay[[#This Row],[Miles]]*CpM!$D$11)</f>
        <v>74.90972207178983</v>
      </c>
      <c r="T381" s="11">
        <f t="shared" si="37"/>
        <v>26.780780780780777</v>
      </c>
      <c r="U381" s="11">
        <f t="shared" ca="1" si="38"/>
        <v>22.495412033570521</v>
      </c>
      <c r="V381" s="11">
        <f>EarningsPerDay[[#This Row],[Gross Earnings]]/EarningsPerDay[[#This Row],[Deliveries]]</f>
        <v>8.9179999999999993</v>
      </c>
      <c r="W381" s="11">
        <f>EarningsPerDay[[#This Row],[Gross Earnings]]/EarningsPerDay[[#This Row],[Miles]]</f>
        <v>1.3934374999999999</v>
      </c>
      <c r="X381" s="71">
        <f>EarningsPerDay[[#This Row],[Deliveries]]/EarningsPerDay[[#This Row],[Hours]]</f>
        <v>3.0030030030030028</v>
      </c>
      <c r="Y381" s="71">
        <f>EarningsPerDay[[#This Row],[Miles]]/EarningsPerDay[[#This Row],[Deliveries]]</f>
        <v>6.4</v>
      </c>
      <c r="Z381" s="81">
        <f>(EarningsPerDay[[#This Row],[Hours]]/EarningsPerDay[[#This Row],[Deliveries]])/24</f>
        <v>1.3875E-2</v>
      </c>
      <c r="AA3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3.7446377102884973</v>
      </c>
      <c r="AB381" s="11">
        <f>AVERAGEIFS(EarningsPerDay[Gross $/Hour],EarningsPerDay[Week '#], EarningsPerDay[[#This Row],[Week '#]], EarningsPerDay[DOW], EarningsPerDay[[#This Row],[DOW]])</f>
        <v>21.655685828705042</v>
      </c>
      <c r="AC381" s="11">
        <f>EarningsPerDay[[#This Row],[Gross $/Hour]] - EarningsPerDay[[#This Row],[Weekly Average Earnings]]</f>
        <v>5.1250949520757345</v>
      </c>
      <c r="AD381" s="11">
        <f>(SUMIFS(EarningsPerDay[Gross Earnings], EarningsPerDay[Date],"&gt;="&amp;EarningsPerDay[[#This Row],[Date]]-89, EarningsPerDay[Date], "&lt;="&amp;EarningsPerDay[[#This Row],[Date]]))/90</f>
        <v>56.686444444444454</v>
      </c>
    </row>
    <row r="382" spans="2:30" x14ac:dyDescent="0.35">
      <c r="B382" s="40">
        <v>45224</v>
      </c>
      <c r="C382" s="40">
        <f t="shared" si="39"/>
        <v>45224</v>
      </c>
      <c r="D382" s="4">
        <f>IF(EarningsPerDay[[#This Row],[Week '#]]&gt;=52,YEAR(EarningsPerDay[[#This Row],[Date]])-1,YEAR(EarningsPerDay[[#This Row],[Date]]))</f>
        <v>2023</v>
      </c>
      <c r="E382" s="4" t="str">
        <f>"QTR"&amp;IF(EarningsPerDay[[#This Row],[Week '#]] &lt;= 13, 1, IF(EarningsPerDay[[#This Row],[Week '#]] &lt;= 26, 2, IF(EarningsPerDay[[#This Row],[Week '#]] &lt;= 39, 3, 4)))</f>
        <v>QTR4</v>
      </c>
      <c r="F3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82" s="4">
        <f>IF(WEEKNUM(EarningsPerDay[[#This Row],[Date]], 2) = 53, 1, WEEKNUM(EarningsPerDay[[#This Row],[Date]],2))</f>
        <v>44</v>
      </c>
      <c r="H382" s="40" t="str">
        <f t="shared" si="40"/>
        <v>Wednesday</v>
      </c>
      <c r="I38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82" s="40" t="str" cm="1">
        <f t="array" ref="J382">IFERROR(VLOOKUP(MODE(IF(Combined[Date]=EarningsPerDay[[#This Row],[Date]],Combined[Area '#])),KPIs!$B$4:$C$7,2,FALSE),VLOOKUP(EarningsPerDay[[#This Row],[Date]],Combined[[Date]:[Primary Area]],8,FALSE))</f>
        <v>Augusta</v>
      </c>
      <c r="K382" s="40" t="str">
        <f>_xlfn.XLOOKUP(EarningsPerDay[[#This Row],[Date]],Mileage[Date],Mileage[Weather])</f>
        <v>Clear</v>
      </c>
      <c r="L382" s="4">
        <f>_xlfn.XLOOKUP(EarningsPerDay[[#This Row],[Date]],Mileage[Date],Mileage[Hi Temp])</f>
        <v>61</v>
      </c>
      <c r="M382" s="12">
        <f>_xlfn.XLOOKUP(EarningsPerDay[[#This Row],[Date]],Mileage[Date],Mileage[Total Time])</f>
        <v>3.52</v>
      </c>
      <c r="N382" s="4">
        <f>_xlfn.XLOOKUP(EarningsPerDay[[#This Row],[Date]],Mileage[Date],Mileage[Mileage])</f>
        <v>94</v>
      </c>
      <c r="O382" s="4">
        <f>SUMIF(Combined[Date],EarningsPerDay[[#This Row],[Date]],Combined[Trips])</f>
        <v>6</v>
      </c>
      <c r="P382">
        <f>COUNTIF(Combined[Date],EarningsPerDay[[#This Row],[Date]])</f>
        <v>1</v>
      </c>
      <c r="Q3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2" s="11">
        <f>SUMIF(Combined[Date],EarningsPerDay[[#This Row],[Date]],Combined[Earnings])</f>
        <v>50.75</v>
      </c>
      <c r="S382" s="11">
        <f ca="1">EarningsPerDay[[#This Row],[Gross Earnings]]-(EarningsPerDay[[#This Row],[Miles]]*CpM!$D$11)</f>
        <v>29.790529292941322</v>
      </c>
      <c r="T382" s="11">
        <f t="shared" si="37"/>
        <v>14.417613636363637</v>
      </c>
      <c r="U382" s="11">
        <f t="shared" ca="1" si="38"/>
        <v>8.4632185491310565</v>
      </c>
      <c r="V382" s="11">
        <f>EarningsPerDay[[#This Row],[Gross Earnings]]/EarningsPerDay[[#This Row],[Deliveries]]</f>
        <v>8.4583333333333339</v>
      </c>
      <c r="W382" s="11">
        <f>EarningsPerDay[[#This Row],[Gross Earnings]]/EarningsPerDay[[#This Row],[Miles]]</f>
        <v>0.53989361702127658</v>
      </c>
      <c r="X382" s="71">
        <f>EarningsPerDay[[#This Row],[Deliveries]]/EarningsPerDay[[#This Row],[Hours]]</f>
        <v>1.7045454545454546</v>
      </c>
      <c r="Y382" s="71">
        <f>EarningsPerDay[[#This Row],[Miles]]/EarningsPerDay[[#This Row],[Deliveries]]</f>
        <v>15.666666666666666</v>
      </c>
      <c r="Z382" s="81">
        <f>(EarningsPerDay[[#This Row],[Hours]]/EarningsPerDay[[#This Row],[Deliveries]])/24</f>
        <v>2.4444444444444446E-2</v>
      </c>
      <c r="AA382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82" s="11">
        <f>AVERAGEIFS(EarningsPerDay[Gross $/Hour],EarningsPerDay[Week '#], EarningsPerDay[[#This Row],[Week '#]], EarningsPerDay[DOW], EarningsPerDay[[#This Row],[DOW]])</f>
        <v>26.418192488621589</v>
      </c>
      <c r="AC382" s="11">
        <f>EarningsPerDay[[#This Row],[Gross $/Hour]] - EarningsPerDay[[#This Row],[Weekly Average Earnings]]</f>
        <v>-12.000578852257952</v>
      </c>
      <c r="AD382" s="11">
        <f>(SUMIFS(EarningsPerDay[Gross Earnings], EarningsPerDay[Date],"&gt;="&amp;EarningsPerDay[[#This Row],[Date]]-89, EarningsPerDay[Date], "&lt;="&amp;EarningsPerDay[[#This Row],[Date]]))/90</f>
        <v>57.250333333333337</v>
      </c>
    </row>
    <row r="383" spans="2:30" x14ac:dyDescent="0.35">
      <c r="B383" s="40">
        <v>45227</v>
      </c>
      <c r="C383" s="40">
        <f t="shared" si="39"/>
        <v>45227</v>
      </c>
      <c r="D383" s="4">
        <f>IF(EarningsPerDay[[#This Row],[Week '#]]&gt;=52,YEAR(EarningsPerDay[[#This Row],[Date]])-1,YEAR(EarningsPerDay[[#This Row],[Date]]))</f>
        <v>2023</v>
      </c>
      <c r="E383" s="4" t="str">
        <f>"QTR"&amp;IF(EarningsPerDay[[#This Row],[Week '#]] &lt;= 13, 1, IF(EarningsPerDay[[#This Row],[Week '#]] &lt;= 26, 2, IF(EarningsPerDay[[#This Row],[Week '#]] &lt;= 39, 3, 4)))</f>
        <v>QTR4</v>
      </c>
      <c r="F3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83" s="4">
        <f>IF(WEEKNUM(EarningsPerDay[[#This Row],[Date]], 2) = 53, 1, WEEKNUM(EarningsPerDay[[#This Row],[Date]],2))</f>
        <v>44</v>
      </c>
      <c r="H383" s="40" t="str">
        <f t="shared" si="40"/>
        <v>Saturday</v>
      </c>
      <c r="I383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383" s="40" t="str" cm="1">
        <f t="array" ref="J383">IFERROR(VLOOKUP(MODE(IF(Combined[Date]=EarningsPerDay[[#This Row],[Date]],Combined[Area '#])),KPIs!$B$4:$C$7,2,FALSE),VLOOKUP(EarningsPerDay[[#This Row],[Date]],Combined[[Date]:[Primary Area]],8,FALSE))</f>
        <v>Brunswick/Bath/Freeport</v>
      </c>
      <c r="K383" s="40" t="str">
        <f>_xlfn.XLOOKUP(EarningsPerDay[[#This Row],[Date]],Mileage[Date],Mileage[Weather])</f>
        <v>Clear</v>
      </c>
      <c r="L383" s="4">
        <f>_xlfn.XLOOKUP(EarningsPerDay[[#This Row],[Date]],Mileage[Date],Mileage[Hi Temp])</f>
        <v>66</v>
      </c>
      <c r="M383" s="12">
        <f>_xlfn.XLOOKUP(EarningsPerDay[[#This Row],[Date]],Mileage[Date],Mileage[Total Time])</f>
        <v>6.63</v>
      </c>
      <c r="N383" s="4">
        <f>_xlfn.XLOOKUP(EarningsPerDay[[#This Row],[Date]],Mileage[Date],Mileage[Mileage])</f>
        <v>126</v>
      </c>
      <c r="O383" s="4">
        <f>SUMIF(Combined[Date],EarningsPerDay[[#This Row],[Date]],Combined[Trips])</f>
        <v>10</v>
      </c>
      <c r="P383">
        <f>COUNTIF(Combined[Date],EarningsPerDay[[#This Row],[Date]])</f>
        <v>5</v>
      </c>
      <c r="Q3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3" s="11">
        <f>SUMIF(Combined[Date],EarningsPerDay[[#This Row],[Date]],Combined[Earnings])</f>
        <v>147.19999999999999</v>
      </c>
      <c r="S383" s="11">
        <f ca="1">EarningsPerDay[[#This Row],[Gross Earnings]]-(EarningsPerDay[[#This Row],[Miles]]*CpM!$D$11)</f>
        <v>119.10539032883622</v>
      </c>
      <c r="T383" s="11">
        <f t="shared" si="37"/>
        <v>22.202111613876319</v>
      </c>
      <c r="U383" s="11">
        <f t="shared" ca="1" si="38"/>
        <v>17.964613925917984</v>
      </c>
      <c r="V383" s="11">
        <f>EarningsPerDay[[#This Row],[Gross Earnings]]/EarningsPerDay[[#This Row],[Deliveries]]</f>
        <v>14.719999999999999</v>
      </c>
      <c r="W383" s="11">
        <f>EarningsPerDay[[#This Row],[Gross Earnings]]/EarningsPerDay[[#This Row],[Miles]]</f>
        <v>1.1682539682539681</v>
      </c>
      <c r="X383" s="71">
        <f>EarningsPerDay[[#This Row],[Deliveries]]/EarningsPerDay[[#This Row],[Hours]]</f>
        <v>1.5082956259426847</v>
      </c>
      <c r="Y383" s="71">
        <f>EarningsPerDay[[#This Row],[Miles]]/EarningsPerDay[[#This Row],[Deliveries]]</f>
        <v>12.6</v>
      </c>
      <c r="Z383" s="81">
        <f>(EarningsPerDay[[#This Row],[Hours]]/EarningsPerDay[[#This Row],[Deliveries]])/24</f>
        <v>2.7625E-2</v>
      </c>
      <c r="AA3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5.1783020900667935</v>
      </c>
      <c r="AB383" s="11">
        <f>AVERAGEIFS(EarningsPerDay[Gross $/Hour],EarningsPerDay[Week '#], EarningsPerDay[[#This Row],[Week '#]], EarningsPerDay[DOW], EarningsPerDay[[#This Row],[DOW]])</f>
        <v>20.061507532095767</v>
      </c>
      <c r="AC383" s="11">
        <f>EarningsPerDay[[#This Row],[Gross $/Hour]] - EarningsPerDay[[#This Row],[Weekly Average Earnings]]</f>
        <v>2.1406040817805518</v>
      </c>
      <c r="AD383" s="11">
        <f>(SUMIFS(EarningsPerDay[Gross Earnings], EarningsPerDay[Date],"&gt;="&amp;EarningsPerDay[[#This Row],[Date]]-89, EarningsPerDay[Date], "&lt;="&amp;EarningsPerDay[[#This Row],[Date]]))/90</f>
        <v>56.684999999999995</v>
      </c>
    </row>
    <row r="384" spans="2:30" x14ac:dyDescent="0.35">
      <c r="B384" s="40">
        <v>45228</v>
      </c>
      <c r="C384" s="40">
        <f t="shared" si="39"/>
        <v>45228</v>
      </c>
      <c r="D384" s="4">
        <f>IF(EarningsPerDay[[#This Row],[Week '#]]&gt;=52,YEAR(EarningsPerDay[[#This Row],[Date]])-1,YEAR(EarningsPerDay[[#This Row],[Date]]))</f>
        <v>2023</v>
      </c>
      <c r="E384" s="4" t="str">
        <f>"QTR"&amp;IF(EarningsPerDay[[#This Row],[Week '#]] &lt;= 13, 1, IF(EarningsPerDay[[#This Row],[Week '#]] &lt;= 26, 2, IF(EarningsPerDay[[#This Row],[Week '#]] &lt;= 39, 3, 4)))</f>
        <v>QTR4</v>
      </c>
      <c r="F3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384" s="4">
        <f>IF(WEEKNUM(EarningsPerDay[[#This Row],[Date]], 2) = 53, 1, WEEKNUM(EarningsPerDay[[#This Row],[Date]],2))</f>
        <v>44</v>
      </c>
      <c r="H384" s="40" t="str">
        <f t="shared" si="40"/>
        <v>Sunday</v>
      </c>
      <c r="I384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384" s="40" t="str" cm="1">
        <f t="array" ref="J384">IFERROR(VLOOKUP(MODE(IF(Combined[Date]=EarningsPerDay[[#This Row],[Date]],Combined[Area '#])),KPIs!$B$4:$C$7,2,FALSE),VLOOKUP(EarningsPerDay[[#This Row],[Date]],Combined[[Date]:[Primary Area]],8,FALSE))</f>
        <v>Brunswick/Bath/Freeport</v>
      </c>
      <c r="K384" s="40" t="str">
        <f>_xlfn.XLOOKUP(EarningsPerDay[[#This Row],[Date]],Mileage[Date],Mileage[Weather])</f>
        <v>Overcast</v>
      </c>
      <c r="L384" s="4">
        <f>_xlfn.XLOOKUP(EarningsPerDay[[#This Row],[Date]],Mileage[Date],Mileage[Hi Temp])</f>
        <v>45</v>
      </c>
      <c r="M384" s="12">
        <f>_xlfn.XLOOKUP(EarningsPerDay[[#This Row],[Date]],Mileage[Date],Mileage[Total Time])</f>
        <v>5.33</v>
      </c>
      <c r="N384" s="4">
        <f>_xlfn.XLOOKUP(EarningsPerDay[[#This Row],[Date]],Mileage[Date],Mileage[Mileage])</f>
        <v>126</v>
      </c>
      <c r="O384" s="4">
        <f>SUMIF(Combined[Date],EarningsPerDay[[#This Row],[Date]],Combined[Trips])</f>
        <v>12</v>
      </c>
      <c r="P384">
        <f>COUNTIF(Combined[Date],EarningsPerDay[[#This Row],[Date]])</f>
        <v>3</v>
      </c>
      <c r="Q3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4" s="11">
        <f>SUMIF(Combined[Date],EarningsPerDay[[#This Row],[Date]],Combined[Earnings])</f>
        <v>163.95999999999998</v>
      </c>
      <c r="S384" s="11">
        <f ca="1">EarningsPerDay[[#This Row],[Gross Earnings]]-(EarningsPerDay[[#This Row],[Miles]]*CpM!$D$11)</f>
        <v>135.86539032883621</v>
      </c>
      <c r="T384" s="11">
        <f t="shared" si="37"/>
        <v>30.761726078799246</v>
      </c>
      <c r="U384" s="11">
        <f t="shared" ca="1" si="38"/>
        <v>25.490692369387656</v>
      </c>
      <c r="V384" s="11">
        <f>EarningsPerDay[[#This Row],[Gross Earnings]]/EarningsPerDay[[#This Row],[Deliveries]]</f>
        <v>13.663333333333332</v>
      </c>
      <c r="W384" s="11">
        <f>EarningsPerDay[[#This Row],[Gross Earnings]]/EarningsPerDay[[#This Row],[Miles]]</f>
        <v>1.3012698412698411</v>
      </c>
      <c r="X384" s="71">
        <f>EarningsPerDay[[#This Row],[Deliveries]]/EarningsPerDay[[#This Row],[Hours]]</f>
        <v>2.2514071294559099</v>
      </c>
      <c r="Y384" s="71">
        <f>EarningsPerDay[[#This Row],[Miles]]/EarningsPerDay[[#This Row],[Deliveries]]</f>
        <v>10.5</v>
      </c>
      <c r="Z384" s="81">
        <f>(EarningsPerDay[[#This Row],[Hours]]/EarningsPerDay[[#This Row],[Deliveries]])/24</f>
        <v>1.8506944444444444E-2</v>
      </c>
      <c r="AA3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9.8091867501729624</v>
      </c>
      <c r="AB384" s="11">
        <f>AVERAGEIFS(EarningsPerDay[Gross $/Hour],EarningsPerDay[Week '#], EarningsPerDay[[#This Row],[Week '#]], EarningsPerDay[DOW], EarningsPerDay[[#This Row],[DOW]])</f>
        <v>25.478956891064474</v>
      </c>
      <c r="AC384" s="11">
        <f>EarningsPerDay[[#This Row],[Gross $/Hour]] - EarningsPerDay[[#This Row],[Weekly Average Earnings]]</f>
        <v>5.2827691877347718</v>
      </c>
      <c r="AD384" s="11">
        <f>(SUMIFS(EarningsPerDay[Gross Earnings], EarningsPerDay[Date],"&gt;="&amp;EarningsPerDay[[#This Row],[Date]]-89, EarningsPerDay[Date], "&lt;="&amp;EarningsPerDay[[#This Row],[Date]]))/90</f>
        <v>57.341222222222214</v>
      </c>
    </row>
    <row r="385" spans="2:30" x14ac:dyDescent="0.35">
      <c r="B385" s="40">
        <v>45229</v>
      </c>
      <c r="C385" s="40">
        <f t="shared" si="39"/>
        <v>45229</v>
      </c>
      <c r="D385" s="4">
        <f>IF(EarningsPerDay[[#This Row],[Week '#]]&gt;=52,YEAR(EarningsPerDay[[#This Row],[Date]])-1,YEAR(EarningsPerDay[[#This Row],[Date]]))</f>
        <v>2023</v>
      </c>
      <c r="E385" s="4" t="str">
        <f>"QTR"&amp;IF(EarningsPerDay[[#This Row],[Week '#]] &lt;= 13, 1, IF(EarningsPerDay[[#This Row],[Week '#]] &lt;= 26, 2, IF(EarningsPerDay[[#This Row],[Week '#]] &lt;= 39, 3, 4)))</f>
        <v>QTR4</v>
      </c>
      <c r="F3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85" s="4">
        <f>IF(WEEKNUM(EarningsPerDay[[#This Row],[Date]], 2) = 53, 1, WEEKNUM(EarningsPerDay[[#This Row],[Date]],2))</f>
        <v>45</v>
      </c>
      <c r="H385" s="40" t="str">
        <f t="shared" si="40"/>
        <v>Monday</v>
      </c>
      <c r="I38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85" s="40" t="str" cm="1">
        <f t="array" ref="J385">IFERROR(VLOOKUP(MODE(IF(Combined[Date]=EarningsPerDay[[#This Row],[Date]],Combined[Area '#])),KPIs!$B$4:$C$7,2,FALSE),VLOOKUP(EarningsPerDay[[#This Row],[Date]],Combined[[Date]:[Primary Area]],8,FALSE))</f>
        <v>Brunswick/Bath/Freeport</v>
      </c>
      <c r="K385" s="40" t="str">
        <f>_xlfn.XLOOKUP(EarningsPerDay[[#This Row],[Date]],Mileage[Date],Mileage[Weather])</f>
        <v>Overcast</v>
      </c>
      <c r="L385" s="4">
        <f>_xlfn.XLOOKUP(EarningsPerDay[[#This Row],[Date]],Mileage[Date],Mileage[Hi Temp])</f>
        <v>36</v>
      </c>
      <c r="M385" s="12">
        <f>_xlfn.XLOOKUP(EarningsPerDay[[#This Row],[Date]],Mileage[Date],Mileage[Total Time])</f>
        <v>4.4800000000000004</v>
      </c>
      <c r="N385" s="4">
        <f>_xlfn.XLOOKUP(EarningsPerDay[[#This Row],[Date]],Mileage[Date],Mileage[Mileage])</f>
        <v>98</v>
      </c>
      <c r="O385" s="4">
        <f>SUMIF(Combined[Date],EarningsPerDay[[#This Row],[Date]],Combined[Trips])</f>
        <v>10</v>
      </c>
      <c r="P385">
        <f>COUNTIF(Combined[Date],EarningsPerDay[[#This Row],[Date]])</f>
        <v>1</v>
      </c>
      <c r="Q3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5" s="11">
        <f>SUMIF(Combined[Date],EarningsPerDay[[#This Row],[Date]],Combined[Earnings])</f>
        <v>128.74</v>
      </c>
      <c r="S385" s="11">
        <f ca="1">EarningsPerDay[[#This Row],[Gross Earnings]]-(EarningsPerDay[[#This Row],[Miles]]*CpM!$D$11)</f>
        <v>106.88863692242819</v>
      </c>
      <c r="T385" s="11">
        <f t="shared" si="37"/>
        <v>28.736607142857142</v>
      </c>
      <c r="U385" s="11">
        <f t="shared" ca="1" si="38"/>
        <v>23.859070741613433</v>
      </c>
      <c r="V385" s="11">
        <f>EarningsPerDay[[#This Row],[Gross Earnings]]/EarningsPerDay[[#This Row],[Deliveries]]</f>
        <v>12.874000000000001</v>
      </c>
      <c r="W385" s="11">
        <f>EarningsPerDay[[#This Row],[Gross Earnings]]/EarningsPerDay[[#This Row],[Miles]]</f>
        <v>1.3136734693877552</v>
      </c>
      <c r="X385" s="71">
        <f>EarningsPerDay[[#This Row],[Deliveries]]/EarningsPerDay[[#This Row],[Hours]]</f>
        <v>2.2321428571428568</v>
      </c>
      <c r="Y385" s="71">
        <f>EarningsPerDay[[#This Row],[Miles]]/EarningsPerDay[[#This Row],[Deliveries]]</f>
        <v>9.8000000000000007</v>
      </c>
      <c r="Z385" s="81">
        <f>(EarningsPerDay[[#This Row],[Hours]]/EarningsPerDay[[#This Row],[Deliveries]])/24</f>
        <v>1.8666666666666668E-2</v>
      </c>
      <c r="AA3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3.9611395139045094</v>
      </c>
      <c r="AB385" s="11">
        <f>AVERAGEIFS(EarningsPerDay[Gross $/Hour],EarningsPerDay[Week '#], EarningsPerDay[[#This Row],[Week '#]], EarningsPerDay[DOW], EarningsPerDay[[#This Row],[DOW]])</f>
        <v>23.702445636735508</v>
      </c>
      <c r="AC385" s="11">
        <f>EarningsPerDay[[#This Row],[Gross $/Hour]] - EarningsPerDay[[#This Row],[Weekly Average Earnings]]</f>
        <v>5.0341615061216345</v>
      </c>
      <c r="AD385" s="11">
        <f>(SUMIFS(EarningsPerDay[Gross Earnings], EarningsPerDay[Date],"&gt;="&amp;EarningsPerDay[[#This Row],[Date]]-89, EarningsPerDay[Date], "&lt;="&amp;EarningsPerDay[[#This Row],[Date]]))/90</f>
        <v>58.771666666666654</v>
      </c>
    </row>
    <row r="386" spans="2:30" x14ac:dyDescent="0.35">
      <c r="B386" s="40">
        <v>45230</v>
      </c>
      <c r="C386" s="40">
        <f t="shared" si="39"/>
        <v>45230</v>
      </c>
      <c r="D386" s="4">
        <f>IF(EarningsPerDay[[#This Row],[Week '#]]&gt;=52,YEAR(EarningsPerDay[[#This Row],[Date]])-1,YEAR(EarningsPerDay[[#This Row],[Date]]))</f>
        <v>2023</v>
      </c>
      <c r="E386" s="4" t="str">
        <f>"QTR"&amp;IF(EarningsPerDay[[#This Row],[Week '#]] &lt;= 13, 1, IF(EarningsPerDay[[#This Row],[Week '#]] &lt;= 26, 2, IF(EarningsPerDay[[#This Row],[Week '#]] &lt;= 39, 3, 4)))</f>
        <v>QTR4</v>
      </c>
      <c r="F3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86" s="4">
        <f>IF(WEEKNUM(EarningsPerDay[[#This Row],[Date]], 2) = 53, 1, WEEKNUM(EarningsPerDay[[#This Row],[Date]],2))</f>
        <v>45</v>
      </c>
      <c r="H386" s="40" t="str">
        <f t="shared" si="40"/>
        <v>Tuesday</v>
      </c>
      <c r="I38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86" s="40" t="str" cm="1">
        <f t="array" ref="J386">IFERROR(VLOOKUP(MODE(IF(Combined[Date]=EarningsPerDay[[#This Row],[Date]],Combined[Area '#])),KPIs!$B$4:$C$7,2,FALSE),VLOOKUP(EarningsPerDay[[#This Row],[Date]],Combined[[Date]:[Primary Area]],8,FALSE))</f>
        <v>Brunswick/Bath/Freeport</v>
      </c>
      <c r="K386" s="40" t="str">
        <f>_xlfn.XLOOKUP(EarningsPerDay[[#This Row],[Date]],Mileage[Date],Mileage[Weather])</f>
        <v>Overcast</v>
      </c>
      <c r="L386" s="4">
        <f>_xlfn.XLOOKUP(EarningsPerDay[[#This Row],[Date]],Mileage[Date],Mileage[Hi Temp])</f>
        <v>36</v>
      </c>
      <c r="M386" s="12">
        <f>_xlfn.XLOOKUP(EarningsPerDay[[#This Row],[Date]],Mileage[Date],Mileage[Total Time])</f>
        <v>3.97</v>
      </c>
      <c r="N386" s="4">
        <f>_xlfn.XLOOKUP(EarningsPerDay[[#This Row],[Date]],Mileage[Date],Mileage[Mileage])</f>
        <v>88</v>
      </c>
      <c r="O386" s="4">
        <f>SUMIF(Combined[Date],EarningsPerDay[[#This Row],[Date]],Combined[Trips])</f>
        <v>10</v>
      </c>
      <c r="P386">
        <f>COUNTIF(Combined[Date],EarningsPerDay[[#This Row],[Date]])</f>
        <v>2</v>
      </c>
      <c r="Q38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86" s="11">
        <f>SUMIF(Combined[Date],EarningsPerDay[[#This Row],[Date]],Combined[Earnings])</f>
        <v>93.91</v>
      </c>
      <c r="S386" s="11">
        <f ca="1">EarningsPerDay[[#This Row],[Gross Earnings]]-(EarningsPerDay[[#This Row],[Miles]]*CpM!$D$11)</f>
        <v>74.288367848711019</v>
      </c>
      <c r="T386" s="11">
        <f t="shared" si="37"/>
        <v>23.65491183879093</v>
      </c>
      <c r="U386" s="11">
        <f t="shared" ca="1" si="38"/>
        <v>18.712435226375572</v>
      </c>
      <c r="V386" s="11">
        <f>EarningsPerDay[[#This Row],[Gross Earnings]]/EarningsPerDay[[#This Row],[Deliveries]]</f>
        <v>9.391</v>
      </c>
      <c r="W386" s="11">
        <f>EarningsPerDay[[#This Row],[Gross Earnings]]/EarningsPerDay[[#This Row],[Miles]]</f>
        <v>1.0671590909090909</v>
      </c>
      <c r="X386" s="71">
        <f>EarningsPerDay[[#This Row],[Deliveries]]/EarningsPerDay[[#This Row],[Hours]]</f>
        <v>2.5188916876574305</v>
      </c>
      <c r="Y386" s="71">
        <f>EarningsPerDay[[#This Row],[Miles]]/EarningsPerDay[[#This Row],[Deliveries]]</f>
        <v>8.8000000000000007</v>
      </c>
      <c r="Z386" s="81">
        <f>(EarningsPerDay[[#This Row],[Hours]]/EarningsPerDay[[#This Row],[Deliveries]])/24</f>
        <v>1.6541666666666666E-2</v>
      </c>
      <c r="AA3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-5.3375167494316145E-3</v>
      </c>
      <c r="AB386" s="11">
        <f>AVERAGEIFS(EarningsPerDay[Gross $/Hour],EarningsPerDay[Week '#], EarningsPerDay[[#This Row],[Week '#]], EarningsPerDay[DOW], EarningsPerDay[[#This Row],[DOW]])</f>
        <v>24.067332496186882</v>
      </c>
      <c r="AC386" s="11">
        <f>EarningsPerDay[[#This Row],[Gross $/Hour]] - EarningsPerDay[[#This Row],[Weekly Average Earnings]]</f>
        <v>-0.41242065739595191</v>
      </c>
      <c r="AD386" s="11">
        <f>(SUMIFS(EarningsPerDay[Gross Earnings], EarningsPerDay[Date],"&gt;="&amp;EarningsPerDay[[#This Row],[Date]]-89, EarningsPerDay[Date], "&lt;="&amp;EarningsPerDay[[#This Row],[Date]]))/90</f>
        <v>59.074111111111101</v>
      </c>
    </row>
    <row r="387" spans="2:30" x14ac:dyDescent="0.35">
      <c r="B387" s="40">
        <v>45231</v>
      </c>
      <c r="C387" s="40">
        <f t="shared" si="39"/>
        <v>45231</v>
      </c>
      <c r="D387" s="4">
        <f>IF(EarningsPerDay[[#This Row],[Week '#]]&gt;=52,YEAR(EarningsPerDay[[#This Row],[Date]])-1,YEAR(EarningsPerDay[[#This Row],[Date]]))</f>
        <v>2023</v>
      </c>
      <c r="E387" s="4" t="str">
        <f>"QTR"&amp;IF(EarningsPerDay[[#This Row],[Week '#]] &lt;= 13, 1, IF(EarningsPerDay[[#This Row],[Week '#]] &lt;= 26, 2, IF(EarningsPerDay[[#This Row],[Week '#]] &lt;= 39, 3, 4)))</f>
        <v>QTR4</v>
      </c>
      <c r="F3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87" s="4">
        <f>IF(WEEKNUM(EarningsPerDay[[#This Row],[Date]], 2) = 53, 1, WEEKNUM(EarningsPerDay[[#This Row],[Date]],2))</f>
        <v>45</v>
      </c>
      <c r="H387" s="40" t="str">
        <f t="shared" si="40"/>
        <v>Wednesday</v>
      </c>
      <c r="I38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87" s="40" t="str" cm="1">
        <f t="array" ref="J387">IFERROR(VLOOKUP(MODE(IF(Combined[Date]=EarningsPerDay[[#This Row],[Date]],Combined[Area '#])),KPIs!$B$4:$C$7,2,FALSE),VLOOKUP(EarningsPerDay[[#This Row],[Date]],Combined[[Date]:[Primary Area]],8,FALSE))</f>
        <v>Brunswick/Bath/Freeport</v>
      </c>
      <c r="K387" s="40" t="str">
        <f>_xlfn.XLOOKUP(EarningsPerDay[[#This Row],[Date]],Mileage[Date],Mileage[Weather])</f>
        <v>Clear</v>
      </c>
      <c r="L387" s="4">
        <f>_xlfn.XLOOKUP(EarningsPerDay[[#This Row],[Date]],Mileage[Date],Mileage[Hi Temp])</f>
        <v>36</v>
      </c>
      <c r="M387" s="12">
        <f>_xlfn.XLOOKUP(EarningsPerDay[[#This Row],[Date]],Mileage[Date],Mileage[Total Time])</f>
        <v>4.12</v>
      </c>
      <c r="N387" s="4">
        <f>_xlfn.XLOOKUP(EarningsPerDay[[#This Row],[Date]],Mileage[Date],Mileage[Mileage])</f>
        <v>99</v>
      </c>
      <c r="O387" s="4">
        <f>SUMIF(Combined[Date],EarningsPerDay[[#This Row],[Date]],Combined[Trips])</f>
        <v>10</v>
      </c>
      <c r="P387">
        <f>COUNTIF(Combined[Date],EarningsPerDay[[#This Row],[Date]])</f>
        <v>2</v>
      </c>
      <c r="Q38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87" s="11">
        <f>SUMIF(Combined[Date],EarningsPerDay[[#This Row],[Date]],Combined[Earnings])</f>
        <v>99.39</v>
      </c>
      <c r="S387" s="11">
        <f ca="1">EarningsPerDay[[#This Row],[Gross Earnings]]-(EarningsPerDay[[#This Row],[Miles]]*CpM!$D$11)</f>
        <v>77.315663829799902</v>
      </c>
      <c r="T387" s="11">
        <f t="shared" ref="T387:T450" si="41">R387/M387</f>
        <v>24.123786407766989</v>
      </c>
      <c r="U387" s="11">
        <f t="shared" ref="U387:U450" ca="1" si="42">S387/M387</f>
        <v>18.765937822766965</v>
      </c>
      <c r="V387" s="11">
        <f>EarningsPerDay[[#This Row],[Gross Earnings]]/EarningsPerDay[[#This Row],[Deliveries]]</f>
        <v>9.9390000000000001</v>
      </c>
      <c r="W387" s="11">
        <f>EarningsPerDay[[#This Row],[Gross Earnings]]/EarningsPerDay[[#This Row],[Miles]]</f>
        <v>1.0039393939393939</v>
      </c>
      <c r="X387" s="71">
        <f>EarningsPerDay[[#This Row],[Deliveries]]/EarningsPerDay[[#This Row],[Hours]]</f>
        <v>2.4271844660194173</v>
      </c>
      <c r="Y387" s="71">
        <f>EarningsPerDay[[#This Row],[Miles]]/EarningsPerDay[[#This Row],[Deliveries]]</f>
        <v>9.9</v>
      </c>
      <c r="Z387" s="81">
        <f>(EarningsPerDay[[#This Row],[Hours]]/EarningsPerDay[[#This Row],[Deliveries]])/24</f>
        <v>1.7166666666666667E-2</v>
      </c>
      <c r="AA3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1.8598426043437399</v>
      </c>
      <c r="AB387" s="11">
        <f>AVERAGEIFS(EarningsPerDay[Gross $/Hour],EarningsPerDay[Week '#], EarningsPerDay[[#This Row],[Week '#]], EarningsPerDay[DOW], EarningsPerDay[[#This Row],[DOW]])</f>
        <v>24.123786407766989</v>
      </c>
      <c r="AC387" s="11">
        <f>EarningsPerDay[[#This Row],[Gross $/Hour]] - EarningsPerDay[[#This Row],[Weekly Average Earnings]]</f>
        <v>0</v>
      </c>
      <c r="AD387" s="11">
        <f>(SUMIFS(EarningsPerDay[Gross Earnings], EarningsPerDay[Date],"&gt;="&amp;EarningsPerDay[[#This Row],[Date]]-89, EarningsPerDay[Date], "&lt;="&amp;EarningsPerDay[[#This Row],[Date]]))/90</f>
        <v>60.178444444444438</v>
      </c>
    </row>
    <row r="388" spans="2:30" x14ac:dyDescent="0.35">
      <c r="B388" s="40">
        <v>45233</v>
      </c>
      <c r="C388" s="40">
        <f t="shared" si="39"/>
        <v>45233</v>
      </c>
      <c r="D388" s="4">
        <f>IF(EarningsPerDay[[#This Row],[Week '#]]&gt;=52,YEAR(EarningsPerDay[[#This Row],[Date]])-1,YEAR(EarningsPerDay[[#This Row],[Date]]))</f>
        <v>2023</v>
      </c>
      <c r="E388" s="4" t="str">
        <f>"QTR"&amp;IF(EarningsPerDay[[#This Row],[Week '#]] &lt;= 13, 1, IF(EarningsPerDay[[#This Row],[Week '#]] &lt;= 26, 2, IF(EarningsPerDay[[#This Row],[Week '#]] &lt;= 39, 3, 4)))</f>
        <v>QTR4</v>
      </c>
      <c r="F3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388" s="4">
        <f>IF(WEEKNUM(EarningsPerDay[[#This Row],[Date]], 2) = 53, 1, WEEKNUM(EarningsPerDay[[#This Row],[Date]],2))</f>
        <v>45</v>
      </c>
      <c r="H388" s="40" t="str">
        <f t="shared" si="40"/>
        <v>Friday</v>
      </c>
      <c r="I38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388" s="40" t="str" cm="1">
        <f t="array" ref="J388">IFERROR(VLOOKUP(MODE(IF(Combined[Date]=EarningsPerDay[[#This Row],[Date]],Combined[Area '#])),KPIs!$B$4:$C$7,2,FALSE),VLOOKUP(EarningsPerDay[[#This Row],[Date]],Combined[[Date]:[Primary Area]],8,FALSE))</f>
        <v>Brunswick/Bath/Freeport</v>
      </c>
      <c r="K388" s="40" t="str">
        <f>_xlfn.XLOOKUP(EarningsPerDay[[#This Row],[Date]],Mileage[Date],Mileage[Weather])</f>
        <v>Clear</v>
      </c>
      <c r="L388" s="4">
        <f>_xlfn.XLOOKUP(EarningsPerDay[[#This Row],[Date]],Mileage[Date],Mileage[Hi Temp])</f>
        <v>48</v>
      </c>
      <c r="M388" s="12">
        <f>_xlfn.XLOOKUP(EarningsPerDay[[#This Row],[Date]],Mileage[Date],Mileage[Total Time])</f>
        <v>4.67</v>
      </c>
      <c r="N388" s="4">
        <f>_xlfn.XLOOKUP(EarningsPerDay[[#This Row],[Date]],Mileage[Date],Mileage[Mileage])</f>
        <v>119</v>
      </c>
      <c r="O388" s="4">
        <f>SUMIF(Combined[Date],EarningsPerDay[[#This Row],[Date]],Combined[Trips])</f>
        <v>9</v>
      </c>
      <c r="P388">
        <f>COUNTIF(Combined[Date],EarningsPerDay[[#This Row],[Date]])</f>
        <v>2</v>
      </c>
      <c r="Q3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8" s="11">
        <f>SUMIF(Combined[Date],EarningsPerDay[[#This Row],[Date]],Combined[Earnings])</f>
        <v>116.17</v>
      </c>
      <c r="S388" s="11">
        <f ca="1">EarningsPerDay[[#This Row],[Gross Earnings]]-(EarningsPerDay[[#This Row],[Miles]]*CpM!$D$11)</f>
        <v>89.636201977234222</v>
      </c>
      <c r="T388" s="11">
        <f t="shared" si="41"/>
        <v>24.875802997858674</v>
      </c>
      <c r="U388" s="11">
        <f t="shared" ca="1" si="42"/>
        <v>19.194047532598336</v>
      </c>
      <c r="V388" s="11">
        <f>EarningsPerDay[[#This Row],[Gross Earnings]]/EarningsPerDay[[#This Row],[Deliveries]]</f>
        <v>12.907777777777778</v>
      </c>
      <c r="W388" s="11">
        <f>EarningsPerDay[[#This Row],[Gross Earnings]]/EarningsPerDay[[#This Row],[Miles]]</f>
        <v>0.97621848739495798</v>
      </c>
      <c r="X388" s="71">
        <f>EarningsPerDay[[#This Row],[Deliveries]]/EarningsPerDay[[#This Row],[Hours]]</f>
        <v>1.9271948608137046</v>
      </c>
      <c r="Y388" s="71">
        <f>EarningsPerDay[[#This Row],[Miles]]/EarningsPerDay[[#This Row],[Deliveries]]</f>
        <v>13.222222222222221</v>
      </c>
      <c r="Z388" s="81">
        <f>(EarningsPerDay[[#This Row],[Hours]]/EarningsPerDay[[#This Row],[Deliveries]])/24</f>
        <v>2.162037037037037E-2</v>
      </c>
      <c r="AA3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1.3078385674009425</v>
      </c>
      <c r="AB388" s="11">
        <f>AVERAGEIFS(EarningsPerDay[Gross $/Hour],EarningsPerDay[Week '#], EarningsPerDay[[#This Row],[Week '#]], EarningsPerDay[DOW], EarningsPerDay[[#This Row],[DOW]])</f>
        <v>21.69064414780944</v>
      </c>
      <c r="AC388" s="11">
        <f>EarningsPerDay[[#This Row],[Gross $/Hour]] - EarningsPerDay[[#This Row],[Weekly Average Earnings]]</f>
        <v>3.185158850049234</v>
      </c>
      <c r="AD388" s="11">
        <f>(SUMIFS(EarningsPerDay[Gross Earnings], EarningsPerDay[Date],"&gt;="&amp;EarningsPerDay[[#This Row],[Date]]-89, EarningsPerDay[Date], "&lt;="&amp;EarningsPerDay[[#This Row],[Date]]))/90</f>
        <v>58.519555555555549</v>
      </c>
    </row>
    <row r="389" spans="2:30" x14ac:dyDescent="0.35">
      <c r="B389" s="40">
        <v>45236</v>
      </c>
      <c r="C389" s="40">
        <f t="shared" si="39"/>
        <v>45236</v>
      </c>
      <c r="D389" s="4">
        <f>IF(EarningsPerDay[[#This Row],[Week '#]]&gt;=52,YEAR(EarningsPerDay[[#This Row],[Date]])-1,YEAR(EarningsPerDay[[#This Row],[Date]]))</f>
        <v>2023</v>
      </c>
      <c r="E389" s="4" t="str">
        <f>"QTR"&amp;IF(EarningsPerDay[[#This Row],[Week '#]] &lt;= 13, 1, IF(EarningsPerDay[[#This Row],[Week '#]] &lt;= 26, 2, IF(EarningsPerDay[[#This Row],[Week '#]] &lt;= 39, 3, 4)))</f>
        <v>QTR4</v>
      </c>
      <c r="F3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89" s="4">
        <f>IF(WEEKNUM(EarningsPerDay[[#This Row],[Date]], 2) = 53, 1, WEEKNUM(EarningsPerDay[[#This Row],[Date]],2))</f>
        <v>46</v>
      </c>
      <c r="H389" s="40" t="str">
        <f t="shared" si="40"/>
        <v>Monday</v>
      </c>
      <c r="I38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89" s="40" t="str" cm="1">
        <f t="array" ref="J389">IFERROR(VLOOKUP(MODE(IF(Combined[Date]=EarningsPerDay[[#This Row],[Date]],Combined[Area '#])),KPIs!$B$4:$C$7,2,FALSE),VLOOKUP(EarningsPerDay[[#This Row],[Date]],Combined[[Date]:[Primary Area]],8,FALSE))</f>
        <v>Brunswick/Bath/Freeport</v>
      </c>
      <c r="K389" s="40" t="str">
        <f>_xlfn.XLOOKUP(EarningsPerDay[[#This Row],[Date]],Mileage[Date],Mileage[Weather])</f>
        <v>Overcast</v>
      </c>
      <c r="L389" s="4">
        <f>_xlfn.XLOOKUP(EarningsPerDay[[#This Row],[Date]],Mileage[Date],Mileage[Hi Temp])</f>
        <v>39</v>
      </c>
      <c r="M389" s="12">
        <f>_xlfn.XLOOKUP(EarningsPerDay[[#This Row],[Date]],Mileage[Date],Mileage[Total Time])</f>
        <v>4.03</v>
      </c>
      <c r="N389" s="4">
        <f>_xlfn.XLOOKUP(EarningsPerDay[[#This Row],[Date]],Mileage[Date],Mileage[Mileage])</f>
        <v>103</v>
      </c>
      <c r="O389" s="4">
        <f>SUMIF(Combined[Date],EarningsPerDay[[#This Row],[Date]],Combined[Trips])</f>
        <v>8</v>
      </c>
      <c r="P389">
        <f>COUNTIF(Combined[Date],EarningsPerDay[[#This Row],[Date]])</f>
        <v>2</v>
      </c>
      <c r="Q3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89" s="11">
        <f>SUMIF(Combined[Date],EarningsPerDay[[#This Row],[Date]],Combined[Earnings])</f>
        <v>98.53</v>
      </c>
      <c r="S389" s="11">
        <f ca="1">EarningsPerDay[[#This Row],[Gross Earnings]]-(EarningsPerDay[[#This Row],[Miles]]*CpM!$D$11)</f>
        <v>75.56377145928677</v>
      </c>
      <c r="T389" s="11">
        <f t="shared" si="41"/>
        <v>24.449131513647643</v>
      </c>
      <c r="U389" s="11">
        <f t="shared" ca="1" si="42"/>
        <v>18.750315498582324</v>
      </c>
      <c r="V389" s="11">
        <f>EarningsPerDay[[#This Row],[Gross Earnings]]/EarningsPerDay[[#This Row],[Deliveries]]</f>
        <v>12.31625</v>
      </c>
      <c r="W389" s="11">
        <f>EarningsPerDay[[#This Row],[Gross Earnings]]/EarningsPerDay[[#This Row],[Miles]]</f>
        <v>0.95660194174757285</v>
      </c>
      <c r="X389" s="71">
        <f>EarningsPerDay[[#This Row],[Deliveries]]/EarningsPerDay[[#This Row],[Hours]]</f>
        <v>1.9851116625310172</v>
      </c>
      <c r="Y389" s="71">
        <f>EarningsPerDay[[#This Row],[Miles]]/EarningsPerDay[[#This Row],[Deliveries]]</f>
        <v>12.875</v>
      </c>
      <c r="Z389" s="81">
        <f>(EarningsPerDay[[#This Row],[Hours]]/EarningsPerDay[[#This Row],[Deliveries]])/24</f>
        <v>2.0989583333333336E-2</v>
      </c>
      <c r="AA3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-0.8214785545430523</v>
      </c>
      <c r="AB389" s="11">
        <f>AVERAGEIFS(EarningsPerDay[Gross $/Hour],EarningsPerDay[Week '#], EarningsPerDay[[#This Row],[Week '#]], EarningsPerDay[DOW], EarningsPerDay[[#This Row],[DOW]])</f>
        <v>23.916574509696126</v>
      </c>
      <c r="AC389" s="11">
        <f>EarningsPerDay[[#This Row],[Gross $/Hour]] - EarningsPerDay[[#This Row],[Weekly Average Earnings]]</f>
        <v>0.53255700395151706</v>
      </c>
      <c r="AD389" s="11">
        <f>(SUMIFS(EarningsPerDay[Gross Earnings], EarningsPerDay[Date],"&gt;="&amp;EarningsPerDay[[#This Row],[Date]]-89, EarningsPerDay[Date], "&lt;="&amp;EarningsPerDay[[#This Row],[Date]]))/90</f>
        <v>56.599999999999987</v>
      </c>
    </row>
    <row r="390" spans="2:30" x14ac:dyDescent="0.35">
      <c r="B390" s="40">
        <v>45238</v>
      </c>
      <c r="C390" s="40">
        <f t="shared" si="39"/>
        <v>45238</v>
      </c>
      <c r="D390" s="4">
        <f>IF(EarningsPerDay[[#This Row],[Week '#]]&gt;=52,YEAR(EarningsPerDay[[#This Row],[Date]])-1,YEAR(EarningsPerDay[[#This Row],[Date]]))</f>
        <v>2023</v>
      </c>
      <c r="E390" s="4" t="str">
        <f>"QTR"&amp;IF(EarningsPerDay[[#This Row],[Week '#]] &lt;= 13, 1, IF(EarningsPerDay[[#This Row],[Week '#]] &lt;= 26, 2, IF(EarningsPerDay[[#This Row],[Week '#]] &lt;= 39, 3, 4)))</f>
        <v>QTR4</v>
      </c>
      <c r="F3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90" s="4">
        <f>IF(WEEKNUM(EarningsPerDay[[#This Row],[Date]], 2) = 53, 1, WEEKNUM(EarningsPerDay[[#This Row],[Date]],2))</f>
        <v>46</v>
      </c>
      <c r="H390" s="40" t="str">
        <f t="shared" si="40"/>
        <v>Wednesday</v>
      </c>
      <c r="I39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90" s="40" t="str" cm="1">
        <f t="array" ref="J390">IFERROR(VLOOKUP(MODE(IF(Combined[Date]=EarningsPerDay[[#This Row],[Date]],Combined[Area '#])),KPIs!$B$4:$C$7,2,FALSE),VLOOKUP(EarningsPerDay[[#This Row],[Date]],Combined[[Date]:[Primary Area]],8,FALSE))</f>
        <v>Brunswick/Bath/Freeport</v>
      </c>
      <c r="K390" s="40" t="str">
        <f>_xlfn.XLOOKUP(EarningsPerDay[[#This Row],[Date]],Mileage[Date],Mileage[Weather])</f>
        <v>Clear</v>
      </c>
      <c r="L390" s="4">
        <f>_xlfn.XLOOKUP(EarningsPerDay[[#This Row],[Date]],Mileage[Date],Mileage[Hi Temp])</f>
        <v>34</v>
      </c>
      <c r="M390" s="12">
        <f>_xlfn.XLOOKUP(EarningsPerDay[[#This Row],[Date]],Mileage[Date],Mileage[Total Time])</f>
        <v>5.18</v>
      </c>
      <c r="N390" s="4">
        <f>_xlfn.XLOOKUP(EarningsPerDay[[#This Row],[Date]],Mileage[Date],Mileage[Mileage])</f>
        <v>128</v>
      </c>
      <c r="O390" s="4">
        <f>SUMIF(Combined[Date],EarningsPerDay[[#This Row],[Date]],Combined[Trips])</f>
        <v>9</v>
      </c>
      <c r="P390">
        <f>COUNTIF(Combined[Date],EarningsPerDay[[#This Row],[Date]])</f>
        <v>2</v>
      </c>
      <c r="Q39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0" s="11">
        <f>SUMIF(Combined[Date],EarningsPerDay[[#This Row],[Date]],Combined[Earnings])</f>
        <v>107.86000000000001</v>
      </c>
      <c r="S390" s="11">
        <f ca="1">EarningsPerDay[[#This Row],[Gross Earnings]]-(EarningsPerDay[[#This Row],[Miles]]*CpM!$D$11)</f>
        <v>79.319444143579688</v>
      </c>
      <c r="T390" s="11">
        <f t="shared" si="41"/>
        <v>20.822393822393828</v>
      </c>
      <c r="U390" s="11">
        <f t="shared" ca="1" si="42"/>
        <v>15.312634004552065</v>
      </c>
      <c r="V390" s="11">
        <f>EarningsPerDay[[#This Row],[Gross Earnings]]/EarningsPerDay[[#This Row],[Deliveries]]</f>
        <v>11.984444444444446</v>
      </c>
      <c r="W390" s="11">
        <f>EarningsPerDay[[#This Row],[Gross Earnings]]/EarningsPerDay[[#This Row],[Miles]]</f>
        <v>0.84265625000000011</v>
      </c>
      <c r="X390" s="71">
        <f>EarningsPerDay[[#This Row],[Deliveries]]/EarningsPerDay[[#This Row],[Hours]]</f>
        <v>1.7374517374517375</v>
      </c>
      <c r="Y390" s="71">
        <f>EarningsPerDay[[#This Row],[Miles]]/EarningsPerDay[[#This Row],[Deliveries]]</f>
        <v>14.222222222222221</v>
      </c>
      <c r="Z390" s="81">
        <f>(EarningsPerDay[[#This Row],[Hours]]/EarningsPerDay[[#This Row],[Deliveries]])/24</f>
        <v>2.3981481481481479E-2</v>
      </c>
      <c r="AA3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-1.6740303065723907</v>
      </c>
      <c r="AB390" s="11">
        <f>AVERAGEIFS(EarningsPerDay[Gross $/Hour],EarningsPerDay[Week '#], EarningsPerDay[[#This Row],[Week '#]], EarningsPerDay[DOW], EarningsPerDay[[#This Row],[DOW]])</f>
        <v>14.047487233777559</v>
      </c>
      <c r="AC390" s="11">
        <f>EarningsPerDay[[#This Row],[Gross $/Hour]] - EarningsPerDay[[#This Row],[Weekly Average Earnings]]</f>
        <v>6.7749065886162683</v>
      </c>
      <c r="AD390" s="11">
        <f>(SUMIFS(EarningsPerDay[Gross Earnings], EarningsPerDay[Date],"&gt;="&amp;EarningsPerDay[[#This Row],[Date]]-89, EarningsPerDay[Date], "&lt;="&amp;EarningsPerDay[[#This Row],[Date]]))/90</f>
        <v>57.161555555555537</v>
      </c>
    </row>
    <row r="391" spans="2:30" x14ac:dyDescent="0.35">
      <c r="B391" s="40">
        <v>45240</v>
      </c>
      <c r="C391" s="40">
        <f t="shared" si="39"/>
        <v>45240</v>
      </c>
      <c r="D391" s="4">
        <f>IF(EarningsPerDay[[#This Row],[Week '#]]&gt;=52,YEAR(EarningsPerDay[[#This Row],[Date]])-1,YEAR(EarningsPerDay[[#This Row],[Date]]))</f>
        <v>2023</v>
      </c>
      <c r="E391" s="4" t="str">
        <f>"QTR"&amp;IF(EarningsPerDay[[#This Row],[Week '#]] &lt;= 13, 1, IF(EarningsPerDay[[#This Row],[Week '#]] &lt;= 26, 2, IF(EarningsPerDay[[#This Row],[Week '#]] &lt;= 39, 3, 4)))</f>
        <v>QTR4</v>
      </c>
      <c r="F3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91" s="4">
        <f>IF(WEEKNUM(EarningsPerDay[[#This Row],[Date]], 2) = 53, 1, WEEKNUM(EarningsPerDay[[#This Row],[Date]],2))</f>
        <v>46</v>
      </c>
      <c r="H391" s="40" t="str">
        <f t="shared" si="40"/>
        <v>Friday</v>
      </c>
      <c r="I39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91" s="40" t="str" cm="1">
        <f t="array" ref="J391">IFERROR(VLOOKUP(MODE(IF(Combined[Date]=EarningsPerDay[[#This Row],[Date]],Combined[Area '#])),KPIs!$B$4:$C$7,2,FALSE),VLOOKUP(EarningsPerDay[[#This Row],[Date]],Combined[[Date]:[Primary Area]],8,FALSE))</f>
        <v>Lewiston</v>
      </c>
      <c r="K391" s="40" t="str">
        <f>_xlfn.XLOOKUP(EarningsPerDay[[#This Row],[Date]],Mileage[Date],Mileage[Weather])</f>
        <v>Overcast</v>
      </c>
      <c r="L391" s="4">
        <f>_xlfn.XLOOKUP(EarningsPerDay[[#This Row],[Date]],Mileage[Date],Mileage[Hi Temp])</f>
        <v>43</v>
      </c>
      <c r="M391" s="12">
        <f>_xlfn.XLOOKUP(EarningsPerDay[[#This Row],[Date]],Mileage[Date],Mileage[Total Time])</f>
        <v>6.3</v>
      </c>
      <c r="N391" s="4">
        <f>_xlfn.XLOOKUP(EarningsPerDay[[#This Row],[Date]],Mileage[Date],Mileage[Mileage])</f>
        <v>117</v>
      </c>
      <c r="O391" s="4">
        <f>SUMIF(Combined[Date],EarningsPerDay[[#This Row],[Date]],Combined[Trips])</f>
        <v>15</v>
      </c>
      <c r="P391">
        <f>COUNTIF(Combined[Date],EarningsPerDay[[#This Row],[Date]])</f>
        <v>2</v>
      </c>
      <c r="Q39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1" s="11">
        <f>SUMIF(Combined[Date],EarningsPerDay[[#This Row],[Date]],Combined[Earnings])</f>
        <v>138.36000000000001</v>
      </c>
      <c r="S391" s="11">
        <f ca="1">EarningsPerDay[[#This Row],[Gross Earnings]]-(EarningsPerDay[[#This Row],[Miles]]*CpM!$D$11)</f>
        <v>112.27214816249081</v>
      </c>
      <c r="T391" s="11">
        <f t="shared" si="41"/>
        <v>21.961904761904766</v>
      </c>
      <c r="U391" s="11">
        <f t="shared" ca="1" si="42"/>
        <v>17.820975898808065</v>
      </c>
      <c r="V391" s="11">
        <f>EarningsPerDay[[#This Row],[Gross Earnings]]/EarningsPerDay[[#This Row],[Deliveries]]</f>
        <v>9.2240000000000002</v>
      </c>
      <c r="W391" s="11">
        <f>EarningsPerDay[[#This Row],[Gross Earnings]]/EarningsPerDay[[#This Row],[Miles]]</f>
        <v>1.1825641025641027</v>
      </c>
      <c r="X391" s="71">
        <f>EarningsPerDay[[#This Row],[Deliveries]]/EarningsPerDay[[#This Row],[Hours]]</f>
        <v>2.3809523809523809</v>
      </c>
      <c r="Y391" s="71">
        <f>EarningsPerDay[[#This Row],[Miles]]/EarningsPerDay[[#This Row],[Deliveries]]</f>
        <v>7.8</v>
      </c>
      <c r="Z391" s="81">
        <f>(EarningsPerDay[[#This Row],[Hours]]/EarningsPerDay[[#This Row],[Deliveries]])/24</f>
        <v>1.7499999999999998E-2</v>
      </c>
      <c r="AA3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-1.5961597542242671</v>
      </c>
      <c r="AB391" s="11">
        <f>AVERAGEIFS(EarningsPerDay[Gross $/Hour],EarningsPerDay[Week '#], EarningsPerDay[[#This Row],[Week '#]], EarningsPerDay[DOW], EarningsPerDay[[#This Row],[DOW]])</f>
        <v>22.483122528976669</v>
      </c>
      <c r="AC391" s="11">
        <f>EarningsPerDay[[#This Row],[Gross $/Hour]] - EarningsPerDay[[#This Row],[Weekly Average Earnings]]</f>
        <v>-0.52121776707190293</v>
      </c>
      <c r="AD391" s="11">
        <f>(SUMIFS(EarningsPerDay[Gross Earnings], EarningsPerDay[Date],"&gt;="&amp;EarningsPerDay[[#This Row],[Date]]-89, EarningsPerDay[Date], "&lt;="&amp;EarningsPerDay[[#This Row],[Date]]))/90</f>
        <v>58.123777777777754</v>
      </c>
    </row>
    <row r="392" spans="2:30" x14ac:dyDescent="0.35">
      <c r="B392" s="40">
        <v>45241</v>
      </c>
      <c r="C392" s="40">
        <f t="shared" si="39"/>
        <v>45241</v>
      </c>
      <c r="D392" s="4">
        <f>IF(EarningsPerDay[[#This Row],[Week '#]]&gt;=52,YEAR(EarningsPerDay[[#This Row],[Date]])-1,YEAR(EarningsPerDay[[#This Row],[Date]]))</f>
        <v>2023</v>
      </c>
      <c r="E392" s="4" t="str">
        <f>"QTR"&amp;IF(EarningsPerDay[[#This Row],[Week '#]] &lt;= 13, 1, IF(EarningsPerDay[[#This Row],[Week '#]] &lt;= 26, 2, IF(EarningsPerDay[[#This Row],[Week '#]] &lt;= 39, 3, 4)))</f>
        <v>QTR4</v>
      </c>
      <c r="F3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92" s="4">
        <f>IF(WEEKNUM(EarningsPerDay[[#This Row],[Date]], 2) = 53, 1, WEEKNUM(EarningsPerDay[[#This Row],[Date]],2))</f>
        <v>46</v>
      </c>
      <c r="H392" s="40" t="str">
        <f t="shared" si="40"/>
        <v>Saturday</v>
      </c>
      <c r="I39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92" s="40" t="str" cm="1">
        <f t="array" ref="J392">IFERROR(VLOOKUP(MODE(IF(Combined[Date]=EarningsPerDay[[#This Row],[Date]],Combined[Area '#])),KPIs!$B$4:$C$7,2,FALSE),VLOOKUP(EarningsPerDay[[#This Row],[Date]],Combined[[Date]:[Primary Area]],8,FALSE))</f>
        <v>Portland</v>
      </c>
      <c r="K392" s="40" t="str">
        <f>_xlfn.XLOOKUP(EarningsPerDay[[#This Row],[Date]],Mileage[Date],Mileage[Weather])</f>
        <v>Partially Cloudy</v>
      </c>
      <c r="L392" s="4">
        <f>_xlfn.XLOOKUP(EarningsPerDay[[#This Row],[Date]],Mileage[Date],Mileage[Hi Temp])</f>
        <v>32</v>
      </c>
      <c r="M392" s="12">
        <f>_xlfn.XLOOKUP(EarningsPerDay[[#This Row],[Date]],Mileage[Date],Mileage[Total Time])</f>
        <v>5.42</v>
      </c>
      <c r="N392" s="4">
        <f>_xlfn.XLOOKUP(EarningsPerDay[[#This Row],[Date]],Mileage[Date],Mileage[Mileage])</f>
        <v>110</v>
      </c>
      <c r="O392" s="4">
        <f>SUMIF(Combined[Date],EarningsPerDay[[#This Row],[Date]],Combined[Trips])</f>
        <v>13</v>
      </c>
      <c r="P392">
        <f>COUNTIF(Combined[Date],EarningsPerDay[[#This Row],[Date]])</f>
        <v>2</v>
      </c>
      <c r="Q3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92" s="11">
        <f>SUMIF(Combined[Date],EarningsPerDay[[#This Row],[Date]],Combined[Earnings])</f>
        <v>113.5</v>
      </c>
      <c r="S392" s="11">
        <f ca="1">EarningsPerDay[[#This Row],[Gross Earnings]]-(EarningsPerDay[[#This Row],[Miles]]*CpM!$D$11)</f>
        <v>88.972959810888781</v>
      </c>
      <c r="T392" s="11">
        <f t="shared" si="41"/>
        <v>20.940959409594097</v>
      </c>
      <c r="U392" s="11">
        <f t="shared" ca="1" si="42"/>
        <v>16.4156752418614</v>
      </c>
      <c r="V392" s="11">
        <f>EarningsPerDay[[#This Row],[Gross Earnings]]/EarningsPerDay[[#This Row],[Deliveries]]</f>
        <v>8.7307692307692299</v>
      </c>
      <c r="W392" s="11">
        <f>EarningsPerDay[[#This Row],[Gross Earnings]]/EarningsPerDay[[#This Row],[Miles]]</f>
        <v>1.0318181818181817</v>
      </c>
      <c r="X392" s="71">
        <f>EarningsPerDay[[#This Row],[Deliveries]]/EarningsPerDay[[#This Row],[Hours]]</f>
        <v>2.3985239852398523</v>
      </c>
      <c r="Y392" s="71">
        <f>EarningsPerDay[[#This Row],[Miles]]/EarningsPerDay[[#This Row],[Deliveries]]</f>
        <v>8.4615384615384617</v>
      </c>
      <c r="Z392" s="81">
        <f>(EarningsPerDay[[#This Row],[Hours]]/EarningsPerDay[[#This Row],[Deliveries]])/24</f>
        <v>1.7371794871794872E-2</v>
      </c>
      <c r="AA3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-3.445997112145033</v>
      </c>
      <c r="AB392" s="11">
        <f>AVERAGEIFS(EarningsPerDay[Gross $/Hour],EarningsPerDay[Week '#], EarningsPerDay[[#This Row],[Week '#]], EarningsPerDay[DOW], EarningsPerDay[[#This Row],[DOW]])</f>
        <v>19.625391333956259</v>
      </c>
      <c r="AC392" s="11">
        <f>EarningsPerDay[[#This Row],[Gross $/Hour]] - EarningsPerDay[[#This Row],[Weekly Average Earnings]]</f>
        <v>1.3155680756378381</v>
      </c>
      <c r="AD392" s="11">
        <f>(SUMIFS(EarningsPerDay[Gross Earnings], EarningsPerDay[Date],"&gt;="&amp;EarningsPerDay[[#This Row],[Date]]-89, EarningsPerDay[Date], "&lt;="&amp;EarningsPerDay[[#This Row],[Date]]))/90</f>
        <v>59.38488888888886</v>
      </c>
    </row>
    <row r="393" spans="2:30" x14ac:dyDescent="0.35">
      <c r="B393" s="40">
        <v>45242</v>
      </c>
      <c r="C393" s="40">
        <f t="shared" si="39"/>
        <v>45242</v>
      </c>
      <c r="D393" s="4">
        <f>IF(EarningsPerDay[[#This Row],[Week '#]]&gt;=52,YEAR(EarningsPerDay[[#This Row],[Date]])-1,YEAR(EarningsPerDay[[#This Row],[Date]]))</f>
        <v>2023</v>
      </c>
      <c r="E393" s="4" t="str">
        <f>"QTR"&amp;IF(EarningsPerDay[[#This Row],[Week '#]] &lt;= 13, 1, IF(EarningsPerDay[[#This Row],[Week '#]] &lt;= 26, 2, IF(EarningsPerDay[[#This Row],[Week '#]] &lt;= 39, 3, 4)))</f>
        <v>QTR4</v>
      </c>
      <c r="F3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393" s="4">
        <f>IF(WEEKNUM(EarningsPerDay[[#This Row],[Date]], 2) = 53, 1, WEEKNUM(EarningsPerDay[[#This Row],[Date]],2))</f>
        <v>46</v>
      </c>
      <c r="H393" s="40" t="str">
        <f t="shared" si="40"/>
        <v>Sunday</v>
      </c>
      <c r="I393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393" s="40" t="str" cm="1">
        <f t="array" ref="J393">IFERROR(VLOOKUP(MODE(IF(Combined[Date]=EarningsPerDay[[#This Row],[Date]],Combined[Area '#])),KPIs!$B$4:$C$7,2,FALSE),VLOOKUP(EarningsPerDay[[#This Row],[Date]],Combined[[Date]:[Primary Area]],8,FALSE))</f>
        <v>Brunswick/Bath/Freeport</v>
      </c>
      <c r="K393" s="40" t="str">
        <f>_xlfn.XLOOKUP(EarningsPerDay[[#This Row],[Date]],Mileage[Date],Mileage[Weather])</f>
        <v>Clear</v>
      </c>
      <c r="L393" s="4">
        <f>_xlfn.XLOOKUP(EarningsPerDay[[#This Row],[Date]],Mileage[Date],Mileage[Hi Temp])</f>
        <v>28</v>
      </c>
      <c r="M393" s="12">
        <f>_xlfn.XLOOKUP(EarningsPerDay[[#This Row],[Date]],Mileage[Date],Mileage[Total Time])</f>
        <v>6.2</v>
      </c>
      <c r="N393" s="4">
        <f>_xlfn.XLOOKUP(EarningsPerDay[[#This Row],[Date]],Mileage[Date],Mileage[Mileage])</f>
        <v>119</v>
      </c>
      <c r="O393" s="4">
        <f>SUMIF(Combined[Date],EarningsPerDay[[#This Row],[Date]],Combined[Trips])</f>
        <v>16</v>
      </c>
      <c r="P393">
        <f>COUNTIF(Combined[Date],EarningsPerDay[[#This Row],[Date]])</f>
        <v>2</v>
      </c>
      <c r="Q39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3" s="11">
        <f>SUMIF(Combined[Date],EarningsPerDay[[#This Row],[Date]],Combined[Earnings])</f>
        <v>159.19</v>
      </c>
      <c r="S393" s="11">
        <f ca="1">EarningsPerDay[[#This Row],[Gross Earnings]]-(EarningsPerDay[[#This Row],[Miles]]*CpM!$D$11)</f>
        <v>132.65620197723422</v>
      </c>
      <c r="T393" s="11">
        <f t="shared" si="41"/>
        <v>25.675806451612903</v>
      </c>
      <c r="U393" s="11">
        <f t="shared" ca="1" si="42"/>
        <v>21.396161609231324</v>
      </c>
      <c r="V393" s="11">
        <f>EarningsPerDay[[#This Row],[Gross Earnings]]/EarningsPerDay[[#This Row],[Deliveries]]</f>
        <v>9.9493749999999999</v>
      </c>
      <c r="W393" s="11">
        <f>EarningsPerDay[[#This Row],[Gross Earnings]]/EarningsPerDay[[#This Row],[Miles]]</f>
        <v>1.3377310924369747</v>
      </c>
      <c r="X393" s="71">
        <f>EarningsPerDay[[#This Row],[Deliveries]]/EarningsPerDay[[#This Row],[Hours]]</f>
        <v>2.5806451612903225</v>
      </c>
      <c r="Y393" s="71">
        <f>EarningsPerDay[[#This Row],[Miles]]/EarningsPerDay[[#This Row],[Deliveries]]</f>
        <v>7.4375</v>
      </c>
      <c r="Z393" s="81">
        <f>(EarningsPerDay[[#This Row],[Hours]]/EarningsPerDay[[#This Row],[Deliveries]])/24</f>
        <v>1.6145833333333335E-2</v>
      </c>
      <c r="AA3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3.0884026646244571</v>
      </c>
      <c r="AB393" s="11">
        <f>AVERAGEIFS(EarningsPerDay[Gross $/Hour],EarningsPerDay[Week '#], EarningsPerDay[[#This Row],[Week '#]], EarningsPerDay[DOW], EarningsPerDay[[#This Row],[DOW]])</f>
        <v>23.328185483870968</v>
      </c>
      <c r="AC393" s="11">
        <f>EarningsPerDay[[#This Row],[Gross $/Hour]] - EarningsPerDay[[#This Row],[Weekly Average Earnings]]</f>
        <v>2.3476209677419355</v>
      </c>
      <c r="AD393" s="11">
        <f>(SUMIFS(EarningsPerDay[Gross Earnings], EarningsPerDay[Date],"&gt;="&amp;EarningsPerDay[[#This Row],[Date]]-89, EarningsPerDay[Date], "&lt;="&amp;EarningsPerDay[[#This Row],[Date]]))/90</f>
        <v>61.153666666666638</v>
      </c>
    </row>
    <row r="394" spans="2:30" x14ac:dyDescent="0.35">
      <c r="B394" s="40">
        <v>45243</v>
      </c>
      <c r="C394" s="40">
        <f t="shared" si="39"/>
        <v>45243</v>
      </c>
      <c r="D394" s="4">
        <f>IF(EarningsPerDay[[#This Row],[Week '#]]&gt;=52,YEAR(EarningsPerDay[[#This Row],[Date]])-1,YEAR(EarningsPerDay[[#This Row],[Date]]))</f>
        <v>2023</v>
      </c>
      <c r="E394" s="4" t="str">
        <f>"QTR"&amp;IF(EarningsPerDay[[#This Row],[Week '#]] &lt;= 13, 1, IF(EarningsPerDay[[#This Row],[Week '#]] &lt;= 26, 2, IF(EarningsPerDay[[#This Row],[Week '#]] &lt;= 39, 3, 4)))</f>
        <v>QTR4</v>
      </c>
      <c r="F3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94" s="4">
        <f>IF(WEEKNUM(EarningsPerDay[[#This Row],[Date]], 2) = 53, 1, WEEKNUM(EarningsPerDay[[#This Row],[Date]],2))</f>
        <v>47</v>
      </c>
      <c r="H394" s="40" t="str">
        <f t="shared" si="40"/>
        <v>Monday</v>
      </c>
      <c r="I39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94" s="40" t="str" cm="1">
        <f t="array" ref="J394">IFERROR(VLOOKUP(MODE(IF(Combined[Date]=EarningsPerDay[[#This Row],[Date]],Combined[Area '#])),KPIs!$B$4:$C$7,2,FALSE),VLOOKUP(EarningsPerDay[[#This Row],[Date]],Combined[[Date]:[Primary Area]],8,FALSE))</f>
        <v>Augusta</v>
      </c>
      <c r="K394" s="40" t="str">
        <f>_xlfn.XLOOKUP(EarningsPerDay[[#This Row],[Date]],Mileage[Date],Mileage[Weather])</f>
        <v>Partially Cloudy</v>
      </c>
      <c r="L394" s="4">
        <f>_xlfn.XLOOKUP(EarningsPerDay[[#This Row],[Date]],Mileage[Date],Mileage[Hi Temp])</f>
        <v>30</v>
      </c>
      <c r="M394" s="12">
        <f>_xlfn.XLOOKUP(EarningsPerDay[[#This Row],[Date]],Mileage[Date],Mileage[Total Time])</f>
        <v>5.07</v>
      </c>
      <c r="N394" s="4">
        <f>_xlfn.XLOOKUP(EarningsPerDay[[#This Row],[Date]],Mileage[Date],Mileage[Mileage])</f>
        <v>115</v>
      </c>
      <c r="O394" s="4">
        <f>SUMIF(Combined[Date],EarningsPerDay[[#This Row],[Date]],Combined[Trips])</f>
        <v>10</v>
      </c>
      <c r="P394">
        <f>COUNTIF(Combined[Date],EarningsPerDay[[#This Row],[Date]])</f>
        <v>3</v>
      </c>
      <c r="Q3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94" s="11">
        <f>SUMIF(Combined[Date],EarningsPerDay[[#This Row],[Date]],Combined[Earnings])</f>
        <v>144.07</v>
      </c>
      <c r="S394" s="11">
        <f ca="1">EarningsPerDay[[#This Row],[Gross Earnings]]-(EarningsPerDay[[#This Row],[Miles]]*CpM!$D$11)</f>
        <v>118.42809434774736</v>
      </c>
      <c r="T394" s="11">
        <f t="shared" si="41"/>
        <v>28.416173570019723</v>
      </c>
      <c r="U394" s="11">
        <f t="shared" ca="1" si="42"/>
        <v>23.358598490679952</v>
      </c>
      <c r="V394" s="11">
        <f>EarningsPerDay[[#This Row],[Gross Earnings]]/EarningsPerDay[[#This Row],[Deliveries]]</f>
        <v>14.407</v>
      </c>
      <c r="W394" s="11">
        <f>EarningsPerDay[[#This Row],[Gross Earnings]]/EarningsPerDay[[#This Row],[Miles]]</f>
        <v>1.2527826086956522</v>
      </c>
      <c r="X394" s="71">
        <f>EarningsPerDay[[#This Row],[Deliveries]]/EarningsPerDay[[#This Row],[Hours]]</f>
        <v>1.972386587771203</v>
      </c>
      <c r="Y394" s="71">
        <f>EarningsPerDay[[#This Row],[Miles]]/EarningsPerDay[[#This Row],[Deliveries]]</f>
        <v>11.5</v>
      </c>
      <c r="Z394" s="81">
        <f>(EarningsPerDay[[#This Row],[Hours]]/EarningsPerDay[[#This Row],[Deliveries]])/24</f>
        <v>2.1125000000000001E-2</v>
      </c>
      <c r="AA394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94" s="11">
        <f>AVERAGEIFS(EarningsPerDay[Gross $/Hour],EarningsPerDay[Week '#], EarningsPerDay[[#This Row],[Week '#]], EarningsPerDay[DOW], EarningsPerDay[[#This Row],[DOW]])</f>
        <v>25.390434083182001</v>
      </c>
      <c r="AC394" s="11">
        <f>EarningsPerDay[[#This Row],[Gross $/Hour]] - EarningsPerDay[[#This Row],[Weekly Average Earnings]]</f>
        <v>3.0257394868377219</v>
      </c>
      <c r="AD394" s="11">
        <f>(SUMIFS(EarningsPerDay[Gross Earnings], EarningsPerDay[Date],"&gt;="&amp;EarningsPerDay[[#This Row],[Date]]-89, EarningsPerDay[Date], "&lt;="&amp;EarningsPerDay[[#This Row],[Date]]))/90</f>
        <v>62.75444444444441</v>
      </c>
    </row>
    <row r="395" spans="2:30" x14ac:dyDescent="0.35">
      <c r="B395" s="40">
        <v>45244</v>
      </c>
      <c r="C395" s="40">
        <f t="shared" si="39"/>
        <v>45244</v>
      </c>
      <c r="D395" s="4">
        <f>IF(EarningsPerDay[[#This Row],[Week '#]]&gt;=52,YEAR(EarningsPerDay[[#This Row],[Date]])-1,YEAR(EarningsPerDay[[#This Row],[Date]]))</f>
        <v>2023</v>
      </c>
      <c r="E395" s="4" t="str">
        <f>"QTR"&amp;IF(EarningsPerDay[[#This Row],[Week '#]] &lt;= 13, 1, IF(EarningsPerDay[[#This Row],[Week '#]] &lt;= 26, 2, IF(EarningsPerDay[[#This Row],[Week '#]] &lt;= 39, 3, 4)))</f>
        <v>QTR4</v>
      </c>
      <c r="F3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95" s="4">
        <f>IF(WEEKNUM(EarningsPerDay[[#This Row],[Date]], 2) = 53, 1, WEEKNUM(EarningsPerDay[[#This Row],[Date]],2))</f>
        <v>47</v>
      </c>
      <c r="H395" s="40" t="str">
        <f t="shared" si="40"/>
        <v>Tuesday</v>
      </c>
      <c r="I39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95" s="40" t="str" cm="1">
        <f t="array" ref="J395">IFERROR(VLOOKUP(MODE(IF(Combined[Date]=EarningsPerDay[[#This Row],[Date]],Combined[Area '#])),KPIs!$B$4:$C$7,2,FALSE),VLOOKUP(EarningsPerDay[[#This Row],[Date]],Combined[[Date]:[Primary Area]],8,FALSE))</f>
        <v>Brunswick/Bath/Freeport</v>
      </c>
      <c r="K395" s="40" t="str">
        <f>_xlfn.XLOOKUP(EarningsPerDay[[#This Row],[Date]],Mileage[Date],Mileage[Weather])</f>
        <v>Clear</v>
      </c>
      <c r="L395" s="4">
        <f>_xlfn.XLOOKUP(EarningsPerDay[[#This Row],[Date]],Mileage[Date],Mileage[Hi Temp])</f>
        <v>36</v>
      </c>
      <c r="M395" s="12">
        <f>_xlfn.XLOOKUP(EarningsPerDay[[#This Row],[Date]],Mileage[Date],Mileage[Total Time])</f>
        <v>3.57</v>
      </c>
      <c r="N395" s="4">
        <f>_xlfn.XLOOKUP(EarningsPerDay[[#This Row],[Date]],Mileage[Date],Mileage[Mileage])</f>
        <v>65.3</v>
      </c>
      <c r="O395" s="4">
        <f>SUMIF(Combined[Date],EarningsPerDay[[#This Row],[Date]],Combined[Trips])</f>
        <v>8</v>
      </c>
      <c r="P395">
        <f>COUNTIF(Combined[Date],EarningsPerDay[[#This Row],[Date]])</f>
        <v>2</v>
      </c>
      <c r="Q39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5" s="11">
        <f>SUMIF(Combined[Date],EarningsPerDay[[#This Row],[Date]],Combined[Earnings])</f>
        <v>81.62</v>
      </c>
      <c r="S395" s="11">
        <f ca="1">EarningsPerDay[[#This Row],[Gross Earnings]]-(EarningsPerDay[[#This Row],[Miles]]*CpM!$D$11)</f>
        <v>67.059857051373072</v>
      </c>
      <c r="T395" s="11">
        <f t="shared" si="41"/>
        <v>22.86274509803922</v>
      </c>
      <c r="U395" s="11">
        <f t="shared" ca="1" si="42"/>
        <v>18.784273683858004</v>
      </c>
      <c r="V395" s="11">
        <f>EarningsPerDay[[#This Row],[Gross Earnings]]/EarningsPerDay[[#This Row],[Deliveries]]</f>
        <v>10.202500000000001</v>
      </c>
      <c r="W395" s="11">
        <f>EarningsPerDay[[#This Row],[Gross Earnings]]/EarningsPerDay[[#This Row],[Miles]]</f>
        <v>1.2499234303215927</v>
      </c>
      <c r="X395" s="71">
        <f>EarningsPerDay[[#This Row],[Deliveries]]/EarningsPerDay[[#This Row],[Hours]]</f>
        <v>2.2408963585434174</v>
      </c>
      <c r="Y395" s="71">
        <f>EarningsPerDay[[#This Row],[Miles]]/EarningsPerDay[[#This Row],[Deliveries]]</f>
        <v>8.1624999999999996</v>
      </c>
      <c r="Z395" s="81">
        <f>(EarningsPerDay[[#This Row],[Hours]]/EarningsPerDay[[#This Row],[Deliveries]])/24</f>
        <v>1.8593749999999999E-2</v>
      </c>
      <c r="AA3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-0.79674175510836776</v>
      </c>
      <c r="AB395" s="11">
        <f>AVERAGEIFS(EarningsPerDay[Gross $/Hour],EarningsPerDay[Week '#], EarningsPerDay[[#This Row],[Week '#]], EarningsPerDay[DOW], EarningsPerDay[[#This Row],[DOW]])</f>
        <v>23.298678975611001</v>
      </c>
      <c r="AC395" s="11">
        <f>EarningsPerDay[[#This Row],[Gross $/Hour]] - EarningsPerDay[[#This Row],[Weekly Average Earnings]]</f>
        <v>-0.43593387757178093</v>
      </c>
      <c r="AD395" s="11">
        <f>(SUMIFS(EarningsPerDay[Gross Earnings], EarningsPerDay[Date],"&gt;="&amp;EarningsPerDay[[#This Row],[Date]]-89, EarningsPerDay[Date], "&lt;="&amp;EarningsPerDay[[#This Row],[Date]]))/90</f>
        <v>62.200888888888855</v>
      </c>
    </row>
    <row r="396" spans="2:30" x14ac:dyDescent="0.35">
      <c r="B396" s="40">
        <v>45246</v>
      </c>
      <c r="C396" s="40">
        <f t="shared" si="39"/>
        <v>45246</v>
      </c>
      <c r="D396" s="4">
        <f>IF(EarningsPerDay[[#This Row],[Week '#]]&gt;=52,YEAR(EarningsPerDay[[#This Row],[Date]])-1,YEAR(EarningsPerDay[[#This Row],[Date]]))</f>
        <v>2023</v>
      </c>
      <c r="E396" s="4" t="str">
        <f>"QTR"&amp;IF(EarningsPerDay[[#This Row],[Week '#]] &lt;= 13, 1, IF(EarningsPerDay[[#This Row],[Week '#]] &lt;= 26, 2, IF(EarningsPerDay[[#This Row],[Week '#]] &lt;= 39, 3, 4)))</f>
        <v>QTR4</v>
      </c>
      <c r="F3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96" s="4">
        <f>IF(WEEKNUM(EarningsPerDay[[#This Row],[Date]], 2) = 53, 1, WEEKNUM(EarningsPerDay[[#This Row],[Date]],2))</f>
        <v>47</v>
      </c>
      <c r="H396" s="40" t="str">
        <f t="shared" si="40"/>
        <v>Thursday</v>
      </c>
      <c r="I39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396" s="40" t="str" cm="1">
        <f t="array" ref="J396">IFERROR(VLOOKUP(MODE(IF(Combined[Date]=EarningsPerDay[[#This Row],[Date]],Combined[Area '#])),KPIs!$B$4:$C$7,2,FALSE),VLOOKUP(EarningsPerDay[[#This Row],[Date]],Combined[[Date]:[Primary Area]],8,FALSE))</f>
        <v>Lewiston</v>
      </c>
      <c r="K396" s="40" t="str">
        <f>_xlfn.XLOOKUP(EarningsPerDay[[#This Row],[Date]],Mileage[Date],Mileage[Weather])</f>
        <v>Clear</v>
      </c>
      <c r="L396" s="4">
        <f>_xlfn.XLOOKUP(EarningsPerDay[[#This Row],[Date]],Mileage[Date],Mileage[Hi Temp])</f>
        <v>39</v>
      </c>
      <c r="M396" s="12">
        <f>_xlfn.XLOOKUP(EarningsPerDay[[#This Row],[Date]],Mileage[Date],Mileage[Total Time])</f>
        <v>2.15</v>
      </c>
      <c r="N396" s="4">
        <f>_xlfn.XLOOKUP(EarningsPerDay[[#This Row],[Date]],Mileage[Date],Mileage[Mileage])</f>
        <v>22</v>
      </c>
      <c r="O396" s="4">
        <f>SUMIF(Combined[Date],EarningsPerDay[[#This Row],[Date]],Combined[Trips])</f>
        <v>5</v>
      </c>
      <c r="P396">
        <f>COUNTIF(Combined[Date],EarningsPerDay[[#This Row],[Date]])</f>
        <v>2</v>
      </c>
      <c r="Q39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6" s="11">
        <f>SUMIF(Combined[Date],EarningsPerDay[[#This Row],[Date]],Combined[Earnings])</f>
        <v>27.400000000000002</v>
      </c>
      <c r="S396" s="11">
        <f ca="1">EarningsPerDay[[#This Row],[Gross Earnings]]-(EarningsPerDay[[#This Row],[Miles]]*CpM!$D$11)</f>
        <v>22.494591962177758</v>
      </c>
      <c r="T396" s="11">
        <f t="shared" si="41"/>
        <v>12.744186046511629</v>
      </c>
      <c r="U396" s="11">
        <f t="shared" ca="1" si="42"/>
        <v>10.462600912640818</v>
      </c>
      <c r="V396" s="11">
        <f>EarningsPerDay[[#This Row],[Gross Earnings]]/EarningsPerDay[[#This Row],[Deliveries]]</f>
        <v>5.48</v>
      </c>
      <c r="W396" s="11">
        <f>EarningsPerDay[[#This Row],[Gross Earnings]]/EarningsPerDay[[#This Row],[Miles]]</f>
        <v>1.2454545454545456</v>
      </c>
      <c r="X396" s="71">
        <f>EarningsPerDay[[#This Row],[Deliveries]]/EarningsPerDay[[#This Row],[Hours]]</f>
        <v>2.3255813953488373</v>
      </c>
      <c r="Y396" s="71">
        <f>EarningsPerDay[[#This Row],[Miles]]/EarningsPerDay[[#This Row],[Deliveries]]</f>
        <v>4.4000000000000004</v>
      </c>
      <c r="Z396" s="81">
        <f>(EarningsPerDay[[#This Row],[Hours]]/EarningsPerDay[[#This Row],[Deliveries]])/24</f>
        <v>1.7916666666666668E-2</v>
      </c>
      <c r="AA396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396" s="11">
        <f>AVERAGEIFS(EarningsPerDay[Gross $/Hour],EarningsPerDay[Week '#], EarningsPerDay[[#This Row],[Week '#]], EarningsPerDay[DOW], EarningsPerDay[[#This Row],[DOW]])</f>
        <v>15.912805605247465</v>
      </c>
      <c r="AC396" s="11">
        <f>EarningsPerDay[[#This Row],[Gross $/Hour]] - EarningsPerDay[[#This Row],[Weekly Average Earnings]]</f>
        <v>-3.1686195587358359</v>
      </c>
      <c r="AD396" s="11">
        <f>(SUMIFS(EarningsPerDay[Gross Earnings], EarningsPerDay[Date],"&gt;="&amp;EarningsPerDay[[#This Row],[Date]]-89, EarningsPerDay[Date], "&lt;="&amp;EarningsPerDay[[#This Row],[Date]]))/90</f>
        <v>60.195888888888859</v>
      </c>
    </row>
    <row r="397" spans="2:30" x14ac:dyDescent="0.35">
      <c r="B397" s="40">
        <v>45247</v>
      </c>
      <c r="C397" s="40">
        <f t="shared" si="39"/>
        <v>45247</v>
      </c>
      <c r="D397" s="4">
        <f>IF(EarningsPerDay[[#This Row],[Week '#]]&gt;=52,YEAR(EarningsPerDay[[#This Row],[Date]])-1,YEAR(EarningsPerDay[[#This Row],[Date]]))</f>
        <v>2023</v>
      </c>
      <c r="E397" s="4" t="str">
        <f>"QTR"&amp;IF(EarningsPerDay[[#This Row],[Week '#]] &lt;= 13, 1, IF(EarningsPerDay[[#This Row],[Week '#]] &lt;= 26, 2, IF(EarningsPerDay[[#This Row],[Week '#]] &lt;= 39, 3, 4)))</f>
        <v>QTR4</v>
      </c>
      <c r="F3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397" s="4">
        <f>IF(WEEKNUM(EarningsPerDay[[#This Row],[Date]], 2) = 53, 1, WEEKNUM(EarningsPerDay[[#This Row],[Date]],2))</f>
        <v>47</v>
      </c>
      <c r="H397" s="40" t="str">
        <f t="shared" si="40"/>
        <v>Friday</v>
      </c>
      <c r="I39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97" s="40" t="str" cm="1">
        <f t="array" ref="J397">IFERROR(VLOOKUP(MODE(IF(Combined[Date]=EarningsPerDay[[#This Row],[Date]],Combined[Area '#])),KPIs!$B$4:$C$7,2,FALSE),VLOOKUP(EarningsPerDay[[#This Row],[Date]],Combined[[Date]:[Primary Area]],8,FALSE))</f>
        <v>Brunswick/Bath/Freeport</v>
      </c>
      <c r="K397" s="40" t="str">
        <f>_xlfn.XLOOKUP(EarningsPerDay[[#This Row],[Date]],Mileage[Date],Mileage[Weather])</f>
        <v>Overcast</v>
      </c>
      <c r="L397" s="4">
        <f>_xlfn.XLOOKUP(EarningsPerDay[[#This Row],[Date]],Mileage[Date],Mileage[Hi Temp])</f>
        <v>55</v>
      </c>
      <c r="M397" s="12">
        <f>_xlfn.XLOOKUP(EarningsPerDay[[#This Row],[Date]],Mileage[Date],Mileage[Total Time])</f>
        <v>0.87</v>
      </c>
      <c r="N397" s="4">
        <f>_xlfn.XLOOKUP(EarningsPerDay[[#This Row],[Date]],Mileage[Date],Mileage[Mileage])</f>
        <v>17</v>
      </c>
      <c r="O397" s="4">
        <f>SUMIF(Combined[Date],EarningsPerDay[[#This Row],[Date]],Combined[Trips])</f>
        <v>2</v>
      </c>
      <c r="P397">
        <f>COUNTIF(Combined[Date],EarningsPerDay[[#This Row],[Date]])</f>
        <v>1</v>
      </c>
      <c r="Q3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397" s="11">
        <f>SUMIF(Combined[Date],EarningsPerDay[[#This Row],[Date]],Combined[Earnings])</f>
        <v>16.77</v>
      </c>
      <c r="S397" s="11">
        <f ca="1">EarningsPerDay[[#This Row],[Gross Earnings]]-(EarningsPerDay[[#This Row],[Miles]]*CpM!$D$11)</f>
        <v>12.979457425319175</v>
      </c>
      <c r="T397" s="11">
        <f t="shared" si="41"/>
        <v>19.275862068965516</v>
      </c>
      <c r="U397" s="11">
        <f t="shared" ca="1" si="42"/>
        <v>14.918916580826638</v>
      </c>
      <c r="V397" s="11">
        <f>EarningsPerDay[[#This Row],[Gross Earnings]]/EarningsPerDay[[#This Row],[Deliveries]]</f>
        <v>8.3849999999999998</v>
      </c>
      <c r="W397" s="11">
        <f>EarningsPerDay[[#This Row],[Gross Earnings]]/EarningsPerDay[[#This Row],[Miles]]</f>
        <v>0.9864705882352941</v>
      </c>
      <c r="X397" s="71">
        <f>EarningsPerDay[[#This Row],[Deliveries]]/EarningsPerDay[[#This Row],[Hours]]</f>
        <v>2.2988505747126435</v>
      </c>
      <c r="Y397" s="71">
        <f>EarningsPerDay[[#This Row],[Miles]]/EarningsPerDay[[#This Row],[Deliveries]]</f>
        <v>8.5</v>
      </c>
      <c r="Z397" s="81">
        <f>(EarningsPerDay[[#This Row],[Hours]]/EarningsPerDay[[#This Row],[Deliveries]])/24</f>
        <v>1.8124999999999999E-2</v>
      </c>
      <c r="AA3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-4.3927053282153636</v>
      </c>
      <c r="AB397" s="11">
        <f>AVERAGEIFS(EarningsPerDay[Gross $/Hour],EarningsPerDay[Week '#], EarningsPerDay[[#This Row],[Week '#]], EarningsPerDay[DOW], EarningsPerDay[[#This Row],[DOW]])</f>
        <v>22.73915602398818</v>
      </c>
      <c r="AC397" s="11">
        <f>EarningsPerDay[[#This Row],[Gross $/Hour]] - EarningsPerDay[[#This Row],[Weekly Average Earnings]]</f>
        <v>-3.4632939550226638</v>
      </c>
      <c r="AD397" s="11">
        <f>(SUMIFS(EarningsPerDay[Gross Earnings], EarningsPerDay[Date],"&gt;="&amp;EarningsPerDay[[#This Row],[Date]]-89, EarningsPerDay[Date], "&lt;="&amp;EarningsPerDay[[#This Row],[Date]]))/90</f>
        <v>59.223888888888865</v>
      </c>
    </row>
    <row r="398" spans="2:30" x14ac:dyDescent="0.35">
      <c r="B398" s="40">
        <v>45250</v>
      </c>
      <c r="C398" s="40">
        <f t="shared" si="39"/>
        <v>45250</v>
      </c>
      <c r="D398" s="4">
        <f>IF(EarningsPerDay[[#This Row],[Week '#]]&gt;=52,YEAR(EarningsPerDay[[#This Row],[Date]])-1,YEAR(EarningsPerDay[[#This Row],[Date]]))</f>
        <v>2023</v>
      </c>
      <c r="E398" s="4" t="str">
        <f>"QTR"&amp;IF(EarningsPerDay[[#This Row],[Week '#]] &lt;= 13, 1, IF(EarningsPerDay[[#This Row],[Week '#]] &lt;= 26, 2, IF(EarningsPerDay[[#This Row],[Week '#]] &lt;= 39, 3, 4)))</f>
        <v>QTR4</v>
      </c>
      <c r="F3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98" s="4">
        <f>IF(WEEKNUM(EarningsPerDay[[#This Row],[Date]], 2) = 53, 1, WEEKNUM(EarningsPerDay[[#This Row],[Date]],2))</f>
        <v>48</v>
      </c>
      <c r="H398" s="40" t="str">
        <f t="shared" si="40"/>
        <v>Monday</v>
      </c>
      <c r="I39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398" s="40" t="str" cm="1">
        <f t="array" ref="J398">IFERROR(VLOOKUP(MODE(IF(Combined[Date]=EarningsPerDay[[#This Row],[Date]],Combined[Area '#])),KPIs!$B$4:$C$7,2,FALSE),VLOOKUP(EarningsPerDay[[#This Row],[Date]],Combined[[Date]:[Primary Area]],8,FALSE))</f>
        <v>Augusta</v>
      </c>
      <c r="K398" s="40" t="str">
        <f>_xlfn.XLOOKUP(EarningsPerDay[[#This Row],[Date]],Mileage[Date],Mileage[Weather])</f>
        <v>Clear</v>
      </c>
      <c r="L398" s="4">
        <f>_xlfn.XLOOKUP(EarningsPerDay[[#This Row],[Date]],Mileage[Date],Mileage[Hi Temp])</f>
        <v>28</v>
      </c>
      <c r="M398" s="12">
        <f>_xlfn.XLOOKUP(EarningsPerDay[[#This Row],[Date]],Mileage[Date],Mileage[Total Time])</f>
        <v>5.05</v>
      </c>
      <c r="N398" s="4">
        <f>_xlfn.XLOOKUP(EarningsPerDay[[#This Row],[Date]],Mileage[Date],Mileage[Mileage])</f>
        <v>137</v>
      </c>
      <c r="O398" s="4">
        <f>SUMIF(Combined[Date],EarningsPerDay[[#This Row],[Date]],Combined[Trips])</f>
        <v>10</v>
      </c>
      <c r="P398">
        <f>COUNTIF(Combined[Date],EarningsPerDay[[#This Row],[Date]])</f>
        <v>2</v>
      </c>
      <c r="Q39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8" s="11">
        <f>SUMIF(Combined[Date],EarningsPerDay[[#This Row],[Date]],Combined[Earnings])</f>
        <v>113.41</v>
      </c>
      <c r="S398" s="11">
        <f ca="1">EarningsPerDay[[#This Row],[Gross Earnings]]-(EarningsPerDay[[#This Row],[Miles]]*CpM!$D$11)</f>
        <v>82.86268630992511</v>
      </c>
      <c r="T398" s="11">
        <f t="shared" si="41"/>
        <v>22.457425742574259</v>
      </c>
      <c r="U398" s="11">
        <f t="shared" ca="1" si="42"/>
        <v>16.408452734638637</v>
      </c>
      <c r="V398" s="11">
        <f>EarningsPerDay[[#This Row],[Gross Earnings]]/EarningsPerDay[[#This Row],[Deliveries]]</f>
        <v>11.340999999999999</v>
      </c>
      <c r="W398" s="11">
        <f>EarningsPerDay[[#This Row],[Gross Earnings]]/EarningsPerDay[[#This Row],[Miles]]</f>
        <v>0.82781021897810214</v>
      </c>
      <c r="X398" s="71">
        <f>EarningsPerDay[[#This Row],[Deliveries]]/EarningsPerDay[[#This Row],[Hours]]</f>
        <v>1.9801980198019802</v>
      </c>
      <c r="Y398" s="71">
        <f>EarningsPerDay[[#This Row],[Miles]]/EarningsPerDay[[#This Row],[Deliveries]]</f>
        <v>13.7</v>
      </c>
      <c r="Z398" s="81">
        <f>(EarningsPerDay[[#This Row],[Hours]]/EarningsPerDay[[#This Row],[Deliveries]])/24</f>
        <v>2.1041666666666667E-2</v>
      </c>
      <c r="AA3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-5.9587478274454639</v>
      </c>
      <c r="AB398" s="11">
        <f>AVERAGEIFS(EarningsPerDay[Gross $/Hour],EarningsPerDay[Week '#], EarningsPerDay[[#This Row],[Week '#]], EarningsPerDay[DOW], EarningsPerDay[[#This Row],[DOW]])</f>
        <v>22.7536390170972</v>
      </c>
      <c r="AC398" s="11">
        <f>EarningsPerDay[[#This Row],[Gross $/Hour]] - EarningsPerDay[[#This Row],[Weekly Average Earnings]]</f>
        <v>-0.29621327452294111</v>
      </c>
      <c r="AD398" s="11">
        <f>(SUMIFS(EarningsPerDay[Gross Earnings], EarningsPerDay[Date],"&gt;="&amp;EarningsPerDay[[#This Row],[Date]]-89, EarningsPerDay[Date], "&lt;="&amp;EarningsPerDay[[#This Row],[Date]]))/90</f>
        <v>60.257444444444417</v>
      </c>
    </row>
    <row r="399" spans="2:30" x14ac:dyDescent="0.35">
      <c r="B399" s="40">
        <v>45251</v>
      </c>
      <c r="C399" s="40">
        <f t="shared" si="39"/>
        <v>45251</v>
      </c>
      <c r="D399" s="4">
        <f>IF(EarningsPerDay[[#This Row],[Week '#]]&gt;=52,YEAR(EarningsPerDay[[#This Row],[Date]])-1,YEAR(EarningsPerDay[[#This Row],[Date]]))</f>
        <v>2023</v>
      </c>
      <c r="E399" s="4" t="str">
        <f>"QTR"&amp;IF(EarningsPerDay[[#This Row],[Week '#]] &lt;= 13, 1, IF(EarningsPerDay[[#This Row],[Week '#]] &lt;= 26, 2, IF(EarningsPerDay[[#This Row],[Week '#]] &lt;= 39, 3, 4)))</f>
        <v>QTR4</v>
      </c>
      <c r="F3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399" s="4">
        <f>IF(WEEKNUM(EarningsPerDay[[#This Row],[Date]], 2) = 53, 1, WEEKNUM(EarningsPerDay[[#This Row],[Date]],2))</f>
        <v>48</v>
      </c>
      <c r="H399" s="40" t="str">
        <f t="shared" si="40"/>
        <v>Tuesday</v>
      </c>
      <c r="I39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399" s="40" t="str" cm="1">
        <f t="array" ref="J399">IFERROR(VLOOKUP(MODE(IF(Combined[Date]=EarningsPerDay[[#This Row],[Date]],Combined[Area '#])),KPIs!$B$4:$C$7,2,FALSE),VLOOKUP(EarningsPerDay[[#This Row],[Date]],Combined[[Date]:[Primary Area]],8,FALSE))</f>
        <v>Lewiston</v>
      </c>
      <c r="K399" s="40" t="str">
        <f>_xlfn.XLOOKUP(EarningsPerDay[[#This Row],[Date]],Mileage[Date],Mileage[Weather])</f>
        <v>Overcast</v>
      </c>
      <c r="L399" s="4">
        <f>_xlfn.XLOOKUP(EarningsPerDay[[#This Row],[Date]],Mileage[Date],Mileage[Hi Temp])</f>
        <v>30</v>
      </c>
      <c r="M399" s="12">
        <f>_xlfn.XLOOKUP(EarningsPerDay[[#This Row],[Date]],Mileage[Date],Mileage[Total Time])</f>
        <v>4.0199999999999996</v>
      </c>
      <c r="N399" s="4">
        <f>_xlfn.XLOOKUP(EarningsPerDay[[#This Row],[Date]],Mileage[Date],Mileage[Mileage])</f>
        <v>71</v>
      </c>
      <c r="O399" s="4">
        <f>SUMIF(Combined[Date],EarningsPerDay[[#This Row],[Date]],Combined[Trips])</f>
        <v>9</v>
      </c>
      <c r="P399">
        <f>COUNTIF(Combined[Date],EarningsPerDay[[#This Row],[Date]])</f>
        <v>2</v>
      </c>
      <c r="Q39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399" s="11">
        <f>SUMIF(Combined[Date],EarningsPerDay[[#This Row],[Date]],Combined[Earnings])</f>
        <v>73.5</v>
      </c>
      <c r="S399" s="11">
        <f ca="1">EarningsPerDay[[#This Row],[Gross Earnings]]-(EarningsPerDay[[#This Row],[Miles]]*CpM!$D$11)</f>
        <v>57.66891042339185</v>
      </c>
      <c r="T399" s="11">
        <f t="shared" si="41"/>
        <v>18.28358208955224</v>
      </c>
      <c r="U399" s="11">
        <f t="shared" ca="1" si="42"/>
        <v>14.345500105321356</v>
      </c>
      <c r="V399" s="11">
        <f>EarningsPerDay[[#This Row],[Gross Earnings]]/EarningsPerDay[[#This Row],[Deliveries]]</f>
        <v>8.1666666666666661</v>
      </c>
      <c r="W399" s="11">
        <f>EarningsPerDay[[#This Row],[Gross Earnings]]/EarningsPerDay[[#This Row],[Miles]]</f>
        <v>1.0352112676056338</v>
      </c>
      <c r="X399" s="71">
        <f>EarningsPerDay[[#This Row],[Deliveries]]/EarningsPerDay[[#This Row],[Hours]]</f>
        <v>2.238805970149254</v>
      </c>
      <c r="Y399" s="71">
        <f>EarningsPerDay[[#This Row],[Miles]]/EarningsPerDay[[#This Row],[Deliveries]]</f>
        <v>7.8888888888888893</v>
      </c>
      <c r="Z399" s="81">
        <f>(EarningsPerDay[[#This Row],[Hours]]/EarningsPerDay[[#This Row],[Deliveries]])/24</f>
        <v>1.861111111111111E-2</v>
      </c>
      <c r="AA3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0.66290187867400974</v>
      </c>
      <c r="AB399" s="11">
        <f>AVERAGEIFS(EarningsPerDay[Gross $/Hour],EarningsPerDay[Week '#], EarningsPerDay[[#This Row],[Week '#]], EarningsPerDay[DOW], EarningsPerDay[[#This Row],[DOW]])</f>
        <v>21.690654681139755</v>
      </c>
      <c r="AC399" s="11">
        <f>EarningsPerDay[[#This Row],[Gross $/Hour]] - EarningsPerDay[[#This Row],[Weekly Average Earnings]]</f>
        <v>-3.4070725915875144</v>
      </c>
      <c r="AD399" s="11">
        <f>(SUMIFS(EarningsPerDay[Gross Earnings], EarningsPerDay[Date],"&gt;="&amp;EarningsPerDay[[#This Row],[Date]]-89, EarningsPerDay[Date], "&lt;="&amp;EarningsPerDay[[#This Row],[Date]]))/90</f>
        <v>60.156222222222198</v>
      </c>
    </row>
    <row r="400" spans="2:30" x14ac:dyDescent="0.35">
      <c r="B400" s="40">
        <v>45252</v>
      </c>
      <c r="C400" s="40">
        <f t="shared" si="39"/>
        <v>45252</v>
      </c>
      <c r="D400" s="4">
        <f>IF(EarningsPerDay[[#This Row],[Week '#]]&gt;=52,YEAR(EarningsPerDay[[#This Row],[Date]])-1,YEAR(EarningsPerDay[[#This Row],[Date]]))</f>
        <v>2023</v>
      </c>
      <c r="E400" s="4" t="str">
        <f>"QTR"&amp;IF(EarningsPerDay[[#This Row],[Week '#]] &lt;= 13, 1, IF(EarningsPerDay[[#This Row],[Week '#]] &lt;= 26, 2, IF(EarningsPerDay[[#This Row],[Week '#]] &lt;= 39, 3, 4)))</f>
        <v>QTR4</v>
      </c>
      <c r="F4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00" s="4">
        <f>IF(WEEKNUM(EarningsPerDay[[#This Row],[Date]], 2) = 53, 1, WEEKNUM(EarningsPerDay[[#This Row],[Date]],2))</f>
        <v>48</v>
      </c>
      <c r="H400" s="40" t="str">
        <f t="shared" si="40"/>
        <v>Wednesday</v>
      </c>
      <c r="I40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00" s="40" t="str" cm="1">
        <f t="array" ref="J400">IFERROR(VLOOKUP(MODE(IF(Combined[Date]=EarningsPerDay[[#This Row],[Date]],Combined[Area '#])),KPIs!$B$4:$C$7,2,FALSE),VLOOKUP(EarningsPerDay[[#This Row],[Date]],Combined[[Date]:[Primary Area]],8,FALSE))</f>
        <v>Brunswick/Bath/Freeport</v>
      </c>
      <c r="K400" s="40" t="str">
        <f>_xlfn.XLOOKUP(EarningsPerDay[[#This Row],[Date]],Mileage[Date],Mileage[Weather])</f>
        <v>Rain</v>
      </c>
      <c r="L400" s="4">
        <f>_xlfn.XLOOKUP(EarningsPerDay[[#This Row],[Date]],Mileage[Date],Mileage[Hi Temp])</f>
        <v>37</v>
      </c>
      <c r="M400" s="12">
        <f>_xlfn.XLOOKUP(EarningsPerDay[[#This Row],[Date]],Mileage[Date],Mileage[Total Time])</f>
        <v>1.83</v>
      </c>
      <c r="N400" s="4">
        <f>_xlfn.XLOOKUP(EarningsPerDay[[#This Row],[Date]],Mileage[Date],Mileage[Mileage])</f>
        <v>38</v>
      </c>
      <c r="O400" s="4">
        <f>SUMIF(Combined[Date],EarningsPerDay[[#This Row],[Date]],Combined[Trips])</f>
        <v>3</v>
      </c>
      <c r="P400">
        <f>COUNTIF(Combined[Date],EarningsPerDay[[#This Row],[Date]])</f>
        <v>1</v>
      </c>
      <c r="Q4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0" s="11">
        <f>SUMIF(Combined[Date],EarningsPerDay[[#This Row],[Date]],Combined[Earnings])</f>
        <v>32.18</v>
      </c>
      <c r="S400" s="11">
        <f ca="1">EarningsPerDay[[#This Row],[Gross Earnings]]-(EarningsPerDay[[#This Row],[Miles]]*CpM!$D$11)</f>
        <v>23.707022480125215</v>
      </c>
      <c r="T400" s="11">
        <f t="shared" si="41"/>
        <v>17.584699453551913</v>
      </c>
      <c r="U400" s="11">
        <f t="shared" ca="1" si="42"/>
        <v>12.954657092964597</v>
      </c>
      <c r="V400" s="11">
        <f>EarningsPerDay[[#This Row],[Gross Earnings]]/EarningsPerDay[[#This Row],[Deliveries]]</f>
        <v>10.726666666666667</v>
      </c>
      <c r="W400" s="11">
        <f>EarningsPerDay[[#This Row],[Gross Earnings]]/EarningsPerDay[[#This Row],[Miles]]</f>
        <v>0.84684210526315784</v>
      </c>
      <c r="X400" s="71">
        <f>EarningsPerDay[[#This Row],[Deliveries]]/EarningsPerDay[[#This Row],[Hours]]</f>
        <v>1.639344262295082</v>
      </c>
      <c r="Y400" s="71">
        <f>EarningsPerDay[[#This Row],[Miles]]/EarningsPerDay[[#This Row],[Deliveries]]</f>
        <v>12.666666666666666</v>
      </c>
      <c r="Z400" s="81">
        <f>(EarningsPerDay[[#This Row],[Hours]]/EarningsPerDay[[#This Row],[Deliveries]])/24</f>
        <v>2.5416666666666667E-2</v>
      </c>
      <c r="AA4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-4.7257213080173734</v>
      </c>
      <c r="AB400" s="11">
        <f>AVERAGEIFS(EarningsPerDay[Gross $/Hour],EarningsPerDay[Week '#], EarningsPerDay[[#This Row],[Week '#]], EarningsPerDay[DOW], EarningsPerDay[[#This Row],[DOW]])</f>
        <v>21.611061995023647</v>
      </c>
      <c r="AC400" s="11">
        <f>EarningsPerDay[[#This Row],[Gross $/Hour]] - EarningsPerDay[[#This Row],[Weekly Average Earnings]]</f>
        <v>-4.0263625414717339</v>
      </c>
      <c r="AD400" s="11">
        <f>(SUMIFS(EarningsPerDay[Gross Earnings], EarningsPerDay[Date],"&gt;="&amp;EarningsPerDay[[#This Row],[Date]]-89, EarningsPerDay[Date], "&lt;="&amp;EarningsPerDay[[#This Row],[Date]]))/90</f>
        <v>59.895111111111085</v>
      </c>
    </row>
    <row r="401" spans="2:30" x14ac:dyDescent="0.35">
      <c r="B401" s="40">
        <v>45254</v>
      </c>
      <c r="C401" s="40">
        <f t="shared" si="39"/>
        <v>45254</v>
      </c>
      <c r="D401" s="4">
        <f>IF(EarningsPerDay[[#This Row],[Week '#]]&gt;=52,YEAR(EarningsPerDay[[#This Row],[Date]])-1,YEAR(EarningsPerDay[[#This Row],[Date]]))</f>
        <v>2023</v>
      </c>
      <c r="E401" s="4" t="str">
        <f>"QTR"&amp;IF(EarningsPerDay[[#This Row],[Week '#]] &lt;= 13, 1, IF(EarningsPerDay[[#This Row],[Week '#]] &lt;= 26, 2, IF(EarningsPerDay[[#This Row],[Week '#]] &lt;= 39, 3, 4)))</f>
        <v>QTR4</v>
      </c>
      <c r="F4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01" s="4">
        <f>IF(WEEKNUM(EarningsPerDay[[#This Row],[Date]], 2) = 53, 1, WEEKNUM(EarningsPerDay[[#This Row],[Date]],2))</f>
        <v>48</v>
      </c>
      <c r="H401" s="40" t="str">
        <f t="shared" si="40"/>
        <v>Friday</v>
      </c>
      <c r="I40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1" s="40" t="str" cm="1">
        <f t="array" ref="J401">IFERROR(VLOOKUP(MODE(IF(Combined[Date]=EarningsPerDay[[#This Row],[Date]],Combined[Area '#])),KPIs!$B$4:$C$7,2,FALSE),VLOOKUP(EarningsPerDay[[#This Row],[Date]],Combined[[Date]:[Primary Area]],8,FALSE))</f>
        <v>Brunswick/Bath/Freeport</v>
      </c>
      <c r="K401" s="40" t="str">
        <f>_xlfn.XLOOKUP(EarningsPerDay[[#This Row],[Date]],Mileage[Date],Mileage[Weather])</f>
        <v>Clear</v>
      </c>
      <c r="L401" s="4">
        <f>_xlfn.XLOOKUP(EarningsPerDay[[#This Row],[Date]],Mileage[Date],Mileage[Hi Temp])</f>
        <v>25</v>
      </c>
      <c r="M401" s="12">
        <f>_xlfn.XLOOKUP(EarningsPerDay[[#This Row],[Date]],Mileage[Date],Mileage[Total Time])</f>
        <v>6.55</v>
      </c>
      <c r="N401" s="4">
        <f>_xlfn.XLOOKUP(EarningsPerDay[[#This Row],[Date]],Mileage[Date],Mileage[Mileage])</f>
        <v>158</v>
      </c>
      <c r="O401" s="4">
        <f>SUMIF(Combined[Date],EarningsPerDay[[#This Row],[Date]],Combined[Trips])</f>
        <v>15</v>
      </c>
      <c r="P401">
        <f>COUNTIF(Combined[Date],EarningsPerDay[[#This Row],[Date]])</f>
        <v>3</v>
      </c>
      <c r="Q4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1" s="11">
        <f>SUMIF(Combined[Date],EarningsPerDay[[#This Row],[Date]],Combined[Earnings])</f>
        <v>178.75</v>
      </c>
      <c r="S401" s="11">
        <f ca="1">EarningsPerDay[[#This Row],[Gross Earnings]]-(EarningsPerDay[[#This Row],[Miles]]*CpM!$D$11)</f>
        <v>143.52025136473117</v>
      </c>
      <c r="T401" s="11">
        <f t="shared" si="41"/>
        <v>27.290076335877863</v>
      </c>
      <c r="U401" s="11">
        <f t="shared" ca="1" si="42"/>
        <v>21.911488757974226</v>
      </c>
      <c r="V401" s="11">
        <f>EarningsPerDay[[#This Row],[Gross Earnings]]/EarningsPerDay[[#This Row],[Deliveries]]</f>
        <v>11.916666666666666</v>
      </c>
      <c r="W401" s="11">
        <f>EarningsPerDay[[#This Row],[Gross Earnings]]/EarningsPerDay[[#This Row],[Miles]]</f>
        <v>1.1313291139240507</v>
      </c>
      <c r="X401" s="71">
        <f>EarningsPerDay[[#This Row],[Deliveries]]/EarningsPerDay[[#This Row],[Hours]]</f>
        <v>2.2900763358778629</v>
      </c>
      <c r="Y401" s="71">
        <f>EarningsPerDay[[#This Row],[Miles]]/EarningsPerDay[[#This Row],[Deliveries]]</f>
        <v>10.533333333333333</v>
      </c>
      <c r="Z401" s="81">
        <f>(EarningsPerDay[[#This Row],[Hours]]/EarningsPerDay[[#This Row],[Deliveries]])/24</f>
        <v>1.8194444444444444E-2</v>
      </c>
      <c r="AA4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3.9352736049980805</v>
      </c>
      <c r="AB401" s="11">
        <f>AVERAGEIFS(EarningsPerDay[Gross $/Hour],EarningsPerDay[Week '#], EarningsPerDay[[#This Row],[Week '#]], EarningsPerDay[DOW], EarningsPerDay[[#This Row],[DOW]])</f>
        <v>22.823939422141361</v>
      </c>
      <c r="AC401" s="11">
        <f>EarningsPerDay[[#This Row],[Gross $/Hour]] - EarningsPerDay[[#This Row],[Weekly Average Earnings]]</f>
        <v>4.4661369137365021</v>
      </c>
      <c r="AD401" s="11">
        <f>(SUMIFS(EarningsPerDay[Gross Earnings], EarningsPerDay[Date],"&gt;="&amp;EarningsPerDay[[#This Row],[Date]]-89, EarningsPerDay[Date], "&lt;="&amp;EarningsPerDay[[#This Row],[Date]]))/90</f>
        <v>58.288777777777767</v>
      </c>
    </row>
    <row r="402" spans="2:30" x14ac:dyDescent="0.35">
      <c r="B402" s="40">
        <v>45257</v>
      </c>
      <c r="C402" s="40">
        <f t="shared" si="39"/>
        <v>45257</v>
      </c>
      <c r="D402" s="4">
        <f>IF(EarningsPerDay[[#This Row],[Week '#]]&gt;=52,YEAR(EarningsPerDay[[#This Row],[Date]])-1,YEAR(EarningsPerDay[[#This Row],[Date]]))</f>
        <v>2023</v>
      </c>
      <c r="E402" s="4" t="str">
        <f>"QTR"&amp;IF(EarningsPerDay[[#This Row],[Week '#]] &lt;= 13, 1, IF(EarningsPerDay[[#This Row],[Week '#]] &lt;= 26, 2, IF(EarningsPerDay[[#This Row],[Week '#]] &lt;= 39, 3, 4)))</f>
        <v>QTR4</v>
      </c>
      <c r="F4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02" s="4">
        <f>IF(WEEKNUM(EarningsPerDay[[#This Row],[Date]], 2) = 53, 1, WEEKNUM(EarningsPerDay[[#This Row],[Date]],2))</f>
        <v>49</v>
      </c>
      <c r="H402" s="40" t="str">
        <f t="shared" si="40"/>
        <v>Monday</v>
      </c>
      <c r="I40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2" s="40" t="str" cm="1">
        <f t="array" ref="J402">IFERROR(VLOOKUP(MODE(IF(Combined[Date]=EarningsPerDay[[#This Row],[Date]],Combined[Area '#])),KPIs!$B$4:$C$7,2,FALSE),VLOOKUP(EarningsPerDay[[#This Row],[Date]],Combined[[Date]:[Primary Area]],8,FALSE))</f>
        <v>Brunswick/Bath/Freeport</v>
      </c>
      <c r="K402" s="40" t="str">
        <f>_xlfn.XLOOKUP(EarningsPerDay[[#This Row],[Date]],Mileage[Date],Mileage[Weather])</f>
        <v>Overcast</v>
      </c>
      <c r="L402" s="4">
        <f>_xlfn.XLOOKUP(EarningsPerDay[[#This Row],[Date]],Mileage[Date],Mileage[Hi Temp])</f>
        <v>43</v>
      </c>
      <c r="M402" s="12">
        <f>_xlfn.XLOOKUP(EarningsPerDay[[#This Row],[Date]],Mileage[Date],Mileage[Total Time])</f>
        <v>4.13</v>
      </c>
      <c r="N402" s="4">
        <f>_xlfn.XLOOKUP(EarningsPerDay[[#This Row],[Date]],Mileage[Date],Mileage[Mileage])</f>
        <v>108</v>
      </c>
      <c r="O402" s="4">
        <f>SUMIF(Combined[Date],EarningsPerDay[[#This Row],[Date]],Combined[Trips])</f>
        <v>9</v>
      </c>
      <c r="P402">
        <f>COUNTIF(Combined[Date],EarningsPerDay[[#This Row],[Date]])</f>
        <v>3</v>
      </c>
      <c r="Q4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2" s="11">
        <f>SUMIF(Combined[Date],EarningsPerDay[[#This Row],[Date]],Combined[Earnings])</f>
        <v>112.21000000000001</v>
      </c>
      <c r="S402" s="11">
        <f ca="1">EarningsPerDay[[#This Row],[Gross Earnings]]-(EarningsPerDay[[#This Row],[Miles]]*CpM!$D$11)</f>
        <v>88.128905996145363</v>
      </c>
      <c r="T402" s="11">
        <f t="shared" si="41"/>
        <v>27.16949152542373</v>
      </c>
      <c r="U402" s="11">
        <f t="shared" ca="1" si="42"/>
        <v>21.338718158872968</v>
      </c>
      <c r="V402" s="11">
        <f>EarningsPerDay[[#This Row],[Gross Earnings]]/EarningsPerDay[[#This Row],[Deliveries]]</f>
        <v>12.467777777777778</v>
      </c>
      <c r="W402" s="11">
        <f>EarningsPerDay[[#This Row],[Gross Earnings]]/EarningsPerDay[[#This Row],[Miles]]</f>
        <v>1.0389814814814815</v>
      </c>
      <c r="X402" s="71">
        <f>EarningsPerDay[[#This Row],[Deliveries]]/EarningsPerDay[[#This Row],[Hours]]</f>
        <v>2.179176755447942</v>
      </c>
      <c r="Y402" s="71">
        <f>EarningsPerDay[[#This Row],[Miles]]/EarningsPerDay[[#This Row],[Deliveries]]</f>
        <v>12</v>
      </c>
      <c r="Z402" s="81">
        <f>(EarningsPerDay[[#This Row],[Hours]]/EarningsPerDay[[#This Row],[Deliveries]])/24</f>
        <v>1.9120370370370371E-2</v>
      </c>
      <c r="AA4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1.9901568521822632</v>
      </c>
      <c r="AB402" s="11">
        <f>AVERAGEIFS(EarningsPerDay[Gross $/Hour],EarningsPerDay[Week '#], EarningsPerDay[[#This Row],[Week '#]], EarningsPerDay[DOW], EarningsPerDay[[#This Row],[DOW]])</f>
        <v>21.442841149708883</v>
      </c>
      <c r="AC402" s="11">
        <f>EarningsPerDay[[#This Row],[Gross $/Hour]] - EarningsPerDay[[#This Row],[Weekly Average Earnings]]</f>
        <v>5.726650375714847</v>
      </c>
      <c r="AD402" s="11">
        <f>(SUMIFS(EarningsPerDay[Gross Earnings], EarningsPerDay[Date],"&gt;="&amp;EarningsPerDay[[#This Row],[Date]]-89, EarningsPerDay[Date], "&lt;="&amp;EarningsPerDay[[#This Row],[Date]]))/90</f>
        <v>58.636222222222216</v>
      </c>
    </row>
    <row r="403" spans="2:30" x14ac:dyDescent="0.35">
      <c r="B403" s="40">
        <v>45258</v>
      </c>
      <c r="C403" s="40">
        <f t="shared" si="39"/>
        <v>45258</v>
      </c>
      <c r="D403" s="4">
        <f>IF(EarningsPerDay[[#This Row],[Week '#]]&gt;=52,YEAR(EarningsPerDay[[#This Row],[Date]])-1,YEAR(EarningsPerDay[[#This Row],[Date]]))</f>
        <v>2023</v>
      </c>
      <c r="E403" s="4" t="str">
        <f>"QTR"&amp;IF(EarningsPerDay[[#This Row],[Week '#]] &lt;= 13, 1, IF(EarningsPerDay[[#This Row],[Week '#]] &lt;= 26, 2, IF(EarningsPerDay[[#This Row],[Week '#]] &lt;= 39, 3, 4)))</f>
        <v>QTR4</v>
      </c>
      <c r="F4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03" s="4">
        <f>IF(WEEKNUM(EarningsPerDay[[#This Row],[Date]], 2) = 53, 1, WEEKNUM(EarningsPerDay[[#This Row],[Date]],2))</f>
        <v>49</v>
      </c>
      <c r="H403" s="40" t="str">
        <f t="shared" si="40"/>
        <v>Tuesday</v>
      </c>
      <c r="I40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03" s="40" t="str" cm="1">
        <f t="array" ref="J403">IFERROR(VLOOKUP(MODE(IF(Combined[Date]=EarningsPerDay[[#This Row],[Date]],Combined[Area '#])),KPIs!$B$4:$C$7,2,FALSE),VLOOKUP(EarningsPerDay[[#This Row],[Date]],Combined[[Date]:[Primary Area]],8,FALSE))</f>
        <v>Brunswick/Bath/Freeport</v>
      </c>
      <c r="K403" s="40" t="str">
        <f>_xlfn.XLOOKUP(EarningsPerDay[[#This Row],[Date]],Mileage[Date],Mileage[Weather])</f>
        <v>Clear</v>
      </c>
      <c r="L403" s="4">
        <f>_xlfn.XLOOKUP(EarningsPerDay[[#This Row],[Date]],Mileage[Date],Mileage[Hi Temp])</f>
        <v>30</v>
      </c>
      <c r="M403" s="12">
        <f>_xlfn.XLOOKUP(EarningsPerDay[[#This Row],[Date]],Mileage[Date],Mileage[Total Time])</f>
        <v>4.97</v>
      </c>
      <c r="N403" s="4">
        <f>_xlfn.XLOOKUP(EarningsPerDay[[#This Row],[Date]],Mileage[Date],Mileage[Mileage])</f>
        <v>142</v>
      </c>
      <c r="O403" s="4">
        <f>SUMIF(Combined[Date],EarningsPerDay[[#This Row],[Date]],Combined[Trips])</f>
        <v>8</v>
      </c>
      <c r="P403">
        <f>COUNTIF(Combined[Date],EarningsPerDay[[#This Row],[Date]])</f>
        <v>2</v>
      </c>
      <c r="Q4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3" s="11">
        <f>SUMIF(Combined[Date],EarningsPerDay[[#This Row],[Date]],Combined[Earnings])</f>
        <v>153.41</v>
      </c>
      <c r="S403" s="11">
        <f ca="1">EarningsPerDay[[#This Row],[Gross Earnings]]-(EarningsPerDay[[#This Row],[Miles]]*CpM!$D$11)</f>
        <v>121.7478208467837</v>
      </c>
      <c r="T403" s="11">
        <f t="shared" si="41"/>
        <v>30.867203219315897</v>
      </c>
      <c r="U403" s="11">
        <f t="shared" ca="1" si="42"/>
        <v>24.496543429936359</v>
      </c>
      <c r="V403" s="11">
        <f>EarningsPerDay[[#This Row],[Gross Earnings]]/EarningsPerDay[[#This Row],[Deliveries]]</f>
        <v>19.17625</v>
      </c>
      <c r="W403" s="11">
        <f>EarningsPerDay[[#This Row],[Gross Earnings]]/EarningsPerDay[[#This Row],[Miles]]</f>
        <v>1.0803521126760562</v>
      </c>
      <c r="X403" s="71">
        <f>EarningsPerDay[[#This Row],[Deliveries]]/EarningsPerDay[[#This Row],[Hours]]</f>
        <v>1.6096579476861168</v>
      </c>
      <c r="Y403" s="71">
        <f>EarningsPerDay[[#This Row],[Miles]]/EarningsPerDay[[#This Row],[Deliveries]]</f>
        <v>17.75</v>
      </c>
      <c r="Z403" s="81">
        <f>(EarningsPerDay[[#This Row],[Hours]]/EarningsPerDay[[#This Row],[Deliveries]])/24</f>
        <v>2.5885416666666664E-2</v>
      </c>
      <c r="AA4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7.3073090855568559</v>
      </c>
      <c r="AB403" s="11">
        <f>AVERAGEIFS(EarningsPerDay[Gross $/Hour],EarningsPerDay[Week '#], EarningsPerDay[[#This Row],[Week '#]], EarningsPerDay[DOW], EarningsPerDay[[#This Row],[DOW]])</f>
        <v>25.405428055549038</v>
      </c>
      <c r="AC403" s="11">
        <f>EarningsPerDay[[#This Row],[Gross $/Hour]] - EarningsPerDay[[#This Row],[Weekly Average Earnings]]</f>
        <v>5.461775163766859</v>
      </c>
      <c r="AD403" s="11">
        <f>(SUMIFS(EarningsPerDay[Gross Earnings], EarningsPerDay[Date],"&gt;="&amp;EarningsPerDay[[#This Row],[Date]]-89, EarningsPerDay[Date], "&lt;="&amp;EarningsPerDay[[#This Row],[Date]]))/90</f>
        <v>59.161888888888875</v>
      </c>
    </row>
    <row r="404" spans="2:30" x14ac:dyDescent="0.35">
      <c r="B404" s="40">
        <v>45260</v>
      </c>
      <c r="C404" s="40">
        <f t="shared" si="39"/>
        <v>45260</v>
      </c>
      <c r="D404" s="4">
        <f>IF(EarningsPerDay[[#This Row],[Week '#]]&gt;=52,YEAR(EarningsPerDay[[#This Row],[Date]])-1,YEAR(EarningsPerDay[[#This Row],[Date]]))</f>
        <v>2023</v>
      </c>
      <c r="E404" s="4" t="str">
        <f>"QTR"&amp;IF(EarningsPerDay[[#This Row],[Week '#]] &lt;= 13, 1, IF(EarningsPerDay[[#This Row],[Week '#]] &lt;= 26, 2, IF(EarningsPerDay[[#This Row],[Week '#]] &lt;= 39, 3, 4)))</f>
        <v>QTR4</v>
      </c>
      <c r="F4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04" s="4">
        <f>IF(WEEKNUM(EarningsPerDay[[#This Row],[Date]], 2) = 53, 1, WEEKNUM(EarningsPerDay[[#This Row],[Date]],2))</f>
        <v>49</v>
      </c>
      <c r="H404" s="40" t="str">
        <f t="shared" si="40"/>
        <v>Thursday</v>
      </c>
      <c r="I40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04" s="40" t="str" cm="1">
        <f t="array" ref="J404">IFERROR(VLOOKUP(MODE(IF(Combined[Date]=EarningsPerDay[[#This Row],[Date]],Combined[Area '#])),KPIs!$B$4:$C$7,2,FALSE),VLOOKUP(EarningsPerDay[[#This Row],[Date]],Combined[[Date]:[Primary Area]],8,FALSE))</f>
        <v>Portland</v>
      </c>
      <c r="K404" s="40" t="str">
        <f>_xlfn.XLOOKUP(EarningsPerDay[[#This Row],[Date]],Mileage[Date],Mileage[Weather])</f>
        <v>Partially Cloudy</v>
      </c>
      <c r="L404" s="4">
        <f>_xlfn.XLOOKUP(EarningsPerDay[[#This Row],[Date]],Mileage[Date],Mileage[Hi Temp])</f>
        <v>37</v>
      </c>
      <c r="M404" s="12">
        <f>_xlfn.XLOOKUP(EarningsPerDay[[#This Row],[Date]],Mileage[Date],Mileage[Total Time])</f>
        <v>4.0199999999999996</v>
      </c>
      <c r="N404" s="4">
        <f>_xlfn.XLOOKUP(EarningsPerDay[[#This Row],[Date]],Mileage[Date],Mileage[Mileage])</f>
        <v>99</v>
      </c>
      <c r="O404" s="4">
        <f>SUMIF(Combined[Date],EarningsPerDay[[#This Row],[Date]],Combined[Trips])</f>
        <v>8</v>
      </c>
      <c r="P404">
        <f>COUNTIF(Combined[Date],EarningsPerDay[[#This Row],[Date]])</f>
        <v>2</v>
      </c>
      <c r="Q40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04" s="11">
        <f>SUMIF(Combined[Date],EarningsPerDay[[#This Row],[Date]],Combined[Earnings])</f>
        <v>68.13</v>
      </c>
      <c r="S404" s="11">
        <f ca="1">EarningsPerDay[[#This Row],[Gross Earnings]]-(EarningsPerDay[[#This Row],[Miles]]*CpM!$D$11)</f>
        <v>46.055663829799897</v>
      </c>
      <c r="T404" s="11">
        <f t="shared" si="41"/>
        <v>16.947761194029852</v>
      </c>
      <c r="U404" s="11">
        <f t="shared" ca="1" si="42"/>
        <v>11.456632793482562</v>
      </c>
      <c r="V404" s="11">
        <f>EarningsPerDay[[#This Row],[Gross Earnings]]/EarningsPerDay[[#This Row],[Deliveries]]</f>
        <v>8.5162499999999994</v>
      </c>
      <c r="W404" s="11">
        <f>EarningsPerDay[[#This Row],[Gross Earnings]]/EarningsPerDay[[#This Row],[Miles]]</f>
        <v>0.68818181818181812</v>
      </c>
      <c r="X404" s="71">
        <f>EarningsPerDay[[#This Row],[Deliveries]]/EarningsPerDay[[#This Row],[Hours]]</f>
        <v>1.9900497512437814</v>
      </c>
      <c r="Y404" s="71">
        <f>EarningsPerDay[[#This Row],[Miles]]/EarningsPerDay[[#This Row],[Deliveries]]</f>
        <v>12.375</v>
      </c>
      <c r="Z404" s="81">
        <f>(EarningsPerDay[[#This Row],[Hours]]/EarningsPerDay[[#This Row],[Deliveries]])/24</f>
        <v>2.0937499999999998E-2</v>
      </c>
      <c r="AA4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0.25140479421076734</v>
      </c>
      <c r="AB404" s="11">
        <f>AVERAGEIFS(EarningsPerDay[Gross $/Hour],EarningsPerDay[Week '#], EarningsPerDay[[#This Row],[Week '#]], EarningsPerDay[DOW], EarningsPerDay[[#This Row],[DOW]])</f>
        <v>15.442748521543226</v>
      </c>
      <c r="AC404" s="11">
        <f>EarningsPerDay[[#This Row],[Gross $/Hour]] - EarningsPerDay[[#This Row],[Weekly Average Earnings]]</f>
        <v>1.5050126724866253</v>
      </c>
      <c r="AD404" s="11">
        <f>(SUMIFS(EarningsPerDay[Gross Earnings], EarningsPerDay[Date],"&gt;="&amp;EarningsPerDay[[#This Row],[Date]]-89, EarningsPerDay[Date], "&lt;="&amp;EarningsPerDay[[#This Row],[Date]]))/90</f>
        <v>57.529222222222216</v>
      </c>
    </row>
    <row r="405" spans="2:30" x14ac:dyDescent="0.35">
      <c r="B405" s="40">
        <v>45266</v>
      </c>
      <c r="C405" s="40">
        <f t="shared" si="39"/>
        <v>45266</v>
      </c>
      <c r="D405" s="4">
        <f>IF(EarningsPerDay[[#This Row],[Week '#]]&gt;=52,YEAR(EarningsPerDay[[#This Row],[Date]])-1,YEAR(EarningsPerDay[[#This Row],[Date]]))</f>
        <v>2023</v>
      </c>
      <c r="E405" s="4" t="str">
        <f>"QTR"&amp;IF(EarningsPerDay[[#This Row],[Week '#]] &lt;= 13, 1, IF(EarningsPerDay[[#This Row],[Week '#]] &lt;= 26, 2, IF(EarningsPerDay[[#This Row],[Week '#]] &lt;= 39, 3, 4)))</f>
        <v>QTR4</v>
      </c>
      <c r="F4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05" s="4">
        <f>IF(WEEKNUM(EarningsPerDay[[#This Row],[Date]], 2) = 53, 1, WEEKNUM(EarningsPerDay[[#This Row],[Date]],2))</f>
        <v>50</v>
      </c>
      <c r="H405" s="40" t="str">
        <f t="shared" si="40"/>
        <v>Wednesday</v>
      </c>
      <c r="I40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05" s="40" t="str" cm="1">
        <f t="array" ref="J405">IFERROR(VLOOKUP(MODE(IF(Combined[Date]=EarningsPerDay[[#This Row],[Date]],Combined[Area '#])),KPIs!$B$4:$C$7,2,FALSE),VLOOKUP(EarningsPerDay[[#This Row],[Date]],Combined[[Date]:[Primary Area]],8,FALSE))</f>
        <v>Portland</v>
      </c>
      <c r="K405" s="40" t="str">
        <f>_xlfn.XLOOKUP(EarningsPerDay[[#This Row],[Date]],Mileage[Date],Mileage[Weather])</f>
        <v>Clear</v>
      </c>
      <c r="L405" s="4">
        <f>_xlfn.XLOOKUP(EarningsPerDay[[#This Row],[Date]],Mileage[Date],Mileage[Hi Temp])</f>
        <v>21</v>
      </c>
      <c r="M405" s="12">
        <f>_xlfn.XLOOKUP(EarningsPerDay[[#This Row],[Date]],Mileage[Date],Mileage[Total Time])</f>
        <v>3.85</v>
      </c>
      <c r="N405" s="4">
        <f>_xlfn.XLOOKUP(EarningsPerDay[[#This Row],[Date]],Mileage[Date],Mileage[Mileage])</f>
        <v>80</v>
      </c>
      <c r="O405" s="4">
        <f>SUMIF(Combined[Date],EarningsPerDay[[#This Row],[Date]],Combined[Trips])</f>
        <v>7</v>
      </c>
      <c r="P405">
        <f>COUNTIF(Combined[Date],EarningsPerDay[[#This Row],[Date]])</f>
        <v>2</v>
      </c>
      <c r="Q40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05" s="11">
        <f>SUMIF(Combined[Date],EarningsPerDay[[#This Row],[Date]],Combined[Earnings])</f>
        <v>76.150000000000006</v>
      </c>
      <c r="S405" s="11">
        <f ca="1">EarningsPerDay[[#This Row],[Gross Earnings]]-(EarningsPerDay[[#This Row],[Miles]]*CpM!$D$11)</f>
        <v>58.312152589737295</v>
      </c>
      <c r="T405" s="11">
        <f t="shared" si="41"/>
        <v>19.779220779220779</v>
      </c>
      <c r="U405" s="11">
        <f t="shared" ca="1" si="42"/>
        <v>15.146013659672024</v>
      </c>
      <c r="V405" s="11">
        <f>EarningsPerDay[[#This Row],[Gross Earnings]]/EarningsPerDay[[#This Row],[Deliveries]]</f>
        <v>10.87857142857143</v>
      </c>
      <c r="W405" s="11">
        <f>EarningsPerDay[[#This Row],[Gross Earnings]]/EarningsPerDay[[#This Row],[Miles]]</f>
        <v>0.95187500000000003</v>
      </c>
      <c r="X405" s="71">
        <f>EarningsPerDay[[#This Row],[Deliveries]]/EarningsPerDay[[#This Row],[Hours]]</f>
        <v>1.8181818181818181</v>
      </c>
      <c r="Y405" s="71">
        <f>EarningsPerDay[[#This Row],[Miles]]/EarningsPerDay[[#This Row],[Deliveries]]</f>
        <v>11.428571428571429</v>
      </c>
      <c r="Z405" s="81">
        <f>(EarningsPerDay[[#This Row],[Hours]]/EarningsPerDay[[#This Row],[Deliveries]])/24</f>
        <v>2.2916666666666669E-2</v>
      </c>
      <c r="AA4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7.1913724820071572</v>
      </c>
      <c r="AB405" s="11">
        <f>AVERAGEIFS(EarningsPerDay[Gross $/Hour],EarningsPerDay[Week '#], EarningsPerDay[[#This Row],[Week '#]], EarningsPerDay[DOW], EarningsPerDay[[#This Row],[DOW]])</f>
        <v>28.248499278499281</v>
      </c>
      <c r="AC405" s="11">
        <f>EarningsPerDay[[#This Row],[Gross $/Hour]] - EarningsPerDay[[#This Row],[Weekly Average Earnings]]</f>
        <v>-8.4692784992785022</v>
      </c>
      <c r="AD405" s="11">
        <f>(SUMIFS(EarningsPerDay[Gross Earnings], EarningsPerDay[Date],"&gt;="&amp;EarningsPerDay[[#This Row],[Date]]-89, EarningsPerDay[Date], "&lt;="&amp;EarningsPerDay[[#This Row],[Date]]))/90</f>
        <v>53.332000000000001</v>
      </c>
    </row>
    <row r="406" spans="2:30" x14ac:dyDescent="0.35">
      <c r="B406" s="40">
        <v>45267</v>
      </c>
      <c r="C406" s="40">
        <f t="shared" si="39"/>
        <v>45267</v>
      </c>
      <c r="D406" s="4">
        <f>IF(EarningsPerDay[[#This Row],[Week '#]]&gt;=52,YEAR(EarningsPerDay[[#This Row],[Date]])-1,YEAR(EarningsPerDay[[#This Row],[Date]]))</f>
        <v>2023</v>
      </c>
      <c r="E406" s="4" t="str">
        <f>"QTR"&amp;IF(EarningsPerDay[[#This Row],[Week '#]] &lt;= 13, 1, IF(EarningsPerDay[[#This Row],[Week '#]] &lt;= 26, 2, IF(EarningsPerDay[[#This Row],[Week '#]] &lt;= 39, 3, 4)))</f>
        <v>QTR4</v>
      </c>
      <c r="F4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06" s="4">
        <f>IF(WEEKNUM(EarningsPerDay[[#This Row],[Date]], 2) = 53, 1, WEEKNUM(EarningsPerDay[[#This Row],[Date]],2))</f>
        <v>50</v>
      </c>
      <c r="H406" s="40" t="str">
        <f t="shared" si="40"/>
        <v>Thursday</v>
      </c>
      <c r="I40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6" s="40" t="str" cm="1">
        <f t="array" ref="J406">IFERROR(VLOOKUP(MODE(IF(Combined[Date]=EarningsPerDay[[#This Row],[Date]],Combined[Area '#])),KPIs!$B$4:$C$7,2,FALSE),VLOOKUP(EarningsPerDay[[#This Row],[Date]],Combined[[Date]:[Primary Area]],8,FALSE))</f>
        <v>Brunswick/Bath/Freeport</v>
      </c>
      <c r="K406" s="40" t="str">
        <f>_xlfn.XLOOKUP(EarningsPerDay[[#This Row],[Date]],Mileage[Date],Mileage[Weather])</f>
        <v>Clear</v>
      </c>
      <c r="L406" s="4">
        <f>_xlfn.XLOOKUP(EarningsPerDay[[#This Row],[Date]],Mileage[Date],Mileage[Hi Temp])</f>
        <v>16</v>
      </c>
      <c r="M406" s="12">
        <f>_xlfn.XLOOKUP(EarningsPerDay[[#This Row],[Date]],Mileage[Date],Mileage[Total Time])</f>
        <v>4.25</v>
      </c>
      <c r="N406" s="4">
        <f>_xlfn.XLOOKUP(EarningsPerDay[[#This Row],[Date]],Mileage[Date],Mileage[Mileage])</f>
        <v>102</v>
      </c>
      <c r="O406" s="4">
        <f>SUMIF(Combined[Date],EarningsPerDay[[#This Row],[Date]],Combined[Trips])</f>
        <v>9</v>
      </c>
      <c r="P406">
        <f>COUNTIF(Combined[Date],EarningsPerDay[[#This Row],[Date]])</f>
        <v>2</v>
      </c>
      <c r="Q4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6" s="11">
        <f>SUMIF(Combined[Date],EarningsPerDay[[#This Row],[Date]],Combined[Earnings])</f>
        <v>112.88</v>
      </c>
      <c r="S406" s="11">
        <f ca="1">EarningsPerDay[[#This Row],[Gross Earnings]]-(EarningsPerDay[[#This Row],[Miles]]*CpM!$D$11)</f>
        <v>90.136744551915044</v>
      </c>
      <c r="T406" s="11">
        <f t="shared" si="41"/>
        <v>26.56</v>
      </c>
      <c r="U406" s="11">
        <f t="shared" ca="1" si="42"/>
        <v>21.208645776921188</v>
      </c>
      <c r="V406" s="11">
        <f>EarningsPerDay[[#This Row],[Gross Earnings]]/EarningsPerDay[[#This Row],[Deliveries]]</f>
        <v>12.542222222222222</v>
      </c>
      <c r="W406" s="11">
        <f>EarningsPerDay[[#This Row],[Gross Earnings]]/EarningsPerDay[[#This Row],[Miles]]</f>
        <v>1.1066666666666667</v>
      </c>
      <c r="X406" s="71">
        <f>EarningsPerDay[[#This Row],[Deliveries]]/EarningsPerDay[[#This Row],[Hours]]</f>
        <v>2.1176470588235294</v>
      </c>
      <c r="Y406" s="71">
        <f>EarningsPerDay[[#This Row],[Miles]]/EarningsPerDay[[#This Row],[Deliveries]]</f>
        <v>11.333333333333334</v>
      </c>
      <c r="Z406" s="81">
        <f>(EarningsPerDay[[#This Row],[Hours]]/EarningsPerDay[[#This Row],[Deliveries]])/24</f>
        <v>1.9675925925925927E-2</v>
      </c>
      <c r="AA4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5.319057903909723</v>
      </c>
      <c r="AB406" s="11">
        <f>AVERAGEIFS(EarningsPerDay[Gross $/Hour],EarningsPerDay[Week '#], EarningsPerDay[[#This Row],[Week '#]], EarningsPerDay[DOW], EarningsPerDay[[#This Row],[DOW]])</f>
        <v>20.118243620248233</v>
      </c>
      <c r="AC406" s="11">
        <f>EarningsPerDay[[#This Row],[Gross $/Hour]] - EarningsPerDay[[#This Row],[Weekly Average Earnings]]</f>
        <v>6.4417563797517658</v>
      </c>
      <c r="AD406" s="11">
        <f>(SUMIFS(EarningsPerDay[Gross Earnings], EarningsPerDay[Date],"&gt;="&amp;EarningsPerDay[[#This Row],[Date]]-89, EarningsPerDay[Date], "&lt;="&amp;EarningsPerDay[[#This Row],[Date]]))/90</f>
        <v>53.030444444444434</v>
      </c>
    </row>
    <row r="407" spans="2:30" x14ac:dyDescent="0.35">
      <c r="B407" s="40">
        <v>45268</v>
      </c>
      <c r="C407" s="40">
        <f t="shared" si="39"/>
        <v>45268</v>
      </c>
      <c r="D407" s="4">
        <f>IF(EarningsPerDay[[#This Row],[Week '#]]&gt;=52,YEAR(EarningsPerDay[[#This Row],[Date]])-1,YEAR(EarningsPerDay[[#This Row],[Date]]))</f>
        <v>2023</v>
      </c>
      <c r="E407" s="4" t="str">
        <f>"QTR"&amp;IF(EarningsPerDay[[#This Row],[Week '#]] &lt;= 13, 1, IF(EarningsPerDay[[#This Row],[Week '#]] &lt;= 26, 2, IF(EarningsPerDay[[#This Row],[Week '#]] &lt;= 39, 3, 4)))</f>
        <v>QTR4</v>
      </c>
      <c r="F4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07" s="4">
        <f>IF(WEEKNUM(EarningsPerDay[[#This Row],[Date]], 2) = 53, 1, WEEKNUM(EarningsPerDay[[#This Row],[Date]],2))</f>
        <v>50</v>
      </c>
      <c r="H407" s="40" t="str">
        <f t="shared" si="40"/>
        <v>Friday</v>
      </c>
      <c r="I40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7" s="40" t="str" cm="1">
        <f t="array" ref="J407">IFERROR(VLOOKUP(MODE(IF(Combined[Date]=EarningsPerDay[[#This Row],[Date]],Combined[Area '#])),KPIs!$B$4:$C$7,2,FALSE),VLOOKUP(EarningsPerDay[[#This Row],[Date]],Combined[[Date]:[Primary Area]],8,FALSE))</f>
        <v>Portland</v>
      </c>
      <c r="K407" s="40" t="str">
        <f>_xlfn.XLOOKUP(EarningsPerDay[[#This Row],[Date]],Mileage[Date],Mileage[Weather])</f>
        <v>Partially Cloudy</v>
      </c>
      <c r="L407" s="4">
        <f>_xlfn.XLOOKUP(EarningsPerDay[[#This Row],[Date]],Mileage[Date],Mileage[Hi Temp])</f>
        <v>27</v>
      </c>
      <c r="M407" s="12">
        <f>_xlfn.XLOOKUP(EarningsPerDay[[#This Row],[Date]],Mileage[Date],Mileage[Total Time])</f>
        <v>3.08</v>
      </c>
      <c r="N407" s="4">
        <f>_xlfn.XLOOKUP(EarningsPerDay[[#This Row],[Date]],Mileage[Date],Mileage[Mileage])</f>
        <v>74</v>
      </c>
      <c r="O407" s="4">
        <f>SUMIF(Combined[Date],EarningsPerDay[[#This Row],[Date]],Combined[Trips])</f>
        <v>6</v>
      </c>
      <c r="P407">
        <f>COUNTIF(Combined[Date],EarningsPerDay[[#This Row],[Date]])</f>
        <v>2</v>
      </c>
      <c r="Q4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7" s="11">
        <f>SUMIF(Combined[Date],EarningsPerDay[[#This Row],[Date]],Combined[Earnings])</f>
        <v>54.339999999999996</v>
      </c>
      <c r="S407" s="11">
        <f ca="1">EarningsPerDay[[#This Row],[Gross Earnings]]-(EarningsPerDay[[#This Row],[Miles]]*CpM!$D$11)</f>
        <v>37.839991145506993</v>
      </c>
      <c r="T407" s="11">
        <f t="shared" si="41"/>
        <v>17.642857142857142</v>
      </c>
      <c r="U407" s="11">
        <f t="shared" ca="1" si="42"/>
        <v>12.285711410878893</v>
      </c>
      <c r="V407" s="11">
        <f>EarningsPerDay[[#This Row],[Gross Earnings]]/EarningsPerDay[[#This Row],[Deliveries]]</f>
        <v>9.0566666666666666</v>
      </c>
      <c r="W407" s="11">
        <f>EarningsPerDay[[#This Row],[Gross Earnings]]/EarningsPerDay[[#This Row],[Miles]]</f>
        <v>0.73432432432432426</v>
      </c>
      <c r="X407" s="71">
        <f>EarningsPerDay[[#This Row],[Deliveries]]/EarningsPerDay[[#This Row],[Hours]]</f>
        <v>1.948051948051948</v>
      </c>
      <c r="Y407" s="71">
        <f>EarningsPerDay[[#This Row],[Miles]]/EarningsPerDay[[#This Row],[Deliveries]]</f>
        <v>12.333333333333334</v>
      </c>
      <c r="Z407" s="81">
        <f>(EarningsPerDay[[#This Row],[Hours]]/EarningsPerDay[[#This Row],[Deliveries]])/24</f>
        <v>2.1388888888888888E-2</v>
      </c>
      <c r="AA4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-0.45611859070409366</v>
      </c>
      <c r="AB407" s="11">
        <f>AVERAGEIFS(EarningsPerDay[Gross $/Hour],EarningsPerDay[Week '#], EarningsPerDay[[#This Row],[Week '#]], EarningsPerDay[DOW], EarningsPerDay[[#This Row],[DOW]])</f>
        <v>21.738060193229416</v>
      </c>
      <c r="AC407" s="11">
        <f>EarningsPerDay[[#This Row],[Gross $/Hour]] - EarningsPerDay[[#This Row],[Weekly Average Earnings]]</f>
        <v>-4.0952030503722732</v>
      </c>
      <c r="AD407" s="11">
        <f>(SUMIFS(EarningsPerDay[Gross Earnings], EarningsPerDay[Date],"&gt;="&amp;EarningsPerDay[[#This Row],[Date]]-89, EarningsPerDay[Date], "&lt;="&amp;EarningsPerDay[[#This Row],[Date]]))/90</f>
        <v>53.634222222222213</v>
      </c>
    </row>
    <row r="408" spans="2:30" x14ac:dyDescent="0.35">
      <c r="B408" s="40">
        <v>45269</v>
      </c>
      <c r="C408" s="40">
        <f t="shared" si="39"/>
        <v>45269</v>
      </c>
      <c r="D408" s="4">
        <f>IF(EarningsPerDay[[#This Row],[Week '#]]&gt;=52,YEAR(EarningsPerDay[[#This Row],[Date]])-1,YEAR(EarningsPerDay[[#This Row],[Date]]))</f>
        <v>2023</v>
      </c>
      <c r="E408" s="4" t="str">
        <f>"QTR"&amp;IF(EarningsPerDay[[#This Row],[Week '#]] &lt;= 13, 1, IF(EarningsPerDay[[#This Row],[Week '#]] &lt;= 26, 2, IF(EarningsPerDay[[#This Row],[Week '#]] &lt;= 39, 3, 4)))</f>
        <v>QTR4</v>
      </c>
      <c r="F4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08" s="4">
        <f>IF(WEEKNUM(EarningsPerDay[[#This Row],[Date]], 2) = 53, 1, WEEKNUM(EarningsPerDay[[#This Row],[Date]],2))</f>
        <v>50</v>
      </c>
      <c r="H408" s="40" t="str">
        <f t="shared" si="40"/>
        <v>Saturday</v>
      </c>
      <c r="I40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08" s="40" t="str" cm="1">
        <f t="array" ref="J408">IFERROR(VLOOKUP(MODE(IF(Combined[Date]=EarningsPerDay[[#This Row],[Date]],Combined[Area '#])),KPIs!$B$4:$C$7,2,FALSE),VLOOKUP(EarningsPerDay[[#This Row],[Date]],Combined[[Date]:[Primary Area]],8,FALSE))</f>
        <v>Lewiston</v>
      </c>
      <c r="K408" s="40" t="str">
        <f>_xlfn.XLOOKUP(EarningsPerDay[[#This Row],[Date]],Mileage[Date],Mileage[Weather])</f>
        <v>Partially Cloudy</v>
      </c>
      <c r="L408" s="4">
        <f>_xlfn.XLOOKUP(EarningsPerDay[[#This Row],[Date]],Mileage[Date],Mileage[Hi Temp])</f>
        <v>34</v>
      </c>
      <c r="M408" s="12">
        <f>_xlfn.XLOOKUP(EarningsPerDay[[#This Row],[Date]],Mileage[Date],Mileage[Total Time])</f>
        <v>2.25</v>
      </c>
      <c r="N408" s="4">
        <f>_xlfn.XLOOKUP(EarningsPerDay[[#This Row],[Date]],Mileage[Date],Mileage[Mileage])</f>
        <v>36</v>
      </c>
      <c r="O408" s="4">
        <f>SUMIF(Combined[Date],EarningsPerDay[[#This Row],[Date]],Combined[Trips])</f>
        <v>7</v>
      </c>
      <c r="P408">
        <f>COUNTIF(Combined[Date],EarningsPerDay[[#This Row],[Date]])</f>
        <v>1</v>
      </c>
      <c r="Q40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08" s="11">
        <f>SUMIF(Combined[Date],EarningsPerDay[[#This Row],[Date]],Combined[Earnings])</f>
        <v>38.44</v>
      </c>
      <c r="S408" s="11">
        <f ca="1">EarningsPerDay[[#This Row],[Gross Earnings]]-(EarningsPerDay[[#This Row],[Miles]]*CpM!$D$11)</f>
        <v>30.412968665381779</v>
      </c>
      <c r="T408" s="11">
        <f t="shared" si="41"/>
        <v>17.084444444444443</v>
      </c>
      <c r="U408" s="11">
        <f t="shared" ca="1" si="42"/>
        <v>13.516874962391903</v>
      </c>
      <c r="V408" s="11">
        <f>EarningsPerDay[[#This Row],[Gross Earnings]]/EarningsPerDay[[#This Row],[Deliveries]]</f>
        <v>5.4914285714285711</v>
      </c>
      <c r="W408" s="11">
        <f>EarningsPerDay[[#This Row],[Gross Earnings]]/EarningsPerDay[[#This Row],[Miles]]</f>
        <v>1.0677777777777777</v>
      </c>
      <c r="X408" s="71">
        <f>EarningsPerDay[[#This Row],[Deliveries]]/EarningsPerDay[[#This Row],[Hours]]</f>
        <v>3.1111111111111112</v>
      </c>
      <c r="Y408" s="71">
        <f>EarningsPerDay[[#This Row],[Miles]]/EarningsPerDay[[#This Row],[Deliveries]]</f>
        <v>5.1428571428571432</v>
      </c>
      <c r="Z408" s="81">
        <f>(EarningsPerDay[[#This Row],[Hours]]/EarningsPerDay[[#This Row],[Deliveries]])/24</f>
        <v>1.3392857142857144E-2</v>
      </c>
      <c r="AA4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-6.7276500627727422</v>
      </c>
      <c r="AB408" s="11">
        <f>AVERAGEIFS(EarningsPerDay[Gross $/Hour],EarningsPerDay[Week '#], EarningsPerDay[[#This Row],[Week '#]], EarningsPerDay[DOW], EarningsPerDay[[#This Row],[DOW]])</f>
        <v>19.857741987961607</v>
      </c>
      <c r="AC408" s="11">
        <f>EarningsPerDay[[#This Row],[Gross $/Hour]] - EarningsPerDay[[#This Row],[Weekly Average Earnings]]</f>
        <v>-2.7732975435171632</v>
      </c>
      <c r="AD408" s="11">
        <f>(SUMIFS(EarningsPerDay[Gross Earnings], EarningsPerDay[Date],"&gt;="&amp;EarningsPerDay[[#This Row],[Date]]-89, EarningsPerDay[Date], "&lt;="&amp;EarningsPerDay[[#This Row],[Date]]))/90</f>
        <v>52.781555555555556</v>
      </c>
    </row>
    <row r="409" spans="2:30" x14ac:dyDescent="0.35">
      <c r="B409" s="40">
        <v>45274</v>
      </c>
      <c r="C409" s="40">
        <f t="shared" si="39"/>
        <v>45274</v>
      </c>
      <c r="D409" s="4">
        <f>IF(EarningsPerDay[[#This Row],[Week '#]]&gt;=52,YEAR(EarningsPerDay[[#This Row],[Date]])-1,YEAR(EarningsPerDay[[#This Row],[Date]]))</f>
        <v>2023</v>
      </c>
      <c r="E409" s="4" t="str">
        <f>"QTR"&amp;IF(EarningsPerDay[[#This Row],[Week '#]] &lt;= 13, 1, IF(EarningsPerDay[[#This Row],[Week '#]] &lt;= 26, 2, IF(EarningsPerDay[[#This Row],[Week '#]] &lt;= 39, 3, 4)))</f>
        <v>QTR4</v>
      </c>
      <c r="F4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409" s="4">
        <f>IF(WEEKNUM(EarningsPerDay[[#This Row],[Date]], 2) = 53, 1, WEEKNUM(EarningsPerDay[[#This Row],[Date]],2))</f>
        <v>51</v>
      </c>
      <c r="H409" s="40" t="str">
        <f t="shared" si="40"/>
        <v>Thursday</v>
      </c>
      <c r="I40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09" s="40" t="str" cm="1">
        <f t="array" ref="J409">IFERROR(VLOOKUP(MODE(IF(Combined[Date]=EarningsPerDay[[#This Row],[Date]],Combined[Area '#])),KPIs!$B$4:$C$7,2,FALSE),VLOOKUP(EarningsPerDay[[#This Row],[Date]],Combined[[Date]:[Primary Area]],8,FALSE))</f>
        <v>Brunswick/Bath/Freeport</v>
      </c>
      <c r="K409" s="40" t="str">
        <f>_xlfn.XLOOKUP(EarningsPerDay[[#This Row],[Date]],Mileage[Date],Mileage[Weather])</f>
        <v>Partially Cloudy</v>
      </c>
      <c r="L409" s="4">
        <f>_xlfn.XLOOKUP(EarningsPerDay[[#This Row],[Date]],Mileage[Date],Mileage[Hi Temp])</f>
        <v>28</v>
      </c>
      <c r="M409" s="12">
        <f>_xlfn.XLOOKUP(EarningsPerDay[[#This Row],[Date]],Mileage[Date],Mileage[Total Time])</f>
        <v>6.25</v>
      </c>
      <c r="N409" s="4">
        <f>_xlfn.XLOOKUP(EarningsPerDay[[#This Row],[Date]],Mileage[Date],Mileage[Mileage])</f>
        <v>144</v>
      </c>
      <c r="O409" s="4">
        <f>SUMIF(Combined[Date],EarningsPerDay[[#This Row],[Date]],Combined[Trips])</f>
        <v>12</v>
      </c>
      <c r="P409">
        <f>COUNTIF(Combined[Date],EarningsPerDay[[#This Row],[Date]])</f>
        <v>4</v>
      </c>
      <c r="Q4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09" s="11">
        <f>SUMIF(Combined[Date],EarningsPerDay[[#This Row],[Date]],Combined[Earnings])</f>
        <v>166.66</v>
      </c>
      <c r="S409" s="11">
        <f ca="1">EarningsPerDay[[#This Row],[Gross Earnings]]-(EarningsPerDay[[#This Row],[Miles]]*CpM!$D$11)</f>
        <v>134.55187466152711</v>
      </c>
      <c r="T409" s="11">
        <f t="shared" si="41"/>
        <v>26.665599999999998</v>
      </c>
      <c r="U409" s="11">
        <f t="shared" ca="1" si="42"/>
        <v>21.528299945844338</v>
      </c>
      <c r="V409" s="11">
        <f>EarningsPerDay[[#This Row],[Gross Earnings]]/EarningsPerDay[[#This Row],[Deliveries]]</f>
        <v>13.888333333333334</v>
      </c>
      <c r="W409" s="11">
        <f>EarningsPerDay[[#This Row],[Gross Earnings]]/EarningsPerDay[[#This Row],[Miles]]</f>
        <v>1.1573611111111111</v>
      </c>
      <c r="X409" s="71">
        <f>EarningsPerDay[[#This Row],[Deliveries]]/EarningsPerDay[[#This Row],[Hours]]</f>
        <v>1.92</v>
      </c>
      <c r="Y409" s="71">
        <f>EarningsPerDay[[#This Row],[Miles]]/EarningsPerDay[[#This Row],[Deliveries]]</f>
        <v>12</v>
      </c>
      <c r="Z409" s="81">
        <f>(EarningsPerDay[[#This Row],[Hours]]/EarningsPerDay[[#This Row],[Deliveries]])/24</f>
        <v>2.1701388888888892E-2</v>
      </c>
      <c r="AA4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4.6647924890654764</v>
      </c>
      <c r="AB409" s="11">
        <f>AVERAGEIFS(EarningsPerDay[Gross $/Hour],EarningsPerDay[Week '#], EarningsPerDay[[#This Row],[Week '#]], EarningsPerDay[DOW], EarningsPerDay[[#This Row],[DOW]])</f>
        <v>22.64296949152542</v>
      </c>
      <c r="AC409" s="11">
        <f>EarningsPerDay[[#This Row],[Gross $/Hour]] - EarningsPerDay[[#This Row],[Weekly Average Earnings]]</f>
        <v>4.0226305084745775</v>
      </c>
      <c r="AD409" s="11">
        <f>(SUMIFS(EarningsPerDay[Gross Earnings], EarningsPerDay[Date],"&gt;="&amp;EarningsPerDay[[#This Row],[Date]]-89, EarningsPerDay[Date], "&lt;="&amp;EarningsPerDay[[#This Row],[Date]]))/90</f>
        <v>52.094000000000001</v>
      </c>
    </row>
    <row r="410" spans="2:30" x14ac:dyDescent="0.35">
      <c r="B410" s="40">
        <v>45276</v>
      </c>
      <c r="C410" s="40">
        <f t="shared" si="39"/>
        <v>45276</v>
      </c>
      <c r="D410" s="4">
        <f>IF(EarningsPerDay[[#This Row],[Week '#]]&gt;=52,YEAR(EarningsPerDay[[#This Row],[Date]])-1,YEAR(EarningsPerDay[[#This Row],[Date]]))</f>
        <v>2023</v>
      </c>
      <c r="E410" s="4" t="str">
        <f>"QTR"&amp;IF(EarningsPerDay[[#This Row],[Week '#]] &lt;= 13, 1, IF(EarningsPerDay[[#This Row],[Week '#]] &lt;= 26, 2, IF(EarningsPerDay[[#This Row],[Week '#]] &lt;= 39, 3, 4)))</f>
        <v>QTR4</v>
      </c>
      <c r="F4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410" s="4">
        <f>IF(WEEKNUM(EarningsPerDay[[#This Row],[Date]], 2) = 53, 1, WEEKNUM(EarningsPerDay[[#This Row],[Date]],2))</f>
        <v>51</v>
      </c>
      <c r="H410" s="40" t="str">
        <f t="shared" si="40"/>
        <v>Saturday</v>
      </c>
      <c r="I41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10" s="40" t="str" cm="1">
        <f t="array" ref="J410">IFERROR(VLOOKUP(MODE(IF(Combined[Date]=EarningsPerDay[[#This Row],[Date]],Combined[Area '#])),KPIs!$B$4:$C$7,2,FALSE),VLOOKUP(EarningsPerDay[[#This Row],[Date]],Combined[[Date]:[Primary Area]],8,FALSE))</f>
        <v>Augusta</v>
      </c>
      <c r="K410" s="40" t="str">
        <f>_xlfn.XLOOKUP(EarningsPerDay[[#This Row],[Date]],Mileage[Date],Mileage[Weather])</f>
        <v>Clear</v>
      </c>
      <c r="L410" s="4">
        <f>_xlfn.XLOOKUP(EarningsPerDay[[#This Row],[Date]],Mileage[Date],Mileage[Hi Temp])</f>
        <v>34</v>
      </c>
      <c r="M410" s="12">
        <f>_xlfn.XLOOKUP(EarningsPerDay[[#This Row],[Date]],Mileage[Date],Mileage[Total Time])</f>
        <v>3.13</v>
      </c>
      <c r="N410" s="4">
        <f>_xlfn.XLOOKUP(EarningsPerDay[[#This Row],[Date]],Mileage[Date],Mileage[Mileage])</f>
        <v>65</v>
      </c>
      <c r="O410" s="4">
        <f>SUMIF(Combined[Date],EarningsPerDay[[#This Row],[Date]],Combined[Trips])</f>
        <v>6</v>
      </c>
      <c r="P410">
        <f>COUNTIF(Combined[Date],EarningsPerDay[[#This Row],[Date]])</f>
        <v>2</v>
      </c>
      <c r="Q41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10" s="11">
        <f>SUMIF(Combined[Date],EarningsPerDay[[#This Row],[Date]],Combined[Earnings])</f>
        <v>64.72</v>
      </c>
      <c r="S410" s="11">
        <f ca="1">EarningsPerDay[[#This Row],[Gross Earnings]]-(EarningsPerDay[[#This Row],[Miles]]*CpM!$D$11)</f>
        <v>50.226748979161549</v>
      </c>
      <c r="T410" s="11">
        <f t="shared" si="41"/>
        <v>20.677316293929714</v>
      </c>
      <c r="U410" s="11">
        <f t="shared" ca="1" si="42"/>
        <v>16.04688465787909</v>
      </c>
      <c r="V410" s="11">
        <f>EarningsPerDay[[#This Row],[Gross Earnings]]/EarningsPerDay[[#This Row],[Deliveries]]</f>
        <v>10.786666666666667</v>
      </c>
      <c r="W410" s="11">
        <f>EarningsPerDay[[#This Row],[Gross Earnings]]/EarningsPerDay[[#This Row],[Miles]]</f>
        <v>0.99569230769230765</v>
      </c>
      <c r="X410" s="71">
        <f>EarningsPerDay[[#This Row],[Deliveries]]/EarningsPerDay[[#This Row],[Hours]]</f>
        <v>1.9169329073482428</v>
      </c>
      <c r="Y410" s="71">
        <f>EarningsPerDay[[#This Row],[Miles]]/EarningsPerDay[[#This Row],[Deliveries]]</f>
        <v>10.833333333333334</v>
      </c>
      <c r="Z410" s="81">
        <f>(EarningsPerDay[[#This Row],[Hours]]/EarningsPerDay[[#This Row],[Deliveries]])/24</f>
        <v>2.1736111111111109E-2</v>
      </c>
      <c r="AA4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-0.10537601376259431</v>
      </c>
      <c r="AB410" s="11">
        <f>AVERAGEIFS(EarningsPerDay[Gross $/Hour],EarningsPerDay[Week '#], EarningsPerDay[[#This Row],[Week '#]], EarningsPerDay[DOW], EarningsPerDay[[#This Row],[DOW]])</f>
        <v>19.249617051074445</v>
      </c>
      <c r="AC410" s="11">
        <f>EarningsPerDay[[#This Row],[Gross $/Hour]] - EarningsPerDay[[#This Row],[Weekly Average Earnings]]</f>
        <v>1.4276992428552688</v>
      </c>
      <c r="AD410" s="11">
        <f>(SUMIFS(EarningsPerDay[Gross Earnings], EarningsPerDay[Date],"&gt;="&amp;EarningsPerDay[[#This Row],[Date]]-89, EarningsPerDay[Date], "&lt;="&amp;EarningsPerDay[[#This Row],[Date]]))/90</f>
        <v>51.646777777777771</v>
      </c>
    </row>
    <row r="411" spans="2:30" x14ac:dyDescent="0.35">
      <c r="B411" s="40">
        <v>45278</v>
      </c>
      <c r="C411" s="40">
        <f t="shared" si="39"/>
        <v>45278</v>
      </c>
      <c r="D411" s="4">
        <f>IF(EarningsPerDay[[#This Row],[Week '#]]&gt;=52,YEAR(EarningsPerDay[[#This Row],[Date]])-1,YEAR(EarningsPerDay[[#This Row],[Date]]))</f>
        <v>2022</v>
      </c>
      <c r="E411" s="4" t="str">
        <f>"QTR"&amp;IF(EarningsPerDay[[#This Row],[Week '#]] &lt;= 13, 1, IF(EarningsPerDay[[#This Row],[Week '#]] &lt;= 26, 2, IF(EarningsPerDay[[#This Row],[Week '#]] &lt;= 39, 3, 4)))</f>
        <v>QTR4</v>
      </c>
      <c r="F4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11" s="4">
        <f>IF(WEEKNUM(EarningsPerDay[[#This Row],[Date]], 2) = 53, 1, WEEKNUM(EarningsPerDay[[#This Row],[Date]],2))</f>
        <v>52</v>
      </c>
      <c r="H411" s="40" t="str">
        <f t="shared" si="40"/>
        <v>Monday</v>
      </c>
      <c r="I41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11" s="40" t="str" cm="1">
        <f t="array" ref="J411">IFERROR(VLOOKUP(MODE(IF(Combined[Date]=EarningsPerDay[[#This Row],[Date]],Combined[Area '#])),KPIs!$B$4:$C$7,2,FALSE),VLOOKUP(EarningsPerDay[[#This Row],[Date]],Combined[[Date]:[Primary Area]],8,FALSE))</f>
        <v>Brunswick/Bath/Freeport</v>
      </c>
      <c r="K411" s="40" t="str">
        <f>_xlfn.XLOOKUP(EarningsPerDay[[#This Row],[Date]],Mileage[Date],Mileage[Weather])</f>
        <v>Stormy</v>
      </c>
      <c r="L411" s="4">
        <f>_xlfn.XLOOKUP(EarningsPerDay[[#This Row],[Date]],Mileage[Date],Mileage[Hi Temp])</f>
        <v>52</v>
      </c>
      <c r="M411" s="12">
        <f>_xlfn.XLOOKUP(EarningsPerDay[[#This Row],[Date]],Mileage[Date],Mileage[Total Time])</f>
        <v>4.3499999999999996</v>
      </c>
      <c r="N411" s="4">
        <f>_xlfn.XLOOKUP(EarningsPerDay[[#This Row],[Date]],Mileage[Date],Mileage[Mileage])</f>
        <v>65</v>
      </c>
      <c r="O411" s="4">
        <f>SUMIF(Combined[Date],EarningsPerDay[[#This Row],[Date]],Combined[Trips])</f>
        <v>8</v>
      </c>
      <c r="P411">
        <f>COUNTIF(Combined[Date],EarningsPerDay[[#This Row],[Date]])</f>
        <v>3</v>
      </c>
      <c r="Q41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11" s="11">
        <f>SUMIF(Combined[Date],EarningsPerDay[[#This Row],[Date]],Combined[Earnings])</f>
        <v>87.759999999999991</v>
      </c>
      <c r="S411" s="11">
        <f ca="1">EarningsPerDay[[#This Row],[Gross Earnings]]-(EarningsPerDay[[#This Row],[Miles]]*CpM!$D$11)</f>
        <v>73.266748979161548</v>
      </c>
      <c r="T411" s="11">
        <f t="shared" si="41"/>
        <v>20.174712643678159</v>
      </c>
      <c r="U411" s="11">
        <f t="shared" ca="1" si="42"/>
        <v>16.842930799807252</v>
      </c>
      <c r="V411" s="11">
        <f>EarningsPerDay[[#This Row],[Gross Earnings]]/EarningsPerDay[[#This Row],[Deliveries]]</f>
        <v>10.969999999999999</v>
      </c>
      <c r="W411" s="11">
        <f>EarningsPerDay[[#This Row],[Gross Earnings]]/EarningsPerDay[[#This Row],[Miles]]</f>
        <v>1.350153846153846</v>
      </c>
      <c r="X411" s="71">
        <f>EarningsPerDay[[#This Row],[Deliveries]]/EarningsPerDay[[#This Row],[Hours]]</f>
        <v>1.8390804597701151</v>
      </c>
      <c r="Y411" s="71">
        <f>EarningsPerDay[[#This Row],[Miles]]/EarningsPerDay[[#This Row],[Deliveries]]</f>
        <v>8.125</v>
      </c>
      <c r="Z411" s="81">
        <f>(EarningsPerDay[[#This Row],[Hours]]/EarningsPerDay[[#This Row],[Deliveries]])/24</f>
        <v>2.2656249999999999E-2</v>
      </c>
      <c r="AA4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-5.2036377147815323</v>
      </c>
      <c r="AB411" s="11">
        <f>AVERAGEIFS(EarningsPerDay[Gross $/Hour],EarningsPerDay[Week '#], EarningsPerDay[[#This Row],[Week '#]], EarningsPerDay[DOW], EarningsPerDay[[#This Row],[DOW]])</f>
        <v>20.087356321839081</v>
      </c>
      <c r="AC411" s="11">
        <f>EarningsPerDay[[#This Row],[Gross $/Hour]] - EarningsPerDay[[#This Row],[Weekly Average Earnings]]</f>
        <v>8.7356321839077822E-2</v>
      </c>
      <c r="AD411" s="11">
        <f>(SUMIFS(EarningsPerDay[Gross Earnings], EarningsPerDay[Date],"&gt;="&amp;EarningsPerDay[[#This Row],[Date]]-89, EarningsPerDay[Date], "&lt;="&amp;EarningsPerDay[[#This Row],[Date]]))/90</f>
        <v>52.01133333333334</v>
      </c>
    </row>
    <row r="412" spans="2:30" x14ac:dyDescent="0.35">
      <c r="B412" s="40">
        <v>45282</v>
      </c>
      <c r="C412" s="40">
        <f t="shared" si="39"/>
        <v>45282</v>
      </c>
      <c r="D412" s="4">
        <f>IF(EarningsPerDay[[#This Row],[Week '#]]&gt;=52,YEAR(EarningsPerDay[[#This Row],[Date]])-1,YEAR(EarningsPerDay[[#This Row],[Date]]))</f>
        <v>2022</v>
      </c>
      <c r="E412" s="4" t="str">
        <f>"QTR"&amp;IF(EarningsPerDay[[#This Row],[Week '#]] &lt;= 13, 1, IF(EarningsPerDay[[#This Row],[Week '#]] &lt;= 26, 2, IF(EarningsPerDay[[#This Row],[Week '#]] &lt;= 39, 3, 4)))</f>
        <v>QTR4</v>
      </c>
      <c r="F4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12" s="4">
        <f>IF(WEEKNUM(EarningsPerDay[[#This Row],[Date]], 2) = 53, 1, WEEKNUM(EarningsPerDay[[#This Row],[Date]],2))</f>
        <v>52</v>
      </c>
      <c r="H412" s="40" t="str">
        <f t="shared" si="40"/>
        <v>Friday</v>
      </c>
      <c r="I41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12" s="40" t="str" cm="1">
        <f t="array" ref="J412">IFERROR(VLOOKUP(MODE(IF(Combined[Date]=EarningsPerDay[[#This Row],[Date]],Combined[Area '#])),KPIs!$B$4:$C$7,2,FALSE),VLOOKUP(EarningsPerDay[[#This Row],[Date]],Combined[[Date]:[Primary Area]],8,FALSE))</f>
        <v>Brunswick/Bath/Freeport</v>
      </c>
      <c r="K412" s="40" t="str">
        <f>_xlfn.XLOOKUP(EarningsPerDay[[#This Row],[Date]],Mileage[Date],Mileage[Weather])</f>
        <v>Clear</v>
      </c>
      <c r="L412" s="4">
        <f>_xlfn.XLOOKUP(EarningsPerDay[[#This Row],[Date]],Mileage[Date],Mileage[Hi Temp])</f>
        <v>25</v>
      </c>
      <c r="M412" s="12">
        <f>_xlfn.XLOOKUP(EarningsPerDay[[#This Row],[Date]],Mileage[Date],Mileage[Total Time])</f>
        <v>4.9000000000000004</v>
      </c>
      <c r="N412" s="4">
        <f>_xlfn.XLOOKUP(EarningsPerDay[[#This Row],[Date]],Mileage[Date],Mileage[Mileage])</f>
        <v>92</v>
      </c>
      <c r="O412" s="4">
        <f>SUMIF(Combined[Date],EarningsPerDay[[#This Row],[Date]],Combined[Trips])</f>
        <v>10</v>
      </c>
      <c r="P412">
        <f>COUNTIF(Combined[Date],EarningsPerDay[[#This Row],[Date]])</f>
        <v>3</v>
      </c>
      <c r="Q4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2" s="11">
        <f>SUMIF(Combined[Date],EarningsPerDay[[#This Row],[Date]],Combined[Earnings])</f>
        <v>123.04</v>
      </c>
      <c r="S412" s="11">
        <f ca="1">EarningsPerDay[[#This Row],[Gross Earnings]]-(EarningsPerDay[[#This Row],[Miles]]*CpM!$D$11)</f>
        <v>102.5264754781979</v>
      </c>
      <c r="T412" s="11">
        <f t="shared" si="41"/>
        <v>25.110204081632652</v>
      </c>
      <c r="U412" s="11">
        <f t="shared" ca="1" si="42"/>
        <v>20.923770505754671</v>
      </c>
      <c r="V412" s="11">
        <f>EarningsPerDay[[#This Row],[Gross Earnings]]/EarningsPerDay[[#This Row],[Deliveries]]</f>
        <v>12.304</v>
      </c>
      <c r="W412" s="11">
        <f>EarningsPerDay[[#This Row],[Gross Earnings]]/EarningsPerDay[[#This Row],[Miles]]</f>
        <v>1.337391304347826</v>
      </c>
      <c r="X412" s="71">
        <f>EarningsPerDay[[#This Row],[Deliveries]]/EarningsPerDay[[#This Row],[Hours]]</f>
        <v>2.0408163265306123</v>
      </c>
      <c r="Y412" s="71">
        <f>EarningsPerDay[[#This Row],[Miles]]/EarningsPerDay[[#This Row],[Deliveries]]</f>
        <v>9.1999999999999993</v>
      </c>
      <c r="Z412" s="81">
        <f>(EarningsPerDay[[#This Row],[Hours]]/EarningsPerDay[[#This Row],[Deliveries]])/24</f>
        <v>2.041666666666667E-2</v>
      </c>
      <c r="AA4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1.4930497770863305</v>
      </c>
      <c r="AB412" s="11">
        <f>AVERAGEIFS(EarningsPerDay[Gross $/Hour],EarningsPerDay[Week '#], EarningsPerDay[[#This Row],[Week '#]], EarningsPerDay[DOW], EarningsPerDay[[#This Row],[DOW]])</f>
        <v>25.110204081632652</v>
      </c>
      <c r="AC412" s="11">
        <f>EarningsPerDay[[#This Row],[Gross $/Hour]] - EarningsPerDay[[#This Row],[Weekly Average Earnings]]</f>
        <v>0</v>
      </c>
      <c r="AD412" s="11">
        <f>(SUMIFS(EarningsPerDay[Gross Earnings], EarningsPerDay[Date],"&gt;="&amp;EarningsPerDay[[#This Row],[Date]]-89, EarningsPerDay[Date], "&lt;="&amp;EarningsPerDay[[#This Row],[Date]]))/90</f>
        <v>50.362333333333353</v>
      </c>
    </row>
    <row r="413" spans="2:30" x14ac:dyDescent="0.35">
      <c r="B413" s="40">
        <v>45283</v>
      </c>
      <c r="C413" s="40">
        <f t="shared" si="39"/>
        <v>45283</v>
      </c>
      <c r="D413" s="4">
        <f>IF(EarningsPerDay[[#This Row],[Week '#]]&gt;=52,YEAR(EarningsPerDay[[#This Row],[Date]])-1,YEAR(EarningsPerDay[[#This Row],[Date]]))</f>
        <v>2022</v>
      </c>
      <c r="E413" s="4" t="str">
        <f>"QTR"&amp;IF(EarningsPerDay[[#This Row],[Week '#]] &lt;= 13, 1, IF(EarningsPerDay[[#This Row],[Week '#]] &lt;= 26, 2, IF(EarningsPerDay[[#This Row],[Week '#]] &lt;= 39, 3, 4)))</f>
        <v>QTR4</v>
      </c>
      <c r="F4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13" s="4">
        <f>IF(WEEKNUM(EarningsPerDay[[#This Row],[Date]], 2) = 53, 1, WEEKNUM(EarningsPerDay[[#This Row],[Date]],2))</f>
        <v>52</v>
      </c>
      <c r="H413" s="40" t="str">
        <f t="shared" si="40"/>
        <v>Saturday</v>
      </c>
      <c r="I41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13" s="40" t="str" cm="1">
        <f t="array" ref="J413">IFERROR(VLOOKUP(MODE(IF(Combined[Date]=EarningsPerDay[[#This Row],[Date]],Combined[Area '#])),KPIs!$B$4:$C$7,2,FALSE),VLOOKUP(EarningsPerDay[[#This Row],[Date]],Combined[[Date]:[Primary Area]],8,FALSE))</f>
        <v>Brunswick/Bath/Freeport</v>
      </c>
      <c r="K413" s="40" t="str">
        <f>_xlfn.XLOOKUP(EarningsPerDay[[#This Row],[Date]],Mileage[Date],Mileage[Weather])</f>
        <v>Partially Cloudy</v>
      </c>
      <c r="L413" s="4">
        <f>_xlfn.XLOOKUP(EarningsPerDay[[#This Row],[Date]],Mileage[Date],Mileage[Hi Temp])</f>
        <v>32</v>
      </c>
      <c r="M413" s="12">
        <f>_xlfn.XLOOKUP(EarningsPerDay[[#This Row],[Date]],Mileage[Date],Mileage[Total Time])</f>
        <v>3.82</v>
      </c>
      <c r="N413" s="4">
        <f>_xlfn.XLOOKUP(EarningsPerDay[[#This Row],[Date]],Mileage[Date],Mileage[Mileage])</f>
        <v>75</v>
      </c>
      <c r="O413" s="4">
        <f>SUMIF(Combined[Date],EarningsPerDay[[#This Row],[Date]],Combined[Trips])</f>
        <v>7</v>
      </c>
      <c r="P413">
        <f>COUNTIF(Combined[Date],EarningsPerDay[[#This Row],[Date]])</f>
        <v>2</v>
      </c>
      <c r="Q41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13" s="11">
        <f>SUMIF(Combined[Date],EarningsPerDay[[#This Row],[Date]],Combined[Earnings])</f>
        <v>83.1</v>
      </c>
      <c r="S413" s="11">
        <f ca="1">EarningsPerDay[[#This Row],[Gross Earnings]]-(EarningsPerDay[[#This Row],[Miles]]*CpM!$D$11)</f>
        <v>66.377018052878711</v>
      </c>
      <c r="T413" s="11">
        <f t="shared" si="41"/>
        <v>21.753926701570681</v>
      </c>
      <c r="U413" s="11">
        <f t="shared" ca="1" si="42"/>
        <v>17.376182736355684</v>
      </c>
      <c r="V413" s="11">
        <f>EarningsPerDay[[#This Row],[Gross Earnings]]/EarningsPerDay[[#This Row],[Deliveries]]</f>
        <v>11.87142857142857</v>
      </c>
      <c r="W413" s="11">
        <f>EarningsPerDay[[#This Row],[Gross Earnings]]/EarningsPerDay[[#This Row],[Miles]]</f>
        <v>1.1079999999999999</v>
      </c>
      <c r="X413" s="71">
        <f>EarningsPerDay[[#This Row],[Deliveries]]/EarningsPerDay[[#This Row],[Hours]]</f>
        <v>1.8324607329842932</v>
      </c>
      <c r="Y413" s="71">
        <f>EarningsPerDay[[#This Row],[Miles]]/EarningsPerDay[[#This Row],[Deliveries]]</f>
        <v>10.714285714285714</v>
      </c>
      <c r="Z413" s="81">
        <f>(EarningsPerDay[[#This Row],[Hours]]/EarningsPerDay[[#This Row],[Deliveries]])/24</f>
        <v>2.2738095238095238E-2</v>
      </c>
      <c r="AA4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2.1409661327277583</v>
      </c>
      <c r="AB413" s="11">
        <f>AVERAGEIFS(EarningsPerDay[Gross $/Hour],EarningsPerDay[Week '#], EarningsPerDay[[#This Row],[Week '#]], EarningsPerDay[DOW], EarningsPerDay[[#This Row],[DOW]])</f>
        <v>21.753926701570681</v>
      </c>
      <c r="AC413" s="11">
        <f>EarningsPerDay[[#This Row],[Gross $/Hour]] - EarningsPerDay[[#This Row],[Weekly Average Earnings]]</f>
        <v>0</v>
      </c>
      <c r="AD413" s="11">
        <f>(SUMIFS(EarningsPerDay[Gross Earnings], EarningsPerDay[Date],"&gt;="&amp;EarningsPerDay[[#This Row],[Date]]-89, EarningsPerDay[Date], "&lt;="&amp;EarningsPerDay[[#This Row],[Date]]))/90</f>
        <v>51.285666666666685</v>
      </c>
    </row>
    <row r="414" spans="2:30" x14ac:dyDescent="0.35">
      <c r="B414" s="40">
        <v>45284</v>
      </c>
      <c r="C414" s="40">
        <f t="shared" si="39"/>
        <v>45284</v>
      </c>
      <c r="D414" s="4">
        <f>IF(EarningsPerDay[[#This Row],[Week '#]]&gt;=52,YEAR(EarningsPerDay[[#This Row],[Date]])-1,YEAR(EarningsPerDay[[#This Row],[Date]]))</f>
        <v>2022</v>
      </c>
      <c r="E414" s="4" t="str">
        <f>"QTR"&amp;IF(EarningsPerDay[[#This Row],[Week '#]] &lt;= 13, 1, IF(EarningsPerDay[[#This Row],[Week '#]] &lt;= 26, 2, IF(EarningsPerDay[[#This Row],[Week '#]] &lt;= 39, 3, 4)))</f>
        <v>QTR4</v>
      </c>
      <c r="F4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14" s="4">
        <f>IF(WEEKNUM(EarningsPerDay[[#This Row],[Date]], 2) = 53, 1, WEEKNUM(EarningsPerDay[[#This Row],[Date]],2))</f>
        <v>52</v>
      </c>
      <c r="H414" s="40" t="str">
        <f t="shared" si="40"/>
        <v>Sunday</v>
      </c>
      <c r="I414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414" s="40" t="str" cm="1">
        <f t="array" ref="J414">IFERROR(VLOOKUP(MODE(IF(Combined[Date]=EarningsPerDay[[#This Row],[Date]],Combined[Area '#])),KPIs!$B$4:$C$7,2,FALSE),VLOOKUP(EarningsPerDay[[#This Row],[Date]],Combined[[Date]:[Primary Area]],8,FALSE))</f>
        <v>Brunswick/Bath/Freeport</v>
      </c>
      <c r="K414" s="40" t="str">
        <f>_xlfn.XLOOKUP(EarningsPerDay[[#This Row],[Date]],Mileage[Date],Mileage[Weather])</f>
        <v>Overcast</v>
      </c>
      <c r="L414" s="4">
        <f>_xlfn.XLOOKUP(EarningsPerDay[[#This Row],[Date]],Mileage[Date],Mileage[Hi Temp])</f>
        <v>43</v>
      </c>
      <c r="M414" s="12">
        <f>_xlfn.XLOOKUP(EarningsPerDay[[#This Row],[Date]],Mileage[Date],Mileage[Total Time])</f>
        <v>1.43</v>
      </c>
      <c r="N414" s="4">
        <f>_xlfn.XLOOKUP(EarningsPerDay[[#This Row],[Date]],Mileage[Date],Mileage[Mileage])</f>
        <v>30</v>
      </c>
      <c r="O414" s="4">
        <f>SUMIF(Combined[Date],EarningsPerDay[[#This Row],[Date]],Combined[Trips])</f>
        <v>2</v>
      </c>
      <c r="P414">
        <f>COUNTIF(Combined[Date],EarningsPerDay[[#This Row],[Date]])</f>
        <v>2</v>
      </c>
      <c r="Q4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4" s="11">
        <f>SUMIF(Combined[Date],EarningsPerDay[[#This Row],[Date]],Combined[Earnings])</f>
        <v>26.08</v>
      </c>
      <c r="S414" s="11">
        <f ca="1">EarningsPerDay[[#This Row],[Gross Earnings]]-(EarningsPerDay[[#This Row],[Miles]]*CpM!$D$11)</f>
        <v>19.390807221151483</v>
      </c>
      <c r="T414" s="11">
        <f t="shared" si="41"/>
        <v>18.237762237762237</v>
      </c>
      <c r="U414" s="11">
        <f t="shared" ca="1" si="42"/>
        <v>13.560005049756283</v>
      </c>
      <c r="V414" s="11">
        <f>EarningsPerDay[[#This Row],[Gross Earnings]]/EarningsPerDay[[#This Row],[Deliveries]]</f>
        <v>13.04</v>
      </c>
      <c r="W414" s="11">
        <f>EarningsPerDay[[#This Row],[Gross Earnings]]/EarningsPerDay[[#This Row],[Miles]]</f>
        <v>0.86933333333333329</v>
      </c>
      <c r="X414" s="71">
        <f>EarningsPerDay[[#This Row],[Deliveries]]/EarningsPerDay[[#This Row],[Hours]]</f>
        <v>1.3986013986013988</v>
      </c>
      <c r="Y414" s="71">
        <f>EarningsPerDay[[#This Row],[Miles]]/EarningsPerDay[[#This Row],[Deliveries]]</f>
        <v>15</v>
      </c>
      <c r="Z414" s="81">
        <f>(EarningsPerDay[[#This Row],[Hours]]/EarningsPerDay[[#This Row],[Deliveries]])/24</f>
        <v>2.9791666666666664E-2</v>
      </c>
      <c r="AA4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-4.7908419298868488</v>
      </c>
      <c r="AB414" s="11">
        <f>AVERAGEIFS(EarningsPerDay[Gross $/Hour],EarningsPerDay[Week '#], EarningsPerDay[[#This Row],[Week '#]], EarningsPerDay[DOW], EarningsPerDay[[#This Row],[DOW]])</f>
        <v>18.237762237762237</v>
      </c>
      <c r="AC414" s="11">
        <f>EarningsPerDay[[#This Row],[Gross $/Hour]] - EarningsPerDay[[#This Row],[Weekly Average Earnings]]</f>
        <v>0</v>
      </c>
      <c r="AD414" s="11">
        <f>(SUMIFS(EarningsPerDay[Gross Earnings], EarningsPerDay[Date],"&gt;="&amp;EarningsPerDay[[#This Row],[Date]]-89, EarningsPerDay[Date], "&lt;="&amp;EarningsPerDay[[#This Row],[Date]]))/90</f>
        <v>50.786888888888917</v>
      </c>
    </row>
    <row r="415" spans="2:30" x14ac:dyDescent="0.35">
      <c r="B415" s="40">
        <v>45287</v>
      </c>
      <c r="C415" s="40">
        <f t="shared" si="39"/>
        <v>45287</v>
      </c>
      <c r="D415" s="4">
        <f>IF(EarningsPerDay[[#This Row],[Week '#]]&gt;=52,YEAR(EarningsPerDay[[#This Row],[Date]])-1,YEAR(EarningsPerDay[[#This Row],[Date]]))</f>
        <v>2023</v>
      </c>
      <c r="E415" s="4" t="str">
        <f>"QTR"&amp;IF(EarningsPerDay[[#This Row],[Week '#]] &lt;= 13, 1, IF(EarningsPerDay[[#This Row],[Week '#]] &lt;= 26, 2, IF(EarningsPerDay[[#This Row],[Week '#]] &lt;= 39, 3, 4)))</f>
        <v>QTR1</v>
      </c>
      <c r="F4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15" s="4">
        <f>IF(WEEKNUM(EarningsPerDay[[#This Row],[Date]], 2) = 53, 1, WEEKNUM(EarningsPerDay[[#This Row],[Date]],2))</f>
        <v>1</v>
      </c>
      <c r="H415" s="40" t="str">
        <f t="shared" si="40"/>
        <v>Wednesday</v>
      </c>
      <c r="I41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15" s="40" t="str" cm="1">
        <f t="array" ref="J415">IFERROR(VLOOKUP(MODE(IF(Combined[Date]=EarningsPerDay[[#This Row],[Date]],Combined[Area '#])),KPIs!$B$4:$C$7,2,FALSE),VLOOKUP(EarningsPerDay[[#This Row],[Date]],Combined[[Date]:[Primary Area]],8,FALSE))</f>
        <v>Brunswick/Bath/Freeport</v>
      </c>
      <c r="K415" s="40" t="str">
        <f>_xlfn.XLOOKUP(EarningsPerDay[[#This Row],[Date]],Mileage[Date],Mileage[Weather])</f>
        <v>Fog</v>
      </c>
      <c r="L415" s="4">
        <f>_xlfn.XLOOKUP(EarningsPerDay[[#This Row],[Date]],Mileage[Date],Mileage[Hi Temp])</f>
        <v>39</v>
      </c>
      <c r="M415" s="12">
        <f>_xlfn.XLOOKUP(EarningsPerDay[[#This Row],[Date]],Mileage[Date],Mileage[Total Time])</f>
        <v>4.25</v>
      </c>
      <c r="N415" s="4">
        <f>_xlfn.XLOOKUP(EarningsPerDay[[#This Row],[Date]],Mileage[Date],Mileage[Mileage])</f>
        <v>80</v>
      </c>
      <c r="O415" s="4">
        <f>SUMIF(Combined[Date],EarningsPerDay[[#This Row],[Date]],Combined[Trips])</f>
        <v>8</v>
      </c>
      <c r="P415">
        <f>COUNTIF(Combined[Date],EarningsPerDay[[#This Row],[Date]])</f>
        <v>3</v>
      </c>
      <c r="Q4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5" s="11">
        <f>SUMIF(Combined[Date],EarningsPerDay[[#This Row],[Date]],Combined[Earnings])</f>
        <v>99.559999999999988</v>
      </c>
      <c r="S415" s="11">
        <f ca="1">EarningsPerDay[[#This Row],[Gross Earnings]]-(EarningsPerDay[[#This Row],[Miles]]*CpM!$D$11)</f>
        <v>81.722152589737277</v>
      </c>
      <c r="T415" s="11">
        <f t="shared" si="41"/>
        <v>23.425882352941173</v>
      </c>
      <c r="U415" s="11">
        <f t="shared" ca="1" si="42"/>
        <v>19.228741785820535</v>
      </c>
      <c r="V415" s="11">
        <f>EarningsPerDay[[#This Row],[Gross Earnings]]/EarningsPerDay[[#This Row],[Deliveries]]</f>
        <v>12.444999999999999</v>
      </c>
      <c r="W415" s="11">
        <f>EarningsPerDay[[#This Row],[Gross Earnings]]/EarningsPerDay[[#This Row],[Miles]]</f>
        <v>1.2444999999999999</v>
      </c>
      <c r="X415" s="71">
        <f>EarningsPerDay[[#This Row],[Deliveries]]/EarningsPerDay[[#This Row],[Hours]]</f>
        <v>1.8823529411764706</v>
      </c>
      <c r="Y415" s="71">
        <f>EarningsPerDay[[#This Row],[Miles]]/EarningsPerDay[[#This Row],[Deliveries]]</f>
        <v>10</v>
      </c>
      <c r="Z415" s="81">
        <f>(EarningsPerDay[[#This Row],[Hours]]/EarningsPerDay[[#This Row],[Deliveries]])/24</f>
        <v>2.2135416666666668E-2</v>
      </c>
      <c r="AA4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-6.3732523503689862</v>
      </c>
      <c r="AB415" s="11">
        <f>AVERAGEIFS(EarningsPerDay[Gross $/Hour],EarningsPerDay[Week '#], EarningsPerDay[[#This Row],[Week '#]], EarningsPerDay[DOW], EarningsPerDay[[#This Row],[DOW]])</f>
        <v>24.079876660341554</v>
      </c>
      <c r="AC415" s="11">
        <f>EarningsPerDay[[#This Row],[Gross $/Hour]] - EarningsPerDay[[#This Row],[Weekly Average Earnings]]</f>
        <v>-0.65399430740038156</v>
      </c>
      <c r="AD415" s="11">
        <f>(SUMIFS(EarningsPerDay[Gross Earnings], EarningsPerDay[Date],"&gt;="&amp;EarningsPerDay[[#This Row],[Date]]-89, EarningsPerDay[Date], "&lt;="&amp;EarningsPerDay[[#This Row],[Date]]))/90</f>
        <v>50.261777777777802</v>
      </c>
    </row>
    <row r="416" spans="2:30" x14ac:dyDescent="0.35">
      <c r="B416" s="40">
        <v>45289</v>
      </c>
      <c r="C416" s="40">
        <f t="shared" si="39"/>
        <v>45289</v>
      </c>
      <c r="D416" s="4">
        <f>IF(EarningsPerDay[[#This Row],[Week '#]]&gt;=52,YEAR(EarningsPerDay[[#This Row],[Date]])-1,YEAR(EarningsPerDay[[#This Row],[Date]]))</f>
        <v>2023</v>
      </c>
      <c r="E416" s="4" t="str">
        <f>"QTR"&amp;IF(EarningsPerDay[[#This Row],[Week '#]] &lt;= 13, 1, IF(EarningsPerDay[[#This Row],[Week '#]] &lt;= 26, 2, IF(EarningsPerDay[[#This Row],[Week '#]] &lt;= 39, 3, 4)))</f>
        <v>QTR1</v>
      </c>
      <c r="F4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16" s="4">
        <f>IF(WEEKNUM(EarningsPerDay[[#This Row],[Date]], 2) = 53, 1, WEEKNUM(EarningsPerDay[[#This Row],[Date]],2))</f>
        <v>1</v>
      </c>
      <c r="H416" s="40" t="str">
        <f t="shared" si="40"/>
        <v>Friday</v>
      </c>
      <c r="I41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16" s="40" t="str" cm="1">
        <f t="array" ref="J416">IFERROR(VLOOKUP(MODE(IF(Combined[Date]=EarningsPerDay[[#This Row],[Date]],Combined[Area '#])),KPIs!$B$4:$C$7,2,FALSE),VLOOKUP(EarningsPerDay[[#This Row],[Date]],Combined[[Date]:[Primary Area]],8,FALSE))</f>
        <v>Brunswick/Bath/Freeport</v>
      </c>
      <c r="K416" s="40" t="str">
        <f>_xlfn.XLOOKUP(EarningsPerDay[[#This Row],[Date]],Mileage[Date],Mileage[Weather])</f>
        <v>Fog</v>
      </c>
      <c r="L416" s="4">
        <f>_xlfn.XLOOKUP(EarningsPerDay[[#This Row],[Date]],Mileage[Date],Mileage[Hi Temp])</f>
        <v>36</v>
      </c>
      <c r="M416" s="12">
        <f>_xlfn.XLOOKUP(EarningsPerDay[[#This Row],[Date]],Mileage[Date],Mileage[Total Time])</f>
        <v>6.8</v>
      </c>
      <c r="N416" s="4">
        <f>_xlfn.XLOOKUP(EarningsPerDay[[#This Row],[Date]],Mileage[Date],Mileage[Mileage])</f>
        <v>150</v>
      </c>
      <c r="O416" s="4">
        <f>SUMIF(Combined[Date],EarningsPerDay[[#This Row],[Date]],Combined[Trips])</f>
        <v>14</v>
      </c>
      <c r="P416">
        <f>COUNTIF(Combined[Date],EarningsPerDay[[#This Row],[Date]])</f>
        <v>4</v>
      </c>
      <c r="Q4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6" s="11">
        <f>SUMIF(Combined[Date],EarningsPerDay[[#This Row],[Date]],Combined[Earnings])</f>
        <v>178.29</v>
      </c>
      <c r="S416" s="11">
        <f ca="1">EarningsPerDay[[#This Row],[Gross Earnings]]-(EarningsPerDay[[#This Row],[Miles]]*CpM!$D$11)</f>
        <v>144.84403610575743</v>
      </c>
      <c r="T416" s="11">
        <f t="shared" si="41"/>
        <v>26.219117647058823</v>
      </c>
      <c r="U416" s="11">
        <f t="shared" ca="1" si="42"/>
        <v>21.300593544964329</v>
      </c>
      <c r="V416" s="11">
        <f>EarningsPerDay[[#This Row],[Gross Earnings]]/EarningsPerDay[[#This Row],[Deliveries]]</f>
        <v>12.734999999999999</v>
      </c>
      <c r="W416" s="11">
        <f>EarningsPerDay[[#This Row],[Gross Earnings]]/EarningsPerDay[[#This Row],[Miles]]</f>
        <v>1.1885999999999999</v>
      </c>
      <c r="X416" s="71">
        <f>EarningsPerDay[[#This Row],[Deliveries]]/EarningsPerDay[[#This Row],[Hours]]</f>
        <v>2.0588235294117649</v>
      </c>
      <c r="Y416" s="71">
        <f>EarningsPerDay[[#This Row],[Miles]]/EarningsPerDay[[#This Row],[Deliveries]]</f>
        <v>10.714285714285714</v>
      </c>
      <c r="Z416" s="81">
        <f>(EarningsPerDay[[#This Row],[Hours]]/EarningsPerDay[[#This Row],[Deliveries]])/24</f>
        <v>2.0238095238095239E-2</v>
      </c>
      <c r="AA4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7.0316106127788558</v>
      </c>
      <c r="AB416" s="11">
        <f>AVERAGEIFS(EarningsPerDay[Gross $/Hour],EarningsPerDay[Week '#], EarningsPerDay[[#This Row],[Week '#]], EarningsPerDay[DOW], EarningsPerDay[[#This Row],[DOW]])</f>
        <v>19.988788031661809</v>
      </c>
      <c r="AC416" s="11">
        <f>EarningsPerDay[[#This Row],[Gross $/Hour]] - EarningsPerDay[[#This Row],[Weekly Average Earnings]]</f>
        <v>6.2303296153970145</v>
      </c>
      <c r="AD416" s="11">
        <f>(SUMIFS(EarningsPerDay[Gross Earnings], EarningsPerDay[Date],"&gt;="&amp;EarningsPerDay[[#This Row],[Date]]-89, EarningsPerDay[Date], "&lt;="&amp;EarningsPerDay[[#This Row],[Date]]))/90</f>
        <v>50.498555555555562</v>
      </c>
    </row>
    <row r="417" spans="2:30" x14ac:dyDescent="0.35">
      <c r="B417" s="40">
        <v>45292</v>
      </c>
      <c r="C417" s="40">
        <f t="shared" si="39"/>
        <v>45292</v>
      </c>
      <c r="D417" s="4">
        <f>IF(EarningsPerDay[[#This Row],[Week '#]]&gt;=52,YEAR(EarningsPerDay[[#This Row],[Date]])-1,YEAR(EarningsPerDay[[#This Row],[Date]]))</f>
        <v>2024</v>
      </c>
      <c r="E417" s="4" t="str">
        <f>"QTR"&amp;IF(EarningsPerDay[[#This Row],[Week '#]] &lt;= 13, 1, IF(EarningsPerDay[[#This Row],[Week '#]] &lt;= 26, 2, IF(EarningsPerDay[[#This Row],[Week '#]] &lt;= 39, 3, 4)))</f>
        <v>QTR1</v>
      </c>
      <c r="F4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17" s="4">
        <f>IF(WEEKNUM(EarningsPerDay[[#This Row],[Date]], 2) = 53, 1, WEEKNUM(EarningsPerDay[[#This Row],[Date]],2))</f>
        <v>1</v>
      </c>
      <c r="H417" s="40" t="str">
        <f t="shared" si="40"/>
        <v>Monday</v>
      </c>
      <c r="I41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17" s="40" t="str" cm="1">
        <f t="array" ref="J417">IFERROR(VLOOKUP(MODE(IF(Combined[Date]=EarningsPerDay[[#This Row],[Date]],Combined[Area '#])),KPIs!$B$4:$C$7,2,FALSE),VLOOKUP(EarningsPerDay[[#This Row],[Date]],Combined[[Date]:[Primary Area]],8,FALSE))</f>
        <v>Portland</v>
      </c>
      <c r="K417" s="40" t="str">
        <f>_xlfn.XLOOKUP(EarningsPerDay[[#This Row],[Date]],Mileage[Date],Mileage[Weather])</f>
        <v>Overcast</v>
      </c>
      <c r="L417" s="4">
        <f>_xlfn.XLOOKUP(EarningsPerDay[[#This Row],[Date]],Mileage[Date],Mileage[Hi Temp])</f>
        <v>27</v>
      </c>
      <c r="M417" s="12">
        <f>_xlfn.XLOOKUP(EarningsPerDay[[#This Row],[Date]],Mileage[Date],Mileage[Total Time])</f>
        <v>3.35</v>
      </c>
      <c r="N417" s="4">
        <f>_xlfn.XLOOKUP(EarningsPerDay[[#This Row],[Date]],Mileage[Date],Mileage[Mileage])</f>
        <v>83</v>
      </c>
      <c r="O417" s="4">
        <f>SUMIF(Combined[Date],EarningsPerDay[[#This Row],[Date]],Combined[Trips])</f>
        <v>7</v>
      </c>
      <c r="P417">
        <f>COUNTIF(Combined[Date],EarningsPerDay[[#This Row],[Date]])</f>
        <v>3</v>
      </c>
      <c r="Q4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7" s="11">
        <f>SUMIF(Combined[Date],EarningsPerDay[[#This Row],[Date]],Combined[Earnings])</f>
        <v>62</v>
      </c>
      <c r="S417" s="11">
        <f ca="1">EarningsPerDay[[#This Row],[Gross Earnings]]-(EarningsPerDay[[#This Row],[Miles]]*CpM!$D$11)</f>
        <v>43.493233311852443</v>
      </c>
      <c r="T417" s="11">
        <f t="shared" si="41"/>
        <v>18.507462686567163</v>
      </c>
      <c r="U417" s="11">
        <f t="shared" ca="1" si="42"/>
        <v>12.983054719955952</v>
      </c>
      <c r="V417" s="11">
        <f>EarningsPerDay[[#This Row],[Gross Earnings]]/EarningsPerDay[[#This Row],[Deliveries]]</f>
        <v>8.8571428571428577</v>
      </c>
      <c r="W417" s="11">
        <f>EarningsPerDay[[#This Row],[Gross Earnings]]/EarningsPerDay[[#This Row],[Miles]]</f>
        <v>0.74698795180722888</v>
      </c>
      <c r="X417" s="71">
        <f>EarningsPerDay[[#This Row],[Deliveries]]/EarningsPerDay[[#This Row],[Hours]]</f>
        <v>2.08955223880597</v>
      </c>
      <c r="Y417" s="71">
        <f>EarningsPerDay[[#This Row],[Miles]]/EarningsPerDay[[#This Row],[Deliveries]]</f>
        <v>11.857142857142858</v>
      </c>
      <c r="Z417" s="81">
        <f>(EarningsPerDay[[#This Row],[Hours]]/EarningsPerDay[[#This Row],[Deliveries]])/24</f>
        <v>1.9940476190476192E-2</v>
      </c>
      <c r="AA4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6.9493231516834406</v>
      </c>
      <c r="AB417" s="11">
        <f>AVERAGEIFS(EarningsPerDay[Gross $/Hour],EarningsPerDay[Week '#], EarningsPerDay[[#This Row],[Week '#]], EarningsPerDay[DOW], EarningsPerDay[[#This Row],[DOW]])</f>
        <v>22.603731343283581</v>
      </c>
      <c r="AC417" s="11">
        <f>EarningsPerDay[[#This Row],[Gross $/Hour]] - EarningsPerDay[[#This Row],[Weekly Average Earnings]]</f>
        <v>-4.0962686567164184</v>
      </c>
      <c r="AD417" s="11">
        <f>(SUMIFS(EarningsPerDay[Gross Earnings], EarningsPerDay[Date],"&gt;="&amp;EarningsPerDay[[#This Row],[Date]]-89, EarningsPerDay[Date], "&lt;="&amp;EarningsPerDay[[#This Row],[Date]]))/90</f>
        <v>50.323000000000008</v>
      </c>
    </row>
    <row r="418" spans="2:30" x14ac:dyDescent="0.35">
      <c r="B418" s="40">
        <v>45293</v>
      </c>
      <c r="C418" s="40">
        <f t="shared" si="39"/>
        <v>45293</v>
      </c>
      <c r="D418" s="4">
        <f>IF(EarningsPerDay[[#This Row],[Week '#]]&gt;=52,YEAR(EarningsPerDay[[#This Row],[Date]])-1,YEAR(EarningsPerDay[[#This Row],[Date]]))</f>
        <v>2024</v>
      </c>
      <c r="E418" s="4" t="str">
        <f>"QTR"&amp;IF(EarningsPerDay[[#This Row],[Week '#]] &lt;= 13, 1, IF(EarningsPerDay[[#This Row],[Week '#]] &lt;= 26, 2, IF(EarningsPerDay[[#This Row],[Week '#]] &lt;= 39, 3, 4)))</f>
        <v>QTR1</v>
      </c>
      <c r="F4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18" s="4">
        <f>IF(WEEKNUM(EarningsPerDay[[#This Row],[Date]], 2) = 53, 1, WEEKNUM(EarningsPerDay[[#This Row],[Date]],2))</f>
        <v>1</v>
      </c>
      <c r="H418" s="40" t="str">
        <f t="shared" si="40"/>
        <v>Tuesday</v>
      </c>
      <c r="I41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18" s="40" t="str" cm="1">
        <f t="array" ref="J418">IFERROR(VLOOKUP(MODE(IF(Combined[Date]=EarningsPerDay[[#This Row],[Date]],Combined[Area '#])),KPIs!$B$4:$C$7,2,FALSE),VLOOKUP(EarningsPerDay[[#This Row],[Date]],Combined[[Date]:[Primary Area]],8,FALSE))</f>
        <v>Portland</v>
      </c>
      <c r="K418" s="40" t="str">
        <f>_xlfn.XLOOKUP(EarningsPerDay[[#This Row],[Date]],Mileage[Date],Mileage[Weather])</f>
        <v>Clear</v>
      </c>
      <c r="L418" s="4">
        <f>_xlfn.XLOOKUP(EarningsPerDay[[#This Row],[Date]],Mileage[Date],Mileage[Hi Temp])</f>
        <v>28</v>
      </c>
      <c r="M418" s="12">
        <f>_xlfn.XLOOKUP(EarningsPerDay[[#This Row],[Date]],Mileage[Date],Mileage[Total Time])</f>
        <v>3.55</v>
      </c>
      <c r="N418" s="4">
        <f>_xlfn.XLOOKUP(EarningsPerDay[[#This Row],[Date]],Mileage[Date],Mileage[Mileage])</f>
        <v>91</v>
      </c>
      <c r="O418" s="4">
        <f>SUMIF(Combined[Date],EarningsPerDay[[#This Row],[Date]],Combined[Trips])</f>
        <v>7</v>
      </c>
      <c r="P418">
        <f>COUNTIF(Combined[Date],EarningsPerDay[[#This Row],[Date]])</f>
        <v>2</v>
      </c>
      <c r="Q4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8" s="11">
        <f>SUMIF(Combined[Date],EarningsPerDay[[#This Row],[Date]],Combined[Earnings])</f>
        <v>83.03</v>
      </c>
      <c r="S418" s="11">
        <f ca="1">EarningsPerDay[[#This Row],[Gross Earnings]]-(EarningsPerDay[[#This Row],[Miles]]*CpM!$D$11)</f>
        <v>62.73944857082617</v>
      </c>
      <c r="T418" s="11">
        <f t="shared" si="41"/>
        <v>23.388732394366198</v>
      </c>
      <c r="U418" s="11">
        <f t="shared" ca="1" si="42"/>
        <v>17.673084104458077</v>
      </c>
      <c r="V418" s="11">
        <f>EarningsPerDay[[#This Row],[Gross Earnings]]/EarningsPerDay[[#This Row],[Deliveries]]</f>
        <v>11.861428571428572</v>
      </c>
      <c r="W418" s="11">
        <f>EarningsPerDay[[#This Row],[Gross Earnings]]/EarningsPerDay[[#This Row],[Miles]]</f>
        <v>0.91241758241758242</v>
      </c>
      <c r="X418" s="71">
        <f>EarningsPerDay[[#This Row],[Deliveries]]/EarningsPerDay[[#This Row],[Hours]]</f>
        <v>1.971830985915493</v>
      </c>
      <c r="Y418" s="71">
        <f>EarningsPerDay[[#This Row],[Miles]]/EarningsPerDay[[#This Row],[Deliveries]]</f>
        <v>13</v>
      </c>
      <c r="Z418" s="81">
        <f>(EarningsPerDay[[#This Row],[Hours]]/EarningsPerDay[[#This Row],[Deliveries]])/24</f>
        <v>2.1130952380952379E-2</v>
      </c>
      <c r="AA4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12.548463937990359</v>
      </c>
      <c r="AB418" s="11">
        <f>AVERAGEIFS(EarningsPerDay[Gross $/Hour],EarningsPerDay[Week '#], EarningsPerDay[[#This Row],[Week '#]], EarningsPerDay[DOW], EarningsPerDay[[#This Row],[DOW]])</f>
        <v>20.790892411846105</v>
      </c>
      <c r="AC418" s="11">
        <f>EarningsPerDay[[#This Row],[Gross $/Hour]] - EarningsPerDay[[#This Row],[Weekly Average Earnings]]</f>
        <v>2.5978399825200924</v>
      </c>
      <c r="AD418" s="11">
        <f>(SUMIFS(EarningsPerDay[Gross Earnings], EarningsPerDay[Date],"&gt;="&amp;EarningsPerDay[[#This Row],[Date]]-89, EarningsPerDay[Date], "&lt;="&amp;EarningsPerDay[[#This Row],[Date]]))/90</f>
        <v>51.245555555555562</v>
      </c>
    </row>
    <row r="419" spans="2:30" x14ac:dyDescent="0.35">
      <c r="B419" s="40">
        <v>45294</v>
      </c>
      <c r="C419" s="40">
        <f t="shared" si="39"/>
        <v>45294</v>
      </c>
      <c r="D419" s="4">
        <f>IF(EarningsPerDay[[#This Row],[Week '#]]&gt;=52,YEAR(EarningsPerDay[[#This Row],[Date]])-1,YEAR(EarningsPerDay[[#This Row],[Date]]))</f>
        <v>2024</v>
      </c>
      <c r="E419" s="4" t="str">
        <f>"QTR"&amp;IF(EarningsPerDay[[#This Row],[Week '#]] &lt;= 13, 1, IF(EarningsPerDay[[#This Row],[Week '#]] &lt;= 26, 2, IF(EarningsPerDay[[#This Row],[Week '#]] &lt;= 39, 3, 4)))</f>
        <v>QTR1</v>
      </c>
      <c r="F4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19" s="4">
        <f>IF(WEEKNUM(EarningsPerDay[[#This Row],[Date]], 2) = 53, 1, WEEKNUM(EarningsPerDay[[#This Row],[Date]],2))</f>
        <v>1</v>
      </c>
      <c r="H419" s="40" t="str">
        <f t="shared" si="40"/>
        <v>Wednesday</v>
      </c>
      <c r="I41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19" s="40" t="str" cm="1">
        <f t="array" ref="J419">IFERROR(VLOOKUP(MODE(IF(Combined[Date]=EarningsPerDay[[#This Row],[Date]],Combined[Area '#])),KPIs!$B$4:$C$7,2,FALSE),VLOOKUP(EarningsPerDay[[#This Row],[Date]],Combined[[Date]:[Primary Area]],8,FALSE))</f>
        <v>Brunswick/Bath/Freeport</v>
      </c>
      <c r="K419" s="40" t="str">
        <f>_xlfn.XLOOKUP(EarningsPerDay[[#This Row],[Date]],Mileage[Date],Mileage[Weather])</f>
        <v>Overcast</v>
      </c>
      <c r="L419" s="4">
        <f>_xlfn.XLOOKUP(EarningsPerDay[[#This Row],[Date]],Mileage[Date],Mileage[Hi Temp])</f>
        <v>34</v>
      </c>
      <c r="M419" s="12">
        <f>_xlfn.XLOOKUP(EarningsPerDay[[#This Row],[Date]],Mileage[Date],Mileage[Total Time])</f>
        <v>3.72</v>
      </c>
      <c r="N419" s="4">
        <f>_xlfn.XLOOKUP(EarningsPerDay[[#This Row],[Date]],Mileage[Date],Mileage[Mileage])</f>
        <v>58</v>
      </c>
      <c r="O419" s="4">
        <f>SUMIF(Combined[Date],EarningsPerDay[[#This Row],[Date]],Combined[Trips])</f>
        <v>9</v>
      </c>
      <c r="P419">
        <f>COUNTIF(Combined[Date],EarningsPerDay[[#This Row],[Date]])</f>
        <v>2</v>
      </c>
      <c r="Q4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19" s="11">
        <f>SUMIF(Combined[Date],EarningsPerDay[[#This Row],[Date]],Combined[Earnings])</f>
        <v>92.01</v>
      </c>
      <c r="S419" s="11">
        <f ca="1">EarningsPerDay[[#This Row],[Gross Earnings]]-(EarningsPerDay[[#This Row],[Miles]]*CpM!$D$11)</f>
        <v>79.077560627559549</v>
      </c>
      <c r="T419" s="11">
        <f t="shared" si="41"/>
        <v>24.733870967741936</v>
      </c>
      <c r="U419" s="11">
        <f t="shared" ca="1" si="42"/>
        <v>21.257408770849342</v>
      </c>
      <c r="V419" s="11">
        <f>EarningsPerDay[[#This Row],[Gross Earnings]]/EarningsPerDay[[#This Row],[Deliveries]]</f>
        <v>10.223333333333334</v>
      </c>
      <c r="W419" s="11">
        <f>EarningsPerDay[[#This Row],[Gross Earnings]]/EarningsPerDay[[#This Row],[Miles]]</f>
        <v>1.5863793103448276</v>
      </c>
      <c r="X419" s="71">
        <f>EarningsPerDay[[#This Row],[Deliveries]]/EarningsPerDay[[#This Row],[Hours]]</f>
        <v>2.4193548387096775</v>
      </c>
      <c r="Y419" s="71">
        <f>EarningsPerDay[[#This Row],[Miles]]/EarningsPerDay[[#This Row],[Deliveries]]</f>
        <v>6.4444444444444446</v>
      </c>
      <c r="Z419" s="81">
        <f>(EarningsPerDay[[#This Row],[Hours]]/EarningsPerDay[[#This Row],[Deliveries]])/24</f>
        <v>1.7222222222222222E-2</v>
      </c>
      <c r="AA4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-4.0030550105067242</v>
      </c>
      <c r="AB419" s="11">
        <f>AVERAGEIFS(EarningsPerDay[Gross $/Hour],EarningsPerDay[Week '#], EarningsPerDay[[#This Row],[Week '#]], EarningsPerDay[DOW], EarningsPerDay[[#This Row],[DOW]])</f>
        <v>24.079876660341554</v>
      </c>
      <c r="AC419" s="11">
        <f>EarningsPerDay[[#This Row],[Gross $/Hour]] - EarningsPerDay[[#This Row],[Weekly Average Earnings]]</f>
        <v>0.65399430740038156</v>
      </c>
      <c r="AD419" s="11">
        <f>(SUMIFS(EarningsPerDay[Gross Earnings], EarningsPerDay[Date],"&gt;="&amp;EarningsPerDay[[#This Row],[Date]]-89, EarningsPerDay[Date], "&lt;="&amp;EarningsPerDay[[#This Row],[Date]]))/90</f>
        <v>51.220111111111116</v>
      </c>
    </row>
    <row r="420" spans="2:30" x14ac:dyDescent="0.35">
      <c r="B420" s="40">
        <v>45296</v>
      </c>
      <c r="C420" s="40">
        <f t="shared" si="39"/>
        <v>45296</v>
      </c>
      <c r="D420" s="4">
        <f>IF(EarningsPerDay[[#This Row],[Week '#]]&gt;=52,YEAR(EarningsPerDay[[#This Row],[Date]])-1,YEAR(EarningsPerDay[[#This Row],[Date]]))</f>
        <v>2024</v>
      </c>
      <c r="E420" s="4" t="str">
        <f>"QTR"&amp;IF(EarningsPerDay[[#This Row],[Week '#]] &lt;= 13, 1, IF(EarningsPerDay[[#This Row],[Week '#]] &lt;= 26, 2, IF(EarningsPerDay[[#This Row],[Week '#]] &lt;= 39, 3, 4)))</f>
        <v>QTR1</v>
      </c>
      <c r="F4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20" s="4">
        <f>IF(WEEKNUM(EarningsPerDay[[#This Row],[Date]], 2) = 53, 1, WEEKNUM(EarningsPerDay[[#This Row],[Date]],2))</f>
        <v>1</v>
      </c>
      <c r="H420" s="40" t="str">
        <f t="shared" si="40"/>
        <v>Friday</v>
      </c>
      <c r="I420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420" s="40" t="str" cm="1">
        <f t="array" ref="J420">IFERROR(VLOOKUP(MODE(IF(Combined[Date]=EarningsPerDay[[#This Row],[Date]],Combined[Area '#])),KPIs!$B$4:$C$7,2,FALSE),VLOOKUP(EarningsPerDay[[#This Row],[Date]],Combined[[Date]:[Primary Area]],8,FALSE))</f>
        <v>Brunswick/Bath/Freeport</v>
      </c>
      <c r="K420" s="40" t="str">
        <f>_xlfn.XLOOKUP(EarningsPerDay[[#This Row],[Date]],Mileage[Date],Mileage[Weather])</f>
        <v>Clear</v>
      </c>
      <c r="L420" s="4">
        <f>_xlfn.XLOOKUP(EarningsPerDay[[#This Row],[Date]],Mileage[Date],Mileage[Hi Temp])</f>
        <v>25</v>
      </c>
      <c r="M420" s="12">
        <f>_xlfn.XLOOKUP(EarningsPerDay[[#This Row],[Date]],Mileage[Date],Mileage[Total Time])</f>
        <v>2.63</v>
      </c>
      <c r="N420" s="4">
        <f>_xlfn.XLOOKUP(EarningsPerDay[[#This Row],[Date]],Mileage[Date],Mileage[Mileage])</f>
        <v>57</v>
      </c>
      <c r="O420" s="4">
        <f>SUMIF(Combined[Date],EarningsPerDay[[#This Row],[Date]],Combined[Trips])</f>
        <v>4</v>
      </c>
      <c r="P420">
        <f>COUNTIF(Combined[Date],EarningsPerDay[[#This Row],[Date]])</f>
        <v>1</v>
      </c>
      <c r="Q4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20" s="11">
        <f>SUMIF(Combined[Date],EarningsPerDay[[#This Row],[Date]],Combined[Earnings])</f>
        <v>44</v>
      </c>
      <c r="S420" s="11">
        <f ca="1">EarningsPerDay[[#This Row],[Gross Earnings]]-(EarningsPerDay[[#This Row],[Miles]]*CpM!$D$11)</f>
        <v>31.290533720187824</v>
      </c>
      <c r="T420" s="11">
        <f t="shared" si="41"/>
        <v>16.730038022813687</v>
      </c>
      <c r="U420" s="11">
        <f t="shared" ca="1" si="42"/>
        <v>11.897541338474458</v>
      </c>
      <c r="V420" s="11">
        <f>EarningsPerDay[[#This Row],[Gross Earnings]]/EarningsPerDay[[#This Row],[Deliveries]]</f>
        <v>11</v>
      </c>
      <c r="W420" s="11">
        <f>EarningsPerDay[[#This Row],[Gross Earnings]]/EarningsPerDay[[#This Row],[Miles]]</f>
        <v>0.77192982456140347</v>
      </c>
      <c r="X420" s="71">
        <f>EarningsPerDay[[#This Row],[Deliveries]]/EarningsPerDay[[#This Row],[Hours]]</f>
        <v>1.5209125475285172</v>
      </c>
      <c r="Y420" s="71">
        <f>EarningsPerDay[[#This Row],[Miles]]/EarningsPerDay[[#This Row],[Deliveries]]</f>
        <v>14.25</v>
      </c>
      <c r="Z420" s="81">
        <f>(EarningsPerDay[[#This Row],[Hours]]/EarningsPerDay[[#This Row],[Deliveries]])/24</f>
        <v>2.7395833333333331E-2</v>
      </c>
      <c r="AA4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-3.6294041135960917</v>
      </c>
      <c r="AB420" s="11">
        <f>AVERAGEIFS(EarningsPerDay[Gross $/Hour],EarningsPerDay[Week '#], EarningsPerDay[[#This Row],[Week '#]], EarningsPerDay[DOW], EarningsPerDay[[#This Row],[DOW]])</f>
        <v>19.988788031661809</v>
      </c>
      <c r="AC420" s="11">
        <f>EarningsPerDay[[#This Row],[Gross $/Hour]] - EarningsPerDay[[#This Row],[Weekly Average Earnings]]</f>
        <v>-3.2587500088481214</v>
      </c>
      <c r="AD420" s="11">
        <f>(SUMIFS(EarningsPerDay[Gross Earnings], EarningsPerDay[Date],"&gt;="&amp;EarningsPerDay[[#This Row],[Date]]-89, EarningsPerDay[Date], "&lt;="&amp;EarningsPerDay[[#This Row],[Date]]))/90</f>
        <v>51.182444444444442</v>
      </c>
    </row>
    <row r="421" spans="2:30" x14ac:dyDescent="0.35">
      <c r="B421" s="40">
        <v>45297</v>
      </c>
      <c r="C421" s="40">
        <f t="shared" si="39"/>
        <v>45297</v>
      </c>
      <c r="D421" s="4">
        <f>IF(EarningsPerDay[[#This Row],[Week '#]]&gt;=52,YEAR(EarningsPerDay[[#This Row],[Date]])-1,YEAR(EarningsPerDay[[#This Row],[Date]]))</f>
        <v>2024</v>
      </c>
      <c r="E421" s="4" t="str">
        <f>"QTR"&amp;IF(EarningsPerDay[[#This Row],[Week '#]] &lt;= 13, 1, IF(EarningsPerDay[[#This Row],[Week '#]] &lt;= 26, 2, IF(EarningsPerDay[[#This Row],[Week '#]] &lt;= 39, 3, 4)))</f>
        <v>QTR1</v>
      </c>
      <c r="F4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21" s="4">
        <f>IF(WEEKNUM(EarningsPerDay[[#This Row],[Date]], 2) = 53, 1, WEEKNUM(EarningsPerDay[[#This Row],[Date]],2))</f>
        <v>1</v>
      </c>
      <c r="H421" s="40" t="str">
        <f t="shared" si="40"/>
        <v>Saturday</v>
      </c>
      <c r="I421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421" s="40" t="str" cm="1">
        <f t="array" ref="J421">IFERROR(VLOOKUP(MODE(IF(Combined[Date]=EarningsPerDay[[#This Row],[Date]],Combined[Area '#])),KPIs!$B$4:$C$7,2,FALSE),VLOOKUP(EarningsPerDay[[#This Row],[Date]],Combined[[Date]:[Primary Area]],8,FALSE))</f>
        <v>Portland</v>
      </c>
      <c r="K421" s="40" t="str">
        <f>_xlfn.XLOOKUP(EarningsPerDay[[#This Row],[Date]],Mileage[Date],Mileage[Weather])</f>
        <v>Overcast</v>
      </c>
      <c r="L421" s="4">
        <f>_xlfn.XLOOKUP(EarningsPerDay[[#This Row],[Date]],Mileage[Date],Mileage[Hi Temp])</f>
        <v>25</v>
      </c>
      <c r="M421" s="12">
        <f>_xlfn.XLOOKUP(EarningsPerDay[[#This Row],[Date]],Mileage[Date],Mileage[Total Time])</f>
        <v>5.32</v>
      </c>
      <c r="N421" s="4">
        <f>_xlfn.XLOOKUP(EarningsPerDay[[#This Row],[Date]],Mileage[Date],Mileage[Mileage])</f>
        <v>122</v>
      </c>
      <c r="O421" s="4">
        <f>SUMIF(Combined[Date],EarningsPerDay[[#This Row],[Date]],Combined[Trips])</f>
        <v>10</v>
      </c>
      <c r="P421">
        <f>COUNTIF(Combined[Date],EarningsPerDay[[#This Row],[Date]])</f>
        <v>4</v>
      </c>
      <c r="Q42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1" s="11">
        <f>SUMIF(Combined[Date],EarningsPerDay[[#This Row],[Date]],Combined[Earnings])</f>
        <v>135.41</v>
      </c>
      <c r="S421" s="11">
        <f ca="1">EarningsPerDay[[#This Row],[Gross Earnings]]-(EarningsPerDay[[#This Row],[Miles]]*CpM!$D$11)</f>
        <v>108.20728269934938</v>
      </c>
      <c r="T421" s="11">
        <f t="shared" si="41"/>
        <v>25.453007518796991</v>
      </c>
      <c r="U421" s="11">
        <f t="shared" ca="1" si="42"/>
        <v>20.339714793110783</v>
      </c>
      <c r="V421" s="11">
        <f>EarningsPerDay[[#This Row],[Gross Earnings]]/EarningsPerDay[[#This Row],[Deliveries]]</f>
        <v>13.541</v>
      </c>
      <c r="W421" s="11">
        <f>EarningsPerDay[[#This Row],[Gross Earnings]]/EarningsPerDay[[#This Row],[Miles]]</f>
        <v>1.1099180327868852</v>
      </c>
      <c r="X421" s="71">
        <f>EarningsPerDay[[#This Row],[Deliveries]]/EarningsPerDay[[#This Row],[Hours]]</f>
        <v>1.8796992481203008</v>
      </c>
      <c r="Y421" s="71">
        <f>EarningsPerDay[[#This Row],[Miles]]/EarningsPerDay[[#This Row],[Deliveries]]</f>
        <v>12.2</v>
      </c>
      <c r="Z421" s="81">
        <f>(EarningsPerDay[[#This Row],[Hours]]/EarningsPerDay[[#This Row],[Deliveries]])/24</f>
        <v>2.2166666666666668E-2</v>
      </c>
      <c r="AA4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9.8697141954661589</v>
      </c>
      <c r="AB421" s="11">
        <f>AVERAGEIFS(EarningsPerDay[Gross $/Hour],EarningsPerDay[Week '#], EarningsPerDay[[#This Row],[Week '#]], EarningsPerDay[DOW], EarningsPerDay[[#This Row],[DOW]])</f>
        <v>24.897417163760267</v>
      </c>
      <c r="AC421" s="11">
        <f>EarningsPerDay[[#This Row],[Gross $/Hour]] - EarningsPerDay[[#This Row],[Weekly Average Earnings]]</f>
        <v>0.55559035503672405</v>
      </c>
      <c r="AD421" s="11">
        <f>(SUMIFS(EarningsPerDay[Gross Earnings], EarningsPerDay[Date],"&gt;="&amp;EarningsPerDay[[#This Row],[Date]]-89, EarningsPerDay[Date], "&lt;="&amp;EarningsPerDay[[#This Row],[Date]]))/90</f>
        <v>52.686999999999998</v>
      </c>
    </row>
    <row r="422" spans="2:30" x14ac:dyDescent="0.35">
      <c r="B422" s="40">
        <v>45298</v>
      </c>
      <c r="C422" s="40">
        <f t="shared" si="39"/>
        <v>45298</v>
      </c>
      <c r="D422" s="4">
        <f>IF(EarningsPerDay[[#This Row],[Week '#]]&gt;=52,YEAR(EarningsPerDay[[#This Row],[Date]])-1,YEAR(EarningsPerDay[[#This Row],[Date]]))</f>
        <v>2024</v>
      </c>
      <c r="E422" s="4" t="str">
        <f>"QTR"&amp;IF(EarningsPerDay[[#This Row],[Week '#]] &lt;= 13, 1, IF(EarningsPerDay[[#This Row],[Week '#]] &lt;= 26, 2, IF(EarningsPerDay[[#This Row],[Week '#]] &lt;= 39, 3, 4)))</f>
        <v>QTR1</v>
      </c>
      <c r="F4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22" s="4">
        <f>IF(WEEKNUM(EarningsPerDay[[#This Row],[Date]], 2) = 53, 1, WEEKNUM(EarningsPerDay[[#This Row],[Date]],2))</f>
        <v>1</v>
      </c>
      <c r="H422" s="40" t="str">
        <f t="shared" si="40"/>
        <v>Sunday</v>
      </c>
      <c r="I422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422" s="40" t="str" cm="1">
        <f t="array" ref="J422">IFERROR(VLOOKUP(MODE(IF(Combined[Date]=EarningsPerDay[[#This Row],[Date]],Combined[Area '#])),KPIs!$B$4:$C$7,2,FALSE),VLOOKUP(EarningsPerDay[[#This Row],[Date]],Combined[[Date]:[Primary Area]],8,FALSE))</f>
        <v>Brunswick/Bath/Freeport</v>
      </c>
      <c r="K422" s="40" t="str">
        <f>_xlfn.XLOOKUP(EarningsPerDay[[#This Row],[Date]],Mileage[Date],Mileage[Weather])</f>
        <v>Snow Storm</v>
      </c>
      <c r="L422" s="4">
        <f>_xlfn.XLOOKUP(EarningsPerDay[[#This Row],[Date]],Mileage[Date],Mileage[Hi Temp])</f>
        <v>19</v>
      </c>
      <c r="M422" s="12">
        <f>_xlfn.XLOOKUP(EarningsPerDay[[#This Row],[Date]],Mileage[Date],Mileage[Total Time])</f>
        <v>3.9</v>
      </c>
      <c r="N422" s="4">
        <f>_xlfn.XLOOKUP(EarningsPerDay[[#This Row],[Date]],Mileage[Date],Mileage[Mileage])</f>
        <v>72</v>
      </c>
      <c r="O422" s="4">
        <f>SUMIF(Combined[Date],EarningsPerDay[[#This Row],[Date]],Combined[Trips])</f>
        <v>7</v>
      </c>
      <c r="P422">
        <f>COUNTIF(Combined[Date],EarningsPerDay[[#This Row],[Date]])</f>
        <v>2</v>
      </c>
      <c r="Q4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22" s="11">
        <f>SUMIF(Combined[Date],EarningsPerDay[[#This Row],[Date]],Combined[Earnings])</f>
        <v>92.73</v>
      </c>
      <c r="S422" s="11">
        <f ca="1">EarningsPerDay[[#This Row],[Gross Earnings]]-(EarningsPerDay[[#This Row],[Miles]]*CpM!$D$11)</f>
        <v>76.67593733076356</v>
      </c>
      <c r="T422" s="11">
        <f t="shared" si="41"/>
        <v>23.776923076923079</v>
      </c>
      <c r="U422" s="11">
        <f t="shared" ca="1" si="42"/>
        <v>19.660496751477837</v>
      </c>
      <c r="V422" s="11">
        <f>EarningsPerDay[[#This Row],[Gross Earnings]]/EarningsPerDay[[#This Row],[Deliveries]]</f>
        <v>13.247142857142858</v>
      </c>
      <c r="W422" s="11">
        <f>EarningsPerDay[[#This Row],[Gross Earnings]]/EarningsPerDay[[#This Row],[Miles]]</f>
        <v>1.2879166666666668</v>
      </c>
      <c r="X422" s="71">
        <f>EarningsPerDay[[#This Row],[Deliveries]]/EarningsPerDay[[#This Row],[Hours]]</f>
        <v>1.7948717948717949</v>
      </c>
      <c r="Y422" s="71">
        <f>EarningsPerDay[[#This Row],[Miles]]/EarningsPerDay[[#This Row],[Deliveries]]</f>
        <v>10.285714285714286</v>
      </c>
      <c r="Z422" s="81">
        <f>(EarningsPerDay[[#This Row],[Hours]]/EarningsPerDay[[#This Row],[Deliveries]])/24</f>
        <v>2.3214285714285715E-2</v>
      </c>
      <c r="AA4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-2.2736070457079158</v>
      </c>
      <c r="AB422" s="11">
        <f>AVERAGEIFS(EarningsPerDay[Gross $/Hour],EarningsPerDay[Week '#], EarningsPerDay[[#This Row],[Week '#]], EarningsPerDay[DOW], EarningsPerDay[[#This Row],[DOW]])</f>
        <v>25.011850729934075</v>
      </c>
      <c r="AC422" s="11">
        <f>EarningsPerDay[[#This Row],[Gross $/Hour]] - EarningsPerDay[[#This Row],[Weekly Average Earnings]]</f>
        <v>-1.2349276530109954</v>
      </c>
      <c r="AD422" s="11">
        <f>(SUMIFS(EarningsPerDay[Gross Earnings], EarningsPerDay[Date],"&gt;="&amp;EarningsPerDay[[#This Row],[Date]]-89, EarningsPerDay[Date], "&lt;="&amp;EarningsPerDay[[#This Row],[Date]]))/90</f>
        <v>52.362555555555545</v>
      </c>
    </row>
    <row r="423" spans="2:30" x14ac:dyDescent="0.35">
      <c r="B423" s="40">
        <v>45299</v>
      </c>
      <c r="C423" s="40">
        <f t="shared" si="39"/>
        <v>45299</v>
      </c>
      <c r="D423" s="4">
        <f>IF(EarningsPerDay[[#This Row],[Week '#]]&gt;=52,YEAR(EarningsPerDay[[#This Row],[Date]])-1,YEAR(EarningsPerDay[[#This Row],[Date]]))</f>
        <v>2024</v>
      </c>
      <c r="E423" s="4" t="str">
        <f>"QTR"&amp;IF(EarningsPerDay[[#This Row],[Week '#]] &lt;= 13, 1, IF(EarningsPerDay[[#This Row],[Week '#]] &lt;= 26, 2, IF(EarningsPerDay[[#This Row],[Week '#]] &lt;= 39, 3, 4)))</f>
        <v>QTR1</v>
      </c>
      <c r="F4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3" s="4">
        <f>IF(WEEKNUM(EarningsPerDay[[#This Row],[Date]], 2) = 53, 1, WEEKNUM(EarningsPerDay[[#This Row],[Date]],2))</f>
        <v>2</v>
      </c>
      <c r="H423" s="40" t="str">
        <f t="shared" si="40"/>
        <v>Monday</v>
      </c>
      <c r="I42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23" s="40" t="str" cm="1">
        <f t="array" ref="J423">IFERROR(VLOOKUP(MODE(IF(Combined[Date]=EarningsPerDay[[#This Row],[Date]],Combined[Area '#])),KPIs!$B$4:$C$7,2,FALSE),VLOOKUP(EarningsPerDay[[#This Row],[Date]],Combined[[Date]:[Primary Area]],8,FALSE))</f>
        <v>Brunswick/Bath/Freeport</v>
      </c>
      <c r="K423" s="40" t="str">
        <f>_xlfn.XLOOKUP(EarningsPerDay[[#This Row],[Date]],Mileage[Date],Mileage[Weather])</f>
        <v>Clear</v>
      </c>
      <c r="L423" s="4">
        <f>_xlfn.XLOOKUP(EarningsPerDay[[#This Row],[Date]],Mileage[Date],Mileage[Hi Temp])</f>
        <v>27</v>
      </c>
      <c r="M423" s="12">
        <f>_xlfn.XLOOKUP(EarningsPerDay[[#This Row],[Date]],Mileage[Date],Mileage[Total Time])</f>
        <v>2.9</v>
      </c>
      <c r="N423" s="4">
        <f>_xlfn.XLOOKUP(EarningsPerDay[[#This Row],[Date]],Mileage[Date],Mileage[Mileage])</f>
        <v>64</v>
      </c>
      <c r="O423" s="4">
        <f>SUMIF(Combined[Date],EarningsPerDay[[#This Row],[Date]],Combined[Trips])</f>
        <v>6</v>
      </c>
      <c r="P423">
        <f>COUNTIF(Combined[Date],EarningsPerDay[[#This Row],[Date]])</f>
        <v>3</v>
      </c>
      <c r="Q42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3" s="11">
        <f>SUMIF(Combined[Date],EarningsPerDay[[#This Row],[Date]],Combined[Earnings])</f>
        <v>76.84</v>
      </c>
      <c r="S423" s="11">
        <f ca="1">EarningsPerDay[[#This Row],[Gross Earnings]]-(EarningsPerDay[[#This Row],[Miles]]*CpM!$D$11)</f>
        <v>62.56972207178984</v>
      </c>
      <c r="T423" s="11">
        <f t="shared" si="41"/>
        <v>26.496551724137934</v>
      </c>
      <c r="U423" s="11">
        <f t="shared" ca="1" si="42"/>
        <v>21.57576623165167</v>
      </c>
      <c r="V423" s="11">
        <f>EarningsPerDay[[#This Row],[Gross Earnings]]/EarningsPerDay[[#This Row],[Deliveries]]</f>
        <v>12.806666666666667</v>
      </c>
      <c r="W423" s="11">
        <f>EarningsPerDay[[#This Row],[Gross Earnings]]/EarningsPerDay[[#This Row],[Miles]]</f>
        <v>1.2006250000000001</v>
      </c>
      <c r="X423" s="71">
        <f>EarningsPerDay[[#This Row],[Deliveries]]/EarningsPerDay[[#This Row],[Hours]]</f>
        <v>2.0689655172413794</v>
      </c>
      <c r="Y423" s="71">
        <f>EarningsPerDay[[#This Row],[Miles]]/EarningsPerDay[[#This Row],[Deliveries]]</f>
        <v>10.666666666666666</v>
      </c>
      <c r="Z423" s="81">
        <f>(EarningsPerDay[[#This Row],[Hours]]/EarningsPerDay[[#This Row],[Deliveries]])/24</f>
        <v>2.013888888888889E-2</v>
      </c>
      <c r="AA4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0.44798277807112186</v>
      </c>
      <c r="AB423" s="11">
        <f>AVERAGEIFS(EarningsPerDay[Gross $/Hour],EarningsPerDay[Week '#], EarningsPerDay[[#This Row],[Week '#]], EarningsPerDay[DOW], EarningsPerDay[[#This Row],[DOW]])</f>
        <v>26.496551724137934</v>
      </c>
      <c r="AC423" s="11">
        <f>EarningsPerDay[[#This Row],[Gross $/Hour]] - EarningsPerDay[[#This Row],[Weekly Average Earnings]]</f>
        <v>0</v>
      </c>
      <c r="AD423" s="11">
        <f>(SUMIFS(EarningsPerDay[Gross Earnings], EarningsPerDay[Date],"&gt;="&amp;EarningsPerDay[[#This Row],[Date]]-89, EarningsPerDay[Date], "&lt;="&amp;EarningsPerDay[[#This Row],[Date]]))/90</f>
        <v>52.522555555555556</v>
      </c>
    </row>
    <row r="424" spans="2:30" x14ac:dyDescent="0.35">
      <c r="B424" s="40">
        <v>45300</v>
      </c>
      <c r="C424" s="40">
        <f t="shared" si="39"/>
        <v>45300</v>
      </c>
      <c r="D424" s="4">
        <f>IF(EarningsPerDay[[#This Row],[Week '#]]&gt;=52,YEAR(EarningsPerDay[[#This Row],[Date]])-1,YEAR(EarningsPerDay[[#This Row],[Date]]))</f>
        <v>2024</v>
      </c>
      <c r="E424" s="4" t="str">
        <f>"QTR"&amp;IF(EarningsPerDay[[#This Row],[Week '#]] &lt;= 13, 1, IF(EarningsPerDay[[#This Row],[Week '#]] &lt;= 26, 2, IF(EarningsPerDay[[#This Row],[Week '#]] &lt;= 39, 3, 4)))</f>
        <v>QTR1</v>
      </c>
      <c r="F4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4" s="4">
        <f>IF(WEEKNUM(EarningsPerDay[[#This Row],[Date]], 2) = 53, 1, WEEKNUM(EarningsPerDay[[#This Row],[Date]],2))</f>
        <v>2</v>
      </c>
      <c r="H424" s="40" t="str">
        <f t="shared" si="40"/>
        <v>Tuesday</v>
      </c>
      <c r="I42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24" s="40" t="str" cm="1">
        <f t="array" ref="J424">IFERROR(VLOOKUP(MODE(IF(Combined[Date]=EarningsPerDay[[#This Row],[Date]],Combined[Area '#])),KPIs!$B$4:$C$7,2,FALSE),VLOOKUP(EarningsPerDay[[#This Row],[Date]],Combined[[Date]:[Primary Area]],8,FALSE))</f>
        <v>Brunswick/Bath/Freeport</v>
      </c>
      <c r="K424" s="40" t="str">
        <f>_xlfn.XLOOKUP(EarningsPerDay[[#This Row],[Date]],Mileage[Date],Mileage[Weather])</f>
        <v>Light Snow</v>
      </c>
      <c r="L424" s="4">
        <f>_xlfn.XLOOKUP(EarningsPerDay[[#This Row],[Date]],Mileage[Date],Mileage[Hi Temp])</f>
        <v>34</v>
      </c>
      <c r="M424" s="12">
        <f>_xlfn.XLOOKUP(EarningsPerDay[[#This Row],[Date]],Mileage[Date],Mileage[Total Time])</f>
        <v>2.95</v>
      </c>
      <c r="N424" s="4">
        <f>_xlfn.XLOOKUP(EarningsPerDay[[#This Row],[Date]],Mileage[Date],Mileage[Mileage])</f>
        <v>78</v>
      </c>
      <c r="O424" s="4">
        <f>SUMIF(Combined[Date],EarningsPerDay[[#This Row],[Date]],Combined[Trips])</f>
        <v>5</v>
      </c>
      <c r="P424">
        <f>COUNTIF(Combined[Date],EarningsPerDay[[#This Row],[Date]])</f>
        <v>2</v>
      </c>
      <c r="Q42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4" s="11">
        <f>SUMIF(Combined[Date],EarningsPerDay[[#This Row],[Date]],Combined[Earnings])</f>
        <v>66.290000000000006</v>
      </c>
      <c r="S424" s="11">
        <f ca="1">EarningsPerDay[[#This Row],[Gross Earnings]]-(EarningsPerDay[[#This Row],[Miles]]*CpM!$D$11)</f>
        <v>48.898098774993869</v>
      </c>
      <c r="T424" s="11">
        <f t="shared" si="41"/>
        <v>22.471186440677968</v>
      </c>
      <c r="U424" s="11">
        <f t="shared" ca="1" si="42"/>
        <v>16.575626703387751</v>
      </c>
      <c r="V424" s="11">
        <f>EarningsPerDay[[#This Row],[Gross Earnings]]/EarningsPerDay[[#This Row],[Deliveries]]</f>
        <v>13.258000000000001</v>
      </c>
      <c r="W424" s="11">
        <f>EarningsPerDay[[#This Row],[Gross Earnings]]/EarningsPerDay[[#This Row],[Miles]]</f>
        <v>0.84987179487179498</v>
      </c>
      <c r="X424" s="71">
        <f>EarningsPerDay[[#This Row],[Deliveries]]/EarningsPerDay[[#This Row],[Hours]]</f>
        <v>1.6949152542372881</v>
      </c>
      <c r="Y424" s="71">
        <f>EarningsPerDay[[#This Row],[Miles]]/EarningsPerDay[[#This Row],[Deliveries]]</f>
        <v>15.6</v>
      </c>
      <c r="Z424" s="81">
        <f>(EarningsPerDay[[#This Row],[Hours]]/EarningsPerDay[[#This Row],[Deliveries]])/24</f>
        <v>2.4583333333333336E-2</v>
      </c>
      <c r="AA4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-5.7925728412063222</v>
      </c>
      <c r="AB424" s="11">
        <f>AVERAGEIFS(EarningsPerDay[Gross $/Hour],EarningsPerDay[Week '#], EarningsPerDay[[#This Row],[Week '#]], EarningsPerDay[DOW], EarningsPerDay[[#This Row],[DOW]])</f>
        <v>19.135593220338983</v>
      </c>
      <c r="AC424" s="11">
        <f>EarningsPerDay[[#This Row],[Gross $/Hour]] - EarningsPerDay[[#This Row],[Weekly Average Earnings]]</f>
        <v>3.3355932203389855</v>
      </c>
      <c r="AD424" s="11">
        <f>(SUMIFS(EarningsPerDay[Gross Earnings], EarningsPerDay[Date],"&gt;="&amp;EarningsPerDay[[#This Row],[Date]]-89, EarningsPerDay[Date], "&lt;="&amp;EarningsPerDay[[#This Row],[Date]]))/90</f>
        <v>53.25911111111111</v>
      </c>
    </row>
    <row r="425" spans="2:30" x14ac:dyDescent="0.35">
      <c r="B425" s="40">
        <v>45301</v>
      </c>
      <c r="C425" s="40">
        <f t="shared" si="39"/>
        <v>45301</v>
      </c>
      <c r="D425" s="4">
        <f>IF(EarningsPerDay[[#This Row],[Week '#]]&gt;=52,YEAR(EarningsPerDay[[#This Row],[Date]])-1,YEAR(EarningsPerDay[[#This Row],[Date]]))</f>
        <v>2024</v>
      </c>
      <c r="E425" s="4" t="str">
        <f>"QTR"&amp;IF(EarningsPerDay[[#This Row],[Week '#]] &lt;= 13, 1, IF(EarningsPerDay[[#This Row],[Week '#]] &lt;= 26, 2, IF(EarningsPerDay[[#This Row],[Week '#]] &lt;= 39, 3, 4)))</f>
        <v>QTR1</v>
      </c>
      <c r="F4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5" s="4">
        <f>IF(WEEKNUM(EarningsPerDay[[#This Row],[Date]], 2) = 53, 1, WEEKNUM(EarningsPerDay[[#This Row],[Date]],2))</f>
        <v>2</v>
      </c>
      <c r="H425" s="40" t="str">
        <f t="shared" si="40"/>
        <v>Wednesday</v>
      </c>
      <c r="I42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25" s="40" t="str" cm="1">
        <f t="array" ref="J425">IFERROR(VLOOKUP(MODE(IF(Combined[Date]=EarningsPerDay[[#This Row],[Date]],Combined[Area '#])),KPIs!$B$4:$C$7,2,FALSE),VLOOKUP(EarningsPerDay[[#This Row],[Date]],Combined[[Date]:[Primary Area]],8,FALSE))</f>
        <v>Brunswick/Bath/Freeport</v>
      </c>
      <c r="K425" s="40" t="str">
        <f>_xlfn.XLOOKUP(EarningsPerDay[[#This Row],[Date]],Mileage[Date],Mileage[Weather])</f>
        <v>Partially Cloudy</v>
      </c>
      <c r="L425" s="4">
        <f>_xlfn.XLOOKUP(EarningsPerDay[[#This Row],[Date]],Mileage[Date],Mileage[Hi Temp])</f>
        <v>39</v>
      </c>
      <c r="M425" s="12">
        <f>_xlfn.XLOOKUP(EarningsPerDay[[#This Row],[Date]],Mileage[Date],Mileage[Total Time])</f>
        <v>0.75</v>
      </c>
      <c r="N425" s="4">
        <f>_xlfn.XLOOKUP(EarningsPerDay[[#This Row],[Date]],Mileage[Date],Mileage[Mileage])</f>
        <v>9</v>
      </c>
      <c r="O425" s="4">
        <f>SUMIF(Combined[Date],EarningsPerDay[[#This Row],[Date]],Combined[Trips])</f>
        <v>2</v>
      </c>
      <c r="P425">
        <f>COUNTIF(Combined[Date],EarningsPerDay[[#This Row],[Date]])</f>
        <v>1</v>
      </c>
      <c r="Q42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5" s="11">
        <f>SUMIF(Combined[Date],EarningsPerDay[[#This Row],[Date]],Combined[Earnings])</f>
        <v>19.37</v>
      </c>
      <c r="S425" s="11">
        <f ca="1">EarningsPerDay[[#This Row],[Gross Earnings]]-(EarningsPerDay[[#This Row],[Miles]]*CpM!$D$11)</f>
        <v>17.363242166345447</v>
      </c>
      <c r="T425" s="11">
        <f t="shared" si="41"/>
        <v>25.826666666666668</v>
      </c>
      <c r="U425" s="11">
        <f t="shared" ca="1" si="42"/>
        <v>23.150989555127264</v>
      </c>
      <c r="V425" s="11">
        <f>EarningsPerDay[[#This Row],[Gross Earnings]]/EarningsPerDay[[#This Row],[Deliveries]]</f>
        <v>9.6850000000000005</v>
      </c>
      <c r="W425" s="11">
        <f>EarningsPerDay[[#This Row],[Gross Earnings]]/EarningsPerDay[[#This Row],[Miles]]</f>
        <v>2.1522222222222225</v>
      </c>
      <c r="X425" s="71">
        <f>EarningsPerDay[[#This Row],[Deliveries]]/EarningsPerDay[[#This Row],[Hours]]</f>
        <v>2.6666666666666665</v>
      </c>
      <c r="Y425" s="71">
        <f>EarningsPerDay[[#This Row],[Miles]]/EarningsPerDay[[#This Row],[Deliveries]]</f>
        <v>4.5</v>
      </c>
      <c r="Z425" s="81">
        <f>(EarningsPerDay[[#This Row],[Hours]]/EarningsPerDay[[#This Row],[Deliveries]])/24</f>
        <v>1.5625E-2</v>
      </c>
      <c r="AA4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-2.338394310081032</v>
      </c>
      <c r="AB425" s="11">
        <f>AVERAGEIFS(EarningsPerDay[Gross $/Hour],EarningsPerDay[Week '#], EarningsPerDay[[#This Row],[Week '#]], EarningsPerDay[DOW], EarningsPerDay[[#This Row],[DOW]])</f>
        <v>20.407605676328505</v>
      </c>
      <c r="AC425" s="11">
        <f>EarningsPerDay[[#This Row],[Gross $/Hour]] - EarningsPerDay[[#This Row],[Weekly Average Earnings]]</f>
        <v>5.4190609903381635</v>
      </c>
      <c r="AD425" s="11">
        <f>(SUMIFS(EarningsPerDay[Gross Earnings], EarningsPerDay[Date],"&gt;="&amp;EarningsPerDay[[#This Row],[Date]]-89, EarningsPerDay[Date], "&lt;="&amp;EarningsPerDay[[#This Row],[Date]]))/90</f>
        <v>53.474333333333327</v>
      </c>
    </row>
    <row r="426" spans="2:30" x14ac:dyDescent="0.35">
      <c r="B426" s="40">
        <v>45302</v>
      </c>
      <c r="C426" s="40">
        <f t="shared" si="39"/>
        <v>45302</v>
      </c>
      <c r="D426" s="4">
        <f>IF(EarningsPerDay[[#This Row],[Week '#]]&gt;=52,YEAR(EarningsPerDay[[#This Row],[Date]])-1,YEAR(EarningsPerDay[[#This Row],[Date]]))</f>
        <v>2024</v>
      </c>
      <c r="E426" s="4" t="str">
        <f>"QTR"&amp;IF(EarningsPerDay[[#This Row],[Week '#]] &lt;= 13, 1, IF(EarningsPerDay[[#This Row],[Week '#]] &lt;= 26, 2, IF(EarningsPerDay[[#This Row],[Week '#]] &lt;= 39, 3, 4)))</f>
        <v>QTR1</v>
      </c>
      <c r="F4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6" s="4">
        <f>IF(WEEKNUM(EarningsPerDay[[#This Row],[Date]], 2) = 53, 1, WEEKNUM(EarningsPerDay[[#This Row],[Date]],2))</f>
        <v>2</v>
      </c>
      <c r="H426" s="40" t="str">
        <f t="shared" si="40"/>
        <v>Thursday</v>
      </c>
      <c r="I42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26" s="40" t="str" cm="1">
        <f t="array" ref="J426">IFERROR(VLOOKUP(MODE(IF(Combined[Date]=EarningsPerDay[[#This Row],[Date]],Combined[Area '#])),KPIs!$B$4:$C$7,2,FALSE),VLOOKUP(EarningsPerDay[[#This Row],[Date]],Combined[[Date]:[Primary Area]],8,FALSE))</f>
        <v>Augusta</v>
      </c>
      <c r="K426" s="40" t="str">
        <f>_xlfn.XLOOKUP(EarningsPerDay[[#This Row],[Date]],Mileage[Date],Mileage[Weather])</f>
        <v>Overcast</v>
      </c>
      <c r="L426" s="4">
        <f>_xlfn.XLOOKUP(EarningsPerDay[[#This Row],[Date]],Mileage[Date],Mileage[Hi Temp])</f>
        <v>36</v>
      </c>
      <c r="M426" s="12">
        <f>_xlfn.XLOOKUP(EarningsPerDay[[#This Row],[Date]],Mileage[Date],Mileage[Total Time])</f>
        <v>3.27</v>
      </c>
      <c r="N426" s="4">
        <f>_xlfn.XLOOKUP(EarningsPerDay[[#This Row],[Date]],Mileage[Date],Mileage[Mileage])</f>
        <v>77</v>
      </c>
      <c r="O426" s="4">
        <f>SUMIF(Combined[Date],EarningsPerDay[[#This Row],[Date]],Combined[Trips])</f>
        <v>5</v>
      </c>
      <c r="P426">
        <f>COUNTIF(Combined[Date],EarningsPerDay[[#This Row],[Date]])</f>
        <v>2</v>
      </c>
      <c r="Q4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26" s="11">
        <f>SUMIF(Combined[Date],EarningsPerDay[[#This Row],[Date]],Combined[Earnings])</f>
        <v>72.16</v>
      </c>
      <c r="S426" s="11">
        <f ca="1">EarningsPerDay[[#This Row],[Gross Earnings]]-(EarningsPerDay[[#This Row],[Miles]]*CpM!$D$11)</f>
        <v>54.991071867622139</v>
      </c>
      <c r="T426" s="11">
        <f t="shared" si="41"/>
        <v>22.067278287461772</v>
      </c>
      <c r="U426" s="11">
        <f t="shared" ca="1" si="42"/>
        <v>16.816841549731542</v>
      </c>
      <c r="V426" s="11">
        <f>EarningsPerDay[[#This Row],[Gross Earnings]]/EarningsPerDay[[#This Row],[Deliveries]]</f>
        <v>14.431999999999999</v>
      </c>
      <c r="W426" s="11">
        <f>EarningsPerDay[[#This Row],[Gross Earnings]]/EarningsPerDay[[#This Row],[Miles]]</f>
        <v>0.93714285714285706</v>
      </c>
      <c r="X426" s="71">
        <f>EarningsPerDay[[#This Row],[Deliveries]]/EarningsPerDay[[#This Row],[Hours]]</f>
        <v>1.5290519877675841</v>
      </c>
      <c r="Y426" s="71">
        <f>EarningsPerDay[[#This Row],[Miles]]/EarningsPerDay[[#This Row],[Deliveries]]</f>
        <v>15.4</v>
      </c>
      <c r="Z426" s="81">
        <f>(EarningsPerDay[[#This Row],[Hours]]/EarningsPerDay[[#This Row],[Deliveries]])/24</f>
        <v>2.725E-2</v>
      </c>
      <c r="AA4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9.383490165471402</v>
      </c>
      <c r="AB426" s="11">
        <f>AVERAGEIFS(EarningsPerDay[Gross $/Hour],EarningsPerDay[Week '#], EarningsPerDay[[#This Row],[Week '#]], EarningsPerDay[DOW], EarningsPerDay[[#This Row],[DOW]])</f>
        <v>17.499254197459155</v>
      </c>
      <c r="AC426" s="11">
        <f>EarningsPerDay[[#This Row],[Gross $/Hour]] - EarningsPerDay[[#This Row],[Weekly Average Earnings]]</f>
        <v>4.5680240900026163</v>
      </c>
      <c r="AD426" s="11">
        <f>(SUMIFS(EarningsPerDay[Gross Earnings], EarningsPerDay[Date],"&gt;="&amp;EarningsPerDay[[#This Row],[Date]]-89, EarningsPerDay[Date], "&lt;="&amp;EarningsPerDay[[#This Row],[Date]]))/90</f>
        <v>52.772444444444439</v>
      </c>
    </row>
    <row r="427" spans="2:30" x14ac:dyDescent="0.35">
      <c r="B427" s="40">
        <v>45304</v>
      </c>
      <c r="C427" s="40">
        <f t="shared" si="39"/>
        <v>45304</v>
      </c>
      <c r="D427" s="4">
        <f>IF(EarningsPerDay[[#This Row],[Week '#]]&gt;=52,YEAR(EarningsPerDay[[#This Row],[Date]])-1,YEAR(EarningsPerDay[[#This Row],[Date]]))</f>
        <v>2024</v>
      </c>
      <c r="E427" s="4" t="str">
        <f>"QTR"&amp;IF(EarningsPerDay[[#This Row],[Week '#]] &lt;= 13, 1, IF(EarningsPerDay[[#This Row],[Week '#]] &lt;= 26, 2, IF(EarningsPerDay[[#This Row],[Week '#]] &lt;= 39, 3, 4)))</f>
        <v>QTR1</v>
      </c>
      <c r="F4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7" s="4">
        <f>IF(WEEKNUM(EarningsPerDay[[#This Row],[Date]], 2) = 53, 1, WEEKNUM(EarningsPerDay[[#This Row],[Date]],2))</f>
        <v>2</v>
      </c>
      <c r="H427" s="40" t="str">
        <f t="shared" si="40"/>
        <v>Saturday</v>
      </c>
      <c r="I42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27" s="40" t="str" cm="1">
        <f t="array" ref="J427">IFERROR(VLOOKUP(MODE(IF(Combined[Date]=EarningsPerDay[[#This Row],[Date]],Combined[Area '#])),KPIs!$B$4:$C$7,2,FALSE),VLOOKUP(EarningsPerDay[[#This Row],[Date]],Combined[[Date]:[Primary Area]],8,FALSE))</f>
        <v>Lewiston</v>
      </c>
      <c r="K427" s="40" t="str">
        <f>_xlfn.XLOOKUP(EarningsPerDay[[#This Row],[Date]],Mileage[Date],Mileage[Weather])</f>
        <v>Clear</v>
      </c>
      <c r="L427" s="4">
        <f>_xlfn.XLOOKUP(EarningsPerDay[[#This Row],[Date]],Mileage[Date],Mileage[Hi Temp])</f>
        <v>28</v>
      </c>
      <c r="M427" s="12">
        <f>_xlfn.XLOOKUP(EarningsPerDay[[#This Row],[Date]],Mileage[Date],Mileage[Total Time])</f>
        <v>2.1</v>
      </c>
      <c r="N427" s="4">
        <f>_xlfn.XLOOKUP(EarningsPerDay[[#This Row],[Date]],Mileage[Date],Mileage[Mileage])</f>
        <v>46</v>
      </c>
      <c r="O427" s="4">
        <f>SUMIF(Combined[Date],EarningsPerDay[[#This Row],[Date]],Combined[Trips])</f>
        <v>6</v>
      </c>
      <c r="P427">
        <f>COUNTIF(Combined[Date],EarningsPerDay[[#This Row],[Date]])</f>
        <v>1</v>
      </c>
      <c r="Q42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7" s="11">
        <f>SUMIF(Combined[Date],EarningsPerDay[[#This Row],[Date]],Combined[Earnings])</f>
        <v>56.12</v>
      </c>
      <c r="S427" s="11">
        <f ca="1">EarningsPerDay[[#This Row],[Gross Earnings]]-(EarningsPerDay[[#This Row],[Miles]]*CpM!$D$11)</f>
        <v>45.863237739098942</v>
      </c>
      <c r="T427" s="11">
        <f t="shared" si="41"/>
        <v>26.723809523809521</v>
      </c>
      <c r="U427" s="11">
        <f t="shared" ca="1" si="42"/>
        <v>21.839637018618543</v>
      </c>
      <c r="V427" s="11">
        <f>EarningsPerDay[[#This Row],[Gross Earnings]]/EarningsPerDay[[#This Row],[Deliveries]]</f>
        <v>9.3533333333333335</v>
      </c>
      <c r="W427" s="11">
        <f>EarningsPerDay[[#This Row],[Gross Earnings]]/EarningsPerDay[[#This Row],[Miles]]</f>
        <v>1.22</v>
      </c>
      <c r="X427" s="71">
        <f>EarningsPerDay[[#This Row],[Deliveries]]/EarningsPerDay[[#This Row],[Hours]]</f>
        <v>2.8571428571428572</v>
      </c>
      <c r="Y427" s="71">
        <f>EarningsPerDay[[#This Row],[Miles]]/EarningsPerDay[[#This Row],[Deliveries]]</f>
        <v>7.666666666666667</v>
      </c>
      <c r="Z427" s="81">
        <f>(EarningsPerDay[[#This Row],[Hours]]/EarningsPerDay[[#This Row],[Deliveries]])/24</f>
        <v>1.4583333333333335E-2</v>
      </c>
      <c r="AA4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10.252737294469355</v>
      </c>
      <c r="AB427" s="11">
        <f>AVERAGEIFS(EarningsPerDay[Gross $/Hour],EarningsPerDay[Week '#], EarningsPerDay[[#This Row],[Week '#]], EarningsPerDay[DOW], EarningsPerDay[[#This Row],[DOW]])</f>
        <v>24.347155499367886</v>
      </c>
      <c r="AC427" s="11">
        <f>EarningsPerDay[[#This Row],[Gross $/Hour]] - EarningsPerDay[[#This Row],[Weekly Average Earnings]]</f>
        <v>2.3766540244416348</v>
      </c>
      <c r="AD427" s="11">
        <f>(SUMIFS(EarningsPerDay[Gross Earnings], EarningsPerDay[Date],"&gt;="&amp;EarningsPerDay[[#This Row],[Date]]-89, EarningsPerDay[Date], "&lt;="&amp;EarningsPerDay[[#This Row],[Date]]))/90</f>
        <v>52.832111111111097</v>
      </c>
    </row>
    <row r="428" spans="2:30" x14ac:dyDescent="0.35">
      <c r="B428" s="40">
        <v>45305</v>
      </c>
      <c r="C428" s="40">
        <f t="shared" si="39"/>
        <v>45305</v>
      </c>
      <c r="D428" s="4">
        <f>IF(EarningsPerDay[[#This Row],[Week '#]]&gt;=52,YEAR(EarningsPerDay[[#This Row],[Date]])-1,YEAR(EarningsPerDay[[#This Row],[Date]]))</f>
        <v>2024</v>
      </c>
      <c r="E428" s="4" t="str">
        <f>"QTR"&amp;IF(EarningsPerDay[[#This Row],[Week '#]] &lt;= 13, 1, IF(EarningsPerDay[[#This Row],[Week '#]] &lt;= 26, 2, IF(EarningsPerDay[[#This Row],[Week '#]] &lt;= 39, 3, 4)))</f>
        <v>QTR1</v>
      </c>
      <c r="F4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28" s="4">
        <f>IF(WEEKNUM(EarningsPerDay[[#This Row],[Date]], 2) = 53, 1, WEEKNUM(EarningsPerDay[[#This Row],[Date]],2))</f>
        <v>2</v>
      </c>
      <c r="H428" s="40" t="str">
        <f t="shared" si="40"/>
        <v>Sunday</v>
      </c>
      <c r="I42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28" s="40" t="str" cm="1">
        <f t="array" ref="J428">IFERROR(VLOOKUP(MODE(IF(Combined[Date]=EarningsPerDay[[#This Row],[Date]],Combined[Area '#])),KPIs!$B$4:$C$7,2,FALSE),VLOOKUP(EarningsPerDay[[#This Row],[Date]],Combined[[Date]:[Primary Area]],8,FALSE))</f>
        <v>Brunswick/Bath/Freeport</v>
      </c>
      <c r="K428" s="40" t="str">
        <f>_xlfn.XLOOKUP(EarningsPerDay[[#This Row],[Date]],Mileage[Date],Mileage[Weather])</f>
        <v>Clear</v>
      </c>
      <c r="L428" s="4">
        <f>_xlfn.XLOOKUP(EarningsPerDay[[#This Row],[Date]],Mileage[Date],Mileage[Hi Temp])</f>
        <v>30</v>
      </c>
      <c r="M428" s="12">
        <f>_xlfn.XLOOKUP(EarningsPerDay[[#This Row],[Date]],Mileage[Date],Mileage[Total Time])</f>
        <v>3.1</v>
      </c>
      <c r="N428" s="4">
        <f>_xlfn.XLOOKUP(EarningsPerDay[[#This Row],[Date]],Mileage[Date],Mileage[Mileage])</f>
        <v>81</v>
      </c>
      <c r="O428" s="4">
        <f>SUMIF(Combined[Date],EarningsPerDay[[#This Row],[Date]],Combined[Trips])</f>
        <v>7</v>
      </c>
      <c r="P428">
        <f>COUNTIF(Combined[Date],EarningsPerDay[[#This Row],[Date]])</f>
        <v>3</v>
      </c>
      <c r="Q42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8" s="11">
        <f>SUMIF(Combined[Date],EarningsPerDay[[#This Row],[Date]],Combined[Earnings])</f>
        <v>85.51</v>
      </c>
      <c r="S428" s="11">
        <f ca="1">EarningsPerDay[[#This Row],[Gross Earnings]]-(EarningsPerDay[[#This Row],[Miles]]*CpM!$D$11)</f>
        <v>67.449179497109014</v>
      </c>
      <c r="T428" s="11">
        <f t="shared" si="41"/>
        <v>27.583870967741937</v>
      </c>
      <c r="U428" s="11">
        <f t="shared" ca="1" si="42"/>
        <v>21.7577998377771</v>
      </c>
      <c r="V428" s="11">
        <f>EarningsPerDay[[#This Row],[Gross Earnings]]/EarningsPerDay[[#This Row],[Deliveries]]</f>
        <v>12.215714285714286</v>
      </c>
      <c r="W428" s="11">
        <f>EarningsPerDay[[#This Row],[Gross Earnings]]/EarningsPerDay[[#This Row],[Miles]]</f>
        <v>1.0556790123456792</v>
      </c>
      <c r="X428" s="71">
        <f>EarningsPerDay[[#This Row],[Deliveries]]/EarningsPerDay[[#This Row],[Hours]]</f>
        <v>2.258064516129032</v>
      </c>
      <c r="Y428" s="71">
        <f>EarningsPerDay[[#This Row],[Miles]]/EarningsPerDay[[#This Row],[Deliveries]]</f>
        <v>11.571428571428571</v>
      </c>
      <c r="Z428" s="81">
        <f>(EarningsPerDay[[#This Row],[Hours]]/EarningsPerDay[[#This Row],[Deliveries]])/24</f>
        <v>1.8452380952380953E-2</v>
      </c>
      <c r="AA4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1.9122753527289298</v>
      </c>
      <c r="AB428" s="11">
        <f>AVERAGEIFS(EarningsPerDay[Gross $/Hour],EarningsPerDay[Week '#], EarningsPerDay[[#This Row],[Week '#]], EarningsPerDay[DOW], EarningsPerDay[[#This Row],[DOW]])</f>
        <v>17.041251039326678</v>
      </c>
      <c r="AC428" s="11">
        <f>EarningsPerDay[[#This Row],[Gross $/Hour]] - EarningsPerDay[[#This Row],[Weekly Average Earnings]]</f>
        <v>10.54261992841526</v>
      </c>
      <c r="AD428" s="11">
        <f>(SUMIFS(EarningsPerDay[Gross Earnings], EarningsPerDay[Date],"&gt;="&amp;EarningsPerDay[[#This Row],[Date]]-89, EarningsPerDay[Date], "&lt;="&amp;EarningsPerDay[[#This Row],[Date]]))/90</f>
        <v>53.782222222222209</v>
      </c>
    </row>
    <row r="429" spans="2:30" x14ac:dyDescent="0.35">
      <c r="B429" s="40">
        <v>45306</v>
      </c>
      <c r="C429" s="40">
        <f t="shared" si="39"/>
        <v>45306</v>
      </c>
      <c r="D429" s="4">
        <f>IF(EarningsPerDay[[#This Row],[Week '#]]&gt;=52,YEAR(EarningsPerDay[[#This Row],[Date]])-1,YEAR(EarningsPerDay[[#This Row],[Date]]))</f>
        <v>2024</v>
      </c>
      <c r="E429" s="4" t="str">
        <f>"QTR"&amp;IF(EarningsPerDay[[#This Row],[Week '#]] &lt;= 13, 1, IF(EarningsPerDay[[#This Row],[Week '#]] &lt;= 26, 2, IF(EarningsPerDay[[#This Row],[Week '#]] &lt;= 39, 3, 4)))</f>
        <v>QTR1</v>
      </c>
      <c r="F4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29" s="4">
        <f>IF(WEEKNUM(EarningsPerDay[[#This Row],[Date]], 2) = 53, 1, WEEKNUM(EarningsPerDay[[#This Row],[Date]],2))</f>
        <v>3</v>
      </c>
      <c r="H429" s="40" t="str">
        <f t="shared" si="40"/>
        <v>Monday</v>
      </c>
      <c r="I42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29" s="40" t="str" cm="1">
        <f t="array" ref="J429">IFERROR(VLOOKUP(MODE(IF(Combined[Date]=EarningsPerDay[[#This Row],[Date]],Combined[Area '#])),KPIs!$B$4:$C$7,2,FALSE),VLOOKUP(EarningsPerDay[[#This Row],[Date]],Combined[[Date]:[Primary Area]],8,FALSE))</f>
        <v>Brunswick/Bath/Freeport</v>
      </c>
      <c r="K429" s="40" t="str">
        <f>_xlfn.XLOOKUP(EarningsPerDay[[#This Row],[Date]],Mileage[Date],Mileage[Weather])</f>
        <v>Clear</v>
      </c>
      <c r="L429" s="4">
        <f>_xlfn.XLOOKUP(EarningsPerDay[[#This Row],[Date]],Mileage[Date],Mileage[Hi Temp])</f>
        <v>25</v>
      </c>
      <c r="M429" s="12">
        <f>_xlfn.XLOOKUP(EarningsPerDay[[#This Row],[Date]],Mileage[Date],Mileage[Total Time])</f>
        <v>3.57</v>
      </c>
      <c r="N429" s="4">
        <f>_xlfn.XLOOKUP(EarningsPerDay[[#This Row],[Date]],Mileage[Date],Mileage[Mileage])</f>
        <v>86</v>
      </c>
      <c r="O429" s="4">
        <f>SUMIF(Combined[Date],EarningsPerDay[[#This Row],[Date]],Combined[Trips])</f>
        <v>8</v>
      </c>
      <c r="P429">
        <f>COUNTIF(Combined[Date],EarningsPerDay[[#This Row],[Date]])</f>
        <v>4</v>
      </c>
      <c r="Q42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29" s="11">
        <f>SUMIF(Combined[Date],EarningsPerDay[[#This Row],[Date]],Combined[Earnings])</f>
        <v>82.2</v>
      </c>
      <c r="S429" s="11">
        <f ca="1">EarningsPerDay[[#This Row],[Gross Earnings]]-(EarningsPerDay[[#This Row],[Miles]]*CpM!$D$11)</f>
        <v>63.024314033967599</v>
      </c>
      <c r="T429" s="11">
        <f t="shared" si="41"/>
        <v>23.025210084033617</v>
      </c>
      <c r="U429" s="11">
        <f t="shared" ca="1" si="42"/>
        <v>17.65386947730185</v>
      </c>
      <c r="V429" s="11">
        <f>EarningsPerDay[[#This Row],[Gross Earnings]]/EarningsPerDay[[#This Row],[Deliveries]]</f>
        <v>10.275</v>
      </c>
      <c r="W429" s="11">
        <f>EarningsPerDay[[#This Row],[Gross Earnings]]/EarningsPerDay[[#This Row],[Miles]]</f>
        <v>0.95581395348837217</v>
      </c>
      <c r="X429" s="71">
        <f>EarningsPerDay[[#This Row],[Deliveries]]/EarningsPerDay[[#This Row],[Hours]]</f>
        <v>2.2408963585434174</v>
      </c>
      <c r="Y429" s="71">
        <f>EarningsPerDay[[#This Row],[Miles]]/EarningsPerDay[[#This Row],[Deliveries]]</f>
        <v>10.75</v>
      </c>
      <c r="Z429" s="81">
        <f>(EarningsPerDay[[#This Row],[Hours]]/EarningsPerDay[[#This Row],[Deliveries]])/24</f>
        <v>1.8593749999999999E-2</v>
      </c>
      <c r="AA4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-3.0681571398403058</v>
      </c>
      <c r="AB429" s="11">
        <f>AVERAGEIFS(EarningsPerDay[Gross $/Hour],EarningsPerDay[Week '#], EarningsPerDay[[#This Row],[Week '#]], EarningsPerDay[DOW], EarningsPerDay[[#This Row],[DOW]])</f>
        <v>20.098029868779264</v>
      </c>
      <c r="AC429" s="11">
        <f>EarningsPerDay[[#This Row],[Gross $/Hour]] - EarningsPerDay[[#This Row],[Weekly Average Earnings]]</f>
        <v>2.9271802152543529</v>
      </c>
      <c r="AD429" s="11">
        <f>(SUMIFS(EarningsPerDay[Gross Earnings], EarningsPerDay[Date],"&gt;="&amp;EarningsPerDay[[#This Row],[Date]]-89, EarningsPerDay[Date], "&lt;="&amp;EarningsPerDay[[#This Row],[Date]]))/90</f>
        <v>53.292777777777765</v>
      </c>
    </row>
    <row r="430" spans="2:30" x14ac:dyDescent="0.35">
      <c r="B430" s="40">
        <v>45307</v>
      </c>
      <c r="C430" s="40">
        <f t="shared" si="39"/>
        <v>45307</v>
      </c>
      <c r="D430" s="4">
        <f>IF(EarningsPerDay[[#This Row],[Week '#]]&gt;=52,YEAR(EarningsPerDay[[#This Row],[Date]])-1,YEAR(EarningsPerDay[[#This Row],[Date]]))</f>
        <v>2024</v>
      </c>
      <c r="E430" s="4" t="str">
        <f>"QTR"&amp;IF(EarningsPerDay[[#This Row],[Week '#]] &lt;= 13, 1, IF(EarningsPerDay[[#This Row],[Week '#]] &lt;= 26, 2, IF(EarningsPerDay[[#This Row],[Week '#]] &lt;= 39, 3, 4)))</f>
        <v>QTR1</v>
      </c>
      <c r="F4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30" s="4">
        <f>IF(WEEKNUM(EarningsPerDay[[#This Row],[Date]], 2) = 53, 1, WEEKNUM(EarningsPerDay[[#This Row],[Date]],2))</f>
        <v>3</v>
      </c>
      <c r="H430" s="40" t="str">
        <f t="shared" si="40"/>
        <v>Tuesday</v>
      </c>
      <c r="I43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30" s="40" t="str" cm="1">
        <f t="array" ref="J430">IFERROR(VLOOKUP(MODE(IF(Combined[Date]=EarningsPerDay[[#This Row],[Date]],Combined[Area '#])),KPIs!$B$4:$C$7,2,FALSE),VLOOKUP(EarningsPerDay[[#This Row],[Date]],Combined[[Date]:[Primary Area]],8,FALSE))</f>
        <v>Brunswick/Bath/Freeport</v>
      </c>
      <c r="K430" s="40" t="str">
        <f>_xlfn.XLOOKUP(EarningsPerDay[[#This Row],[Date]],Mileage[Date],Mileage[Weather])</f>
        <v>Snow Storm</v>
      </c>
      <c r="L430" s="4">
        <f>_xlfn.XLOOKUP(EarningsPerDay[[#This Row],[Date]],Mileage[Date],Mileage[Hi Temp])</f>
        <v>27</v>
      </c>
      <c r="M430" s="12">
        <f>_xlfn.XLOOKUP(EarningsPerDay[[#This Row],[Date]],Mileage[Date],Mileage[Total Time])</f>
        <v>4.97</v>
      </c>
      <c r="N430" s="4">
        <f>_xlfn.XLOOKUP(EarningsPerDay[[#This Row],[Date]],Mileage[Date],Mileage[Mileage])</f>
        <v>117</v>
      </c>
      <c r="O430" s="4">
        <f>SUMIF(Combined[Date],EarningsPerDay[[#This Row],[Date]],Combined[Trips])</f>
        <v>9</v>
      </c>
      <c r="P430">
        <f>COUNTIF(Combined[Date],EarningsPerDay[[#This Row],[Date]])</f>
        <v>3</v>
      </c>
      <c r="Q43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30" s="11">
        <f>SUMIF(Combined[Date],EarningsPerDay[[#This Row],[Date]],Combined[Earnings])</f>
        <v>177.49</v>
      </c>
      <c r="S430" s="11">
        <f ca="1">EarningsPerDay[[#This Row],[Gross Earnings]]-(EarningsPerDay[[#This Row],[Miles]]*CpM!$D$11)</f>
        <v>151.40214816249079</v>
      </c>
      <c r="T430" s="11">
        <f t="shared" si="41"/>
        <v>35.712273641851112</v>
      </c>
      <c r="U430" s="11">
        <f t="shared" ca="1" si="42"/>
        <v>30.463208885813039</v>
      </c>
      <c r="V430" s="11">
        <f>EarningsPerDay[[#This Row],[Gross Earnings]]/EarningsPerDay[[#This Row],[Deliveries]]</f>
        <v>19.721111111111114</v>
      </c>
      <c r="W430" s="11">
        <f>EarningsPerDay[[#This Row],[Gross Earnings]]/EarningsPerDay[[#This Row],[Miles]]</f>
        <v>1.517008547008547</v>
      </c>
      <c r="X430" s="71">
        <f>EarningsPerDay[[#This Row],[Deliveries]]/EarningsPerDay[[#This Row],[Hours]]</f>
        <v>1.8108651911468814</v>
      </c>
      <c r="Y430" s="71">
        <f>EarningsPerDay[[#This Row],[Miles]]/EarningsPerDay[[#This Row],[Deliveries]]</f>
        <v>13</v>
      </c>
      <c r="Z430" s="81">
        <f>(EarningsPerDay[[#This Row],[Hours]]/EarningsPerDay[[#This Row],[Deliveries]])/24</f>
        <v>2.3009259259259257E-2</v>
      </c>
      <c r="AA4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8.0277716440874549</v>
      </c>
      <c r="AB430" s="11">
        <f>AVERAGEIFS(EarningsPerDay[Gross $/Hour],EarningsPerDay[Week '#], EarningsPerDay[[#This Row],[Week '#]], EarningsPerDay[DOW], EarningsPerDay[[#This Row],[DOW]])</f>
        <v>24.309841019700176</v>
      </c>
      <c r="AC430" s="11">
        <f>EarningsPerDay[[#This Row],[Gross $/Hour]] - EarningsPerDay[[#This Row],[Weekly Average Earnings]]</f>
        <v>11.402432622150936</v>
      </c>
      <c r="AD430" s="11">
        <f>(SUMIFS(EarningsPerDay[Gross Earnings], EarningsPerDay[Date],"&gt;="&amp;EarningsPerDay[[#This Row],[Date]]-89, EarningsPerDay[Date], "&lt;="&amp;EarningsPerDay[[#This Row],[Date]]))/90</f>
        <v>53.981333333333332</v>
      </c>
    </row>
    <row r="431" spans="2:30" x14ac:dyDescent="0.35">
      <c r="B431" s="40">
        <v>45311</v>
      </c>
      <c r="C431" s="40">
        <f t="shared" ref="C431:C494" si="43">B431</f>
        <v>45311</v>
      </c>
      <c r="D431" s="4">
        <f>IF(EarningsPerDay[[#This Row],[Week '#]]&gt;=52,YEAR(EarningsPerDay[[#This Row],[Date]])-1,YEAR(EarningsPerDay[[#This Row],[Date]]))</f>
        <v>2024</v>
      </c>
      <c r="E431" s="4" t="str">
        <f>"QTR"&amp;IF(EarningsPerDay[[#This Row],[Week '#]] &lt;= 13, 1, IF(EarningsPerDay[[#This Row],[Week '#]] &lt;= 26, 2, IF(EarningsPerDay[[#This Row],[Week '#]] &lt;= 39, 3, 4)))</f>
        <v>QTR1</v>
      </c>
      <c r="F4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31" s="4">
        <f>IF(WEEKNUM(EarningsPerDay[[#This Row],[Date]], 2) = 53, 1, WEEKNUM(EarningsPerDay[[#This Row],[Date]],2))</f>
        <v>3</v>
      </c>
      <c r="H431" s="40" t="str">
        <f t="shared" ref="H431:H494" si="44">TEXT(B431,"DDDD")</f>
        <v>Saturday</v>
      </c>
      <c r="I43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31" s="40" t="str" cm="1">
        <f t="array" ref="J431">IFERROR(VLOOKUP(MODE(IF(Combined[Date]=EarningsPerDay[[#This Row],[Date]],Combined[Area '#])),KPIs!$B$4:$C$7,2,FALSE),VLOOKUP(EarningsPerDay[[#This Row],[Date]],Combined[[Date]:[Primary Area]],8,FALSE))</f>
        <v>Brunswick/Bath/Freeport</v>
      </c>
      <c r="K431" s="40" t="str">
        <f>_xlfn.XLOOKUP(EarningsPerDay[[#This Row],[Date]],Mileage[Date],Mileage[Weather])</f>
        <v>Light Snow</v>
      </c>
      <c r="L431" s="4">
        <f>_xlfn.XLOOKUP(EarningsPerDay[[#This Row],[Date]],Mileage[Date],Mileage[Hi Temp])</f>
        <v>16</v>
      </c>
      <c r="M431" s="12">
        <f>_xlfn.XLOOKUP(EarningsPerDay[[#This Row],[Date]],Mileage[Date],Mileage[Total Time])</f>
        <v>5.08</v>
      </c>
      <c r="N431" s="4">
        <f>_xlfn.XLOOKUP(EarningsPerDay[[#This Row],[Date]],Mileage[Date],Mileage[Mileage])</f>
        <v>134</v>
      </c>
      <c r="O431" s="4">
        <f>SUMIF(Combined[Date],EarningsPerDay[[#This Row],[Date]],Combined[Trips])</f>
        <v>12</v>
      </c>
      <c r="P431">
        <f>COUNTIF(Combined[Date],EarningsPerDay[[#This Row],[Date]])</f>
        <v>3</v>
      </c>
      <c r="Q43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1" s="11">
        <f>SUMIF(Combined[Date],EarningsPerDay[[#This Row],[Date]],Combined[Earnings])</f>
        <v>97.4</v>
      </c>
      <c r="S431" s="11">
        <f ca="1">EarningsPerDay[[#This Row],[Gross Earnings]]-(EarningsPerDay[[#This Row],[Miles]]*CpM!$D$11)</f>
        <v>67.521605587809972</v>
      </c>
      <c r="T431" s="11">
        <f t="shared" si="41"/>
        <v>19.173228346456693</v>
      </c>
      <c r="U431" s="11">
        <f t="shared" ca="1" si="42"/>
        <v>13.291654643269679</v>
      </c>
      <c r="V431" s="11">
        <f>EarningsPerDay[[#This Row],[Gross Earnings]]/EarningsPerDay[[#This Row],[Deliveries]]</f>
        <v>8.1166666666666671</v>
      </c>
      <c r="W431" s="11">
        <f>EarningsPerDay[[#This Row],[Gross Earnings]]/EarningsPerDay[[#This Row],[Miles]]</f>
        <v>0.72686567164179106</v>
      </c>
      <c r="X431" s="71">
        <f>EarningsPerDay[[#This Row],[Deliveries]]/EarningsPerDay[[#This Row],[Hours]]</f>
        <v>2.3622047244094486</v>
      </c>
      <c r="Y431" s="71">
        <f>EarningsPerDay[[#This Row],[Miles]]/EarningsPerDay[[#This Row],[Deliveries]]</f>
        <v>11.166666666666666</v>
      </c>
      <c r="Z431" s="81">
        <f>(EarningsPerDay[[#This Row],[Hours]]/EarningsPerDay[[#This Row],[Deliveries]])/24</f>
        <v>1.7638888888888888E-2</v>
      </c>
      <c r="AA4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-6.7738053849722455</v>
      </c>
      <c r="AB431" s="11">
        <f>AVERAGEIFS(EarningsPerDay[Gross $/Hour],EarningsPerDay[Week '#], EarningsPerDay[[#This Row],[Week '#]], EarningsPerDay[DOW], EarningsPerDay[[#This Row],[DOW]])</f>
        <v>22.144434801112787</v>
      </c>
      <c r="AC431" s="11">
        <f>EarningsPerDay[[#This Row],[Gross $/Hour]] - EarningsPerDay[[#This Row],[Weekly Average Earnings]]</f>
        <v>-2.9712064546560946</v>
      </c>
      <c r="AD431" s="11">
        <f>(SUMIFS(EarningsPerDay[Gross Earnings], EarningsPerDay[Date],"&gt;="&amp;EarningsPerDay[[#This Row],[Date]]-89, EarningsPerDay[Date], "&lt;="&amp;EarningsPerDay[[#This Row],[Date]]))/90</f>
        <v>55.063555555555546</v>
      </c>
    </row>
    <row r="432" spans="2:30" x14ac:dyDescent="0.35">
      <c r="B432" s="40">
        <v>45313</v>
      </c>
      <c r="C432" s="40">
        <f t="shared" si="43"/>
        <v>45313</v>
      </c>
      <c r="D432" s="4">
        <f>IF(EarningsPerDay[[#This Row],[Week '#]]&gt;=52,YEAR(EarningsPerDay[[#This Row],[Date]])-1,YEAR(EarningsPerDay[[#This Row],[Date]]))</f>
        <v>2024</v>
      </c>
      <c r="E432" s="4" t="str">
        <f>"QTR"&amp;IF(EarningsPerDay[[#This Row],[Week '#]] &lt;= 13, 1, IF(EarningsPerDay[[#This Row],[Week '#]] &lt;= 26, 2, IF(EarningsPerDay[[#This Row],[Week '#]] &lt;= 39, 3, 4)))</f>
        <v>QTR1</v>
      </c>
      <c r="F4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32" s="4">
        <f>IF(WEEKNUM(EarningsPerDay[[#This Row],[Date]], 2) = 53, 1, WEEKNUM(EarningsPerDay[[#This Row],[Date]],2))</f>
        <v>4</v>
      </c>
      <c r="H432" s="40" t="str">
        <f t="shared" si="44"/>
        <v>Monday</v>
      </c>
      <c r="I43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2" s="40" t="str" cm="1">
        <f t="array" ref="J432">IFERROR(VLOOKUP(MODE(IF(Combined[Date]=EarningsPerDay[[#This Row],[Date]],Combined[Area '#])),KPIs!$B$4:$C$7,2,FALSE),VLOOKUP(EarningsPerDay[[#This Row],[Date]],Combined[[Date]:[Primary Area]],8,FALSE))</f>
        <v>Brunswick/Bath/Freeport</v>
      </c>
      <c r="K432" s="40" t="str">
        <f>_xlfn.XLOOKUP(EarningsPerDay[[#This Row],[Date]],Mileage[Date],Mileage[Weather])</f>
        <v>Partially Cloudy</v>
      </c>
      <c r="L432" s="4">
        <f>_xlfn.XLOOKUP(EarningsPerDay[[#This Row],[Date]],Mileage[Date],Mileage[Hi Temp])</f>
        <v>34</v>
      </c>
      <c r="M432" s="12">
        <f>_xlfn.XLOOKUP(EarningsPerDay[[#This Row],[Date]],Mileage[Date],Mileage[Total Time])</f>
        <v>4.88</v>
      </c>
      <c r="N432" s="4">
        <f>_xlfn.XLOOKUP(EarningsPerDay[[#This Row],[Date]],Mileage[Date],Mileage[Mileage])</f>
        <v>116</v>
      </c>
      <c r="O432" s="4">
        <f>SUMIF(Combined[Date],EarningsPerDay[[#This Row],[Date]],Combined[Trips])</f>
        <v>9</v>
      </c>
      <c r="P432">
        <f>COUNTIF(Combined[Date],EarningsPerDay[[#This Row],[Date]])</f>
        <v>5</v>
      </c>
      <c r="Q43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2" s="11">
        <f>SUMIF(Combined[Date],EarningsPerDay[[#This Row],[Date]],Combined[Earnings])</f>
        <v>98.320000000000007</v>
      </c>
      <c r="S432" s="11">
        <f ca="1">EarningsPerDay[[#This Row],[Gross Earnings]]-(EarningsPerDay[[#This Row],[Miles]]*CpM!$D$11)</f>
        <v>72.455121255119082</v>
      </c>
      <c r="T432" s="11">
        <f t="shared" si="41"/>
        <v>20.147540983606561</v>
      </c>
      <c r="U432" s="11">
        <f t="shared" ca="1" si="42"/>
        <v>14.847360912934239</v>
      </c>
      <c r="V432" s="11">
        <f>EarningsPerDay[[#This Row],[Gross Earnings]]/EarningsPerDay[[#This Row],[Deliveries]]</f>
        <v>10.924444444444445</v>
      </c>
      <c r="W432" s="11">
        <f>EarningsPerDay[[#This Row],[Gross Earnings]]/EarningsPerDay[[#This Row],[Miles]]</f>
        <v>0.84758620689655184</v>
      </c>
      <c r="X432" s="71">
        <f>EarningsPerDay[[#This Row],[Deliveries]]/EarningsPerDay[[#This Row],[Hours]]</f>
        <v>1.8442622950819672</v>
      </c>
      <c r="Y432" s="71">
        <f>EarningsPerDay[[#This Row],[Miles]]/EarningsPerDay[[#This Row],[Deliveries]]</f>
        <v>12.888888888888889</v>
      </c>
      <c r="Z432" s="81">
        <f>(EarningsPerDay[[#This Row],[Hours]]/EarningsPerDay[[#This Row],[Deliveries]])/24</f>
        <v>2.2592592592592591E-2</v>
      </c>
      <c r="AA4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-5.6669028639182457</v>
      </c>
      <c r="AB432" s="11">
        <f>AVERAGEIFS(EarningsPerDay[Gross $/Hour],EarningsPerDay[Week '#], EarningsPerDay[[#This Row],[Week '#]], EarningsPerDay[DOW], EarningsPerDay[[#This Row],[DOW]])</f>
        <v>17.564907579101099</v>
      </c>
      <c r="AC432" s="11">
        <f>EarningsPerDay[[#This Row],[Gross $/Hour]] - EarningsPerDay[[#This Row],[Weekly Average Earnings]]</f>
        <v>2.5826334045054615</v>
      </c>
      <c r="AD432" s="11">
        <f>(SUMIFS(EarningsPerDay[Gross Earnings], EarningsPerDay[Date],"&gt;="&amp;EarningsPerDay[[#This Row],[Date]]-89, EarningsPerDay[Date], "&lt;="&amp;EarningsPerDay[[#This Row],[Date]]))/90</f>
        <v>54.121222222222208</v>
      </c>
    </row>
    <row r="433" spans="2:30" x14ac:dyDescent="0.35">
      <c r="B433" s="40">
        <v>45314</v>
      </c>
      <c r="C433" s="40">
        <f t="shared" si="43"/>
        <v>45314</v>
      </c>
      <c r="D433" s="4">
        <f>IF(EarningsPerDay[[#This Row],[Week '#]]&gt;=52,YEAR(EarningsPerDay[[#This Row],[Date]])-1,YEAR(EarningsPerDay[[#This Row],[Date]]))</f>
        <v>2024</v>
      </c>
      <c r="E433" s="4" t="str">
        <f>"QTR"&amp;IF(EarningsPerDay[[#This Row],[Week '#]] &lt;= 13, 1, IF(EarningsPerDay[[#This Row],[Week '#]] &lt;= 26, 2, IF(EarningsPerDay[[#This Row],[Week '#]] &lt;= 39, 3, 4)))</f>
        <v>QTR1</v>
      </c>
      <c r="F4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33" s="4">
        <f>IF(WEEKNUM(EarningsPerDay[[#This Row],[Date]], 2) = 53, 1, WEEKNUM(EarningsPerDay[[#This Row],[Date]],2))</f>
        <v>4</v>
      </c>
      <c r="H433" s="40" t="str">
        <f t="shared" si="44"/>
        <v>Tuesday</v>
      </c>
      <c r="I43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3" s="40" t="str" cm="1">
        <f t="array" ref="J433">IFERROR(VLOOKUP(MODE(IF(Combined[Date]=EarningsPerDay[[#This Row],[Date]],Combined[Area '#])),KPIs!$B$4:$C$7,2,FALSE),VLOOKUP(EarningsPerDay[[#This Row],[Date]],Combined[[Date]:[Primary Area]],8,FALSE))</f>
        <v>Brunswick/Bath/Freeport</v>
      </c>
      <c r="K433" s="40" t="str">
        <f>_xlfn.XLOOKUP(EarningsPerDay[[#This Row],[Date]],Mileage[Date],Mileage[Weather])</f>
        <v>Clear</v>
      </c>
      <c r="L433" s="4">
        <f>_xlfn.XLOOKUP(EarningsPerDay[[#This Row],[Date]],Mileage[Date],Mileage[Hi Temp])</f>
        <v>28</v>
      </c>
      <c r="M433" s="12">
        <f>_xlfn.XLOOKUP(EarningsPerDay[[#This Row],[Date]],Mileage[Date],Mileage[Total Time])</f>
        <v>2.27</v>
      </c>
      <c r="N433" s="4">
        <f>_xlfn.XLOOKUP(EarningsPerDay[[#This Row],[Date]],Mileage[Date],Mileage[Mileage])</f>
        <v>69</v>
      </c>
      <c r="O433" s="4">
        <f>SUMIF(Combined[Date],EarningsPerDay[[#This Row],[Date]],Combined[Trips])</f>
        <v>5</v>
      </c>
      <c r="P433">
        <f>COUNTIF(Combined[Date],EarningsPerDay[[#This Row],[Date]])</f>
        <v>2</v>
      </c>
      <c r="Q43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3" s="11">
        <f>SUMIF(Combined[Date],EarningsPerDay[[#This Row],[Date]],Combined[Earnings])</f>
        <v>42.34</v>
      </c>
      <c r="S433" s="11">
        <f ca="1">EarningsPerDay[[#This Row],[Gross Earnings]]-(EarningsPerDay[[#This Row],[Miles]]*CpM!$D$11)</f>
        <v>26.95485660864842</v>
      </c>
      <c r="T433" s="11">
        <f t="shared" si="41"/>
        <v>18.651982378854626</v>
      </c>
      <c r="U433" s="11">
        <f t="shared" ca="1" si="42"/>
        <v>11.874386171210757</v>
      </c>
      <c r="V433" s="11">
        <f>EarningsPerDay[[#This Row],[Gross Earnings]]/EarningsPerDay[[#This Row],[Deliveries]]</f>
        <v>8.468</v>
      </c>
      <c r="W433" s="11">
        <f>EarningsPerDay[[#This Row],[Gross Earnings]]/EarningsPerDay[[#This Row],[Miles]]</f>
        <v>0.6136231884057971</v>
      </c>
      <c r="X433" s="71">
        <f>EarningsPerDay[[#This Row],[Deliveries]]/EarningsPerDay[[#This Row],[Hours]]</f>
        <v>2.2026431718061672</v>
      </c>
      <c r="Y433" s="71">
        <f>EarningsPerDay[[#This Row],[Miles]]/EarningsPerDay[[#This Row],[Deliveries]]</f>
        <v>13.8</v>
      </c>
      <c r="Z433" s="81">
        <f>(EarningsPerDay[[#This Row],[Hours]]/EarningsPerDay[[#This Row],[Deliveries]])/24</f>
        <v>1.8916666666666668E-2</v>
      </c>
      <c r="AA4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-9.7623170410988038</v>
      </c>
      <c r="AB433" s="11">
        <f>AVERAGEIFS(EarningsPerDay[Gross $/Hour],EarningsPerDay[Week '#], EarningsPerDay[[#This Row],[Week '#]], EarningsPerDay[DOW], EarningsPerDay[[#This Row],[DOW]])</f>
        <v>17.237755895309665</v>
      </c>
      <c r="AC433" s="11">
        <f>EarningsPerDay[[#This Row],[Gross $/Hour]] - EarningsPerDay[[#This Row],[Weekly Average Earnings]]</f>
        <v>1.4142264835449616</v>
      </c>
      <c r="AD433" s="11">
        <f>(SUMIFS(EarningsPerDay[Gross Earnings], EarningsPerDay[Date],"&gt;="&amp;EarningsPerDay[[#This Row],[Date]]-89, EarningsPerDay[Date], "&lt;="&amp;EarningsPerDay[[#This Row],[Date]]))/90</f>
        <v>54.027777777777764</v>
      </c>
    </row>
    <row r="434" spans="2:30" x14ac:dyDescent="0.35">
      <c r="B434" s="40">
        <v>45316</v>
      </c>
      <c r="C434" s="40">
        <f t="shared" si="43"/>
        <v>45316</v>
      </c>
      <c r="D434" s="4">
        <f>IF(EarningsPerDay[[#This Row],[Week '#]]&gt;=52,YEAR(EarningsPerDay[[#This Row],[Date]])-1,YEAR(EarningsPerDay[[#This Row],[Date]]))</f>
        <v>2024</v>
      </c>
      <c r="E434" s="4" t="str">
        <f>"QTR"&amp;IF(EarningsPerDay[[#This Row],[Week '#]] &lt;= 13, 1, IF(EarningsPerDay[[#This Row],[Week '#]] &lt;= 26, 2, IF(EarningsPerDay[[#This Row],[Week '#]] &lt;= 39, 3, 4)))</f>
        <v>QTR1</v>
      </c>
      <c r="F4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34" s="4">
        <f>IF(WEEKNUM(EarningsPerDay[[#This Row],[Date]], 2) = 53, 1, WEEKNUM(EarningsPerDay[[#This Row],[Date]],2))</f>
        <v>4</v>
      </c>
      <c r="H434" s="40" t="str">
        <f t="shared" si="44"/>
        <v>Thursday</v>
      </c>
      <c r="I43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4" s="40" t="str" cm="1">
        <f t="array" ref="J434">IFERROR(VLOOKUP(MODE(IF(Combined[Date]=EarningsPerDay[[#This Row],[Date]],Combined[Area '#])),KPIs!$B$4:$C$7,2,FALSE),VLOOKUP(EarningsPerDay[[#This Row],[Date]],Combined[[Date]:[Primary Area]],8,FALSE))</f>
        <v>Brunswick/Bath/Freeport</v>
      </c>
      <c r="K434" s="40" t="str">
        <f>_xlfn.XLOOKUP(EarningsPerDay[[#This Row],[Date]],Mileage[Date],Mileage[Weather])</f>
        <v>Overcast</v>
      </c>
      <c r="L434" s="4">
        <f>_xlfn.XLOOKUP(EarningsPerDay[[#This Row],[Date]],Mileage[Date],Mileage[Hi Temp])</f>
        <v>37</v>
      </c>
      <c r="M434" s="12">
        <f>_xlfn.XLOOKUP(EarningsPerDay[[#This Row],[Date]],Mileage[Date],Mileage[Total Time])</f>
        <v>3.87</v>
      </c>
      <c r="N434" s="4">
        <f>_xlfn.XLOOKUP(EarningsPerDay[[#This Row],[Date]],Mileage[Date],Mileage[Mileage])</f>
        <v>77</v>
      </c>
      <c r="O434" s="4">
        <f>SUMIF(Combined[Date],EarningsPerDay[[#This Row],[Date]],Combined[Trips])</f>
        <v>6</v>
      </c>
      <c r="P434">
        <f>COUNTIF(Combined[Date],EarningsPerDay[[#This Row],[Date]])</f>
        <v>3</v>
      </c>
      <c r="Q4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34" s="11">
        <f>SUMIF(Combined[Date],EarningsPerDay[[#This Row],[Date]],Combined[Earnings])</f>
        <v>93.22</v>
      </c>
      <c r="S434" s="11">
        <f ca="1">EarningsPerDay[[#This Row],[Gross Earnings]]-(EarningsPerDay[[#This Row],[Miles]]*CpM!$D$11)</f>
        <v>76.051071867622142</v>
      </c>
      <c r="T434" s="11">
        <f t="shared" si="41"/>
        <v>24.087855297157621</v>
      </c>
      <c r="U434" s="11">
        <f t="shared" ca="1" si="42"/>
        <v>19.651439759075487</v>
      </c>
      <c r="V434" s="11">
        <f>EarningsPerDay[[#This Row],[Gross Earnings]]/EarningsPerDay[[#This Row],[Deliveries]]</f>
        <v>15.536666666666667</v>
      </c>
      <c r="W434" s="11">
        <f>EarningsPerDay[[#This Row],[Gross Earnings]]/EarningsPerDay[[#This Row],[Miles]]</f>
        <v>1.2106493506493505</v>
      </c>
      <c r="X434" s="71">
        <f>EarningsPerDay[[#This Row],[Deliveries]]/EarningsPerDay[[#This Row],[Hours]]</f>
        <v>1.5503875968992247</v>
      </c>
      <c r="Y434" s="71">
        <f>EarningsPerDay[[#This Row],[Miles]]/EarningsPerDay[[#This Row],[Deliveries]]</f>
        <v>12.833333333333334</v>
      </c>
      <c r="Z434" s="81">
        <f>(EarningsPerDay[[#This Row],[Hours]]/EarningsPerDay[[#This Row],[Deliveries]])/24</f>
        <v>2.6875E-2</v>
      </c>
      <c r="AA4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5.356052225174583</v>
      </c>
      <c r="AB434" s="11">
        <f>AVERAGEIFS(EarningsPerDay[Gross $/Hour],EarningsPerDay[Week '#], EarningsPerDay[[#This Row],[Week '#]], EarningsPerDay[DOW], EarningsPerDay[[#This Row],[DOW]])</f>
        <v>21.955737464529733</v>
      </c>
      <c r="AC434" s="11">
        <f>EarningsPerDay[[#This Row],[Gross $/Hour]] - EarningsPerDay[[#This Row],[Weekly Average Earnings]]</f>
        <v>2.1321178326278876</v>
      </c>
      <c r="AD434" s="11">
        <f>(SUMIFS(EarningsPerDay[Gross Earnings], EarningsPerDay[Date],"&gt;="&amp;EarningsPerDay[[#This Row],[Date]]-89, EarningsPerDay[Date], "&lt;="&amp;EarningsPerDay[[#This Row],[Date]]))/90</f>
        <v>55.063555555555546</v>
      </c>
    </row>
    <row r="435" spans="2:30" x14ac:dyDescent="0.35">
      <c r="B435" s="40">
        <v>45317</v>
      </c>
      <c r="C435" s="40">
        <f t="shared" si="43"/>
        <v>45317</v>
      </c>
      <c r="D435" s="4">
        <f>IF(EarningsPerDay[[#This Row],[Week '#]]&gt;=52,YEAR(EarningsPerDay[[#This Row],[Date]])-1,YEAR(EarningsPerDay[[#This Row],[Date]]))</f>
        <v>2024</v>
      </c>
      <c r="E435" s="4" t="str">
        <f>"QTR"&amp;IF(EarningsPerDay[[#This Row],[Week '#]] &lt;= 13, 1, IF(EarningsPerDay[[#This Row],[Week '#]] &lt;= 26, 2, IF(EarningsPerDay[[#This Row],[Week '#]] &lt;= 39, 3, 4)))</f>
        <v>QTR1</v>
      </c>
      <c r="F4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35" s="4">
        <f>IF(WEEKNUM(EarningsPerDay[[#This Row],[Date]], 2) = 53, 1, WEEKNUM(EarningsPerDay[[#This Row],[Date]],2))</f>
        <v>4</v>
      </c>
      <c r="H435" s="40" t="str">
        <f t="shared" si="44"/>
        <v>Friday</v>
      </c>
      <c r="I43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5" s="40" t="str" cm="1">
        <f t="array" ref="J435">IFERROR(VLOOKUP(MODE(IF(Combined[Date]=EarningsPerDay[[#This Row],[Date]],Combined[Area '#])),KPIs!$B$4:$C$7,2,FALSE),VLOOKUP(EarningsPerDay[[#This Row],[Date]],Combined[[Date]:[Primary Area]],8,FALSE))</f>
        <v>Lewiston</v>
      </c>
      <c r="K435" s="40" t="str">
        <f>_xlfn.XLOOKUP(EarningsPerDay[[#This Row],[Date]],Mileage[Date],Mileage[Weather])</f>
        <v>Overcast</v>
      </c>
      <c r="L435" s="4">
        <f>_xlfn.XLOOKUP(EarningsPerDay[[#This Row],[Date]],Mileage[Date],Mileage[Hi Temp])</f>
        <v>34</v>
      </c>
      <c r="M435" s="12">
        <f>_xlfn.XLOOKUP(EarningsPerDay[[#This Row],[Date]],Mileage[Date],Mileage[Total Time])</f>
        <v>5.43</v>
      </c>
      <c r="N435" s="4">
        <f>_xlfn.XLOOKUP(EarningsPerDay[[#This Row],[Date]],Mileage[Date],Mileage[Mileage])</f>
        <v>116</v>
      </c>
      <c r="O435" s="4">
        <f>SUMIF(Combined[Date],EarningsPerDay[[#This Row],[Date]],Combined[Trips])</f>
        <v>12</v>
      </c>
      <c r="P435">
        <f>COUNTIF(Combined[Date],EarningsPerDay[[#This Row],[Date]])</f>
        <v>4</v>
      </c>
      <c r="Q43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5" s="11">
        <f>SUMIF(Combined[Date],EarningsPerDay[[#This Row],[Date]],Combined[Earnings])</f>
        <v>96.81</v>
      </c>
      <c r="S435" s="11">
        <f ca="1">EarningsPerDay[[#This Row],[Gross Earnings]]-(EarningsPerDay[[#This Row],[Miles]]*CpM!$D$11)</f>
        <v>70.945121255119076</v>
      </c>
      <c r="T435" s="11">
        <f t="shared" si="41"/>
        <v>17.828729281767956</v>
      </c>
      <c r="U435" s="11">
        <f t="shared" ca="1" si="42"/>
        <v>13.065399862821193</v>
      </c>
      <c r="V435" s="11">
        <f>EarningsPerDay[[#This Row],[Gross Earnings]]/EarningsPerDay[[#This Row],[Deliveries]]</f>
        <v>8.0675000000000008</v>
      </c>
      <c r="W435" s="11">
        <f>EarningsPerDay[[#This Row],[Gross Earnings]]/EarningsPerDay[[#This Row],[Miles]]</f>
        <v>0.83456896551724136</v>
      </c>
      <c r="X435" s="71">
        <f>EarningsPerDay[[#This Row],[Deliveries]]/EarningsPerDay[[#This Row],[Hours]]</f>
        <v>2.2099447513812156</v>
      </c>
      <c r="Y435" s="71">
        <f>EarningsPerDay[[#This Row],[Miles]]/EarningsPerDay[[#This Row],[Deliveries]]</f>
        <v>9.6666666666666661</v>
      </c>
      <c r="Z435" s="81">
        <f>(EarningsPerDay[[#This Row],[Hours]]/EarningsPerDay[[#This Row],[Deliveries]])/24</f>
        <v>1.8854166666666665E-2</v>
      </c>
      <c r="AA4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-2.885466925333855</v>
      </c>
      <c r="AB435" s="11">
        <f>AVERAGEIFS(EarningsPerDay[Gross $/Hour],EarningsPerDay[Week '#], EarningsPerDay[[#This Row],[Week '#]], EarningsPerDay[DOW], EarningsPerDay[[#This Row],[DOW]])</f>
        <v>16.768241380446604</v>
      </c>
      <c r="AC435" s="11">
        <f>EarningsPerDay[[#This Row],[Gross $/Hour]] - EarningsPerDay[[#This Row],[Weekly Average Earnings]]</f>
        <v>1.060487901321352</v>
      </c>
      <c r="AD435" s="11">
        <f>(SUMIFS(EarningsPerDay[Gross Earnings], EarningsPerDay[Date],"&gt;="&amp;EarningsPerDay[[#This Row],[Date]]-89, EarningsPerDay[Date], "&lt;="&amp;EarningsPerDay[[#This Row],[Date]]))/90</f>
        <v>54.503666666666668</v>
      </c>
    </row>
    <row r="436" spans="2:30" x14ac:dyDescent="0.35">
      <c r="B436" s="40">
        <v>45318</v>
      </c>
      <c r="C436" s="40">
        <f t="shared" si="43"/>
        <v>45318</v>
      </c>
      <c r="D436" s="4">
        <f>IF(EarningsPerDay[[#This Row],[Week '#]]&gt;=52,YEAR(EarningsPerDay[[#This Row],[Date]])-1,YEAR(EarningsPerDay[[#This Row],[Date]]))</f>
        <v>2024</v>
      </c>
      <c r="E436" s="4" t="str">
        <f>"QTR"&amp;IF(EarningsPerDay[[#This Row],[Week '#]] &lt;= 13, 1, IF(EarningsPerDay[[#This Row],[Week '#]] &lt;= 26, 2, IF(EarningsPerDay[[#This Row],[Week '#]] &lt;= 39, 3, 4)))</f>
        <v>QTR1</v>
      </c>
      <c r="F4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36" s="4">
        <f>IF(WEEKNUM(EarningsPerDay[[#This Row],[Date]], 2) = 53, 1, WEEKNUM(EarningsPerDay[[#This Row],[Date]],2))</f>
        <v>4</v>
      </c>
      <c r="H436" s="40" t="str">
        <f t="shared" si="44"/>
        <v>Saturday</v>
      </c>
      <c r="I436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436" s="40" t="str" cm="1">
        <f t="array" ref="J436">IFERROR(VLOOKUP(MODE(IF(Combined[Date]=EarningsPerDay[[#This Row],[Date]],Combined[Area '#])),KPIs!$B$4:$C$7,2,FALSE),VLOOKUP(EarningsPerDay[[#This Row],[Date]],Combined[[Date]:[Primary Area]],8,FALSE))</f>
        <v>Brunswick/Bath/Freeport</v>
      </c>
      <c r="K436" s="40" t="str">
        <f>_xlfn.XLOOKUP(EarningsPerDay[[#This Row],[Date]],Mileage[Date],Mileage[Weather])</f>
        <v>Overcast</v>
      </c>
      <c r="L436" s="4">
        <f>_xlfn.XLOOKUP(EarningsPerDay[[#This Row],[Date]],Mileage[Date],Mileage[Hi Temp])</f>
        <v>34</v>
      </c>
      <c r="M436" s="12">
        <f>_xlfn.XLOOKUP(EarningsPerDay[[#This Row],[Date]],Mileage[Date],Mileage[Total Time])</f>
        <v>4.47</v>
      </c>
      <c r="N436" s="4">
        <f>_xlfn.XLOOKUP(EarningsPerDay[[#This Row],[Date]],Mileage[Date],Mileage[Mileage])</f>
        <v>126</v>
      </c>
      <c r="O436" s="4">
        <f>SUMIF(Combined[Date],EarningsPerDay[[#This Row],[Date]],Combined[Trips])</f>
        <v>8</v>
      </c>
      <c r="P436">
        <f>COUNTIF(Combined[Date],EarningsPerDay[[#This Row],[Date]])</f>
        <v>2</v>
      </c>
      <c r="Q4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36" s="11">
        <f>SUMIF(Combined[Date],EarningsPerDay[[#This Row],[Date]],Combined[Earnings])</f>
        <v>110.72</v>
      </c>
      <c r="S436" s="11">
        <f ca="1">EarningsPerDay[[#This Row],[Gross Earnings]]-(EarningsPerDay[[#This Row],[Miles]]*CpM!$D$11)</f>
        <v>82.625390328836232</v>
      </c>
      <c r="T436" s="11">
        <f t="shared" si="41"/>
        <v>24.769574944071589</v>
      </c>
      <c r="U436" s="11">
        <f t="shared" ca="1" si="42"/>
        <v>18.48442736663003</v>
      </c>
      <c r="V436" s="11">
        <f>EarningsPerDay[[#This Row],[Gross Earnings]]/EarningsPerDay[[#This Row],[Deliveries]]</f>
        <v>13.84</v>
      </c>
      <c r="W436" s="11">
        <f>EarningsPerDay[[#This Row],[Gross Earnings]]/EarningsPerDay[[#This Row],[Miles]]</f>
        <v>0.87873015873015869</v>
      </c>
      <c r="X436" s="71">
        <f>EarningsPerDay[[#This Row],[Deliveries]]/EarningsPerDay[[#This Row],[Hours]]</f>
        <v>1.789709172259508</v>
      </c>
      <c r="Y436" s="71">
        <f>EarningsPerDay[[#This Row],[Miles]]/EarningsPerDay[[#This Row],[Deliveries]]</f>
        <v>15.75</v>
      </c>
      <c r="Z436" s="81">
        <f>(EarningsPerDay[[#This Row],[Hours]]/EarningsPerDay[[#This Row],[Deliveries]])/24</f>
        <v>2.328125E-2</v>
      </c>
      <c r="AA4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-0.69361554557361771</v>
      </c>
      <c r="AB436" s="11">
        <f>AVERAGEIFS(EarningsPerDay[Gross $/Hour],EarningsPerDay[Week '#], EarningsPerDay[[#This Row],[Week '#]], EarningsPerDay[DOW], EarningsPerDay[[#This Row],[DOW]])</f>
        <v>22.487593350400246</v>
      </c>
      <c r="AC436" s="11">
        <f>EarningsPerDay[[#This Row],[Gross $/Hour]] - EarningsPerDay[[#This Row],[Weekly Average Earnings]]</f>
        <v>2.2819815936713432</v>
      </c>
      <c r="AD436" s="11">
        <f>(SUMIFS(EarningsPerDay[Gross Earnings], EarningsPerDay[Date],"&gt;="&amp;EarningsPerDay[[#This Row],[Date]]-89, EarningsPerDay[Date], "&lt;="&amp;EarningsPerDay[[#This Row],[Date]]))/90</f>
        <v>53.912111111111116</v>
      </c>
    </row>
    <row r="437" spans="2:30" x14ac:dyDescent="0.35">
      <c r="B437" s="40">
        <v>45321</v>
      </c>
      <c r="C437" s="40">
        <f t="shared" si="43"/>
        <v>45321</v>
      </c>
      <c r="D437" s="4">
        <f>IF(EarningsPerDay[[#This Row],[Week '#]]&gt;=52,YEAR(EarningsPerDay[[#This Row],[Date]])-1,YEAR(EarningsPerDay[[#This Row],[Date]]))</f>
        <v>2024</v>
      </c>
      <c r="E437" s="4" t="str">
        <f>"QTR"&amp;IF(EarningsPerDay[[#This Row],[Week '#]] &lt;= 13, 1, IF(EarningsPerDay[[#This Row],[Week '#]] &lt;= 26, 2, IF(EarningsPerDay[[#This Row],[Week '#]] &lt;= 39, 3, 4)))</f>
        <v>QTR1</v>
      </c>
      <c r="F4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37" s="4">
        <f>IF(WEEKNUM(EarningsPerDay[[#This Row],[Date]], 2) = 53, 1, WEEKNUM(EarningsPerDay[[#This Row],[Date]],2))</f>
        <v>5</v>
      </c>
      <c r="H437" s="40" t="str">
        <f t="shared" si="44"/>
        <v>Tuesday</v>
      </c>
      <c r="I43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37" s="40" t="str" cm="1">
        <f t="array" ref="J437">IFERROR(VLOOKUP(MODE(IF(Combined[Date]=EarningsPerDay[[#This Row],[Date]],Combined[Area '#])),KPIs!$B$4:$C$7,2,FALSE),VLOOKUP(EarningsPerDay[[#This Row],[Date]],Combined[[Date]:[Primary Area]],8,FALSE))</f>
        <v>Brunswick/Bath/Freeport</v>
      </c>
      <c r="K437" s="40" t="str">
        <f>_xlfn.XLOOKUP(EarningsPerDay[[#This Row],[Date]],Mileage[Date],Mileage[Weather])</f>
        <v>Clear</v>
      </c>
      <c r="L437" s="4">
        <f>_xlfn.XLOOKUP(EarningsPerDay[[#This Row],[Date]],Mileage[Date],Mileage[Hi Temp])</f>
        <v>13</v>
      </c>
      <c r="M437" s="12">
        <f>_xlfn.XLOOKUP(EarningsPerDay[[#This Row],[Date]],Mileage[Date],Mileage[Total Time])</f>
        <v>4.75</v>
      </c>
      <c r="N437" s="4">
        <f>_xlfn.XLOOKUP(EarningsPerDay[[#This Row],[Date]],Mileage[Date],Mileage[Mileage])</f>
        <v>128</v>
      </c>
      <c r="O437" s="4">
        <f>SUMIF(Combined[Date],EarningsPerDay[[#This Row],[Date]],Combined[Trips])</f>
        <v>10</v>
      </c>
      <c r="P437">
        <f>COUNTIF(Combined[Date],EarningsPerDay[[#This Row],[Date]])</f>
        <v>3</v>
      </c>
      <c r="Q4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37" s="11">
        <f>SUMIF(Combined[Date],EarningsPerDay[[#This Row],[Date]],Combined[Earnings])</f>
        <v>171.26999999999998</v>
      </c>
      <c r="S437" s="11">
        <f ca="1">EarningsPerDay[[#This Row],[Gross Earnings]]-(EarningsPerDay[[#This Row],[Miles]]*CpM!$D$11)</f>
        <v>142.72944414357966</v>
      </c>
      <c r="T437" s="11">
        <f t="shared" si="41"/>
        <v>36.056842105263151</v>
      </c>
      <c r="U437" s="11">
        <f t="shared" ca="1" si="42"/>
        <v>30.048304030227296</v>
      </c>
      <c r="V437" s="11">
        <f>EarningsPerDay[[#This Row],[Gross Earnings]]/EarningsPerDay[[#This Row],[Deliveries]]</f>
        <v>17.126999999999999</v>
      </c>
      <c r="W437" s="11">
        <f>EarningsPerDay[[#This Row],[Gross Earnings]]/EarningsPerDay[[#This Row],[Miles]]</f>
        <v>1.3380468749999999</v>
      </c>
      <c r="X437" s="71">
        <f>EarningsPerDay[[#This Row],[Deliveries]]/EarningsPerDay[[#This Row],[Hours]]</f>
        <v>2.1052631578947367</v>
      </c>
      <c r="Y437" s="71">
        <f>EarningsPerDay[[#This Row],[Miles]]/EarningsPerDay[[#This Row],[Deliveries]]</f>
        <v>12.8</v>
      </c>
      <c r="Z437" s="81">
        <f>(EarningsPerDay[[#This Row],[Hours]]/EarningsPerDay[[#This Row],[Deliveries]])/24</f>
        <v>1.9791666666666666E-2</v>
      </c>
      <c r="AA4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8.4560691054012871</v>
      </c>
      <c r="AB437" s="11">
        <f>AVERAGEIFS(EarningsPerDay[Gross $/Hour],EarningsPerDay[Week '#], EarningsPerDay[[#This Row],[Week '#]], EarningsPerDay[DOW], EarningsPerDay[[#This Row],[DOW]])</f>
        <v>27.034416256468504</v>
      </c>
      <c r="AC437" s="11">
        <f>EarningsPerDay[[#This Row],[Gross $/Hour]] - EarningsPerDay[[#This Row],[Weekly Average Earnings]]</f>
        <v>9.0224258487946472</v>
      </c>
      <c r="AD437" s="11">
        <f>(SUMIFS(EarningsPerDay[Gross Earnings], EarningsPerDay[Date],"&gt;="&amp;EarningsPerDay[[#This Row],[Date]]-89, EarningsPerDay[Date], "&lt;="&amp;EarningsPerDay[[#This Row],[Date]]))/90</f>
        <v>52.236888888888906</v>
      </c>
    </row>
    <row r="438" spans="2:30" x14ac:dyDescent="0.35">
      <c r="B438" s="40">
        <v>45322</v>
      </c>
      <c r="C438" s="40">
        <f t="shared" si="43"/>
        <v>45322</v>
      </c>
      <c r="D438" s="4">
        <f>IF(EarningsPerDay[[#This Row],[Week '#]]&gt;=52,YEAR(EarningsPerDay[[#This Row],[Date]])-1,YEAR(EarningsPerDay[[#This Row],[Date]]))</f>
        <v>2024</v>
      </c>
      <c r="E438" s="4" t="str">
        <f>"QTR"&amp;IF(EarningsPerDay[[#This Row],[Week '#]] &lt;= 13, 1, IF(EarningsPerDay[[#This Row],[Week '#]] &lt;= 26, 2, IF(EarningsPerDay[[#This Row],[Week '#]] &lt;= 39, 3, 4)))</f>
        <v>QTR1</v>
      </c>
      <c r="F4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38" s="4">
        <f>IF(WEEKNUM(EarningsPerDay[[#This Row],[Date]], 2) = 53, 1, WEEKNUM(EarningsPerDay[[#This Row],[Date]],2))</f>
        <v>5</v>
      </c>
      <c r="H438" s="40" t="str">
        <f t="shared" si="44"/>
        <v>Wednesday</v>
      </c>
      <c r="I43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8" s="40" t="str" cm="1">
        <f t="array" ref="J438">IFERROR(VLOOKUP(MODE(IF(Combined[Date]=EarningsPerDay[[#This Row],[Date]],Combined[Area '#])),KPIs!$B$4:$C$7,2,FALSE),VLOOKUP(EarningsPerDay[[#This Row],[Date]],Combined[[Date]:[Primary Area]],8,FALSE))</f>
        <v>Augusta</v>
      </c>
      <c r="K438" s="40" t="str">
        <f>_xlfn.XLOOKUP(EarningsPerDay[[#This Row],[Date]],Mileage[Date],Mileage[Weather])</f>
        <v>Overcast</v>
      </c>
      <c r="L438" s="4">
        <f>_xlfn.XLOOKUP(EarningsPerDay[[#This Row],[Date]],Mileage[Date],Mileage[Hi Temp])</f>
        <v>27</v>
      </c>
      <c r="M438" s="12">
        <f>_xlfn.XLOOKUP(EarningsPerDay[[#This Row],[Date]],Mileage[Date],Mileage[Total Time])</f>
        <v>3.57</v>
      </c>
      <c r="N438" s="4">
        <f>_xlfn.XLOOKUP(EarningsPerDay[[#This Row],[Date]],Mileage[Date],Mileage[Mileage])</f>
        <v>96</v>
      </c>
      <c r="O438" s="4">
        <f>SUMIF(Combined[Date],EarningsPerDay[[#This Row],[Date]],Combined[Trips])</f>
        <v>6</v>
      </c>
      <c r="P438">
        <f>COUNTIF(Combined[Date],EarningsPerDay[[#This Row],[Date]])</f>
        <v>3</v>
      </c>
      <c r="Q43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8" s="11">
        <f>SUMIF(Combined[Date],EarningsPerDay[[#This Row],[Date]],Combined[Earnings])</f>
        <v>50.35</v>
      </c>
      <c r="S438" s="11">
        <f ca="1">EarningsPerDay[[#This Row],[Gross Earnings]]-(EarningsPerDay[[#This Row],[Miles]]*CpM!$D$11)</f>
        <v>28.944583107684753</v>
      </c>
      <c r="T438" s="11">
        <f t="shared" si="41"/>
        <v>14.103641456582634</v>
      </c>
      <c r="U438" s="11">
        <f t="shared" ca="1" si="42"/>
        <v>8.1077263606960095</v>
      </c>
      <c r="V438" s="11">
        <f>EarningsPerDay[[#This Row],[Gross Earnings]]/EarningsPerDay[[#This Row],[Deliveries]]</f>
        <v>8.3916666666666675</v>
      </c>
      <c r="W438" s="11">
        <f>EarningsPerDay[[#This Row],[Gross Earnings]]/EarningsPerDay[[#This Row],[Miles]]</f>
        <v>0.52447916666666672</v>
      </c>
      <c r="X438" s="71">
        <f>EarningsPerDay[[#This Row],[Deliveries]]/EarningsPerDay[[#This Row],[Hours]]</f>
        <v>1.680672268907563</v>
      </c>
      <c r="Y438" s="71">
        <f>EarningsPerDay[[#This Row],[Miles]]/EarningsPerDay[[#This Row],[Deliveries]]</f>
        <v>16</v>
      </c>
      <c r="Z438" s="81">
        <f>(EarningsPerDay[[#This Row],[Hours]]/EarningsPerDay[[#This Row],[Deliveries]])/24</f>
        <v>2.4791666666666667E-2</v>
      </c>
      <c r="AA4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-3.2421439840303936</v>
      </c>
      <c r="AB438" s="11">
        <f>AVERAGEIFS(EarningsPerDay[Gross $/Hour],EarningsPerDay[Week '#], EarningsPerDay[[#This Row],[Week '#]], EarningsPerDay[DOW], EarningsPerDay[[#This Row],[DOW]])</f>
        <v>15.690709617180207</v>
      </c>
      <c r="AC438" s="11">
        <f>EarningsPerDay[[#This Row],[Gross $/Hour]] - EarningsPerDay[[#This Row],[Weekly Average Earnings]]</f>
        <v>-1.5870681605975729</v>
      </c>
      <c r="AD438" s="11">
        <f>(SUMIFS(EarningsPerDay[Gross Earnings], EarningsPerDay[Date],"&gt;="&amp;EarningsPerDay[[#This Row],[Date]]-89, EarningsPerDay[Date], "&lt;="&amp;EarningsPerDay[[#This Row],[Date]]))/90</f>
        <v>52.796333333333351</v>
      </c>
    </row>
    <row r="439" spans="2:30" x14ac:dyDescent="0.35">
      <c r="B439" s="40">
        <v>45323</v>
      </c>
      <c r="C439" s="40">
        <f t="shared" si="43"/>
        <v>45323</v>
      </c>
      <c r="D439" s="4">
        <f>IF(EarningsPerDay[[#This Row],[Week '#]]&gt;=52,YEAR(EarningsPerDay[[#This Row],[Date]])-1,YEAR(EarningsPerDay[[#This Row],[Date]]))</f>
        <v>2024</v>
      </c>
      <c r="E439" s="4" t="str">
        <f>"QTR"&amp;IF(EarningsPerDay[[#This Row],[Week '#]] &lt;= 13, 1, IF(EarningsPerDay[[#This Row],[Week '#]] &lt;= 26, 2, IF(EarningsPerDay[[#This Row],[Week '#]] &lt;= 39, 3, 4)))</f>
        <v>QTR1</v>
      </c>
      <c r="F4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39" s="4">
        <f>IF(WEEKNUM(EarningsPerDay[[#This Row],[Date]], 2) = 53, 1, WEEKNUM(EarningsPerDay[[#This Row],[Date]],2))</f>
        <v>5</v>
      </c>
      <c r="H439" s="40" t="str">
        <f t="shared" si="44"/>
        <v>Thursday</v>
      </c>
      <c r="I43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39" s="40" t="str" cm="1">
        <f t="array" ref="J439">IFERROR(VLOOKUP(MODE(IF(Combined[Date]=EarningsPerDay[[#This Row],[Date]],Combined[Area '#])),KPIs!$B$4:$C$7,2,FALSE),VLOOKUP(EarningsPerDay[[#This Row],[Date]],Combined[[Date]:[Primary Area]],8,FALSE))</f>
        <v>Lewiston</v>
      </c>
      <c r="K439" s="40" t="str">
        <f>_xlfn.XLOOKUP(EarningsPerDay[[#This Row],[Date]],Mileage[Date],Mileage[Weather])</f>
        <v>Light Snow</v>
      </c>
      <c r="L439" s="4">
        <f>_xlfn.XLOOKUP(EarningsPerDay[[#This Row],[Date]],Mileage[Date],Mileage[Hi Temp])</f>
        <v>34</v>
      </c>
      <c r="M439" s="12">
        <f>_xlfn.XLOOKUP(EarningsPerDay[[#This Row],[Date]],Mileage[Date],Mileage[Total Time])</f>
        <v>3.23</v>
      </c>
      <c r="N439" s="4">
        <f>_xlfn.XLOOKUP(EarningsPerDay[[#This Row],[Date]],Mileage[Date],Mileage[Mileage])</f>
        <v>71</v>
      </c>
      <c r="O439" s="4">
        <f>SUMIF(Combined[Date],EarningsPerDay[[#This Row],[Date]],Combined[Trips])</f>
        <v>9</v>
      </c>
      <c r="P439">
        <f>COUNTIF(Combined[Date],EarningsPerDay[[#This Row],[Date]])</f>
        <v>2</v>
      </c>
      <c r="Q43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39" s="11">
        <f>SUMIF(Combined[Date],EarningsPerDay[[#This Row],[Date]],Combined[Earnings])</f>
        <v>58.83</v>
      </c>
      <c r="S439" s="11">
        <f ca="1">EarningsPerDay[[#This Row],[Gross Earnings]]-(EarningsPerDay[[#This Row],[Miles]]*CpM!$D$11)</f>
        <v>42.998910423391848</v>
      </c>
      <c r="T439" s="11">
        <f t="shared" si="41"/>
        <v>18.213622291021672</v>
      </c>
      <c r="U439" s="11">
        <f t="shared" ca="1" si="42"/>
        <v>13.312356168232771</v>
      </c>
      <c r="V439" s="11">
        <f>EarningsPerDay[[#This Row],[Gross Earnings]]/EarningsPerDay[[#This Row],[Deliveries]]</f>
        <v>6.5366666666666662</v>
      </c>
      <c r="W439" s="11">
        <f>EarningsPerDay[[#This Row],[Gross Earnings]]/EarningsPerDay[[#This Row],[Miles]]</f>
        <v>0.82859154929577461</v>
      </c>
      <c r="X439" s="71">
        <f>EarningsPerDay[[#This Row],[Deliveries]]/EarningsPerDay[[#This Row],[Hours]]</f>
        <v>2.7863777089783284</v>
      </c>
      <c r="Y439" s="71">
        <f>EarningsPerDay[[#This Row],[Miles]]/EarningsPerDay[[#This Row],[Deliveries]]</f>
        <v>7.8888888888888893</v>
      </c>
      <c r="Z439" s="81">
        <f>(EarningsPerDay[[#This Row],[Hours]]/EarningsPerDay[[#This Row],[Deliveries]])/24</f>
        <v>1.4953703703703703E-2</v>
      </c>
      <c r="AA4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-3.5535609693881973</v>
      </c>
      <c r="AB439" s="11">
        <f>AVERAGEIFS(EarningsPerDay[Gross $/Hour],EarningsPerDay[Week '#], EarningsPerDay[[#This Row],[Week '#]], EarningsPerDay[DOW], EarningsPerDay[[#This Row],[DOW]])</f>
        <v>19.482607323854786</v>
      </c>
      <c r="AC439" s="11">
        <f>EarningsPerDay[[#This Row],[Gross $/Hour]] - EarningsPerDay[[#This Row],[Weekly Average Earnings]]</f>
        <v>-1.2689850328331147</v>
      </c>
      <c r="AD439" s="11">
        <f>(SUMIFS(EarningsPerDay[Gross Earnings], EarningsPerDay[Date],"&gt;="&amp;EarningsPerDay[[#This Row],[Date]]-89, EarningsPerDay[Date], "&lt;="&amp;EarningsPerDay[[#This Row],[Date]]))/90</f>
        <v>52.15922222222224</v>
      </c>
    </row>
    <row r="440" spans="2:30" x14ac:dyDescent="0.35">
      <c r="B440" s="40">
        <v>45324</v>
      </c>
      <c r="C440" s="40">
        <f t="shared" si="43"/>
        <v>45324</v>
      </c>
      <c r="D440" s="4">
        <f>IF(EarningsPerDay[[#This Row],[Week '#]]&gt;=52,YEAR(EarningsPerDay[[#This Row],[Date]])-1,YEAR(EarningsPerDay[[#This Row],[Date]]))</f>
        <v>2024</v>
      </c>
      <c r="E440" s="4" t="str">
        <f>"QTR"&amp;IF(EarningsPerDay[[#This Row],[Week '#]] &lt;= 13, 1, IF(EarningsPerDay[[#This Row],[Week '#]] &lt;= 26, 2, IF(EarningsPerDay[[#This Row],[Week '#]] &lt;= 39, 3, 4)))</f>
        <v>QTR1</v>
      </c>
      <c r="F4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40" s="4">
        <f>IF(WEEKNUM(EarningsPerDay[[#This Row],[Date]], 2) = 53, 1, WEEKNUM(EarningsPerDay[[#This Row],[Date]],2))</f>
        <v>5</v>
      </c>
      <c r="H440" s="40" t="str">
        <f t="shared" si="44"/>
        <v>Friday</v>
      </c>
      <c r="I44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40" s="40" t="str" cm="1">
        <f t="array" ref="J440">IFERROR(VLOOKUP(MODE(IF(Combined[Date]=EarningsPerDay[[#This Row],[Date]],Combined[Area '#])),KPIs!$B$4:$C$7,2,FALSE),VLOOKUP(EarningsPerDay[[#This Row],[Date]],Combined[[Date]:[Primary Area]],8,FALSE))</f>
        <v>Lewiston</v>
      </c>
      <c r="K440" s="40" t="str">
        <f>_xlfn.XLOOKUP(EarningsPerDay[[#This Row],[Date]],Mileage[Date],Mileage[Weather])</f>
        <v>Overcast</v>
      </c>
      <c r="L440" s="4">
        <f>_xlfn.XLOOKUP(EarningsPerDay[[#This Row],[Date]],Mileage[Date],Mileage[Hi Temp])</f>
        <v>36</v>
      </c>
      <c r="M440" s="12">
        <f>_xlfn.XLOOKUP(EarningsPerDay[[#This Row],[Date]],Mileage[Date],Mileage[Total Time])</f>
        <v>5.3</v>
      </c>
      <c r="N440" s="4">
        <f>_xlfn.XLOOKUP(EarningsPerDay[[#This Row],[Date]],Mileage[Date],Mileage[Mileage])</f>
        <v>89</v>
      </c>
      <c r="O440" s="4">
        <f>SUMIF(Combined[Date],EarningsPerDay[[#This Row],[Date]],Combined[Trips])</f>
        <v>12</v>
      </c>
      <c r="P440">
        <f>COUNTIF(Combined[Date],EarningsPerDay[[#This Row],[Date]])</f>
        <v>4</v>
      </c>
      <c r="Q44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40" s="11">
        <f>SUMIF(Combined[Date],EarningsPerDay[[#This Row],[Date]],Combined[Earnings])</f>
        <v>88.64</v>
      </c>
      <c r="S440" s="11">
        <f ca="1">EarningsPerDay[[#This Row],[Gross Earnings]]-(EarningsPerDay[[#This Row],[Miles]]*CpM!$D$11)</f>
        <v>68.795394756082743</v>
      </c>
      <c r="T440" s="11">
        <f t="shared" si="41"/>
        <v>16.724528301886792</v>
      </c>
      <c r="U440" s="11">
        <f t="shared" ca="1" si="42"/>
        <v>12.980263161525047</v>
      </c>
      <c r="V440" s="11">
        <f>EarningsPerDay[[#This Row],[Gross Earnings]]/EarningsPerDay[[#This Row],[Deliveries]]</f>
        <v>7.3866666666666667</v>
      </c>
      <c r="W440" s="11">
        <f>EarningsPerDay[[#This Row],[Gross Earnings]]/EarningsPerDay[[#This Row],[Miles]]</f>
        <v>0.99595505617977531</v>
      </c>
      <c r="X440" s="71">
        <f>EarningsPerDay[[#This Row],[Deliveries]]/EarningsPerDay[[#This Row],[Hours]]</f>
        <v>2.2641509433962264</v>
      </c>
      <c r="Y440" s="71">
        <f>EarningsPerDay[[#This Row],[Miles]]/EarningsPerDay[[#This Row],[Deliveries]]</f>
        <v>7.416666666666667</v>
      </c>
      <c r="Z440" s="81">
        <f>(EarningsPerDay[[#This Row],[Hours]]/EarningsPerDay[[#This Row],[Deliveries]])/24</f>
        <v>1.8402777777777778E-2</v>
      </c>
      <c r="AA4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-3.6289845395482843</v>
      </c>
      <c r="AB440" s="11">
        <f>AVERAGEIFS(EarningsPerDay[Gross $/Hour],EarningsPerDay[Week '#], EarningsPerDay[[#This Row],[Week '#]], EarningsPerDay[DOW], EarningsPerDay[[#This Row],[DOW]])</f>
        <v>15.426890001283532</v>
      </c>
      <c r="AC440" s="11">
        <f>EarningsPerDay[[#This Row],[Gross $/Hour]] - EarningsPerDay[[#This Row],[Weekly Average Earnings]]</f>
        <v>1.2976383006032606</v>
      </c>
      <c r="AD440" s="11">
        <f>(SUMIFS(EarningsPerDay[Gross Earnings], EarningsPerDay[Date],"&gt;="&amp;EarningsPerDay[[#This Row],[Date]]-89, EarningsPerDay[Date], "&lt;="&amp;EarningsPerDay[[#This Row],[Date]]))/90</f>
        <v>53.144111111111137</v>
      </c>
    </row>
    <row r="441" spans="2:30" x14ac:dyDescent="0.35">
      <c r="B441" s="40">
        <v>45327</v>
      </c>
      <c r="C441" s="40">
        <f t="shared" si="43"/>
        <v>45327</v>
      </c>
      <c r="D441" s="4">
        <f>IF(EarningsPerDay[[#This Row],[Week '#]]&gt;=52,YEAR(EarningsPerDay[[#This Row],[Date]])-1,YEAR(EarningsPerDay[[#This Row],[Date]]))</f>
        <v>2024</v>
      </c>
      <c r="E441" s="4" t="str">
        <f>"QTR"&amp;IF(EarningsPerDay[[#This Row],[Week '#]] &lt;= 13, 1, IF(EarningsPerDay[[#This Row],[Week '#]] &lt;= 26, 2, IF(EarningsPerDay[[#This Row],[Week '#]] &lt;= 39, 3, 4)))</f>
        <v>QTR1</v>
      </c>
      <c r="F4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41" s="4">
        <f>IF(WEEKNUM(EarningsPerDay[[#This Row],[Date]], 2) = 53, 1, WEEKNUM(EarningsPerDay[[#This Row],[Date]],2))</f>
        <v>6</v>
      </c>
      <c r="H441" s="40" t="str">
        <f t="shared" si="44"/>
        <v>Monday</v>
      </c>
      <c r="I44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41" s="40" t="str" cm="1">
        <f t="array" ref="J441">IFERROR(VLOOKUP(MODE(IF(Combined[Date]=EarningsPerDay[[#This Row],[Date]],Combined[Area '#])),KPIs!$B$4:$C$7,2,FALSE),VLOOKUP(EarningsPerDay[[#This Row],[Date]],Combined[[Date]:[Primary Area]],8,FALSE))</f>
        <v>Lewiston</v>
      </c>
      <c r="K441" s="40" t="str">
        <f>_xlfn.XLOOKUP(EarningsPerDay[[#This Row],[Date]],Mileage[Date],Mileage[Weather])</f>
        <v>Overcast</v>
      </c>
      <c r="L441" s="4">
        <f>_xlfn.XLOOKUP(EarningsPerDay[[#This Row],[Date]],Mileage[Date],Mileage[Hi Temp])</f>
        <v>30</v>
      </c>
      <c r="M441" s="12">
        <f>_xlfn.XLOOKUP(EarningsPerDay[[#This Row],[Date]],Mileage[Date],Mileage[Total Time])</f>
        <v>2.3199999999999998</v>
      </c>
      <c r="N441" s="4">
        <f>_xlfn.XLOOKUP(EarningsPerDay[[#This Row],[Date]],Mileage[Date],Mileage[Mileage])</f>
        <v>36</v>
      </c>
      <c r="O441" s="4">
        <f>SUMIF(Combined[Date],EarningsPerDay[[#This Row],[Date]],Combined[Trips])</f>
        <v>5</v>
      </c>
      <c r="P441">
        <f>COUNTIF(Combined[Date],EarningsPerDay[[#This Row],[Date]])</f>
        <v>1</v>
      </c>
      <c r="Q44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41" s="11">
        <f>SUMIF(Combined[Date],EarningsPerDay[[#This Row],[Date]],Combined[Earnings])</f>
        <v>39.82</v>
      </c>
      <c r="S441" s="11">
        <f ca="1">EarningsPerDay[[#This Row],[Gross Earnings]]-(EarningsPerDay[[#This Row],[Miles]]*CpM!$D$11)</f>
        <v>31.792968665381782</v>
      </c>
      <c r="T441" s="11">
        <f t="shared" si="41"/>
        <v>17.163793103448278</v>
      </c>
      <c r="U441" s="11">
        <f t="shared" ca="1" si="42"/>
        <v>13.703865804043872</v>
      </c>
      <c r="V441" s="11">
        <f>EarningsPerDay[[#This Row],[Gross Earnings]]/EarningsPerDay[[#This Row],[Deliveries]]</f>
        <v>7.9640000000000004</v>
      </c>
      <c r="W441" s="11">
        <f>EarningsPerDay[[#This Row],[Gross Earnings]]/EarningsPerDay[[#This Row],[Miles]]</f>
        <v>1.106111111111111</v>
      </c>
      <c r="X441" s="71">
        <f>EarningsPerDay[[#This Row],[Deliveries]]/EarningsPerDay[[#This Row],[Hours]]</f>
        <v>2.1551724137931036</v>
      </c>
      <c r="Y441" s="71">
        <f>EarningsPerDay[[#This Row],[Miles]]/EarningsPerDay[[#This Row],[Deliveries]]</f>
        <v>7.2</v>
      </c>
      <c r="Z441" s="81">
        <f>(EarningsPerDay[[#This Row],[Hours]]/EarningsPerDay[[#This Row],[Deliveries]])/24</f>
        <v>1.9333333333333331E-2</v>
      </c>
      <c r="AA4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-1.143899204244029</v>
      </c>
      <c r="AB441" s="11">
        <f>AVERAGEIFS(EarningsPerDay[Gross $/Hour],EarningsPerDay[Week '#], EarningsPerDay[[#This Row],[Week '#]], EarningsPerDay[DOW], EarningsPerDay[[#This Row],[DOW]])</f>
        <v>16.370667853439272</v>
      </c>
      <c r="AC441" s="11">
        <f>EarningsPerDay[[#This Row],[Gross $/Hour]] - EarningsPerDay[[#This Row],[Weekly Average Earnings]]</f>
        <v>0.79312525000900536</v>
      </c>
      <c r="AD441" s="11">
        <f>(SUMIFS(EarningsPerDay[Gross Earnings], EarningsPerDay[Date],"&gt;="&amp;EarningsPerDay[[#This Row],[Date]]-89, EarningsPerDay[Date], "&lt;="&amp;EarningsPerDay[[#This Row],[Date]]))/90</f>
        <v>52.491777777777791</v>
      </c>
    </row>
    <row r="442" spans="2:30" x14ac:dyDescent="0.35">
      <c r="B442" s="40">
        <v>45329</v>
      </c>
      <c r="C442" s="40">
        <f t="shared" si="43"/>
        <v>45329</v>
      </c>
      <c r="D442" s="4">
        <f>IF(EarningsPerDay[[#This Row],[Week '#]]&gt;=52,YEAR(EarningsPerDay[[#This Row],[Date]])-1,YEAR(EarningsPerDay[[#This Row],[Date]]))</f>
        <v>2024</v>
      </c>
      <c r="E442" s="4" t="str">
        <f>"QTR"&amp;IF(EarningsPerDay[[#This Row],[Week '#]] &lt;= 13, 1, IF(EarningsPerDay[[#This Row],[Week '#]] &lt;= 26, 2, IF(EarningsPerDay[[#This Row],[Week '#]] &lt;= 39, 3, 4)))</f>
        <v>QTR1</v>
      </c>
      <c r="F4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42" s="4">
        <f>IF(WEEKNUM(EarningsPerDay[[#This Row],[Date]], 2) = 53, 1, WEEKNUM(EarningsPerDay[[#This Row],[Date]],2))</f>
        <v>6</v>
      </c>
      <c r="H442" s="40" t="str">
        <f t="shared" si="44"/>
        <v>Wednesday</v>
      </c>
      <c r="I44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42" s="40" t="str" cm="1">
        <f t="array" ref="J442">IFERROR(VLOOKUP(MODE(IF(Combined[Date]=EarningsPerDay[[#This Row],[Date]],Combined[Area '#])),KPIs!$B$4:$C$7,2,FALSE),VLOOKUP(EarningsPerDay[[#This Row],[Date]],Combined[[Date]:[Primary Area]],8,FALSE))</f>
        <v>Brunswick/Bath/Freeport</v>
      </c>
      <c r="K442" s="40" t="str">
        <f>_xlfn.XLOOKUP(EarningsPerDay[[#This Row],[Date]],Mileage[Date],Mileage[Weather])</f>
        <v>Clear</v>
      </c>
      <c r="L442" s="4">
        <f>_xlfn.XLOOKUP(EarningsPerDay[[#This Row],[Date]],Mileage[Date],Mileage[Hi Temp])</f>
        <v>32</v>
      </c>
      <c r="M442" s="12">
        <f>_xlfn.XLOOKUP(EarningsPerDay[[#This Row],[Date]],Mileage[Date],Mileage[Total Time])</f>
        <v>2.37</v>
      </c>
      <c r="N442" s="4">
        <f>_xlfn.XLOOKUP(EarningsPerDay[[#This Row],[Date]],Mileage[Date],Mileage[Mileage])</f>
        <v>52</v>
      </c>
      <c r="O442" s="4">
        <f>SUMIF(Combined[Date],EarningsPerDay[[#This Row],[Date]],Combined[Trips])</f>
        <v>5</v>
      </c>
      <c r="P442">
        <f>COUNTIF(Combined[Date],EarningsPerDay[[#This Row],[Date]])</f>
        <v>1</v>
      </c>
      <c r="Q44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42" s="11">
        <f>SUMIF(Combined[Date],EarningsPerDay[[#This Row],[Date]],Combined[Earnings])</f>
        <v>54.54</v>
      </c>
      <c r="S442" s="11">
        <f ca="1">EarningsPerDay[[#This Row],[Gross Earnings]]-(EarningsPerDay[[#This Row],[Miles]]*CpM!$D$11)</f>
        <v>42.945399183329243</v>
      </c>
      <c r="T442" s="11">
        <f t="shared" si="41"/>
        <v>23.0126582278481</v>
      </c>
      <c r="U442" s="11">
        <f t="shared" ca="1" si="42"/>
        <v>18.120421596341451</v>
      </c>
      <c r="V442" s="11">
        <f>EarningsPerDay[[#This Row],[Gross Earnings]]/EarningsPerDay[[#This Row],[Deliveries]]</f>
        <v>10.907999999999999</v>
      </c>
      <c r="W442" s="11">
        <f>EarningsPerDay[[#This Row],[Gross Earnings]]/EarningsPerDay[[#This Row],[Miles]]</f>
        <v>1.0488461538461538</v>
      </c>
      <c r="X442" s="71">
        <f>EarningsPerDay[[#This Row],[Deliveries]]/EarningsPerDay[[#This Row],[Hours]]</f>
        <v>2.109704641350211</v>
      </c>
      <c r="Y442" s="71">
        <f>EarningsPerDay[[#This Row],[Miles]]/EarningsPerDay[[#This Row],[Deliveries]]</f>
        <v>10.4</v>
      </c>
      <c r="Z442" s="81">
        <f>(EarningsPerDay[[#This Row],[Hours]]/EarningsPerDay[[#This Row],[Deliveries]])/24</f>
        <v>1.975E-2</v>
      </c>
      <c r="AA4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-4.8601034601394701</v>
      </c>
      <c r="AB442" s="11">
        <f>AVERAGEIFS(EarningsPerDay[Gross $/Hour],EarningsPerDay[Week '#], EarningsPerDay[[#This Row],[Week '#]], EarningsPerDay[DOW], EarningsPerDay[[#This Row],[DOW]])</f>
        <v>21.938596739633184</v>
      </c>
      <c r="AC442" s="11">
        <f>EarningsPerDay[[#This Row],[Gross $/Hour]] - EarningsPerDay[[#This Row],[Weekly Average Earnings]]</f>
        <v>1.074061488214916</v>
      </c>
      <c r="AD442" s="11">
        <f>(SUMIFS(EarningsPerDay[Gross Earnings], EarningsPerDay[Date],"&gt;="&amp;EarningsPerDay[[#This Row],[Date]]-89, EarningsPerDay[Date], "&lt;="&amp;EarningsPerDay[[#This Row],[Date]]))/90</f>
        <v>51.899333333333338</v>
      </c>
    </row>
    <row r="443" spans="2:30" x14ac:dyDescent="0.35">
      <c r="B443" s="40">
        <v>45330</v>
      </c>
      <c r="C443" s="40">
        <f t="shared" si="43"/>
        <v>45330</v>
      </c>
      <c r="D443" s="4">
        <f>IF(EarningsPerDay[[#This Row],[Week '#]]&gt;=52,YEAR(EarningsPerDay[[#This Row],[Date]])-1,YEAR(EarningsPerDay[[#This Row],[Date]]))</f>
        <v>2024</v>
      </c>
      <c r="E443" s="4" t="str">
        <f>"QTR"&amp;IF(EarningsPerDay[[#This Row],[Week '#]] &lt;= 13, 1, IF(EarningsPerDay[[#This Row],[Week '#]] &lt;= 26, 2, IF(EarningsPerDay[[#This Row],[Week '#]] &lt;= 39, 3, 4)))</f>
        <v>QTR1</v>
      </c>
      <c r="F4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43" s="4">
        <f>IF(WEEKNUM(EarningsPerDay[[#This Row],[Date]], 2) = 53, 1, WEEKNUM(EarningsPerDay[[#This Row],[Date]],2))</f>
        <v>6</v>
      </c>
      <c r="H443" s="40" t="str">
        <f t="shared" si="44"/>
        <v>Thursday</v>
      </c>
      <c r="I44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43" s="40" t="str" cm="1">
        <f t="array" ref="J443">IFERROR(VLOOKUP(MODE(IF(Combined[Date]=EarningsPerDay[[#This Row],[Date]],Combined[Area '#])),KPIs!$B$4:$C$7,2,FALSE),VLOOKUP(EarningsPerDay[[#This Row],[Date]],Combined[[Date]:[Primary Area]],8,FALSE))</f>
        <v>Lewiston</v>
      </c>
      <c r="K443" s="40" t="str">
        <f>_xlfn.XLOOKUP(EarningsPerDay[[#This Row],[Date]],Mileage[Date],Mileage[Weather])</f>
        <v>Clear</v>
      </c>
      <c r="L443" s="4">
        <f>_xlfn.XLOOKUP(EarningsPerDay[[#This Row],[Date]],Mileage[Date],Mileage[Hi Temp])</f>
        <v>36</v>
      </c>
      <c r="M443" s="12">
        <f>_xlfn.XLOOKUP(EarningsPerDay[[#This Row],[Date]],Mileage[Date],Mileage[Total Time])</f>
        <v>5.45</v>
      </c>
      <c r="N443" s="4">
        <f>_xlfn.XLOOKUP(EarningsPerDay[[#This Row],[Date]],Mileage[Date],Mileage[Mileage])</f>
        <v>104</v>
      </c>
      <c r="O443" s="4">
        <f>SUMIF(Combined[Date],EarningsPerDay[[#This Row],[Date]],Combined[Trips])</f>
        <v>13</v>
      </c>
      <c r="P443">
        <f>COUNTIF(Combined[Date],EarningsPerDay[[#This Row],[Date]])</f>
        <v>3</v>
      </c>
      <c r="Q4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3" s="11">
        <f>SUMIF(Combined[Date],EarningsPerDay[[#This Row],[Date]],Combined[Earnings])</f>
        <v>118.72999999999999</v>
      </c>
      <c r="S443" s="11">
        <f ca="1">EarningsPerDay[[#This Row],[Gross Earnings]]-(EarningsPerDay[[#This Row],[Miles]]*CpM!$D$11)</f>
        <v>95.540798366658464</v>
      </c>
      <c r="T443" s="11">
        <f t="shared" si="41"/>
        <v>21.785321100917429</v>
      </c>
      <c r="U443" s="11">
        <f t="shared" ca="1" si="42"/>
        <v>17.530421718652928</v>
      </c>
      <c r="V443" s="11">
        <f>EarningsPerDay[[#This Row],[Gross Earnings]]/EarningsPerDay[[#This Row],[Deliveries]]</f>
        <v>9.1330769230769224</v>
      </c>
      <c r="W443" s="11">
        <f>EarningsPerDay[[#This Row],[Gross Earnings]]/EarningsPerDay[[#This Row],[Miles]]</f>
        <v>1.1416346153846153</v>
      </c>
      <c r="X443" s="71">
        <f>EarningsPerDay[[#This Row],[Deliveries]]/EarningsPerDay[[#This Row],[Hours]]</f>
        <v>2.3853211009174311</v>
      </c>
      <c r="Y443" s="71">
        <f>EarningsPerDay[[#This Row],[Miles]]/EarningsPerDay[[#This Row],[Deliveries]]</f>
        <v>8</v>
      </c>
      <c r="Z443" s="81">
        <f>(EarningsPerDay[[#This Row],[Hours]]/EarningsPerDay[[#This Row],[Deliveries]])/24</f>
        <v>1.7467948717948718E-2</v>
      </c>
      <c r="AA4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0.52578940756301762</v>
      </c>
      <c r="AB443" s="11">
        <f>AVERAGEIFS(EarningsPerDay[Gross $/Hour],EarningsPerDay[Week '#], EarningsPerDay[[#This Row],[Week '#]], EarningsPerDay[DOW], EarningsPerDay[[#This Row],[DOW]])</f>
        <v>20.232614280015955</v>
      </c>
      <c r="AC443" s="11">
        <f>EarningsPerDay[[#This Row],[Gross $/Hour]] - EarningsPerDay[[#This Row],[Weekly Average Earnings]]</f>
        <v>1.5527068209014736</v>
      </c>
      <c r="AD443" s="11">
        <f>(SUMIFS(EarningsPerDay[Gross Earnings], EarningsPerDay[Date],"&gt;="&amp;EarningsPerDay[[#This Row],[Date]]-89, EarningsPerDay[Date], "&lt;="&amp;EarningsPerDay[[#This Row],[Date]]))/90</f>
        <v>51.681222222222218</v>
      </c>
    </row>
    <row r="444" spans="2:30" x14ac:dyDescent="0.35">
      <c r="B444" s="40">
        <v>45331</v>
      </c>
      <c r="C444" s="40">
        <f t="shared" si="43"/>
        <v>45331</v>
      </c>
      <c r="D444" s="4">
        <f>IF(EarningsPerDay[[#This Row],[Week '#]]&gt;=52,YEAR(EarningsPerDay[[#This Row],[Date]])-1,YEAR(EarningsPerDay[[#This Row],[Date]]))</f>
        <v>2024</v>
      </c>
      <c r="E444" s="4" t="str">
        <f>"QTR"&amp;IF(EarningsPerDay[[#This Row],[Week '#]] &lt;= 13, 1, IF(EarningsPerDay[[#This Row],[Week '#]] &lt;= 26, 2, IF(EarningsPerDay[[#This Row],[Week '#]] &lt;= 39, 3, 4)))</f>
        <v>QTR1</v>
      </c>
      <c r="F4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44" s="4">
        <f>IF(WEEKNUM(EarningsPerDay[[#This Row],[Date]], 2) = 53, 1, WEEKNUM(EarningsPerDay[[#This Row],[Date]],2))</f>
        <v>6</v>
      </c>
      <c r="H444" s="40" t="str">
        <f t="shared" si="44"/>
        <v>Friday</v>
      </c>
      <c r="I44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44" s="40" t="str" cm="1">
        <f t="array" ref="J444">IFERROR(VLOOKUP(MODE(IF(Combined[Date]=EarningsPerDay[[#This Row],[Date]],Combined[Area '#])),KPIs!$B$4:$C$7,2,FALSE),VLOOKUP(EarningsPerDay[[#This Row],[Date]],Combined[[Date]:[Primary Area]],8,FALSE))</f>
        <v>Lewiston</v>
      </c>
      <c r="K444" s="40" t="str">
        <f>_xlfn.XLOOKUP(EarningsPerDay[[#This Row],[Date]],Mileage[Date],Mileage[Weather])</f>
        <v>Partially Cloudy</v>
      </c>
      <c r="L444" s="4">
        <f>_xlfn.XLOOKUP(EarningsPerDay[[#This Row],[Date]],Mileage[Date],Mileage[Hi Temp])</f>
        <v>36</v>
      </c>
      <c r="M444" s="12">
        <f>_xlfn.XLOOKUP(EarningsPerDay[[#This Row],[Date]],Mileage[Date],Mileage[Total Time])</f>
        <v>5.83</v>
      </c>
      <c r="N444" s="4">
        <f>_xlfn.XLOOKUP(EarningsPerDay[[#This Row],[Date]],Mileage[Date],Mileage[Mileage])</f>
        <v>117</v>
      </c>
      <c r="O444" s="4">
        <f>SUMIF(Combined[Date],EarningsPerDay[[#This Row],[Date]],Combined[Trips])</f>
        <v>13</v>
      </c>
      <c r="P444">
        <f>COUNTIF(Combined[Date],EarningsPerDay[[#This Row],[Date]])</f>
        <v>3</v>
      </c>
      <c r="Q4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4" s="11">
        <f>SUMIF(Combined[Date],EarningsPerDay[[#This Row],[Date]],Combined[Earnings])</f>
        <v>120.59</v>
      </c>
      <c r="S444" s="11">
        <f ca="1">EarningsPerDay[[#This Row],[Gross Earnings]]-(EarningsPerDay[[#This Row],[Miles]]*CpM!$D$11)</f>
        <v>94.502148162490798</v>
      </c>
      <c r="T444" s="11">
        <f t="shared" si="41"/>
        <v>20.684391080617495</v>
      </c>
      <c r="U444" s="11">
        <f t="shared" ca="1" si="42"/>
        <v>16.209630902657082</v>
      </c>
      <c r="V444" s="11">
        <f>EarningsPerDay[[#This Row],[Gross Earnings]]/EarningsPerDay[[#This Row],[Deliveries]]</f>
        <v>9.2761538461538464</v>
      </c>
      <c r="W444" s="11">
        <f>EarningsPerDay[[#This Row],[Gross Earnings]]/EarningsPerDay[[#This Row],[Miles]]</f>
        <v>1.0306837606837607</v>
      </c>
      <c r="X444" s="71">
        <f>EarningsPerDay[[#This Row],[Deliveries]]/EarningsPerDay[[#This Row],[Hours]]</f>
        <v>2.229845626072041</v>
      </c>
      <c r="Y444" s="71">
        <f>EarningsPerDay[[#This Row],[Miles]]/EarningsPerDay[[#This Row],[Deliveries]]</f>
        <v>9</v>
      </c>
      <c r="Z444" s="81">
        <f>(EarningsPerDay[[#This Row],[Hours]]/EarningsPerDay[[#This Row],[Deliveries]])/24</f>
        <v>1.8685897435897436E-2</v>
      </c>
      <c r="AA4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0.73409874357667348</v>
      </c>
      <c r="AB444" s="11">
        <f>AVERAGEIFS(EarningsPerDay[Gross $/Hour],EarningsPerDay[Week '#], EarningsPerDay[[#This Row],[Week '#]], EarningsPerDay[DOW], EarningsPerDay[[#This Row],[DOW]])</f>
        <v>16.078306651419858</v>
      </c>
      <c r="AC444" s="11">
        <f>EarningsPerDay[[#This Row],[Gross $/Hour]] - EarningsPerDay[[#This Row],[Weekly Average Earnings]]</f>
        <v>4.6060844291976366</v>
      </c>
      <c r="AD444" s="11">
        <f>(SUMIFS(EarningsPerDay[Gross Earnings], EarningsPerDay[Date],"&gt;="&amp;EarningsPerDay[[#This Row],[Date]]-89, EarningsPerDay[Date], "&lt;="&amp;EarningsPerDay[[#This Row],[Date]]))/90</f>
        <v>51.76</v>
      </c>
    </row>
    <row r="445" spans="2:30" x14ac:dyDescent="0.35">
      <c r="B445" s="40">
        <v>45332</v>
      </c>
      <c r="C445" s="40">
        <f t="shared" si="43"/>
        <v>45332</v>
      </c>
      <c r="D445" s="4">
        <f>IF(EarningsPerDay[[#This Row],[Week '#]]&gt;=52,YEAR(EarningsPerDay[[#This Row],[Date]])-1,YEAR(EarningsPerDay[[#This Row],[Date]]))</f>
        <v>2024</v>
      </c>
      <c r="E445" s="4" t="str">
        <f>"QTR"&amp;IF(EarningsPerDay[[#This Row],[Week '#]] &lt;= 13, 1, IF(EarningsPerDay[[#This Row],[Week '#]] &lt;= 26, 2, IF(EarningsPerDay[[#This Row],[Week '#]] &lt;= 39, 3, 4)))</f>
        <v>QTR1</v>
      </c>
      <c r="F4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45" s="4">
        <f>IF(WEEKNUM(EarningsPerDay[[#This Row],[Date]], 2) = 53, 1, WEEKNUM(EarningsPerDay[[#This Row],[Date]],2))</f>
        <v>6</v>
      </c>
      <c r="H445" s="40" t="str">
        <f t="shared" si="44"/>
        <v>Saturday</v>
      </c>
      <c r="I44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45" s="40" t="str" cm="1">
        <f t="array" ref="J445">IFERROR(VLOOKUP(MODE(IF(Combined[Date]=EarningsPerDay[[#This Row],[Date]],Combined[Area '#])),KPIs!$B$4:$C$7,2,FALSE),VLOOKUP(EarningsPerDay[[#This Row],[Date]],Combined[[Date]:[Primary Area]],8,FALSE))</f>
        <v>Brunswick/Bath/Freeport</v>
      </c>
      <c r="K445" s="40" t="str">
        <f>_xlfn.XLOOKUP(EarningsPerDay[[#This Row],[Date]],Mileage[Date],Mileage[Weather])</f>
        <v>Clear</v>
      </c>
      <c r="L445" s="4">
        <f>_xlfn.XLOOKUP(EarningsPerDay[[#This Row],[Date]],Mileage[Date],Mileage[Hi Temp])</f>
        <v>43</v>
      </c>
      <c r="M445" s="12">
        <f>_xlfn.XLOOKUP(EarningsPerDay[[#This Row],[Date]],Mileage[Date],Mileage[Total Time])</f>
        <v>3.13</v>
      </c>
      <c r="N445" s="4">
        <f>_xlfn.XLOOKUP(EarningsPerDay[[#This Row],[Date]],Mileage[Date],Mileage[Mileage])</f>
        <v>62</v>
      </c>
      <c r="O445" s="4">
        <f>SUMIF(Combined[Date],EarningsPerDay[[#This Row],[Date]],Combined[Trips])</f>
        <v>8</v>
      </c>
      <c r="P445">
        <f>COUNTIF(Combined[Date],EarningsPerDay[[#This Row],[Date]])</f>
        <v>2</v>
      </c>
      <c r="Q4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5" s="11">
        <f>SUMIF(Combined[Date],EarningsPerDay[[#This Row],[Date]],Combined[Earnings])</f>
        <v>69.02</v>
      </c>
      <c r="S445" s="11">
        <f ca="1">EarningsPerDay[[#This Row],[Gross Earnings]]-(EarningsPerDay[[#This Row],[Miles]]*CpM!$D$11)</f>
        <v>55.1956682570464</v>
      </c>
      <c r="T445" s="11">
        <f t="shared" si="41"/>
        <v>22.051118210862619</v>
      </c>
      <c r="U445" s="11">
        <f t="shared" ca="1" si="42"/>
        <v>17.634398804168178</v>
      </c>
      <c r="V445" s="11">
        <f>EarningsPerDay[[#This Row],[Gross Earnings]]/EarningsPerDay[[#This Row],[Deliveries]]</f>
        <v>8.6274999999999995</v>
      </c>
      <c r="W445" s="11">
        <f>EarningsPerDay[[#This Row],[Gross Earnings]]/EarningsPerDay[[#This Row],[Miles]]</f>
        <v>1.1132258064516127</v>
      </c>
      <c r="X445" s="71">
        <f>EarningsPerDay[[#This Row],[Deliveries]]/EarningsPerDay[[#This Row],[Hours]]</f>
        <v>2.5559105431309903</v>
      </c>
      <c r="Y445" s="71">
        <f>EarningsPerDay[[#This Row],[Miles]]/EarningsPerDay[[#This Row],[Deliveries]]</f>
        <v>7.75</v>
      </c>
      <c r="Z445" s="81">
        <f>(EarningsPerDay[[#This Row],[Hours]]/EarningsPerDay[[#This Row],[Deliveries]])/24</f>
        <v>1.6302083333333332E-2</v>
      </c>
      <c r="AA4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-3.3658312424110122</v>
      </c>
      <c r="AB445" s="11">
        <f>AVERAGEIFS(EarningsPerDay[Gross $/Hour],EarningsPerDay[Week '#], EarningsPerDay[[#This Row],[Week '#]], EarningsPerDay[DOW], EarningsPerDay[[#This Row],[DOW]])</f>
        <v>22.051118210862619</v>
      </c>
      <c r="AC445" s="11">
        <f>EarningsPerDay[[#This Row],[Gross $/Hour]] - EarningsPerDay[[#This Row],[Weekly Average Earnings]]</f>
        <v>0</v>
      </c>
      <c r="AD445" s="11">
        <f>(SUMIFS(EarningsPerDay[Gross Earnings], EarningsPerDay[Date],"&gt;="&amp;EarningsPerDay[[#This Row],[Date]]-89, EarningsPerDay[Date], "&lt;="&amp;EarningsPerDay[[#This Row],[Date]]))/90</f>
        <v>50.758111111111106</v>
      </c>
    </row>
    <row r="446" spans="2:30" x14ac:dyDescent="0.35">
      <c r="B446" s="40">
        <v>45335</v>
      </c>
      <c r="C446" s="40">
        <f t="shared" si="43"/>
        <v>45335</v>
      </c>
      <c r="D446" s="4">
        <f>IF(EarningsPerDay[[#This Row],[Week '#]]&gt;=52,YEAR(EarningsPerDay[[#This Row],[Date]])-1,YEAR(EarningsPerDay[[#This Row],[Date]]))</f>
        <v>2024</v>
      </c>
      <c r="E446" s="4" t="str">
        <f>"QTR"&amp;IF(EarningsPerDay[[#This Row],[Week '#]] &lt;= 13, 1, IF(EarningsPerDay[[#This Row],[Week '#]] &lt;= 26, 2, IF(EarningsPerDay[[#This Row],[Week '#]] &lt;= 39, 3, 4)))</f>
        <v>QTR1</v>
      </c>
      <c r="F4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46" s="4">
        <f>IF(WEEKNUM(EarningsPerDay[[#This Row],[Date]], 2) = 53, 1, WEEKNUM(EarningsPerDay[[#This Row],[Date]],2))</f>
        <v>7</v>
      </c>
      <c r="H446" s="40" t="str">
        <f t="shared" si="44"/>
        <v>Tuesday</v>
      </c>
      <c r="I44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46" s="40" t="str" cm="1">
        <f t="array" ref="J446">IFERROR(VLOOKUP(MODE(IF(Combined[Date]=EarningsPerDay[[#This Row],[Date]],Combined[Area '#])),KPIs!$B$4:$C$7,2,FALSE),VLOOKUP(EarningsPerDay[[#This Row],[Date]],Combined[[Date]:[Primary Area]],8,FALSE))</f>
        <v>Brunswick/Bath/Freeport</v>
      </c>
      <c r="K446" s="40" t="str">
        <f>_xlfn.XLOOKUP(EarningsPerDay[[#This Row],[Date]],Mileage[Date],Mileage[Weather])</f>
        <v>Clear</v>
      </c>
      <c r="L446" s="4">
        <f>_xlfn.XLOOKUP(EarningsPerDay[[#This Row],[Date]],Mileage[Date],Mileage[Hi Temp])</f>
        <v>30</v>
      </c>
      <c r="M446" s="12">
        <f>_xlfn.XLOOKUP(EarningsPerDay[[#This Row],[Date]],Mileage[Date],Mileage[Total Time])</f>
        <v>4.1500000000000004</v>
      </c>
      <c r="N446" s="4">
        <f>_xlfn.XLOOKUP(EarningsPerDay[[#This Row],[Date]],Mileage[Date],Mileage[Mileage])</f>
        <v>92</v>
      </c>
      <c r="O446" s="4">
        <f>SUMIF(Combined[Date],EarningsPerDay[[#This Row],[Date]],Combined[Trips])</f>
        <v>10</v>
      </c>
      <c r="P446">
        <f>COUNTIF(Combined[Date],EarningsPerDay[[#This Row],[Date]])</f>
        <v>3</v>
      </c>
      <c r="Q4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6" s="11">
        <f>SUMIF(Combined[Date],EarningsPerDay[[#This Row],[Date]],Combined[Earnings])</f>
        <v>100.53999999999999</v>
      </c>
      <c r="S446" s="11">
        <f ca="1">EarningsPerDay[[#This Row],[Gross Earnings]]-(EarningsPerDay[[#This Row],[Miles]]*CpM!$D$11)</f>
        <v>80.026475478197881</v>
      </c>
      <c r="T446" s="11">
        <f t="shared" si="41"/>
        <v>24.226506024096381</v>
      </c>
      <c r="U446" s="11">
        <f t="shared" ca="1" si="42"/>
        <v>19.283488067035631</v>
      </c>
      <c r="V446" s="11">
        <f>EarningsPerDay[[#This Row],[Gross Earnings]]/EarningsPerDay[[#This Row],[Deliveries]]</f>
        <v>10.053999999999998</v>
      </c>
      <c r="W446" s="11">
        <f>EarningsPerDay[[#This Row],[Gross Earnings]]/EarningsPerDay[[#This Row],[Miles]]</f>
        <v>1.0928260869565216</v>
      </c>
      <c r="X446" s="71">
        <f>EarningsPerDay[[#This Row],[Deliveries]]/EarningsPerDay[[#This Row],[Hours]]</f>
        <v>2.4096385542168672</v>
      </c>
      <c r="Y446" s="71">
        <f>EarningsPerDay[[#This Row],[Miles]]/EarningsPerDay[[#This Row],[Deliveries]]</f>
        <v>9.1999999999999993</v>
      </c>
      <c r="Z446" s="81">
        <f>(EarningsPerDay[[#This Row],[Hours]]/EarningsPerDay[[#This Row],[Deliveries]])/24</f>
        <v>1.7291666666666667E-2</v>
      </c>
      <c r="AA4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-4.0247338300271238</v>
      </c>
      <c r="AB446" s="11">
        <f>AVERAGEIFS(EarningsPerDay[Gross $/Hour],EarningsPerDay[Week '#], EarningsPerDay[[#This Row],[Week '#]], EarningsPerDay[DOW], EarningsPerDay[[#This Row],[DOW]])</f>
        <v>27.074867409256267</v>
      </c>
      <c r="AC446" s="11">
        <f>EarningsPerDay[[#This Row],[Gross $/Hour]] - EarningsPerDay[[#This Row],[Weekly Average Earnings]]</f>
        <v>-2.8483613851598868</v>
      </c>
      <c r="AD446" s="11">
        <f>(SUMIFS(EarningsPerDay[Gross Earnings], EarningsPerDay[Date],"&gt;="&amp;EarningsPerDay[[#This Row],[Date]]-89, EarningsPerDay[Date], "&lt;="&amp;EarningsPerDay[[#This Row],[Date]]))/90</f>
        <v>49.367555555555555</v>
      </c>
    </row>
    <row r="447" spans="2:30" x14ac:dyDescent="0.35">
      <c r="B447" s="40">
        <v>45336</v>
      </c>
      <c r="C447" s="40">
        <f t="shared" si="43"/>
        <v>45336</v>
      </c>
      <c r="D447" s="4">
        <f>IF(EarningsPerDay[[#This Row],[Week '#]]&gt;=52,YEAR(EarningsPerDay[[#This Row],[Date]])-1,YEAR(EarningsPerDay[[#This Row],[Date]]))</f>
        <v>2024</v>
      </c>
      <c r="E447" s="4" t="str">
        <f>"QTR"&amp;IF(EarningsPerDay[[#This Row],[Week '#]] &lt;= 13, 1, IF(EarningsPerDay[[#This Row],[Week '#]] &lt;= 26, 2, IF(EarningsPerDay[[#This Row],[Week '#]] &lt;= 39, 3, 4)))</f>
        <v>QTR1</v>
      </c>
      <c r="F4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47" s="4">
        <f>IF(WEEKNUM(EarningsPerDay[[#This Row],[Date]], 2) = 53, 1, WEEKNUM(EarningsPerDay[[#This Row],[Date]],2))</f>
        <v>7</v>
      </c>
      <c r="H447" s="40" t="str">
        <f t="shared" si="44"/>
        <v>Wednesday</v>
      </c>
      <c r="I44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47" s="40" t="str" cm="1">
        <f t="array" ref="J447">IFERROR(VLOOKUP(MODE(IF(Combined[Date]=EarningsPerDay[[#This Row],[Date]],Combined[Area '#])),KPIs!$B$4:$C$7,2,FALSE),VLOOKUP(EarningsPerDay[[#This Row],[Date]],Combined[[Date]:[Primary Area]],8,FALSE))</f>
        <v>Brunswick/Bath/Freeport</v>
      </c>
      <c r="K447" s="40" t="str">
        <f>_xlfn.XLOOKUP(EarningsPerDay[[#This Row],[Date]],Mileage[Date],Mileage[Weather])</f>
        <v>Clear</v>
      </c>
      <c r="L447" s="4">
        <f>_xlfn.XLOOKUP(EarningsPerDay[[#This Row],[Date]],Mileage[Date],Mileage[Hi Temp])</f>
        <v>21</v>
      </c>
      <c r="M447" s="12">
        <f>_xlfn.XLOOKUP(EarningsPerDay[[#This Row],[Date]],Mileage[Date],Mileage[Total Time])</f>
        <v>5.18</v>
      </c>
      <c r="N447" s="4">
        <f>_xlfn.XLOOKUP(EarningsPerDay[[#This Row],[Date]],Mileage[Date],Mileage[Mileage])</f>
        <v>90</v>
      </c>
      <c r="O447" s="4">
        <f>SUMIF(Combined[Date],EarningsPerDay[[#This Row],[Date]],Combined[Trips])</f>
        <v>14</v>
      </c>
      <c r="P447">
        <f>COUNTIF(Combined[Date],EarningsPerDay[[#This Row],[Date]])</f>
        <v>3</v>
      </c>
      <c r="Q4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7" s="11">
        <f>SUMIF(Combined[Date],EarningsPerDay[[#This Row],[Date]],Combined[Earnings])</f>
        <v>192.15</v>
      </c>
      <c r="S447" s="11">
        <f ca="1">EarningsPerDay[[#This Row],[Gross Earnings]]-(EarningsPerDay[[#This Row],[Miles]]*CpM!$D$11)</f>
        <v>172.08242166345445</v>
      </c>
      <c r="T447" s="11">
        <f t="shared" si="41"/>
        <v>37.094594594594597</v>
      </c>
      <c r="U447" s="11">
        <f t="shared" ca="1" si="42"/>
        <v>33.22054472267461</v>
      </c>
      <c r="V447" s="11">
        <f>EarningsPerDay[[#This Row],[Gross Earnings]]/EarningsPerDay[[#This Row],[Deliveries]]</f>
        <v>13.725</v>
      </c>
      <c r="W447" s="11">
        <f>EarningsPerDay[[#This Row],[Gross Earnings]]/EarningsPerDay[[#This Row],[Miles]]</f>
        <v>2.1350000000000002</v>
      </c>
      <c r="X447" s="71">
        <f>EarningsPerDay[[#This Row],[Deliveries]]/EarningsPerDay[[#This Row],[Hours]]</f>
        <v>2.7027027027027026</v>
      </c>
      <c r="Y447" s="71">
        <f>EarningsPerDay[[#This Row],[Miles]]/EarningsPerDay[[#This Row],[Deliveries]]</f>
        <v>6.4285714285714288</v>
      </c>
      <c r="Z447" s="81">
        <f>(EarningsPerDay[[#This Row],[Hours]]/EarningsPerDay[[#This Row],[Deliveries]])/24</f>
        <v>1.5416666666666667E-2</v>
      </c>
      <c r="AA4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9.7618444021780775</v>
      </c>
      <c r="AB447" s="11">
        <f>AVERAGEIFS(EarningsPerDay[Gross $/Hour],EarningsPerDay[Week '#], EarningsPerDay[[#This Row],[Week '#]], EarningsPerDay[DOW], EarningsPerDay[[#This Row],[DOW]])</f>
        <v>30.479921410772477</v>
      </c>
      <c r="AC447" s="11">
        <f>EarningsPerDay[[#This Row],[Gross $/Hour]] - EarningsPerDay[[#This Row],[Weekly Average Earnings]]</f>
        <v>6.61467318382212</v>
      </c>
      <c r="AD447" s="11">
        <f>(SUMIFS(EarningsPerDay[Gross Earnings], EarningsPerDay[Date],"&gt;="&amp;EarningsPerDay[[#This Row],[Date]]-89, EarningsPerDay[Date], "&lt;="&amp;EarningsPerDay[[#This Row],[Date]]))/90</f>
        <v>51.19811111111111</v>
      </c>
    </row>
    <row r="448" spans="2:30" x14ac:dyDescent="0.35">
      <c r="B448" s="40">
        <v>45338</v>
      </c>
      <c r="C448" s="40">
        <f t="shared" si="43"/>
        <v>45338</v>
      </c>
      <c r="D448" s="4">
        <f>IF(EarningsPerDay[[#This Row],[Week '#]]&gt;=52,YEAR(EarningsPerDay[[#This Row],[Date]])-1,YEAR(EarningsPerDay[[#This Row],[Date]]))</f>
        <v>2024</v>
      </c>
      <c r="E448" s="4" t="str">
        <f>"QTR"&amp;IF(EarningsPerDay[[#This Row],[Week '#]] &lt;= 13, 1, IF(EarningsPerDay[[#This Row],[Week '#]] &lt;= 26, 2, IF(EarningsPerDay[[#This Row],[Week '#]] &lt;= 39, 3, 4)))</f>
        <v>QTR1</v>
      </c>
      <c r="F4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48" s="4">
        <f>IF(WEEKNUM(EarningsPerDay[[#This Row],[Date]], 2) = 53, 1, WEEKNUM(EarningsPerDay[[#This Row],[Date]],2))</f>
        <v>7</v>
      </c>
      <c r="H448" s="40" t="str">
        <f t="shared" si="44"/>
        <v>Friday</v>
      </c>
      <c r="I44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48" s="40" t="str" cm="1">
        <f t="array" ref="J448">IFERROR(VLOOKUP(MODE(IF(Combined[Date]=EarningsPerDay[[#This Row],[Date]],Combined[Area '#])),KPIs!$B$4:$C$7,2,FALSE),VLOOKUP(EarningsPerDay[[#This Row],[Date]],Combined[[Date]:[Primary Area]],8,FALSE))</f>
        <v>Lewiston</v>
      </c>
      <c r="K448" s="40" t="str">
        <f>_xlfn.XLOOKUP(EarningsPerDay[[#This Row],[Date]],Mileage[Date],Mileage[Weather])</f>
        <v>Clear</v>
      </c>
      <c r="L448" s="4">
        <f>_xlfn.XLOOKUP(EarningsPerDay[[#This Row],[Date]],Mileage[Date],Mileage[Hi Temp])</f>
        <v>25</v>
      </c>
      <c r="M448" s="12">
        <f>_xlfn.XLOOKUP(EarningsPerDay[[#This Row],[Date]],Mileage[Date],Mileage[Total Time])</f>
        <v>4.4800000000000004</v>
      </c>
      <c r="N448" s="4">
        <f>_xlfn.XLOOKUP(EarningsPerDay[[#This Row],[Date]],Mileage[Date],Mileage[Mileage])</f>
        <v>51</v>
      </c>
      <c r="O448" s="4">
        <f>SUMIF(Combined[Date],EarningsPerDay[[#This Row],[Date]],Combined[Trips])</f>
        <v>15</v>
      </c>
      <c r="P448">
        <f>COUNTIF(Combined[Date],EarningsPerDay[[#This Row],[Date]])</f>
        <v>4</v>
      </c>
      <c r="Q4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8" s="11">
        <f>SUMIF(Combined[Date],EarningsPerDay[[#This Row],[Date]],Combined[Earnings])</f>
        <v>81.539999999999992</v>
      </c>
      <c r="S448" s="11">
        <f ca="1">EarningsPerDay[[#This Row],[Gross Earnings]]-(EarningsPerDay[[#This Row],[Miles]]*CpM!$D$11)</f>
        <v>70.168372275957523</v>
      </c>
      <c r="T448" s="11">
        <f t="shared" si="41"/>
        <v>18.200892857142854</v>
      </c>
      <c r="U448" s="11">
        <f t="shared" ca="1" si="42"/>
        <v>15.662583097311945</v>
      </c>
      <c r="V448" s="11">
        <f>EarningsPerDay[[#This Row],[Gross Earnings]]/EarningsPerDay[[#This Row],[Deliveries]]</f>
        <v>5.4359999999999991</v>
      </c>
      <c r="W448" s="11">
        <f>EarningsPerDay[[#This Row],[Gross Earnings]]/EarningsPerDay[[#This Row],[Miles]]</f>
        <v>1.5988235294117645</v>
      </c>
      <c r="X448" s="71">
        <f>EarningsPerDay[[#This Row],[Deliveries]]/EarningsPerDay[[#This Row],[Hours]]</f>
        <v>3.3482142857142856</v>
      </c>
      <c r="Y448" s="71">
        <f>EarningsPerDay[[#This Row],[Miles]]/EarningsPerDay[[#This Row],[Deliveries]]</f>
        <v>3.4</v>
      </c>
      <c r="Z448" s="81">
        <f>(EarningsPerDay[[#This Row],[Hours]]/EarningsPerDay[[#This Row],[Deliveries]])/24</f>
        <v>1.2444444444444445E-2</v>
      </c>
      <c r="AA4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-1.8228093542556358</v>
      </c>
      <c r="AB448" s="11">
        <f>AVERAGEIFS(EarningsPerDay[Gross $/Hour],EarningsPerDay[Week '#], EarningsPerDay[[#This Row],[Week '#]], EarningsPerDay[DOW], EarningsPerDay[[#This Row],[DOW]])</f>
        <v>19.487580024714472</v>
      </c>
      <c r="AC448" s="11">
        <f>EarningsPerDay[[#This Row],[Gross $/Hour]] - EarningsPerDay[[#This Row],[Weekly Average Earnings]]</f>
        <v>-1.2866871675716176</v>
      </c>
      <c r="AD448" s="11">
        <f>(SUMIFS(EarningsPerDay[Gross Earnings], EarningsPerDay[Date],"&gt;="&amp;EarningsPerDay[[#This Row],[Date]]-89, EarningsPerDay[Date], "&lt;="&amp;EarningsPerDay[[#This Row],[Date]]))/90</f>
        <v>51.917777777777772</v>
      </c>
    </row>
    <row r="449" spans="2:30" x14ac:dyDescent="0.35">
      <c r="B449" s="40">
        <v>45339</v>
      </c>
      <c r="C449" s="40">
        <f t="shared" si="43"/>
        <v>45339</v>
      </c>
      <c r="D449" s="4">
        <f>IF(EarningsPerDay[[#This Row],[Week '#]]&gt;=52,YEAR(EarningsPerDay[[#This Row],[Date]])-1,YEAR(EarningsPerDay[[#This Row],[Date]]))</f>
        <v>2024</v>
      </c>
      <c r="E449" s="4" t="str">
        <f>"QTR"&amp;IF(EarningsPerDay[[#This Row],[Week '#]] &lt;= 13, 1, IF(EarningsPerDay[[#This Row],[Week '#]] &lt;= 26, 2, IF(EarningsPerDay[[#This Row],[Week '#]] &lt;= 39, 3, 4)))</f>
        <v>QTR1</v>
      </c>
      <c r="F4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49" s="4">
        <f>IF(WEEKNUM(EarningsPerDay[[#This Row],[Date]], 2) = 53, 1, WEEKNUM(EarningsPerDay[[#This Row],[Date]],2))</f>
        <v>7</v>
      </c>
      <c r="H449" s="40" t="str">
        <f t="shared" si="44"/>
        <v>Saturday</v>
      </c>
      <c r="I449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449" s="40" t="str" cm="1">
        <f t="array" ref="J449">IFERROR(VLOOKUP(MODE(IF(Combined[Date]=EarningsPerDay[[#This Row],[Date]],Combined[Area '#])),KPIs!$B$4:$C$7,2,FALSE),VLOOKUP(EarningsPerDay[[#This Row],[Date]],Combined[[Date]:[Primary Area]],8,FALSE))</f>
        <v>Brunswick/Bath/Freeport</v>
      </c>
      <c r="K449" s="40" t="str">
        <f>_xlfn.XLOOKUP(EarningsPerDay[[#This Row],[Date]],Mileage[Date],Mileage[Weather])</f>
        <v>Freezing Rain / Ice</v>
      </c>
      <c r="L449" s="4">
        <f>_xlfn.XLOOKUP(EarningsPerDay[[#This Row],[Date]],Mileage[Date],Mileage[Hi Temp])</f>
        <v>21</v>
      </c>
      <c r="M449" s="12">
        <f>_xlfn.XLOOKUP(EarningsPerDay[[#This Row],[Date]],Mileage[Date],Mileage[Total Time])</f>
        <v>4.88</v>
      </c>
      <c r="N449" s="4">
        <f>_xlfn.XLOOKUP(EarningsPerDay[[#This Row],[Date]],Mileage[Date],Mileage[Mileage])</f>
        <v>120</v>
      </c>
      <c r="O449" s="4">
        <f>SUMIF(Combined[Date],EarningsPerDay[[#This Row],[Date]],Combined[Trips])</f>
        <v>11</v>
      </c>
      <c r="P449">
        <f>COUNTIF(Combined[Date],EarningsPerDay[[#This Row],[Date]])</f>
        <v>3</v>
      </c>
      <c r="Q4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49" s="11">
        <f>SUMIF(Combined[Date],EarningsPerDay[[#This Row],[Date]],Combined[Earnings])</f>
        <v>132.19</v>
      </c>
      <c r="S449" s="11">
        <f ca="1">EarningsPerDay[[#This Row],[Gross Earnings]]-(EarningsPerDay[[#This Row],[Miles]]*CpM!$D$11)</f>
        <v>105.43322888460594</v>
      </c>
      <c r="T449" s="11">
        <f t="shared" si="41"/>
        <v>27.08811475409836</v>
      </c>
      <c r="U449" s="11">
        <f t="shared" ca="1" si="42"/>
        <v>21.605169853402856</v>
      </c>
      <c r="V449" s="11">
        <f>EarningsPerDay[[#This Row],[Gross Earnings]]/EarningsPerDay[[#This Row],[Deliveries]]</f>
        <v>12.017272727272728</v>
      </c>
      <c r="W449" s="11">
        <f>EarningsPerDay[[#This Row],[Gross Earnings]]/EarningsPerDay[[#This Row],[Miles]]</f>
        <v>1.1015833333333334</v>
      </c>
      <c r="X449" s="71">
        <f>EarningsPerDay[[#This Row],[Deliveries]]/EarningsPerDay[[#This Row],[Hours]]</f>
        <v>2.2540983606557377</v>
      </c>
      <c r="Y449" s="71">
        <f>EarningsPerDay[[#This Row],[Miles]]/EarningsPerDay[[#This Row],[Deliveries]]</f>
        <v>10.909090909090908</v>
      </c>
      <c r="Z449" s="81">
        <f>(EarningsPerDay[[#This Row],[Hours]]/EarningsPerDay[[#This Row],[Deliveries]])/24</f>
        <v>1.8484848484848482E-2</v>
      </c>
      <c r="AA4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1.8815297534754158</v>
      </c>
      <c r="AB449" s="11">
        <f>AVERAGEIFS(EarningsPerDay[Gross $/Hour],EarningsPerDay[Week '#], EarningsPerDay[[#This Row],[Week '#]], EarningsPerDay[DOW], EarningsPerDay[[#This Row],[DOW]])</f>
        <v>22.316988072985641</v>
      </c>
      <c r="AC449" s="11">
        <f>EarningsPerDay[[#This Row],[Gross $/Hour]] - EarningsPerDay[[#This Row],[Weekly Average Earnings]]</f>
        <v>4.7711266811127189</v>
      </c>
      <c r="AD449" s="11">
        <f>(SUMIFS(EarningsPerDay[Gross Earnings], EarningsPerDay[Date],"&gt;="&amp;EarningsPerDay[[#This Row],[Date]]-89, EarningsPerDay[Date], "&lt;="&amp;EarningsPerDay[[#This Row],[Date]]))/90</f>
        <v>53.386555555555546</v>
      </c>
    </row>
    <row r="450" spans="2:30" x14ac:dyDescent="0.35">
      <c r="B450" s="40">
        <v>45340</v>
      </c>
      <c r="C450" s="40">
        <f t="shared" si="43"/>
        <v>45340</v>
      </c>
      <c r="D450" s="4">
        <f>IF(EarningsPerDay[[#This Row],[Week '#]]&gt;=52,YEAR(EarningsPerDay[[#This Row],[Date]])-1,YEAR(EarningsPerDay[[#This Row],[Date]]))</f>
        <v>2024</v>
      </c>
      <c r="E450" s="4" t="str">
        <f>"QTR"&amp;IF(EarningsPerDay[[#This Row],[Week '#]] &lt;= 13, 1, IF(EarningsPerDay[[#This Row],[Week '#]] &lt;= 26, 2, IF(EarningsPerDay[[#This Row],[Week '#]] &lt;= 39, 3, 4)))</f>
        <v>QTR1</v>
      </c>
      <c r="F4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450" s="4">
        <f>IF(WEEKNUM(EarningsPerDay[[#This Row],[Date]], 2) = 53, 1, WEEKNUM(EarningsPerDay[[#This Row],[Date]],2))</f>
        <v>7</v>
      </c>
      <c r="H450" s="40" t="str">
        <f t="shared" si="44"/>
        <v>Sunday</v>
      </c>
      <c r="I450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450" s="40" t="str" cm="1">
        <f t="array" ref="J450">IFERROR(VLOOKUP(MODE(IF(Combined[Date]=EarningsPerDay[[#This Row],[Date]],Combined[Area '#])),KPIs!$B$4:$C$7,2,FALSE),VLOOKUP(EarningsPerDay[[#This Row],[Date]],Combined[[Date]:[Primary Area]],8,FALSE))</f>
        <v>Augusta</v>
      </c>
      <c r="K450" s="40" t="str">
        <f>_xlfn.XLOOKUP(EarningsPerDay[[#This Row],[Date]],Mileage[Date],Mileage[Weather])</f>
        <v>Sunny</v>
      </c>
      <c r="L450" s="4">
        <f>_xlfn.XLOOKUP(EarningsPerDay[[#This Row],[Date]],Mileage[Date],Mileage[Hi Temp])</f>
        <v>30</v>
      </c>
      <c r="M450" s="12">
        <f>_xlfn.XLOOKUP(EarningsPerDay[[#This Row],[Date]],Mileage[Date],Mileage[Total Time])</f>
        <v>3.02</v>
      </c>
      <c r="N450" s="4">
        <f>_xlfn.XLOOKUP(EarningsPerDay[[#This Row],[Date]],Mileage[Date],Mileage[Mileage])</f>
        <v>83</v>
      </c>
      <c r="O450" s="4">
        <f>SUMIF(Combined[Date],EarningsPerDay[[#This Row],[Date]],Combined[Trips])</f>
        <v>6</v>
      </c>
      <c r="P450">
        <f>COUNTIF(Combined[Date],EarningsPerDay[[#This Row],[Date]])</f>
        <v>1</v>
      </c>
      <c r="Q45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50" s="11">
        <f>SUMIF(Combined[Date],EarningsPerDay[[#This Row],[Date]],Combined[Earnings])</f>
        <v>52.45</v>
      </c>
      <c r="S450" s="11">
        <f ca="1">EarningsPerDay[[#This Row],[Gross Earnings]]-(EarningsPerDay[[#This Row],[Miles]]*CpM!$D$11)</f>
        <v>33.943233311852445</v>
      </c>
      <c r="T450" s="11">
        <f t="shared" si="41"/>
        <v>17.367549668874172</v>
      </c>
      <c r="U450" s="11">
        <f t="shared" ca="1" si="42"/>
        <v>11.239481229090213</v>
      </c>
      <c r="V450" s="11">
        <f>EarningsPerDay[[#This Row],[Gross Earnings]]/EarningsPerDay[[#This Row],[Deliveries]]</f>
        <v>8.7416666666666671</v>
      </c>
      <c r="W450" s="11">
        <f>EarningsPerDay[[#This Row],[Gross Earnings]]/EarningsPerDay[[#This Row],[Miles]]</f>
        <v>0.63192771084337351</v>
      </c>
      <c r="X450" s="71">
        <f>EarningsPerDay[[#This Row],[Deliveries]]/EarningsPerDay[[#This Row],[Hours]]</f>
        <v>1.9867549668874172</v>
      </c>
      <c r="Y450" s="71">
        <f>EarningsPerDay[[#This Row],[Miles]]/EarningsPerDay[[#This Row],[Deliveries]]</f>
        <v>13.833333333333334</v>
      </c>
      <c r="Z450" s="81">
        <f>(EarningsPerDay[[#This Row],[Hours]]/EarningsPerDay[[#This Row],[Deliveries]])/24</f>
        <v>2.0972222222222222E-2</v>
      </c>
      <c r="AA4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3.4896322541524505</v>
      </c>
      <c r="AB450" s="11">
        <f>AVERAGEIFS(EarningsPerDay[Gross $/Hour],EarningsPerDay[Week '#], EarningsPerDay[[#This Row],[Week '#]], EarningsPerDay[DOW], EarningsPerDay[[#This Row],[DOW]])</f>
        <v>22.500463167053098</v>
      </c>
      <c r="AC450" s="11">
        <f>EarningsPerDay[[#This Row],[Gross $/Hour]] - EarningsPerDay[[#This Row],[Weekly Average Earnings]]</f>
        <v>-5.1329134981789259</v>
      </c>
      <c r="AD450" s="11">
        <f>(SUMIFS(EarningsPerDay[Gross Earnings], EarningsPerDay[Date],"&gt;="&amp;EarningsPerDay[[#This Row],[Date]]-89, EarningsPerDay[Date], "&lt;="&amp;EarningsPerDay[[#This Row],[Date]]))/90</f>
        <v>52.709222222222209</v>
      </c>
    </row>
    <row r="451" spans="2:30" x14ac:dyDescent="0.35">
      <c r="B451" s="40">
        <v>45341</v>
      </c>
      <c r="C451" s="40">
        <f t="shared" si="43"/>
        <v>45341</v>
      </c>
      <c r="D451" s="4">
        <f>IF(EarningsPerDay[[#This Row],[Week '#]]&gt;=52,YEAR(EarningsPerDay[[#This Row],[Date]])-1,YEAR(EarningsPerDay[[#This Row],[Date]]))</f>
        <v>2024</v>
      </c>
      <c r="E451" s="4" t="str">
        <f>"QTR"&amp;IF(EarningsPerDay[[#This Row],[Week '#]] &lt;= 13, 1, IF(EarningsPerDay[[#This Row],[Week '#]] &lt;= 26, 2, IF(EarningsPerDay[[#This Row],[Week '#]] &lt;= 39, 3, 4)))</f>
        <v>QTR1</v>
      </c>
      <c r="F4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1" s="4">
        <f>IF(WEEKNUM(EarningsPerDay[[#This Row],[Date]], 2) = 53, 1, WEEKNUM(EarningsPerDay[[#This Row],[Date]],2))</f>
        <v>8</v>
      </c>
      <c r="H451" s="40" t="str">
        <f t="shared" si="44"/>
        <v>Monday</v>
      </c>
      <c r="I45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51" s="40" t="str" cm="1">
        <f t="array" ref="J451">IFERROR(VLOOKUP(MODE(IF(Combined[Date]=EarningsPerDay[[#This Row],[Date]],Combined[Area '#])),KPIs!$B$4:$C$7,2,FALSE),VLOOKUP(EarningsPerDay[[#This Row],[Date]],Combined[[Date]:[Primary Area]],8,FALSE))</f>
        <v>Brunswick/Bath/Freeport</v>
      </c>
      <c r="K451" s="40" t="str">
        <f>_xlfn.XLOOKUP(EarningsPerDay[[#This Row],[Date]],Mileage[Date],Mileage[Weather])</f>
        <v>Clear</v>
      </c>
      <c r="L451" s="4">
        <f>_xlfn.XLOOKUP(EarningsPerDay[[#This Row],[Date]],Mileage[Date],Mileage[Hi Temp])</f>
        <v>19</v>
      </c>
      <c r="M451" s="12">
        <f>_xlfn.XLOOKUP(EarningsPerDay[[#This Row],[Date]],Mileage[Date],Mileage[Total Time])</f>
        <v>4.18</v>
      </c>
      <c r="N451" s="4">
        <f>_xlfn.XLOOKUP(EarningsPerDay[[#This Row],[Date]],Mileage[Date],Mileage[Mileage])</f>
        <v>98</v>
      </c>
      <c r="O451" s="4">
        <f>SUMIF(Combined[Date],EarningsPerDay[[#This Row],[Date]],Combined[Trips])</f>
        <v>10</v>
      </c>
      <c r="P451">
        <f>COUNTIF(Combined[Date],EarningsPerDay[[#This Row],[Date]])</f>
        <v>3</v>
      </c>
      <c r="Q4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1" s="11">
        <f>SUMIF(Combined[Date],EarningsPerDay[[#This Row],[Date]],Combined[Earnings])</f>
        <v>112.49000000000001</v>
      </c>
      <c r="S451" s="11">
        <f ca="1">EarningsPerDay[[#This Row],[Gross Earnings]]-(EarningsPerDay[[#This Row],[Miles]]*CpM!$D$11)</f>
        <v>90.638636922428191</v>
      </c>
      <c r="T451" s="11">
        <f t="shared" ref="T451:T514" si="45">R451/M451</f>
        <v>26.911483253588521</v>
      </c>
      <c r="U451" s="11">
        <f t="shared" ref="U451:U514" ca="1" si="46">S451/M451</f>
        <v>21.68388443120292</v>
      </c>
      <c r="V451" s="11">
        <f>EarningsPerDay[[#This Row],[Gross Earnings]]/EarningsPerDay[[#This Row],[Deliveries]]</f>
        <v>11.249000000000001</v>
      </c>
      <c r="W451" s="11">
        <f>EarningsPerDay[[#This Row],[Gross Earnings]]/EarningsPerDay[[#This Row],[Miles]]</f>
        <v>1.1478571428571429</v>
      </c>
      <c r="X451" s="71">
        <f>EarningsPerDay[[#This Row],[Deliveries]]/EarningsPerDay[[#This Row],[Hours]]</f>
        <v>2.3923444976076556</v>
      </c>
      <c r="Y451" s="71">
        <f>EarningsPerDay[[#This Row],[Miles]]/EarningsPerDay[[#This Row],[Deliveries]]</f>
        <v>9.8000000000000007</v>
      </c>
      <c r="Z451" s="81">
        <f>(EarningsPerDay[[#This Row],[Hours]]/EarningsPerDay[[#This Row],[Deliveries]])/24</f>
        <v>1.7416666666666667E-2</v>
      </c>
      <c r="AA4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1.5692813113902346</v>
      </c>
      <c r="AB451" s="11">
        <f>AVERAGEIFS(EarningsPerDay[Gross $/Hour],EarningsPerDay[Week '#], EarningsPerDay[[#This Row],[Week '#]], EarningsPerDay[DOW], EarningsPerDay[[#This Row],[DOW]])</f>
        <v>27.049491626794261</v>
      </c>
      <c r="AC451" s="11">
        <f>EarningsPerDay[[#This Row],[Gross $/Hour]] - EarningsPerDay[[#This Row],[Weekly Average Earnings]]</f>
        <v>-0.13800837320573933</v>
      </c>
      <c r="AD451" s="11">
        <f>(SUMIFS(EarningsPerDay[Gross Earnings], EarningsPerDay[Date],"&gt;="&amp;EarningsPerDay[[#This Row],[Date]]-89, EarningsPerDay[Date], "&lt;="&amp;EarningsPerDay[[#This Row],[Date]]))/90</f>
        <v>53.142444444444429</v>
      </c>
    </row>
    <row r="452" spans="2:30" x14ac:dyDescent="0.35">
      <c r="B452" s="40">
        <v>45342</v>
      </c>
      <c r="C452" s="40">
        <f t="shared" si="43"/>
        <v>45342</v>
      </c>
      <c r="D452" s="4">
        <f>IF(EarningsPerDay[[#This Row],[Week '#]]&gt;=52,YEAR(EarningsPerDay[[#This Row],[Date]])-1,YEAR(EarningsPerDay[[#This Row],[Date]]))</f>
        <v>2024</v>
      </c>
      <c r="E452" s="4" t="str">
        <f>"QTR"&amp;IF(EarningsPerDay[[#This Row],[Week '#]] &lt;= 13, 1, IF(EarningsPerDay[[#This Row],[Week '#]] &lt;= 26, 2, IF(EarningsPerDay[[#This Row],[Week '#]] &lt;= 39, 3, 4)))</f>
        <v>QTR1</v>
      </c>
      <c r="F4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2" s="4">
        <f>IF(WEEKNUM(EarningsPerDay[[#This Row],[Date]], 2) = 53, 1, WEEKNUM(EarningsPerDay[[#This Row],[Date]],2))</f>
        <v>8</v>
      </c>
      <c r="H452" s="40" t="str">
        <f t="shared" si="44"/>
        <v>Tuesday</v>
      </c>
      <c r="I45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52" s="40" t="str" cm="1">
        <f t="array" ref="J452">IFERROR(VLOOKUP(MODE(IF(Combined[Date]=EarningsPerDay[[#This Row],[Date]],Combined[Area '#])),KPIs!$B$4:$C$7,2,FALSE),VLOOKUP(EarningsPerDay[[#This Row],[Date]],Combined[[Date]:[Primary Area]],8,FALSE))</f>
        <v>Lewiston</v>
      </c>
      <c r="K452" s="40" t="str">
        <f>_xlfn.XLOOKUP(EarningsPerDay[[#This Row],[Date]],Mileage[Date],Mileage[Weather])</f>
        <v>Clear</v>
      </c>
      <c r="L452" s="4">
        <f>_xlfn.XLOOKUP(EarningsPerDay[[#This Row],[Date]],Mileage[Date],Mileage[Hi Temp])</f>
        <v>27</v>
      </c>
      <c r="M452" s="12">
        <f>_xlfn.XLOOKUP(EarningsPerDay[[#This Row],[Date]],Mileage[Date],Mileage[Total Time])</f>
        <v>2.4500000000000002</v>
      </c>
      <c r="N452" s="4">
        <f>_xlfn.XLOOKUP(EarningsPerDay[[#This Row],[Date]],Mileage[Date],Mileage[Mileage])</f>
        <v>45</v>
      </c>
      <c r="O452" s="4">
        <f>SUMIF(Combined[Date],EarningsPerDay[[#This Row],[Date]],Combined[Trips])</f>
        <v>6</v>
      </c>
      <c r="P452">
        <f>COUNTIF(Combined[Date],EarningsPerDay[[#This Row],[Date]])</f>
        <v>2</v>
      </c>
      <c r="Q45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52" s="11">
        <f>SUMIF(Combined[Date],EarningsPerDay[[#This Row],[Date]],Combined[Earnings])</f>
        <v>39.32</v>
      </c>
      <c r="S452" s="11">
        <f ca="1">EarningsPerDay[[#This Row],[Gross Earnings]]-(EarningsPerDay[[#This Row],[Miles]]*CpM!$D$11)</f>
        <v>29.286210831727228</v>
      </c>
      <c r="T452" s="11">
        <f t="shared" si="45"/>
        <v>16.048979591836734</v>
      </c>
      <c r="U452" s="11">
        <f t="shared" ca="1" si="46"/>
        <v>11.953555441521317</v>
      </c>
      <c r="V452" s="11">
        <f>EarningsPerDay[[#This Row],[Gross Earnings]]/EarningsPerDay[[#This Row],[Deliveries]]</f>
        <v>6.5533333333333337</v>
      </c>
      <c r="W452" s="11">
        <f>EarningsPerDay[[#This Row],[Gross Earnings]]/EarningsPerDay[[#This Row],[Miles]]</f>
        <v>0.87377777777777776</v>
      </c>
      <c r="X452" s="71">
        <f>EarningsPerDay[[#This Row],[Deliveries]]/EarningsPerDay[[#This Row],[Hours]]</f>
        <v>2.4489795918367343</v>
      </c>
      <c r="Y452" s="71">
        <f>EarningsPerDay[[#This Row],[Miles]]/EarningsPerDay[[#This Row],[Deliveries]]</f>
        <v>7.5</v>
      </c>
      <c r="Z452" s="81">
        <f>(EarningsPerDay[[#This Row],[Hours]]/EarningsPerDay[[#This Row],[Deliveries]])/24</f>
        <v>1.7013888888888891E-2</v>
      </c>
      <c r="AA4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-5.5046139645449301</v>
      </c>
      <c r="AB452" s="11">
        <f>AVERAGEIFS(EarningsPerDay[Gross $/Hour],EarningsPerDay[Week '#], EarningsPerDay[[#This Row],[Week '#]], EarningsPerDay[DOW], EarningsPerDay[[#This Row],[DOW]])</f>
        <v>25.107199243055533</v>
      </c>
      <c r="AC452" s="11">
        <f>EarningsPerDay[[#This Row],[Gross $/Hour]] - EarningsPerDay[[#This Row],[Weekly Average Earnings]]</f>
        <v>-9.0582196512187991</v>
      </c>
      <c r="AD452" s="11">
        <f>(SUMIFS(EarningsPerDay[Gross Earnings], EarningsPerDay[Date],"&gt;="&amp;EarningsPerDay[[#This Row],[Date]]-89, EarningsPerDay[Date], "&lt;="&amp;EarningsPerDay[[#This Row],[Date]]))/90</f>
        <v>53.22177777777776</v>
      </c>
    </row>
    <row r="453" spans="2:30" x14ac:dyDescent="0.35">
      <c r="B453" s="40">
        <v>45343</v>
      </c>
      <c r="C453" s="40">
        <f t="shared" si="43"/>
        <v>45343</v>
      </c>
      <c r="D453" s="4">
        <f>IF(EarningsPerDay[[#This Row],[Week '#]]&gt;=52,YEAR(EarningsPerDay[[#This Row],[Date]])-1,YEAR(EarningsPerDay[[#This Row],[Date]]))</f>
        <v>2024</v>
      </c>
      <c r="E453" s="4" t="str">
        <f>"QTR"&amp;IF(EarningsPerDay[[#This Row],[Week '#]] &lt;= 13, 1, IF(EarningsPerDay[[#This Row],[Week '#]] &lt;= 26, 2, IF(EarningsPerDay[[#This Row],[Week '#]] &lt;= 39, 3, 4)))</f>
        <v>QTR1</v>
      </c>
      <c r="F4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3" s="4">
        <f>IF(WEEKNUM(EarningsPerDay[[#This Row],[Date]], 2) = 53, 1, WEEKNUM(EarningsPerDay[[#This Row],[Date]],2))</f>
        <v>8</v>
      </c>
      <c r="H453" s="40" t="str">
        <f t="shared" si="44"/>
        <v>Wednesday</v>
      </c>
      <c r="I45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53" s="40" t="str" cm="1">
        <f t="array" ref="J453">IFERROR(VLOOKUP(MODE(IF(Combined[Date]=EarningsPerDay[[#This Row],[Date]],Combined[Area '#])),KPIs!$B$4:$C$7,2,FALSE),VLOOKUP(EarningsPerDay[[#This Row],[Date]],Combined[[Date]:[Primary Area]],8,FALSE))</f>
        <v>Lewiston</v>
      </c>
      <c r="K453" s="40" t="str">
        <f>_xlfn.XLOOKUP(EarningsPerDay[[#This Row],[Date]],Mileage[Date],Mileage[Weather])</f>
        <v>Clear</v>
      </c>
      <c r="L453" s="4">
        <f>_xlfn.XLOOKUP(EarningsPerDay[[#This Row],[Date]],Mileage[Date],Mileage[Hi Temp])</f>
        <v>30</v>
      </c>
      <c r="M453" s="12">
        <f>_xlfn.XLOOKUP(EarningsPerDay[[#This Row],[Date]],Mileage[Date],Mileage[Total Time])</f>
        <v>2.98</v>
      </c>
      <c r="N453" s="4">
        <f>_xlfn.XLOOKUP(EarningsPerDay[[#This Row],[Date]],Mileage[Date],Mileage[Mileage])</f>
        <v>66</v>
      </c>
      <c r="O453" s="4">
        <f>SUMIF(Combined[Date],EarningsPerDay[[#This Row],[Date]],Combined[Trips])</f>
        <v>5</v>
      </c>
      <c r="P453">
        <f>COUNTIF(Combined[Date],EarningsPerDay[[#This Row],[Date]])</f>
        <v>2</v>
      </c>
      <c r="Q45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53" s="11">
        <f>SUMIF(Combined[Date],EarningsPerDay[[#This Row],[Date]],Combined[Earnings])</f>
        <v>37.660000000000004</v>
      </c>
      <c r="S453" s="11">
        <f ca="1">EarningsPerDay[[#This Row],[Gross Earnings]]-(EarningsPerDay[[#This Row],[Miles]]*CpM!$D$11)</f>
        <v>22.94377588653327</v>
      </c>
      <c r="T453" s="11">
        <f t="shared" si="45"/>
        <v>12.637583892617451</v>
      </c>
      <c r="U453" s="11">
        <f t="shared" ca="1" si="46"/>
        <v>7.6992536531990838</v>
      </c>
      <c r="V453" s="11">
        <f>EarningsPerDay[[#This Row],[Gross Earnings]]/EarningsPerDay[[#This Row],[Deliveries]]</f>
        <v>7.5320000000000009</v>
      </c>
      <c r="W453" s="11">
        <f>EarningsPerDay[[#This Row],[Gross Earnings]]/EarningsPerDay[[#This Row],[Miles]]</f>
        <v>0.57060606060606067</v>
      </c>
      <c r="X453" s="71">
        <f>EarningsPerDay[[#This Row],[Deliveries]]/EarningsPerDay[[#This Row],[Hours]]</f>
        <v>1.6778523489932886</v>
      </c>
      <c r="Y453" s="71">
        <f>EarningsPerDay[[#This Row],[Miles]]/EarningsPerDay[[#This Row],[Deliveries]]</f>
        <v>13.2</v>
      </c>
      <c r="Z453" s="81">
        <f>(EarningsPerDay[[#This Row],[Hours]]/EarningsPerDay[[#This Row],[Deliveries]])/24</f>
        <v>2.4833333333333332E-2</v>
      </c>
      <c r="AA4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-7.7567666639713213</v>
      </c>
      <c r="AB453" s="11">
        <f>AVERAGEIFS(EarningsPerDay[Gross $/Hour],EarningsPerDay[Week '#], EarningsPerDay[[#This Row],[Week '#]], EarningsPerDay[DOW], EarningsPerDay[[#This Row],[DOW]])</f>
        <v>18.266708612975393</v>
      </c>
      <c r="AC453" s="11">
        <f>EarningsPerDay[[#This Row],[Gross $/Hour]] - EarningsPerDay[[#This Row],[Weekly Average Earnings]]</f>
        <v>-5.6291247203579413</v>
      </c>
      <c r="AD453" s="11">
        <f>(SUMIFS(EarningsPerDay[Gross Earnings], EarningsPerDay[Date],"&gt;="&amp;EarningsPerDay[[#This Row],[Date]]-89, EarningsPerDay[Date], "&lt;="&amp;EarningsPerDay[[#This Row],[Date]]))/90</f>
        <v>53.640222222222199</v>
      </c>
    </row>
    <row r="454" spans="2:30" x14ac:dyDescent="0.35">
      <c r="B454" s="40">
        <v>45344</v>
      </c>
      <c r="C454" s="40">
        <f t="shared" si="43"/>
        <v>45344</v>
      </c>
      <c r="D454" s="4">
        <f>IF(EarningsPerDay[[#This Row],[Week '#]]&gt;=52,YEAR(EarningsPerDay[[#This Row],[Date]])-1,YEAR(EarningsPerDay[[#This Row],[Date]]))</f>
        <v>2024</v>
      </c>
      <c r="E454" s="4" t="str">
        <f>"QTR"&amp;IF(EarningsPerDay[[#This Row],[Week '#]] &lt;= 13, 1, IF(EarningsPerDay[[#This Row],[Week '#]] &lt;= 26, 2, IF(EarningsPerDay[[#This Row],[Week '#]] &lt;= 39, 3, 4)))</f>
        <v>QTR1</v>
      </c>
      <c r="F4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4" s="4">
        <f>IF(WEEKNUM(EarningsPerDay[[#This Row],[Date]], 2) = 53, 1, WEEKNUM(EarningsPerDay[[#This Row],[Date]],2))</f>
        <v>8</v>
      </c>
      <c r="H454" s="40" t="str">
        <f t="shared" si="44"/>
        <v>Thursday</v>
      </c>
      <c r="I45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54" s="40" t="str" cm="1">
        <f t="array" ref="J454">IFERROR(VLOOKUP(MODE(IF(Combined[Date]=EarningsPerDay[[#This Row],[Date]],Combined[Area '#])),KPIs!$B$4:$C$7,2,FALSE),VLOOKUP(EarningsPerDay[[#This Row],[Date]],Combined[[Date]:[Primary Area]],8,FALSE))</f>
        <v>Lewiston</v>
      </c>
      <c r="K454" s="40" t="str">
        <f>_xlfn.XLOOKUP(EarningsPerDay[[#This Row],[Date]],Mileage[Date],Mileage[Weather])</f>
        <v>Overcast</v>
      </c>
      <c r="L454" s="4">
        <f>_xlfn.XLOOKUP(EarningsPerDay[[#This Row],[Date]],Mileage[Date],Mileage[Hi Temp])</f>
        <v>32</v>
      </c>
      <c r="M454" s="12">
        <f>_xlfn.XLOOKUP(EarningsPerDay[[#This Row],[Date]],Mileage[Date],Mileage[Total Time])</f>
        <v>4.58</v>
      </c>
      <c r="N454" s="4">
        <f>_xlfn.XLOOKUP(EarningsPerDay[[#This Row],[Date]],Mileage[Date],Mileage[Mileage])</f>
        <v>68</v>
      </c>
      <c r="O454" s="4">
        <f>SUMIF(Combined[Date],EarningsPerDay[[#This Row],[Date]],Combined[Trips])</f>
        <v>10</v>
      </c>
      <c r="P454">
        <f>COUNTIF(Combined[Date],EarningsPerDay[[#This Row],[Date]])</f>
        <v>4</v>
      </c>
      <c r="Q4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4" s="11">
        <f>SUMIF(Combined[Date],EarningsPerDay[[#This Row],[Date]],Combined[Earnings])</f>
        <v>105.34</v>
      </c>
      <c r="S454" s="11">
        <f ca="1">EarningsPerDay[[#This Row],[Gross Earnings]]-(EarningsPerDay[[#This Row],[Miles]]*CpM!$D$11)</f>
        <v>90.177829701276707</v>
      </c>
      <c r="T454" s="11">
        <f t="shared" si="45"/>
        <v>23</v>
      </c>
      <c r="U454" s="11">
        <f t="shared" ca="1" si="46"/>
        <v>19.689482467527665</v>
      </c>
      <c r="V454" s="11">
        <f>EarningsPerDay[[#This Row],[Gross Earnings]]/EarningsPerDay[[#This Row],[Deliveries]]</f>
        <v>10.534000000000001</v>
      </c>
      <c r="W454" s="11">
        <f>EarningsPerDay[[#This Row],[Gross Earnings]]/EarningsPerDay[[#This Row],[Miles]]</f>
        <v>1.5491176470588235</v>
      </c>
      <c r="X454" s="71">
        <f>EarningsPerDay[[#This Row],[Deliveries]]/EarningsPerDay[[#This Row],[Hours]]</f>
        <v>2.1834061135371177</v>
      </c>
      <c r="Y454" s="71">
        <f>EarningsPerDay[[#This Row],[Miles]]/EarningsPerDay[[#This Row],[Deliveries]]</f>
        <v>6.8</v>
      </c>
      <c r="Z454" s="81">
        <f>(EarningsPerDay[[#This Row],[Hours]]/EarningsPerDay[[#This Row],[Deliveries]])/24</f>
        <v>1.9083333333333334E-2</v>
      </c>
      <c r="AA4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1.6747446307002107</v>
      </c>
      <c r="AB454" s="11">
        <f>AVERAGEIFS(EarningsPerDay[Gross $/Hour],EarningsPerDay[Week '#], EarningsPerDay[[#This Row],[Week '#]], EarningsPerDay[DOW], EarningsPerDay[[#This Row],[DOW]])</f>
        <v>21.236984459688347</v>
      </c>
      <c r="AC454" s="11">
        <f>EarningsPerDay[[#This Row],[Gross $/Hour]] - EarningsPerDay[[#This Row],[Weekly Average Earnings]]</f>
        <v>1.7630155403116525</v>
      </c>
      <c r="AD454" s="11">
        <f>(SUMIFS(EarningsPerDay[Gross Earnings], EarningsPerDay[Date],"&gt;="&amp;EarningsPerDay[[#This Row],[Date]]-89, EarningsPerDay[Date], "&lt;="&amp;EarningsPerDay[[#This Row],[Date]]))/90</f>
        <v>52.824555555555534</v>
      </c>
    </row>
    <row r="455" spans="2:30" x14ac:dyDescent="0.35">
      <c r="B455" s="40">
        <v>45346</v>
      </c>
      <c r="C455" s="40">
        <f t="shared" si="43"/>
        <v>45346</v>
      </c>
      <c r="D455" s="4">
        <f>IF(EarningsPerDay[[#This Row],[Week '#]]&gt;=52,YEAR(EarningsPerDay[[#This Row],[Date]])-1,YEAR(EarningsPerDay[[#This Row],[Date]]))</f>
        <v>2024</v>
      </c>
      <c r="E455" s="4" t="str">
        <f>"QTR"&amp;IF(EarningsPerDay[[#This Row],[Week '#]] &lt;= 13, 1, IF(EarningsPerDay[[#This Row],[Week '#]] &lt;= 26, 2, IF(EarningsPerDay[[#This Row],[Week '#]] &lt;= 39, 3, 4)))</f>
        <v>QTR1</v>
      </c>
      <c r="F4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455" s="4">
        <f>IF(WEEKNUM(EarningsPerDay[[#This Row],[Date]], 2) = 53, 1, WEEKNUM(EarningsPerDay[[#This Row],[Date]],2))</f>
        <v>8</v>
      </c>
      <c r="H455" s="40" t="str">
        <f t="shared" si="44"/>
        <v>Saturday</v>
      </c>
      <c r="I45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55" s="40" t="str" cm="1">
        <f t="array" ref="J455">IFERROR(VLOOKUP(MODE(IF(Combined[Date]=EarningsPerDay[[#This Row],[Date]],Combined[Area '#])),KPIs!$B$4:$C$7,2,FALSE),VLOOKUP(EarningsPerDay[[#This Row],[Date]],Combined[[Date]:[Primary Area]],8,FALSE))</f>
        <v>Brunswick/Bath/Freeport</v>
      </c>
      <c r="K455" s="40" t="str">
        <f>_xlfn.XLOOKUP(EarningsPerDay[[#This Row],[Date]],Mileage[Date],Mileage[Weather])</f>
        <v>Clear</v>
      </c>
      <c r="L455" s="4">
        <f>_xlfn.XLOOKUP(EarningsPerDay[[#This Row],[Date]],Mileage[Date],Mileage[Hi Temp])</f>
        <v>18</v>
      </c>
      <c r="M455" s="12">
        <f>_xlfn.XLOOKUP(EarningsPerDay[[#This Row],[Date]],Mileage[Date],Mileage[Total Time])</f>
        <v>3.25</v>
      </c>
      <c r="N455" s="4">
        <f>_xlfn.XLOOKUP(EarningsPerDay[[#This Row],[Date]],Mileage[Date],Mileage[Mileage])</f>
        <v>74</v>
      </c>
      <c r="O455" s="4">
        <f>SUMIF(Combined[Date],EarningsPerDay[[#This Row],[Date]],Combined[Trips])</f>
        <v>10</v>
      </c>
      <c r="P455">
        <f>COUNTIF(Combined[Date],EarningsPerDay[[#This Row],[Date]])</f>
        <v>3</v>
      </c>
      <c r="Q4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5" s="11">
        <f>SUMIF(Combined[Date],EarningsPerDay[[#This Row],[Date]],Combined[Earnings])</f>
        <v>106.38</v>
      </c>
      <c r="S455" s="11">
        <f ca="1">EarningsPerDay[[#This Row],[Gross Earnings]]-(EarningsPerDay[[#This Row],[Miles]]*CpM!$D$11)</f>
        <v>89.879991145506992</v>
      </c>
      <c r="T455" s="11">
        <f t="shared" si="45"/>
        <v>32.732307692307693</v>
      </c>
      <c r="U455" s="11">
        <f t="shared" ca="1" si="46"/>
        <v>27.655381890925227</v>
      </c>
      <c r="V455" s="11">
        <f>EarningsPerDay[[#This Row],[Gross Earnings]]/EarningsPerDay[[#This Row],[Deliveries]]</f>
        <v>10.638</v>
      </c>
      <c r="W455" s="11">
        <f>EarningsPerDay[[#This Row],[Gross Earnings]]/EarningsPerDay[[#This Row],[Miles]]</f>
        <v>1.4375675675675674</v>
      </c>
      <c r="X455" s="71">
        <f>EarningsPerDay[[#This Row],[Deliveries]]/EarningsPerDay[[#This Row],[Hours]]</f>
        <v>3.0769230769230771</v>
      </c>
      <c r="Y455" s="71">
        <f>EarningsPerDay[[#This Row],[Miles]]/EarningsPerDay[[#This Row],[Deliveries]]</f>
        <v>7.4</v>
      </c>
      <c r="Z455" s="81">
        <f>(EarningsPerDay[[#This Row],[Hours]]/EarningsPerDay[[#This Row],[Deliveries]])/24</f>
        <v>1.3541666666666667E-2</v>
      </c>
      <c r="AA4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7.4150444708920773</v>
      </c>
      <c r="AB455" s="11">
        <f>AVERAGEIFS(EarningsPerDay[Gross $/Hour],EarningsPerDay[Week '#], EarningsPerDay[[#This Row],[Week '#]], EarningsPerDay[DOW], EarningsPerDay[[#This Row],[DOW]])</f>
        <v>29.384048741661168</v>
      </c>
      <c r="AC455" s="11">
        <f>EarningsPerDay[[#This Row],[Gross $/Hour]] - EarningsPerDay[[#This Row],[Weekly Average Earnings]]</f>
        <v>3.3482589506465246</v>
      </c>
      <c r="AD455" s="11">
        <f>(SUMIFS(EarningsPerDay[Gross Earnings], EarningsPerDay[Date],"&gt;="&amp;EarningsPerDay[[#This Row],[Date]]-89, EarningsPerDay[Date], "&lt;="&amp;EarningsPerDay[[#This Row],[Date]]))/90</f>
        <v>54.006555555555536</v>
      </c>
    </row>
    <row r="456" spans="2:30" x14ac:dyDescent="0.35">
      <c r="B456" s="40">
        <v>45349</v>
      </c>
      <c r="C456" s="40">
        <f t="shared" si="43"/>
        <v>45349</v>
      </c>
      <c r="D456" s="4">
        <f>IF(EarningsPerDay[[#This Row],[Week '#]]&gt;=52,YEAR(EarningsPerDay[[#This Row],[Date]])-1,YEAR(EarningsPerDay[[#This Row],[Date]]))</f>
        <v>2024</v>
      </c>
      <c r="E456" s="4" t="str">
        <f>"QTR"&amp;IF(EarningsPerDay[[#This Row],[Week '#]] &lt;= 13, 1, IF(EarningsPerDay[[#This Row],[Week '#]] &lt;= 26, 2, IF(EarningsPerDay[[#This Row],[Week '#]] &lt;= 39, 3, 4)))</f>
        <v>QTR1</v>
      </c>
      <c r="F4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56" s="4">
        <f>IF(WEEKNUM(EarningsPerDay[[#This Row],[Date]], 2) = 53, 1, WEEKNUM(EarningsPerDay[[#This Row],[Date]],2))</f>
        <v>9</v>
      </c>
      <c r="H456" s="40" t="str">
        <f t="shared" si="44"/>
        <v>Tuesday</v>
      </c>
      <c r="I45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56" s="40" t="str" cm="1">
        <f t="array" ref="J456">IFERROR(VLOOKUP(MODE(IF(Combined[Date]=EarningsPerDay[[#This Row],[Date]],Combined[Area '#])),KPIs!$B$4:$C$7,2,FALSE),VLOOKUP(EarningsPerDay[[#This Row],[Date]],Combined[[Date]:[Primary Area]],8,FALSE))</f>
        <v>Brunswick/Bath/Freeport</v>
      </c>
      <c r="K456" s="40" t="str">
        <f>_xlfn.XLOOKUP(EarningsPerDay[[#This Row],[Date]],Mileage[Date],Mileage[Weather])</f>
        <v>Fog</v>
      </c>
      <c r="L456" s="4">
        <f>_xlfn.XLOOKUP(EarningsPerDay[[#This Row],[Date]],Mileage[Date],Mileage[Hi Temp])</f>
        <v>43</v>
      </c>
      <c r="M456" s="12">
        <f>_xlfn.XLOOKUP(EarningsPerDay[[#This Row],[Date]],Mileage[Date],Mileage[Total Time])</f>
        <v>4.12</v>
      </c>
      <c r="N456" s="4">
        <f>_xlfn.XLOOKUP(EarningsPerDay[[#This Row],[Date]],Mileage[Date],Mileage[Mileage])</f>
        <v>89</v>
      </c>
      <c r="O456" s="4">
        <f>SUMIF(Combined[Date],EarningsPerDay[[#This Row],[Date]],Combined[Trips])</f>
        <v>10</v>
      </c>
      <c r="P456">
        <f>COUNTIF(Combined[Date],EarningsPerDay[[#This Row],[Date]])</f>
        <v>2</v>
      </c>
      <c r="Q4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6" s="11">
        <f>SUMIF(Combined[Date],EarningsPerDay[[#This Row],[Date]],Combined[Earnings])</f>
        <v>124.55</v>
      </c>
      <c r="S456" s="11">
        <f ca="1">EarningsPerDay[[#This Row],[Gross Earnings]]-(EarningsPerDay[[#This Row],[Miles]]*CpM!$D$11)</f>
        <v>104.70539475608274</v>
      </c>
      <c r="T456" s="11">
        <f t="shared" si="45"/>
        <v>30.230582524271842</v>
      </c>
      <c r="U456" s="11">
        <f t="shared" ca="1" si="46"/>
        <v>25.413930766039499</v>
      </c>
      <c r="V456" s="11">
        <f>EarningsPerDay[[#This Row],[Gross Earnings]]/EarningsPerDay[[#This Row],[Deliveries]]</f>
        <v>12.455</v>
      </c>
      <c r="W456" s="11">
        <f>EarningsPerDay[[#This Row],[Gross Earnings]]/EarningsPerDay[[#This Row],[Miles]]</f>
        <v>1.399438202247191</v>
      </c>
      <c r="X456" s="71">
        <f>EarningsPerDay[[#This Row],[Deliveries]]/EarningsPerDay[[#This Row],[Hours]]</f>
        <v>2.4271844660194173</v>
      </c>
      <c r="Y456" s="71">
        <f>EarningsPerDay[[#This Row],[Miles]]/EarningsPerDay[[#This Row],[Deliveries]]</f>
        <v>8.9</v>
      </c>
      <c r="Z456" s="81">
        <f>(EarningsPerDay[[#This Row],[Hours]]/EarningsPerDay[[#This Row],[Deliveries]])/24</f>
        <v>1.7166666666666667E-2</v>
      </c>
      <c r="AA4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2.2668236580074215</v>
      </c>
      <c r="AB456" s="11">
        <f>AVERAGEIFS(EarningsPerDay[Gross $/Hour],EarningsPerDay[Week '#], EarningsPerDay[[#This Row],[Week '#]], EarningsPerDay[DOW], EarningsPerDay[[#This Row],[DOW]])</f>
        <v>30.230582524271842</v>
      </c>
      <c r="AC456" s="11">
        <f>EarningsPerDay[[#This Row],[Gross $/Hour]] - EarningsPerDay[[#This Row],[Weekly Average Earnings]]</f>
        <v>0</v>
      </c>
      <c r="AD456" s="11">
        <f>(SUMIFS(EarningsPerDay[Gross Earnings], EarningsPerDay[Date],"&gt;="&amp;EarningsPerDay[[#This Row],[Date]]-89, EarningsPerDay[Date], "&lt;="&amp;EarningsPerDay[[#This Row],[Date]]))/90</f>
        <v>52.439111111111096</v>
      </c>
    </row>
    <row r="457" spans="2:30" x14ac:dyDescent="0.35">
      <c r="B457" s="40">
        <v>45350</v>
      </c>
      <c r="C457" s="40">
        <f t="shared" si="43"/>
        <v>45350</v>
      </c>
      <c r="D457" s="4">
        <f>IF(EarningsPerDay[[#This Row],[Week '#]]&gt;=52,YEAR(EarningsPerDay[[#This Row],[Date]])-1,YEAR(EarningsPerDay[[#This Row],[Date]]))</f>
        <v>2024</v>
      </c>
      <c r="E457" s="4" t="str">
        <f>"QTR"&amp;IF(EarningsPerDay[[#This Row],[Week '#]] &lt;= 13, 1, IF(EarningsPerDay[[#This Row],[Week '#]] &lt;= 26, 2, IF(EarningsPerDay[[#This Row],[Week '#]] &lt;= 39, 3, 4)))</f>
        <v>QTR1</v>
      </c>
      <c r="F4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57" s="4">
        <f>IF(WEEKNUM(EarningsPerDay[[#This Row],[Date]], 2) = 53, 1, WEEKNUM(EarningsPerDay[[#This Row],[Date]],2))</f>
        <v>9</v>
      </c>
      <c r="H457" s="40" t="str">
        <f t="shared" si="44"/>
        <v>Wednesday</v>
      </c>
      <c r="I45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57" s="40" t="str" cm="1">
        <f t="array" ref="J457">IFERROR(VLOOKUP(MODE(IF(Combined[Date]=EarningsPerDay[[#This Row],[Date]],Combined[Area '#])),KPIs!$B$4:$C$7,2,FALSE),VLOOKUP(EarningsPerDay[[#This Row],[Date]],Combined[[Date]:[Primary Area]],8,FALSE))</f>
        <v>Brunswick/Bath/Freeport</v>
      </c>
      <c r="K457" s="40" t="str">
        <f>_xlfn.XLOOKUP(EarningsPerDay[[#This Row],[Date]],Mileage[Date],Mileage[Weather])</f>
        <v>Rain</v>
      </c>
      <c r="L457" s="4">
        <f>_xlfn.XLOOKUP(EarningsPerDay[[#This Row],[Date]],Mileage[Date],Mileage[Hi Temp])</f>
        <v>50</v>
      </c>
      <c r="M457" s="12">
        <f>_xlfn.XLOOKUP(EarningsPerDay[[#This Row],[Date]],Mileage[Date],Mileage[Total Time])</f>
        <v>3.08</v>
      </c>
      <c r="N457" s="4">
        <f>_xlfn.XLOOKUP(EarningsPerDay[[#This Row],[Date]],Mileage[Date],Mileage[Mileage])</f>
        <v>62</v>
      </c>
      <c r="O457" s="4">
        <f>SUMIF(Combined[Date],EarningsPerDay[[#This Row],[Date]],Combined[Trips])</f>
        <v>8</v>
      </c>
      <c r="P457">
        <f>COUNTIF(Combined[Date],EarningsPerDay[[#This Row],[Date]])</f>
        <v>3</v>
      </c>
      <c r="Q4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7" s="11">
        <f>SUMIF(Combined[Date],EarningsPerDay[[#This Row],[Date]],Combined[Earnings])</f>
        <v>72.38</v>
      </c>
      <c r="S457" s="11">
        <f ca="1">EarningsPerDay[[#This Row],[Gross Earnings]]-(EarningsPerDay[[#This Row],[Miles]]*CpM!$D$11)</f>
        <v>58.555668257046399</v>
      </c>
      <c r="T457" s="11">
        <f t="shared" si="45"/>
        <v>23.499999999999996</v>
      </c>
      <c r="U457" s="11">
        <f t="shared" ca="1" si="46"/>
        <v>19.011580602937141</v>
      </c>
      <c r="V457" s="11">
        <f>EarningsPerDay[[#This Row],[Gross Earnings]]/EarningsPerDay[[#This Row],[Deliveries]]</f>
        <v>9.0474999999999994</v>
      </c>
      <c r="W457" s="11">
        <f>EarningsPerDay[[#This Row],[Gross Earnings]]/EarningsPerDay[[#This Row],[Miles]]</f>
        <v>1.1674193548387095</v>
      </c>
      <c r="X457" s="71">
        <f>EarningsPerDay[[#This Row],[Deliveries]]/EarningsPerDay[[#This Row],[Hours]]</f>
        <v>2.5974025974025974</v>
      </c>
      <c r="Y457" s="71">
        <f>EarningsPerDay[[#This Row],[Miles]]/EarningsPerDay[[#This Row],[Deliveries]]</f>
        <v>7.75</v>
      </c>
      <c r="Z457" s="81">
        <f>(EarningsPerDay[[#This Row],[Hours]]/EarningsPerDay[[#This Row],[Deliveries]])/24</f>
        <v>1.6041666666666666E-2</v>
      </c>
      <c r="AA4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-4.8089346326343296</v>
      </c>
      <c r="AB457" s="11">
        <f>AVERAGEIFS(EarningsPerDay[Gross $/Hour],EarningsPerDay[Week '#], EarningsPerDay[[#This Row],[Week '#]], EarningsPerDay[DOW], EarningsPerDay[[#This Row],[DOW]])</f>
        <v>24.066190476190474</v>
      </c>
      <c r="AC457" s="11">
        <f>EarningsPerDay[[#This Row],[Gross $/Hour]] - EarningsPerDay[[#This Row],[Weekly Average Earnings]]</f>
        <v>-0.56619047619047791</v>
      </c>
      <c r="AD457" s="11">
        <f>(SUMIFS(EarningsPerDay[Gross Earnings], EarningsPerDay[Date],"&gt;="&amp;EarningsPerDay[[#This Row],[Date]]-89, EarningsPerDay[Date], "&lt;="&amp;EarningsPerDay[[#This Row],[Date]]))/90</f>
        <v>52.486333333333327</v>
      </c>
    </row>
    <row r="458" spans="2:30" x14ac:dyDescent="0.35">
      <c r="B458" s="40">
        <v>45352</v>
      </c>
      <c r="C458" s="40">
        <f t="shared" si="43"/>
        <v>45352</v>
      </c>
      <c r="D458" s="4">
        <f>IF(EarningsPerDay[[#This Row],[Week '#]]&gt;=52,YEAR(EarningsPerDay[[#This Row],[Date]])-1,YEAR(EarningsPerDay[[#This Row],[Date]]))</f>
        <v>2024</v>
      </c>
      <c r="E458" s="4" t="str">
        <f>"QTR"&amp;IF(EarningsPerDay[[#This Row],[Week '#]] &lt;= 13, 1, IF(EarningsPerDay[[#This Row],[Week '#]] &lt;= 26, 2, IF(EarningsPerDay[[#This Row],[Week '#]] &lt;= 39, 3, 4)))</f>
        <v>QTR1</v>
      </c>
      <c r="F4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58" s="4">
        <f>IF(WEEKNUM(EarningsPerDay[[#This Row],[Date]], 2) = 53, 1, WEEKNUM(EarningsPerDay[[#This Row],[Date]],2))</f>
        <v>9</v>
      </c>
      <c r="H458" s="40" t="str">
        <f t="shared" si="44"/>
        <v>Friday</v>
      </c>
      <c r="I45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58" s="40" t="str" cm="1">
        <f t="array" ref="J458">IFERROR(VLOOKUP(MODE(IF(Combined[Date]=EarningsPerDay[[#This Row],[Date]],Combined[Area '#])),KPIs!$B$4:$C$7,2,FALSE),VLOOKUP(EarningsPerDay[[#This Row],[Date]],Combined[[Date]:[Primary Area]],8,FALSE))</f>
        <v>Brunswick/Bath/Freeport</v>
      </c>
      <c r="K458" s="40" t="str">
        <f>_xlfn.XLOOKUP(EarningsPerDay[[#This Row],[Date]],Mileage[Date],Mileage[Weather])</f>
        <v>Clear</v>
      </c>
      <c r="L458" s="4">
        <f>_xlfn.XLOOKUP(EarningsPerDay[[#This Row],[Date]],Mileage[Date],Mileage[Hi Temp])</f>
        <v>32</v>
      </c>
      <c r="M458" s="12">
        <f>_xlfn.XLOOKUP(EarningsPerDay[[#This Row],[Date]],Mileage[Date],Mileage[Total Time])</f>
        <v>3.32</v>
      </c>
      <c r="N458" s="4">
        <f>_xlfn.XLOOKUP(EarningsPerDay[[#This Row],[Date]],Mileage[Date],Mileage[Mileage])</f>
        <v>75</v>
      </c>
      <c r="O458" s="4">
        <f>SUMIF(Combined[Date],EarningsPerDay[[#This Row],[Date]],Combined[Trips])</f>
        <v>6</v>
      </c>
      <c r="P458">
        <f>COUNTIF(Combined[Date],EarningsPerDay[[#This Row],[Date]])</f>
        <v>1</v>
      </c>
      <c r="Q4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8" s="11">
        <f>SUMIF(Combined[Date],EarningsPerDay[[#This Row],[Date]],Combined[Earnings])</f>
        <v>85.14</v>
      </c>
      <c r="S458" s="11">
        <f ca="1">EarningsPerDay[[#This Row],[Gross Earnings]]-(EarningsPerDay[[#This Row],[Miles]]*CpM!$D$11)</f>
        <v>68.417018052878717</v>
      </c>
      <c r="T458" s="11">
        <f t="shared" si="45"/>
        <v>25.644578313253014</v>
      </c>
      <c r="U458" s="11">
        <f t="shared" ca="1" si="46"/>
        <v>20.607535558096</v>
      </c>
      <c r="V458" s="11">
        <f>EarningsPerDay[[#This Row],[Gross Earnings]]/EarningsPerDay[[#This Row],[Deliveries]]</f>
        <v>14.19</v>
      </c>
      <c r="W458" s="11">
        <f>EarningsPerDay[[#This Row],[Gross Earnings]]/EarningsPerDay[[#This Row],[Miles]]</f>
        <v>1.1352</v>
      </c>
      <c r="X458" s="71">
        <f>EarningsPerDay[[#This Row],[Deliveries]]/EarningsPerDay[[#This Row],[Hours]]</f>
        <v>1.8072289156626506</v>
      </c>
      <c r="Y458" s="71">
        <f>EarningsPerDay[[#This Row],[Miles]]/EarningsPerDay[[#This Row],[Deliveries]]</f>
        <v>12.5</v>
      </c>
      <c r="Z458" s="81">
        <f>(EarningsPerDay[[#This Row],[Hours]]/EarningsPerDay[[#This Row],[Deliveries]])/24</f>
        <v>2.3055555555555555E-2</v>
      </c>
      <c r="AA4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5.8036224787855346</v>
      </c>
      <c r="AB458" s="11">
        <f>AVERAGEIFS(EarningsPerDay[Gross $/Hour],EarningsPerDay[Week '#], EarningsPerDay[[#This Row],[Week '#]], EarningsPerDay[DOW], EarningsPerDay[[#This Row],[DOW]])</f>
        <v>21.568295546402865</v>
      </c>
      <c r="AC458" s="11">
        <f>EarningsPerDay[[#This Row],[Gross $/Hour]] - EarningsPerDay[[#This Row],[Weekly Average Earnings]]</f>
        <v>4.0762827668501487</v>
      </c>
      <c r="AD458" s="11">
        <f>(SUMIFS(EarningsPerDay[Gross Earnings], EarningsPerDay[Date],"&gt;="&amp;EarningsPerDay[[#This Row],[Date]]-89, EarningsPerDay[Date], "&lt;="&amp;EarningsPerDay[[#This Row],[Date]]))/90</f>
        <v>53.432333333333332</v>
      </c>
    </row>
    <row r="459" spans="2:30" x14ac:dyDescent="0.35">
      <c r="B459" s="40">
        <v>45353</v>
      </c>
      <c r="C459" s="40">
        <f t="shared" si="43"/>
        <v>45353</v>
      </c>
      <c r="D459" s="4">
        <f>IF(EarningsPerDay[[#This Row],[Week '#]]&gt;=52,YEAR(EarningsPerDay[[#This Row],[Date]])-1,YEAR(EarningsPerDay[[#This Row],[Date]]))</f>
        <v>2024</v>
      </c>
      <c r="E459" s="4" t="str">
        <f>"QTR"&amp;IF(EarningsPerDay[[#This Row],[Week '#]] &lt;= 13, 1, IF(EarningsPerDay[[#This Row],[Week '#]] &lt;= 26, 2, IF(EarningsPerDay[[#This Row],[Week '#]] &lt;= 39, 3, 4)))</f>
        <v>QTR1</v>
      </c>
      <c r="F4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59" s="4">
        <f>IF(WEEKNUM(EarningsPerDay[[#This Row],[Date]], 2) = 53, 1, WEEKNUM(EarningsPerDay[[#This Row],[Date]],2))</f>
        <v>9</v>
      </c>
      <c r="H459" s="40" t="str">
        <f t="shared" si="44"/>
        <v>Saturday</v>
      </c>
      <c r="I45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59" s="40" t="str" cm="1">
        <f t="array" ref="J459">IFERROR(VLOOKUP(MODE(IF(Combined[Date]=EarningsPerDay[[#This Row],[Date]],Combined[Area '#])),KPIs!$B$4:$C$7,2,FALSE),VLOOKUP(EarningsPerDay[[#This Row],[Date]],Combined[[Date]:[Primary Area]],8,FALSE))</f>
        <v>Brunswick/Bath/Freeport</v>
      </c>
      <c r="K459" s="40" t="str">
        <f>_xlfn.XLOOKUP(EarningsPerDay[[#This Row],[Date]],Mileage[Date],Mileage[Weather])</f>
        <v>Rain</v>
      </c>
      <c r="L459" s="4">
        <f>_xlfn.XLOOKUP(EarningsPerDay[[#This Row],[Date]],Mileage[Date],Mileage[Hi Temp])</f>
        <v>41</v>
      </c>
      <c r="M459" s="12">
        <f>_xlfn.XLOOKUP(EarningsPerDay[[#This Row],[Date]],Mileage[Date],Mileage[Total Time])</f>
        <v>4.4800000000000004</v>
      </c>
      <c r="N459" s="4">
        <f>_xlfn.XLOOKUP(EarningsPerDay[[#This Row],[Date]],Mileage[Date],Mileage[Mileage])</f>
        <v>100</v>
      </c>
      <c r="O459" s="4">
        <f>SUMIF(Combined[Date],EarningsPerDay[[#This Row],[Date]],Combined[Trips])</f>
        <v>9</v>
      </c>
      <c r="P459">
        <f>COUNTIF(Combined[Date],EarningsPerDay[[#This Row],[Date]])</f>
        <v>4</v>
      </c>
      <c r="Q4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59" s="11">
        <f>SUMIF(Combined[Date],EarningsPerDay[[#This Row],[Date]],Combined[Earnings])</f>
        <v>129.13999999999999</v>
      </c>
      <c r="S459" s="11">
        <f ca="1">EarningsPerDay[[#This Row],[Gross Earnings]]-(EarningsPerDay[[#This Row],[Miles]]*CpM!$D$11)</f>
        <v>106.84269073717161</v>
      </c>
      <c r="T459" s="11">
        <f t="shared" si="45"/>
        <v>28.825892857142851</v>
      </c>
      <c r="U459" s="11">
        <f t="shared" ca="1" si="46"/>
        <v>23.84881489669009</v>
      </c>
      <c r="V459" s="11">
        <f>EarningsPerDay[[#This Row],[Gross Earnings]]/EarningsPerDay[[#This Row],[Deliveries]]</f>
        <v>14.348888888888887</v>
      </c>
      <c r="W459" s="11">
        <f>EarningsPerDay[[#This Row],[Gross Earnings]]/EarningsPerDay[[#This Row],[Miles]]</f>
        <v>1.2913999999999999</v>
      </c>
      <c r="X459" s="71">
        <f>EarningsPerDay[[#This Row],[Deliveries]]/EarningsPerDay[[#This Row],[Hours]]</f>
        <v>2.0089285714285712</v>
      </c>
      <c r="Y459" s="71">
        <f>EarningsPerDay[[#This Row],[Miles]]/EarningsPerDay[[#This Row],[Deliveries]]</f>
        <v>11.111111111111111</v>
      </c>
      <c r="Z459" s="81">
        <f>(EarningsPerDay[[#This Row],[Hours]]/EarningsPerDay[[#This Row],[Deliveries]])/24</f>
        <v>2.0740740740740744E-2</v>
      </c>
      <c r="AA4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3.096682720677677</v>
      </c>
      <c r="AB459" s="11">
        <f>AVERAGEIFS(EarningsPerDay[Gross $/Hour],EarningsPerDay[Week '#], EarningsPerDay[[#This Row],[Week '#]], EarningsPerDay[DOW], EarningsPerDay[[#This Row],[DOW]])</f>
        <v>23.647241099883558</v>
      </c>
      <c r="AC459" s="11">
        <f>EarningsPerDay[[#This Row],[Gross $/Hour]] - EarningsPerDay[[#This Row],[Weekly Average Earnings]]</f>
        <v>5.1786517572592921</v>
      </c>
      <c r="AD459" s="11">
        <f>(SUMIFS(EarningsPerDay[Gross Earnings], EarningsPerDay[Date],"&gt;="&amp;EarningsPerDay[[#This Row],[Date]]-89, EarningsPerDay[Date], "&lt;="&amp;EarningsPerDay[[#This Row],[Date]]))/90</f>
        <v>54.867222222222225</v>
      </c>
    </row>
    <row r="460" spans="2:30" x14ac:dyDescent="0.35">
      <c r="B460" s="40">
        <v>45354</v>
      </c>
      <c r="C460" s="40">
        <f t="shared" si="43"/>
        <v>45354</v>
      </c>
      <c r="D460" s="4">
        <f>IF(EarningsPerDay[[#This Row],[Week '#]]&gt;=52,YEAR(EarningsPerDay[[#This Row],[Date]])-1,YEAR(EarningsPerDay[[#This Row],[Date]]))</f>
        <v>2024</v>
      </c>
      <c r="E460" s="4" t="str">
        <f>"QTR"&amp;IF(EarningsPerDay[[#This Row],[Week '#]] &lt;= 13, 1, IF(EarningsPerDay[[#This Row],[Week '#]] &lt;= 26, 2, IF(EarningsPerDay[[#This Row],[Week '#]] &lt;= 39, 3, 4)))</f>
        <v>QTR1</v>
      </c>
      <c r="F4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460" s="4">
        <f>IF(WEEKNUM(EarningsPerDay[[#This Row],[Date]], 2) = 53, 1, WEEKNUM(EarningsPerDay[[#This Row],[Date]],2))</f>
        <v>9</v>
      </c>
      <c r="H460" s="40" t="str">
        <f t="shared" si="44"/>
        <v>Sunday</v>
      </c>
      <c r="I46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60" s="40" t="str" cm="1">
        <f t="array" ref="J460">IFERROR(VLOOKUP(MODE(IF(Combined[Date]=EarningsPerDay[[#This Row],[Date]],Combined[Area '#])),KPIs!$B$4:$C$7,2,FALSE),VLOOKUP(EarningsPerDay[[#This Row],[Date]],Combined[[Date]:[Primary Area]],8,FALSE))</f>
        <v>Lewiston</v>
      </c>
      <c r="K460" s="40" t="str">
        <f>_xlfn.XLOOKUP(EarningsPerDay[[#This Row],[Date]],Mileage[Date],Mileage[Weather])</f>
        <v>Rain</v>
      </c>
      <c r="L460" s="4">
        <f>_xlfn.XLOOKUP(EarningsPerDay[[#This Row],[Date]],Mileage[Date],Mileage[Hi Temp])</f>
        <v>37</v>
      </c>
      <c r="M460" s="12">
        <f>_xlfn.XLOOKUP(EarningsPerDay[[#This Row],[Date]],Mileage[Date],Mileage[Total Time])</f>
        <v>3.77</v>
      </c>
      <c r="N460" s="4">
        <f>_xlfn.XLOOKUP(EarningsPerDay[[#This Row],[Date]],Mileage[Date],Mileage[Mileage])</f>
        <v>66</v>
      </c>
      <c r="O460" s="4">
        <f>SUMIF(Combined[Date],EarningsPerDay[[#This Row],[Date]],Combined[Trips])</f>
        <v>9</v>
      </c>
      <c r="P460">
        <f>COUNTIF(Combined[Date],EarningsPerDay[[#This Row],[Date]])</f>
        <v>2</v>
      </c>
      <c r="Q4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0" s="11">
        <f>SUMIF(Combined[Date],EarningsPerDay[[#This Row],[Date]],Combined[Earnings])</f>
        <v>79.36</v>
      </c>
      <c r="S460" s="11">
        <f ca="1">EarningsPerDay[[#This Row],[Gross Earnings]]-(EarningsPerDay[[#This Row],[Miles]]*CpM!$D$11)</f>
        <v>64.643775886533263</v>
      </c>
      <c r="T460" s="11">
        <f t="shared" si="45"/>
        <v>21.050397877984086</v>
      </c>
      <c r="U460" s="11">
        <f t="shared" ca="1" si="46"/>
        <v>17.146890155579115</v>
      </c>
      <c r="V460" s="11">
        <f>EarningsPerDay[[#This Row],[Gross Earnings]]/EarningsPerDay[[#This Row],[Deliveries]]</f>
        <v>8.8177777777777777</v>
      </c>
      <c r="W460" s="11">
        <f>EarningsPerDay[[#This Row],[Gross Earnings]]/EarningsPerDay[[#This Row],[Miles]]</f>
        <v>1.2024242424242424</v>
      </c>
      <c r="X460" s="71">
        <f>EarningsPerDay[[#This Row],[Deliveries]]/EarningsPerDay[[#This Row],[Hours]]</f>
        <v>2.3872679045092839</v>
      </c>
      <c r="Y460" s="71">
        <f>EarningsPerDay[[#This Row],[Miles]]/EarningsPerDay[[#This Row],[Deliveries]]</f>
        <v>7.333333333333333</v>
      </c>
      <c r="Z460" s="81">
        <f>(EarningsPerDay[[#This Row],[Hours]]/EarningsPerDay[[#This Row],[Deliveries]])/24</f>
        <v>1.7453703703703704E-2</v>
      </c>
      <c r="AA4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8.12706945120323</v>
      </c>
      <c r="AB460" s="11">
        <f>AVERAGEIFS(EarningsPerDay[Gross $/Hour],EarningsPerDay[Week '#], EarningsPerDay[[#This Row],[Week '#]], EarningsPerDay[DOW], EarningsPerDay[[#This Row],[DOW]])</f>
        <v>27.871502575489643</v>
      </c>
      <c r="AC460" s="11">
        <f>EarningsPerDay[[#This Row],[Gross $/Hour]] - EarningsPerDay[[#This Row],[Weekly Average Earnings]]</f>
        <v>-6.8211046975055574</v>
      </c>
      <c r="AD460" s="11">
        <f>(SUMIFS(EarningsPerDay[Gross Earnings], EarningsPerDay[Date],"&gt;="&amp;EarningsPerDay[[#This Row],[Date]]-89, EarningsPerDay[Date], "&lt;="&amp;EarningsPerDay[[#This Row],[Date]]))/90</f>
        <v>55.748999999999995</v>
      </c>
    </row>
    <row r="461" spans="2:30" x14ac:dyDescent="0.35">
      <c r="B461" s="40">
        <v>45356</v>
      </c>
      <c r="C461" s="40">
        <f t="shared" si="43"/>
        <v>45356</v>
      </c>
      <c r="D461" s="4">
        <f>IF(EarningsPerDay[[#This Row],[Week '#]]&gt;=52,YEAR(EarningsPerDay[[#This Row],[Date]])-1,YEAR(EarningsPerDay[[#This Row],[Date]]))</f>
        <v>2024</v>
      </c>
      <c r="E461" s="4" t="str">
        <f>"QTR"&amp;IF(EarningsPerDay[[#This Row],[Week '#]] &lt;= 13, 1, IF(EarningsPerDay[[#This Row],[Week '#]] &lt;= 26, 2, IF(EarningsPerDay[[#This Row],[Week '#]] &lt;= 39, 3, 4)))</f>
        <v>QTR1</v>
      </c>
      <c r="F4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61" s="4">
        <f>IF(WEEKNUM(EarningsPerDay[[#This Row],[Date]], 2) = 53, 1, WEEKNUM(EarningsPerDay[[#This Row],[Date]],2))</f>
        <v>10</v>
      </c>
      <c r="H461" s="40" t="str">
        <f t="shared" si="44"/>
        <v>Tuesday</v>
      </c>
      <c r="I46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61" s="40" t="str" cm="1">
        <f t="array" ref="J461">IFERROR(VLOOKUP(MODE(IF(Combined[Date]=EarningsPerDay[[#This Row],[Date]],Combined[Area '#])),KPIs!$B$4:$C$7,2,FALSE),VLOOKUP(EarningsPerDay[[#This Row],[Date]],Combined[[Date]:[Primary Area]],8,FALSE))</f>
        <v>Brunswick/Bath/Freeport</v>
      </c>
      <c r="K461" s="40" t="str">
        <f>_xlfn.XLOOKUP(EarningsPerDay[[#This Row],[Date]],Mileage[Date],Mileage[Weather])</f>
        <v>Rain</v>
      </c>
      <c r="L461" s="4">
        <f>_xlfn.XLOOKUP(EarningsPerDay[[#This Row],[Date]],Mileage[Date],Mileage[Hi Temp])</f>
        <v>39</v>
      </c>
      <c r="M461" s="12">
        <f>_xlfn.XLOOKUP(EarningsPerDay[[#This Row],[Date]],Mileage[Date],Mileage[Total Time])</f>
        <v>3.45</v>
      </c>
      <c r="N461" s="4">
        <f>_xlfn.XLOOKUP(EarningsPerDay[[#This Row],[Date]],Mileage[Date],Mileage[Mileage])</f>
        <v>80</v>
      </c>
      <c r="O461" s="4">
        <f>SUMIF(Combined[Date],EarningsPerDay[[#This Row],[Date]],Combined[Trips])</f>
        <v>8</v>
      </c>
      <c r="P461">
        <f>COUNTIF(Combined[Date],EarningsPerDay[[#This Row],[Date]])</f>
        <v>3</v>
      </c>
      <c r="Q4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1" s="11">
        <f>SUMIF(Combined[Date],EarningsPerDay[[#This Row],[Date]],Combined[Earnings])</f>
        <v>65.319999999999993</v>
      </c>
      <c r="S461" s="11">
        <f ca="1">EarningsPerDay[[#This Row],[Gross Earnings]]-(EarningsPerDay[[#This Row],[Miles]]*CpM!$D$11)</f>
        <v>47.482152589737282</v>
      </c>
      <c r="T461" s="11">
        <f t="shared" si="45"/>
        <v>18.93333333333333</v>
      </c>
      <c r="U461" s="11">
        <f t="shared" ca="1" si="46"/>
        <v>13.762942779633994</v>
      </c>
      <c r="V461" s="11">
        <f>EarningsPerDay[[#This Row],[Gross Earnings]]/EarningsPerDay[[#This Row],[Deliveries]]</f>
        <v>8.1649999999999991</v>
      </c>
      <c r="W461" s="11">
        <f>EarningsPerDay[[#This Row],[Gross Earnings]]/EarningsPerDay[[#This Row],[Miles]]</f>
        <v>0.81649999999999989</v>
      </c>
      <c r="X461" s="71">
        <f>EarningsPerDay[[#This Row],[Deliveries]]/EarningsPerDay[[#This Row],[Hours]]</f>
        <v>2.318840579710145</v>
      </c>
      <c r="Y461" s="71">
        <f>EarningsPerDay[[#This Row],[Miles]]/EarningsPerDay[[#This Row],[Deliveries]]</f>
        <v>10</v>
      </c>
      <c r="Z461" s="81">
        <f>(EarningsPerDay[[#This Row],[Hours]]/EarningsPerDay[[#This Row],[Deliveries]])/24</f>
        <v>1.7968750000000002E-2</v>
      </c>
      <c r="AA4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-9.1815471101315858</v>
      </c>
      <c r="AB461" s="11">
        <f>AVERAGEIFS(EarningsPerDay[Gross $/Hour],EarningsPerDay[Week '#], EarningsPerDay[[#This Row],[Week '#]], EarningsPerDay[DOW], EarningsPerDay[[#This Row],[DOW]])</f>
        <v>20.790663442097699</v>
      </c>
      <c r="AC461" s="11">
        <f>EarningsPerDay[[#This Row],[Gross $/Hour]] - EarningsPerDay[[#This Row],[Weekly Average Earnings]]</f>
        <v>-1.8573301087643692</v>
      </c>
      <c r="AD461" s="11">
        <f>(SUMIFS(EarningsPerDay[Gross Earnings], EarningsPerDay[Date],"&gt;="&amp;EarningsPerDay[[#This Row],[Date]]-89, EarningsPerDay[Date], "&lt;="&amp;EarningsPerDay[[#This Row],[Date]]))/90</f>
        <v>55.628666666666668</v>
      </c>
    </row>
    <row r="462" spans="2:30" x14ac:dyDescent="0.35">
      <c r="B462" s="40">
        <v>45360</v>
      </c>
      <c r="C462" s="40">
        <f t="shared" si="43"/>
        <v>45360</v>
      </c>
      <c r="D462" s="4">
        <f>IF(EarningsPerDay[[#This Row],[Week '#]]&gt;=52,YEAR(EarningsPerDay[[#This Row],[Date]])-1,YEAR(EarningsPerDay[[#This Row],[Date]]))</f>
        <v>2024</v>
      </c>
      <c r="E462" s="4" t="str">
        <f>"QTR"&amp;IF(EarningsPerDay[[#This Row],[Week '#]] &lt;= 13, 1, IF(EarningsPerDay[[#This Row],[Week '#]] &lt;= 26, 2, IF(EarningsPerDay[[#This Row],[Week '#]] &lt;= 39, 3, 4)))</f>
        <v>QTR1</v>
      </c>
      <c r="F4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462" s="4">
        <f>IF(WEEKNUM(EarningsPerDay[[#This Row],[Date]], 2) = 53, 1, WEEKNUM(EarningsPerDay[[#This Row],[Date]],2))</f>
        <v>10</v>
      </c>
      <c r="H462" s="40" t="str">
        <f t="shared" si="44"/>
        <v>Saturday</v>
      </c>
      <c r="I46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462" s="40" t="str" cm="1">
        <f t="array" ref="J462">IFERROR(VLOOKUP(MODE(IF(Combined[Date]=EarningsPerDay[[#This Row],[Date]],Combined[Area '#])),KPIs!$B$4:$C$7,2,FALSE),VLOOKUP(EarningsPerDay[[#This Row],[Date]],Combined[[Date]:[Primary Area]],8,FALSE))</f>
        <v>Brunswick/Bath/Freeport</v>
      </c>
      <c r="K462" s="40" t="str">
        <f>_xlfn.XLOOKUP(EarningsPerDay[[#This Row],[Date]],Mileage[Date],Mileage[Weather])</f>
        <v>Overcast</v>
      </c>
      <c r="L462" s="4">
        <f>_xlfn.XLOOKUP(EarningsPerDay[[#This Row],[Date]],Mileage[Date],Mileage[Hi Temp])</f>
        <v>37</v>
      </c>
      <c r="M462" s="12">
        <f>_xlfn.XLOOKUP(EarningsPerDay[[#This Row],[Date]],Mileage[Date],Mileage[Total Time])</f>
        <v>7.55</v>
      </c>
      <c r="N462" s="4">
        <f>_xlfn.XLOOKUP(EarningsPerDay[[#This Row],[Date]],Mileage[Date],Mileage[Mileage])</f>
        <v>192</v>
      </c>
      <c r="O462" s="4">
        <f>SUMIF(Combined[Date],EarningsPerDay[[#This Row],[Date]],Combined[Trips])</f>
        <v>17</v>
      </c>
      <c r="P462">
        <f>COUNTIF(Combined[Date],EarningsPerDay[[#This Row],[Date]])</f>
        <v>5</v>
      </c>
      <c r="Q4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2" s="11">
        <f>SUMIF(Combined[Date],EarningsPerDay[[#This Row],[Date]],Combined[Earnings])</f>
        <v>221.82</v>
      </c>
      <c r="S462" s="11">
        <f ca="1">EarningsPerDay[[#This Row],[Gross Earnings]]-(EarningsPerDay[[#This Row],[Miles]]*CpM!$D$11)</f>
        <v>179.0091662153695</v>
      </c>
      <c r="T462" s="11">
        <f t="shared" si="45"/>
        <v>29.380132450331125</v>
      </c>
      <c r="U462" s="11">
        <f t="shared" ca="1" si="46"/>
        <v>23.709823339784041</v>
      </c>
      <c r="V462" s="11">
        <f>EarningsPerDay[[#This Row],[Gross Earnings]]/EarningsPerDay[[#This Row],[Deliveries]]</f>
        <v>13.048235294117646</v>
      </c>
      <c r="W462" s="11">
        <f>EarningsPerDay[[#This Row],[Gross Earnings]]/EarningsPerDay[[#This Row],[Miles]]</f>
        <v>1.1553125</v>
      </c>
      <c r="X462" s="71">
        <f>EarningsPerDay[[#This Row],[Deliveries]]/EarningsPerDay[[#This Row],[Hours]]</f>
        <v>2.2516556291390728</v>
      </c>
      <c r="Y462" s="71">
        <f>EarningsPerDay[[#This Row],[Miles]]/EarningsPerDay[[#This Row],[Deliveries]]</f>
        <v>11.294117647058824</v>
      </c>
      <c r="Z462" s="81">
        <f>(EarningsPerDay[[#This Row],[Hours]]/EarningsPerDay[[#This Row],[Deliveries]])/24</f>
        <v>1.8504901960784314E-2</v>
      </c>
      <c r="AA4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3.4879390127776517</v>
      </c>
      <c r="AB462" s="11">
        <f>AVERAGEIFS(EarningsPerDay[Gross $/Hour],EarningsPerDay[Week '#], EarningsPerDay[[#This Row],[Week '#]], EarningsPerDay[DOW], EarningsPerDay[[#This Row],[DOW]])</f>
        <v>30.543878208019763</v>
      </c>
      <c r="AC462" s="11">
        <f>EarningsPerDay[[#This Row],[Gross $/Hour]] - EarningsPerDay[[#This Row],[Weekly Average Earnings]]</f>
        <v>-1.1637457576886376</v>
      </c>
      <c r="AD462" s="11">
        <f>(SUMIFS(EarningsPerDay[Gross Earnings], EarningsPerDay[Date],"&gt;="&amp;EarningsPerDay[[#This Row],[Date]]-89, EarningsPerDay[Date], "&lt;="&amp;EarningsPerDay[[#This Row],[Date]]))/90</f>
        <v>55.80822222222222</v>
      </c>
    </row>
    <row r="463" spans="2:30" x14ac:dyDescent="0.35">
      <c r="B463" s="40">
        <v>45362</v>
      </c>
      <c r="C463" s="40">
        <f t="shared" si="43"/>
        <v>45362</v>
      </c>
      <c r="D463" s="4">
        <f>IF(EarningsPerDay[[#This Row],[Week '#]]&gt;=52,YEAR(EarningsPerDay[[#This Row],[Date]])-1,YEAR(EarningsPerDay[[#This Row],[Date]]))</f>
        <v>2024</v>
      </c>
      <c r="E463" s="4" t="str">
        <f>"QTR"&amp;IF(EarningsPerDay[[#This Row],[Week '#]] &lt;= 13, 1, IF(EarningsPerDay[[#This Row],[Week '#]] &lt;= 26, 2, IF(EarningsPerDay[[#This Row],[Week '#]] &lt;= 39, 3, 4)))</f>
        <v>QTR1</v>
      </c>
      <c r="F4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63" s="4">
        <f>IF(WEEKNUM(EarningsPerDay[[#This Row],[Date]], 2) = 53, 1, WEEKNUM(EarningsPerDay[[#This Row],[Date]],2))</f>
        <v>11</v>
      </c>
      <c r="H463" s="40" t="str">
        <f t="shared" si="44"/>
        <v>Monday</v>
      </c>
      <c r="I46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63" s="40" t="str" cm="1">
        <f t="array" ref="J463">IFERROR(VLOOKUP(MODE(IF(Combined[Date]=EarningsPerDay[[#This Row],[Date]],Combined[Area '#])),KPIs!$B$4:$C$7,2,FALSE),VLOOKUP(EarningsPerDay[[#This Row],[Date]],Combined[[Date]:[Primary Area]],8,FALSE))</f>
        <v>Brunswick/Bath/Freeport</v>
      </c>
      <c r="K463" s="40" t="str">
        <f>_xlfn.XLOOKUP(EarningsPerDay[[#This Row],[Date]],Mileage[Date],Mileage[Weather])</f>
        <v>Partially Cloudy</v>
      </c>
      <c r="L463" s="4">
        <f>_xlfn.XLOOKUP(EarningsPerDay[[#This Row],[Date]],Mileage[Date],Mileage[Hi Temp])</f>
        <v>36</v>
      </c>
      <c r="M463" s="12">
        <f>_xlfn.XLOOKUP(EarningsPerDay[[#This Row],[Date]],Mileage[Date],Mileage[Total Time])</f>
        <v>4.03</v>
      </c>
      <c r="N463" s="4">
        <f>_xlfn.XLOOKUP(EarningsPerDay[[#This Row],[Date]],Mileage[Date],Mileage[Mileage])</f>
        <v>81</v>
      </c>
      <c r="O463" s="4">
        <f>SUMIF(Combined[Date],EarningsPerDay[[#This Row],[Date]],Combined[Trips])</f>
        <v>10</v>
      </c>
      <c r="P463">
        <f>COUNTIF(Combined[Date],EarningsPerDay[[#This Row],[Date]])</f>
        <v>2</v>
      </c>
      <c r="Q4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3" s="11">
        <f>SUMIF(Combined[Date],EarningsPerDay[[#This Row],[Date]],Combined[Earnings])</f>
        <v>96.69</v>
      </c>
      <c r="S463" s="11">
        <f ca="1">EarningsPerDay[[#This Row],[Gross Earnings]]-(EarningsPerDay[[#This Row],[Miles]]*CpM!$D$11)</f>
        <v>78.629179497109007</v>
      </c>
      <c r="T463" s="11">
        <f t="shared" si="45"/>
        <v>23.992555831265506</v>
      </c>
      <c r="U463" s="11">
        <f t="shared" ca="1" si="46"/>
        <v>19.510962654369479</v>
      </c>
      <c r="V463" s="11">
        <f>EarningsPerDay[[#This Row],[Gross Earnings]]/EarningsPerDay[[#This Row],[Deliveries]]</f>
        <v>9.6690000000000005</v>
      </c>
      <c r="W463" s="11">
        <f>EarningsPerDay[[#This Row],[Gross Earnings]]/EarningsPerDay[[#This Row],[Miles]]</f>
        <v>1.1937037037037037</v>
      </c>
      <c r="X463" s="71">
        <f>EarningsPerDay[[#This Row],[Deliveries]]/EarningsPerDay[[#This Row],[Hours]]</f>
        <v>2.4813895781637716</v>
      </c>
      <c r="Y463" s="71">
        <f>EarningsPerDay[[#This Row],[Miles]]/EarningsPerDay[[#This Row],[Deliveries]]</f>
        <v>8.1</v>
      </c>
      <c r="Z463" s="81">
        <f>(EarningsPerDay[[#This Row],[Hours]]/EarningsPerDay[[#This Row],[Deliveries]])/24</f>
        <v>1.6791666666666667E-2</v>
      </c>
      <c r="AA4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-1.4703600579628002</v>
      </c>
      <c r="AB463" s="11">
        <f>AVERAGEIFS(EarningsPerDay[Gross $/Hour],EarningsPerDay[Week '#], EarningsPerDay[[#This Row],[Week '#]], EarningsPerDay[DOW], EarningsPerDay[[#This Row],[DOW]])</f>
        <v>26.303037502761384</v>
      </c>
      <c r="AC463" s="11">
        <f>EarningsPerDay[[#This Row],[Gross $/Hour]] - EarningsPerDay[[#This Row],[Weekly Average Earnings]]</f>
        <v>-2.3104816714958787</v>
      </c>
      <c r="AD463" s="11">
        <f>(SUMIFS(EarningsPerDay[Gross Earnings], EarningsPerDay[Date],"&gt;="&amp;EarningsPerDay[[#This Row],[Date]]-89, EarningsPerDay[Date], "&lt;="&amp;EarningsPerDay[[#This Row],[Date]]))/90</f>
        <v>56.882555555555548</v>
      </c>
    </row>
    <row r="464" spans="2:30" x14ac:dyDescent="0.35">
      <c r="B464" s="40">
        <v>45364</v>
      </c>
      <c r="C464" s="40">
        <f t="shared" si="43"/>
        <v>45364</v>
      </c>
      <c r="D464" s="4">
        <f>IF(EarningsPerDay[[#This Row],[Week '#]]&gt;=52,YEAR(EarningsPerDay[[#This Row],[Date]])-1,YEAR(EarningsPerDay[[#This Row],[Date]]))</f>
        <v>2024</v>
      </c>
      <c r="E464" s="4" t="str">
        <f>"QTR"&amp;IF(EarningsPerDay[[#This Row],[Week '#]] &lt;= 13, 1, IF(EarningsPerDay[[#This Row],[Week '#]] &lt;= 26, 2, IF(EarningsPerDay[[#This Row],[Week '#]] &lt;= 39, 3, 4)))</f>
        <v>QTR1</v>
      </c>
      <c r="F4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64" s="4">
        <f>IF(WEEKNUM(EarningsPerDay[[#This Row],[Date]], 2) = 53, 1, WEEKNUM(EarningsPerDay[[#This Row],[Date]],2))</f>
        <v>11</v>
      </c>
      <c r="H464" s="40" t="str">
        <f t="shared" si="44"/>
        <v>Wednesday</v>
      </c>
      <c r="I46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64" s="40" t="str" cm="1">
        <f t="array" ref="J464">IFERROR(VLOOKUP(MODE(IF(Combined[Date]=EarningsPerDay[[#This Row],[Date]],Combined[Area '#])),KPIs!$B$4:$C$7,2,FALSE),VLOOKUP(EarningsPerDay[[#This Row],[Date]],Combined[[Date]:[Primary Area]],8,FALSE))</f>
        <v>Brunswick/Bath/Freeport</v>
      </c>
      <c r="K464" s="40" t="str">
        <f>_xlfn.XLOOKUP(EarningsPerDay[[#This Row],[Date]],Mileage[Date],Mileage[Weather])</f>
        <v>Overcast</v>
      </c>
      <c r="L464" s="4">
        <f>_xlfn.XLOOKUP(EarningsPerDay[[#This Row],[Date]],Mileage[Date],Mileage[Hi Temp])</f>
        <v>52</v>
      </c>
      <c r="M464" s="12">
        <f>_xlfn.XLOOKUP(EarningsPerDay[[#This Row],[Date]],Mileage[Date],Mileage[Total Time])</f>
        <v>4.2300000000000004</v>
      </c>
      <c r="N464" s="4">
        <f>_xlfn.XLOOKUP(EarningsPerDay[[#This Row],[Date]],Mileage[Date],Mileage[Mileage])</f>
        <v>69</v>
      </c>
      <c r="O464" s="4">
        <f>SUMIF(Combined[Date],EarningsPerDay[[#This Row],[Date]],Combined[Trips])</f>
        <v>9</v>
      </c>
      <c r="P464">
        <f>COUNTIF(Combined[Date],EarningsPerDay[[#This Row],[Date]])</f>
        <v>3</v>
      </c>
      <c r="Q4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4" s="11">
        <f>SUMIF(Combined[Date],EarningsPerDay[[#This Row],[Date]],Combined[Earnings])</f>
        <v>114.52</v>
      </c>
      <c r="S464" s="11">
        <f ca="1">EarningsPerDay[[#This Row],[Gross Earnings]]-(EarningsPerDay[[#This Row],[Miles]]*CpM!$D$11)</f>
        <v>99.13485660864842</v>
      </c>
      <c r="T464" s="11">
        <f t="shared" si="45"/>
        <v>27.073286052009454</v>
      </c>
      <c r="U464" s="11">
        <f t="shared" ca="1" si="46"/>
        <v>23.43613631410128</v>
      </c>
      <c r="V464" s="11">
        <f>EarningsPerDay[[#This Row],[Gross Earnings]]/EarningsPerDay[[#This Row],[Deliveries]]</f>
        <v>12.724444444444444</v>
      </c>
      <c r="W464" s="11">
        <f>EarningsPerDay[[#This Row],[Gross Earnings]]/EarningsPerDay[[#This Row],[Miles]]</f>
        <v>1.6597101449275362</v>
      </c>
      <c r="X464" s="71">
        <f>EarningsPerDay[[#This Row],[Deliveries]]/EarningsPerDay[[#This Row],[Hours]]</f>
        <v>2.1276595744680851</v>
      </c>
      <c r="Y464" s="71">
        <f>EarningsPerDay[[#This Row],[Miles]]/EarningsPerDay[[#This Row],[Deliveries]]</f>
        <v>7.666666666666667</v>
      </c>
      <c r="Z464" s="81">
        <f>(EarningsPerDay[[#This Row],[Hours]]/EarningsPerDay[[#This Row],[Deliveries]])/24</f>
        <v>1.9583333333333335E-2</v>
      </c>
      <c r="AA4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-0.79847270493084466</v>
      </c>
      <c r="AB464" s="11">
        <f>AVERAGEIFS(EarningsPerDay[Gross $/Hour],EarningsPerDay[Week '#], EarningsPerDay[[#This Row],[Week '#]], EarningsPerDay[DOW], EarningsPerDay[[#This Row],[DOW]])</f>
        <v>24.713285343418189</v>
      </c>
      <c r="AC464" s="11">
        <f>EarningsPerDay[[#This Row],[Gross $/Hour]] - EarningsPerDay[[#This Row],[Weekly Average Earnings]]</f>
        <v>2.3600007085912651</v>
      </c>
      <c r="AD464" s="11">
        <f>(SUMIFS(EarningsPerDay[Gross Earnings], EarningsPerDay[Date],"&gt;="&amp;EarningsPerDay[[#This Row],[Date]]-89, EarningsPerDay[Date], "&lt;="&amp;EarningsPerDay[[#This Row],[Date]]))/90</f>
        <v>56.30322222222221</v>
      </c>
    </row>
    <row r="465" spans="2:30" x14ac:dyDescent="0.35">
      <c r="B465" s="40">
        <v>45365</v>
      </c>
      <c r="C465" s="40">
        <f t="shared" si="43"/>
        <v>45365</v>
      </c>
      <c r="D465" s="4">
        <f>IF(EarningsPerDay[[#This Row],[Week '#]]&gt;=52,YEAR(EarningsPerDay[[#This Row],[Date]])-1,YEAR(EarningsPerDay[[#This Row],[Date]]))</f>
        <v>2024</v>
      </c>
      <c r="E465" s="4" t="str">
        <f>"QTR"&amp;IF(EarningsPerDay[[#This Row],[Week '#]] &lt;= 13, 1, IF(EarningsPerDay[[#This Row],[Week '#]] &lt;= 26, 2, IF(EarningsPerDay[[#This Row],[Week '#]] &lt;= 39, 3, 4)))</f>
        <v>QTR1</v>
      </c>
      <c r="F4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65" s="4">
        <f>IF(WEEKNUM(EarningsPerDay[[#This Row],[Date]], 2) = 53, 1, WEEKNUM(EarningsPerDay[[#This Row],[Date]],2))</f>
        <v>11</v>
      </c>
      <c r="H465" s="40" t="str">
        <f t="shared" si="44"/>
        <v>Thursday</v>
      </c>
      <c r="I46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65" s="40" t="str" cm="1">
        <f t="array" ref="J465">IFERROR(VLOOKUP(MODE(IF(Combined[Date]=EarningsPerDay[[#This Row],[Date]],Combined[Area '#])),KPIs!$B$4:$C$7,2,FALSE),VLOOKUP(EarningsPerDay[[#This Row],[Date]],Combined[[Date]:[Primary Area]],8,FALSE))</f>
        <v>Portland</v>
      </c>
      <c r="K465" s="40" t="str">
        <f>_xlfn.XLOOKUP(EarningsPerDay[[#This Row],[Date]],Mileage[Date],Mileage[Weather])</f>
        <v>Partially Cloudy</v>
      </c>
      <c r="L465" s="4">
        <f>_xlfn.XLOOKUP(EarningsPerDay[[#This Row],[Date]],Mileage[Date],Mileage[Hi Temp])</f>
        <v>41</v>
      </c>
      <c r="M465" s="12">
        <f>_xlfn.XLOOKUP(EarningsPerDay[[#This Row],[Date]],Mileage[Date],Mileage[Total Time])</f>
        <v>4.1500000000000004</v>
      </c>
      <c r="N465" s="4">
        <f>_xlfn.XLOOKUP(EarningsPerDay[[#This Row],[Date]],Mileage[Date],Mileage[Mileage])</f>
        <v>109.8</v>
      </c>
      <c r="O465" s="4">
        <f>SUMIF(Combined[Date],EarningsPerDay[[#This Row],[Date]],Combined[Trips])</f>
        <v>6</v>
      </c>
      <c r="P465">
        <f>COUNTIF(Combined[Date],EarningsPerDay[[#This Row],[Date]])</f>
        <v>3</v>
      </c>
      <c r="Q4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5" s="11">
        <f>SUMIF(Combined[Date],EarningsPerDay[[#This Row],[Date]],Combined[Earnings])</f>
        <v>76</v>
      </c>
      <c r="S465" s="11">
        <f ca="1">EarningsPerDay[[#This Row],[Gross Earnings]]-(EarningsPerDay[[#This Row],[Miles]]*CpM!$D$11)</f>
        <v>51.517554429414432</v>
      </c>
      <c r="T465" s="11">
        <f t="shared" si="45"/>
        <v>18.31325301204819</v>
      </c>
      <c r="U465" s="11">
        <f t="shared" ca="1" si="46"/>
        <v>12.413868537208296</v>
      </c>
      <c r="V465" s="11">
        <f>EarningsPerDay[[#This Row],[Gross Earnings]]/EarningsPerDay[[#This Row],[Deliveries]]</f>
        <v>12.666666666666666</v>
      </c>
      <c r="W465" s="11">
        <f>EarningsPerDay[[#This Row],[Gross Earnings]]/EarningsPerDay[[#This Row],[Miles]]</f>
        <v>0.69216757741347912</v>
      </c>
      <c r="X465" s="71">
        <f>EarningsPerDay[[#This Row],[Deliveries]]/EarningsPerDay[[#This Row],[Hours]]</f>
        <v>1.4457831325301203</v>
      </c>
      <c r="Y465" s="71">
        <f>EarningsPerDay[[#This Row],[Miles]]/EarningsPerDay[[#This Row],[Deliveries]]</f>
        <v>18.3</v>
      </c>
      <c r="Z465" s="81">
        <f>(EarningsPerDay[[#This Row],[Hours]]/EarningsPerDay[[#This Row],[Deliveries]])/24</f>
        <v>2.881944444444445E-2</v>
      </c>
      <c r="AA4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-1.9667236399706169</v>
      </c>
      <c r="AB465" s="11">
        <f>AVERAGEIFS(EarningsPerDay[Gross $/Hour],EarningsPerDay[Week '#], EarningsPerDay[[#This Row],[Week '#]], EarningsPerDay[DOW], EarningsPerDay[[#This Row],[DOW]])</f>
        <v>21.339386458777209</v>
      </c>
      <c r="AC465" s="11">
        <f>EarningsPerDay[[#This Row],[Gross $/Hour]] - EarningsPerDay[[#This Row],[Weekly Average Earnings]]</f>
        <v>-3.0261334467290197</v>
      </c>
      <c r="AD465" s="11">
        <f>(SUMIFS(EarningsPerDay[Gross Earnings], EarningsPerDay[Date],"&gt;="&amp;EarningsPerDay[[#This Row],[Date]]-89, EarningsPerDay[Date], "&lt;="&amp;EarningsPerDay[[#This Row],[Date]]))/90</f>
        <v>57.147666666666659</v>
      </c>
    </row>
    <row r="466" spans="2:30" x14ac:dyDescent="0.35">
      <c r="B466" s="40">
        <v>45366</v>
      </c>
      <c r="C466" s="40">
        <f t="shared" si="43"/>
        <v>45366</v>
      </c>
      <c r="D466" s="4">
        <f>IF(EarningsPerDay[[#This Row],[Week '#]]&gt;=52,YEAR(EarningsPerDay[[#This Row],[Date]])-1,YEAR(EarningsPerDay[[#This Row],[Date]]))</f>
        <v>2024</v>
      </c>
      <c r="E466" s="4" t="str">
        <f>"QTR"&amp;IF(EarningsPerDay[[#This Row],[Week '#]] &lt;= 13, 1, IF(EarningsPerDay[[#This Row],[Week '#]] &lt;= 26, 2, IF(EarningsPerDay[[#This Row],[Week '#]] &lt;= 39, 3, 4)))</f>
        <v>QTR1</v>
      </c>
      <c r="F4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66" s="4">
        <f>IF(WEEKNUM(EarningsPerDay[[#This Row],[Date]], 2) = 53, 1, WEEKNUM(EarningsPerDay[[#This Row],[Date]],2))</f>
        <v>11</v>
      </c>
      <c r="H466" s="40" t="str">
        <f t="shared" si="44"/>
        <v>Friday</v>
      </c>
      <c r="I46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66" s="40" t="str" cm="1">
        <f t="array" ref="J466">IFERROR(VLOOKUP(MODE(IF(Combined[Date]=EarningsPerDay[[#This Row],[Date]],Combined[Area '#])),KPIs!$B$4:$C$7,2,FALSE),VLOOKUP(EarningsPerDay[[#This Row],[Date]],Combined[[Date]:[Primary Area]],8,FALSE))</f>
        <v>Lewiston</v>
      </c>
      <c r="K466" s="40" t="str">
        <f>_xlfn.XLOOKUP(EarningsPerDay[[#This Row],[Date]],Mileage[Date],Mileage[Weather])</f>
        <v>Overcast</v>
      </c>
      <c r="L466" s="4">
        <f>_xlfn.XLOOKUP(EarningsPerDay[[#This Row],[Date]],Mileage[Date],Mileage[Hi Temp])</f>
        <v>37</v>
      </c>
      <c r="M466" s="12">
        <f>_xlfn.XLOOKUP(EarningsPerDay[[#This Row],[Date]],Mileage[Date],Mileage[Total Time])</f>
        <v>3.77</v>
      </c>
      <c r="N466" s="4">
        <f>_xlfn.XLOOKUP(EarningsPerDay[[#This Row],[Date]],Mileage[Date],Mileage[Mileage])</f>
        <v>59</v>
      </c>
      <c r="O466" s="4">
        <f>SUMIF(Combined[Date],EarningsPerDay[[#This Row],[Date]],Combined[Trips])</f>
        <v>12</v>
      </c>
      <c r="P466">
        <f>COUNTIF(Combined[Date],EarningsPerDay[[#This Row],[Date]])</f>
        <v>4</v>
      </c>
      <c r="Q4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6" s="11">
        <f>SUMIF(Combined[Date],EarningsPerDay[[#This Row],[Date]],Combined[Earnings])</f>
        <v>91.05</v>
      </c>
      <c r="S466" s="11">
        <f ca="1">EarningsPerDay[[#This Row],[Gross Earnings]]-(EarningsPerDay[[#This Row],[Miles]]*CpM!$D$11)</f>
        <v>77.894587534931247</v>
      </c>
      <c r="T466" s="11">
        <f t="shared" si="45"/>
        <v>24.151193633952253</v>
      </c>
      <c r="U466" s="11">
        <f t="shared" ca="1" si="46"/>
        <v>20.661694306347812</v>
      </c>
      <c r="V466" s="11">
        <f>EarningsPerDay[[#This Row],[Gross Earnings]]/EarningsPerDay[[#This Row],[Deliveries]]</f>
        <v>7.5874999999999995</v>
      </c>
      <c r="W466" s="11">
        <f>EarningsPerDay[[#This Row],[Gross Earnings]]/EarningsPerDay[[#This Row],[Miles]]</f>
        <v>1.5432203389830508</v>
      </c>
      <c r="X466" s="71">
        <f>EarningsPerDay[[#This Row],[Deliveries]]/EarningsPerDay[[#This Row],[Hours]]</f>
        <v>3.183023872679045</v>
      </c>
      <c r="Y466" s="71">
        <f>EarningsPerDay[[#This Row],[Miles]]/EarningsPerDay[[#This Row],[Deliveries]]</f>
        <v>4.916666666666667</v>
      </c>
      <c r="Z466" s="81">
        <f>(EarningsPerDay[[#This Row],[Hours]]/EarningsPerDay[[#This Row],[Deliveries]])/24</f>
        <v>1.3090277777777777E-2</v>
      </c>
      <c r="AA4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4.2932013638497288</v>
      </c>
      <c r="AB466" s="11">
        <f>AVERAGEIFS(EarningsPerDay[Gross $/Hour],EarningsPerDay[Week '#], EarningsPerDay[[#This Row],[Week '#]], EarningsPerDay[DOW], EarningsPerDay[[#This Row],[DOW]])</f>
        <v>20.505198983639957</v>
      </c>
      <c r="AC466" s="11">
        <f>EarningsPerDay[[#This Row],[Gross $/Hour]] - EarningsPerDay[[#This Row],[Weekly Average Earnings]]</f>
        <v>3.6459946503122964</v>
      </c>
      <c r="AD466" s="11">
        <f>(SUMIFS(EarningsPerDay[Gross Earnings], EarningsPerDay[Date],"&gt;="&amp;EarningsPerDay[[#This Row],[Date]]-89, EarningsPerDay[Date], "&lt;="&amp;EarningsPerDay[[#This Row],[Date]]))/90</f>
        <v>57.440222222222211</v>
      </c>
    </row>
    <row r="467" spans="2:30" x14ac:dyDescent="0.35">
      <c r="B467" s="40">
        <v>45367</v>
      </c>
      <c r="C467" s="40">
        <f t="shared" si="43"/>
        <v>45367</v>
      </c>
      <c r="D467" s="4">
        <f>IF(EarningsPerDay[[#This Row],[Week '#]]&gt;=52,YEAR(EarningsPerDay[[#This Row],[Date]])-1,YEAR(EarningsPerDay[[#This Row],[Date]]))</f>
        <v>2024</v>
      </c>
      <c r="E467" s="4" t="str">
        <f>"QTR"&amp;IF(EarningsPerDay[[#This Row],[Week '#]] &lt;= 13, 1, IF(EarningsPerDay[[#This Row],[Week '#]] &lt;= 26, 2, IF(EarningsPerDay[[#This Row],[Week '#]] &lt;= 39, 3, 4)))</f>
        <v>QTR1</v>
      </c>
      <c r="F4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467" s="4">
        <f>IF(WEEKNUM(EarningsPerDay[[#This Row],[Date]], 2) = 53, 1, WEEKNUM(EarningsPerDay[[#This Row],[Date]],2))</f>
        <v>11</v>
      </c>
      <c r="H467" s="40" t="str">
        <f t="shared" si="44"/>
        <v>Saturday</v>
      </c>
      <c r="I467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467" s="40" t="str" cm="1">
        <f t="array" ref="J467">IFERROR(VLOOKUP(MODE(IF(Combined[Date]=EarningsPerDay[[#This Row],[Date]],Combined[Area '#])),KPIs!$B$4:$C$7,2,FALSE),VLOOKUP(EarningsPerDay[[#This Row],[Date]],Combined[[Date]:[Primary Area]],8,FALSE))</f>
        <v>Brunswick/Bath/Freeport</v>
      </c>
      <c r="K467" s="40" t="str">
        <f>_xlfn.XLOOKUP(EarningsPerDay[[#This Row],[Date]],Mileage[Date],Mileage[Weather])</f>
        <v>Mostly Cloudy</v>
      </c>
      <c r="L467" s="4">
        <f>_xlfn.XLOOKUP(EarningsPerDay[[#This Row],[Date]],Mileage[Date],Mileage[Hi Temp])</f>
        <v>52</v>
      </c>
      <c r="M467" s="12">
        <f>_xlfn.XLOOKUP(EarningsPerDay[[#This Row],[Date]],Mileage[Date],Mileage[Total Time])</f>
        <v>4.03</v>
      </c>
      <c r="N467" s="4">
        <f>_xlfn.XLOOKUP(EarningsPerDay[[#This Row],[Date]],Mileage[Date],Mileage[Mileage])</f>
        <v>94</v>
      </c>
      <c r="O467" s="4">
        <f>SUMIF(Combined[Date],EarningsPerDay[[#This Row],[Date]],Combined[Trips])</f>
        <v>6</v>
      </c>
      <c r="P467">
        <f>COUNTIF(Combined[Date],EarningsPerDay[[#This Row],[Date]])</f>
        <v>2</v>
      </c>
      <c r="Q4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7" s="11">
        <f>SUMIF(Combined[Date],EarningsPerDay[[#This Row],[Date]],Combined[Earnings])</f>
        <v>84.15</v>
      </c>
      <c r="S467" s="11">
        <f ca="1">EarningsPerDay[[#This Row],[Gross Earnings]]-(EarningsPerDay[[#This Row],[Miles]]*CpM!$D$11)</f>
        <v>63.190529292941328</v>
      </c>
      <c r="T467" s="11">
        <f t="shared" si="45"/>
        <v>20.88089330024814</v>
      </c>
      <c r="U467" s="11">
        <f t="shared" ca="1" si="46"/>
        <v>15.680032082615714</v>
      </c>
      <c r="V467" s="11">
        <f>EarningsPerDay[[#This Row],[Gross Earnings]]/EarningsPerDay[[#This Row],[Deliveries]]</f>
        <v>14.025</v>
      </c>
      <c r="W467" s="11">
        <f>EarningsPerDay[[#This Row],[Gross Earnings]]/EarningsPerDay[[#This Row],[Miles]]</f>
        <v>0.89521276595744692</v>
      </c>
      <c r="X467" s="71">
        <f>EarningsPerDay[[#This Row],[Deliveries]]/EarningsPerDay[[#This Row],[Hours]]</f>
        <v>1.4888337468982629</v>
      </c>
      <c r="Y467" s="71">
        <f>EarningsPerDay[[#This Row],[Miles]]/EarningsPerDay[[#This Row],[Deliveries]]</f>
        <v>15.666666666666666</v>
      </c>
      <c r="Z467" s="81">
        <f>(EarningsPerDay[[#This Row],[Hours]]/EarningsPerDay[[#This Row],[Deliveries]])/24</f>
        <v>2.7986111111111114E-2</v>
      </c>
      <c r="AA4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-5.1856970879442166</v>
      </c>
      <c r="AB467" s="11">
        <f>AVERAGEIFS(EarningsPerDay[Gross $/Hour],EarningsPerDay[Week '#], EarningsPerDay[[#This Row],[Week '#]], EarningsPerDay[DOW], EarningsPerDay[[#This Row],[DOW]])</f>
        <v>24.294742211193824</v>
      </c>
      <c r="AC467" s="11">
        <f>EarningsPerDay[[#This Row],[Gross $/Hour]] - EarningsPerDay[[#This Row],[Weekly Average Earnings]]</f>
        <v>-3.4138489109456849</v>
      </c>
      <c r="AD467" s="11">
        <f>(SUMIFS(EarningsPerDay[Gross Earnings], EarningsPerDay[Date],"&gt;="&amp;EarningsPerDay[[#This Row],[Date]]-89, EarningsPerDay[Date], "&lt;="&amp;EarningsPerDay[[#This Row],[Date]]))/90</f>
        <v>58.375222222222206</v>
      </c>
    </row>
    <row r="468" spans="2:30" x14ac:dyDescent="0.35">
      <c r="B468" s="40">
        <v>45370</v>
      </c>
      <c r="C468" s="40">
        <f t="shared" si="43"/>
        <v>45370</v>
      </c>
      <c r="D468" s="4">
        <f>IF(EarningsPerDay[[#This Row],[Week '#]]&gt;=52,YEAR(EarningsPerDay[[#This Row],[Date]])-1,YEAR(EarningsPerDay[[#This Row],[Date]]))</f>
        <v>2024</v>
      </c>
      <c r="E468" s="4" t="str">
        <f>"QTR"&amp;IF(EarningsPerDay[[#This Row],[Week '#]] &lt;= 13, 1, IF(EarningsPerDay[[#This Row],[Week '#]] &lt;= 26, 2, IF(EarningsPerDay[[#This Row],[Week '#]] &lt;= 39, 3, 4)))</f>
        <v>QTR1</v>
      </c>
      <c r="F4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468" s="4">
        <f>IF(WEEKNUM(EarningsPerDay[[#This Row],[Date]], 2) = 53, 1, WEEKNUM(EarningsPerDay[[#This Row],[Date]],2))</f>
        <v>12</v>
      </c>
      <c r="H468" s="40" t="str">
        <f t="shared" si="44"/>
        <v>Tuesday</v>
      </c>
      <c r="I46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68" s="40" t="str" cm="1">
        <f t="array" ref="J468">IFERROR(VLOOKUP(MODE(IF(Combined[Date]=EarningsPerDay[[#This Row],[Date]],Combined[Area '#])),KPIs!$B$4:$C$7,2,FALSE),VLOOKUP(EarningsPerDay[[#This Row],[Date]],Combined[[Date]:[Primary Area]],8,FALSE))</f>
        <v>Brunswick/Bath/Freeport</v>
      </c>
      <c r="K468" s="40" t="str">
        <f>_xlfn.XLOOKUP(EarningsPerDay[[#This Row],[Date]],Mileage[Date],Mileage[Weather])</f>
        <v>Clear</v>
      </c>
      <c r="L468" s="4">
        <f>_xlfn.XLOOKUP(EarningsPerDay[[#This Row],[Date]],Mileage[Date],Mileage[Hi Temp])</f>
        <v>36</v>
      </c>
      <c r="M468" s="12">
        <f>_xlfn.XLOOKUP(EarningsPerDay[[#This Row],[Date]],Mileage[Date],Mileage[Total Time])</f>
        <v>3.38</v>
      </c>
      <c r="N468" s="4">
        <f>_xlfn.XLOOKUP(EarningsPerDay[[#This Row],[Date]],Mileage[Date],Mileage[Mileage])</f>
        <v>79</v>
      </c>
      <c r="O468" s="4">
        <f>SUMIF(Combined[Date],EarningsPerDay[[#This Row],[Date]],Combined[Trips])</f>
        <v>8</v>
      </c>
      <c r="P468">
        <f>COUNTIF(Combined[Date],EarningsPerDay[[#This Row],[Date]])</f>
        <v>1</v>
      </c>
      <c r="Q4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68" s="11">
        <f>SUMIF(Combined[Date],EarningsPerDay[[#This Row],[Date]],Combined[Earnings])</f>
        <v>114.44</v>
      </c>
      <c r="S468" s="11">
        <f ca="1">EarningsPerDay[[#This Row],[Gross Earnings]]-(EarningsPerDay[[#This Row],[Miles]]*CpM!$D$11)</f>
        <v>96.825125682365581</v>
      </c>
      <c r="T468" s="11">
        <f t="shared" si="45"/>
        <v>33.857988165680474</v>
      </c>
      <c r="U468" s="11">
        <f t="shared" ca="1" si="46"/>
        <v>28.646486888273841</v>
      </c>
      <c r="V468" s="11">
        <f>EarningsPerDay[[#This Row],[Gross Earnings]]/EarningsPerDay[[#This Row],[Deliveries]]</f>
        <v>14.305</v>
      </c>
      <c r="W468" s="11">
        <f>EarningsPerDay[[#This Row],[Gross Earnings]]/EarningsPerDay[[#This Row],[Miles]]</f>
        <v>1.4486075949367088</v>
      </c>
      <c r="X468" s="71">
        <f>EarningsPerDay[[#This Row],[Deliveries]]/EarningsPerDay[[#This Row],[Hours]]</f>
        <v>2.3668639053254439</v>
      </c>
      <c r="Y468" s="71">
        <f>EarningsPerDay[[#This Row],[Miles]]/EarningsPerDay[[#This Row],[Deliveries]]</f>
        <v>9.875</v>
      </c>
      <c r="Z468" s="81">
        <f>(EarningsPerDay[[#This Row],[Hours]]/EarningsPerDay[[#This Row],[Deliveries]])/24</f>
        <v>1.7604166666666667E-2</v>
      </c>
      <c r="AA4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6.316954416598783</v>
      </c>
      <c r="AB468" s="11">
        <f>AVERAGEIFS(EarningsPerDay[Gross $/Hour],EarningsPerDay[Week '#], EarningsPerDay[[#This Row],[Week '#]], EarningsPerDay[DOW], EarningsPerDay[[#This Row],[DOW]])</f>
        <v>23.708191000470212</v>
      </c>
      <c r="AC468" s="11">
        <f>EarningsPerDay[[#This Row],[Gross $/Hour]] - EarningsPerDay[[#This Row],[Weekly Average Earnings]]</f>
        <v>10.149797165210263</v>
      </c>
      <c r="AD468" s="11">
        <f>(SUMIFS(EarningsPerDay[Gross Earnings], EarningsPerDay[Date],"&gt;="&amp;EarningsPerDay[[#This Row],[Date]]-89, EarningsPerDay[Date], "&lt;="&amp;EarningsPerDay[[#This Row],[Date]]))/90</f>
        <v>58.671666666666653</v>
      </c>
    </row>
    <row r="469" spans="2:30" x14ac:dyDescent="0.35">
      <c r="B469" s="40">
        <v>45376</v>
      </c>
      <c r="C469" s="40">
        <f t="shared" si="43"/>
        <v>45376</v>
      </c>
      <c r="D469" s="4">
        <f>IF(EarningsPerDay[[#This Row],[Week '#]]&gt;=52,YEAR(EarningsPerDay[[#This Row],[Date]])-1,YEAR(EarningsPerDay[[#This Row],[Date]]))</f>
        <v>2024</v>
      </c>
      <c r="E469" s="4" t="str">
        <f>"QTR"&amp;IF(EarningsPerDay[[#This Row],[Week '#]] &lt;= 13, 1, IF(EarningsPerDay[[#This Row],[Week '#]] &lt;= 26, 2, IF(EarningsPerDay[[#This Row],[Week '#]] &lt;= 39, 3, 4)))</f>
        <v>QTR1</v>
      </c>
      <c r="F4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69" s="4">
        <f>IF(WEEKNUM(EarningsPerDay[[#This Row],[Date]], 2) = 53, 1, WEEKNUM(EarningsPerDay[[#This Row],[Date]],2))</f>
        <v>13</v>
      </c>
      <c r="H469" s="40" t="str">
        <f t="shared" si="44"/>
        <v>Monday</v>
      </c>
      <c r="I46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69" s="40" t="str" cm="1">
        <f t="array" ref="J469">IFERROR(VLOOKUP(MODE(IF(Combined[Date]=EarningsPerDay[[#This Row],[Date]],Combined[Area '#])),KPIs!$B$4:$C$7,2,FALSE),VLOOKUP(EarningsPerDay[[#This Row],[Date]],Combined[[Date]:[Primary Area]],8,FALSE))</f>
        <v>Brunswick/Bath/Freeport</v>
      </c>
      <c r="K469" s="40" t="str">
        <f>_xlfn.XLOOKUP(EarningsPerDay[[#This Row],[Date]],Mileage[Date],Mileage[Weather])</f>
        <v>Clear</v>
      </c>
      <c r="L469" s="4">
        <f>_xlfn.XLOOKUP(EarningsPerDay[[#This Row],[Date]],Mileage[Date],Mileage[Hi Temp])</f>
        <v>37</v>
      </c>
      <c r="M469" s="12">
        <f>_xlfn.XLOOKUP(EarningsPerDay[[#This Row],[Date]],Mileage[Date],Mileage[Total Time])</f>
        <v>3.25</v>
      </c>
      <c r="N469" s="4">
        <f>_xlfn.XLOOKUP(EarningsPerDay[[#This Row],[Date]],Mileage[Date],Mileage[Mileage])</f>
        <v>71</v>
      </c>
      <c r="O469" s="4">
        <f>SUMIF(Combined[Date],EarningsPerDay[[#This Row],[Date]],Combined[Trips])</f>
        <v>6</v>
      </c>
      <c r="P469">
        <f>COUNTIF(Combined[Date],EarningsPerDay[[#This Row],[Date]])</f>
        <v>3</v>
      </c>
      <c r="Q46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69" s="11">
        <f>SUMIF(Combined[Date],EarningsPerDay[[#This Row],[Date]],Combined[Earnings])</f>
        <v>101.97999999999999</v>
      </c>
      <c r="S469" s="11">
        <f ca="1">EarningsPerDay[[#This Row],[Gross Earnings]]-(EarningsPerDay[[#This Row],[Miles]]*CpM!$D$11)</f>
        <v>86.14891042339184</v>
      </c>
      <c r="T469" s="11">
        <f t="shared" si="45"/>
        <v>31.378461538461536</v>
      </c>
      <c r="U469" s="11">
        <f t="shared" ca="1" si="46"/>
        <v>26.507357053351335</v>
      </c>
      <c r="V469" s="11">
        <f>EarningsPerDay[[#This Row],[Gross Earnings]]/EarningsPerDay[[#This Row],[Deliveries]]</f>
        <v>16.996666666666666</v>
      </c>
      <c r="W469" s="11">
        <f>EarningsPerDay[[#This Row],[Gross Earnings]]/EarningsPerDay[[#This Row],[Miles]]</f>
        <v>1.4363380281690139</v>
      </c>
      <c r="X469" s="71">
        <f>EarningsPerDay[[#This Row],[Deliveries]]/EarningsPerDay[[#This Row],[Hours]]</f>
        <v>1.8461538461538463</v>
      </c>
      <c r="Y469" s="71">
        <f>EarningsPerDay[[#This Row],[Miles]]/EarningsPerDay[[#This Row],[Deliveries]]</f>
        <v>11.833333333333334</v>
      </c>
      <c r="Z469" s="81">
        <f>(EarningsPerDay[[#This Row],[Hours]]/EarningsPerDay[[#This Row],[Deliveries]])/24</f>
        <v>2.2569444444444444E-2</v>
      </c>
      <c r="AA4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6.0205713676591444</v>
      </c>
      <c r="AB469" s="11">
        <f>AVERAGEIFS(EarningsPerDay[Gross $/Hour],EarningsPerDay[Week '#], EarningsPerDay[[#This Row],[Week '#]], EarningsPerDay[DOW], EarningsPerDay[[#This Row],[DOW]])</f>
        <v>28.889867756914999</v>
      </c>
      <c r="AC469" s="11">
        <f>EarningsPerDay[[#This Row],[Gross $/Hour]] - EarningsPerDay[[#This Row],[Weekly Average Earnings]]</f>
        <v>2.4885937815465375</v>
      </c>
      <c r="AD469" s="11">
        <f>(SUMIFS(EarningsPerDay[Gross Earnings], EarningsPerDay[Date],"&gt;="&amp;EarningsPerDay[[#This Row],[Date]]-89, EarningsPerDay[Date], "&lt;="&amp;EarningsPerDay[[#This Row],[Date]]))/90</f>
        <v>57.224555555555547</v>
      </c>
    </row>
    <row r="470" spans="2:30" x14ac:dyDescent="0.35">
      <c r="B470" s="40">
        <v>45377</v>
      </c>
      <c r="C470" s="40">
        <f t="shared" si="43"/>
        <v>45377</v>
      </c>
      <c r="D470" s="4">
        <f>IF(EarningsPerDay[[#This Row],[Week '#]]&gt;=52,YEAR(EarningsPerDay[[#This Row],[Date]])-1,YEAR(EarningsPerDay[[#This Row],[Date]]))</f>
        <v>2024</v>
      </c>
      <c r="E470" s="4" t="str">
        <f>"QTR"&amp;IF(EarningsPerDay[[#This Row],[Week '#]] &lt;= 13, 1, IF(EarningsPerDay[[#This Row],[Week '#]] &lt;= 26, 2, IF(EarningsPerDay[[#This Row],[Week '#]] &lt;= 39, 3, 4)))</f>
        <v>QTR1</v>
      </c>
      <c r="F4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70" s="4">
        <f>IF(WEEKNUM(EarningsPerDay[[#This Row],[Date]], 2) = 53, 1, WEEKNUM(EarningsPerDay[[#This Row],[Date]],2))</f>
        <v>13</v>
      </c>
      <c r="H470" s="40" t="str">
        <f t="shared" si="44"/>
        <v>Tuesday</v>
      </c>
      <c r="I47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70" s="40" t="str" cm="1">
        <f t="array" ref="J470">IFERROR(VLOOKUP(MODE(IF(Combined[Date]=EarningsPerDay[[#This Row],[Date]],Combined[Area '#])),KPIs!$B$4:$C$7,2,FALSE),VLOOKUP(EarningsPerDay[[#This Row],[Date]],Combined[[Date]:[Primary Area]],8,FALSE))</f>
        <v>Brunswick/Bath/Freeport</v>
      </c>
      <c r="K470" s="40" t="str">
        <f>_xlfn.XLOOKUP(EarningsPerDay[[#This Row],[Date]],Mileage[Date],Mileage[Weather])</f>
        <v>Fog</v>
      </c>
      <c r="L470" s="4">
        <f>_xlfn.XLOOKUP(EarningsPerDay[[#This Row],[Date]],Mileage[Date],Mileage[Hi Temp])</f>
        <v>37</v>
      </c>
      <c r="M470" s="12">
        <f>_xlfn.XLOOKUP(EarningsPerDay[[#This Row],[Date]],Mileage[Date],Mileage[Total Time])</f>
        <v>2.75</v>
      </c>
      <c r="N470" s="4">
        <f>_xlfn.XLOOKUP(EarningsPerDay[[#This Row],[Date]],Mileage[Date],Mileage[Mileage])</f>
        <v>51</v>
      </c>
      <c r="O470" s="4">
        <f>SUMIF(Combined[Date],EarningsPerDay[[#This Row],[Date]],Combined[Trips])</f>
        <v>7</v>
      </c>
      <c r="P470">
        <f>COUNTIF(Combined[Date],EarningsPerDay[[#This Row],[Date]])</f>
        <v>1</v>
      </c>
      <c r="Q4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0" s="11">
        <f>SUMIF(Combined[Date],EarningsPerDay[[#This Row],[Date]],Combined[Earnings])</f>
        <v>69.17</v>
      </c>
      <c r="S470" s="11">
        <f ca="1">EarningsPerDay[[#This Row],[Gross Earnings]]-(EarningsPerDay[[#This Row],[Miles]]*CpM!$D$11)</f>
        <v>57.798372275957526</v>
      </c>
      <c r="T470" s="11">
        <f t="shared" si="45"/>
        <v>25.152727272727272</v>
      </c>
      <c r="U470" s="11">
        <f t="shared" ca="1" si="46"/>
        <v>21.01758991853001</v>
      </c>
      <c r="V470" s="11">
        <f>EarningsPerDay[[#This Row],[Gross Earnings]]/EarningsPerDay[[#This Row],[Deliveries]]</f>
        <v>9.8814285714285717</v>
      </c>
      <c r="W470" s="11">
        <f>EarningsPerDay[[#This Row],[Gross Earnings]]/EarningsPerDay[[#This Row],[Miles]]</f>
        <v>1.3562745098039215</v>
      </c>
      <c r="X470" s="71">
        <f>EarningsPerDay[[#This Row],[Deliveries]]/EarningsPerDay[[#This Row],[Hours]]</f>
        <v>2.5454545454545454</v>
      </c>
      <c r="Y470" s="71">
        <f>EarningsPerDay[[#This Row],[Miles]]/EarningsPerDay[[#This Row],[Deliveries]]</f>
        <v>7.2857142857142856</v>
      </c>
      <c r="Z470" s="81">
        <f>(EarningsPerDay[[#This Row],[Hours]]/EarningsPerDay[[#This Row],[Deliveries]])/24</f>
        <v>1.636904761904762E-2</v>
      </c>
      <c r="AA4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-2.7598920302719954</v>
      </c>
      <c r="AB470" s="11">
        <f>AVERAGEIFS(EarningsPerDay[Gross $/Hour],EarningsPerDay[Week '#], EarningsPerDay[[#This Row],[Week '#]], EarningsPerDay[DOW], EarningsPerDay[[#This Row],[DOW]])</f>
        <v>23.049833024118737</v>
      </c>
      <c r="AC470" s="11">
        <f>EarningsPerDay[[#This Row],[Gross $/Hour]] - EarningsPerDay[[#This Row],[Weekly Average Earnings]]</f>
        <v>2.1028942486085356</v>
      </c>
      <c r="AD470" s="11">
        <f>(SUMIFS(EarningsPerDay[Gross Earnings], EarningsPerDay[Date],"&gt;="&amp;EarningsPerDay[[#This Row],[Date]]-89, EarningsPerDay[Date], "&lt;="&amp;EarningsPerDay[[#This Row],[Date]]))/90</f>
        <v>56.886888888888876</v>
      </c>
    </row>
    <row r="471" spans="2:30" x14ac:dyDescent="0.35">
      <c r="B471" s="40">
        <v>45378</v>
      </c>
      <c r="C471" s="40">
        <f t="shared" si="43"/>
        <v>45378</v>
      </c>
      <c r="D471" s="4">
        <f>IF(EarningsPerDay[[#This Row],[Week '#]]&gt;=52,YEAR(EarningsPerDay[[#This Row],[Date]])-1,YEAR(EarningsPerDay[[#This Row],[Date]]))</f>
        <v>2024</v>
      </c>
      <c r="E471" s="4" t="str">
        <f>"QTR"&amp;IF(EarningsPerDay[[#This Row],[Week '#]] &lt;= 13, 1, IF(EarningsPerDay[[#This Row],[Week '#]] &lt;= 26, 2, IF(EarningsPerDay[[#This Row],[Week '#]] &lt;= 39, 3, 4)))</f>
        <v>QTR1</v>
      </c>
      <c r="F4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71" s="4">
        <f>IF(WEEKNUM(EarningsPerDay[[#This Row],[Date]], 2) = 53, 1, WEEKNUM(EarningsPerDay[[#This Row],[Date]],2))</f>
        <v>13</v>
      </c>
      <c r="H471" s="40" t="str">
        <f t="shared" si="44"/>
        <v>Wednesday</v>
      </c>
      <c r="I47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71" s="40" t="str" cm="1">
        <f t="array" ref="J471">IFERROR(VLOOKUP(MODE(IF(Combined[Date]=EarningsPerDay[[#This Row],[Date]],Combined[Area '#])),KPIs!$B$4:$C$7,2,FALSE),VLOOKUP(EarningsPerDay[[#This Row],[Date]],Combined[[Date]:[Primary Area]],8,FALSE))</f>
        <v>Brunswick/Bath/Freeport</v>
      </c>
      <c r="K471" s="40" t="str">
        <f>_xlfn.XLOOKUP(EarningsPerDay[[#This Row],[Date]],Mileage[Date],Mileage[Weather])</f>
        <v>Rain</v>
      </c>
      <c r="L471" s="4">
        <f>_xlfn.XLOOKUP(EarningsPerDay[[#This Row],[Date]],Mileage[Date],Mileage[Hi Temp])</f>
        <v>46</v>
      </c>
      <c r="M471" s="12">
        <f>_xlfn.XLOOKUP(EarningsPerDay[[#This Row],[Date]],Mileage[Date],Mileage[Total Time])</f>
        <v>3.32</v>
      </c>
      <c r="N471" s="4">
        <f>_xlfn.XLOOKUP(EarningsPerDay[[#This Row],[Date]],Mileage[Date],Mileage[Mileage])</f>
        <v>77</v>
      </c>
      <c r="O471" s="4">
        <f>SUMIF(Combined[Date],EarningsPerDay[[#This Row],[Date]],Combined[Trips])</f>
        <v>7</v>
      </c>
      <c r="P471">
        <f>COUNTIF(Combined[Date],EarningsPerDay[[#This Row],[Date]])</f>
        <v>2</v>
      </c>
      <c r="Q4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1" s="11">
        <f>SUMIF(Combined[Date],EarningsPerDay[[#This Row],[Date]],Combined[Earnings])</f>
        <v>126.36</v>
      </c>
      <c r="S471" s="11">
        <f ca="1">EarningsPerDay[[#This Row],[Gross Earnings]]-(EarningsPerDay[[#This Row],[Miles]]*CpM!$D$11)</f>
        <v>109.19107186762214</v>
      </c>
      <c r="T471" s="11">
        <f t="shared" si="45"/>
        <v>38.060240963855421</v>
      </c>
      <c r="U471" s="11">
        <f t="shared" ca="1" si="46"/>
        <v>32.888877068560888</v>
      </c>
      <c r="V471" s="11">
        <f>EarningsPerDay[[#This Row],[Gross Earnings]]/EarningsPerDay[[#This Row],[Deliveries]]</f>
        <v>18.05142857142857</v>
      </c>
      <c r="W471" s="11">
        <f>EarningsPerDay[[#This Row],[Gross Earnings]]/EarningsPerDay[[#This Row],[Miles]]</f>
        <v>1.6410389610389611</v>
      </c>
      <c r="X471" s="71">
        <f>EarningsPerDay[[#This Row],[Deliveries]]/EarningsPerDay[[#This Row],[Hours]]</f>
        <v>2.1084337349397591</v>
      </c>
      <c r="Y471" s="71">
        <f>EarningsPerDay[[#This Row],[Miles]]/EarningsPerDay[[#This Row],[Deliveries]]</f>
        <v>11</v>
      </c>
      <c r="Z471" s="81">
        <f>(EarningsPerDay[[#This Row],[Hours]]/EarningsPerDay[[#This Row],[Deliveries]])/24</f>
        <v>1.9761904761904762E-2</v>
      </c>
      <c r="AA4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10.255021598992695</v>
      </c>
      <c r="AB471" s="11">
        <f>AVERAGEIFS(EarningsPerDay[Gross $/Hour],EarningsPerDay[Week '#], EarningsPerDay[[#This Row],[Week '#]], EarningsPerDay[DOW], EarningsPerDay[[#This Row],[DOW]])</f>
        <v>32.352077622229814</v>
      </c>
      <c r="AC471" s="11">
        <f>EarningsPerDay[[#This Row],[Gross $/Hour]] - EarningsPerDay[[#This Row],[Weekly Average Earnings]]</f>
        <v>5.7081633416256068</v>
      </c>
      <c r="AD471" s="11">
        <f>(SUMIFS(EarningsPerDay[Gross Earnings], EarningsPerDay[Date],"&gt;="&amp;EarningsPerDay[[#This Row],[Date]]-89, EarningsPerDay[Date], "&lt;="&amp;EarningsPerDay[[#This Row],[Date]]))/90</f>
        <v>58.290888888888873</v>
      </c>
    </row>
    <row r="472" spans="2:30" x14ac:dyDescent="0.35">
      <c r="B472" s="40">
        <v>45380</v>
      </c>
      <c r="C472" s="40">
        <f t="shared" si="43"/>
        <v>45380</v>
      </c>
      <c r="D472" s="4">
        <f>IF(EarningsPerDay[[#This Row],[Week '#]]&gt;=52,YEAR(EarningsPerDay[[#This Row],[Date]])-1,YEAR(EarningsPerDay[[#This Row],[Date]]))</f>
        <v>2024</v>
      </c>
      <c r="E472" s="4" t="str">
        <f>"QTR"&amp;IF(EarningsPerDay[[#This Row],[Week '#]] &lt;= 13, 1, IF(EarningsPerDay[[#This Row],[Week '#]] &lt;= 26, 2, IF(EarningsPerDay[[#This Row],[Week '#]] &lt;= 39, 3, 4)))</f>
        <v>QTR1</v>
      </c>
      <c r="F4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472" s="4">
        <f>IF(WEEKNUM(EarningsPerDay[[#This Row],[Date]], 2) = 53, 1, WEEKNUM(EarningsPerDay[[#This Row],[Date]],2))</f>
        <v>13</v>
      </c>
      <c r="H472" s="40" t="str">
        <f t="shared" si="44"/>
        <v>Friday</v>
      </c>
      <c r="I47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72" s="40" t="str" cm="1">
        <f t="array" ref="J472">IFERROR(VLOOKUP(MODE(IF(Combined[Date]=EarningsPerDay[[#This Row],[Date]],Combined[Area '#])),KPIs!$B$4:$C$7,2,FALSE),VLOOKUP(EarningsPerDay[[#This Row],[Date]],Combined[[Date]:[Primary Area]],8,FALSE))</f>
        <v>Portland</v>
      </c>
      <c r="K472" s="40" t="str">
        <f>_xlfn.XLOOKUP(EarningsPerDay[[#This Row],[Date]],Mileage[Date],Mileage[Weather])</f>
        <v>Overcast</v>
      </c>
      <c r="L472" s="4">
        <f>_xlfn.XLOOKUP(EarningsPerDay[[#This Row],[Date]],Mileage[Date],Mileage[Hi Temp])</f>
        <v>45</v>
      </c>
      <c r="M472" s="12">
        <f>_xlfn.XLOOKUP(EarningsPerDay[[#This Row],[Date]],Mileage[Date],Mileage[Total Time])</f>
        <v>5.23</v>
      </c>
      <c r="N472" s="4">
        <f>_xlfn.XLOOKUP(EarningsPerDay[[#This Row],[Date]],Mileage[Date],Mileage[Mileage])</f>
        <v>136</v>
      </c>
      <c r="O472" s="4">
        <f>SUMIF(Combined[Date],EarningsPerDay[[#This Row],[Date]],Combined[Trips])</f>
        <v>9</v>
      </c>
      <c r="P472">
        <f>COUNTIF(Combined[Date],EarningsPerDay[[#This Row],[Date]])</f>
        <v>1</v>
      </c>
      <c r="Q4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2" s="11">
        <f>SUMIF(Combined[Date],EarningsPerDay[[#This Row],[Date]],Combined[Earnings])</f>
        <v>155.94</v>
      </c>
      <c r="S472" s="11">
        <f ca="1">EarningsPerDay[[#This Row],[Gross Earnings]]-(EarningsPerDay[[#This Row],[Miles]]*CpM!$D$11)</f>
        <v>125.6156594025534</v>
      </c>
      <c r="T472" s="11">
        <f t="shared" si="45"/>
        <v>29.81644359464627</v>
      </c>
      <c r="U472" s="11">
        <f t="shared" ca="1" si="46"/>
        <v>24.01829051674061</v>
      </c>
      <c r="V472" s="11">
        <f>EarningsPerDay[[#This Row],[Gross Earnings]]/EarningsPerDay[[#This Row],[Deliveries]]</f>
        <v>17.326666666666668</v>
      </c>
      <c r="W472" s="11">
        <f>EarningsPerDay[[#This Row],[Gross Earnings]]/EarningsPerDay[[#This Row],[Miles]]</f>
        <v>1.1466176470588234</v>
      </c>
      <c r="X472" s="71">
        <f>EarningsPerDay[[#This Row],[Deliveries]]/EarningsPerDay[[#This Row],[Hours]]</f>
        <v>1.7208413001912044</v>
      </c>
      <c r="Y472" s="71">
        <f>EarningsPerDay[[#This Row],[Miles]]/EarningsPerDay[[#This Row],[Deliveries]]</f>
        <v>15.111111111111111</v>
      </c>
      <c r="Z472" s="81">
        <f>(EarningsPerDay[[#This Row],[Hours]]/EarningsPerDay[[#This Row],[Deliveries]])/24</f>
        <v>2.4212962962962964E-2</v>
      </c>
      <c r="AA4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6.9539337400022667</v>
      </c>
      <c r="AB472" s="11">
        <f>AVERAGEIFS(EarningsPerDay[Gross $/Hour],EarningsPerDay[Week '#], EarningsPerDay[[#This Row],[Week '#]], EarningsPerDay[DOW], EarningsPerDay[[#This Row],[DOW]])</f>
        <v>21.587544461558959</v>
      </c>
      <c r="AC472" s="11">
        <f>EarningsPerDay[[#This Row],[Gross $/Hour]] - EarningsPerDay[[#This Row],[Weekly Average Earnings]]</f>
        <v>8.2288991330873102</v>
      </c>
      <c r="AD472" s="11">
        <f>(SUMIFS(EarningsPerDay[Gross Earnings], EarningsPerDay[Date],"&gt;="&amp;EarningsPerDay[[#This Row],[Date]]-89, EarningsPerDay[Date], "&lt;="&amp;EarningsPerDay[[#This Row],[Date]]))/90</f>
        <v>58.042555555555545</v>
      </c>
    </row>
    <row r="473" spans="2:30" x14ac:dyDescent="0.35">
      <c r="B473" s="40">
        <v>45383</v>
      </c>
      <c r="C473" s="40">
        <f t="shared" si="43"/>
        <v>45383</v>
      </c>
      <c r="D473" s="4">
        <f>IF(EarningsPerDay[[#This Row],[Week '#]]&gt;=52,YEAR(EarningsPerDay[[#This Row],[Date]])-1,YEAR(EarningsPerDay[[#This Row],[Date]]))</f>
        <v>2024</v>
      </c>
      <c r="E473" s="4" t="str">
        <f>"QTR"&amp;IF(EarningsPerDay[[#This Row],[Week '#]] &lt;= 13, 1, IF(EarningsPerDay[[#This Row],[Week '#]] &lt;= 26, 2, IF(EarningsPerDay[[#This Row],[Week '#]] &lt;= 39, 3, 4)))</f>
        <v>QTR2</v>
      </c>
      <c r="F4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73" s="4">
        <f>IF(WEEKNUM(EarningsPerDay[[#This Row],[Date]], 2) = 53, 1, WEEKNUM(EarningsPerDay[[#This Row],[Date]],2))</f>
        <v>14</v>
      </c>
      <c r="H473" s="40" t="str">
        <f t="shared" si="44"/>
        <v>Monday</v>
      </c>
      <c r="I47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73" s="40" t="str" cm="1">
        <f t="array" ref="J473">IFERROR(VLOOKUP(MODE(IF(Combined[Date]=EarningsPerDay[[#This Row],[Date]],Combined[Area '#])),KPIs!$B$4:$C$7,2,FALSE),VLOOKUP(EarningsPerDay[[#This Row],[Date]],Combined[[Date]:[Primary Area]],8,FALSE))</f>
        <v>Lewiston</v>
      </c>
      <c r="K473" s="40" t="str">
        <f>_xlfn.XLOOKUP(EarningsPerDay[[#This Row],[Date]],Mileage[Date],Mileage[Weather])</f>
        <v>Partially Cloudy</v>
      </c>
      <c r="L473" s="4">
        <f>_xlfn.XLOOKUP(EarningsPerDay[[#This Row],[Date]],Mileage[Date],Mileage[Hi Temp])</f>
        <v>48</v>
      </c>
      <c r="M473" s="12">
        <f>_xlfn.XLOOKUP(EarningsPerDay[[#This Row],[Date]],Mileage[Date],Mileage[Total Time])</f>
        <v>4.53</v>
      </c>
      <c r="N473" s="4">
        <f>_xlfn.XLOOKUP(EarningsPerDay[[#This Row],[Date]],Mileage[Date],Mileage[Mileage])</f>
        <v>87</v>
      </c>
      <c r="O473" s="4">
        <f>SUMIF(Combined[Date],EarningsPerDay[[#This Row],[Date]],Combined[Trips])</f>
        <v>7</v>
      </c>
      <c r="P473">
        <f>COUNTIF(Combined[Date],EarningsPerDay[[#This Row],[Date]])</f>
        <v>2</v>
      </c>
      <c r="Q4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3" s="11">
        <f>SUMIF(Combined[Date],EarningsPerDay[[#This Row],[Date]],Combined[Earnings])</f>
        <v>68.83</v>
      </c>
      <c r="S473" s="11">
        <f ca="1">EarningsPerDay[[#This Row],[Gross Earnings]]-(EarningsPerDay[[#This Row],[Miles]]*CpM!$D$11)</f>
        <v>49.4313409413393</v>
      </c>
      <c r="T473" s="11">
        <f t="shared" si="45"/>
        <v>15.194260485651213</v>
      </c>
      <c r="U473" s="11">
        <f t="shared" ca="1" si="46"/>
        <v>10.911995792790131</v>
      </c>
      <c r="V473" s="11">
        <f>EarningsPerDay[[#This Row],[Gross Earnings]]/EarningsPerDay[[#This Row],[Deliveries]]</f>
        <v>9.8328571428571419</v>
      </c>
      <c r="W473" s="11">
        <f>EarningsPerDay[[#This Row],[Gross Earnings]]/EarningsPerDay[[#This Row],[Miles]]</f>
        <v>0.79114942528735632</v>
      </c>
      <c r="X473" s="71">
        <f>EarningsPerDay[[#This Row],[Deliveries]]/EarningsPerDay[[#This Row],[Hours]]</f>
        <v>1.5452538631346577</v>
      </c>
      <c r="Y473" s="71">
        <f>EarningsPerDay[[#This Row],[Miles]]/EarningsPerDay[[#This Row],[Deliveries]]</f>
        <v>12.428571428571429</v>
      </c>
      <c r="Z473" s="81">
        <f>(EarningsPerDay[[#This Row],[Hours]]/EarningsPerDay[[#This Row],[Deliveries]])/24</f>
        <v>2.6964285714285715E-2</v>
      </c>
      <c r="AA4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5.294260485651213</v>
      </c>
      <c r="AB473" s="11">
        <f>AVERAGEIFS(EarningsPerDay[Gross $/Hour],EarningsPerDay[Week '#], EarningsPerDay[[#This Row],[Week '#]], EarningsPerDay[DOW], EarningsPerDay[[#This Row],[DOW]])</f>
        <v>15.194260485651213</v>
      </c>
      <c r="AC473" s="11">
        <f>EarningsPerDay[[#This Row],[Gross $/Hour]] - EarningsPerDay[[#This Row],[Weekly Average Earnings]]</f>
        <v>0</v>
      </c>
      <c r="AD473" s="11">
        <f>(SUMIFS(EarningsPerDay[Gross Earnings], EarningsPerDay[Date],"&gt;="&amp;EarningsPerDay[[#This Row],[Date]]-89, EarningsPerDay[Date], "&lt;="&amp;EarningsPerDay[[#This Row],[Date]]))/90</f>
        <v>57.195888888888867</v>
      </c>
    </row>
    <row r="474" spans="2:30" x14ac:dyDescent="0.35">
      <c r="B474" s="40">
        <v>45384</v>
      </c>
      <c r="C474" s="40">
        <f t="shared" si="43"/>
        <v>45384</v>
      </c>
      <c r="D474" s="4">
        <f>IF(EarningsPerDay[[#This Row],[Week '#]]&gt;=52,YEAR(EarningsPerDay[[#This Row],[Date]])-1,YEAR(EarningsPerDay[[#This Row],[Date]]))</f>
        <v>2024</v>
      </c>
      <c r="E474" s="4" t="str">
        <f>"QTR"&amp;IF(EarningsPerDay[[#This Row],[Week '#]] &lt;= 13, 1, IF(EarningsPerDay[[#This Row],[Week '#]] &lt;= 26, 2, IF(EarningsPerDay[[#This Row],[Week '#]] &lt;= 39, 3, 4)))</f>
        <v>QTR2</v>
      </c>
      <c r="F4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74" s="4">
        <f>IF(WEEKNUM(EarningsPerDay[[#This Row],[Date]], 2) = 53, 1, WEEKNUM(EarningsPerDay[[#This Row],[Date]],2))</f>
        <v>14</v>
      </c>
      <c r="H474" s="40" t="str">
        <f t="shared" si="44"/>
        <v>Tuesday</v>
      </c>
      <c r="I47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74" s="40" t="str" cm="1">
        <f t="array" ref="J474">IFERROR(VLOOKUP(MODE(IF(Combined[Date]=EarningsPerDay[[#This Row],[Date]],Combined[Area '#])),KPIs!$B$4:$C$7,2,FALSE),VLOOKUP(EarningsPerDay[[#This Row],[Date]],Combined[[Date]:[Primary Area]],8,FALSE))</f>
        <v>Brunswick/Bath/Freeport</v>
      </c>
      <c r="K474" s="40" t="str">
        <f>_xlfn.XLOOKUP(EarningsPerDay[[#This Row],[Date]],Mileage[Date],Mileage[Weather])</f>
        <v>Clear</v>
      </c>
      <c r="L474" s="4">
        <f>_xlfn.XLOOKUP(EarningsPerDay[[#This Row],[Date]],Mileage[Date],Mileage[Hi Temp])</f>
        <v>46</v>
      </c>
      <c r="M474" s="12">
        <f>_xlfn.XLOOKUP(EarningsPerDay[[#This Row],[Date]],Mileage[Date],Mileage[Total Time])</f>
        <v>3.9</v>
      </c>
      <c r="N474" s="4">
        <f>_xlfn.XLOOKUP(EarningsPerDay[[#This Row],[Date]],Mileage[Date],Mileage[Mileage])</f>
        <v>52</v>
      </c>
      <c r="O474" s="4">
        <f>SUMIF(Combined[Date],EarningsPerDay[[#This Row],[Date]],Combined[Trips])</f>
        <v>12</v>
      </c>
      <c r="P474">
        <f>COUNTIF(Combined[Date],EarningsPerDay[[#This Row],[Date]])</f>
        <v>3</v>
      </c>
      <c r="Q4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4" s="11">
        <f>SUMIF(Combined[Date],EarningsPerDay[[#This Row],[Date]],Combined[Earnings])</f>
        <v>81.7</v>
      </c>
      <c r="S474" s="11">
        <f ca="1">EarningsPerDay[[#This Row],[Gross Earnings]]-(EarningsPerDay[[#This Row],[Miles]]*CpM!$D$11)</f>
        <v>70.10539918332924</v>
      </c>
      <c r="T474" s="11">
        <f t="shared" si="45"/>
        <v>20.948717948717949</v>
      </c>
      <c r="U474" s="11">
        <f t="shared" ca="1" si="46"/>
        <v>17.97574338034083</v>
      </c>
      <c r="V474" s="11">
        <f>EarningsPerDay[[#This Row],[Gross Earnings]]/EarningsPerDay[[#This Row],[Deliveries]]</f>
        <v>6.8083333333333336</v>
      </c>
      <c r="W474" s="11">
        <f>EarningsPerDay[[#This Row],[Gross Earnings]]/EarningsPerDay[[#This Row],[Miles]]</f>
        <v>1.5711538461538461</v>
      </c>
      <c r="X474" s="71">
        <f>EarningsPerDay[[#This Row],[Deliveries]]/EarningsPerDay[[#This Row],[Hours]]</f>
        <v>3.0769230769230771</v>
      </c>
      <c r="Y474" s="71">
        <f>EarningsPerDay[[#This Row],[Miles]]/EarningsPerDay[[#This Row],[Deliveries]]</f>
        <v>4.333333333333333</v>
      </c>
      <c r="Z474" s="81">
        <f>(EarningsPerDay[[#This Row],[Hours]]/EarningsPerDay[[#This Row],[Deliveries]])/24</f>
        <v>1.3541666666666667E-2</v>
      </c>
      <c r="AA4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5.0352549926856227E-2</v>
      </c>
      <c r="AB474" s="11">
        <f>AVERAGEIFS(EarningsPerDay[Gross $/Hour],EarningsPerDay[Week '#], EarningsPerDay[[#This Row],[Week '#]], EarningsPerDay[DOW], EarningsPerDay[[#This Row],[DOW]])</f>
        <v>27.133182503770737</v>
      </c>
      <c r="AC474" s="11">
        <f>EarningsPerDay[[#This Row],[Gross $/Hour]] - EarningsPerDay[[#This Row],[Weekly Average Earnings]]</f>
        <v>-6.1844645550527879</v>
      </c>
      <c r="AD474" s="11">
        <f>(SUMIFS(EarningsPerDay[Gross Earnings], EarningsPerDay[Date],"&gt;="&amp;EarningsPerDay[[#This Row],[Date]]-89, EarningsPerDay[Date], "&lt;="&amp;EarningsPerDay[[#This Row],[Date]]))/90</f>
        <v>57.081333333333319</v>
      </c>
    </row>
    <row r="475" spans="2:30" x14ac:dyDescent="0.35">
      <c r="B475" s="40">
        <v>45385</v>
      </c>
      <c r="C475" s="40">
        <f t="shared" si="43"/>
        <v>45385</v>
      </c>
      <c r="D475" s="4">
        <f>IF(EarningsPerDay[[#This Row],[Week '#]]&gt;=52,YEAR(EarningsPerDay[[#This Row],[Date]])-1,YEAR(EarningsPerDay[[#This Row],[Date]]))</f>
        <v>2024</v>
      </c>
      <c r="E475" s="4" t="str">
        <f>"QTR"&amp;IF(EarningsPerDay[[#This Row],[Week '#]] &lt;= 13, 1, IF(EarningsPerDay[[#This Row],[Week '#]] &lt;= 26, 2, IF(EarningsPerDay[[#This Row],[Week '#]] &lt;= 39, 3, 4)))</f>
        <v>QTR2</v>
      </c>
      <c r="F4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75" s="4">
        <f>IF(WEEKNUM(EarningsPerDay[[#This Row],[Date]], 2) = 53, 1, WEEKNUM(EarningsPerDay[[#This Row],[Date]],2))</f>
        <v>14</v>
      </c>
      <c r="H475" s="40" t="str">
        <f t="shared" si="44"/>
        <v>Wednesday</v>
      </c>
      <c r="I475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475" s="40" t="str" cm="1">
        <f t="array" ref="J475">IFERROR(VLOOKUP(MODE(IF(Combined[Date]=EarningsPerDay[[#This Row],[Date]],Combined[Area '#])),KPIs!$B$4:$C$7,2,FALSE),VLOOKUP(EarningsPerDay[[#This Row],[Date]],Combined[[Date]:[Primary Area]],8,FALSE))</f>
        <v>Lewiston</v>
      </c>
      <c r="K475" s="40" t="str">
        <f>_xlfn.XLOOKUP(EarningsPerDay[[#This Row],[Date]],Mileage[Date],Mileage[Weather])</f>
        <v>Snow Storm</v>
      </c>
      <c r="L475" s="4">
        <f>_xlfn.XLOOKUP(EarningsPerDay[[#This Row],[Date]],Mileage[Date],Mileage[Hi Temp])</f>
        <v>39</v>
      </c>
      <c r="M475" s="12">
        <f>_xlfn.XLOOKUP(EarningsPerDay[[#This Row],[Date]],Mileage[Date],Mileage[Total Time])</f>
        <v>2.25</v>
      </c>
      <c r="N475" s="4">
        <f>_xlfn.XLOOKUP(EarningsPerDay[[#This Row],[Date]],Mileage[Date],Mileage[Mileage])</f>
        <v>28</v>
      </c>
      <c r="O475" s="4">
        <f>SUMIF(Combined[Date],EarningsPerDay[[#This Row],[Date]],Combined[Trips])</f>
        <v>5</v>
      </c>
      <c r="P475">
        <f>COUNTIF(Combined[Date],EarningsPerDay[[#This Row],[Date]])</f>
        <v>2</v>
      </c>
      <c r="Q4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5" s="11">
        <f>SUMIF(Combined[Date],EarningsPerDay[[#This Row],[Date]],Combined[Earnings])</f>
        <v>38.25</v>
      </c>
      <c r="S475" s="11">
        <f ca="1">EarningsPerDay[[#This Row],[Gross Earnings]]-(EarningsPerDay[[#This Row],[Miles]]*CpM!$D$11)</f>
        <v>32.006753406408052</v>
      </c>
      <c r="T475" s="11">
        <f t="shared" si="45"/>
        <v>17</v>
      </c>
      <c r="U475" s="11">
        <f t="shared" ca="1" si="46"/>
        <v>14.225223736181356</v>
      </c>
      <c r="V475" s="11">
        <f>EarningsPerDay[[#This Row],[Gross Earnings]]/EarningsPerDay[[#This Row],[Deliveries]]</f>
        <v>7.65</v>
      </c>
      <c r="W475" s="11">
        <f>EarningsPerDay[[#This Row],[Gross Earnings]]/EarningsPerDay[[#This Row],[Miles]]</f>
        <v>1.3660714285714286</v>
      </c>
      <c r="X475" s="71">
        <f>EarningsPerDay[[#This Row],[Deliveries]]/EarningsPerDay[[#This Row],[Hours]]</f>
        <v>2.2222222222222223</v>
      </c>
      <c r="Y475" s="71">
        <f>EarningsPerDay[[#This Row],[Miles]]/EarningsPerDay[[#This Row],[Deliveries]]</f>
        <v>5.6</v>
      </c>
      <c r="Z475" s="81">
        <f>(EarningsPerDay[[#This Row],[Hours]]/EarningsPerDay[[#This Row],[Deliveries]])/24</f>
        <v>1.8749999999999999E-2</v>
      </c>
      <c r="AA4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-0.11365947555749045</v>
      </c>
      <c r="AB475" s="11">
        <f>AVERAGEIFS(EarningsPerDay[Gross $/Hour],EarningsPerDay[Week '#], EarningsPerDay[[#This Row],[Week '#]], EarningsPerDay[DOW], EarningsPerDay[[#This Row],[DOW]])</f>
        <v>15.580338266384778</v>
      </c>
      <c r="AC475" s="11">
        <f>EarningsPerDay[[#This Row],[Gross $/Hour]] - EarningsPerDay[[#This Row],[Weekly Average Earnings]]</f>
        <v>1.4196617336152215</v>
      </c>
      <c r="AD475" s="11">
        <f>(SUMIFS(EarningsPerDay[Gross Earnings], EarningsPerDay[Date],"&gt;="&amp;EarningsPerDay[[#This Row],[Date]]-89, EarningsPerDay[Date], "&lt;="&amp;EarningsPerDay[[#This Row],[Date]]))/90</f>
        <v>57.506333333333323</v>
      </c>
    </row>
    <row r="476" spans="2:30" x14ac:dyDescent="0.35">
      <c r="B476" s="40">
        <v>45387</v>
      </c>
      <c r="C476" s="40">
        <f t="shared" si="43"/>
        <v>45387</v>
      </c>
      <c r="D476" s="4">
        <f>IF(EarningsPerDay[[#This Row],[Week '#]]&gt;=52,YEAR(EarningsPerDay[[#This Row],[Date]])-1,YEAR(EarningsPerDay[[#This Row],[Date]]))</f>
        <v>2024</v>
      </c>
      <c r="E476" s="4" t="str">
        <f>"QTR"&amp;IF(EarningsPerDay[[#This Row],[Week '#]] &lt;= 13, 1, IF(EarningsPerDay[[#This Row],[Week '#]] &lt;= 26, 2, IF(EarningsPerDay[[#This Row],[Week '#]] &lt;= 39, 3, 4)))</f>
        <v>QTR2</v>
      </c>
      <c r="F4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76" s="4">
        <f>IF(WEEKNUM(EarningsPerDay[[#This Row],[Date]], 2) = 53, 1, WEEKNUM(EarningsPerDay[[#This Row],[Date]],2))</f>
        <v>14</v>
      </c>
      <c r="H476" s="40" t="str">
        <f t="shared" si="44"/>
        <v>Friday</v>
      </c>
      <c r="I47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76" s="40" t="str" cm="1">
        <f t="array" ref="J476">IFERROR(VLOOKUP(MODE(IF(Combined[Date]=EarningsPerDay[[#This Row],[Date]],Combined[Area '#])),KPIs!$B$4:$C$7,2,FALSE),VLOOKUP(EarningsPerDay[[#This Row],[Date]],Combined[[Date]:[Primary Area]],8,FALSE))</f>
        <v>Brunswick/Bath/Freeport</v>
      </c>
      <c r="K476" s="40" t="str">
        <f>_xlfn.XLOOKUP(EarningsPerDay[[#This Row],[Date]],Mileage[Date],Mileage[Weather])</f>
        <v>Mostly Cloudy</v>
      </c>
      <c r="L476" s="4">
        <f>_xlfn.XLOOKUP(EarningsPerDay[[#This Row],[Date]],Mileage[Date],Mileage[Hi Temp])</f>
        <v>37</v>
      </c>
      <c r="M476" s="12">
        <f>_xlfn.XLOOKUP(EarningsPerDay[[#This Row],[Date]],Mileage[Date],Mileage[Total Time])</f>
        <v>6.05</v>
      </c>
      <c r="N476" s="4">
        <f>_xlfn.XLOOKUP(EarningsPerDay[[#This Row],[Date]],Mileage[Date],Mileage[Mileage])</f>
        <v>141</v>
      </c>
      <c r="O476" s="4">
        <f>SUMIF(Combined[Date],EarningsPerDay[[#This Row],[Date]],Combined[Trips])</f>
        <v>14</v>
      </c>
      <c r="P476">
        <f>COUNTIF(Combined[Date],EarningsPerDay[[#This Row],[Date]])</f>
        <v>1</v>
      </c>
      <c r="Q4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6" s="11">
        <f>SUMIF(Combined[Date],EarningsPerDay[[#This Row],[Date]],Combined[Earnings])</f>
        <v>225.25</v>
      </c>
      <c r="S476" s="11">
        <f ca="1">EarningsPerDay[[#This Row],[Gross Earnings]]-(EarningsPerDay[[#This Row],[Miles]]*CpM!$D$11)</f>
        <v>193.81079393941198</v>
      </c>
      <c r="T476" s="11">
        <f t="shared" si="45"/>
        <v>37.231404958677686</v>
      </c>
      <c r="U476" s="11">
        <f t="shared" ca="1" si="46"/>
        <v>32.03484197345653</v>
      </c>
      <c r="V476" s="11">
        <f>EarningsPerDay[[#This Row],[Gross Earnings]]/EarningsPerDay[[#This Row],[Deliveries]]</f>
        <v>16.089285714285715</v>
      </c>
      <c r="W476" s="11">
        <f>EarningsPerDay[[#This Row],[Gross Earnings]]/EarningsPerDay[[#This Row],[Miles]]</f>
        <v>1.5975177304964538</v>
      </c>
      <c r="X476" s="71">
        <f>EarningsPerDay[[#This Row],[Deliveries]]/EarningsPerDay[[#This Row],[Hours]]</f>
        <v>2.3140495867768598</v>
      </c>
      <c r="Y476" s="71">
        <f>EarningsPerDay[[#This Row],[Miles]]/EarningsPerDay[[#This Row],[Deliveries]]</f>
        <v>10.071428571428571</v>
      </c>
      <c r="Z476" s="81">
        <f>(EarningsPerDay[[#This Row],[Hours]]/EarningsPerDay[[#This Row],[Deliveries]])/24</f>
        <v>1.8005952380952379E-2</v>
      </c>
      <c r="AA4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11.855382406343871</v>
      </c>
      <c r="AB476" s="11">
        <f>AVERAGEIFS(EarningsPerDay[Gross $/Hour],EarningsPerDay[Week '#], EarningsPerDay[[#This Row],[Week '#]], EarningsPerDay[DOW], EarningsPerDay[[#This Row],[DOW]])</f>
        <v>30.149780691629349</v>
      </c>
      <c r="AC476" s="11">
        <f>EarningsPerDay[[#This Row],[Gross $/Hour]] - EarningsPerDay[[#This Row],[Weekly Average Earnings]]</f>
        <v>7.0816242670483369</v>
      </c>
      <c r="AD476" s="11">
        <f>(SUMIFS(EarningsPerDay[Gross Earnings], EarningsPerDay[Date],"&gt;="&amp;EarningsPerDay[[#This Row],[Date]]-89, EarningsPerDay[Date], "&lt;="&amp;EarningsPerDay[[#This Row],[Date]]))/90</f>
        <v>58.015666666666654</v>
      </c>
    </row>
    <row r="477" spans="2:30" x14ac:dyDescent="0.35">
      <c r="B477" s="40">
        <v>45388</v>
      </c>
      <c r="C477" s="40">
        <f t="shared" si="43"/>
        <v>45388</v>
      </c>
      <c r="D477" s="4">
        <f>IF(EarningsPerDay[[#This Row],[Week '#]]&gt;=52,YEAR(EarningsPerDay[[#This Row],[Date]])-1,YEAR(EarningsPerDay[[#This Row],[Date]]))</f>
        <v>2024</v>
      </c>
      <c r="E477" s="4" t="str">
        <f>"QTR"&amp;IF(EarningsPerDay[[#This Row],[Week '#]] &lt;= 13, 1, IF(EarningsPerDay[[#This Row],[Week '#]] &lt;= 26, 2, IF(EarningsPerDay[[#This Row],[Week '#]] &lt;= 39, 3, 4)))</f>
        <v>QTR2</v>
      </c>
      <c r="F4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477" s="4">
        <f>IF(WEEKNUM(EarningsPerDay[[#This Row],[Date]], 2) = 53, 1, WEEKNUM(EarningsPerDay[[#This Row],[Date]],2))</f>
        <v>14</v>
      </c>
      <c r="H477" s="40" t="str">
        <f t="shared" si="44"/>
        <v>Saturday</v>
      </c>
      <c r="I47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77" s="40" t="str" cm="1">
        <f t="array" ref="J477">IFERROR(VLOOKUP(MODE(IF(Combined[Date]=EarningsPerDay[[#This Row],[Date]],Combined[Area '#])),KPIs!$B$4:$C$7,2,FALSE),VLOOKUP(EarningsPerDay[[#This Row],[Date]],Combined[[Date]:[Primary Area]],8,FALSE))</f>
        <v>Lewiston</v>
      </c>
      <c r="K477" s="40" t="str">
        <f>_xlfn.XLOOKUP(EarningsPerDay[[#This Row],[Date]],Mileage[Date],Mileage[Weather])</f>
        <v>Overcast</v>
      </c>
      <c r="L477" s="4">
        <f>_xlfn.XLOOKUP(EarningsPerDay[[#This Row],[Date]],Mileage[Date],Mileage[Hi Temp])</f>
        <v>37</v>
      </c>
      <c r="M477" s="12">
        <f>_xlfn.XLOOKUP(EarningsPerDay[[#This Row],[Date]],Mileage[Date],Mileage[Total Time])</f>
        <v>3.6</v>
      </c>
      <c r="N477" s="4">
        <f>_xlfn.XLOOKUP(EarningsPerDay[[#This Row],[Date]],Mileage[Date],Mileage[Mileage])</f>
        <v>55</v>
      </c>
      <c r="O477" s="4">
        <f>SUMIF(Combined[Date],EarningsPerDay[[#This Row],[Date]],Combined[Trips])</f>
        <v>8</v>
      </c>
      <c r="P477">
        <f>COUNTIF(Combined[Date],EarningsPerDay[[#This Row],[Date]])</f>
        <v>3</v>
      </c>
      <c r="Q4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7" s="11">
        <f>SUMIF(Combined[Date],EarningsPerDay[[#This Row],[Date]],Combined[Earnings])</f>
        <v>65.900000000000006</v>
      </c>
      <c r="S477" s="11">
        <f ca="1">EarningsPerDay[[#This Row],[Gross Earnings]]-(EarningsPerDay[[#This Row],[Miles]]*CpM!$D$11)</f>
        <v>53.636479905444396</v>
      </c>
      <c r="T477" s="11">
        <f t="shared" si="45"/>
        <v>18.305555555555557</v>
      </c>
      <c r="U477" s="11">
        <f t="shared" ca="1" si="46"/>
        <v>14.899022195956777</v>
      </c>
      <c r="V477" s="11">
        <f>EarningsPerDay[[#This Row],[Gross Earnings]]/EarningsPerDay[[#This Row],[Deliveries]]</f>
        <v>8.2375000000000007</v>
      </c>
      <c r="W477" s="11">
        <f>EarningsPerDay[[#This Row],[Gross Earnings]]/EarningsPerDay[[#This Row],[Miles]]</f>
        <v>1.1981818181818182</v>
      </c>
      <c r="X477" s="71">
        <f>EarningsPerDay[[#This Row],[Deliveries]]/EarningsPerDay[[#This Row],[Hours]]</f>
        <v>2.2222222222222223</v>
      </c>
      <c r="Y477" s="71">
        <f>EarningsPerDay[[#This Row],[Miles]]/EarningsPerDay[[#This Row],[Deliveries]]</f>
        <v>6.875</v>
      </c>
      <c r="Z477" s="81">
        <f>(EarningsPerDay[[#This Row],[Hours]]/EarningsPerDay[[#This Row],[Deliveries]])/24</f>
        <v>1.8749999999999999E-2</v>
      </c>
      <c r="AA4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-3.2073239510858116</v>
      </c>
      <c r="AB477" s="11">
        <f>AVERAGEIFS(EarningsPerDay[Gross $/Hour],EarningsPerDay[Week '#], EarningsPerDay[[#This Row],[Week '#]], EarningsPerDay[DOW], EarningsPerDay[[#This Row],[DOW]])</f>
        <v>21.691133638317044</v>
      </c>
      <c r="AC477" s="11">
        <f>EarningsPerDay[[#This Row],[Gross $/Hour]] - EarningsPerDay[[#This Row],[Weekly Average Earnings]]</f>
        <v>-3.3855780827614872</v>
      </c>
      <c r="AD477" s="11">
        <f>(SUMIFS(EarningsPerDay[Gross Earnings], EarningsPerDay[Date],"&gt;="&amp;EarningsPerDay[[#This Row],[Date]]-89, EarningsPerDay[Date], "&lt;="&amp;EarningsPerDay[[#This Row],[Date]]))/90</f>
        <v>57.717555555555535</v>
      </c>
    </row>
    <row r="478" spans="2:30" x14ac:dyDescent="0.35">
      <c r="B478" s="40">
        <v>45390</v>
      </c>
      <c r="C478" s="40">
        <f t="shared" si="43"/>
        <v>45390</v>
      </c>
      <c r="D478" s="4">
        <f>IF(EarningsPerDay[[#This Row],[Week '#]]&gt;=52,YEAR(EarningsPerDay[[#This Row],[Date]])-1,YEAR(EarningsPerDay[[#This Row],[Date]]))</f>
        <v>2024</v>
      </c>
      <c r="E478" s="4" t="str">
        <f>"QTR"&amp;IF(EarningsPerDay[[#This Row],[Week '#]] &lt;= 13, 1, IF(EarningsPerDay[[#This Row],[Week '#]] &lt;= 26, 2, IF(EarningsPerDay[[#This Row],[Week '#]] &lt;= 39, 3, 4)))</f>
        <v>QTR2</v>
      </c>
      <c r="F4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78" s="4">
        <f>IF(WEEKNUM(EarningsPerDay[[#This Row],[Date]], 2) = 53, 1, WEEKNUM(EarningsPerDay[[#This Row],[Date]],2))</f>
        <v>15</v>
      </c>
      <c r="H478" s="40" t="str">
        <f t="shared" si="44"/>
        <v>Monday</v>
      </c>
      <c r="I47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78" s="40" t="str" cm="1">
        <f t="array" ref="J478">IFERROR(VLOOKUP(MODE(IF(Combined[Date]=EarningsPerDay[[#This Row],[Date]],Combined[Area '#])),KPIs!$B$4:$C$7,2,FALSE),VLOOKUP(EarningsPerDay[[#This Row],[Date]],Combined[[Date]:[Primary Area]],8,FALSE))</f>
        <v>Portland</v>
      </c>
      <c r="K478" s="40" t="str">
        <f>_xlfn.XLOOKUP(EarningsPerDay[[#This Row],[Date]],Mileage[Date],Mileage[Weather])</f>
        <v>Partially Cloudy</v>
      </c>
      <c r="L478" s="4">
        <f>_xlfn.XLOOKUP(EarningsPerDay[[#This Row],[Date]],Mileage[Date],Mileage[Hi Temp])</f>
        <v>45</v>
      </c>
      <c r="M478" s="12">
        <f>_xlfn.XLOOKUP(EarningsPerDay[[#This Row],[Date]],Mileage[Date],Mileage[Total Time])</f>
        <v>4.42</v>
      </c>
      <c r="N478" s="4">
        <f>_xlfn.XLOOKUP(EarningsPerDay[[#This Row],[Date]],Mileage[Date],Mileage[Mileage])</f>
        <v>102</v>
      </c>
      <c r="O478" s="4">
        <f>SUMIF(Combined[Date],EarningsPerDay[[#This Row],[Date]],Combined[Trips])</f>
        <v>8</v>
      </c>
      <c r="P478">
        <f>COUNTIF(Combined[Date],EarningsPerDay[[#This Row],[Date]])</f>
        <v>3</v>
      </c>
      <c r="Q4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8" s="11">
        <f>SUMIF(Combined[Date],EarningsPerDay[[#This Row],[Date]],Combined[Earnings])</f>
        <v>89.75</v>
      </c>
      <c r="S478" s="11">
        <f ca="1">EarningsPerDay[[#This Row],[Gross Earnings]]-(EarningsPerDay[[#This Row],[Miles]]*CpM!$D$11)</f>
        <v>67.006744551915048</v>
      </c>
      <c r="T478" s="11">
        <f t="shared" si="45"/>
        <v>20.305429864253394</v>
      </c>
      <c r="U478" s="11">
        <f t="shared" ca="1" si="46"/>
        <v>15.159896957446843</v>
      </c>
      <c r="V478" s="11">
        <f>EarningsPerDay[[#This Row],[Gross Earnings]]/EarningsPerDay[[#This Row],[Deliveries]]</f>
        <v>11.21875</v>
      </c>
      <c r="W478" s="11">
        <f>EarningsPerDay[[#This Row],[Gross Earnings]]/EarningsPerDay[[#This Row],[Miles]]</f>
        <v>0.87990196078431371</v>
      </c>
      <c r="X478" s="71">
        <f>EarningsPerDay[[#This Row],[Deliveries]]/EarningsPerDay[[#This Row],[Hours]]</f>
        <v>1.8099547511312217</v>
      </c>
      <c r="Y478" s="71">
        <f>EarningsPerDay[[#This Row],[Miles]]/EarningsPerDay[[#This Row],[Deliveries]]</f>
        <v>12.75</v>
      </c>
      <c r="Z478" s="81">
        <f>(EarningsPerDay[[#This Row],[Hours]]/EarningsPerDay[[#This Row],[Deliveries]])/24</f>
        <v>2.3020833333333334E-2</v>
      </c>
      <c r="AA4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1.1124474081130415</v>
      </c>
      <c r="AB478" s="11">
        <f>AVERAGEIFS(EarningsPerDay[Gross $/Hour],EarningsPerDay[Week '#], EarningsPerDay[[#This Row],[Week '#]], EarningsPerDay[DOW], EarningsPerDay[[#This Row],[DOW]])</f>
        <v>22.041942574403119</v>
      </c>
      <c r="AC478" s="11">
        <f>EarningsPerDay[[#This Row],[Gross $/Hour]] - EarningsPerDay[[#This Row],[Weekly Average Earnings]]</f>
        <v>-1.7365127101497251</v>
      </c>
      <c r="AD478" s="11">
        <f>(SUMIFS(EarningsPerDay[Gross Earnings], EarningsPerDay[Date],"&gt;="&amp;EarningsPerDay[[#This Row],[Date]]-89, EarningsPerDay[Date], "&lt;="&amp;EarningsPerDay[[#This Row],[Date]]))/90</f>
        <v>57.124444444444435</v>
      </c>
    </row>
    <row r="479" spans="2:30" x14ac:dyDescent="0.35">
      <c r="B479" s="40">
        <v>45391</v>
      </c>
      <c r="C479" s="40">
        <f t="shared" si="43"/>
        <v>45391</v>
      </c>
      <c r="D479" s="4">
        <f>IF(EarningsPerDay[[#This Row],[Week '#]]&gt;=52,YEAR(EarningsPerDay[[#This Row],[Date]])-1,YEAR(EarningsPerDay[[#This Row],[Date]]))</f>
        <v>2024</v>
      </c>
      <c r="E479" s="4" t="str">
        <f>"QTR"&amp;IF(EarningsPerDay[[#This Row],[Week '#]] &lt;= 13, 1, IF(EarningsPerDay[[#This Row],[Week '#]] &lt;= 26, 2, IF(EarningsPerDay[[#This Row],[Week '#]] &lt;= 39, 3, 4)))</f>
        <v>QTR2</v>
      </c>
      <c r="F4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79" s="4">
        <f>IF(WEEKNUM(EarningsPerDay[[#This Row],[Date]], 2) = 53, 1, WEEKNUM(EarningsPerDay[[#This Row],[Date]],2))</f>
        <v>15</v>
      </c>
      <c r="H479" s="40" t="str">
        <f t="shared" si="44"/>
        <v>Tuesday</v>
      </c>
      <c r="I47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79" s="40" t="str" cm="1">
        <f t="array" ref="J479">IFERROR(VLOOKUP(MODE(IF(Combined[Date]=EarningsPerDay[[#This Row],[Date]],Combined[Area '#])),KPIs!$B$4:$C$7,2,FALSE),VLOOKUP(EarningsPerDay[[#This Row],[Date]],Combined[[Date]:[Primary Area]],8,FALSE))</f>
        <v>Brunswick/Bath/Freeport</v>
      </c>
      <c r="K479" s="40" t="str">
        <f>_xlfn.XLOOKUP(EarningsPerDay[[#This Row],[Date]],Mileage[Date],Mileage[Weather])</f>
        <v>Clear</v>
      </c>
      <c r="L479" s="4">
        <f>_xlfn.XLOOKUP(EarningsPerDay[[#This Row],[Date]],Mileage[Date],Mileage[Hi Temp])</f>
        <v>52</v>
      </c>
      <c r="M479" s="12">
        <f>_xlfn.XLOOKUP(EarningsPerDay[[#This Row],[Date]],Mileage[Date],Mileage[Total Time])</f>
        <v>3.98</v>
      </c>
      <c r="N479" s="4">
        <f>_xlfn.XLOOKUP(EarningsPerDay[[#This Row],[Date]],Mileage[Date],Mileage[Mileage])</f>
        <v>113</v>
      </c>
      <c r="O479" s="4">
        <f>SUMIF(Combined[Date],EarningsPerDay[[#This Row],[Date]],Combined[Trips])</f>
        <v>9</v>
      </c>
      <c r="P479">
        <f>COUNTIF(Combined[Date],EarningsPerDay[[#This Row],[Date]])</f>
        <v>4</v>
      </c>
      <c r="Q4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79" s="11">
        <f>SUMIF(Combined[Date],EarningsPerDay[[#This Row],[Date]],Combined[Earnings])</f>
        <v>105.11</v>
      </c>
      <c r="S479" s="11">
        <f ca="1">EarningsPerDay[[#This Row],[Gross Earnings]]-(EarningsPerDay[[#This Row],[Miles]]*CpM!$D$11)</f>
        <v>79.914040533003927</v>
      </c>
      <c r="T479" s="11">
        <f t="shared" si="45"/>
        <v>26.409547738693469</v>
      </c>
      <c r="U479" s="11">
        <f t="shared" ca="1" si="46"/>
        <v>20.078904656533648</v>
      </c>
      <c r="V479" s="11">
        <f>EarningsPerDay[[#This Row],[Gross Earnings]]/EarningsPerDay[[#This Row],[Deliveries]]</f>
        <v>11.678888888888888</v>
      </c>
      <c r="W479" s="11">
        <f>EarningsPerDay[[#This Row],[Gross Earnings]]/EarningsPerDay[[#This Row],[Miles]]</f>
        <v>0.9301769911504425</v>
      </c>
      <c r="X479" s="71">
        <f>EarningsPerDay[[#This Row],[Deliveries]]/EarningsPerDay[[#This Row],[Hours]]</f>
        <v>2.2613065326633164</v>
      </c>
      <c r="Y479" s="71">
        <f>EarningsPerDay[[#This Row],[Miles]]/EarningsPerDay[[#This Row],[Deliveries]]</f>
        <v>12.555555555555555</v>
      </c>
      <c r="Z479" s="81">
        <f>(EarningsPerDay[[#This Row],[Hours]]/EarningsPerDay[[#This Row],[Deliveries]])/24</f>
        <v>1.8425925925925925E-2</v>
      </c>
      <c r="AA4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5.5011118299170043</v>
      </c>
      <c r="AB479" s="11">
        <f>AVERAGEIFS(EarningsPerDay[Gross $/Hour],EarningsPerDay[Week '#], EarningsPerDay[[#This Row],[Week '#]], EarningsPerDay[DOW], EarningsPerDay[[#This Row],[DOW]])</f>
        <v>21.082970919354722</v>
      </c>
      <c r="AC479" s="11">
        <f>EarningsPerDay[[#This Row],[Gross $/Hour]] - EarningsPerDay[[#This Row],[Weekly Average Earnings]]</f>
        <v>5.3265768193387473</v>
      </c>
      <c r="AD479" s="11">
        <f>(SUMIFS(EarningsPerDay[Gross Earnings], EarningsPerDay[Date],"&gt;="&amp;EarningsPerDay[[#This Row],[Date]]-89, EarningsPerDay[Date], "&lt;="&amp;EarningsPerDay[[#This Row],[Date]]))/90</f>
        <v>58.077111111111094</v>
      </c>
    </row>
    <row r="480" spans="2:30" x14ac:dyDescent="0.35">
      <c r="B480" s="40">
        <v>45394</v>
      </c>
      <c r="C480" s="40">
        <f t="shared" si="43"/>
        <v>45394</v>
      </c>
      <c r="D480" s="4">
        <f>IF(EarningsPerDay[[#This Row],[Week '#]]&gt;=52,YEAR(EarningsPerDay[[#This Row],[Date]])-1,YEAR(EarningsPerDay[[#This Row],[Date]]))</f>
        <v>2024</v>
      </c>
      <c r="E480" s="4" t="str">
        <f>"QTR"&amp;IF(EarningsPerDay[[#This Row],[Week '#]] &lt;= 13, 1, IF(EarningsPerDay[[#This Row],[Week '#]] &lt;= 26, 2, IF(EarningsPerDay[[#This Row],[Week '#]] &lt;= 39, 3, 4)))</f>
        <v>QTR2</v>
      </c>
      <c r="F4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80" s="4">
        <f>IF(WEEKNUM(EarningsPerDay[[#This Row],[Date]], 2) = 53, 1, WEEKNUM(EarningsPerDay[[#This Row],[Date]],2))</f>
        <v>15</v>
      </c>
      <c r="H480" s="40" t="str">
        <f t="shared" si="44"/>
        <v>Friday</v>
      </c>
      <c r="I48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80" s="40" t="str" cm="1">
        <f t="array" ref="J480">IFERROR(VLOOKUP(MODE(IF(Combined[Date]=EarningsPerDay[[#This Row],[Date]],Combined[Area '#])),KPIs!$B$4:$C$7,2,FALSE),VLOOKUP(EarningsPerDay[[#This Row],[Date]],Combined[[Date]:[Primary Area]],8,FALSE))</f>
        <v>Brunswick/Bath/Freeport</v>
      </c>
      <c r="K480" s="40" t="str">
        <f>_xlfn.XLOOKUP(EarningsPerDay[[#This Row],[Date]],Mileage[Date],Mileage[Weather])</f>
        <v>Fog</v>
      </c>
      <c r="L480" s="4">
        <f>_xlfn.XLOOKUP(EarningsPerDay[[#This Row],[Date]],Mileage[Date],Mileage[Hi Temp])</f>
        <v>54</v>
      </c>
      <c r="M480" s="12">
        <f>_xlfn.XLOOKUP(EarningsPerDay[[#This Row],[Date]],Mileage[Date],Mileage[Total Time])</f>
        <v>7.7</v>
      </c>
      <c r="N480" s="4">
        <f>_xlfn.XLOOKUP(EarningsPerDay[[#This Row],[Date]],Mileage[Date],Mileage[Mileage])</f>
        <v>163</v>
      </c>
      <c r="O480" s="4">
        <f>SUMIF(Combined[Date],EarningsPerDay[[#This Row],[Date]],Combined[Trips])</f>
        <v>14</v>
      </c>
      <c r="P480">
        <f>COUNTIF(Combined[Date],EarningsPerDay[[#This Row],[Date]])</f>
        <v>3</v>
      </c>
      <c r="Q4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0" s="11">
        <f>SUMIF(Combined[Date],EarningsPerDay[[#This Row],[Date]],Combined[Earnings])</f>
        <v>178</v>
      </c>
      <c r="S480" s="11">
        <f ca="1">EarningsPerDay[[#This Row],[Gross Earnings]]-(EarningsPerDay[[#This Row],[Miles]]*CpM!$D$11)</f>
        <v>141.65538590158974</v>
      </c>
      <c r="T480" s="11">
        <f t="shared" si="45"/>
        <v>23.116883116883116</v>
      </c>
      <c r="U480" s="11">
        <f t="shared" ca="1" si="46"/>
        <v>18.396803363842825</v>
      </c>
      <c r="V480" s="11">
        <f>EarningsPerDay[[#This Row],[Gross Earnings]]/EarningsPerDay[[#This Row],[Deliveries]]</f>
        <v>12.714285714285714</v>
      </c>
      <c r="W480" s="11">
        <f>EarningsPerDay[[#This Row],[Gross Earnings]]/EarningsPerDay[[#This Row],[Miles]]</f>
        <v>1.0920245398773005</v>
      </c>
      <c r="X480" s="71">
        <f>EarningsPerDay[[#This Row],[Deliveries]]/EarningsPerDay[[#This Row],[Hours]]</f>
        <v>1.8181818181818181</v>
      </c>
      <c r="Y480" s="71">
        <f>EarningsPerDay[[#This Row],[Miles]]/EarningsPerDay[[#This Row],[Deliveries]]</f>
        <v>11.642857142857142</v>
      </c>
      <c r="Z480" s="81">
        <f>(EarningsPerDay[[#This Row],[Hours]]/EarningsPerDay[[#This Row],[Deliveries]])/24</f>
        <v>2.2916666666666669E-2</v>
      </c>
      <c r="AA4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-3.5764041472666825</v>
      </c>
      <c r="AB480" s="11">
        <f>AVERAGEIFS(EarningsPerDay[Gross $/Hour],EarningsPerDay[Week '#], EarningsPerDay[[#This Row],[Week '#]], EarningsPerDay[DOW], EarningsPerDay[[#This Row],[DOW]])</f>
        <v>19.73987012987013</v>
      </c>
      <c r="AC480" s="11">
        <f>EarningsPerDay[[#This Row],[Gross $/Hour]] - EarningsPerDay[[#This Row],[Weekly Average Earnings]]</f>
        <v>3.3770129870129857</v>
      </c>
      <c r="AD480" s="11">
        <f>(SUMIFS(EarningsPerDay[Gross Earnings], EarningsPerDay[Date],"&gt;="&amp;EarningsPerDay[[#This Row],[Date]]-89, EarningsPerDay[Date], "&lt;="&amp;EarningsPerDay[[#This Row],[Date]]))/90</f>
        <v>58.629555555555541</v>
      </c>
    </row>
    <row r="481" spans="2:30" x14ac:dyDescent="0.35">
      <c r="B481" s="40">
        <v>45395</v>
      </c>
      <c r="C481" s="40">
        <f t="shared" si="43"/>
        <v>45395</v>
      </c>
      <c r="D481" s="4">
        <f>IF(EarningsPerDay[[#This Row],[Week '#]]&gt;=52,YEAR(EarningsPerDay[[#This Row],[Date]])-1,YEAR(EarningsPerDay[[#This Row],[Date]]))</f>
        <v>2024</v>
      </c>
      <c r="E481" s="4" t="str">
        <f>"QTR"&amp;IF(EarningsPerDay[[#This Row],[Week '#]] &lt;= 13, 1, IF(EarningsPerDay[[#This Row],[Week '#]] &lt;= 26, 2, IF(EarningsPerDay[[#This Row],[Week '#]] &lt;= 39, 3, 4)))</f>
        <v>QTR2</v>
      </c>
      <c r="F4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481" s="4">
        <f>IF(WEEKNUM(EarningsPerDay[[#This Row],[Date]], 2) = 53, 1, WEEKNUM(EarningsPerDay[[#This Row],[Date]],2))</f>
        <v>15</v>
      </c>
      <c r="H481" s="40" t="str">
        <f t="shared" si="44"/>
        <v>Saturday</v>
      </c>
      <c r="I48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81" s="40" t="str" cm="1">
        <f t="array" ref="J481">IFERROR(VLOOKUP(MODE(IF(Combined[Date]=EarningsPerDay[[#This Row],[Date]],Combined[Area '#])),KPIs!$B$4:$C$7,2,FALSE),VLOOKUP(EarningsPerDay[[#This Row],[Date]],Combined[[Date]:[Primary Area]],8,FALSE))</f>
        <v>Augusta</v>
      </c>
      <c r="K481" s="40" t="str">
        <f>_xlfn.XLOOKUP(EarningsPerDay[[#This Row],[Date]],Mileage[Date],Mileage[Weather])</f>
        <v>Overcast</v>
      </c>
      <c r="L481" s="4">
        <f>_xlfn.XLOOKUP(EarningsPerDay[[#This Row],[Date]],Mileage[Date],Mileage[Hi Temp])</f>
        <v>48</v>
      </c>
      <c r="M481" s="12">
        <f>_xlfn.XLOOKUP(EarningsPerDay[[#This Row],[Date]],Mileage[Date],Mileage[Total Time])</f>
        <v>3.42</v>
      </c>
      <c r="N481" s="4">
        <f>_xlfn.XLOOKUP(EarningsPerDay[[#This Row],[Date]],Mileage[Date],Mileage[Mileage])</f>
        <v>83</v>
      </c>
      <c r="O481" s="4">
        <f>SUMIF(Combined[Date],EarningsPerDay[[#This Row],[Date]],Combined[Trips])</f>
        <v>13</v>
      </c>
      <c r="P481">
        <f>COUNTIF(Combined[Date],EarningsPerDay[[#This Row],[Date]])</f>
        <v>5</v>
      </c>
      <c r="Q4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1" s="11">
        <f>SUMIF(Combined[Date],EarningsPerDay[[#This Row],[Date]],Combined[Earnings])</f>
        <v>74.75</v>
      </c>
      <c r="S481" s="11">
        <f ca="1">EarningsPerDay[[#This Row],[Gross Earnings]]-(EarningsPerDay[[#This Row],[Miles]]*CpM!$D$11)</f>
        <v>56.243233311852443</v>
      </c>
      <c r="T481" s="11">
        <f t="shared" si="45"/>
        <v>21.85672514619883</v>
      </c>
      <c r="U481" s="11">
        <f t="shared" ca="1" si="46"/>
        <v>16.445389857266797</v>
      </c>
      <c r="V481" s="11">
        <f>EarningsPerDay[[#This Row],[Gross Earnings]]/EarningsPerDay[[#This Row],[Deliveries]]</f>
        <v>5.75</v>
      </c>
      <c r="W481" s="11">
        <f>EarningsPerDay[[#This Row],[Gross Earnings]]/EarningsPerDay[[#This Row],[Miles]]</f>
        <v>0.9006024096385542</v>
      </c>
      <c r="X481" s="71">
        <f>EarningsPerDay[[#This Row],[Deliveries]]/EarningsPerDay[[#This Row],[Hours]]</f>
        <v>3.801169590643275</v>
      </c>
      <c r="Y481" s="71">
        <f>EarningsPerDay[[#This Row],[Miles]]/EarningsPerDay[[#This Row],[Deliveries]]</f>
        <v>6.384615384615385</v>
      </c>
      <c r="Z481" s="81">
        <f>(EarningsPerDay[[#This Row],[Hours]]/EarningsPerDay[[#This Row],[Deliveries]])/24</f>
        <v>1.0961538461538462E-2</v>
      </c>
      <c r="AA481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481" s="11">
        <f>AVERAGEIFS(EarningsPerDay[Gross $/Hour],EarningsPerDay[Week '#], EarningsPerDay[[#This Row],[Week '#]], EarningsPerDay[DOW], EarningsPerDay[[#This Row],[DOW]])</f>
        <v>27.152961642707922</v>
      </c>
      <c r="AC481" s="11">
        <f>EarningsPerDay[[#This Row],[Gross $/Hour]] - EarningsPerDay[[#This Row],[Weekly Average Earnings]]</f>
        <v>-5.296236496509092</v>
      </c>
      <c r="AD481" s="11">
        <f>(SUMIFS(EarningsPerDay[Gross Earnings], EarningsPerDay[Date],"&gt;="&amp;EarningsPerDay[[#This Row],[Date]]-89, EarningsPerDay[Date], "&lt;="&amp;EarningsPerDay[[#This Row],[Date]]))/90</f>
        <v>58.51</v>
      </c>
    </row>
    <row r="482" spans="2:30" x14ac:dyDescent="0.35">
      <c r="B482" s="40">
        <v>45398</v>
      </c>
      <c r="C482" s="40">
        <f t="shared" si="43"/>
        <v>45398</v>
      </c>
      <c r="D482" s="4">
        <f>IF(EarningsPerDay[[#This Row],[Week '#]]&gt;=52,YEAR(EarningsPerDay[[#This Row],[Date]])-1,YEAR(EarningsPerDay[[#This Row],[Date]]))</f>
        <v>2024</v>
      </c>
      <c r="E482" s="4" t="str">
        <f>"QTR"&amp;IF(EarningsPerDay[[#This Row],[Week '#]] &lt;= 13, 1, IF(EarningsPerDay[[#This Row],[Week '#]] &lt;= 26, 2, IF(EarningsPerDay[[#This Row],[Week '#]] &lt;= 39, 3, 4)))</f>
        <v>QTR2</v>
      </c>
      <c r="F4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82" s="4">
        <f>IF(WEEKNUM(EarningsPerDay[[#This Row],[Date]], 2) = 53, 1, WEEKNUM(EarningsPerDay[[#This Row],[Date]],2))</f>
        <v>16</v>
      </c>
      <c r="H482" s="40" t="str">
        <f t="shared" si="44"/>
        <v>Tuesday</v>
      </c>
      <c r="I48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82" s="40" t="str" cm="1">
        <f t="array" ref="J482">IFERROR(VLOOKUP(MODE(IF(Combined[Date]=EarningsPerDay[[#This Row],[Date]],Combined[Area '#])),KPIs!$B$4:$C$7,2,FALSE),VLOOKUP(EarningsPerDay[[#This Row],[Date]],Combined[[Date]:[Primary Area]],8,FALSE))</f>
        <v>Brunswick/Bath/Freeport</v>
      </c>
      <c r="K482" s="40" t="str">
        <f>_xlfn.XLOOKUP(EarningsPerDay[[#This Row],[Date]],Mileage[Date],Mileage[Weather])</f>
        <v>Overcast</v>
      </c>
      <c r="L482" s="4">
        <f>_xlfn.XLOOKUP(EarningsPerDay[[#This Row],[Date]],Mileage[Date],Mileage[Hi Temp])</f>
        <v>54</v>
      </c>
      <c r="M482" s="12">
        <f>_xlfn.XLOOKUP(EarningsPerDay[[#This Row],[Date]],Mileage[Date],Mileage[Total Time])</f>
        <v>5.75</v>
      </c>
      <c r="N482" s="4">
        <f>_xlfn.XLOOKUP(EarningsPerDay[[#This Row],[Date]],Mileage[Date],Mileage[Mileage])</f>
        <v>126</v>
      </c>
      <c r="O482" s="4">
        <f>SUMIF(Combined[Date],EarningsPerDay[[#This Row],[Date]],Combined[Trips])</f>
        <v>8</v>
      </c>
      <c r="P482">
        <f>COUNTIF(Combined[Date],EarningsPerDay[[#This Row],[Date]])</f>
        <v>3</v>
      </c>
      <c r="Q4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2" s="11">
        <f>SUMIF(Combined[Date],EarningsPerDay[[#This Row],[Date]],Combined[Earnings])</f>
        <v>91.28</v>
      </c>
      <c r="S482" s="11">
        <f ca="1">EarningsPerDay[[#This Row],[Gross Earnings]]-(EarningsPerDay[[#This Row],[Miles]]*CpM!$D$11)</f>
        <v>63.185390328836235</v>
      </c>
      <c r="T482" s="11">
        <f t="shared" si="45"/>
        <v>15.874782608695652</v>
      </c>
      <c r="U482" s="11">
        <f t="shared" ca="1" si="46"/>
        <v>10.988763535449779</v>
      </c>
      <c r="V482" s="11">
        <f>EarningsPerDay[[#This Row],[Gross Earnings]]/EarningsPerDay[[#This Row],[Deliveries]]</f>
        <v>11.41</v>
      </c>
      <c r="W482" s="11">
        <f>EarningsPerDay[[#This Row],[Gross Earnings]]/EarningsPerDay[[#This Row],[Miles]]</f>
        <v>0.72444444444444445</v>
      </c>
      <c r="X482" s="71">
        <f>EarningsPerDay[[#This Row],[Deliveries]]/EarningsPerDay[[#This Row],[Hours]]</f>
        <v>1.3913043478260869</v>
      </c>
      <c r="Y482" s="71">
        <f>EarningsPerDay[[#This Row],[Miles]]/EarningsPerDay[[#This Row],[Deliveries]]</f>
        <v>15.75</v>
      </c>
      <c r="Z482" s="81">
        <f>(EarningsPerDay[[#This Row],[Hours]]/EarningsPerDay[[#This Row],[Deliveries]])/24</f>
        <v>2.9947916666666668E-2</v>
      </c>
      <c r="AA4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-5.9505052717336486</v>
      </c>
      <c r="AB482" s="11">
        <f>AVERAGEIFS(EarningsPerDay[Gross $/Hour],EarningsPerDay[Week '#], EarningsPerDay[[#This Row],[Week '#]], EarningsPerDay[DOW], EarningsPerDay[[#This Row],[DOW]])</f>
        <v>16.999891304347827</v>
      </c>
      <c r="AC482" s="11">
        <f>EarningsPerDay[[#This Row],[Gross $/Hour]] - EarningsPerDay[[#This Row],[Weekly Average Earnings]]</f>
        <v>-1.125108695652175</v>
      </c>
      <c r="AD482" s="11">
        <f>(SUMIFS(EarningsPerDay[Gross Earnings], EarningsPerDay[Date],"&gt;="&amp;EarningsPerDay[[#This Row],[Date]]-89, EarningsPerDay[Date], "&lt;="&amp;EarningsPerDay[[#This Row],[Date]]))/90</f>
        <v>56.638777777777783</v>
      </c>
    </row>
    <row r="483" spans="2:30" x14ac:dyDescent="0.35">
      <c r="B483" s="40">
        <v>45399</v>
      </c>
      <c r="C483" s="40">
        <f t="shared" si="43"/>
        <v>45399</v>
      </c>
      <c r="D483" s="4">
        <f>IF(EarningsPerDay[[#This Row],[Week '#]]&gt;=52,YEAR(EarningsPerDay[[#This Row],[Date]])-1,YEAR(EarningsPerDay[[#This Row],[Date]]))</f>
        <v>2024</v>
      </c>
      <c r="E483" s="4" t="str">
        <f>"QTR"&amp;IF(EarningsPerDay[[#This Row],[Week '#]] &lt;= 13, 1, IF(EarningsPerDay[[#This Row],[Week '#]] &lt;= 26, 2, IF(EarningsPerDay[[#This Row],[Week '#]] &lt;= 39, 3, 4)))</f>
        <v>QTR2</v>
      </c>
      <c r="F4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83" s="4">
        <f>IF(WEEKNUM(EarningsPerDay[[#This Row],[Date]], 2) = 53, 1, WEEKNUM(EarningsPerDay[[#This Row],[Date]],2))</f>
        <v>16</v>
      </c>
      <c r="H483" s="40" t="str">
        <f t="shared" si="44"/>
        <v>Wednesday</v>
      </c>
      <c r="I48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83" s="40" t="str" cm="1">
        <f t="array" ref="J483">IFERROR(VLOOKUP(MODE(IF(Combined[Date]=EarningsPerDay[[#This Row],[Date]],Combined[Area '#])),KPIs!$B$4:$C$7,2,FALSE),VLOOKUP(EarningsPerDay[[#This Row],[Date]],Combined[[Date]:[Primary Area]],8,FALSE))</f>
        <v>Augusta</v>
      </c>
      <c r="K483" s="40" t="str">
        <f>_xlfn.XLOOKUP(EarningsPerDay[[#This Row],[Date]],Mileage[Date],Mileage[Weather])</f>
        <v>Clear</v>
      </c>
      <c r="L483" s="4">
        <f>_xlfn.XLOOKUP(EarningsPerDay[[#This Row],[Date]],Mileage[Date],Mileage[Hi Temp])</f>
        <v>54</v>
      </c>
      <c r="M483" s="12">
        <f>_xlfn.XLOOKUP(EarningsPerDay[[#This Row],[Date]],Mileage[Date],Mileage[Total Time])</f>
        <v>3.42</v>
      </c>
      <c r="N483" s="4">
        <f>_xlfn.XLOOKUP(EarningsPerDay[[#This Row],[Date]],Mileage[Date],Mileage[Mileage])</f>
        <v>93</v>
      </c>
      <c r="O483" s="4">
        <f>SUMIF(Combined[Date],EarningsPerDay[[#This Row],[Date]],Combined[Trips])</f>
        <v>4</v>
      </c>
      <c r="P483">
        <f>COUNTIF(Combined[Date],EarningsPerDay[[#This Row],[Date]])</f>
        <v>3</v>
      </c>
      <c r="Q4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3" s="11">
        <f>SUMIF(Combined[Date],EarningsPerDay[[#This Row],[Date]],Combined[Earnings])</f>
        <v>50.44</v>
      </c>
      <c r="S483" s="11">
        <f ca="1">EarningsPerDay[[#This Row],[Gross Earnings]]-(EarningsPerDay[[#This Row],[Miles]]*CpM!$D$11)</f>
        <v>29.703502385569603</v>
      </c>
      <c r="T483" s="11">
        <f t="shared" si="45"/>
        <v>14.748538011695906</v>
      </c>
      <c r="U483" s="11">
        <f t="shared" ca="1" si="46"/>
        <v>8.6852346156636262</v>
      </c>
      <c r="V483" s="11">
        <f>EarningsPerDay[[#This Row],[Gross Earnings]]/EarningsPerDay[[#This Row],[Deliveries]]</f>
        <v>12.61</v>
      </c>
      <c r="W483" s="11">
        <f>EarningsPerDay[[#This Row],[Gross Earnings]]/EarningsPerDay[[#This Row],[Miles]]</f>
        <v>0.54236559139784946</v>
      </c>
      <c r="X483" s="71">
        <f>EarningsPerDay[[#This Row],[Deliveries]]/EarningsPerDay[[#This Row],[Hours]]</f>
        <v>1.1695906432748537</v>
      </c>
      <c r="Y483" s="71">
        <f>EarningsPerDay[[#This Row],[Miles]]/EarningsPerDay[[#This Row],[Deliveries]]</f>
        <v>23.25</v>
      </c>
      <c r="Z483" s="81">
        <f>(EarningsPerDay[[#This Row],[Hours]]/EarningsPerDay[[#This Row],[Deliveries]])/24</f>
        <v>3.5624999999999997E-2</v>
      </c>
      <c r="AA483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483" s="11">
        <f>AVERAGEIFS(EarningsPerDay[Gross $/Hour],EarningsPerDay[Week '#], EarningsPerDay[[#This Row],[Week '#]], EarningsPerDay[DOW], EarningsPerDay[[#This Row],[DOW]])</f>
        <v>18.663094763423707</v>
      </c>
      <c r="AC483" s="11">
        <f>EarningsPerDay[[#This Row],[Gross $/Hour]] - EarningsPerDay[[#This Row],[Weekly Average Earnings]]</f>
        <v>-3.914556751727801</v>
      </c>
      <c r="AD483" s="11">
        <f>(SUMIFS(EarningsPerDay[Gross Earnings], EarningsPerDay[Date],"&gt;="&amp;EarningsPerDay[[#This Row],[Date]]-89, EarningsPerDay[Date], "&lt;="&amp;EarningsPerDay[[#This Row],[Date]]))/90</f>
        <v>57.199222222222225</v>
      </c>
    </row>
    <row r="484" spans="2:30" x14ac:dyDescent="0.35">
      <c r="B484" s="40">
        <v>45401</v>
      </c>
      <c r="C484" s="40">
        <f t="shared" si="43"/>
        <v>45401</v>
      </c>
      <c r="D484" s="4">
        <f>IF(EarningsPerDay[[#This Row],[Week '#]]&gt;=52,YEAR(EarningsPerDay[[#This Row],[Date]])-1,YEAR(EarningsPerDay[[#This Row],[Date]]))</f>
        <v>2024</v>
      </c>
      <c r="E484" s="4" t="str">
        <f>"QTR"&amp;IF(EarningsPerDay[[#This Row],[Week '#]] &lt;= 13, 1, IF(EarningsPerDay[[#This Row],[Week '#]] &lt;= 26, 2, IF(EarningsPerDay[[#This Row],[Week '#]] &lt;= 39, 3, 4)))</f>
        <v>QTR2</v>
      </c>
      <c r="F4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84" s="4">
        <f>IF(WEEKNUM(EarningsPerDay[[#This Row],[Date]], 2) = 53, 1, WEEKNUM(EarningsPerDay[[#This Row],[Date]],2))</f>
        <v>16</v>
      </c>
      <c r="H484" s="40" t="str">
        <f t="shared" si="44"/>
        <v>Friday</v>
      </c>
      <c r="I48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84" s="40" t="str" cm="1">
        <f t="array" ref="J484">IFERROR(VLOOKUP(MODE(IF(Combined[Date]=EarningsPerDay[[#This Row],[Date]],Combined[Area '#])),KPIs!$B$4:$C$7,2,FALSE),VLOOKUP(EarningsPerDay[[#This Row],[Date]],Combined[[Date]:[Primary Area]],8,FALSE))</f>
        <v>Brunswick/Bath/Freeport</v>
      </c>
      <c r="K484" s="40" t="str">
        <f>_xlfn.XLOOKUP(EarningsPerDay[[#This Row],[Date]],Mileage[Date],Mileage[Weather])</f>
        <v>Overcast</v>
      </c>
      <c r="L484" s="4">
        <f>_xlfn.XLOOKUP(EarningsPerDay[[#This Row],[Date]],Mileage[Date],Mileage[Hi Temp])</f>
        <v>48</v>
      </c>
      <c r="M484" s="12">
        <f>_xlfn.XLOOKUP(EarningsPerDay[[#This Row],[Date]],Mileage[Date],Mileage[Total Time])</f>
        <v>4.0199999999999996</v>
      </c>
      <c r="N484" s="4">
        <f>_xlfn.XLOOKUP(EarningsPerDay[[#This Row],[Date]],Mileage[Date],Mileage[Mileage])</f>
        <v>75</v>
      </c>
      <c r="O484" s="4">
        <f>SUMIF(Combined[Date],EarningsPerDay[[#This Row],[Date]],Combined[Trips])</f>
        <v>6</v>
      </c>
      <c r="P484">
        <f>COUNTIF(Combined[Date],EarningsPerDay[[#This Row],[Date]])</f>
        <v>1</v>
      </c>
      <c r="Q4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4" s="11">
        <f>SUMIF(Combined[Date],EarningsPerDay[[#This Row],[Date]],Combined[Earnings])</f>
        <v>74.75</v>
      </c>
      <c r="S484" s="11">
        <f ca="1">EarningsPerDay[[#This Row],[Gross Earnings]]-(EarningsPerDay[[#This Row],[Miles]]*CpM!$D$11)</f>
        <v>58.027018052878717</v>
      </c>
      <c r="T484" s="11">
        <f t="shared" si="45"/>
        <v>18.594527363184081</v>
      </c>
      <c r="U484" s="11">
        <f t="shared" ca="1" si="46"/>
        <v>14.434581605193712</v>
      </c>
      <c r="V484" s="11">
        <f>EarningsPerDay[[#This Row],[Gross Earnings]]/EarningsPerDay[[#This Row],[Deliveries]]</f>
        <v>12.458333333333334</v>
      </c>
      <c r="W484" s="11">
        <f>EarningsPerDay[[#This Row],[Gross Earnings]]/EarningsPerDay[[#This Row],[Miles]]</f>
        <v>0.9966666666666667</v>
      </c>
      <c r="X484" s="71">
        <f>EarningsPerDay[[#This Row],[Deliveries]]/EarningsPerDay[[#This Row],[Hours]]</f>
        <v>1.4925373134328359</v>
      </c>
      <c r="Y484" s="71">
        <f>EarningsPerDay[[#This Row],[Miles]]/EarningsPerDay[[#This Row],[Deliveries]]</f>
        <v>12.5</v>
      </c>
      <c r="Z484" s="81">
        <f>(EarningsPerDay[[#This Row],[Hours]]/EarningsPerDay[[#This Row],[Deliveries]])/24</f>
        <v>2.7916666666666663E-2</v>
      </c>
      <c r="AA4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-7.7411194862390502</v>
      </c>
      <c r="AB484" s="11">
        <f>AVERAGEIFS(EarningsPerDay[Gross $/Hour],EarningsPerDay[Week '#], EarningsPerDay[[#This Row],[Week '#]], EarningsPerDay[DOW], EarningsPerDay[[#This Row],[DOW]])</f>
        <v>19.08828752450929</v>
      </c>
      <c r="AC484" s="11">
        <f>EarningsPerDay[[#This Row],[Gross $/Hour]] - EarningsPerDay[[#This Row],[Weekly Average Earnings]]</f>
        <v>-0.49376016132520917</v>
      </c>
      <c r="AD484" s="11">
        <f>(SUMIFS(EarningsPerDay[Gross Earnings], EarningsPerDay[Date],"&gt;="&amp;EarningsPerDay[[#This Row],[Date]]-89, EarningsPerDay[Date], "&lt;="&amp;EarningsPerDay[[#This Row],[Date]]))/90</f>
        <v>56.947555555555553</v>
      </c>
    </row>
    <row r="485" spans="2:30" x14ac:dyDescent="0.35">
      <c r="B485" s="40">
        <v>45402</v>
      </c>
      <c r="C485" s="40">
        <f t="shared" si="43"/>
        <v>45402</v>
      </c>
      <c r="D485" s="4">
        <f>IF(EarningsPerDay[[#This Row],[Week '#]]&gt;=52,YEAR(EarningsPerDay[[#This Row],[Date]])-1,YEAR(EarningsPerDay[[#This Row],[Date]]))</f>
        <v>2024</v>
      </c>
      <c r="E485" s="4" t="str">
        <f>"QTR"&amp;IF(EarningsPerDay[[#This Row],[Week '#]] &lt;= 13, 1, IF(EarningsPerDay[[#This Row],[Week '#]] &lt;= 26, 2, IF(EarningsPerDay[[#This Row],[Week '#]] &lt;= 39, 3, 4)))</f>
        <v>QTR2</v>
      </c>
      <c r="F4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85" s="4">
        <f>IF(WEEKNUM(EarningsPerDay[[#This Row],[Date]], 2) = 53, 1, WEEKNUM(EarningsPerDay[[#This Row],[Date]],2))</f>
        <v>16</v>
      </c>
      <c r="H485" s="40" t="str">
        <f t="shared" si="44"/>
        <v>Saturday</v>
      </c>
      <c r="I48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85" s="40" t="str" cm="1">
        <f t="array" ref="J485">IFERROR(VLOOKUP(MODE(IF(Combined[Date]=EarningsPerDay[[#This Row],[Date]],Combined[Area '#])),KPIs!$B$4:$C$7,2,FALSE),VLOOKUP(EarningsPerDay[[#This Row],[Date]],Combined[[Date]:[Primary Area]],8,FALSE))</f>
        <v>Brunswick/Bath/Freeport</v>
      </c>
      <c r="K485" s="40" t="str">
        <f>_xlfn.XLOOKUP(EarningsPerDay[[#This Row],[Date]],Mileage[Date],Mileage[Weather])</f>
        <v>Overcast</v>
      </c>
      <c r="L485" s="4">
        <f>_xlfn.XLOOKUP(EarningsPerDay[[#This Row],[Date]],Mileage[Date],Mileage[Hi Temp])</f>
        <v>50</v>
      </c>
      <c r="M485" s="12">
        <f>_xlfn.XLOOKUP(EarningsPerDay[[#This Row],[Date]],Mileage[Date],Mileage[Total Time])</f>
        <v>5.28</v>
      </c>
      <c r="N485" s="4">
        <f>_xlfn.XLOOKUP(EarningsPerDay[[#This Row],[Date]],Mileage[Date],Mileage[Mileage])</f>
        <v>102</v>
      </c>
      <c r="O485" s="4">
        <f>SUMIF(Combined[Date],EarningsPerDay[[#This Row],[Date]],Combined[Trips])</f>
        <v>10</v>
      </c>
      <c r="P485">
        <f>COUNTIF(Combined[Date],EarningsPerDay[[#This Row],[Date]])</f>
        <v>4</v>
      </c>
      <c r="Q4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5" s="11">
        <f>SUMIF(Combined[Date],EarningsPerDay[[#This Row],[Date]],Combined[Earnings])</f>
        <v>104.72</v>
      </c>
      <c r="S485" s="11">
        <f ca="1">EarningsPerDay[[#This Row],[Gross Earnings]]-(EarningsPerDay[[#This Row],[Miles]]*CpM!$D$11)</f>
        <v>81.976744551915047</v>
      </c>
      <c r="T485" s="11">
        <f t="shared" si="45"/>
        <v>19.833333333333332</v>
      </c>
      <c r="U485" s="11">
        <f t="shared" ca="1" si="46"/>
        <v>15.525898589377849</v>
      </c>
      <c r="V485" s="11">
        <f>EarningsPerDay[[#This Row],[Gross Earnings]]/EarningsPerDay[[#This Row],[Deliveries]]</f>
        <v>10.472</v>
      </c>
      <c r="W485" s="11">
        <f>EarningsPerDay[[#This Row],[Gross Earnings]]/EarningsPerDay[[#This Row],[Miles]]</f>
        <v>1.0266666666666666</v>
      </c>
      <c r="X485" s="71">
        <f>EarningsPerDay[[#This Row],[Deliveries]]/EarningsPerDay[[#This Row],[Hours]]</f>
        <v>1.8939393939393938</v>
      </c>
      <c r="Y485" s="71">
        <f>EarningsPerDay[[#This Row],[Miles]]/EarningsPerDay[[#This Row],[Deliveries]]</f>
        <v>10.199999999999999</v>
      </c>
      <c r="Z485" s="81">
        <f>(EarningsPerDay[[#This Row],[Hours]]/EarningsPerDay[[#This Row],[Deliveries]])/24</f>
        <v>2.2000000000000002E-2</v>
      </c>
      <c r="AA4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-7.7688048792945317</v>
      </c>
      <c r="AB485" s="11">
        <f>AVERAGEIFS(EarningsPerDay[Gross $/Hour],EarningsPerDay[Week '#], EarningsPerDay[[#This Row],[Week '#]], EarningsPerDay[DOW], EarningsPerDay[[#This Row],[DOW]])</f>
        <v>24.77708469395462</v>
      </c>
      <c r="AC485" s="11">
        <f>EarningsPerDay[[#This Row],[Gross $/Hour]] - EarningsPerDay[[#This Row],[Weekly Average Earnings]]</f>
        <v>-4.9437513606212882</v>
      </c>
      <c r="AD485" s="11">
        <f>(SUMIFS(EarningsPerDay[Gross Earnings], EarningsPerDay[Date],"&gt;="&amp;EarningsPerDay[[#This Row],[Date]]-89, EarningsPerDay[Date], "&lt;="&amp;EarningsPerDay[[#This Row],[Date]]))/90</f>
        <v>58.111111111111114</v>
      </c>
    </row>
    <row r="486" spans="2:30" x14ac:dyDescent="0.35">
      <c r="B486" s="40">
        <v>45403</v>
      </c>
      <c r="C486" s="40">
        <f t="shared" si="43"/>
        <v>45403</v>
      </c>
      <c r="D486" s="4">
        <f>IF(EarningsPerDay[[#This Row],[Week '#]]&gt;=52,YEAR(EarningsPerDay[[#This Row],[Date]])-1,YEAR(EarningsPerDay[[#This Row],[Date]]))</f>
        <v>2024</v>
      </c>
      <c r="E486" s="4" t="str">
        <f>"QTR"&amp;IF(EarningsPerDay[[#This Row],[Week '#]] &lt;= 13, 1, IF(EarningsPerDay[[#This Row],[Week '#]] &lt;= 26, 2, IF(EarningsPerDay[[#This Row],[Week '#]] &lt;= 39, 3, 4)))</f>
        <v>QTR2</v>
      </c>
      <c r="F4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486" s="4">
        <f>IF(WEEKNUM(EarningsPerDay[[#This Row],[Date]], 2) = 53, 1, WEEKNUM(EarningsPerDay[[#This Row],[Date]],2))</f>
        <v>16</v>
      </c>
      <c r="H486" s="40" t="str">
        <f t="shared" si="44"/>
        <v>Sunday</v>
      </c>
      <c r="I48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486" s="40" t="str" cm="1">
        <f t="array" ref="J486">IFERROR(VLOOKUP(MODE(IF(Combined[Date]=EarningsPerDay[[#This Row],[Date]],Combined[Area '#])),KPIs!$B$4:$C$7,2,FALSE),VLOOKUP(EarningsPerDay[[#This Row],[Date]],Combined[[Date]:[Primary Area]],8,FALSE))</f>
        <v>Brunswick/Bath/Freeport</v>
      </c>
      <c r="K486" s="40" t="str">
        <f>_xlfn.XLOOKUP(EarningsPerDay[[#This Row],[Date]],Mileage[Date],Mileage[Weather])</f>
        <v>Clear</v>
      </c>
      <c r="L486" s="4">
        <f>_xlfn.XLOOKUP(EarningsPerDay[[#This Row],[Date]],Mileage[Date],Mileage[Hi Temp])</f>
        <v>50</v>
      </c>
      <c r="M486" s="12">
        <f>_xlfn.XLOOKUP(EarningsPerDay[[#This Row],[Date]],Mileage[Date],Mileage[Total Time])</f>
        <v>4.8499999999999996</v>
      </c>
      <c r="N486" s="4">
        <f>_xlfn.XLOOKUP(EarningsPerDay[[#This Row],[Date]],Mileage[Date],Mileage[Mileage])</f>
        <v>111</v>
      </c>
      <c r="O486" s="4">
        <f>SUMIF(Combined[Date],EarningsPerDay[[#This Row],[Date]],Combined[Trips])</f>
        <v>10</v>
      </c>
      <c r="P486">
        <f>COUNTIF(Combined[Date],EarningsPerDay[[#This Row],[Date]])</f>
        <v>3</v>
      </c>
      <c r="Q4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6" s="11">
        <f>SUMIF(Combined[Date],EarningsPerDay[[#This Row],[Date]],Combined[Earnings])</f>
        <v>128.66</v>
      </c>
      <c r="S486" s="11">
        <f ca="1">EarningsPerDay[[#This Row],[Gross Earnings]]-(EarningsPerDay[[#This Row],[Miles]]*CpM!$D$11)</f>
        <v>103.90998671826048</v>
      </c>
      <c r="T486" s="11">
        <f t="shared" si="45"/>
        <v>26.527835051546393</v>
      </c>
      <c r="U486" s="11">
        <f t="shared" ca="1" si="46"/>
        <v>21.424739529538247</v>
      </c>
      <c r="V486" s="11">
        <f>EarningsPerDay[[#This Row],[Gross Earnings]]/EarningsPerDay[[#This Row],[Deliveries]]</f>
        <v>12.866</v>
      </c>
      <c r="W486" s="11">
        <f>EarningsPerDay[[#This Row],[Gross Earnings]]/EarningsPerDay[[#This Row],[Miles]]</f>
        <v>1.159099099099099</v>
      </c>
      <c r="X486" s="71">
        <f>EarningsPerDay[[#This Row],[Deliveries]]/EarningsPerDay[[#This Row],[Hours]]</f>
        <v>2.061855670103093</v>
      </c>
      <c r="Y486" s="71">
        <f>EarningsPerDay[[#This Row],[Miles]]/EarningsPerDay[[#This Row],[Deliveries]]</f>
        <v>11.1</v>
      </c>
      <c r="Z486" s="81">
        <f>(EarningsPerDay[[#This Row],[Hours]]/EarningsPerDay[[#This Row],[Deliveries]])/24</f>
        <v>2.0208333333333332E-2</v>
      </c>
      <c r="AA4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9.8812185101930083</v>
      </c>
      <c r="AB486" s="11">
        <f>AVERAGEIFS(EarningsPerDay[Gross $/Hour],EarningsPerDay[Week '#], EarningsPerDay[[#This Row],[Week '#]], EarningsPerDay[DOW], EarningsPerDay[[#This Row],[DOW]])</f>
        <v>21.420832419390219</v>
      </c>
      <c r="AC486" s="11">
        <f>EarningsPerDay[[#This Row],[Gross $/Hour]] - EarningsPerDay[[#This Row],[Weekly Average Earnings]]</f>
        <v>5.1070026321561741</v>
      </c>
      <c r="AD486" s="11">
        <f>(SUMIFS(EarningsPerDay[Gross Earnings], EarningsPerDay[Date],"&gt;="&amp;EarningsPerDay[[#This Row],[Date]]-89, EarningsPerDay[Date], "&lt;="&amp;EarningsPerDay[[#This Row],[Date]]))/90</f>
        <v>58.448222222222221</v>
      </c>
    </row>
    <row r="487" spans="2:30" x14ac:dyDescent="0.35">
      <c r="B487" s="40">
        <v>45404</v>
      </c>
      <c r="C487" s="40">
        <f t="shared" si="43"/>
        <v>45404</v>
      </c>
      <c r="D487" s="4">
        <f>IF(EarningsPerDay[[#This Row],[Week '#]]&gt;=52,YEAR(EarningsPerDay[[#This Row],[Date]])-1,YEAR(EarningsPerDay[[#This Row],[Date]]))</f>
        <v>2024</v>
      </c>
      <c r="E487" s="4" t="str">
        <f>"QTR"&amp;IF(EarningsPerDay[[#This Row],[Week '#]] &lt;= 13, 1, IF(EarningsPerDay[[#This Row],[Week '#]] &lt;= 26, 2, IF(EarningsPerDay[[#This Row],[Week '#]] &lt;= 39, 3, 4)))</f>
        <v>QTR2</v>
      </c>
      <c r="F4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87" s="4">
        <f>IF(WEEKNUM(EarningsPerDay[[#This Row],[Date]], 2) = 53, 1, WEEKNUM(EarningsPerDay[[#This Row],[Date]],2))</f>
        <v>17</v>
      </c>
      <c r="H487" s="40" t="str">
        <f t="shared" si="44"/>
        <v>Monday</v>
      </c>
      <c r="I48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87" s="40" t="str" cm="1">
        <f t="array" ref="J487">IFERROR(VLOOKUP(MODE(IF(Combined[Date]=EarningsPerDay[[#This Row],[Date]],Combined[Area '#])),KPIs!$B$4:$C$7,2,FALSE),VLOOKUP(EarningsPerDay[[#This Row],[Date]],Combined[[Date]:[Primary Area]],8,FALSE))</f>
        <v>Brunswick/Bath/Freeport</v>
      </c>
      <c r="K487" s="40" t="str">
        <f>_xlfn.XLOOKUP(EarningsPerDay[[#This Row],[Date]],Mileage[Date],Mileage[Weather])</f>
        <v>Clear</v>
      </c>
      <c r="L487" s="4">
        <f>_xlfn.XLOOKUP(EarningsPerDay[[#This Row],[Date]],Mileage[Date],Mileage[Hi Temp])</f>
        <v>48</v>
      </c>
      <c r="M487" s="12">
        <f>_xlfn.XLOOKUP(EarningsPerDay[[#This Row],[Date]],Mileage[Date],Mileage[Total Time])</f>
        <v>3.22</v>
      </c>
      <c r="N487" s="4">
        <f>_xlfn.XLOOKUP(EarningsPerDay[[#This Row],[Date]],Mileage[Date],Mileage[Mileage])</f>
        <v>60</v>
      </c>
      <c r="O487" s="4">
        <f>SUMIF(Combined[Date],EarningsPerDay[[#This Row],[Date]],Combined[Trips])</f>
        <v>9</v>
      </c>
      <c r="P487">
        <f>COUNTIF(Combined[Date],EarningsPerDay[[#This Row],[Date]])</f>
        <v>2</v>
      </c>
      <c r="Q4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7" s="11">
        <f>SUMIF(Combined[Date],EarningsPerDay[[#This Row],[Date]],Combined[Earnings])</f>
        <v>57</v>
      </c>
      <c r="S487" s="11">
        <f ca="1">EarningsPerDay[[#This Row],[Gross Earnings]]-(EarningsPerDay[[#This Row],[Miles]]*CpM!$D$11)</f>
        <v>43.62161444230297</v>
      </c>
      <c r="T487" s="11">
        <f t="shared" si="45"/>
        <v>17.701863354037265</v>
      </c>
      <c r="U487" s="11">
        <f t="shared" ca="1" si="46"/>
        <v>13.547085230528872</v>
      </c>
      <c r="V487" s="11">
        <f>EarningsPerDay[[#This Row],[Gross Earnings]]/EarningsPerDay[[#This Row],[Deliveries]]</f>
        <v>6.333333333333333</v>
      </c>
      <c r="W487" s="11">
        <f>EarningsPerDay[[#This Row],[Gross Earnings]]/EarningsPerDay[[#This Row],[Miles]]</f>
        <v>0.95</v>
      </c>
      <c r="X487" s="71">
        <f>EarningsPerDay[[#This Row],[Deliveries]]/EarningsPerDay[[#This Row],[Hours]]</f>
        <v>2.7950310559006208</v>
      </c>
      <c r="Y487" s="71">
        <f>EarningsPerDay[[#This Row],[Miles]]/EarningsPerDay[[#This Row],[Deliveries]]</f>
        <v>6.666666666666667</v>
      </c>
      <c r="Z487" s="81">
        <f>(EarningsPerDay[[#This Row],[Hours]]/EarningsPerDay[[#This Row],[Deliveries]])/24</f>
        <v>1.4907407407407409E-2</v>
      </c>
      <c r="AA4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-1.6822669891699462</v>
      </c>
      <c r="AB487" s="11">
        <f>AVERAGEIFS(EarningsPerDay[Gross $/Hour],EarningsPerDay[Week '#], EarningsPerDay[[#This Row],[Week '#]], EarningsPerDay[DOW], EarningsPerDay[[#This Row],[DOW]])</f>
        <v>19.811569974890972</v>
      </c>
      <c r="AC487" s="11">
        <f>EarningsPerDay[[#This Row],[Gross $/Hour]] - EarningsPerDay[[#This Row],[Weekly Average Earnings]]</f>
        <v>-2.1097066208537072</v>
      </c>
      <c r="AD487" s="11">
        <f>(SUMIFS(EarningsPerDay[Gross Earnings], EarningsPerDay[Date],"&gt;="&amp;EarningsPerDay[[#This Row],[Date]]-89, EarningsPerDay[Date], "&lt;="&amp;EarningsPerDay[[#This Row],[Date]]))/90</f>
        <v>58.611111111111114</v>
      </c>
    </row>
    <row r="488" spans="2:30" x14ac:dyDescent="0.35">
      <c r="B488" s="40">
        <v>45405</v>
      </c>
      <c r="C488" s="40">
        <f t="shared" si="43"/>
        <v>45405</v>
      </c>
      <c r="D488" s="4">
        <f>IF(EarningsPerDay[[#This Row],[Week '#]]&gt;=52,YEAR(EarningsPerDay[[#This Row],[Date]])-1,YEAR(EarningsPerDay[[#This Row],[Date]]))</f>
        <v>2024</v>
      </c>
      <c r="E488" s="4" t="str">
        <f>"QTR"&amp;IF(EarningsPerDay[[#This Row],[Week '#]] &lt;= 13, 1, IF(EarningsPerDay[[#This Row],[Week '#]] &lt;= 26, 2, IF(EarningsPerDay[[#This Row],[Week '#]] &lt;= 39, 3, 4)))</f>
        <v>QTR2</v>
      </c>
      <c r="F4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88" s="4">
        <f>IF(WEEKNUM(EarningsPerDay[[#This Row],[Date]], 2) = 53, 1, WEEKNUM(EarningsPerDay[[#This Row],[Date]],2))</f>
        <v>17</v>
      </c>
      <c r="H488" s="40" t="str">
        <f t="shared" si="44"/>
        <v>Tuesday</v>
      </c>
      <c r="I48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488" s="40" t="str" cm="1">
        <f t="array" ref="J488">IFERROR(VLOOKUP(MODE(IF(Combined[Date]=EarningsPerDay[[#This Row],[Date]],Combined[Area '#])),KPIs!$B$4:$C$7,2,FALSE),VLOOKUP(EarningsPerDay[[#This Row],[Date]],Combined[[Date]:[Primary Area]],8,FALSE))</f>
        <v>Lewiston</v>
      </c>
      <c r="K488" s="40" t="str">
        <f>_xlfn.XLOOKUP(EarningsPerDay[[#This Row],[Date]],Mileage[Date],Mileage[Weather])</f>
        <v>Clear</v>
      </c>
      <c r="L488" s="4">
        <f>_xlfn.XLOOKUP(EarningsPerDay[[#This Row],[Date]],Mileage[Date],Mileage[Hi Temp])</f>
        <v>50</v>
      </c>
      <c r="M488" s="12">
        <f>_xlfn.XLOOKUP(EarningsPerDay[[#This Row],[Date]],Mileage[Date],Mileage[Total Time])</f>
        <v>4.2</v>
      </c>
      <c r="N488" s="4">
        <f>_xlfn.XLOOKUP(EarningsPerDay[[#This Row],[Date]],Mileage[Date],Mileage[Mileage])</f>
        <v>81</v>
      </c>
      <c r="O488" s="4">
        <f>SUMIF(Combined[Date],EarningsPerDay[[#This Row],[Date]],Combined[Trips])</f>
        <v>11</v>
      </c>
      <c r="P488">
        <f>COUNTIF(Combined[Date],EarningsPerDay[[#This Row],[Date]])</f>
        <v>3</v>
      </c>
      <c r="Q4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8" s="11">
        <f>SUMIF(Combined[Date],EarningsPerDay[[#This Row],[Date]],Combined[Earnings])</f>
        <v>72.8</v>
      </c>
      <c r="S488" s="11">
        <f ca="1">EarningsPerDay[[#This Row],[Gross Earnings]]-(EarningsPerDay[[#This Row],[Miles]]*CpM!$D$11)</f>
        <v>54.739179497109006</v>
      </c>
      <c r="T488" s="11">
        <f t="shared" si="45"/>
        <v>17.333333333333332</v>
      </c>
      <c r="U488" s="11">
        <f t="shared" ca="1" si="46"/>
        <v>13.033137975502143</v>
      </c>
      <c r="V488" s="11">
        <f>EarningsPerDay[[#This Row],[Gross Earnings]]/EarningsPerDay[[#This Row],[Deliveries]]</f>
        <v>6.6181818181818182</v>
      </c>
      <c r="W488" s="11">
        <f>EarningsPerDay[[#This Row],[Gross Earnings]]/EarningsPerDay[[#This Row],[Miles]]</f>
        <v>0.89876543209876536</v>
      </c>
      <c r="X488" s="71">
        <f>EarningsPerDay[[#This Row],[Deliveries]]/EarningsPerDay[[#This Row],[Hours]]</f>
        <v>2.6190476190476191</v>
      </c>
      <c r="Y488" s="71">
        <f>EarningsPerDay[[#This Row],[Miles]]/EarningsPerDay[[#This Row],[Deliveries]]</f>
        <v>7.3636363636363633</v>
      </c>
      <c r="Z488" s="81">
        <f>(EarningsPerDay[[#This Row],[Hours]]/EarningsPerDay[[#This Row],[Deliveries]])/24</f>
        <v>1.5909090909090911E-2</v>
      </c>
      <c r="AA4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1.4958333333333336</v>
      </c>
      <c r="AB488" s="11">
        <f>AVERAGEIFS(EarningsPerDay[Gross $/Hour],EarningsPerDay[Week '#], EarningsPerDay[[#This Row],[Week '#]], EarningsPerDay[DOW], EarningsPerDay[[#This Row],[DOW]])</f>
        <v>16.253252032520326</v>
      </c>
      <c r="AC488" s="11">
        <f>EarningsPerDay[[#This Row],[Gross $/Hour]] - EarningsPerDay[[#This Row],[Weekly Average Earnings]]</f>
        <v>1.0800813008130064</v>
      </c>
      <c r="AD488" s="11">
        <f>(SUMIFS(EarningsPerDay[Gross Earnings], EarningsPerDay[Date],"&gt;="&amp;EarningsPerDay[[#This Row],[Date]]-89, EarningsPerDay[Date], "&lt;="&amp;EarningsPerDay[[#This Row],[Date]]))/90</f>
        <v>59.42</v>
      </c>
    </row>
    <row r="489" spans="2:30" x14ac:dyDescent="0.35">
      <c r="B489" s="40">
        <v>45407</v>
      </c>
      <c r="C489" s="40">
        <f t="shared" si="43"/>
        <v>45407</v>
      </c>
      <c r="D489" s="4">
        <f>IF(EarningsPerDay[[#This Row],[Week '#]]&gt;=52,YEAR(EarningsPerDay[[#This Row],[Date]])-1,YEAR(EarningsPerDay[[#This Row],[Date]]))</f>
        <v>2024</v>
      </c>
      <c r="E489" s="4" t="str">
        <f>"QTR"&amp;IF(EarningsPerDay[[#This Row],[Week '#]] &lt;= 13, 1, IF(EarningsPerDay[[#This Row],[Week '#]] &lt;= 26, 2, IF(EarningsPerDay[[#This Row],[Week '#]] &lt;= 39, 3, 4)))</f>
        <v>QTR2</v>
      </c>
      <c r="F4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89" s="4">
        <f>IF(WEEKNUM(EarningsPerDay[[#This Row],[Date]], 2) = 53, 1, WEEKNUM(EarningsPerDay[[#This Row],[Date]],2))</f>
        <v>17</v>
      </c>
      <c r="H489" s="40" t="str">
        <f t="shared" si="44"/>
        <v>Thursday</v>
      </c>
      <c r="I48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89" s="40" t="str" cm="1">
        <f t="array" ref="J489">IFERROR(VLOOKUP(MODE(IF(Combined[Date]=EarningsPerDay[[#This Row],[Date]],Combined[Area '#])),KPIs!$B$4:$C$7,2,FALSE),VLOOKUP(EarningsPerDay[[#This Row],[Date]],Combined[[Date]:[Primary Area]],8,FALSE))</f>
        <v>Lewiston</v>
      </c>
      <c r="K489" s="40" t="str">
        <f>_xlfn.XLOOKUP(EarningsPerDay[[#This Row],[Date]],Mileage[Date],Mileage[Weather])</f>
        <v>Clear</v>
      </c>
      <c r="L489" s="4">
        <f>_xlfn.XLOOKUP(EarningsPerDay[[#This Row],[Date]],Mileage[Date],Mileage[Hi Temp])</f>
        <v>48</v>
      </c>
      <c r="M489" s="12">
        <f>_xlfn.XLOOKUP(EarningsPerDay[[#This Row],[Date]],Mileage[Date],Mileage[Total Time])</f>
        <v>3.83</v>
      </c>
      <c r="N489" s="4">
        <f>_xlfn.XLOOKUP(EarningsPerDay[[#This Row],[Date]],Mileage[Date],Mileage[Mileage])</f>
        <v>85</v>
      </c>
      <c r="O489" s="4">
        <f>SUMIF(Combined[Date],EarningsPerDay[[#This Row],[Date]],Combined[Trips])</f>
        <v>6</v>
      </c>
      <c r="P489">
        <f>COUNTIF(Combined[Date],EarningsPerDay[[#This Row],[Date]])</f>
        <v>2</v>
      </c>
      <c r="Q4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89" s="11">
        <f>SUMIF(Combined[Date],EarningsPerDay[[#This Row],[Date]],Combined[Earnings])</f>
        <v>68.61</v>
      </c>
      <c r="S489" s="11">
        <f ca="1">EarningsPerDay[[#This Row],[Gross Earnings]]-(EarningsPerDay[[#This Row],[Miles]]*CpM!$D$11)</f>
        <v>49.657287126595875</v>
      </c>
      <c r="T489" s="11">
        <f t="shared" si="45"/>
        <v>17.913838120104437</v>
      </c>
      <c r="U489" s="11">
        <f t="shared" ca="1" si="46"/>
        <v>12.965349119215633</v>
      </c>
      <c r="V489" s="11">
        <f>EarningsPerDay[[#This Row],[Gross Earnings]]/EarningsPerDay[[#This Row],[Deliveries]]</f>
        <v>11.435</v>
      </c>
      <c r="W489" s="11">
        <f>EarningsPerDay[[#This Row],[Gross Earnings]]/EarningsPerDay[[#This Row],[Miles]]</f>
        <v>0.80717647058823527</v>
      </c>
      <c r="X489" s="71">
        <f>EarningsPerDay[[#This Row],[Deliveries]]/EarningsPerDay[[#This Row],[Hours]]</f>
        <v>1.566579634464752</v>
      </c>
      <c r="Y489" s="71">
        <f>EarningsPerDay[[#This Row],[Miles]]/EarningsPerDay[[#This Row],[Deliveries]]</f>
        <v>14.166666666666666</v>
      </c>
      <c r="Z489" s="81">
        <f>(EarningsPerDay[[#This Row],[Hours]]/EarningsPerDay[[#This Row],[Deliveries]])/24</f>
        <v>2.659722222222222E-2</v>
      </c>
      <c r="AA4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-0.93705827347488579</v>
      </c>
      <c r="AB489" s="11">
        <f>AVERAGEIFS(EarningsPerDay[Gross $/Hour],EarningsPerDay[Week '#], EarningsPerDay[[#This Row],[Week '#]], EarningsPerDay[DOW], EarningsPerDay[[#This Row],[DOW]])</f>
        <v>20.958704774337935</v>
      </c>
      <c r="AC489" s="11">
        <f>EarningsPerDay[[#This Row],[Gross $/Hour]] - EarningsPerDay[[#This Row],[Weekly Average Earnings]]</f>
        <v>-3.0448666542334983</v>
      </c>
      <c r="AD489" s="11">
        <f>(SUMIFS(EarningsPerDay[Gross Earnings], EarningsPerDay[Date],"&gt;="&amp;EarningsPerDay[[#This Row],[Date]]-89, EarningsPerDay[Date], "&lt;="&amp;EarningsPerDay[[#This Row],[Date]]))/90</f>
        <v>58.070888888888881</v>
      </c>
    </row>
    <row r="490" spans="2:30" x14ac:dyDescent="0.35">
      <c r="B490" s="40">
        <v>45408</v>
      </c>
      <c r="C490" s="40">
        <f t="shared" si="43"/>
        <v>45408</v>
      </c>
      <c r="D490" s="4">
        <f>IF(EarningsPerDay[[#This Row],[Week '#]]&gt;=52,YEAR(EarningsPerDay[[#This Row],[Date]])-1,YEAR(EarningsPerDay[[#This Row],[Date]]))</f>
        <v>2024</v>
      </c>
      <c r="E490" s="4" t="str">
        <f>"QTR"&amp;IF(EarningsPerDay[[#This Row],[Week '#]] &lt;= 13, 1, IF(EarningsPerDay[[#This Row],[Week '#]] &lt;= 26, 2, IF(EarningsPerDay[[#This Row],[Week '#]] &lt;= 39, 3, 4)))</f>
        <v>QTR2</v>
      </c>
      <c r="F4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90" s="4">
        <f>IF(WEEKNUM(EarningsPerDay[[#This Row],[Date]], 2) = 53, 1, WEEKNUM(EarningsPerDay[[#This Row],[Date]],2))</f>
        <v>17</v>
      </c>
      <c r="H490" s="40" t="str">
        <f t="shared" si="44"/>
        <v>Friday</v>
      </c>
      <c r="I49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90" s="40" t="str" cm="1">
        <f t="array" ref="J490">IFERROR(VLOOKUP(MODE(IF(Combined[Date]=EarningsPerDay[[#This Row],[Date]],Combined[Area '#])),KPIs!$B$4:$C$7,2,FALSE),VLOOKUP(EarningsPerDay[[#This Row],[Date]],Combined[[Date]:[Primary Area]],8,FALSE))</f>
        <v>Brunswick/Bath/Freeport</v>
      </c>
      <c r="K490" s="40" t="str">
        <f>_xlfn.XLOOKUP(EarningsPerDay[[#This Row],[Date]],Mileage[Date],Mileage[Weather])</f>
        <v>Clear</v>
      </c>
      <c r="L490" s="4">
        <f>_xlfn.XLOOKUP(EarningsPerDay[[#This Row],[Date]],Mileage[Date],Mileage[Hi Temp])</f>
        <v>55</v>
      </c>
      <c r="M490" s="12">
        <f>_xlfn.XLOOKUP(EarningsPerDay[[#This Row],[Date]],Mileage[Date],Mileage[Total Time])</f>
        <v>5.08</v>
      </c>
      <c r="N490" s="4">
        <f>_xlfn.XLOOKUP(EarningsPerDay[[#This Row],[Date]],Mileage[Date],Mileage[Mileage])</f>
        <v>109</v>
      </c>
      <c r="O490" s="4">
        <f>SUMIF(Combined[Date],EarningsPerDay[[#This Row],[Date]],Combined[Trips])</f>
        <v>14</v>
      </c>
      <c r="P490">
        <f>COUNTIF(Combined[Date],EarningsPerDay[[#This Row],[Date]])</f>
        <v>4</v>
      </c>
      <c r="Q49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0" s="11">
        <f>SUMIF(Combined[Date],EarningsPerDay[[#This Row],[Date]],Combined[Earnings])</f>
        <v>120.7</v>
      </c>
      <c r="S490" s="11">
        <f ca="1">EarningsPerDay[[#This Row],[Gross Earnings]]-(EarningsPerDay[[#This Row],[Miles]]*CpM!$D$11)</f>
        <v>96.395932903517064</v>
      </c>
      <c r="T490" s="11">
        <f t="shared" si="45"/>
        <v>23.759842519685041</v>
      </c>
      <c r="U490" s="11">
        <f t="shared" ca="1" si="46"/>
        <v>18.97557734321202</v>
      </c>
      <c r="V490" s="11">
        <f>EarningsPerDay[[#This Row],[Gross Earnings]]/EarningsPerDay[[#This Row],[Deliveries]]</f>
        <v>8.6214285714285719</v>
      </c>
      <c r="W490" s="11">
        <f>EarningsPerDay[[#This Row],[Gross Earnings]]/EarningsPerDay[[#This Row],[Miles]]</f>
        <v>1.1073394495412845</v>
      </c>
      <c r="X490" s="71">
        <f>EarningsPerDay[[#This Row],[Deliveries]]/EarningsPerDay[[#This Row],[Hours]]</f>
        <v>2.7559055118110236</v>
      </c>
      <c r="Y490" s="71">
        <f>EarningsPerDay[[#This Row],[Miles]]/EarningsPerDay[[#This Row],[Deliveries]]</f>
        <v>7.7857142857142856</v>
      </c>
      <c r="Z490" s="81">
        <f>(EarningsPerDay[[#This Row],[Hours]]/EarningsPerDay[[#This Row],[Deliveries]])/24</f>
        <v>1.511904761904762E-2</v>
      </c>
      <c r="AA4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-1.8720661946254467</v>
      </c>
      <c r="AB490" s="11">
        <f>AVERAGEIFS(EarningsPerDay[Gross $/Hour],EarningsPerDay[Week '#], EarningsPerDay[[#This Row],[Week '#]], EarningsPerDay[DOW], EarningsPerDay[[#This Row],[DOW]])</f>
        <v>27.058394201331158</v>
      </c>
      <c r="AC490" s="11">
        <f>EarningsPerDay[[#This Row],[Gross $/Hour]] - EarningsPerDay[[#This Row],[Weekly Average Earnings]]</f>
        <v>-3.2985516816461171</v>
      </c>
      <c r="AD490" s="11">
        <f>(SUMIFS(EarningsPerDay[Gross Earnings], EarningsPerDay[Date],"&gt;="&amp;EarningsPerDay[[#This Row],[Date]]-89, EarningsPerDay[Date], "&lt;="&amp;EarningsPerDay[[#This Row],[Date]]))/90</f>
        <v>58.181777777777775</v>
      </c>
    </row>
    <row r="491" spans="2:30" x14ac:dyDescent="0.35">
      <c r="B491" s="40">
        <v>45409</v>
      </c>
      <c r="C491" s="40">
        <f t="shared" si="43"/>
        <v>45409</v>
      </c>
      <c r="D491" s="4">
        <f>IF(EarningsPerDay[[#This Row],[Week '#]]&gt;=52,YEAR(EarningsPerDay[[#This Row],[Date]])-1,YEAR(EarningsPerDay[[#This Row],[Date]]))</f>
        <v>2024</v>
      </c>
      <c r="E491" s="4" t="str">
        <f>"QTR"&amp;IF(EarningsPerDay[[#This Row],[Week '#]] &lt;= 13, 1, IF(EarningsPerDay[[#This Row],[Week '#]] &lt;= 26, 2, IF(EarningsPerDay[[#This Row],[Week '#]] &lt;= 39, 3, 4)))</f>
        <v>QTR2</v>
      </c>
      <c r="F4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91" s="4">
        <f>IF(WEEKNUM(EarningsPerDay[[#This Row],[Date]], 2) = 53, 1, WEEKNUM(EarningsPerDay[[#This Row],[Date]],2))</f>
        <v>17</v>
      </c>
      <c r="H491" s="40" t="str">
        <f t="shared" si="44"/>
        <v>Saturday</v>
      </c>
      <c r="I49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91" s="40" t="str" cm="1">
        <f t="array" ref="J491">IFERROR(VLOOKUP(MODE(IF(Combined[Date]=EarningsPerDay[[#This Row],[Date]],Combined[Area '#])),KPIs!$B$4:$C$7,2,FALSE),VLOOKUP(EarningsPerDay[[#This Row],[Date]],Combined[[Date]:[Primary Area]],8,FALSE))</f>
        <v>Brunswick/Bath/Freeport</v>
      </c>
      <c r="K491" s="40" t="str">
        <f>_xlfn.XLOOKUP(EarningsPerDay[[#This Row],[Date]],Mileage[Date],Mileage[Weather])</f>
        <v>Clear</v>
      </c>
      <c r="L491" s="4">
        <f>_xlfn.XLOOKUP(EarningsPerDay[[#This Row],[Date]],Mileage[Date],Mileage[Hi Temp])</f>
        <v>54</v>
      </c>
      <c r="M491" s="12">
        <f>_xlfn.XLOOKUP(EarningsPerDay[[#This Row],[Date]],Mileage[Date],Mileage[Total Time])</f>
        <v>4.9000000000000004</v>
      </c>
      <c r="N491" s="4">
        <f>_xlfn.XLOOKUP(EarningsPerDay[[#This Row],[Date]],Mileage[Date],Mileage[Mileage])</f>
        <v>116</v>
      </c>
      <c r="O491" s="4">
        <f>SUMIF(Combined[Date],EarningsPerDay[[#This Row],[Date]],Combined[Trips])</f>
        <v>12</v>
      </c>
      <c r="P491">
        <f>COUNTIF(Combined[Date],EarningsPerDay[[#This Row],[Date]])</f>
        <v>4</v>
      </c>
      <c r="Q4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1" s="11">
        <f>SUMIF(Combined[Date],EarningsPerDay[[#This Row],[Date]],Combined[Earnings])</f>
        <v>121.16</v>
      </c>
      <c r="S491" s="11">
        <f ca="1">EarningsPerDay[[#This Row],[Gross Earnings]]-(EarningsPerDay[[#This Row],[Miles]]*CpM!$D$11)</f>
        <v>95.295121255119071</v>
      </c>
      <c r="T491" s="11">
        <f t="shared" si="45"/>
        <v>24.726530612244897</v>
      </c>
      <c r="U491" s="11">
        <f t="shared" ca="1" si="46"/>
        <v>19.447983929616136</v>
      </c>
      <c r="V491" s="11">
        <f>EarningsPerDay[[#This Row],[Gross Earnings]]/EarningsPerDay[[#This Row],[Deliveries]]</f>
        <v>10.096666666666666</v>
      </c>
      <c r="W491" s="11">
        <f>EarningsPerDay[[#This Row],[Gross Earnings]]/EarningsPerDay[[#This Row],[Miles]]</f>
        <v>1.0444827586206897</v>
      </c>
      <c r="X491" s="71">
        <f>EarningsPerDay[[#This Row],[Deliveries]]/EarningsPerDay[[#This Row],[Hours]]</f>
        <v>2.4489795918367343</v>
      </c>
      <c r="Y491" s="71">
        <f>EarningsPerDay[[#This Row],[Miles]]/EarningsPerDay[[#This Row],[Deliveries]]</f>
        <v>9.6666666666666661</v>
      </c>
      <c r="Z491" s="81">
        <f>(EarningsPerDay[[#This Row],[Hours]]/EarningsPerDay[[#This Row],[Deliveries]])/24</f>
        <v>1.7013888888888891E-2</v>
      </c>
      <c r="AA4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-2.1693526113561887</v>
      </c>
      <c r="AB491" s="11">
        <f>AVERAGEIFS(EarningsPerDay[Gross $/Hour],EarningsPerDay[Week '#], EarningsPerDay[[#This Row],[Week '#]], EarningsPerDay[DOW], EarningsPerDay[[#This Row],[DOW]])</f>
        <v>23.513308240547271</v>
      </c>
      <c r="AC491" s="11">
        <f>EarningsPerDay[[#This Row],[Gross $/Hour]] - EarningsPerDay[[#This Row],[Weekly Average Earnings]]</f>
        <v>1.2132223716976256</v>
      </c>
      <c r="AD491" s="11">
        <f>(SUMIFS(EarningsPerDay[Gross Earnings], EarningsPerDay[Date],"&gt;="&amp;EarningsPerDay[[#This Row],[Date]]-89, EarningsPerDay[Date], "&lt;="&amp;EarningsPerDay[[#This Row],[Date]]))/90</f>
        <v>59.527999999999992</v>
      </c>
    </row>
    <row r="492" spans="2:30" x14ac:dyDescent="0.35">
      <c r="B492" s="40">
        <v>45410</v>
      </c>
      <c r="C492" s="40">
        <f t="shared" si="43"/>
        <v>45410</v>
      </c>
      <c r="D492" s="4">
        <f>IF(EarningsPerDay[[#This Row],[Week '#]]&gt;=52,YEAR(EarningsPerDay[[#This Row],[Date]])-1,YEAR(EarningsPerDay[[#This Row],[Date]]))</f>
        <v>2024</v>
      </c>
      <c r="E492" s="4" t="str">
        <f>"QTR"&amp;IF(EarningsPerDay[[#This Row],[Week '#]] &lt;= 13, 1, IF(EarningsPerDay[[#This Row],[Week '#]] &lt;= 26, 2, IF(EarningsPerDay[[#This Row],[Week '#]] &lt;= 39, 3, 4)))</f>
        <v>QTR2</v>
      </c>
      <c r="F4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492" s="4">
        <f>IF(WEEKNUM(EarningsPerDay[[#This Row],[Date]], 2) = 53, 1, WEEKNUM(EarningsPerDay[[#This Row],[Date]],2))</f>
        <v>17</v>
      </c>
      <c r="H492" s="40" t="str">
        <f t="shared" si="44"/>
        <v>Sunday</v>
      </c>
      <c r="I49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92" s="40" t="str" cm="1">
        <f t="array" ref="J492">IFERROR(VLOOKUP(MODE(IF(Combined[Date]=EarningsPerDay[[#This Row],[Date]],Combined[Area '#])),KPIs!$B$4:$C$7,2,FALSE),VLOOKUP(EarningsPerDay[[#This Row],[Date]],Combined[[Date]:[Primary Area]],8,FALSE))</f>
        <v>Augusta</v>
      </c>
      <c r="K492" s="40" t="str">
        <f>_xlfn.XLOOKUP(EarningsPerDay[[#This Row],[Date]],Mileage[Date],Mileage[Weather])</f>
        <v>Mostly Cloudy</v>
      </c>
      <c r="L492" s="4">
        <f>_xlfn.XLOOKUP(EarningsPerDay[[#This Row],[Date]],Mileage[Date],Mileage[Hi Temp])</f>
        <v>52</v>
      </c>
      <c r="M492" s="12">
        <f>_xlfn.XLOOKUP(EarningsPerDay[[#This Row],[Date]],Mileage[Date],Mileage[Total Time])</f>
        <v>3.75</v>
      </c>
      <c r="N492" s="4">
        <f>_xlfn.XLOOKUP(EarningsPerDay[[#This Row],[Date]],Mileage[Date],Mileage[Mileage])</f>
        <v>90</v>
      </c>
      <c r="O492" s="4">
        <f>SUMIF(Combined[Date],EarningsPerDay[[#This Row],[Date]],Combined[Trips])</f>
        <v>7</v>
      </c>
      <c r="P492">
        <f>COUNTIF(Combined[Date],EarningsPerDay[[#This Row],[Date]])</f>
        <v>3</v>
      </c>
      <c r="Q4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2" s="11">
        <f>SUMIF(Combined[Date],EarningsPerDay[[#This Row],[Date]],Combined[Earnings])</f>
        <v>51.269999999999996</v>
      </c>
      <c r="S492" s="11">
        <f ca="1">EarningsPerDay[[#This Row],[Gross Earnings]]-(EarningsPerDay[[#This Row],[Miles]]*CpM!$D$11)</f>
        <v>31.202421663454452</v>
      </c>
      <c r="T492" s="11">
        <f t="shared" si="45"/>
        <v>13.671999999999999</v>
      </c>
      <c r="U492" s="11">
        <f t="shared" ca="1" si="46"/>
        <v>8.3206457769211877</v>
      </c>
      <c r="V492" s="11">
        <f>EarningsPerDay[[#This Row],[Gross Earnings]]/EarningsPerDay[[#This Row],[Deliveries]]</f>
        <v>7.3242857142857138</v>
      </c>
      <c r="W492" s="11">
        <f>EarningsPerDay[[#This Row],[Gross Earnings]]/EarningsPerDay[[#This Row],[Miles]]</f>
        <v>0.56966666666666665</v>
      </c>
      <c r="X492" s="71">
        <f>EarningsPerDay[[#This Row],[Deliveries]]/EarningsPerDay[[#This Row],[Hours]]</f>
        <v>1.8666666666666667</v>
      </c>
      <c r="Y492" s="71">
        <f>EarningsPerDay[[#This Row],[Miles]]/EarningsPerDay[[#This Row],[Deliveries]]</f>
        <v>12.857142857142858</v>
      </c>
      <c r="Z492" s="81">
        <f>(EarningsPerDay[[#This Row],[Hours]]/EarningsPerDay[[#This Row],[Deliveries]])/24</f>
        <v>2.2321428571428572E-2</v>
      </c>
      <c r="AA4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-5.6938376399655493</v>
      </c>
      <c r="AB492" s="11">
        <f>AVERAGEIFS(EarningsPerDay[Gross $/Hour],EarningsPerDay[Week '#], EarningsPerDay[[#This Row],[Week '#]], EarningsPerDay[DOW], EarningsPerDay[[#This Row],[DOW]])</f>
        <v>18.958528045340856</v>
      </c>
      <c r="AC492" s="11">
        <f>EarningsPerDay[[#This Row],[Gross $/Hour]] - EarningsPerDay[[#This Row],[Weekly Average Earnings]]</f>
        <v>-5.286528045340857</v>
      </c>
      <c r="AD492" s="11">
        <f>(SUMIFS(EarningsPerDay[Gross Earnings], EarningsPerDay[Date],"&gt;="&amp;EarningsPerDay[[#This Row],[Date]]-89, EarningsPerDay[Date], "&lt;="&amp;EarningsPerDay[[#This Row],[Date]]))/90</f>
        <v>60.097666666666669</v>
      </c>
    </row>
    <row r="493" spans="2:30" x14ac:dyDescent="0.35">
      <c r="B493" s="40">
        <v>45412</v>
      </c>
      <c r="C493" s="40">
        <f t="shared" si="43"/>
        <v>45412</v>
      </c>
      <c r="D493" s="4">
        <f>IF(EarningsPerDay[[#This Row],[Week '#]]&gt;=52,YEAR(EarningsPerDay[[#This Row],[Date]])-1,YEAR(EarningsPerDay[[#This Row],[Date]]))</f>
        <v>2024</v>
      </c>
      <c r="E493" s="4" t="str">
        <f>"QTR"&amp;IF(EarningsPerDay[[#This Row],[Week '#]] &lt;= 13, 1, IF(EarningsPerDay[[#This Row],[Week '#]] &lt;= 26, 2, IF(EarningsPerDay[[#This Row],[Week '#]] &lt;= 39, 3, 4)))</f>
        <v>QTR2</v>
      </c>
      <c r="F4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3" s="4">
        <f>IF(WEEKNUM(EarningsPerDay[[#This Row],[Date]], 2) = 53, 1, WEEKNUM(EarningsPerDay[[#This Row],[Date]],2))</f>
        <v>18</v>
      </c>
      <c r="H493" s="40" t="str">
        <f t="shared" si="44"/>
        <v>Tuesday</v>
      </c>
      <c r="I49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93" s="40" t="str" cm="1">
        <f t="array" ref="J493">IFERROR(VLOOKUP(MODE(IF(Combined[Date]=EarningsPerDay[[#This Row],[Date]],Combined[Area '#])),KPIs!$B$4:$C$7,2,FALSE),VLOOKUP(EarningsPerDay[[#This Row],[Date]],Combined[[Date]:[Primary Area]],8,FALSE))</f>
        <v>Brunswick/Bath/Freeport</v>
      </c>
      <c r="K493" s="40" t="str">
        <f>_xlfn.XLOOKUP(EarningsPerDay[[#This Row],[Date]],Mileage[Date],Mileage[Weather])</f>
        <v>Rain</v>
      </c>
      <c r="L493" s="4">
        <f>_xlfn.XLOOKUP(EarningsPerDay[[#This Row],[Date]],Mileage[Date],Mileage[Hi Temp])</f>
        <v>48</v>
      </c>
      <c r="M493" s="12">
        <f>_xlfn.XLOOKUP(EarningsPerDay[[#This Row],[Date]],Mileage[Date],Mileage[Total Time])</f>
        <v>4.03</v>
      </c>
      <c r="N493" s="4">
        <f>_xlfn.XLOOKUP(EarningsPerDay[[#This Row],[Date]],Mileage[Date],Mileage[Mileage])</f>
        <v>99</v>
      </c>
      <c r="O493" s="4">
        <f>SUMIF(Combined[Date],EarningsPerDay[[#This Row],[Date]],Combined[Trips])</f>
        <v>10</v>
      </c>
      <c r="P493">
        <f>COUNTIF(Combined[Date],EarningsPerDay[[#This Row],[Date]])</f>
        <v>4</v>
      </c>
      <c r="Q4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3" s="11">
        <f>SUMIF(Combined[Date],EarningsPerDay[[#This Row],[Date]],Combined[Earnings])</f>
        <v>84.6</v>
      </c>
      <c r="S493" s="11">
        <f ca="1">EarningsPerDay[[#This Row],[Gross Earnings]]-(EarningsPerDay[[#This Row],[Miles]]*CpM!$D$11)</f>
        <v>62.525663829799896</v>
      </c>
      <c r="T493" s="11">
        <f t="shared" si="45"/>
        <v>20.992555831265506</v>
      </c>
      <c r="U493" s="11">
        <f t="shared" ca="1" si="46"/>
        <v>15.515053059503696</v>
      </c>
      <c r="V493" s="11">
        <f>EarningsPerDay[[#This Row],[Gross Earnings]]/EarningsPerDay[[#This Row],[Deliveries]]</f>
        <v>8.4599999999999991</v>
      </c>
      <c r="W493" s="11">
        <f>EarningsPerDay[[#This Row],[Gross Earnings]]/EarningsPerDay[[#This Row],[Miles]]</f>
        <v>0.8545454545454545</v>
      </c>
      <c r="X493" s="71">
        <f>EarningsPerDay[[#This Row],[Deliveries]]/EarningsPerDay[[#This Row],[Hours]]</f>
        <v>2.4813895781637716</v>
      </c>
      <c r="Y493" s="71">
        <f>EarningsPerDay[[#This Row],[Miles]]/EarningsPerDay[[#This Row],[Deliveries]]</f>
        <v>9.9</v>
      </c>
      <c r="Z493" s="81">
        <f>(EarningsPerDay[[#This Row],[Hours]]/EarningsPerDay[[#This Row],[Deliveries]])/24</f>
        <v>1.6791666666666667E-2</v>
      </c>
      <c r="AA4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1.7340132512440931E-2</v>
      </c>
      <c r="AB493" s="11">
        <f>AVERAGEIFS(EarningsPerDay[Gross $/Hour],EarningsPerDay[Week '#], EarningsPerDay[[#This Row],[Week '#]], EarningsPerDay[DOW], EarningsPerDay[[#This Row],[DOW]])</f>
        <v>21.091386611284925</v>
      </c>
      <c r="AC493" s="11">
        <f>EarningsPerDay[[#This Row],[Gross $/Hour]] - EarningsPerDay[[#This Row],[Weekly Average Earnings]]</f>
        <v>-9.8830780019419251E-2</v>
      </c>
      <c r="AD493" s="11">
        <f>(SUMIFS(EarningsPerDay[Gross Earnings], EarningsPerDay[Date],"&gt;="&amp;EarningsPerDay[[#This Row],[Date]]-89, EarningsPerDay[Date], "&lt;="&amp;EarningsPerDay[[#This Row],[Date]]))/90</f>
        <v>58.57522222222223</v>
      </c>
    </row>
    <row r="494" spans="2:30" x14ac:dyDescent="0.35">
      <c r="B494" s="40">
        <v>45413</v>
      </c>
      <c r="C494" s="40">
        <f t="shared" si="43"/>
        <v>45413</v>
      </c>
      <c r="D494" s="4">
        <f>IF(EarningsPerDay[[#This Row],[Week '#]]&gt;=52,YEAR(EarningsPerDay[[#This Row],[Date]])-1,YEAR(EarningsPerDay[[#This Row],[Date]]))</f>
        <v>2024</v>
      </c>
      <c r="E494" s="4" t="str">
        <f>"QTR"&amp;IF(EarningsPerDay[[#This Row],[Week '#]] &lt;= 13, 1, IF(EarningsPerDay[[#This Row],[Week '#]] &lt;= 26, 2, IF(EarningsPerDay[[#This Row],[Week '#]] &lt;= 39, 3, 4)))</f>
        <v>QTR2</v>
      </c>
      <c r="F4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4" s="4">
        <f>IF(WEEKNUM(EarningsPerDay[[#This Row],[Date]], 2) = 53, 1, WEEKNUM(EarningsPerDay[[#This Row],[Date]],2))</f>
        <v>18</v>
      </c>
      <c r="H494" s="40" t="str">
        <f t="shared" si="44"/>
        <v>Wednesday</v>
      </c>
      <c r="I49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94" s="40" t="str" cm="1">
        <f t="array" ref="J494">IFERROR(VLOOKUP(MODE(IF(Combined[Date]=EarningsPerDay[[#This Row],[Date]],Combined[Area '#])),KPIs!$B$4:$C$7,2,FALSE),VLOOKUP(EarningsPerDay[[#This Row],[Date]],Combined[[Date]:[Primary Area]],8,FALSE))</f>
        <v>Brunswick/Bath/Freeport</v>
      </c>
      <c r="K494" s="40" t="str">
        <f>_xlfn.XLOOKUP(EarningsPerDay[[#This Row],[Date]],Mileage[Date],Mileage[Weather])</f>
        <v>Clear</v>
      </c>
      <c r="L494" s="4">
        <f>_xlfn.XLOOKUP(EarningsPerDay[[#This Row],[Date]],Mileage[Date],Mileage[Hi Temp])</f>
        <v>54</v>
      </c>
      <c r="M494" s="12">
        <f>_xlfn.XLOOKUP(EarningsPerDay[[#This Row],[Date]],Mileage[Date],Mileage[Total Time])</f>
        <v>5.3</v>
      </c>
      <c r="N494" s="4">
        <f>_xlfn.XLOOKUP(EarningsPerDay[[#This Row],[Date]],Mileage[Date],Mileage[Mileage])</f>
        <v>91</v>
      </c>
      <c r="O494" s="4">
        <f>SUMIF(Combined[Date],EarningsPerDay[[#This Row],[Date]],Combined[Trips])</f>
        <v>12</v>
      </c>
      <c r="P494">
        <f>COUNTIF(Combined[Date],EarningsPerDay[[#This Row],[Date]])</f>
        <v>4</v>
      </c>
      <c r="Q4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4" s="11">
        <f>SUMIF(Combined[Date],EarningsPerDay[[#This Row],[Date]],Combined[Earnings])</f>
        <v>115.41</v>
      </c>
      <c r="S494" s="11">
        <f ca="1">EarningsPerDay[[#This Row],[Gross Earnings]]-(EarningsPerDay[[#This Row],[Miles]]*CpM!$D$11)</f>
        <v>95.119448570826165</v>
      </c>
      <c r="T494" s="11">
        <f t="shared" si="45"/>
        <v>21.775471698113208</v>
      </c>
      <c r="U494" s="11">
        <f t="shared" ca="1" si="46"/>
        <v>17.94706576808041</v>
      </c>
      <c r="V494" s="11">
        <f>EarningsPerDay[[#This Row],[Gross Earnings]]/EarningsPerDay[[#This Row],[Deliveries]]</f>
        <v>9.6174999999999997</v>
      </c>
      <c r="W494" s="11">
        <f>EarningsPerDay[[#This Row],[Gross Earnings]]/EarningsPerDay[[#This Row],[Miles]]</f>
        <v>1.2682417582417582</v>
      </c>
      <c r="X494" s="71">
        <f>EarningsPerDay[[#This Row],[Deliveries]]/EarningsPerDay[[#This Row],[Hours]]</f>
        <v>2.2641509433962264</v>
      </c>
      <c r="Y494" s="71">
        <f>EarningsPerDay[[#This Row],[Miles]]/EarningsPerDay[[#This Row],[Deliveries]]</f>
        <v>7.583333333333333</v>
      </c>
      <c r="Z494" s="81">
        <f>(EarningsPerDay[[#This Row],[Hours]]/EarningsPerDay[[#This Row],[Deliveries]])/24</f>
        <v>1.8402777777777778E-2</v>
      </c>
      <c r="AA4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-4.1743391766292994</v>
      </c>
      <c r="AB494" s="11">
        <f>AVERAGEIFS(EarningsPerDay[Gross $/Hour],EarningsPerDay[Week '#], EarningsPerDay[[#This Row],[Week '#]], EarningsPerDay[DOW], EarningsPerDay[[#This Row],[DOW]])</f>
        <v>22.36763015414142</v>
      </c>
      <c r="AC494" s="11">
        <f>EarningsPerDay[[#This Row],[Gross $/Hour]] - EarningsPerDay[[#This Row],[Weekly Average Earnings]]</f>
        <v>-0.59215845602821204</v>
      </c>
      <c r="AD494" s="11">
        <f>(SUMIFS(EarningsPerDay[Gross Earnings], EarningsPerDay[Date],"&gt;="&amp;EarningsPerDay[[#This Row],[Date]]-89, EarningsPerDay[Date], "&lt;="&amp;EarningsPerDay[[#This Row],[Date]]))/90</f>
        <v>59.203888888888891</v>
      </c>
    </row>
    <row r="495" spans="2:30" x14ac:dyDescent="0.35">
      <c r="B495" s="40">
        <v>45414</v>
      </c>
      <c r="C495" s="40">
        <f t="shared" ref="C495:C517" si="47">B495</f>
        <v>45414</v>
      </c>
      <c r="D495" s="4">
        <f>IF(EarningsPerDay[[#This Row],[Week '#]]&gt;=52,YEAR(EarningsPerDay[[#This Row],[Date]])-1,YEAR(EarningsPerDay[[#This Row],[Date]]))</f>
        <v>2024</v>
      </c>
      <c r="E495" s="4" t="str">
        <f>"QTR"&amp;IF(EarningsPerDay[[#This Row],[Week '#]] &lt;= 13, 1, IF(EarningsPerDay[[#This Row],[Week '#]] &lt;= 26, 2, IF(EarningsPerDay[[#This Row],[Week '#]] &lt;= 39, 3, 4)))</f>
        <v>QTR2</v>
      </c>
      <c r="F4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5" s="4">
        <f>IF(WEEKNUM(EarningsPerDay[[#This Row],[Date]], 2) = 53, 1, WEEKNUM(EarningsPerDay[[#This Row],[Date]],2))</f>
        <v>18</v>
      </c>
      <c r="H495" s="40" t="str">
        <f t="shared" ref="H495:H517" si="48">TEXT(B495,"DDDD")</f>
        <v>Thursday</v>
      </c>
      <c r="I49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495" s="40" t="str" cm="1">
        <f t="array" ref="J495">IFERROR(VLOOKUP(MODE(IF(Combined[Date]=EarningsPerDay[[#This Row],[Date]],Combined[Area '#])),KPIs!$B$4:$C$7,2,FALSE),VLOOKUP(EarningsPerDay[[#This Row],[Date]],Combined[[Date]:[Primary Area]],8,FALSE))</f>
        <v>Augusta</v>
      </c>
      <c r="K495" s="40" t="str">
        <f>_xlfn.XLOOKUP(EarningsPerDay[[#This Row],[Date]],Mileage[Date],Mileage[Weather])</f>
        <v>Overcast</v>
      </c>
      <c r="L495" s="4">
        <f>_xlfn.XLOOKUP(EarningsPerDay[[#This Row],[Date]],Mileage[Date],Mileage[Hi Temp])</f>
        <v>48</v>
      </c>
      <c r="M495" s="12">
        <f>_xlfn.XLOOKUP(EarningsPerDay[[#This Row],[Date]],Mileage[Date],Mileage[Total Time])</f>
        <v>5</v>
      </c>
      <c r="N495" s="4">
        <f>_xlfn.XLOOKUP(EarningsPerDay[[#This Row],[Date]],Mileage[Date],Mileage[Mileage])</f>
        <v>119</v>
      </c>
      <c r="O495" s="4">
        <f>SUMIF(Combined[Date],EarningsPerDay[[#This Row],[Date]],Combined[Trips])</f>
        <v>13</v>
      </c>
      <c r="P495">
        <f>COUNTIF(Combined[Date],EarningsPerDay[[#This Row],[Date]])</f>
        <v>3</v>
      </c>
      <c r="Q49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5" s="11">
        <f>SUMIF(Combined[Date],EarningsPerDay[[#This Row],[Date]],Combined[Earnings])</f>
        <v>107.63</v>
      </c>
      <c r="S495" s="11">
        <f ca="1">EarningsPerDay[[#This Row],[Gross Earnings]]-(EarningsPerDay[[#This Row],[Miles]]*CpM!$D$11)</f>
        <v>81.096201977234216</v>
      </c>
      <c r="T495" s="11">
        <f t="shared" si="45"/>
        <v>21.526</v>
      </c>
      <c r="U495" s="11">
        <f t="shared" ca="1" si="46"/>
        <v>16.219240395446842</v>
      </c>
      <c r="V495" s="11">
        <f>EarningsPerDay[[#This Row],[Gross Earnings]]/EarningsPerDay[[#This Row],[Deliveries]]</f>
        <v>8.2792307692307681</v>
      </c>
      <c r="W495" s="11">
        <f>EarningsPerDay[[#This Row],[Gross Earnings]]/EarningsPerDay[[#This Row],[Miles]]</f>
        <v>0.90445378151260503</v>
      </c>
      <c r="X495" s="71">
        <f>EarningsPerDay[[#This Row],[Deliveries]]/EarningsPerDay[[#This Row],[Hours]]</f>
        <v>2.6</v>
      </c>
      <c r="Y495" s="71">
        <f>EarningsPerDay[[#This Row],[Miles]]/EarningsPerDay[[#This Row],[Deliveries]]</f>
        <v>9.1538461538461533</v>
      </c>
      <c r="Z495" s="81">
        <f>(EarningsPerDay[[#This Row],[Hours]]/EarningsPerDay[[#This Row],[Deliveries]])/24</f>
        <v>1.6025641025641028E-2</v>
      </c>
      <c r="AA4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7.9202307692307681</v>
      </c>
      <c r="AB495" s="11">
        <f>AVERAGEIFS(EarningsPerDay[Gross $/Hour],EarningsPerDay[Week '#], EarningsPerDay[[#This Row],[Week '#]], EarningsPerDay[DOW], EarningsPerDay[[#This Row],[DOW]])</f>
        <v>19.452916652940207</v>
      </c>
      <c r="AC495" s="11">
        <f>EarningsPerDay[[#This Row],[Gross $/Hour]] - EarningsPerDay[[#This Row],[Weekly Average Earnings]]</f>
        <v>2.0730833470597929</v>
      </c>
      <c r="AD495" s="11">
        <f>(SUMIFS(EarningsPerDay[Gross Earnings], EarningsPerDay[Date],"&gt;="&amp;EarningsPerDay[[#This Row],[Date]]-89, EarningsPerDay[Date], "&lt;="&amp;EarningsPerDay[[#This Row],[Date]]))/90</f>
        <v>59.414888888888889</v>
      </c>
    </row>
    <row r="496" spans="2:30" x14ac:dyDescent="0.35">
      <c r="B496" s="40">
        <v>45415</v>
      </c>
      <c r="C496" s="40">
        <f t="shared" si="47"/>
        <v>45415</v>
      </c>
      <c r="D496" s="4">
        <f>IF(EarningsPerDay[[#This Row],[Week '#]]&gt;=52,YEAR(EarningsPerDay[[#This Row],[Date]])-1,YEAR(EarningsPerDay[[#This Row],[Date]]))</f>
        <v>2024</v>
      </c>
      <c r="E496" s="4" t="str">
        <f>"QTR"&amp;IF(EarningsPerDay[[#This Row],[Week '#]] &lt;= 13, 1, IF(EarningsPerDay[[#This Row],[Week '#]] &lt;= 26, 2, IF(EarningsPerDay[[#This Row],[Week '#]] &lt;= 39, 3, 4)))</f>
        <v>QTR2</v>
      </c>
      <c r="F4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6" s="4">
        <f>IF(WEEKNUM(EarningsPerDay[[#This Row],[Date]], 2) = 53, 1, WEEKNUM(EarningsPerDay[[#This Row],[Date]],2))</f>
        <v>18</v>
      </c>
      <c r="H496" s="40" t="str">
        <f t="shared" si="48"/>
        <v>Friday</v>
      </c>
      <c r="I49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96" s="40" t="str" cm="1">
        <f t="array" ref="J496">IFERROR(VLOOKUP(MODE(IF(Combined[Date]=EarningsPerDay[[#This Row],[Date]],Combined[Area '#])),KPIs!$B$4:$C$7,2,FALSE),VLOOKUP(EarningsPerDay[[#This Row],[Date]],Combined[[Date]:[Primary Area]],8,FALSE))</f>
        <v>Lewiston</v>
      </c>
      <c r="K496" s="40" t="str">
        <f>_xlfn.XLOOKUP(EarningsPerDay[[#This Row],[Date]],Mileage[Date],Mileage[Weather])</f>
        <v>Clear</v>
      </c>
      <c r="L496" s="4">
        <f>_xlfn.XLOOKUP(EarningsPerDay[[#This Row],[Date]],Mileage[Date],Mileage[Hi Temp])</f>
        <v>63</v>
      </c>
      <c r="M496" s="12">
        <f>_xlfn.XLOOKUP(EarningsPerDay[[#This Row],[Date]],Mileage[Date],Mileage[Total Time])</f>
        <v>5.45</v>
      </c>
      <c r="N496" s="4">
        <f>_xlfn.XLOOKUP(EarningsPerDay[[#This Row],[Date]],Mileage[Date],Mileage[Mileage])</f>
        <v>91</v>
      </c>
      <c r="O496" s="4">
        <f>SUMIF(Combined[Date],EarningsPerDay[[#This Row],[Date]],Combined[Trips])</f>
        <v>15</v>
      </c>
      <c r="P496">
        <f>COUNTIF(Combined[Date],EarningsPerDay[[#This Row],[Date]])</f>
        <v>3</v>
      </c>
      <c r="Q4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6" s="11">
        <f>SUMIF(Combined[Date],EarningsPerDay[[#This Row],[Date]],Combined[Earnings])</f>
        <v>123.54</v>
      </c>
      <c r="S496" s="11">
        <f ca="1">EarningsPerDay[[#This Row],[Gross Earnings]]-(EarningsPerDay[[#This Row],[Miles]]*CpM!$D$11)</f>
        <v>103.24944857082617</v>
      </c>
      <c r="T496" s="11">
        <f t="shared" si="45"/>
        <v>22.667889908256882</v>
      </c>
      <c r="U496" s="11">
        <f t="shared" ca="1" si="46"/>
        <v>18.944852948775445</v>
      </c>
      <c r="V496" s="11">
        <f>EarningsPerDay[[#This Row],[Gross Earnings]]/EarningsPerDay[[#This Row],[Deliveries]]</f>
        <v>8.2360000000000007</v>
      </c>
      <c r="W496" s="11">
        <f>EarningsPerDay[[#This Row],[Gross Earnings]]/EarningsPerDay[[#This Row],[Miles]]</f>
        <v>1.3575824175824176</v>
      </c>
      <c r="X496" s="71">
        <f>EarningsPerDay[[#This Row],[Deliveries]]/EarningsPerDay[[#This Row],[Hours]]</f>
        <v>2.7522935779816513</v>
      </c>
      <c r="Y496" s="71">
        <f>EarningsPerDay[[#This Row],[Miles]]/EarningsPerDay[[#This Row],[Deliveries]]</f>
        <v>6.0666666666666664</v>
      </c>
      <c r="Z496" s="81">
        <f>(EarningsPerDay[[#This Row],[Hours]]/EarningsPerDay[[#This Row],[Deliveries]])/24</f>
        <v>1.5138888888888889E-2</v>
      </c>
      <c r="AA4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4.9258065749235485</v>
      </c>
      <c r="AB496" s="11">
        <f>AVERAGEIFS(EarningsPerDay[Gross $/Hour],EarningsPerDay[Week '#], EarningsPerDay[[#This Row],[Week '#]], EarningsPerDay[DOW], EarningsPerDay[[#This Row],[DOW]])</f>
        <v>28.304790435178003</v>
      </c>
      <c r="AC496" s="11">
        <f>EarningsPerDay[[#This Row],[Gross $/Hour]] - EarningsPerDay[[#This Row],[Weekly Average Earnings]]</f>
        <v>-5.6369005269211208</v>
      </c>
      <c r="AD496" s="11">
        <f>(SUMIFS(EarningsPerDay[Gross Earnings], EarningsPerDay[Date],"&gt;="&amp;EarningsPerDay[[#This Row],[Date]]-89, EarningsPerDay[Date], "&lt;="&amp;EarningsPerDay[[#This Row],[Date]]))/90</f>
        <v>60.787555555555556</v>
      </c>
    </row>
    <row r="497" spans="2:30" x14ac:dyDescent="0.35">
      <c r="B497" s="40">
        <v>45416</v>
      </c>
      <c r="C497" s="40">
        <f t="shared" si="47"/>
        <v>45416</v>
      </c>
      <c r="D497" s="4">
        <f>IF(EarningsPerDay[[#This Row],[Week '#]]&gt;=52,YEAR(EarningsPerDay[[#This Row],[Date]])-1,YEAR(EarningsPerDay[[#This Row],[Date]]))</f>
        <v>2024</v>
      </c>
      <c r="E497" s="4" t="str">
        <f>"QTR"&amp;IF(EarningsPerDay[[#This Row],[Week '#]] &lt;= 13, 1, IF(EarningsPerDay[[#This Row],[Week '#]] &lt;= 26, 2, IF(EarningsPerDay[[#This Row],[Week '#]] &lt;= 39, 3, 4)))</f>
        <v>QTR2</v>
      </c>
      <c r="F4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7" s="4">
        <f>IF(WEEKNUM(EarningsPerDay[[#This Row],[Date]], 2) = 53, 1, WEEKNUM(EarningsPerDay[[#This Row],[Date]],2))</f>
        <v>18</v>
      </c>
      <c r="H497" s="40" t="str">
        <f t="shared" si="48"/>
        <v>Saturday</v>
      </c>
      <c r="I49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497" s="40" t="str" cm="1">
        <f t="array" ref="J497">IFERROR(VLOOKUP(MODE(IF(Combined[Date]=EarningsPerDay[[#This Row],[Date]],Combined[Area '#])),KPIs!$B$4:$C$7,2,FALSE),VLOOKUP(EarningsPerDay[[#This Row],[Date]],Combined[[Date]:[Primary Area]],8,FALSE))</f>
        <v>Brunswick/Bath/Freeport</v>
      </c>
      <c r="K497" s="40" t="str">
        <f>_xlfn.XLOOKUP(EarningsPerDay[[#This Row],[Date]],Mileage[Date],Mileage[Weather])</f>
        <v>Overcast</v>
      </c>
      <c r="L497" s="4">
        <f>_xlfn.XLOOKUP(EarningsPerDay[[#This Row],[Date]],Mileage[Date],Mileage[Hi Temp])</f>
        <v>54</v>
      </c>
      <c r="M497" s="12">
        <f>_xlfn.XLOOKUP(EarningsPerDay[[#This Row],[Date]],Mileage[Date],Mileage[Total Time])</f>
        <v>3.63</v>
      </c>
      <c r="N497" s="4">
        <f>_xlfn.XLOOKUP(EarningsPerDay[[#This Row],[Date]],Mileage[Date],Mileage[Mileage])</f>
        <v>103</v>
      </c>
      <c r="O497" s="4">
        <f>SUMIF(Combined[Date],EarningsPerDay[[#This Row],[Date]],Combined[Trips])</f>
        <v>8</v>
      </c>
      <c r="P497">
        <f>COUNTIF(Combined[Date],EarningsPerDay[[#This Row],[Date]])</f>
        <v>2</v>
      </c>
      <c r="Q49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497" s="11">
        <f>SUMIF(Combined[Date],EarningsPerDay[[#This Row],[Date]],Combined[Earnings])</f>
        <v>73.050000000000011</v>
      </c>
      <c r="S497" s="11">
        <f ca="1">EarningsPerDay[[#This Row],[Gross Earnings]]-(EarningsPerDay[[#This Row],[Miles]]*CpM!$D$11)</f>
        <v>50.08377145928678</v>
      </c>
      <c r="T497" s="11">
        <f t="shared" si="45"/>
        <v>20.123966942148765</v>
      </c>
      <c r="U497" s="11">
        <f t="shared" ca="1" si="46"/>
        <v>13.797182220189196</v>
      </c>
      <c r="V497" s="11">
        <f>EarningsPerDay[[#This Row],[Gross Earnings]]/EarningsPerDay[[#This Row],[Deliveries]]</f>
        <v>9.1312500000000014</v>
      </c>
      <c r="W497" s="11">
        <f>EarningsPerDay[[#This Row],[Gross Earnings]]/EarningsPerDay[[#This Row],[Miles]]</f>
        <v>0.70922330097087394</v>
      </c>
      <c r="X497" s="71">
        <f>EarningsPerDay[[#This Row],[Deliveries]]/EarningsPerDay[[#This Row],[Hours]]</f>
        <v>2.2038567493112948</v>
      </c>
      <c r="Y497" s="71">
        <f>EarningsPerDay[[#This Row],[Miles]]/EarningsPerDay[[#This Row],[Deliveries]]</f>
        <v>12.875</v>
      </c>
      <c r="Z497" s="81">
        <f>(EarningsPerDay[[#This Row],[Hours]]/EarningsPerDay[[#This Row],[Deliveries]])/24</f>
        <v>1.8906249999999999E-2</v>
      </c>
      <c r="AA4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-6.591136897172639</v>
      </c>
      <c r="AB497" s="11">
        <f>AVERAGEIFS(EarningsPerDay[Gross $/Hour],EarningsPerDay[Week '#], EarningsPerDay[[#This Row],[Week '#]], EarningsPerDay[DOW], EarningsPerDay[[#This Row],[DOW]])</f>
        <v>25.165112615762578</v>
      </c>
      <c r="AC497" s="11">
        <f>EarningsPerDay[[#This Row],[Gross $/Hour]] - EarningsPerDay[[#This Row],[Weekly Average Earnings]]</f>
        <v>-5.0411456736138121</v>
      </c>
      <c r="AD497" s="11">
        <f>(SUMIFS(EarningsPerDay[Gross Earnings], EarningsPerDay[Date],"&gt;="&amp;EarningsPerDay[[#This Row],[Date]]-89, EarningsPerDay[Date], "&lt;="&amp;EarningsPerDay[[#This Row],[Date]]))/90</f>
        <v>61.599222222222224</v>
      </c>
    </row>
    <row r="498" spans="2:30" x14ac:dyDescent="0.35">
      <c r="B498" s="40">
        <v>45417</v>
      </c>
      <c r="C498" s="40">
        <f t="shared" si="47"/>
        <v>45417</v>
      </c>
      <c r="D498" s="4">
        <f>IF(EarningsPerDay[[#This Row],[Week '#]]&gt;=52,YEAR(EarningsPerDay[[#This Row],[Date]])-1,YEAR(EarningsPerDay[[#This Row],[Date]]))</f>
        <v>2024</v>
      </c>
      <c r="E498" s="4" t="str">
        <f>"QTR"&amp;IF(EarningsPerDay[[#This Row],[Week '#]] &lt;= 13, 1, IF(EarningsPerDay[[#This Row],[Week '#]] &lt;= 26, 2, IF(EarningsPerDay[[#This Row],[Week '#]] &lt;= 39, 3, 4)))</f>
        <v>QTR2</v>
      </c>
      <c r="F4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498" s="4">
        <f>IF(WEEKNUM(EarningsPerDay[[#This Row],[Date]], 2) = 53, 1, WEEKNUM(EarningsPerDay[[#This Row],[Date]],2))</f>
        <v>18</v>
      </c>
      <c r="H498" s="40" t="str">
        <f t="shared" si="48"/>
        <v>Sunday</v>
      </c>
      <c r="I49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98" s="40" t="str" cm="1">
        <f t="array" ref="J498">IFERROR(VLOOKUP(MODE(IF(Combined[Date]=EarningsPerDay[[#This Row],[Date]],Combined[Area '#])),KPIs!$B$4:$C$7,2,FALSE),VLOOKUP(EarningsPerDay[[#This Row],[Date]],Combined[[Date]:[Primary Area]],8,FALSE))</f>
        <v>Brunswick/Bath/Freeport</v>
      </c>
      <c r="K498" s="40" t="str">
        <f>_xlfn.XLOOKUP(EarningsPerDay[[#This Row],[Date]],Mileage[Date],Mileage[Weather])</f>
        <v>Rain</v>
      </c>
      <c r="L498" s="4">
        <f>_xlfn.XLOOKUP(EarningsPerDay[[#This Row],[Date]],Mileage[Date],Mileage[Hi Temp])</f>
        <v>46</v>
      </c>
      <c r="M498" s="12">
        <f>_xlfn.XLOOKUP(EarningsPerDay[[#This Row],[Date]],Mileage[Date],Mileage[Total Time])</f>
        <v>4.97</v>
      </c>
      <c r="N498" s="4">
        <f>_xlfn.XLOOKUP(EarningsPerDay[[#This Row],[Date]],Mileage[Date],Mileage[Mileage])</f>
        <v>88</v>
      </c>
      <c r="O498" s="4">
        <f>SUMIF(Combined[Date],EarningsPerDay[[#This Row],[Date]],Combined[Trips])</f>
        <v>10</v>
      </c>
      <c r="P498">
        <f>COUNTIF(Combined[Date],EarningsPerDay[[#This Row],[Date]])</f>
        <v>3</v>
      </c>
      <c r="Q4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8" s="11">
        <f>SUMIF(Combined[Date],EarningsPerDay[[#This Row],[Date]],Combined[Earnings])</f>
        <v>141.63</v>
      </c>
      <c r="S498" s="11">
        <f ca="1">EarningsPerDay[[#This Row],[Gross Earnings]]-(EarningsPerDay[[#This Row],[Miles]]*CpM!$D$11)</f>
        <v>122.00836784871102</v>
      </c>
      <c r="T498" s="11">
        <f t="shared" si="45"/>
        <v>28.496981891348089</v>
      </c>
      <c r="U498" s="11">
        <f t="shared" ca="1" si="46"/>
        <v>24.548967373986123</v>
      </c>
      <c r="V498" s="11">
        <f>EarningsPerDay[[#This Row],[Gross Earnings]]/EarningsPerDay[[#This Row],[Deliveries]]</f>
        <v>14.163</v>
      </c>
      <c r="W498" s="11">
        <f>EarningsPerDay[[#This Row],[Gross Earnings]]/EarningsPerDay[[#This Row],[Miles]]</f>
        <v>1.6094318181818181</v>
      </c>
      <c r="X498" s="71">
        <f>EarningsPerDay[[#This Row],[Deliveries]]/EarningsPerDay[[#This Row],[Hours]]</f>
        <v>2.0120724346076462</v>
      </c>
      <c r="Y498" s="71">
        <f>EarningsPerDay[[#This Row],[Miles]]/EarningsPerDay[[#This Row],[Deliveries]]</f>
        <v>8.8000000000000007</v>
      </c>
      <c r="Z498" s="81">
        <f>(EarningsPerDay[[#This Row],[Hours]]/EarningsPerDay[[#This Row],[Deliveries]])/24</f>
        <v>2.0708333333333332E-2</v>
      </c>
      <c r="AA4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8.5566258465970328</v>
      </c>
      <c r="AB498" s="11">
        <f>AVERAGEIFS(EarningsPerDay[Gross $/Hour],EarningsPerDay[Week '#], EarningsPerDay[[#This Row],[Week '#]], EarningsPerDay[DOW], EarningsPerDay[[#This Row],[DOW]])</f>
        <v>19.246597619330164</v>
      </c>
      <c r="AC498" s="11">
        <f>EarningsPerDay[[#This Row],[Gross $/Hour]] - EarningsPerDay[[#This Row],[Weekly Average Earnings]]</f>
        <v>9.250384272017925</v>
      </c>
      <c r="AD498" s="11">
        <f>(SUMIFS(EarningsPerDay[Gross Earnings], EarningsPerDay[Date],"&gt;="&amp;EarningsPerDay[[#This Row],[Date]]-89, EarningsPerDay[Date], "&lt;="&amp;EarningsPerDay[[#This Row],[Date]]))/90</f>
        <v>62.730444444444451</v>
      </c>
    </row>
    <row r="499" spans="2:30" x14ac:dyDescent="0.35">
      <c r="B499" s="40">
        <v>45418</v>
      </c>
      <c r="C499" s="40">
        <f t="shared" si="47"/>
        <v>45418</v>
      </c>
      <c r="D499" s="4">
        <f>IF(EarningsPerDay[[#This Row],[Week '#]]&gt;=52,YEAR(EarningsPerDay[[#This Row],[Date]])-1,YEAR(EarningsPerDay[[#This Row],[Date]]))</f>
        <v>2024</v>
      </c>
      <c r="E499" s="4" t="str">
        <f>"QTR"&amp;IF(EarningsPerDay[[#This Row],[Week '#]] &lt;= 13, 1, IF(EarningsPerDay[[#This Row],[Week '#]] &lt;= 26, 2, IF(EarningsPerDay[[#This Row],[Week '#]] &lt;= 39, 3, 4)))</f>
        <v>QTR2</v>
      </c>
      <c r="F4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499" s="4">
        <f>IF(WEEKNUM(EarningsPerDay[[#This Row],[Date]], 2) = 53, 1, WEEKNUM(EarningsPerDay[[#This Row],[Date]],2))</f>
        <v>19</v>
      </c>
      <c r="H499" s="40" t="str">
        <f t="shared" si="48"/>
        <v>Monday</v>
      </c>
      <c r="I49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499" s="40" t="str" cm="1">
        <f t="array" ref="J499">IFERROR(VLOOKUP(MODE(IF(Combined[Date]=EarningsPerDay[[#This Row],[Date]],Combined[Area '#])),KPIs!$B$4:$C$7,2,FALSE),VLOOKUP(EarningsPerDay[[#This Row],[Date]],Combined[[Date]:[Primary Area]],8,FALSE))</f>
        <v>Brunswick/Bath/Freeport</v>
      </c>
      <c r="K499" s="40" t="str">
        <f>_xlfn.XLOOKUP(EarningsPerDay[[#This Row],[Date]],Mileage[Date],Mileage[Weather])</f>
        <v>Clear</v>
      </c>
      <c r="L499" s="4">
        <f>_xlfn.XLOOKUP(EarningsPerDay[[#This Row],[Date]],Mileage[Date],Mileage[Hi Temp])</f>
        <v>66</v>
      </c>
      <c r="M499" s="12">
        <f>_xlfn.XLOOKUP(EarningsPerDay[[#This Row],[Date]],Mileage[Date],Mileage[Total Time])</f>
        <v>5.22</v>
      </c>
      <c r="N499" s="4">
        <f>_xlfn.XLOOKUP(EarningsPerDay[[#This Row],[Date]],Mileage[Date],Mileage[Mileage])</f>
        <v>114</v>
      </c>
      <c r="O499" s="4">
        <f>SUMIF(Combined[Date],EarningsPerDay[[#This Row],[Date]],Combined[Trips])</f>
        <v>13</v>
      </c>
      <c r="P499">
        <f>COUNTIF(Combined[Date],EarningsPerDay[[#This Row],[Date]])</f>
        <v>3</v>
      </c>
      <c r="Q49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499" s="11">
        <f>SUMIF(Combined[Date],EarningsPerDay[[#This Row],[Date]],Combined[Earnings])</f>
        <v>133.05000000000001</v>
      </c>
      <c r="S499" s="11">
        <f ca="1">EarningsPerDay[[#This Row],[Gross Earnings]]-(EarningsPerDay[[#This Row],[Miles]]*CpM!$D$11)</f>
        <v>107.63106744037566</v>
      </c>
      <c r="T499" s="11">
        <f t="shared" si="45"/>
        <v>25.488505747126439</v>
      </c>
      <c r="U499" s="11">
        <f t="shared" ca="1" si="46"/>
        <v>20.618978436853574</v>
      </c>
      <c r="V499" s="11">
        <f>EarningsPerDay[[#This Row],[Gross Earnings]]/EarningsPerDay[[#This Row],[Deliveries]]</f>
        <v>10.234615384615385</v>
      </c>
      <c r="W499" s="11">
        <f>EarningsPerDay[[#This Row],[Gross Earnings]]/EarningsPerDay[[#This Row],[Miles]]</f>
        <v>1.1671052631578949</v>
      </c>
      <c r="X499" s="71">
        <f>EarningsPerDay[[#This Row],[Deliveries]]/EarningsPerDay[[#This Row],[Hours]]</f>
        <v>2.4904214559386975</v>
      </c>
      <c r="Y499" s="71">
        <f>EarningsPerDay[[#This Row],[Miles]]/EarningsPerDay[[#This Row],[Deliveries]]</f>
        <v>8.7692307692307701</v>
      </c>
      <c r="Z499" s="81">
        <f>(EarningsPerDay[[#This Row],[Hours]]/EarningsPerDay[[#This Row],[Deliveries]])/24</f>
        <v>1.673076923076923E-2</v>
      </c>
      <c r="AA4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6.4408288017532165</v>
      </c>
      <c r="AB499" s="11">
        <f>AVERAGEIFS(EarningsPerDay[Gross $/Hour],EarningsPerDay[Week '#], EarningsPerDay[[#This Row],[Week '#]], EarningsPerDay[DOW], EarningsPerDay[[#This Row],[DOW]])</f>
        <v>20.570186793111567</v>
      </c>
      <c r="AC499" s="11">
        <f>EarningsPerDay[[#This Row],[Gross $/Hour]] - EarningsPerDay[[#This Row],[Weekly Average Earnings]]</f>
        <v>4.9183189540148717</v>
      </c>
      <c r="AD499" s="11">
        <f>(SUMIFS(EarningsPerDay[Gross Earnings], EarningsPerDay[Date],"&gt;="&amp;EarningsPerDay[[#This Row],[Date]]-89, EarningsPerDay[Date], "&lt;="&amp;EarningsPerDay[[#This Row],[Date]]))/90</f>
        <v>64.208777777777783</v>
      </c>
    </row>
    <row r="500" spans="2:30" x14ac:dyDescent="0.35">
      <c r="B500" s="40">
        <v>45419</v>
      </c>
      <c r="C500" s="40">
        <f t="shared" si="47"/>
        <v>45419</v>
      </c>
      <c r="D500" s="4">
        <f>IF(EarningsPerDay[[#This Row],[Week '#]]&gt;=52,YEAR(EarningsPerDay[[#This Row],[Date]])-1,YEAR(EarningsPerDay[[#This Row],[Date]]))</f>
        <v>2024</v>
      </c>
      <c r="E500" s="4" t="str">
        <f>"QTR"&amp;IF(EarningsPerDay[[#This Row],[Week '#]] &lt;= 13, 1, IF(EarningsPerDay[[#This Row],[Week '#]] &lt;= 26, 2, IF(EarningsPerDay[[#This Row],[Week '#]] &lt;= 39, 3, 4)))</f>
        <v>QTR2</v>
      </c>
      <c r="F5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00" s="4">
        <f>IF(WEEKNUM(EarningsPerDay[[#This Row],[Date]], 2) = 53, 1, WEEKNUM(EarningsPerDay[[#This Row],[Date]],2))</f>
        <v>19</v>
      </c>
      <c r="H500" s="40" t="str">
        <f t="shared" si="48"/>
        <v>Tuesday</v>
      </c>
      <c r="I50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0" s="40" t="str" cm="1">
        <f t="array" ref="J500">IFERROR(VLOOKUP(MODE(IF(Combined[Date]=EarningsPerDay[[#This Row],[Date]],Combined[Area '#])),KPIs!$B$4:$C$7,2,FALSE),VLOOKUP(EarningsPerDay[[#This Row],[Date]],Combined[[Date]:[Primary Area]],8,FALSE))</f>
        <v>Portland</v>
      </c>
      <c r="K500" s="40" t="str">
        <f>_xlfn.XLOOKUP(EarningsPerDay[[#This Row],[Date]],Mileage[Date],Mileage[Weather])</f>
        <v>Clear</v>
      </c>
      <c r="L500" s="4">
        <f>_xlfn.XLOOKUP(EarningsPerDay[[#This Row],[Date]],Mileage[Date],Mileage[Hi Temp])</f>
        <v>61</v>
      </c>
      <c r="M500" s="12">
        <f>_xlfn.XLOOKUP(EarningsPerDay[[#This Row],[Date]],Mileage[Date],Mileage[Total Time])</f>
        <v>3.73</v>
      </c>
      <c r="N500" s="4">
        <f>_xlfn.XLOOKUP(EarningsPerDay[[#This Row],[Date]],Mileage[Date],Mileage[Mileage])</f>
        <v>104</v>
      </c>
      <c r="O500" s="4">
        <f>SUMIF(Combined[Date],EarningsPerDay[[#This Row],[Date]],Combined[Trips])</f>
        <v>7</v>
      </c>
      <c r="P500">
        <f>COUNTIF(Combined[Date],EarningsPerDay[[#This Row],[Date]])</f>
        <v>3</v>
      </c>
      <c r="Q5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0" s="11">
        <f>SUMIF(Combined[Date],EarningsPerDay[[#This Row],[Date]],Combined[Earnings])</f>
        <v>75.02</v>
      </c>
      <c r="S500" s="11">
        <f ca="1">EarningsPerDay[[#This Row],[Gross Earnings]]-(EarningsPerDay[[#This Row],[Miles]]*CpM!$D$11)</f>
        <v>51.830798366658478</v>
      </c>
      <c r="T500" s="11">
        <f t="shared" si="45"/>
        <v>20.112600536193028</v>
      </c>
      <c r="U500" s="11">
        <f t="shared" ca="1" si="46"/>
        <v>13.895656398567956</v>
      </c>
      <c r="V500" s="11">
        <f>EarningsPerDay[[#This Row],[Gross Earnings]]/EarningsPerDay[[#This Row],[Deliveries]]</f>
        <v>10.717142857142857</v>
      </c>
      <c r="W500" s="11">
        <f>EarningsPerDay[[#This Row],[Gross Earnings]]/EarningsPerDay[[#This Row],[Miles]]</f>
        <v>0.72134615384615386</v>
      </c>
      <c r="X500" s="71">
        <f>EarningsPerDay[[#This Row],[Deliveries]]/EarningsPerDay[[#This Row],[Hours]]</f>
        <v>1.8766756032171581</v>
      </c>
      <c r="Y500" s="71">
        <f>EarningsPerDay[[#This Row],[Miles]]/EarningsPerDay[[#This Row],[Deliveries]]</f>
        <v>14.857142857142858</v>
      </c>
      <c r="Z500" s="81">
        <f>(EarningsPerDay[[#This Row],[Hours]]/EarningsPerDay[[#This Row],[Deliveries]])/24</f>
        <v>2.2202380952380949E-2</v>
      </c>
      <c r="AA50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00" s="11">
        <f>AVERAGEIFS(EarningsPerDay[Gross $/Hour],EarningsPerDay[Week '#], EarningsPerDay[[#This Row],[Week '#]], EarningsPerDay[DOW], EarningsPerDay[[#This Row],[DOW]])</f>
        <v>18.163573021829258</v>
      </c>
      <c r="AC500" s="11">
        <f>EarningsPerDay[[#This Row],[Gross $/Hour]] - EarningsPerDay[[#This Row],[Weekly Average Earnings]]</f>
        <v>1.9490275143637703</v>
      </c>
      <c r="AD500" s="11">
        <f>(SUMIFS(EarningsPerDay[Gross Earnings], EarningsPerDay[Date],"&gt;="&amp;EarningsPerDay[[#This Row],[Date]]-89, EarningsPerDay[Date], "&lt;="&amp;EarningsPerDay[[#This Row],[Date]]))/90</f>
        <v>64.436333333333351</v>
      </c>
    </row>
    <row r="501" spans="2:30" x14ac:dyDescent="0.35">
      <c r="B501" s="40">
        <v>45421</v>
      </c>
      <c r="C501" s="40">
        <f t="shared" si="47"/>
        <v>45421</v>
      </c>
      <c r="D501" s="4">
        <f>IF(EarningsPerDay[[#This Row],[Week '#]]&gt;=52,YEAR(EarningsPerDay[[#This Row],[Date]])-1,YEAR(EarningsPerDay[[#This Row],[Date]]))</f>
        <v>2024</v>
      </c>
      <c r="E501" s="4" t="str">
        <f>"QTR"&amp;IF(EarningsPerDay[[#This Row],[Week '#]] &lt;= 13, 1, IF(EarningsPerDay[[#This Row],[Week '#]] &lt;= 26, 2, IF(EarningsPerDay[[#This Row],[Week '#]] &lt;= 39, 3, 4)))</f>
        <v>QTR2</v>
      </c>
      <c r="F5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01" s="4">
        <f>IF(WEEKNUM(EarningsPerDay[[#This Row],[Date]], 2) = 53, 1, WEEKNUM(EarningsPerDay[[#This Row],[Date]],2))</f>
        <v>19</v>
      </c>
      <c r="H501" s="40" t="str">
        <f t="shared" si="48"/>
        <v>Thursday</v>
      </c>
      <c r="I50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01" s="40" t="str" cm="1">
        <f t="array" ref="J501">IFERROR(VLOOKUP(MODE(IF(Combined[Date]=EarningsPerDay[[#This Row],[Date]],Combined[Area '#])),KPIs!$B$4:$C$7,2,FALSE),VLOOKUP(EarningsPerDay[[#This Row],[Date]],Combined[[Date]:[Primary Area]],8,FALSE))</f>
        <v>Brunswick/Bath/Freeport</v>
      </c>
      <c r="K501" s="40" t="str">
        <f>_xlfn.XLOOKUP(EarningsPerDay[[#This Row],[Date]],Mileage[Date],Mileage[Weather])</f>
        <v>Clear</v>
      </c>
      <c r="L501" s="4">
        <f>_xlfn.XLOOKUP(EarningsPerDay[[#This Row],[Date]],Mileage[Date],Mileage[Hi Temp])</f>
        <v>52</v>
      </c>
      <c r="M501" s="12">
        <f>_xlfn.XLOOKUP(EarningsPerDay[[#This Row],[Date]],Mileage[Date],Mileage[Total Time])</f>
        <v>4.2</v>
      </c>
      <c r="N501" s="4">
        <f>_xlfn.XLOOKUP(EarningsPerDay[[#This Row],[Date]],Mileage[Date],Mileage[Mileage])</f>
        <v>78</v>
      </c>
      <c r="O501" s="4">
        <f>SUMIF(Combined[Date],EarningsPerDay[[#This Row],[Date]],Combined[Trips])</f>
        <v>8</v>
      </c>
      <c r="P501">
        <f>COUNTIF(Combined[Date],EarningsPerDay[[#This Row],[Date]])</f>
        <v>3</v>
      </c>
      <c r="Q5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1" s="11">
        <f>SUMIF(Combined[Date],EarningsPerDay[[#This Row],[Date]],Combined[Earnings])</f>
        <v>91.550000000000011</v>
      </c>
      <c r="S501" s="11">
        <f ca="1">EarningsPerDay[[#This Row],[Gross Earnings]]-(EarningsPerDay[[#This Row],[Miles]]*CpM!$D$11)</f>
        <v>74.158098774993874</v>
      </c>
      <c r="T501" s="11">
        <f t="shared" si="45"/>
        <v>21.797619047619051</v>
      </c>
      <c r="U501" s="11">
        <f t="shared" ca="1" si="46"/>
        <v>17.656690184522351</v>
      </c>
      <c r="V501" s="11">
        <f>EarningsPerDay[[#This Row],[Gross Earnings]]/EarningsPerDay[[#This Row],[Deliveries]]</f>
        <v>11.443750000000001</v>
      </c>
      <c r="W501" s="11">
        <f>EarningsPerDay[[#This Row],[Gross Earnings]]/EarningsPerDay[[#This Row],[Miles]]</f>
        <v>1.1737179487179488</v>
      </c>
      <c r="X501" s="71">
        <f>EarningsPerDay[[#This Row],[Deliveries]]/EarningsPerDay[[#This Row],[Hours]]</f>
        <v>1.9047619047619047</v>
      </c>
      <c r="Y501" s="71">
        <f>EarningsPerDay[[#This Row],[Miles]]/EarningsPerDay[[#This Row],[Deliveries]]</f>
        <v>9.75</v>
      </c>
      <c r="Z501" s="81">
        <f>(EarningsPerDay[[#This Row],[Hours]]/EarningsPerDay[[#This Row],[Deliveries]])/24</f>
        <v>2.1875000000000002E-2</v>
      </c>
      <c r="AA5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-1.8176738276221158</v>
      </c>
      <c r="AB501" s="11">
        <f>AVERAGEIFS(EarningsPerDay[Gross $/Hour],EarningsPerDay[Week '#], EarningsPerDay[[#This Row],[Week '#]], EarningsPerDay[DOW], EarningsPerDay[[#This Row],[DOW]])</f>
        <v>21.385404996263951</v>
      </c>
      <c r="AC501" s="11">
        <f>EarningsPerDay[[#This Row],[Gross $/Hour]] - EarningsPerDay[[#This Row],[Weekly Average Earnings]]</f>
        <v>0.41221405135510025</v>
      </c>
      <c r="AD501" s="11">
        <f>(SUMIFS(EarningsPerDay[Gross Earnings], EarningsPerDay[Date],"&gt;="&amp;EarningsPerDay[[#This Row],[Date]]-89, EarningsPerDay[Date], "&lt;="&amp;EarningsPerDay[[#This Row],[Date]]))/90</f>
        <v>62.794444444444466</v>
      </c>
    </row>
    <row r="502" spans="2:30" x14ac:dyDescent="0.35">
      <c r="B502" s="40">
        <v>45425</v>
      </c>
      <c r="C502" s="40">
        <f t="shared" si="47"/>
        <v>45425</v>
      </c>
      <c r="D502" s="4">
        <f>IF(EarningsPerDay[[#This Row],[Week '#]]&gt;=52,YEAR(EarningsPerDay[[#This Row],[Date]])-1,YEAR(EarningsPerDay[[#This Row],[Date]]))</f>
        <v>2024</v>
      </c>
      <c r="E502" s="4" t="str">
        <f>"QTR"&amp;IF(EarningsPerDay[[#This Row],[Week '#]] &lt;= 13, 1, IF(EarningsPerDay[[#This Row],[Week '#]] &lt;= 26, 2, IF(EarningsPerDay[[#This Row],[Week '#]] &lt;= 39, 3, 4)))</f>
        <v>QTR2</v>
      </c>
      <c r="F5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02" s="4">
        <f>IF(WEEKNUM(EarningsPerDay[[#This Row],[Date]], 2) = 53, 1, WEEKNUM(EarningsPerDay[[#This Row],[Date]],2))</f>
        <v>20</v>
      </c>
      <c r="H502" s="40" t="str">
        <f t="shared" si="48"/>
        <v>Monday</v>
      </c>
      <c r="I50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2" s="40" t="str" cm="1">
        <f t="array" ref="J502">IFERROR(VLOOKUP(MODE(IF(Combined[Date]=EarningsPerDay[[#This Row],[Date]],Combined[Area '#])),KPIs!$B$4:$C$7,2,FALSE),VLOOKUP(EarningsPerDay[[#This Row],[Date]],Combined[[Date]:[Primary Area]],8,FALSE))</f>
        <v>Brunswick/Bath/Freeport</v>
      </c>
      <c r="K502" s="40" t="str">
        <f>_xlfn.XLOOKUP(EarningsPerDay[[#This Row],[Date]],Mileage[Date],Mileage[Weather])</f>
        <v>Clear</v>
      </c>
      <c r="L502" s="4">
        <f>_xlfn.XLOOKUP(EarningsPerDay[[#This Row],[Date]],Mileage[Date],Mileage[Hi Temp])</f>
        <v>59</v>
      </c>
      <c r="M502" s="12">
        <f>_xlfn.XLOOKUP(EarningsPerDay[[#This Row],[Date]],Mileage[Date],Mileage[Total Time])</f>
        <v>5.32</v>
      </c>
      <c r="N502" s="4">
        <f>_xlfn.XLOOKUP(EarningsPerDay[[#This Row],[Date]],Mileage[Date],Mileage[Mileage])</f>
        <v>115</v>
      </c>
      <c r="O502" s="4">
        <f>SUMIF(Combined[Date],EarningsPerDay[[#This Row],[Date]],Combined[Trips])</f>
        <v>13</v>
      </c>
      <c r="P502">
        <f>COUNTIF(Combined[Date],EarningsPerDay[[#This Row],[Date]])</f>
        <v>2</v>
      </c>
      <c r="Q5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2" s="11">
        <f>SUMIF(Combined[Date],EarningsPerDay[[#This Row],[Date]],Combined[Earnings])</f>
        <v>143.83000000000001</v>
      </c>
      <c r="S502" s="11">
        <f ca="1">EarningsPerDay[[#This Row],[Gross Earnings]]-(EarningsPerDay[[#This Row],[Miles]]*CpM!$D$11)</f>
        <v>118.18809434774738</v>
      </c>
      <c r="T502" s="11">
        <f t="shared" si="45"/>
        <v>27.035714285714288</v>
      </c>
      <c r="U502" s="11">
        <f t="shared" ca="1" si="46"/>
        <v>22.21580720822319</v>
      </c>
      <c r="V502" s="11">
        <f>EarningsPerDay[[#This Row],[Gross Earnings]]/EarningsPerDay[[#This Row],[Deliveries]]</f>
        <v>11.063846153846155</v>
      </c>
      <c r="W502" s="11">
        <f>EarningsPerDay[[#This Row],[Gross Earnings]]/EarningsPerDay[[#This Row],[Miles]]</f>
        <v>1.2506956521739132</v>
      </c>
      <c r="X502" s="71">
        <f>EarningsPerDay[[#This Row],[Deliveries]]/EarningsPerDay[[#This Row],[Hours]]</f>
        <v>2.4436090225563909</v>
      </c>
      <c r="Y502" s="71">
        <f>EarningsPerDay[[#This Row],[Miles]]/EarningsPerDay[[#This Row],[Deliveries]]</f>
        <v>8.8461538461538467</v>
      </c>
      <c r="Z502" s="81">
        <f>(EarningsPerDay[[#This Row],[Hours]]/EarningsPerDay[[#This Row],[Deliveries]])/24</f>
        <v>1.7051282051282052E-2</v>
      </c>
      <c r="AA5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6.9145658733821946</v>
      </c>
      <c r="AB502" s="11">
        <f>AVERAGEIFS(EarningsPerDay[Gross $/Hour],EarningsPerDay[Week '#], EarningsPerDay[[#This Row],[Week '#]], EarningsPerDay[DOW], EarningsPerDay[[#This Row],[DOW]])</f>
        <v>25.030869708994711</v>
      </c>
      <c r="AC502" s="11">
        <f>EarningsPerDay[[#This Row],[Gross $/Hour]] - EarningsPerDay[[#This Row],[Weekly Average Earnings]]</f>
        <v>2.0048445767195773</v>
      </c>
      <c r="AD502" s="11">
        <f>(SUMIFS(EarningsPerDay[Gross Earnings], EarningsPerDay[Date],"&gt;="&amp;EarningsPerDay[[#This Row],[Date]]-89, EarningsPerDay[Date], "&lt;="&amp;EarningsPerDay[[#This Row],[Date]]))/90</f>
        <v>62.508555555555567</v>
      </c>
    </row>
    <row r="503" spans="2:30" x14ac:dyDescent="0.35">
      <c r="B503" s="40">
        <v>45426</v>
      </c>
      <c r="C503" s="40">
        <f t="shared" si="47"/>
        <v>45426</v>
      </c>
      <c r="D503" s="4">
        <f>IF(EarningsPerDay[[#This Row],[Week '#]]&gt;=52,YEAR(EarningsPerDay[[#This Row],[Date]])-1,YEAR(EarningsPerDay[[#This Row],[Date]]))</f>
        <v>2024</v>
      </c>
      <c r="E503" s="4" t="str">
        <f>"QTR"&amp;IF(EarningsPerDay[[#This Row],[Week '#]] &lt;= 13, 1, IF(EarningsPerDay[[#This Row],[Week '#]] &lt;= 26, 2, IF(EarningsPerDay[[#This Row],[Week '#]] &lt;= 39, 3, 4)))</f>
        <v>QTR2</v>
      </c>
      <c r="F5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03" s="4">
        <f>IF(WEEKNUM(EarningsPerDay[[#This Row],[Date]], 2) = 53, 1, WEEKNUM(EarningsPerDay[[#This Row],[Date]],2))</f>
        <v>20</v>
      </c>
      <c r="H503" s="40" t="str">
        <f t="shared" si="48"/>
        <v>Tuesday</v>
      </c>
      <c r="I50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3" s="40" t="str" cm="1">
        <f t="array" ref="J503">IFERROR(VLOOKUP(MODE(IF(Combined[Date]=EarningsPerDay[[#This Row],[Date]],Combined[Area '#])),KPIs!$B$4:$C$7,2,FALSE),VLOOKUP(EarningsPerDay[[#This Row],[Date]],Combined[[Date]:[Primary Area]],8,FALSE))</f>
        <v>Brunswick/Bath/Freeport</v>
      </c>
      <c r="K503" s="40" t="str">
        <f>_xlfn.XLOOKUP(EarningsPerDay[[#This Row],[Date]],Mileage[Date],Mileage[Weather])</f>
        <v>Mostly Cloudy</v>
      </c>
      <c r="L503" s="4">
        <f>_xlfn.XLOOKUP(EarningsPerDay[[#This Row],[Date]],Mileage[Date],Mileage[Hi Temp])</f>
        <v>64</v>
      </c>
      <c r="M503" s="12">
        <f>_xlfn.XLOOKUP(EarningsPerDay[[#This Row],[Date]],Mileage[Date],Mileage[Total Time])</f>
        <v>6.35</v>
      </c>
      <c r="N503" s="4">
        <f>_xlfn.XLOOKUP(EarningsPerDay[[#This Row],[Date]],Mileage[Date],Mileage[Mileage])</f>
        <v>130</v>
      </c>
      <c r="O503" s="4">
        <f>SUMIF(Combined[Date],EarningsPerDay[[#This Row],[Date]],Combined[Trips])</f>
        <v>16</v>
      </c>
      <c r="P503">
        <f>COUNTIF(Combined[Date],EarningsPerDay[[#This Row],[Date]])</f>
        <v>3</v>
      </c>
      <c r="Q5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3" s="11">
        <f>SUMIF(Combined[Date],EarningsPerDay[[#This Row],[Date]],Combined[Earnings])</f>
        <v>142.47999999999999</v>
      </c>
      <c r="S503" s="11">
        <f ca="1">EarningsPerDay[[#This Row],[Gross Earnings]]-(EarningsPerDay[[#This Row],[Miles]]*CpM!$D$11)</f>
        <v>113.49349795832309</v>
      </c>
      <c r="T503" s="11">
        <f t="shared" si="45"/>
        <v>22.437795275590553</v>
      </c>
      <c r="U503" s="11">
        <f t="shared" ca="1" si="46"/>
        <v>17.87299180446033</v>
      </c>
      <c r="V503" s="11">
        <f>EarningsPerDay[[#This Row],[Gross Earnings]]/EarningsPerDay[[#This Row],[Deliveries]]</f>
        <v>8.9049999999999994</v>
      </c>
      <c r="W503" s="11">
        <f>EarningsPerDay[[#This Row],[Gross Earnings]]/EarningsPerDay[[#This Row],[Miles]]</f>
        <v>1.0959999999999999</v>
      </c>
      <c r="X503" s="71">
        <f>EarningsPerDay[[#This Row],[Deliveries]]/EarningsPerDay[[#This Row],[Hours]]</f>
        <v>2.5196850393700787</v>
      </c>
      <c r="Y503" s="71">
        <f>EarningsPerDay[[#This Row],[Miles]]/EarningsPerDay[[#This Row],[Deliveries]]</f>
        <v>8.125</v>
      </c>
      <c r="Z503" s="81">
        <f>(EarningsPerDay[[#This Row],[Hours]]/EarningsPerDay[[#This Row],[Deliveries]])/24</f>
        <v>1.6536458333333334E-2</v>
      </c>
      <c r="AA5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1.4604120602734341</v>
      </c>
      <c r="AB503" s="11">
        <f>AVERAGEIFS(EarningsPerDay[Gross $/Hour],EarningsPerDay[Week '#], EarningsPerDay[[#This Row],[Week '#]], EarningsPerDay[DOW], EarningsPerDay[[#This Row],[DOW]])</f>
        <v>25.982298093143498</v>
      </c>
      <c r="AC503" s="11">
        <f>EarningsPerDay[[#This Row],[Gross $/Hour]] - EarningsPerDay[[#This Row],[Weekly Average Earnings]]</f>
        <v>-3.5445028175529458</v>
      </c>
      <c r="AD503" s="11">
        <f>(SUMIFS(EarningsPerDay[Gross Earnings], EarningsPerDay[Date],"&gt;="&amp;EarningsPerDay[[#This Row],[Date]]-89, EarningsPerDay[Date], "&lt;="&amp;EarningsPerDay[[#This Row],[Date]]))/90</f>
        <v>61.956666666666678</v>
      </c>
    </row>
    <row r="504" spans="2:30" x14ac:dyDescent="0.35">
      <c r="B504" s="40">
        <v>45427</v>
      </c>
      <c r="C504" s="40">
        <f t="shared" si="47"/>
        <v>45427</v>
      </c>
      <c r="D504" s="4">
        <f>IF(EarningsPerDay[[#This Row],[Week '#]]&gt;=52,YEAR(EarningsPerDay[[#This Row],[Date]])-1,YEAR(EarningsPerDay[[#This Row],[Date]]))</f>
        <v>2024</v>
      </c>
      <c r="E504" s="4" t="str">
        <f>"QTR"&amp;IF(EarningsPerDay[[#This Row],[Week '#]] &lt;= 13, 1, IF(EarningsPerDay[[#This Row],[Week '#]] &lt;= 26, 2, IF(EarningsPerDay[[#This Row],[Week '#]] &lt;= 39, 3, 4)))</f>
        <v>QTR2</v>
      </c>
      <c r="F5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04" s="4">
        <f>IF(WEEKNUM(EarningsPerDay[[#This Row],[Date]], 2) = 53, 1, WEEKNUM(EarningsPerDay[[#This Row],[Date]],2))</f>
        <v>20</v>
      </c>
      <c r="H504" s="40" t="str">
        <f t="shared" si="48"/>
        <v>Wednesday</v>
      </c>
      <c r="I50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04" s="40" t="str" cm="1">
        <f t="array" ref="J504">IFERROR(VLOOKUP(MODE(IF(Combined[Date]=EarningsPerDay[[#This Row],[Date]],Combined[Area '#])),KPIs!$B$4:$C$7,2,FALSE),VLOOKUP(EarningsPerDay[[#This Row],[Date]],Combined[[Date]:[Primary Area]],8,FALSE))</f>
        <v>Brunswick/Bath/Freeport</v>
      </c>
      <c r="K504" s="40" t="str">
        <f>_xlfn.XLOOKUP(EarningsPerDay[[#This Row],[Date]],Mileage[Date],Mileage[Weather])</f>
        <v>Partially Cloudy</v>
      </c>
      <c r="L504" s="4">
        <f>_xlfn.XLOOKUP(EarningsPerDay[[#This Row],[Date]],Mileage[Date],Mileage[Hi Temp])</f>
        <v>66</v>
      </c>
      <c r="M504" s="12">
        <f>_xlfn.XLOOKUP(EarningsPerDay[[#This Row],[Date]],Mileage[Date],Mileage[Total Time])</f>
        <v>5.35</v>
      </c>
      <c r="N504" s="4">
        <f>_xlfn.XLOOKUP(EarningsPerDay[[#This Row],[Date]],Mileage[Date],Mileage[Mileage])</f>
        <v>105</v>
      </c>
      <c r="O504" s="4">
        <f>SUMIF(Combined[Date],EarningsPerDay[[#This Row],[Date]],Combined[Trips])</f>
        <v>15</v>
      </c>
      <c r="P504">
        <f>COUNTIF(Combined[Date],EarningsPerDay[[#This Row],[Date]])</f>
        <v>3</v>
      </c>
      <c r="Q5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4" s="11">
        <f>SUMIF(Combined[Date],EarningsPerDay[[#This Row],[Date]],Combined[Earnings])</f>
        <v>125.15</v>
      </c>
      <c r="S504" s="11">
        <f ca="1">EarningsPerDay[[#This Row],[Gross Earnings]]-(EarningsPerDay[[#This Row],[Miles]]*CpM!$D$11)</f>
        <v>101.7378252740302</v>
      </c>
      <c r="T504" s="11">
        <f t="shared" si="45"/>
        <v>23.392523364485985</v>
      </c>
      <c r="U504" s="11">
        <f t="shared" ca="1" si="46"/>
        <v>19.016415939071067</v>
      </c>
      <c r="V504" s="11">
        <f>EarningsPerDay[[#This Row],[Gross Earnings]]/EarningsPerDay[[#This Row],[Deliveries]]</f>
        <v>8.3433333333333337</v>
      </c>
      <c r="W504" s="11">
        <f>EarningsPerDay[[#This Row],[Gross Earnings]]/EarningsPerDay[[#This Row],[Miles]]</f>
        <v>1.191904761904762</v>
      </c>
      <c r="X504" s="71">
        <f>EarningsPerDay[[#This Row],[Deliveries]]/EarningsPerDay[[#This Row],[Hours]]</f>
        <v>2.8037383177570097</v>
      </c>
      <c r="Y504" s="71">
        <f>EarningsPerDay[[#This Row],[Miles]]/EarningsPerDay[[#This Row],[Deliveries]]</f>
        <v>7</v>
      </c>
      <c r="Z504" s="81">
        <f>(EarningsPerDay[[#This Row],[Hours]]/EarningsPerDay[[#This Row],[Deliveries]])/24</f>
        <v>1.486111111111111E-2</v>
      </c>
      <c r="AA5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-1.8615643141516358</v>
      </c>
      <c r="AB504" s="11">
        <f>AVERAGEIFS(EarningsPerDay[Gross $/Hour],EarningsPerDay[Week '#], EarningsPerDay[[#This Row],[Week '#]], EarningsPerDay[DOW], EarningsPerDay[[#This Row],[DOW]])</f>
        <v>24.268423200414826</v>
      </c>
      <c r="AC504" s="11">
        <f>EarningsPerDay[[#This Row],[Gross $/Hour]] - EarningsPerDay[[#This Row],[Weekly Average Earnings]]</f>
        <v>-0.87589983592884124</v>
      </c>
      <c r="AD504" s="11">
        <f>(SUMIFS(EarningsPerDay[Gross Earnings], EarningsPerDay[Date],"&gt;="&amp;EarningsPerDay[[#This Row],[Date]]-89, EarningsPerDay[Date], "&lt;="&amp;EarningsPerDay[[#This Row],[Date]]))/90</f>
        <v>63.347222222222236</v>
      </c>
    </row>
    <row r="505" spans="2:30" x14ac:dyDescent="0.35">
      <c r="B505" s="40">
        <v>45428</v>
      </c>
      <c r="C505" s="40">
        <f t="shared" si="47"/>
        <v>45428</v>
      </c>
      <c r="D505" s="4">
        <f>IF(EarningsPerDay[[#This Row],[Week '#]]&gt;=52,YEAR(EarningsPerDay[[#This Row],[Date]])-1,YEAR(EarningsPerDay[[#This Row],[Date]]))</f>
        <v>2024</v>
      </c>
      <c r="E505" s="4" t="str">
        <f>"QTR"&amp;IF(EarningsPerDay[[#This Row],[Week '#]] &lt;= 13, 1, IF(EarningsPerDay[[#This Row],[Week '#]] &lt;= 26, 2, IF(EarningsPerDay[[#This Row],[Week '#]] &lt;= 39, 3, 4)))</f>
        <v>QTR2</v>
      </c>
      <c r="F5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05" s="4">
        <f>IF(WEEKNUM(EarningsPerDay[[#This Row],[Date]], 2) = 53, 1, WEEKNUM(EarningsPerDay[[#This Row],[Date]],2))</f>
        <v>20</v>
      </c>
      <c r="H505" s="40" t="str">
        <f t="shared" si="48"/>
        <v>Thursday</v>
      </c>
      <c r="I50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5" s="40" t="str" cm="1">
        <f t="array" ref="J505">IFERROR(VLOOKUP(MODE(IF(Combined[Date]=EarningsPerDay[[#This Row],[Date]],Combined[Area '#])),KPIs!$B$4:$C$7,2,FALSE),VLOOKUP(EarningsPerDay[[#This Row],[Date]],Combined[[Date]:[Primary Area]],8,FALSE))</f>
        <v>Brunswick/Bath/Freeport</v>
      </c>
      <c r="K505" s="40" t="str">
        <f>_xlfn.XLOOKUP(EarningsPerDay[[#This Row],[Date]],Mileage[Date],Mileage[Weather])</f>
        <v>Clear</v>
      </c>
      <c r="L505" s="4">
        <f>_xlfn.XLOOKUP(EarningsPerDay[[#This Row],[Date]],Mileage[Date],Mileage[Hi Temp])</f>
        <v>70</v>
      </c>
      <c r="M505" s="12">
        <f>_xlfn.XLOOKUP(EarningsPerDay[[#This Row],[Date]],Mileage[Date],Mileage[Total Time])</f>
        <v>5.62</v>
      </c>
      <c r="N505" s="4">
        <f>_xlfn.XLOOKUP(EarningsPerDay[[#This Row],[Date]],Mileage[Date],Mileage[Mileage])</f>
        <v>155</v>
      </c>
      <c r="O505" s="4">
        <f>SUMIF(Combined[Date],EarningsPerDay[[#This Row],[Date]],Combined[Trips])</f>
        <v>11</v>
      </c>
      <c r="P505">
        <f>COUNTIF(Combined[Date],EarningsPerDay[[#This Row],[Date]])</f>
        <v>4</v>
      </c>
      <c r="Q5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5" s="11">
        <f>SUMIF(Combined[Date],EarningsPerDay[[#This Row],[Date]],Combined[Earnings])</f>
        <v>129.67000000000002</v>
      </c>
      <c r="S505" s="11">
        <f ca="1">EarningsPerDay[[#This Row],[Gross Earnings]]-(EarningsPerDay[[#This Row],[Miles]]*CpM!$D$11)</f>
        <v>95.109170642616021</v>
      </c>
      <c r="T505" s="11">
        <f t="shared" si="45"/>
        <v>23.072953736654807</v>
      </c>
      <c r="U505" s="11">
        <f t="shared" ca="1" si="46"/>
        <v>16.923339971995734</v>
      </c>
      <c r="V505" s="11">
        <f>EarningsPerDay[[#This Row],[Gross Earnings]]/EarningsPerDay[[#This Row],[Deliveries]]</f>
        <v>11.788181818181819</v>
      </c>
      <c r="W505" s="11">
        <f>EarningsPerDay[[#This Row],[Gross Earnings]]/EarningsPerDay[[#This Row],[Miles]]</f>
        <v>0.83658064516129038</v>
      </c>
      <c r="X505" s="71">
        <f>EarningsPerDay[[#This Row],[Deliveries]]/EarningsPerDay[[#This Row],[Hours]]</f>
        <v>1.9572953736654803</v>
      </c>
      <c r="Y505" s="71">
        <f>EarningsPerDay[[#This Row],[Miles]]/EarningsPerDay[[#This Row],[Deliveries]]</f>
        <v>14.090909090909092</v>
      </c>
      <c r="Z505" s="81">
        <f>(EarningsPerDay[[#This Row],[Hours]]/EarningsPerDay[[#This Row],[Deliveries]])/24</f>
        <v>2.1287878787878786E-2</v>
      </c>
      <c r="AA5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-0.37709606334798806</v>
      </c>
      <c r="AB505" s="11">
        <f>AVERAGEIFS(EarningsPerDay[Gross $/Hour],EarningsPerDay[Week '#], EarningsPerDay[[#This Row],[Week '#]], EarningsPerDay[DOW], EarningsPerDay[[#This Row],[DOW]])</f>
        <v>19.305707637558172</v>
      </c>
      <c r="AC505" s="11">
        <f>EarningsPerDay[[#This Row],[Gross $/Hour]] - EarningsPerDay[[#This Row],[Weekly Average Earnings]]</f>
        <v>3.767246099096635</v>
      </c>
      <c r="AD505" s="11">
        <f>(SUMIFS(EarningsPerDay[Gross Earnings], EarningsPerDay[Date],"&gt;="&amp;EarningsPerDay[[#This Row],[Date]]-89, EarningsPerDay[Date], "&lt;="&amp;EarningsPerDay[[#This Row],[Date]]))/90</f>
        <v>63.882000000000012</v>
      </c>
    </row>
    <row r="506" spans="2:30" x14ac:dyDescent="0.35">
      <c r="B506" s="40">
        <v>45429</v>
      </c>
      <c r="C506" s="40">
        <f t="shared" si="47"/>
        <v>45429</v>
      </c>
      <c r="D506" s="4">
        <f>IF(EarningsPerDay[[#This Row],[Week '#]]&gt;=52,YEAR(EarningsPerDay[[#This Row],[Date]])-1,YEAR(EarningsPerDay[[#This Row],[Date]]))</f>
        <v>2024</v>
      </c>
      <c r="E506" s="4" t="str">
        <f>"QTR"&amp;IF(EarningsPerDay[[#This Row],[Week '#]] &lt;= 13, 1, IF(EarningsPerDay[[#This Row],[Week '#]] &lt;= 26, 2, IF(EarningsPerDay[[#This Row],[Week '#]] &lt;= 39, 3, 4)))</f>
        <v>QTR2</v>
      </c>
      <c r="F5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06" s="4">
        <f>IF(WEEKNUM(EarningsPerDay[[#This Row],[Date]], 2) = 53, 1, WEEKNUM(EarningsPerDay[[#This Row],[Date]],2))</f>
        <v>20</v>
      </c>
      <c r="H506" s="40" t="str">
        <f t="shared" si="48"/>
        <v>Friday</v>
      </c>
      <c r="I50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06" s="40" t="str" cm="1">
        <f t="array" ref="J506">IFERROR(VLOOKUP(MODE(IF(Combined[Date]=EarningsPerDay[[#This Row],[Date]],Combined[Area '#])),KPIs!$B$4:$C$7,2,FALSE),VLOOKUP(EarningsPerDay[[#This Row],[Date]],Combined[[Date]:[Primary Area]],8,FALSE))</f>
        <v>Portland</v>
      </c>
      <c r="K506" s="40" t="str">
        <f>_xlfn.XLOOKUP(EarningsPerDay[[#This Row],[Date]],Mileage[Date],Mileage[Weather])</f>
        <v>Partially Cloudy</v>
      </c>
      <c r="L506" s="4">
        <f>_xlfn.XLOOKUP(EarningsPerDay[[#This Row],[Date]],Mileage[Date],Mileage[Hi Temp])</f>
        <v>57</v>
      </c>
      <c r="M506" s="12">
        <f>_xlfn.XLOOKUP(EarningsPerDay[[#This Row],[Date]],Mileage[Date],Mileage[Total Time])</f>
        <v>6.28</v>
      </c>
      <c r="N506" s="4">
        <f>_xlfn.XLOOKUP(EarningsPerDay[[#This Row],[Date]],Mileage[Date],Mileage[Mileage])</f>
        <v>121</v>
      </c>
      <c r="O506" s="4">
        <f>SUMIF(Combined[Date],EarningsPerDay[[#This Row],[Date]],Combined[Trips])</f>
        <v>17</v>
      </c>
      <c r="P506">
        <f>COUNTIF(Combined[Date],EarningsPerDay[[#This Row],[Date]])</f>
        <v>3</v>
      </c>
      <c r="Q5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6" s="11">
        <f>SUMIF(Combined[Date],EarningsPerDay[[#This Row],[Date]],Combined[Earnings])</f>
        <v>151.49</v>
      </c>
      <c r="S506" s="11">
        <f ca="1">EarningsPerDay[[#This Row],[Gross Earnings]]-(EarningsPerDay[[#This Row],[Miles]]*CpM!$D$11)</f>
        <v>124.51025579197767</v>
      </c>
      <c r="T506" s="11">
        <f t="shared" si="45"/>
        <v>24.122611464968152</v>
      </c>
      <c r="U506" s="11">
        <f t="shared" ca="1" si="46"/>
        <v>19.826473852225742</v>
      </c>
      <c r="V506" s="11">
        <f>EarningsPerDay[[#This Row],[Gross Earnings]]/EarningsPerDay[[#This Row],[Deliveries]]</f>
        <v>8.9111764705882361</v>
      </c>
      <c r="W506" s="11">
        <f>EarningsPerDay[[#This Row],[Gross Earnings]]/EarningsPerDay[[#This Row],[Miles]]</f>
        <v>1.2519834710743802</v>
      </c>
      <c r="X506" s="71">
        <f>EarningsPerDay[[#This Row],[Deliveries]]/EarningsPerDay[[#This Row],[Hours]]</f>
        <v>2.7070063694267517</v>
      </c>
      <c r="Y506" s="71">
        <f>EarningsPerDay[[#This Row],[Miles]]/EarningsPerDay[[#This Row],[Deliveries]]</f>
        <v>7.117647058823529</v>
      </c>
      <c r="Z506" s="81">
        <f>(EarningsPerDay[[#This Row],[Hours]]/EarningsPerDay[[#This Row],[Deliveries]])/24</f>
        <v>1.53921568627451E-2</v>
      </c>
      <c r="AA5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2.095324119482715</v>
      </c>
      <c r="AB506" s="11">
        <f>AVERAGEIFS(EarningsPerDay[Gross $/Hour],EarningsPerDay[Week '#], EarningsPerDay[[#This Row],[Week '#]], EarningsPerDay[DOW], EarningsPerDay[[#This Row],[DOW]])</f>
        <v>26.162300455424486</v>
      </c>
      <c r="AC506" s="11">
        <f>EarningsPerDay[[#This Row],[Gross $/Hour]] - EarningsPerDay[[#This Row],[Weekly Average Earnings]]</f>
        <v>-2.0396889904563338</v>
      </c>
      <c r="AD506" s="11">
        <f>(SUMIFS(EarningsPerDay[Gross Earnings], EarningsPerDay[Date],"&gt;="&amp;EarningsPerDay[[#This Row],[Date]]-89, EarningsPerDay[Date], "&lt;="&amp;EarningsPerDay[[#This Row],[Date]]))/90</f>
        <v>64.096444444444444</v>
      </c>
    </row>
    <row r="507" spans="2:30" x14ac:dyDescent="0.35">
      <c r="B507" s="40">
        <v>45432</v>
      </c>
      <c r="C507" s="40">
        <f t="shared" si="47"/>
        <v>45432</v>
      </c>
      <c r="D507" s="4">
        <f>IF(EarningsPerDay[[#This Row],[Week '#]]&gt;=52,YEAR(EarningsPerDay[[#This Row],[Date]])-1,YEAR(EarningsPerDay[[#This Row],[Date]]))</f>
        <v>2024</v>
      </c>
      <c r="E507" s="4" t="str">
        <f>"QTR"&amp;IF(EarningsPerDay[[#This Row],[Week '#]] &lt;= 13, 1, IF(EarningsPerDay[[#This Row],[Week '#]] &lt;= 26, 2, IF(EarningsPerDay[[#This Row],[Week '#]] &lt;= 39, 3, 4)))</f>
        <v>QTR2</v>
      </c>
      <c r="F5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07" s="4">
        <f>IF(WEEKNUM(EarningsPerDay[[#This Row],[Date]], 2) = 53, 1, WEEKNUM(EarningsPerDay[[#This Row],[Date]],2))</f>
        <v>21</v>
      </c>
      <c r="H507" s="40" t="str">
        <f t="shared" si="48"/>
        <v>Monday</v>
      </c>
      <c r="I507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507" s="40" t="str" cm="1">
        <f t="array" ref="J507">IFERROR(VLOOKUP(MODE(IF(Combined[Date]=EarningsPerDay[[#This Row],[Date]],Combined[Area '#])),KPIs!$B$4:$C$7,2,FALSE),VLOOKUP(EarningsPerDay[[#This Row],[Date]],Combined[[Date]:[Primary Area]],8,FALSE))</f>
        <v>Brunswick/Bath/Freeport</v>
      </c>
      <c r="K507" s="40" t="str">
        <f>_xlfn.XLOOKUP(EarningsPerDay[[#This Row],[Date]],Mileage[Date],Mileage[Weather])</f>
        <v>Sunny</v>
      </c>
      <c r="L507" s="4">
        <f>_xlfn.XLOOKUP(EarningsPerDay[[#This Row],[Date]],Mileage[Date],Mileage[Hi Temp])</f>
        <v>73</v>
      </c>
      <c r="M507" s="12">
        <f>_xlfn.XLOOKUP(EarningsPerDay[[#This Row],[Date]],Mileage[Date],Mileage[Total Time])</f>
        <v>1.58</v>
      </c>
      <c r="N507" s="4">
        <f>_xlfn.XLOOKUP(EarningsPerDay[[#This Row],[Date]],Mileage[Date],Mileage[Mileage])</f>
        <v>31</v>
      </c>
      <c r="O507" s="4">
        <f>SUMIF(Combined[Date],EarningsPerDay[[#This Row],[Date]],Combined[Trips])</f>
        <v>4</v>
      </c>
      <c r="P507">
        <f>COUNTIF(Combined[Date],EarningsPerDay[[#This Row],[Date]])</f>
        <v>1</v>
      </c>
      <c r="Q5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7" s="11">
        <f>SUMIF(Combined[Date],EarningsPerDay[[#This Row],[Date]],Combined[Earnings])</f>
        <v>22</v>
      </c>
      <c r="S507" s="11">
        <f ca="1">EarningsPerDay[[#This Row],[Gross Earnings]]-(EarningsPerDay[[#This Row],[Miles]]*CpM!$D$11)</f>
        <v>15.087834128523202</v>
      </c>
      <c r="T507" s="11">
        <f t="shared" si="45"/>
        <v>13.924050632911392</v>
      </c>
      <c r="U507" s="11">
        <f t="shared" ca="1" si="46"/>
        <v>9.5492621066602545</v>
      </c>
      <c r="V507" s="11">
        <f>EarningsPerDay[[#This Row],[Gross Earnings]]/EarningsPerDay[[#This Row],[Deliveries]]</f>
        <v>5.5</v>
      </c>
      <c r="W507" s="11">
        <f>EarningsPerDay[[#This Row],[Gross Earnings]]/EarningsPerDay[[#This Row],[Miles]]</f>
        <v>0.70967741935483875</v>
      </c>
      <c r="X507" s="71">
        <f>EarningsPerDay[[#This Row],[Deliveries]]/EarningsPerDay[[#This Row],[Hours]]</f>
        <v>2.5316455696202529</v>
      </c>
      <c r="Y507" s="71">
        <f>EarningsPerDay[[#This Row],[Miles]]/EarningsPerDay[[#This Row],[Deliveries]]</f>
        <v>7.75</v>
      </c>
      <c r="Z507" s="81">
        <f>(EarningsPerDay[[#This Row],[Hours]]/EarningsPerDay[[#This Row],[Deliveries]])/24</f>
        <v>1.6458333333333335E-2</v>
      </c>
      <c r="AA5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-7.184892904189585</v>
      </c>
      <c r="AB507" s="11">
        <f>AVERAGEIFS(EarningsPerDay[Gross $/Hour],EarningsPerDay[Week '#], EarningsPerDay[[#This Row],[Week '#]], EarningsPerDay[DOW], EarningsPerDay[[#This Row],[DOW]])</f>
        <v>15.443940210072718</v>
      </c>
      <c r="AC507" s="11">
        <f>EarningsPerDay[[#This Row],[Gross $/Hour]] - EarningsPerDay[[#This Row],[Weekly Average Earnings]]</f>
        <v>-1.5198895771613259</v>
      </c>
      <c r="AD507" s="11">
        <f>(SUMIFS(EarningsPerDay[Gross Earnings], EarningsPerDay[Date],"&gt;="&amp;EarningsPerDay[[#This Row],[Date]]-89, EarningsPerDay[Date], "&lt;="&amp;EarningsPerDay[[#This Row],[Date]]))/90</f>
        <v>62.071333333333335</v>
      </c>
    </row>
    <row r="508" spans="2:30" x14ac:dyDescent="0.35">
      <c r="B508" s="40">
        <v>45434</v>
      </c>
      <c r="C508" s="40">
        <f t="shared" si="47"/>
        <v>45434</v>
      </c>
      <c r="D508" s="4">
        <f>IF(EarningsPerDay[[#This Row],[Week '#]]&gt;=52,YEAR(EarningsPerDay[[#This Row],[Date]])-1,YEAR(EarningsPerDay[[#This Row],[Date]]))</f>
        <v>2024</v>
      </c>
      <c r="E508" s="4" t="str">
        <f>"QTR"&amp;IF(EarningsPerDay[[#This Row],[Week '#]] &lt;= 13, 1, IF(EarningsPerDay[[#This Row],[Week '#]] &lt;= 26, 2, IF(EarningsPerDay[[#This Row],[Week '#]] &lt;= 39, 3, 4)))</f>
        <v>QTR2</v>
      </c>
      <c r="F5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08" s="4">
        <f>IF(WEEKNUM(EarningsPerDay[[#This Row],[Date]], 2) = 53, 1, WEEKNUM(EarningsPerDay[[#This Row],[Date]],2))</f>
        <v>21</v>
      </c>
      <c r="H508" s="40" t="str">
        <f t="shared" si="48"/>
        <v>Wednesday</v>
      </c>
      <c r="I50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08" s="40" t="str" cm="1">
        <f t="array" ref="J508">IFERROR(VLOOKUP(MODE(IF(Combined[Date]=EarningsPerDay[[#This Row],[Date]],Combined[Area '#])),KPIs!$B$4:$C$7,2,FALSE),VLOOKUP(EarningsPerDay[[#This Row],[Date]],Combined[[Date]:[Primary Area]],8,FALSE))</f>
        <v>Brunswick/Bath/Freeport</v>
      </c>
      <c r="K508" s="40" t="str">
        <f>_xlfn.XLOOKUP(EarningsPerDay[[#This Row],[Date]],Mileage[Date],Mileage[Weather])</f>
        <v>Partially Cloudy</v>
      </c>
      <c r="L508" s="4">
        <f>_xlfn.XLOOKUP(EarningsPerDay[[#This Row],[Date]],Mileage[Date],Mileage[Hi Temp])</f>
        <v>79</v>
      </c>
      <c r="M508" s="12">
        <f>_xlfn.XLOOKUP(EarningsPerDay[[#This Row],[Date]],Mileage[Date],Mileage[Total Time])</f>
        <v>5.22</v>
      </c>
      <c r="N508" s="4">
        <f>_xlfn.XLOOKUP(EarningsPerDay[[#This Row],[Date]],Mileage[Date],Mileage[Mileage])</f>
        <v>158</v>
      </c>
      <c r="O508" s="4">
        <f>SUMIF(Combined[Date],EarningsPerDay[[#This Row],[Date]],Combined[Trips])</f>
        <v>9</v>
      </c>
      <c r="P508">
        <f>COUNTIF(Combined[Date],EarningsPerDay[[#This Row],[Date]])</f>
        <v>3</v>
      </c>
      <c r="Q50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8" s="11">
        <f>SUMIF(Combined[Date],EarningsPerDay[[#This Row],[Date]],Combined[Earnings])</f>
        <v>105.4</v>
      </c>
      <c r="S508" s="11">
        <f ca="1">EarningsPerDay[[#This Row],[Gross Earnings]]-(EarningsPerDay[[#This Row],[Miles]]*CpM!$D$11)</f>
        <v>70.170251364731172</v>
      </c>
      <c r="T508" s="11">
        <f t="shared" si="45"/>
        <v>20.191570881226056</v>
      </c>
      <c r="U508" s="11">
        <f t="shared" ca="1" si="46"/>
        <v>13.442576889795244</v>
      </c>
      <c r="V508" s="11">
        <f>EarningsPerDay[[#This Row],[Gross Earnings]]/EarningsPerDay[[#This Row],[Deliveries]]</f>
        <v>11.711111111111112</v>
      </c>
      <c r="W508" s="11">
        <f>EarningsPerDay[[#This Row],[Gross Earnings]]/EarningsPerDay[[#This Row],[Miles]]</f>
        <v>0.66708860759493671</v>
      </c>
      <c r="X508" s="71">
        <f>EarningsPerDay[[#This Row],[Deliveries]]/EarningsPerDay[[#This Row],[Hours]]</f>
        <v>1.7241379310344829</v>
      </c>
      <c r="Y508" s="71">
        <f>EarningsPerDay[[#This Row],[Miles]]/EarningsPerDay[[#This Row],[Deliveries]]</f>
        <v>17.555555555555557</v>
      </c>
      <c r="Z508" s="81">
        <f>(EarningsPerDay[[#This Row],[Hours]]/EarningsPerDay[[#This Row],[Deliveries]])/24</f>
        <v>2.4166666666666666E-2</v>
      </c>
      <c r="AA5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-4.7965790382470459</v>
      </c>
      <c r="AB508" s="11">
        <f>AVERAGEIFS(EarningsPerDay[Gross $/Hour],EarningsPerDay[Week '#], EarningsPerDay[[#This Row],[Week '#]], EarningsPerDay[DOW], EarningsPerDay[[#This Row],[DOW]])</f>
        <v>19.565184981657026</v>
      </c>
      <c r="AC508" s="11">
        <f>EarningsPerDay[[#This Row],[Gross $/Hour]] - EarningsPerDay[[#This Row],[Weekly Average Earnings]]</f>
        <v>0.6263858995690299</v>
      </c>
      <c r="AD508" s="11">
        <f>(SUMIFS(EarningsPerDay[Gross Earnings], EarningsPerDay[Date],"&gt;="&amp;EarningsPerDay[[#This Row],[Date]]-89, EarningsPerDay[Date], "&lt;="&amp;EarningsPerDay[[#This Row],[Date]]))/90</f>
        <v>61.653555555555549</v>
      </c>
    </row>
    <row r="509" spans="2:30" x14ac:dyDescent="0.35">
      <c r="B509" s="40">
        <v>45435</v>
      </c>
      <c r="C509" s="40">
        <f t="shared" si="47"/>
        <v>45435</v>
      </c>
      <c r="D509" s="4">
        <f>IF(EarningsPerDay[[#This Row],[Week '#]]&gt;=52,YEAR(EarningsPerDay[[#This Row],[Date]])-1,YEAR(EarningsPerDay[[#This Row],[Date]]))</f>
        <v>2024</v>
      </c>
      <c r="E509" s="4" t="str">
        <f>"QTR"&amp;IF(EarningsPerDay[[#This Row],[Week '#]] &lt;= 13, 1, IF(EarningsPerDay[[#This Row],[Week '#]] &lt;= 26, 2, IF(EarningsPerDay[[#This Row],[Week '#]] &lt;= 39, 3, 4)))</f>
        <v>QTR2</v>
      </c>
      <c r="F5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09" s="4">
        <f>IF(WEEKNUM(EarningsPerDay[[#This Row],[Date]], 2) = 53, 1, WEEKNUM(EarningsPerDay[[#This Row],[Date]],2))</f>
        <v>21</v>
      </c>
      <c r="H509" s="40" t="str">
        <f t="shared" si="48"/>
        <v>Thursday</v>
      </c>
      <c r="I50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09" s="40" t="str" cm="1">
        <f t="array" ref="J509">IFERROR(VLOOKUP(MODE(IF(Combined[Date]=EarningsPerDay[[#This Row],[Date]],Combined[Area '#])),KPIs!$B$4:$C$7,2,FALSE),VLOOKUP(EarningsPerDay[[#This Row],[Date]],Combined[[Date]:[Primary Area]],8,FALSE))</f>
        <v>Brunswick/Bath/Freeport</v>
      </c>
      <c r="K509" s="40" t="str">
        <f>_xlfn.XLOOKUP(EarningsPerDay[[#This Row],[Date]],Mileage[Date],Mileage[Weather])</f>
        <v>Clear</v>
      </c>
      <c r="L509" s="4">
        <f>_xlfn.XLOOKUP(EarningsPerDay[[#This Row],[Date]],Mileage[Date],Mileage[Hi Temp])</f>
        <v>72</v>
      </c>
      <c r="M509" s="12">
        <f>_xlfn.XLOOKUP(EarningsPerDay[[#This Row],[Date]],Mileage[Date],Mileage[Total Time])</f>
        <v>3.67</v>
      </c>
      <c r="N509" s="4">
        <f>_xlfn.XLOOKUP(EarningsPerDay[[#This Row],[Date]],Mileage[Date],Mileage[Mileage])</f>
        <v>77</v>
      </c>
      <c r="O509" s="4">
        <f>SUMIF(Combined[Date],EarningsPerDay[[#This Row],[Date]],Combined[Trips])</f>
        <v>10</v>
      </c>
      <c r="P509">
        <f>COUNTIF(Combined[Date],EarningsPerDay[[#This Row],[Date]])</f>
        <v>1</v>
      </c>
      <c r="Q5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09" s="11">
        <f>SUMIF(Combined[Date],EarningsPerDay[[#This Row],[Date]],Combined[Earnings])</f>
        <v>72.94</v>
      </c>
      <c r="S509" s="11">
        <f ca="1">EarningsPerDay[[#This Row],[Gross Earnings]]-(EarningsPerDay[[#This Row],[Miles]]*CpM!$D$11)</f>
        <v>55.77107186762214</v>
      </c>
      <c r="T509" s="11">
        <f t="shared" si="45"/>
        <v>19.87465940054496</v>
      </c>
      <c r="U509" s="11">
        <f t="shared" ca="1" si="46"/>
        <v>15.196477348125924</v>
      </c>
      <c r="V509" s="11">
        <f>EarningsPerDay[[#This Row],[Gross Earnings]]/EarningsPerDay[[#This Row],[Deliveries]]</f>
        <v>7.2939999999999996</v>
      </c>
      <c r="W509" s="11">
        <f>EarningsPerDay[[#This Row],[Gross Earnings]]/EarningsPerDay[[#This Row],[Miles]]</f>
        <v>0.94727272727272727</v>
      </c>
      <c r="X509" s="71">
        <f>EarningsPerDay[[#This Row],[Deliveries]]/EarningsPerDay[[#This Row],[Hours]]</f>
        <v>2.7247956403269757</v>
      </c>
      <c r="Y509" s="71">
        <f>EarningsPerDay[[#This Row],[Miles]]/EarningsPerDay[[#This Row],[Deliveries]]</f>
        <v>7.7</v>
      </c>
      <c r="Z509" s="81">
        <f>(EarningsPerDay[[#This Row],[Hours]]/EarningsPerDay[[#This Row],[Deliveries]])/24</f>
        <v>1.5291666666666667E-2</v>
      </c>
      <c r="AA5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-3.5439657275121697</v>
      </c>
      <c r="AB509" s="11">
        <f>AVERAGEIFS(EarningsPerDay[Gross $/Hour],EarningsPerDay[Week '#], EarningsPerDay[[#This Row],[Week '#]], EarningsPerDay[DOW], EarningsPerDay[[#This Row],[DOW]])</f>
        <v>19.770465325238188</v>
      </c>
      <c r="AC509" s="11">
        <f>EarningsPerDay[[#This Row],[Gross $/Hour]] - EarningsPerDay[[#This Row],[Weekly Average Earnings]]</f>
        <v>0.10419407530677205</v>
      </c>
      <c r="AD509" s="11">
        <f>(SUMIFS(EarningsPerDay[Gross Earnings], EarningsPerDay[Date],"&gt;="&amp;EarningsPerDay[[#This Row],[Date]]-89, EarningsPerDay[Date], "&lt;="&amp;EarningsPerDay[[#This Row],[Date]]))/90</f>
        <v>62.463999999999992</v>
      </c>
    </row>
    <row r="510" spans="2:30" x14ac:dyDescent="0.35">
      <c r="B510" s="40">
        <v>45436</v>
      </c>
      <c r="C510" s="40">
        <f t="shared" si="47"/>
        <v>45436</v>
      </c>
      <c r="D510" s="4">
        <f>IF(EarningsPerDay[[#This Row],[Week '#]]&gt;=52,YEAR(EarningsPerDay[[#This Row],[Date]])-1,YEAR(EarningsPerDay[[#This Row],[Date]]))</f>
        <v>2024</v>
      </c>
      <c r="E510" s="4" t="str">
        <f>"QTR"&amp;IF(EarningsPerDay[[#This Row],[Week '#]] &lt;= 13, 1, IF(EarningsPerDay[[#This Row],[Week '#]] &lt;= 26, 2, IF(EarningsPerDay[[#This Row],[Week '#]] &lt;= 39, 3, 4)))</f>
        <v>QTR2</v>
      </c>
      <c r="F5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10" s="4">
        <f>IF(WEEKNUM(EarningsPerDay[[#This Row],[Date]], 2) = 53, 1, WEEKNUM(EarningsPerDay[[#This Row],[Date]],2))</f>
        <v>21</v>
      </c>
      <c r="H510" s="40" t="str">
        <f t="shared" si="48"/>
        <v>Friday</v>
      </c>
      <c r="I51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10" s="40" t="str" cm="1">
        <f t="array" ref="J510">IFERROR(VLOOKUP(MODE(IF(Combined[Date]=EarningsPerDay[[#This Row],[Date]],Combined[Area '#])),KPIs!$B$4:$C$7,2,FALSE),VLOOKUP(EarningsPerDay[[#This Row],[Date]],Combined[[Date]:[Primary Area]],8,FALSE))</f>
        <v>Brunswick/Bath/Freeport</v>
      </c>
      <c r="K510" s="40" t="str">
        <f>_xlfn.XLOOKUP(EarningsPerDay[[#This Row],[Date]],Mileage[Date],Mileage[Weather])</f>
        <v>Clear</v>
      </c>
      <c r="L510" s="4">
        <f>_xlfn.XLOOKUP(EarningsPerDay[[#This Row],[Date]],Mileage[Date],Mileage[Hi Temp])</f>
        <v>73</v>
      </c>
      <c r="M510" s="12">
        <f>_xlfn.XLOOKUP(EarningsPerDay[[#This Row],[Date]],Mileage[Date],Mileage[Total Time])</f>
        <v>4.45</v>
      </c>
      <c r="N510" s="4">
        <f>_xlfn.XLOOKUP(EarningsPerDay[[#This Row],[Date]],Mileage[Date],Mileage[Mileage])</f>
        <v>111</v>
      </c>
      <c r="O510" s="4">
        <f>SUMIF(Combined[Date],EarningsPerDay[[#This Row],[Date]],Combined[Trips])</f>
        <v>8</v>
      </c>
      <c r="P510">
        <f>COUNTIF(Combined[Date],EarningsPerDay[[#This Row],[Date]])</f>
        <v>4</v>
      </c>
      <c r="Q5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0" s="11">
        <f>SUMIF(Combined[Date],EarningsPerDay[[#This Row],[Date]],Combined[Earnings])</f>
        <v>72.19</v>
      </c>
      <c r="S510" s="11">
        <f ca="1">EarningsPerDay[[#This Row],[Gross Earnings]]-(EarningsPerDay[[#This Row],[Miles]]*CpM!$D$11)</f>
        <v>47.439986718260492</v>
      </c>
      <c r="T510" s="11">
        <f t="shared" si="45"/>
        <v>16.222471910112358</v>
      </c>
      <c r="U510" s="11">
        <f t="shared" ca="1" si="46"/>
        <v>10.660671172642807</v>
      </c>
      <c r="V510" s="11">
        <f>EarningsPerDay[[#This Row],[Gross Earnings]]/EarningsPerDay[[#This Row],[Deliveries]]</f>
        <v>9.0237499999999997</v>
      </c>
      <c r="W510" s="11">
        <f>EarningsPerDay[[#This Row],[Gross Earnings]]/EarningsPerDay[[#This Row],[Miles]]</f>
        <v>0.65036036036036038</v>
      </c>
      <c r="X510" s="71">
        <f>EarningsPerDay[[#This Row],[Deliveries]]/EarningsPerDay[[#This Row],[Hours]]</f>
        <v>1.797752808988764</v>
      </c>
      <c r="Y510" s="71">
        <f>EarningsPerDay[[#This Row],[Miles]]/EarningsPerDay[[#This Row],[Deliveries]]</f>
        <v>13.875</v>
      </c>
      <c r="Z510" s="81">
        <f>(EarningsPerDay[[#This Row],[Hours]]/EarningsPerDay[[#This Row],[Deliveries]])/24</f>
        <v>2.3177083333333334E-2</v>
      </c>
      <c r="AA5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-9.2534312879793426</v>
      </c>
      <c r="AB510" s="11">
        <f>AVERAGEIFS(EarningsPerDay[Gross $/Hour],EarningsPerDay[Week '#], EarningsPerDay[[#This Row],[Week '#]], EarningsPerDay[DOW], EarningsPerDay[[#This Row],[DOW]])</f>
        <v>17.27594486567542</v>
      </c>
      <c r="AC510" s="11">
        <f>EarningsPerDay[[#This Row],[Gross $/Hour]] - EarningsPerDay[[#This Row],[Weekly Average Earnings]]</f>
        <v>-1.0534729555630626</v>
      </c>
      <c r="AD510" s="11">
        <f>(SUMIFS(EarningsPerDay[Gross Earnings], EarningsPerDay[Date],"&gt;="&amp;EarningsPerDay[[#This Row],[Date]]-89, EarningsPerDay[Date], "&lt;="&amp;EarningsPerDay[[#This Row],[Date]]))/90</f>
        <v>62.084111111111099</v>
      </c>
    </row>
    <row r="511" spans="2:30" x14ac:dyDescent="0.35">
      <c r="B511" s="40">
        <v>45439</v>
      </c>
      <c r="C511" s="40">
        <f t="shared" si="47"/>
        <v>45439</v>
      </c>
      <c r="D511" s="4">
        <f>IF(EarningsPerDay[[#This Row],[Week '#]]&gt;=52,YEAR(EarningsPerDay[[#This Row],[Date]])-1,YEAR(EarningsPerDay[[#This Row],[Date]]))</f>
        <v>2024</v>
      </c>
      <c r="E511" s="4" t="str">
        <f>"QTR"&amp;IF(EarningsPerDay[[#This Row],[Week '#]] &lt;= 13, 1, IF(EarningsPerDay[[#This Row],[Week '#]] &lt;= 26, 2, IF(EarningsPerDay[[#This Row],[Week '#]] &lt;= 39, 3, 4)))</f>
        <v>QTR2</v>
      </c>
      <c r="F5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1" s="4">
        <f>IF(WEEKNUM(EarningsPerDay[[#This Row],[Date]], 2) = 53, 1, WEEKNUM(EarningsPerDay[[#This Row],[Date]],2))</f>
        <v>22</v>
      </c>
      <c r="H511" s="40" t="str">
        <f t="shared" si="48"/>
        <v>Monday</v>
      </c>
      <c r="I51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11" s="40" t="str" cm="1">
        <f t="array" ref="J511">IFERROR(VLOOKUP(MODE(IF(Combined[Date]=EarningsPerDay[[#This Row],[Date]],Combined[Area '#])),KPIs!$B$4:$C$7,2,FALSE),VLOOKUP(EarningsPerDay[[#This Row],[Date]],Combined[[Date]:[Primary Area]],8,FALSE))</f>
        <v>Augusta</v>
      </c>
      <c r="K511" s="40" t="str">
        <f>_xlfn.XLOOKUP(EarningsPerDay[[#This Row],[Date]],Mileage[Date],Mileage[Weather])</f>
        <v>Partially Cloudy</v>
      </c>
      <c r="L511" s="4">
        <f>_xlfn.XLOOKUP(EarningsPerDay[[#This Row],[Date]],Mileage[Date],Mileage[Hi Temp])</f>
        <v>75</v>
      </c>
      <c r="M511" s="12">
        <f>_xlfn.XLOOKUP(EarningsPerDay[[#This Row],[Date]],Mileage[Date],Mileage[Total Time])</f>
        <v>6.37</v>
      </c>
      <c r="N511" s="4">
        <f>_xlfn.XLOOKUP(EarningsPerDay[[#This Row],[Date]],Mileage[Date],Mileage[Mileage])</f>
        <v>172</v>
      </c>
      <c r="O511" s="4">
        <f>SUMIF(Combined[Date],EarningsPerDay[[#This Row],[Date]],Combined[Trips])</f>
        <v>10</v>
      </c>
      <c r="P511">
        <f>COUNTIF(Combined[Date],EarningsPerDay[[#This Row],[Date]])</f>
        <v>4</v>
      </c>
      <c r="Q51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11" s="11">
        <f>SUMIF(Combined[Date],EarningsPerDay[[#This Row],[Date]],Combined[Earnings])</f>
        <v>93.49</v>
      </c>
      <c r="S511" s="11">
        <f ca="1">EarningsPerDay[[#This Row],[Gross Earnings]]-(EarningsPerDay[[#This Row],[Miles]]*CpM!$D$11)</f>
        <v>55.13862806793518</v>
      </c>
      <c r="T511" s="11">
        <f t="shared" si="45"/>
        <v>14.676609105180532</v>
      </c>
      <c r="U511" s="11">
        <f t="shared" ca="1" si="46"/>
        <v>8.6559855679647058</v>
      </c>
      <c r="V511" s="11">
        <f>EarningsPerDay[[#This Row],[Gross Earnings]]/EarningsPerDay[[#This Row],[Deliveries]]</f>
        <v>9.3490000000000002</v>
      </c>
      <c r="W511" s="11">
        <f>EarningsPerDay[[#This Row],[Gross Earnings]]/EarningsPerDay[[#This Row],[Miles]]</f>
        <v>0.5435465116279069</v>
      </c>
      <c r="X511" s="71">
        <f>EarningsPerDay[[#This Row],[Deliveries]]/EarningsPerDay[[#This Row],[Hours]]</f>
        <v>1.5698587127158556</v>
      </c>
      <c r="Y511" s="71">
        <f>EarningsPerDay[[#This Row],[Miles]]/EarningsPerDay[[#This Row],[Deliveries]]</f>
        <v>17.2</v>
      </c>
      <c r="Z511" s="81">
        <f>(EarningsPerDay[[#This Row],[Hours]]/EarningsPerDay[[#This Row],[Deliveries]])/24</f>
        <v>2.6541666666666668E-2</v>
      </c>
      <c r="AA5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-5.8597545311831034</v>
      </c>
      <c r="AB511" s="11">
        <f>AVERAGEIFS(EarningsPerDay[Gross $/Hour],EarningsPerDay[Week '#], EarningsPerDay[[#This Row],[Week '#]], EarningsPerDay[DOW], EarningsPerDay[[#This Row],[DOW]])</f>
        <v>18.734097495073303</v>
      </c>
      <c r="AC511" s="11">
        <f>EarningsPerDay[[#This Row],[Gross $/Hour]] - EarningsPerDay[[#This Row],[Weekly Average Earnings]]</f>
        <v>-4.0574883898927716</v>
      </c>
      <c r="AD511" s="11">
        <f>(SUMIFS(EarningsPerDay[Gross Earnings], EarningsPerDay[Date],"&gt;="&amp;EarningsPerDay[[#This Row],[Date]]-89, EarningsPerDay[Date], "&lt;="&amp;EarningsPerDay[[#This Row],[Date]]))/90</f>
        <v>61.738999999999983</v>
      </c>
    </row>
    <row r="512" spans="2:30" x14ac:dyDescent="0.35">
      <c r="B512" s="40">
        <v>45440</v>
      </c>
      <c r="C512" s="40">
        <f t="shared" si="47"/>
        <v>45440</v>
      </c>
      <c r="D512" s="4">
        <f>IF(EarningsPerDay[[#This Row],[Week '#]]&gt;=52,YEAR(EarningsPerDay[[#This Row],[Date]])-1,YEAR(EarningsPerDay[[#This Row],[Date]]))</f>
        <v>2024</v>
      </c>
      <c r="E512" s="4" t="str">
        <f>"QTR"&amp;IF(EarningsPerDay[[#This Row],[Week '#]] &lt;= 13, 1, IF(EarningsPerDay[[#This Row],[Week '#]] &lt;= 26, 2, IF(EarningsPerDay[[#This Row],[Week '#]] &lt;= 39, 3, 4)))</f>
        <v>QTR2</v>
      </c>
      <c r="F5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2" s="4">
        <f>IF(WEEKNUM(EarningsPerDay[[#This Row],[Date]], 2) = 53, 1, WEEKNUM(EarningsPerDay[[#This Row],[Date]],2))</f>
        <v>22</v>
      </c>
      <c r="H512" s="40" t="str">
        <f t="shared" si="48"/>
        <v>Tuesday</v>
      </c>
      <c r="I51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12" s="40" t="str" cm="1">
        <f t="array" ref="J512">IFERROR(VLOOKUP(MODE(IF(Combined[Date]=EarningsPerDay[[#This Row],[Date]],Combined[Area '#])),KPIs!$B$4:$C$7,2,FALSE),VLOOKUP(EarningsPerDay[[#This Row],[Date]],Combined[[Date]:[Primary Area]],8,FALSE))</f>
        <v>Brunswick/Bath/Freeport</v>
      </c>
      <c r="K512" s="40" t="str">
        <f>_xlfn.XLOOKUP(EarningsPerDay[[#This Row],[Date]],Mileage[Date],Mileage[Weather])</f>
        <v>Partially Cloudy</v>
      </c>
      <c r="L512" s="4">
        <f>_xlfn.XLOOKUP(EarningsPerDay[[#This Row],[Date]],Mileage[Date],Mileage[Hi Temp])</f>
        <v>75</v>
      </c>
      <c r="M512" s="12">
        <f>_xlfn.XLOOKUP(EarningsPerDay[[#This Row],[Date]],Mileage[Date],Mileage[Total Time])</f>
        <v>6.1</v>
      </c>
      <c r="N512" s="4">
        <f>_xlfn.XLOOKUP(EarningsPerDay[[#This Row],[Date]],Mileage[Date],Mileage[Mileage])</f>
        <v>164</v>
      </c>
      <c r="O512" s="4">
        <f>SUMIF(Combined[Date],EarningsPerDay[[#This Row],[Date]],Combined[Trips])</f>
        <v>11</v>
      </c>
      <c r="P512">
        <f>COUNTIF(Combined[Date],EarningsPerDay[[#This Row],[Date]])</f>
        <v>5</v>
      </c>
      <c r="Q5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2" s="11">
        <f>SUMIF(Combined[Date],EarningsPerDay[[#This Row],[Date]],Combined[Earnings])</f>
        <v>121.22</v>
      </c>
      <c r="S512" s="11">
        <f ca="1">EarningsPerDay[[#This Row],[Gross Earnings]]-(EarningsPerDay[[#This Row],[Miles]]*CpM!$D$11)</f>
        <v>84.652412808961458</v>
      </c>
      <c r="T512" s="11">
        <f t="shared" si="45"/>
        <v>19.872131147540983</v>
      </c>
      <c r="U512" s="11">
        <f t="shared" ca="1" si="46"/>
        <v>13.877444722780568</v>
      </c>
      <c r="V512" s="11">
        <f>EarningsPerDay[[#This Row],[Gross Earnings]]/EarningsPerDay[[#This Row],[Deliveries]]</f>
        <v>11.02</v>
      </c>
      <c r="W512" s="11">
        <f>EarningsPerDay[[#This Row],[Gross Earnings]]/EarningsPerDay[[#This Row],[Miles]]</f>
        <v>0.73914634146341462</v>
      </c>
      <c r="X512" s="71">
        <f>EarningsPerDay[[#This Row],[Deliveries]]/EarningsPerDay[[#This Row],[Hours]]</f>
        <v>1.8032786885245902</v>
      </c>
      <c r="Y512" s="71">
        <f>EarningsPerDay[[#This Row],[Miles]]/EarningsPerDay[[#This Row],[Deliveries]]</f>
        <v>14.909090909090908</v>
      </c>
      <c r="Z512" s="81">
        <f>(EarningsPerDay[[#This Row],[Hours]]/EarningsPerDay[[#This Row],[Deliveries]])/24</f>
        <v>2.3106060606060606E-2</v>
      </c>
      <c r="AA5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-1.2675200744731825</v>
      </c>
      <c r="AB512" s="11">
        <f>AVERAGEIFS(EarningsPerDay[Gross $/Hour],EarningsPerDay[Week '#], EarningsPerDay[[#This Row],[Week '#]], EarningsPerDay[DOW], EarningsPerDay[[#This Row],[DOW]])</f>
        <v>20.188057605643003</v>
      </c>
      <c r="AC512" s="11">
        <f>EarningsPerDay[[#This Row],[Gross $/Hour]] - EarningsPerDay[[#This Row],[Weekly Average Earnings]]</f>
        <v>-0.31592645810201958</v>
      </c>
      <c r="AD512" s="11">
        <f>(SUMIFS(EarningsPerDay[Gross Earnings], EarningsPerDay[Date],"&gt;="&amp;EarningsPerDay[[#This Row],[Date]]-89, EarningsPerDay[Date], "&lt;="&amp;EarningsPerDay[[#This Row],[Date]]))/90</f>
        <v>62.281666666666652</v>
      </c>
    </row>
    <row r="513" spans="2:30" x14ac:dyDescent="0.35">
      <c r="B513" s="40">
        <v>45441</v>
      </c>
      <c r="C513" s="40">
        <f t="shared" si="47"/>
        <v>45441</v>
      </c>
      <c r="D513" s="4">
        <f>IF(EarningsPerDay[[#This Row],[Week '#]]&gt;=52,YEAR(EarningsPerDay[[#This Row],[Date]])-1,YEAR(EarningsPerDay[[#This Row],[Date]]))</f>
        <v>2024</v>
      </c>
      <c r="E513" s="4" t="str">
        <f>"QTR"&amp;IF(EarningsPerDay[[#This Row],[Week '#]] &lt;= 13, 1, IF(EarningsPerDay[[#This Row],[Week '#]] &lt;= 26, 2, IF(EarningsPerDay[[#This Row],[Week '#]] &lt;= 39, 3, 4)))</f>
        <v>QTR2</v>
      </c>
      <c r="F5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3" s="4">
        <f>IF(WEEKNUM(EarningsPerDay[[#This Row],[Date]], 2) = 53, 1, WEEKNUM(EarningsPerDay[[#This Row],[Date]],2))</f>
        <v>22</v>
      </c>
      <c r="H513" s="40" t="str">
        <f t="shared" si="48"/>
        <v>Wednesday</v>
      </c>
      <c r="I51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13" s="40" t="str" cm="1">
        <f t="array" ref="J513">IFERROR(VLOOKUP(MODE(IF(Combined[Date]=EarningsPerDay[[#This Row],[Date]],Combined[Area '#])),KPIs!$B$4:$C$7,2,FALSE),VLOOKUP(EarningsPerDay[[#This Row],[Date]],Combined[[Date]:[Primary Area]],8,FALSE))</f>
        <v>Brunswick/Bath/Freeport</v>
      </c>
      <c r="K513" s="40" t="str">
        <f>_xlfn.XLOOKUP(EarningsPerDay[[#This Row],[Date]],Mileage[Date],Mileage[Weather])</f>
        <v>Clear</v>
      </c>
      <c r="L513" s="4">
        <f>_xlfn.XLOOKUP(EarningsPerDay[[#This Row],[Date]],Mileage[Date],Mileage[Hi Temp])</f>
        <v>72</v>
      </c>
      <c r="M513" s="12">
        <f>_xlfn.XLOOKUP(EarningsPerDay[[#This Row],[Date]],Mileage[Date],Mileage[Total Time])</f>
        <v>2.97</v>
      </c>
      <c r="N513" s="4">
        <f>_xlfn.XLOOKUP(EarningsPerDay[[#This Row],[Date]],Mileage[Date],Mileage[Mileage])</f>
        <v>58</v>
      </c>
      <c r="O513" s="4">
        <f>SUMIF(Combined[Date],EarningsPerDay[[#This Row],[Date]],Combined[Trips])</f>
        <v>7</v>
      </c>
      <c r="P513">
        <f>COUNTIF(Combined[Date],EarningsPerDay[[#This Row],[Date]])</f>
        <v>2</v>
      </c>
      <c r="Q5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3" s="11">
        <f>SUMIF(Combined[Date],EarningsPerDay[[#This Row],[Date]],Combined[Earnings])</f>
        <v>48.230000000000004</v>
      </c>
      <c r="S513" s="11">
        <f ca="1">EarningsPerDay[[#This Row],[Gross Earnings]]-(EarningsPerDay[[#This Row],[Miles]]*CpM!$D$11)</f>
        <v>35.297560627559541</v>
      </c>
      <c r="T513" s="11">
        <f t="shared" si="45"/>
        <v>16.239057239057239</v>
      </c>
      <c r="U513" s="11">
        <f t="shared" ca="1" si="46"/>
        <v>11.884700547999845</v>
      </c>
      <c r="V513" s="11">
        <f>EarningsPerDay[[#This Row],[Gross Earnings]]/EarningsPerDay[[#This Row],[Deliveries]]</f>
        <v>6.8900000000000006</v>
      </c>
      <c r="W513" s="11">
        <f>EarningsPerDay[[#This Row],[Gross Earnings]]/EarningsPerDay[[#This Row],[Miles]]</f>
        <v>0.8315517241379311</v>
      </c>
      <c r="X513" s="71">
        <f>EarningsPerDay[[#This Row],[Deliveries]]/EarningsPerDay[[#This Row],[Hours]]</f>
        <v>2.3569023569023568</v>
      </c>
      <c r="Y513" s="71">
        <f>EarningsPerDay[[#This Row],[Miles]]/EarningsPerDay[[#This Row],[Deliveries]]</f>
        <v>8.2857142857142865</v>
      </c>
      <c r="Z513" s="81">
        <f>(EarningsPerDay[[#This Row],[Hours]]/EarningsPerDay[[#This Row],[Deliveries]])/24</f>
        <v>1.7678571428571429E-2</v>
      </c>
      <c r="AA5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-8.1495203006349826</v>
      </c>
      <c r="AB513" s="11">
        <f>AVERAGEIFS(EarningsPerDay[Gross $/Hour],EarningsPerDay[Week '#], EarningsPerDay[[#This Row],[Week '#]], EarningsPerDay[DOW], EarningsPerDay[[#This Row],[DOW]])</f>
        <v>21.882177824775361</v>
      </c>
      <c r="AC513" s="11">
        <f>EarningsPerDay[[#This Row],[Gross $/Hour]] - EarningsPerDay[[#This Row],[Weekly Average Earnings]]</f>
        <v>-5.6431205857181226</v>
      </c>
      <c r="AD513" s="11">
        <f>(SUMIFS(EarningsPerDay[Gross Earnings], EarningsPerDay[Date],"&gt;="&amp;EarningsPerDay[[#This Row],[Date]]-89, EarningsPerDay[Date], "&lt;="&amp;EarningsPerDay[[#This Row],[Date]]))/90</f>
        <v>62.817555555555536</v>
      </c>
    </row>
    <row r="514" spans="2:30" x14ac:dyDescent="0.35">
      <c r="B514" s="40">
        <v>45442</v>
      </c>
      <c r="C514" s="40">
        <f t="shared" si="47"/>
        <v>45442</v>
      </c>
      <c r="D514" s="4">
        <f>IF(EarningsPerDay[[#This Row],[Week '#]]&gt;=52,YEAR(EarningsPerDay[[#This Row],[Date]])-1,YEAR(EarningsPerDay[[#This Row],[Date]]))</f>
        <v>2024</v>
      </c>
      <c r="E514" s="4" t="str">
        <f>"QTR"&amp;IF(EarningsPerDay[[#This Row],[Week '#]] &lt;= 13, 1, IF(EarningsPerDay[[#This Row],[Week '#]] &lt;= 26, 2, IF(EarningsPerDay[[#This Row],[Week '#]] &lt;= 39, 3, 4)))</f>
        <v>QTR2</v>
      </c>
      <c r="F5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4" s="4">
        <f>IF(WEEKNUM(EarningsPerDay[[#This Row],[Date]], 2) = 53, 1, WEEKNUM(EarningsPerDay[[#This Row],[Date]],2))</f>
        <v>22</v>
      </c>
      <c r="H514" s="40" t="str">
        <f t="shared" si="48"/>
        <v>Thursday</v>
      </c>
      <c r="I51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14" s="40" t="str" cm="1">
        <f t="array" ref="J514">IFERROR(VLOOKUP(MODE(IF(Combined[Date]=EarningsPerDay[[#This Row],[Date]],Combined[Area '#])),KPIs!$B$4:$C$7,2,FALSE),VLOOKUP(EarningsPerDay[[#This Row],[Date]],Combined[[Date]:[Primary Area]],8,FALSE))</f>
        <v>Brunswick/Bath/Freeport</v>
      </c>
      <c r="K514" s="40" t="str">
        <f>_xlfn.XLOOKUP(EarningsPerDay[[#This Row],[Date]],Mileage[Date],Mileage[Weather])</f>
        <v>Sunny</v>
      </c>
      <c r="L514" s="4">
        <f>_xlfn.XLOOKUP(EarningsPerDay[[#This Row],[Date]],Mileage[Date],Mileage[Hi Temp])</f>
        <v>64</v>
      </c>
      <c r="M514" s="12">
        <f>_xlfn.XLOOKUP(EarningsPerDay[[#This Row],[Date]],Mileage[Date],Mileage[Total Time])</f>
        <v>5.53</v>
      </c>
      <c r="N514" s="4">
        <f>_xlfn.XLOOKUP(EarningsPerDay[[#This Row],[Date]],Mileage[Date],Mileage[Mileage])</f>
        <v>127</v>
      </c>
      <c r="O514" s="4">
        <f>SUMIF(Combined[Date],EarningsPerDay[[#This Row],[Date]],Combined[Trips])</f>
        <v>11</v>
      </c>
      <c r="P514">
        <f>COUNTIF(Combined[Date],EarningsPerDay[[#This Row],[Date]])</f>
        <v>4</v>
      </c>
      <c r="Q5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4" s="11">
        <f>SUMIF(Combined[Date],EarningsPerDay[[#This Row],[Date]],Combined[Earnings])</f>
        <v>155.93000000000004</v>
      </c>
      <c r="S514" s="11">
        <f ca="1">EarningsPerDay[[#This Row],[Gross Earnings]]-(EarningsPerDay[[#This Row],[Miles]]*CpM!$D$11)</f>
        <v>127.61241723620799</v>
      </c>
      <c r="T514" s="11">
        <f t="shared" si="45"/>
        <v>28.197106690777581</v>
      </c>
      <c r="U514" s="11">
        <f t="shared" ca="1" si="46"/>
        <v>23.076386480326942</v>
      </c>
      <c r="V514" s="11">
        <f>EarningsPerDay[[#This Row],[Gross Earnings]]/EarningsPerDay[[#This Row],[Deliveries]]</f>
        <v>14.175454545454549</v>
      </c>
      <c r="W514" s="11">
        <f>EarningsPerDay[[#This Row],[Gross Earnings]]/EarningsPerDay[[#This Row],[Miles]]</f>
        <v>1.2277952755905515</v>
      </c>
      <c r="X514" s="71">
        <f>EarningsPerDay[[#This Row],[Deliveries]]/EarningsPerDay[[#This Row],[Hours]]</f>
        <v>1.9891500904159132</v>
      </c>
      <c r="Y514" s="71">
        <f>EarningsPerDay[[#This Row],[Miles]]/EarningsPerDay[[#This Row],[Deliveries]]</f>
        <v>11.545454545454545</v>
      </c>
      <c r="Z514" s="81">
        <f>(EarningsPerDay[[#This Row],[Hours]]/EarningsPerDay[[#This Row],[Deliveries]])/24</f>
        <v>2.09469696969697E-2</v>
      </c>
      <c r="AA5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5.0510943109906208</v>
      </c>
      <c r="AB514" s="11">
        <f>AVERAGEIFS(EarningsPerDay[Gross $/Hour],EarningsPerDay[Week '#], EarningsPerDay[[#This Row],[Week '#]], EarningsPerDay[DOW], EarningsPerDay[[#This Row],[DOW]])</f>
        <v>23.93154089725601</v>
      </c>
      <c r="AC514" s="11">
        <f>EarningsPerDay[[#This Row],[Gross $/Hour]] - EarningsPerDay[[#This Row],[Weekly Average Earnings]]</f>
        <v>4.2655657935215707</v>
      </c>
      <c r="AD514" s="11">
        <f>(SUMIFS(EarningsPerDay[Gross Earnings], EarningsPerDay[Date],"&gt;="&amp;EarningsPerDay[[#This Row],[Date]]-89, EarningsPerDay[Date], "&lt;="&amp;EarningsPerDay[[#This Row],[Date]]))/90</f>
        <v>63.604111111111088</v>
      </c>
    </row>
    <row r="515" spans="2:30" x14ac:dyDescent="0.35">
      <c r="B515" s="40">
        <v>45443</v>
      </c>
      <c r="C515" s="40">
        <f t="shared" si="47"/>
        <v>45443</v>
      </c>
      <c r="D515" s="4">
        <f>IF(EarningsPerDay[[#This Row],[Week '#]]&gt;=52,YEAR(EarningsPerDay[[#This Row],[Date]])-1,YEAR(EarningsPerDay[[#This Row],[Date]]))</f>
        <v>2024</v>
      </c>
      <c r="E515" s="4" t="str">
        <f>"QTR"&amp;IF(EarningsPerDay[[#This Row],[Week '#]] &lt;= 13, 1, IF(EarningsPerDay[[#This Row],[Week '#]] &lt;= 26, 2, IF(EarningsPerDay[[#This Row],[Week '#]] &lt;= 39, 3, 4)))</f>
        <v>QTR2</v>
      </c>
      <c r="F5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5" s="4">
        <f>IF(WEEKNUM(EarningsPerDay[[#This Row],[Date]], 2) = 53, 1, WEEKNUM(EarningsPerDay[[#This Row],[Date]],2))</f>
        <v>22</v>
      </c>
      <c r="H515" s="40" t="str">
        <f t="shared" si="48"/>
        <v>Friday</v>
      </c>
      <c r="I51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15" s="40" t="str" cm="1">
        <f t="array" ref="J515">IFERROR(VLOOKUP(MODE(IF(Combined[Date]=EarningsPerDay[[#This Row],[Date]],Combined[Area '#])),KPIs!$B$4:$C$7,2,FALSE),VLOOKUP(EarningsPerDay[[#This Row],[Date]],Combined[[Date]:[Primary Area]],8,FALSE))</f>
        <v>Brunswick/Bath/Freeport</v>
      </c>
      <c r="K515" s="40" t="str">
        <f>_xlfn.XLOOKUP(EarningsPerDay[[#This Row],[Date]],Mileage[Date],Mileage[Weather])</f>
        <v>Clear</v>
      </c>
      <c r="L515" s="4">
        <f>_xlfn.XLOOKUP(EarningsPerDay[[#This Row],[Date]],Mileage[Date],Mileage[Hi Temp])</f>
        <v>70</v>
      </c>
      <c r="M515" s="12">
        <f>_xlfn.XLOOKUP(EarningsPerDay[[#This Row],[Date]],Mileage[Date],Mileage[Total Time])</f>
        <v>5.9</v>
      </c>
      <c r="N515" s="4">
        <f>_xlfn.XLOOKUP(EarningsPerDay[[#This Row],[Date]],Mileage[Date],Mileage[Mileage])</f>
        <v>126</v>
      </c>
      <c r="O515" s="4">
        <f>SUMIF(Combined[Date],EarningsPerDay[[#This Row],[Date]],Combined[Trips])</f>
        <v>13</v>
      </c>
      <c r="P515">
        <f>COUNTIF(Combined[Date],EarningsPerDay[[#This Row],[Date]])</f>
        <v>3</v>
      </c>
      <c r="Q5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5" s="11">
        <f>SUMIF(Combined[Date],EarningsPerDay[[#This Row],[Date]],Combined[Earnings])</f>
        <v>131.13</v>
      </c>
      <c r="S515" s="11">
        <f ca="1">EarningsPerDay[[#This Row],[Gross Earnings]]-(EarningsPerDay[[#This Row],[Miles]]*CpM!$D$11)</f>
        <v>103.03539032883623</v>
      </c>
      <c r="T515" s="11">
        <f t="shared" ref="T515:T578" si="49">R515/M515</f>
        <v>22.225423728813556</v>
      </c>
      <c r="U515" s="11">
        <f t="shared" ref="U515:U578" ca="1" si="50">S515/M515</f>
        <v>17.463625479463765</v>
      </c>
      <c r="V515" s="11">
        <f>EarningsPerDay[[#This Row],[Gross Earnings]]/EarningsPerDay[[#This Row],[Deliveries]]</f>
        <v>10.086923076923076</v>
      </c>
      <c r="W515" s="11">
        <f>EarningsPerDay[[#This Row],[Gross Earnings]]/EarningsPerDay[[#This Row],[Miles]]</f>
        <v>1.0407142857142857</v>
      </c>
      <c r="X515" s="71">
        <f>EarningsPerDay[[#This Row],[Deliveries]]/EarningsPerDay[[#This Row],[Hours]]</f>
        <v>2.2033898305084745</v>
      </c>
      <c r="Y515" s="71">
        <f>EarningsPerDay[[#This Row],[Miles]]/EarningsPerDay[[#This Row],[Deliveries]]</f>
        <v>9.6923076923076916</v>
      </c>
      <c r="Z515" s="81">
        <f>(EarningsPerDay[[#This Row],[Hours]]/EarningsPerDay[[#This Row],[Deliveries]])/24</f>
        <v>1.8910256410256412E-2</v>
      </c>
      <c r="AA5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-2.5386770625105015</v>
      </c>
      <c r="AB515" s="11">
        <f>AVERAGEIFS(EarningsPerDay[Gross $/Hour],EarningsPerDay[Week '#], EarningsPerDay[[#This Row],[Week '#]], EarningsPerDay[DOW], EarningsPerDay[[#This Row],[DOW]])</f>
        <v>22.313396922264502</v>
      </c>
      <c r="AC515" s="11">
        <f>EarningsPerDay[[#This Row],[Gross $/Hour]] - EarningsPerDay[[#This Row],[Weekly Average Earnings]]</f>
        <v>-8.7973193450945786E-2</v>
      </c>
      <c r="AD515" s="11">
        <f>(SUMIFS(EarningsPerDay[Gross Earnings], EarningsPerDay[Date],"&gt;="&amp;EarningsPerDay[[#This Row],[Date]]-89, EarningsPerDay[Date], "&lt;="&amp;EarningsPerDay[[#This Row],[Date]]))/90</f>
        <v>63.626222222222211</v>
      </c>
    </row>
    <row r="516" spans="2:30" x14ac:dyDescent="0.35">
      <c r="B516" s="40">
        <v>45444</v>
      </c>
      <c r="C516" s="40">
        <f t="shared" si="47"/>
        <v>45444</v>
      </c>
      <c r="D516" s="4">
        <f>IF(EarningsPerDay[[#This Row],[Week '#]]&gt;=52,YEAR(EarningsPerDay[[#This Row],[Date]])-1,YEAR(EarningsPerDay[[#This Row],[Date]]))</f>
        <v>2024</v>
      </c>
      <c r="E516" s="4" t="str">
        <f>"QTR"&amp;IF(EarningsPerDay[[#This Row],[Week '#]] &lt;= 13, 1, IF(EarningsPerDay[[#This Row],[Week '#]] &lt;= 26, 2, IF(EarningsPerDay[[#This Row],[Week '#]] &lt;= 39, 3, 4)))</f>
        <v>QTR2</v>
      </c>
      <c r="F5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6" s="4">
        <f>IF(WEEKNUM(EarningsPerDay[[#This Row],[Date]], 2) = 53, 1, WEEKNUM(EarningsPerDay[[#This Row],[Date]],2))</f>
        <v>22</v>
      </c>
      <c r="H516" s="40" t="str">
        <f t="shared" si="48"/>
        <v>Saturday</v>
      </c>
      <c r="I516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516" s="40" t="str" cm="1">
        <f t="array" ref="J516">IFERROR(VLOOKUP(MODE(IF(Combined[Date]=EarningsPerDay[[#This Row],[Date]],Combined[Area '#])),KPIs!$B$4:$C$7,2,FALSE),VLOOKUP(EarningsPerDay[[#This Row],[Date]],Combined[[Date]:[Primary Area]],8,FALSE))</f>
        <v>Portland</v>
      </c>
      <c r="K516" s="40" t="str">
        <f>_xlfn.XLOOKUP(EarningsPerDay[[#This Row],[Date]],Mileage[Date],Mileage[Weather])</f>
        <v>Partially Cloudy</v>
      </c>
      <c r="L516" s="4">
        <f>_xlfn.XLOOKUP(EarningsPerDay[[#This Row],[Date]],Mileage[Date],Mileage[Hi Temp])</f>
        <v>63</v>
      </c>
      <c r="M516" s="12">
        <f>_xlfn.XLOOKUP(EarningsPerDay[[#This Row],[Date]],Mileage[Date],Mileage[Total Time])</f>
        <v>5.05</v>
      </c>
      <c r="N516" s="4">
        <f>_xlfn.XLOOKUP(EarningsPerDay[[#This Row],[Date]],Mileage[Date],Mileage[Mileage])</f>
        <v>142</v>
      </c>
      <c r="O516" s="4">
        <f>SUMIF(Combined[Date],EarningsPerDay[[#This Row],[Date]],Combined[Trips])</f>
        <v>8</v>
      </c>
      <c r="P516">
        <f>COUNTIF(Combined[Date],EarningsPerDay[[#This Row],[Date]])</f>
        <v>2</v>
      </c>
      <c r="Q5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6" s="11">
        <f>SUMIF(Combined[Date],EarningsPerDay[[#This Row],[Date]],Combined[Earnings])</f>
        <v>152.71999999999997</v>
      </c>
      <c r="S516" s="11">
        <f ca="1">EarningsPerDay[[#This Row],[Gross Earnings]]-(EarningsPerDay[[#This Row],[Miles]]*CpM!$D$11)</f>
        <v>121.05782084678367</v>
      </c>
      <c r="T516" s="11">
        <f t="shared" si="49"/>
        <v>30.241584158415836</v>
      </c>
      <c r="U516" s="11">
        <f t="shared" ca="1" si="50"/>
        <v>23.971845712234391</v>
      </c>
      <c r="V516" s="11">
        <f>EarningsPerDay[[#This Row],[Gross Earnings]]/EarningsPerDay[[#This Row],[Deliveries]]</f>
        <v>19.089999999999996</v>
      </c>
      <c r="W516" s="11">
        <f>EarningsPerDay[[#This Row],[Gross Earnings]]/EarningsPerDay[[#This Row],[Miles]]</f>
        <v>1.0754929577464787</v>
      </c>
      <c r="X516" s="71">
        <f>EarningsPerDay[[#This Row],[Deliveries]]/EarningsPerDay[[#This Row],[Hours]]</f>
        <v>1.5841584158415842</v>
      </c>
      <c r="Y516" s="71">
        <f>EarningsPerDay[[#This Row],[Miles]]/EarningsPerDay[[#This Row],[Deliveries]]</f>
        <v>17.75</v>
      </c>
      <c r="Z516" s="81">
        <f>(EarningsPerDay[[#This Row],[Hours]]/EarningsPerDay[[#This Row],[Deliveries]])/24</f>
        <v>2.6302083333333334E-2</v>
      </c>
      <c r="AA5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11.921616194701969</v>
      </c>
      <c r="AB516" s="11">
        <f>AVERAGEIFS(EarningsPerDay[Gross $/Hour],EarningsPerDay[Week '#], EarningsPerDay[[#This Row],[Week '#]], EarningsPerDay[DOW], EarningsPerDay[[#This Row],[DOW]])</f>
        <v>26.586309320587226</v>
      </c>
      <c r="AC516" s="11">
        <f>EarningsPerDay[[#This Row],[Gross $/Hour]] - EarningsPerDay[[#This Row],[Weekly Average Earnings]]</f>
        <v>3.6552748378286104</v>
      </c>
      <c r="AD516" s="11">
        <f>(SUMIFS(EarningsPerDay[Gross Earnings], EarningsPerDay[Date],"&gt;="&amp;EarningsPerDay[[#This Row],[Date]]-89, EarningsPerDay[Date], "&lt;="&amp;EarningsPerDay[[#This Row],[Date]]))/90</f>
        <v>64.441333333333304</v>
      </c>
    </row>
    <row r="517" spans="2:30" x14ac:dyDescent="0.35">
      <c r="B517" s="40">
        <v>45445</v>
      </c>
      <c r="C517" s="40">
        <f t="shared" si="47"/>
        <v>45445</v>
      </c>
      <c r="D517" s="4">
        <f>IF(EarningsPerDay[[#This Row],[Week '#]]&gt;=52,YEAR(EarningsPerDay[[#This Row],[Date]])-1,YEAR(EarningsPerDay[[#This Row],[Date]]))</f>
        <v>2024</v>
      </c>
      <c r="E517" s="4" t="str">
        <f>"QTR"&amp;IF(EarningsPerDay[[#This Row],[Week '#]] &lt;= 13, 1, IF(EarningsPerDay[[#This Row],[Week '#]] &lt;= 26, 2, IF(EarningsPerDay[[#This Row],[Week '#]] &lt;= 39, 3, 4)))</f>
        <v>QTR2</v>
      </c>
      <c r="F5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17" s="4">
        <f>IF(WEEKNUM(EarningsPerDay[[#This Row],[Date]], 2) = 53, 1, WEEKNUM(EarningsPerDay[[#This Row],[Date]],2))</f>
        <v>22</v>
      </c>
      <c r="H517" s="40" t="str">
        <f t="shared" si="48"/>
        <v>Sunday</v>
      </c>
      <c r="I51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17" s="40" t="str" cm="1">
        <f t="array" ref="J517">IFERROR(VLOOKUP(MODE(IF(Combined[Date]=EarningsPerDay[[#This Row],[Date]],Combined[Area '#])),KPIs!$B$4:$C$7,2,FALSE),VLOOKUP(EarningsPerDay[[#This Row],[Date]],Combined[[Date]:[Primary Area]],8,FALSE))</f>
        <v>Lewiston</v>
      </c>
      <c r="K517" s="40" t="str">
        <f>_xlfn.XLOOKUP(EarningsPerDay[[#This Row],[Date]],Mileage[Date],Mileage[Weather])</f>
        <v>Clear</v>
      </c>
      <c r="L517" s="4">
        <f>_xlfn.XLOOKUP(EarningsPerDay[[#This Row],[Date]],Mileage[Date],Mileage[Hi Temp])</f>
        <v>77</v>
      </c>
      <c r="M517" s="12">
        <f>_xlfn.XLOOKUP(EarningsPerDay[[#This Row],[Date]],Mileage[Date],Mileage[Total Time])</f>
        <v>5.25</v>
      </c>
      <c r="N517" s="4">
        <f>_xlfn.XLOOKUP(EarningsPerDay[[#This Row],[Date]],Mileage[Date],Mileage[Mileage])</f>
        <v>93</v>
      </c>
      <c r="O517" s="4">
        <f>SUMIF(Combined[Date],EarningsPerDay[[#This Row],[Date]],Combined[Trips])</f>
        <v>12</v>
      </c>
      <c r="P517">
        <f>COUNTIF(Combined[Date],EarningsPerDay[[#This Row],[Date]])</f>
        <v>2</v>
      </c>
      <c r="Q5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7" s="11">
        <f>SUMIF(Combined[Date],EarningsPerDay[[#This Row],[Date]],Combined[Earnings])</f>
        <v>94.56</v>
      </c>
      <c r="S517" s="11">
        <f ca="1">EarningsPerDay[[#This Row],[Gross Earnings]]-(EarningsPerDay[[#This Row],[Miles]]*CpM!$D$11)</f>
        <v>73.823502385569611</v>
      </c>
      <c r="T517" s="11">
        <f t="shared" si="49"/>
        <v>18.011428571428571</v>
      </c>
      <c r="U517" s="11">
        <f t="shared" ca="1" si="50"/>
        <v>14.06161950201326</v>
      </c>
      <c r="V517" s="11">
        <f>EarningsPerDay[[#This Row],[Gross Earnings]]/EarningsPerDay[[#This Row],[Deliveries]]</f>
        <v>7.88</v>
      </c>
      <c r="W517" s="11">
        <f>EarningsPerDay[[#This Row],[Gross Earnings]]/EarningsPerDay[[#This Row],[Miles]]</f>
        <v>1.0167741935483872</v>
      </c>
      <c r="X517" s="71">
        <f>EarningsPerDay[[#This Row],[Deliveries]]/EarningsPerDay[[#This Row],[Hours]]</f>
        <v>2.2857142857142856</v>
      </c>
      <c r="Y517" s="71">
        <f>EarningsPerDay[[#This Row],[Miles]]/EarningsPerDay[[#This Row],[Deliveries]]</f>
        <v>7.75</v>
      </c>
      <c r="Z517" s="81">
        <f>(EarningsPerDay[[#This Row],[Hours]]/EarningsPerDay[[#This Row],[Deliveries]])/24</f>
        <v>1.8229166666666668E-2</v>
      </c>
      <c r="AA5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1.7509022556390974</v>
      </c>
      <c r="AB517" s="11">
        <f>AVERAGEIFS(EarningsPerDay[Gross $/Hour],EarningsPerDay[Week '#], EarningsPerDay[[#This Row],[Week '#]], EarningsPerDay[DOW], EarningsPerDay[[#This Row],[DOW]])</f>
        <v>18.334880952380949</v>
      </c>
      <c r="AC517" s="11">
        <f>EarningsPerDay[[#This Row],[Gross $/Hour]] - EarningsPerDay[[#This Row],[Weekly Average Earnings]]</f>
        <v>-0.3234523809523786</v>
      </c>
      <c r="AD517" s="11">
        <f>(SUMIFS(EarningsPerDay[Gross Earnings], EarningsPerDay[Date],"&gt;="&amp;EarningsPerDay[[#This Row],[Date]]-89, EarningsPerDay[Date], "&lt;="&amp;EarningsPerDay[[#This Row],[Date]]))/90</f>
        <v>65.491999999999976</v>
      </c>
    </row>
    <row r="518" spans="2:30" x14ac:dyDescent="0.35">
      <c r="B518" s="40">
        <v>45446</v>
      </c>
      <c r="C518" s="40">
        <f t="shared" ref="C518:C543" si="51">B518</f>
        <v>45446</v>
      </c>
      <c r="D518" s="4">
        <f>IF(EarningsPerDay[[#This Row],[Week '#]]&gt;=52,YEAR(EarningsPerDay[[#This Row],[Date]])-1,YEAR(EarningsPerDay[[#This Row],[Date]]))</f>
        <v>2024</v>
      </c>
      <c r="E518" s="4" t="str">
        <f>"QTR"&amp;IF(EarningsPerDay[[#This Row],[Week '#]] &lt;= 13, 1, IF(EarningsPerDay[[#This Row],[Week '#]] &lt;= 26, 2, IF(EarningsPerDay[[#This Row],[Week '#]] &lt;= 39, 3, 4)))</f>
        <v>QTR2</v>
      </c>
      <c r="F5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18" s="4">
        <f>IF(WEEKNUM(EarningsPerDay[[#This Row],[Date]], 2) = 53, 1, WEEKNUM(EarningsPerDay[[#This Row],[Date]],2))</f>
        <v>23</v>
      </c>
      <c r="H518" s="40" t="str">
        <f t="shared" ref="H518:H543" si="52">TEXT(B518,"DDDD")</f>
        <v>Monday</v>
      </c>
      <c r="I51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18" s="40" t="str" cm="1">
        <f t="array" ref="J518">IFERROR(VLOOKUP(MODE(IF(Combined[Date]=EarningsPerDay[[#This Row],[Date]],Combined[Area '#])),KPIs!$B$4:$C$7,2,FALSE),VLOOKUP(EarningsPerDay[[#This Row],[Date]],Combined[[Date]:[Primary Area]],8,FALSE))</f>
        <v>Brunswick/Bath/Freeport</v>
      </c>
      <c r="K518" s="40" t="str">
        <f>_xlfn.XLOOKUP(EarningsPerDay[[#This Row],[Date]],Mileage[Date],Mileage[Weather])</f>
        <v>Clear</v>
      </c>
      <c r="L518" s="4">
        <f>_xlfn.XLOOKUP(EarningsPerDay[[#This Row],[Date]],Mileage[Date],Mileage[Hi Temp])</f>
        <v>70</v>
      </c>
      <c r="M518" s="12">
        <f>_xlfn.XLOOKUP(EarningsPerDay[[#This Row],[Date]],Mileage[Date],Mileage[Total Time])</f>
        <v>5.33</v>
      </c>
      <c r="N518" s="4">
        <f>_xlfn.XLOOKUP(EarningsPerDay[[#This Row],[Date]],Mileage[Date],Mileage[Mileage])</f>
        <v>139</v>
      </c>
      <c r="O518" s="4">
        <f>SUMIF(Combined[Date],EarningsPerDay[[#This Row],[Date]],Combined[Trips])</f>
        <v>10</v>
      </c>
      <c r="P518">
        <f>COUNTIF(Combined[Date],EarningsPerDay[[#This Row],[Date]])</f>
        <v>1</v>
      </c>
      <c r="Q5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8" s="11">
        <f>SUMIF(Combined[Date],EarningsPerDay[[#This Row],[Date]],Combined[Earnings])</f>
        <v>96</v>
      </c>
      <c r="S518" s="11">
        <f ca="1">EarningsPerDay[[#This Row],[Gross Earnings]]-(EarningsPerDay[[#This Row],[Miles]]*CpM!$D$11)</f>
        <v>65.006740124668553</v>
      </c>
      <c r="T518" s="11">
        <f t="shared" si="49"/>
        <v>18.011257035647279</v>
      </c>
      <c r="U518" s="11">
        <f t="shared" ca="1" si="50"/>
        <v>12.196386514947196</v>
      </c>
      <c r="V518" s="11">
        <f>EarningsPerDay[[#This Row],[Gross Earnings]]/EarningsPerDay[[#This Row],[Deliveries]]</f>
        <v>9.6</v>
      </c>
      <c r="W518" s="11">
        <f>EarningsPerDay[[#This Row],[Gross Earnings]]/EarningsPerDay[[#This Row],[Miles]]</f>
        <v>0.69064748201438853</v>
      </c>
      <c r="X518" s="71">
        <f>EarningsPerDay[[#This Row],[Deliveries]]/EarningsPerDay[[#This Row],[Hours]]</f>
        <v>1.876172607879925</v>
      </c>
      <c r="Y518" s="71">
        <f>EarningsPerDay[[#This Row],[Miles]]/EarningsPerDay[[#This Row],[Deliveries]]</f>
        <v>13.9</v>
      </c>
      <c r="Z518" s="81">
        <f>(EarningsPerDay[[#This Row],[Hours]]/EarningsPerDay[[#This Row],[Deliveries]])/24</f>
        <v>2.2208333333333333E-2</v>
      </c>
      <c r="AA5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-2.1995748884299999</v>
      </c>
      <c r="AB518" s="11">
        <f>AVERAGEIFS(EarningsPerDay[Gross $/Hour],EarningsPerDay[Week '#], EarningsPerDay[[#This Row],[Week '#]], EarningsPerDay[DOW], EarningsPerDay[[#This Row],[DOW]])</f>
        <v>22.182309988289532</v>
      </c>
      <c r="AC518" s="11">
        <f>EarningsPerDay[[#This Row],[Gross $/Hour]] - EarningsPerDay[[#This Row],[Weekly Average Earnings]]</f>
        <v>-4.1710529526422526</v>
      </c>
      <c r="AD518" s="11">
        <f>(SUMIFS(EarningsPerDay[Gross Earnings], EarningsPerDay[Date],"&gt;="&amp;EarningsPerDay[[#This Row],[Date]]-89, EarningsPerDay[Date], "&lt;="&amp;EarningsPerDay[[#This Row],[Date]]))/90</f>
        <v>65.832888888888874</v>
      </c>
    </row>
    <row r="519" spans="2:30" x14ac:dyDescent="0.35">
      <c r="B519" s="40">
        <v>45447</v>
      </c>
      <c r="C519" s="40">
        <f t="shared" si="51"/>
        <v>45447</v>
      </c>
      <c r="D519" s="4">
        <f>IF(EarningsPerDay[[#This Row],[Week '#]]&gt;=52,YEAR(EarningsPerDay[[#This Row],[Date]])-1,YEAR(EarningsPerDay[[#This Row],[Date]]))</f>
        <v>2024</v>
      </c>
      <c r="E519" s="4" t="str">
        <f>"QTR"&amp;IF(EarningsPerDay[[#This Row],[Week '#]] &lt;= 13, 1, IF(EarningsPerDay[[#This Row],[Week '#]] &lt;= 26, 2, IF(EarningsPerDay[[#This Row],[Week '#]] &lt;= 39, 3, 4)))</f>
        <v>QTR2</v>
      </c>
      <c r="F5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19" s="4">
        <f>IF(WEEKNUM(EarningsPerDay[[#This Row],[Date]], 2) = 53, 1, WEEKNUM(EarningsPerDay[[#This Row],[Date]],2))</f>
        <v>23</v>
      </c>
      <c r="H519" s="40" t="str">
        <f t="shared" si="52"/>
        <v>Tuesday</v>
      </c>
      <c r="I51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19" s="40" t="str" cm="1">
        <f t="array" ref="J519">IFERROR(VLOOKUP(MODE(IF(Combined[Date]=EarningsPerDay[[#This Row],[Date]],Combined[Area '#])),KPIs!$B$4:$C$7,2,FALSE),VLOOKUP(EarningsPerDay[[#This Row],[Date]],Combined[[Date]:[Primary Area]],8,FALSE))</f>
        <v>Brunswick/Bath/Freeport</v>
      </c>
      <c r="K519" s="40" t="str">
        <f>_xlfn.XLOOKUP(EarningsPerDay[[#This Row],[Date]],Mileage[Date],Mileage[Weather])</f>
        <v>Clear</v>
      </c>
      <c r="L519" s="4">
        <f>_xlfn.XLOOKUP(EarningsPerDay[[#This Row],[Date]],Mileage[Date],Mileage[Hi Temp])</f>
        <v>70</v>
      </c>
      <c r="M519" s="12">
        <f>_xlfn.XLOOKUP(EarningsPerDay[[#This Row],[Date]],Mileage[Date],Mileage[Total Time])</f>
        <v>4.2300000000000004</v>
      </c>
      <c r="N519" s="4">
        <f>_xlfn.XLOOKUP(EarningsPerDay[[#This Row],[Date]],Mileage[Date],Mileage[Mileage])</f>
        <v>120</v>
      </c>
      <c r="O519" s="4">
        <f>SUMIF(Combined[Date],EarningsPerDay[[#This Row],[Date]],Combined[Trips])</f>
        <v>10</v>
      </c>
      <c r="P519">
        <f>COUNTIF(Combined[Date],EarningsPerDay[[#This Row],[Date]])</f>
        <v>2</v>
      </c>
      <c r="Q5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19" s="11">
        <f>SUMIF(Combined[Date],EarningsPerDay[[#This Row],[Date]],Combined[Earnings])</f>
        <v>104.53999999999999</v>
      </c>
      <c r="S519" s="11">
        <f ca="1">EarningsPerDay[[#This Row],[Gross Earnings]]-(EarningsPerDay[[#This Row],[Miles]]*CpM!$D$11)</f>
        <v>77.783228884605933</v>
      </c>
      <c r="T519" s="11">
        <f t="shared" si="49"/>
        <v>24.71394799054373</v>
      </c>
      <c r="U519" s="11">
        <f t="shared" ca="1" si="50"/>
        <v>18.388470185486035</v>
      </c>
      <c r="V519" s="11">
        <f>EarningsPerDay[[#This Row],[Gross Earnings]]/EarningsPerDay[[#This Row],[Deliveries]]</f>
        <v>10.453999999999999</v>
      </c>
      <c r="W519" s="11">
        <f>EarningsPerDay[[#This Row],[Gross Earnings]]/EarningsPerDay[[#This Row],[Miles]]</f>
        <v>0.87116666666666664</v>
      </c>
      <c r="X519" s="71">
        <f>EarningsPerDay[[#This Row],[Deliveries]]/EarningsPerDay[[#This Row],[Hours]]</f>
        <v>2.3640661938534278</v>
      </c>
      <c r="Y519" s="71">
        <f>EarningsPerDay[[#This Row],[Miles]]/EarningsPerDay[[#This Row],[Deliveries]]</f>
        <v>12</v>
      </c>
      <c r="Z519" s="81">
        <f>(EarningsPerDay[[#This Row],[Hours]]/EarningsPerDay[[#This Row],[Deliveries]])/24</f>
        <v>1.7625000000000002E-2</v>
      </c>
      <c r="AA5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3.7010487759768793</v>
      </c>
      <c r="AB519" s="11">
        <f>AVERAGEIFS(EarningsPerDay[Gross $/Hour],EarningsPerDay[Week '#], EarningsPerDay[[#This Row],[Week '#]], EarningsPerDay[DOW], EarningsPerDay[[#This Row],[DOW]])</f>
        <v>25.132141780506764</v>
      </c>
      <c r="AC519" s="11">
        <f>EarningsPerDay[[#This Row],[Gross $/Hour]] - EarningsPerDay[[#This Row],[Weekly Average Earnings]]</f>
        <v>-0.41819378996303413</v>
      </c>
      <c r="AD519" s="11">
        <f>(SUMIFS(EarningsPerDay[Gross Earnings], EarningsPerDay[Date],"&gt;="&amp;EarningsPerDay[[#This Row],[Date]]-89, EarningsPerDay[Date], "&lt;="&amp;EarningsPerDay[[#This Row],[Date]]))/90</f>
        <v>66.99444444444444</v>
      </c>
    </row>
    <row r="520" spans="2:30" x14ac:dyDescent="0.35">
      <c r="B520" s="40">
        <v>45448</v>
      </c>
      <c r="C520" s="40">
        <f t="shared" si="51"/>
        <v>45448</v>
      </c>
      <c r="D520" s="4">
        <f>IF(EarningsPerDay[[#This Row],[Week '#]]&gt;=52,YEAR(EarningsPerDay[[#This Row],[Date]])-1,YEAR(EarningsPerDay[[#This Row],[Date]]))</f>
        <v>2024</v>
      </c>
      <c r="E520" s="4" t="str">
        <f>"QTR"&amp;IF(EarningsPerDay[[#This Row],[Week '#]] &lt;= 13, 1, IF(EarningsPerDay[[#This Row],[Week '#]] &lt;= 26, 2, IF(EarningsPerDay[[#This Row],[Week '#]] &lt;= 39, 3, 4)))</f>
        <v>QTR2</v>
      </c>
      <c r="F5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20" s="4">
        <f>IF(WEEKNUM(EarningsPerDay[[#This Row],[Date]], 2) = 53, 1, WEEKNUM(EarningsPerDay[[#This Row],[Date]],2))</f>
        <v>23</v>
      </c>
      <c r="H520" s="40" t="str">
        <f t="shared" si="52"/>
        <v>Wednesday</v>
      </c>
      <c r="I52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20" s="40" t="str" cm="1">
        <f t="array" ref="J520">IFERROR(VLOOKUP(MODE(IF(Combined[Date]=EarningsPerDay[[#This Row],[Date]],Combined[Area '#])),KPIs!$B$4:$C$7,2,FALSE),VLOOKUP(EarningsPerDay[[#This Row],[Date]],Combined[[Date]:[Primary Area]],8,FALSE))</f>
        <v>Portland</v>
      </c>
      <c r="K520" s="40" t="str">
        <f>_xlfn.XLOOKUP(EarningsPerDay[[#This Row],[Date]],Mileage[Date],Mileage[Weather])</f>
        <v>Partially Cloudy</v>
      </c>
      <c r="L520" s="4">
        <f>_xlfn.XLOOKUP(EarningsPerDay[[#This Row],[Date]],Mileage[Date],Mileage[Hi Temp])</f>
        <v>70</v>
      </c>
      <c r="M520" s="12">
        <f>_xlfn.XLOOKUP(EarningsPerDay[[#This Row],[Date]],Mileage[Date],Mileage[Total Time])</f>
        <v>5.6</v>
      </c>
      <c r="N520" s="4">
        <f>_xlfn.XLOOKUP(EarningsPerDay[[#This Row],[Date]],Mileage[Date],Mileage[Mileage])</f>
        <v>121</v>
      </c>
      <c r="O520" s="4">
        <f>SUMIF(Combined[Date],EarningsPerDay[[#This Row],[Date]],Combined[Trips])</f>
        <v>13</v>
      </c>
      <c r="P520">
        <f>COUNTIF(Combined[Date],EarningsPerDay[[#This Row],[Date]])</f>
        <v>3</v>
      </c>
      <c r="Q5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0" s="11">
        <f>SUMIF(Combined[Date],EarningsPerDay[[#This Row],[Date]],Combined[Earnings])</f>
        <v>113.09</v>
      </c>
      <c r="S520" s="11">
        <f ca="1">EarningsPerDay[[#This Row],[Gross Earnings]]-(EarningsPerDay[[#This Row],[Miles]]*CpM!$D$11)</f>
        <v>86.110255791977664</v>
      </c>
      <c r="T520" s="11">
        <f t="shared" si="49"/>
        <v>20.19464285714286</v>
      </c>
      <c r="U520" s="11">
        <f t="shared" ca="1" si="50"/>
        <v>15.376831391424584</v>
      </c>
      <c r="V520" s="11">
        <f>EarningsPerDay[[#This Row],[Gross Earnings]]/EarningsPerDay[[#This Row],[Deliveries]]</f>
        <v>8.6992307692307698</v>
      </c>
      <c r="W520" s="11">
        <f>EarningsPerDay[[#This Row],[Gross Earnings]]/EarningsPerDay[[#This Row],[Miles]]</f>
        <v>0.93462809917355372</v>
      </c>
      <c r="X520" s="71">
        <f>EarningsPerDay[[#This Row],[Deliveries]]/EarningsPerDay[[#This Row],[Hours]]</f>
        <v>2.3214285714285716</v>
      </c>
      <c r="Y520" s="71">
        <f>EarningsPerDay[[#This Row],[Miles]]/EarningsPerDay[[#This Row],[Deliveries]]</f>
        <v>9.3076923076923084</v>
      </c>
      <c r="Z520" s="81">
        <f>(EarningsPerDay[[#This Row],[Hours]]/EarningsPerDay[[#This Row],[Deliveries]])/24</f>
        <v>1.7948717948717947E-2</v>
      </c>
      <c r="AA5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1.69114996425618</v>
      </c>
      <c r="AB520" s="11">
        <f>AVERAGEIFS(EarningsPerDay[Gross $/Hour],EarningsPerDay[Week '#], EarningsPerDay[[#This Row],[Week '#]], EarningsPerDay[DOW], EarningsPerDay[[#This Row],[DOW]])</f>
        <v>18.692679503627101</v>
      </c>
      <c r="AC520" s="11">
        <f>EarningsPerDay[[#This Row],[Gross $/Hour]] - EarningsPerDay[[#This Row],[Weekly Average Earnings]]</f>
        <v>1.5019633535157588</v>
      </c>
      <c r="AD520" s="11">
        <f>(SUMIFS(EarningsPerDay[Gross Earnings], EarningsPerDay[Date],"&gt;="&amp;EarningsPerDay[[#This Row],[Date]]-89, EarningsPerDay[Date], "&lt;="&amp;EarningsPerDay[[#This Row],[Date]]))/90</f>
        <v>68.250999999999991</v>
      </c>
    </row>
    <row r="521" spans="2:30" x14ac:dyDescent="0.35">
      <c r="B521" s="40">
        <v>45449</v>
      </c>
      <c r="C521" s="40">
        <f t="shared" si="51"/>
        <v>45449</v>
      </c>
      <c r="D521" s="4">
        <f>IF(EarningsPerDay[[#This Row],[Week '#]]&gt;=52,YEAR(EarningsPerDay[[#This Row],[Date]])-1,YEAR(EarningsPerDay[[#This Row],[Date]]))</f>
        <v>2024</v>
      </c>
      <c r="E521" s="4" t="str">
        <f>"QTR"&amp;IF(EarningsPerDay[[#This Row],[Week '#]] &lt;= 13, 1, IF(EarningsPerDay[[#This Row],[Week '#]] &lt;= 26, 2, IF(EarningsPerDay[[#This Row],[Week '#]] &lt;= 39, 3, 4)))</f>
        <v>QTR2</v>
      </c>
      <c r="F5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21" s="4">
        <f>IF(WEEKNUM(EarningsPerDay[[#This Row],[Date]], 2) = 53, 1, WEEKNUM(EarningsPerDay[[#This Row],[Date]],2))</f>
        <v>23</v>
      </c>
      <c r="H521" s="40" t="str">
        <f t="shared" si="52"/>
        <v>Thursday</v>
      </c>
      <c r="I52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21" s="40" t="str" cm="1">
        <f t="array" ref="J521">IFERROR(VLOOKUP(MODE(IF(Combined[Date]=EarningsPerDay[[#This Row],[Date]],Combined[Area '#])),KPIs!$B$4:$C$7,2,FALSE),VLOOKUP(EarningsPerDay[[#This Row],[Date]],Combined[[Date]:[Primary Area]],8,FALSE))</f>
        <v>Portland</v>
      </c>
      <c r="K521" s="40" t="str">
        <f>_xlfn.XLOOKUP(EarningsPerDay[[#This Row],[Date]],Mileage[Date],Mileage[Weather])</f>
        <v>Fog</v>
      </c>
      <c r="L521" s="4">
        <f>_xlfn.XLOOKUP(EarningsPerDay[[#This Row],[Date]],Mileage[Date],Mileage[Hi Temp])</f>
        <v>59</v>
      </c>
      <c r="M521" s="12">
        <f>_xlfn.XLOOKUP(EarningsPerDay[[#This Row],[Date]],Mileage[Date],Mileage[Total Time])</f>
        <v>6.13</v>
      </c>
      <c r="N521" s="4">
        <f>_xlfn.XLOOKUP(EarningsPerDay[[#This Row],[Date]],Mileage[Date],Mileage[Mileage])</f>
        <v>119</v>
      </c>
      <c r="O521" s="4">
        <f>SUMIF(Combined[Date],EarningsPerDay[[#This Row],[Date]],Combined[Trips])</f>
        <v>10</v>
      </c>
      <c r="P521">
        <f>COUNTIF(Combined[Date],EarningsPerDay[[#This Row],[Date]])</f>
        <v>1</v>
      </c>
      <c r="Q5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1" s="11">
        <f>SUMIF(Combined[Date],EarningsPerDay[[#This Row],[Date]],Combined[Earnings])</f>
        <v>139.02000000000001</v>
      </c>
      <c r="S521" s="11">
        <f ca="1">EarningsPerDay[[#This Row],[Gross Earnings]]-(EarningsPerDay[[#This Row],[Miles]]*CpM!$D$11)</f>
        <v>112.48620197723423</v>
      </c>
      <c r="T521" s="11">
        <f t="shared" si="49"/>
        <v>22.678629690048943</v>
      </c>
      <c r="U521" s="11">
        <f t="shared" ca="1" si="50"/>
        <v>18.350114515046368</v>
      </c>
      <c r="V521" s="11">
        <f>EarningsPerDay[[#This Row],[Gross Earnings]]/EarningsPerDay[[#This Row],[Deliveries]]</f>
        <v>13.902000000000001</v>
      </c>
      <c r="W521" s="11">
        <f>EarningsPerDay[[#This Row],[Gross Earnings]]/EarningsPerDay[[#This Row],[Miles]]</f>
        <v>1.168235294117647</v>
      </c>
      <c r="X521" s="71">
        <f>EarningsPerDay[[#This Row],[Deliveries]]/EarningsPerDay[[#This Row],[Hours]]</f>
        <v>1.6313213703099512</v>
      </c>
      <c r="Y521" s="71">
        <f>EarningsPerDay[[#This Row],[Miles]]/EarningsPerDay[[#This Row],[Deliveries]]</f>
        <v>11.9</v>
      </c>
      <c r="Z521" s="81">
        <f>(EarningsPerDay[[#This Row],[Hours]]/EarningsPerDay[[#This Row],[Deliveries]])/24</f>
        <v>2.5541666666666667E-2</v>
      </c>
      <c r="AA5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5.5503525441247383</v>
      </c>
      <c r="AB521" s="11">
        <f>AVERAGEIFS(EarningsPerDay[Gross $/Hour],EarningsPerDay[Week '#], EarningsPerDay[[#This Row],[Week '#]], EarningsPerDay[DOW], EarningsPerDay[[#This Row],[DOW]])</f>
        <v>27.094757647407121</v>
      </c>
      <c r="AC521" s="11">
        <f>EarningsPerDay[[#This Row],[Gross $/Hour]] - EarningsPerDay[[#This Row],[Weekly Average Earnings]]</f>
        <v>-4.416127957358178</v>
      </c>
      <c r="AD521" s="11">
        <f>(SUMIFS(EarningsPerDay[Gross Earnings], EarningsPerDay[Date],"&gt;="&amp;EarningsPerDay[[#This Row],[Date]]-89, EarningsPerDay[Date], "&lt;="&amp;EarningsPerDay[[#This Row],[Date]]))/90</f>
        <v>69.795666666666662</v>
      </c>
    </row>
    <row r="522" spans="2:30" x14ac:dyDescent="0.35">
      <c r="B522" s="40">
        <v>45450</v>
      </c>
      <c r="C522" s="40">
        <f t="shared" si="51"/>
        <v>45450</v>
      </c>
      <c r="D522" s="4">
        <f>IF(EarningsPerDay[[#This Row],[Week '#]]&gt;=52,YEAR(EarningsPerDay[[#This Row],[Date]])-1,YEAR(EarningsPerDay[[#This Row],[Date]]))</f>
        <v>2024</v>
      </c>
      <c r="E522" s="4" t="str">
        <f>"QTR"&amp;IF(EarningsPerDay[[#This Row],[Week '#]] &lt;= 13, 1, IF(EarningsPerDay[[#This Row],[Week '#]] &lt;= 26, 2, IF(EarningsPerDay[[#This Row],[Week '#]] &lt;= 39, 3, 4)))</f>
        <v>QTR2</v>
      </c>
      <c r="F5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22" s="4">
        <f>IF(WEEKNUM(EarningsPerDay[[#This Row],[Date]], 2) = 53, 1, WEEKNUM(EarningsPerDay[[#This Row],[Date]],2))</f>
        <v>23</v>
      </c>
      <c r="H522" s="40" t="str">
        <f t="shared" si="52"/>
        <v>Friday</v>
      </c>
      <c r="I52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22" s="40" t="str" cm="1">
        <f t="array" ref="J522">IFERROR(VLOOKUP(MODE(IF(Combined[Date]=EarningsPerDay[[#This Row],[Date]],Combined[Area '#])),KPIs!$B$4:$C$7,2,FALSE),VLOOKUP(EarningsPerDay[[#This Row],[Date]],Combined[[Date]:[Primary Area]],8,FALSE))</f>
        <v>Brunswick/Bath/Freeport</v>
      </c>
      <c r="K522" s="40" t="str">
        <f>_xlfn.XLOOKUP(EarningsPerDay[[#This Row],[Date]],Mileage[Date],Mileage[Weather])</f>
        <v>Partially Cloudy</v>
      </c>
      <c r="L522" s="4">
        <f>_xlfn.XLOOKUP(EarningsPerDay[[#This Row],[Date]],Mileage[Date],Mileage[Hi Temp])</f>
        <v>64</v>
      </c>
      <c r="M522" s="12">
        <f>_xlfn.XLOOKUP(EarningsPerDay[[#This Row],[Date]],Mileage[Date],Mileage[Total Time])</f>
        <v>6.08</v>
      </c>
      <c r="N522" s="4">
        <f>_xlfn.XLOOKUP(EarningsPerDay[[#This Row],[Date]],Mileage[Date],Mileage[Mileage])</f>
        <v>165</v>
      </c>
      <c r="O522" s="4">
        <f>SUMIF(Combined[Date],EarningsPerDay[[#This Row],[Date]],Combined[Trips])</f>
        <v>13</v>
      </c>
      <c r="P522">
        <f>COUNTIF(Combined[Date],EarningsPerDay[[#This Row],[Date]])</f>
        <v>2</v>
      </c>
      <c r="Q5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2" s="11">
        <f>SUMIF(Combined[Date],EarningsPerDay[[#This Row],[Date]],Combined[Earnings])</f>
        <v>143.56</v>
      </c>
      <c r="S522" s="11">
        <f ca="1">EarningsPerDay[[#This Row],[Gross Earnings]]-(EarningsPerDay[[#This Row],[Miles]]*CpM!$D$11)</f>
        <v>106.76943971633318</v>
      </c>
      <c r="T522" s="11">
        <f t="shared" si="49"/>
        <v>23.611842105263158</v>
      </c>
      <c r="U522" s="11">
        <f t="shared" ca="1" si="50"/>
        <v>17.560763111239009</v>
      </c>
      <c r="V522" s="11">
        <f>EarningsPerDay[[#This Row],[Gross Earnings]]/EarningsPerDay[[#This Row],[Deliveries]]</f>
        <v>11.043076923076923</v>
      </c>
      <c r="W522" s="11">
        <f>EarningsPerDay[[#This Row],[Gross Earnings]]/EarningsPerDay[[#This Row],[Miles]]</f>
        <v>0.87006060606060609</v>
      </c>
      <c r="X522" s="71">
        <f>EarningsPerDay[[#This Row],[Deliveries]]/EarningsPerDay[[#This Row],[Hours]]</f>
        <v>2.138157894736842</v>
      </c>
      <c r="Y522" s="71">
        <f>EarningsPerDay[[#This Row],[Miles]]/EarningsPerDay[[#This Row],[Deliveries]]</f>
        <v>12.692307692307692</v>
      </c>
      <c r="Z522" s="81">
        <f>(EarningsPerDay[[#This Row],[Hours]]/EarningsPerDay[[#This Row],[Deliveries]])/24</f>
        <v>1.9487179487179488E-2</v>
      </c>
      <c r="AA5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-0.97092461016729104</v>
      </c>
      <c r="AB522" s="11">
        <f>AVERAGEIFS(EarningsPerDay[Gross $/Hour],EarningsPerDay[Week '#], EarningsPerDay[[#This Row],[Week '#]], EarningsPerDay[DOW], EarningsPerDay[[#This Row],[DOW]])</f>
        <v>20.101809097414456</v>
      </c>
      <c r="AC522" s="11">
        <f>EarningsPerDay[[#This Row],[Gross $/Hour]] - EarningsPerDay[[#This Row],[Weekly Average Earnings]]</f>
        <v>3.5100330078487012</v>
      </c>
      <c r="AD522" s="11">
        <f>(SUMIFS(EarningsPerDay[Gross Earnings], EarningsPerDay[Date],"&gt;="&amp;EarningsPerDay[[#This Row],[Date]]-89, EarningsPerDay[Date], "&lt;="&amp;EarningsPerDay[[#This Row],[Date]]))/90</f>
        <v>68.926111111111112</v>
      </c>
    </row>
    <row r="523" spans="2:30" x14ac:dyDescent="0.35">
      <c r="B523" s="40">
        <v>45451</v>
      </c>
      <c r="C523" s="40">
        <f t="shared" si="51"/>
        <v>45451</v>
      </c>
      <c r="D523" s="4">
        <f>IF(EarningsPerDay[[#This Row],[Week '#]]&gt;=52,YEAR(EarningsPerDay[[#This Row],[Date]])-1,YEAR(EarningsPerDay[[#This Row],[Date]]))</f>
        <v>2024</v>
      </c>
      <c r="E523" s="4" t="str">
        <f>"QTR"&amp;IF(EarningsPerDay[[#This Row],[Week '#]] &lt;= 13, 1, IF(EarningsPerDay[[#This Row],[Week '#]] &lt;= 26, 2, IF(EarningsPerDay[[#This Row],[Week '#]] &lt;= 39, 3, 4)))</f>
        <v>QTR2</v>
      </c>
      <c r="F5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23" s="4">
        <f>IF(WEEKNUM(EarningsPerDay[[#This Row],[Date]], 2) = 53, 1, WEEKNUM(EarningsPerDay[[#This Row],[Date]],2))</f>
        <v>23</v>
      </c>
      <c r="H523" s="40" t="str">
        <f t="shared" si="52"/>
        <v>Saturday</v>
      </c>
      <c r="I523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523" s="40" t="str" cm="1">
        <f t="array" ref="J523">IFERROR(VLOOKUP(MODE(IF(Combined[Date]=EarningsPerDay[[#This Row],[Date]],Combined[Area '#])),KPIs!$B$4:$C$7,2,FALSE),VLOOKUP(EarningsPerDay[[#This Row],[Date]],Combined[[Date]:[Primary Area]],8,FALSE))</f>
        <v>Brunswick/Bath/Freeport</v>
      </c>
      <c r="K523" s="40" t="str">
        <f>_xlfn.XLOOKUP(EarningsPerDay[[#This Row],[Date]],Mileage[Date],Mileage[Weather])</f>
        <v>Clear</v>
      </c>
      <c r="L523" s="4">
        <f>_xlfn.XLOOKUP(EarningsPerDay[[#This Row],[Date]],Mileage[Date],Mileage[Hi Temp])</f>
        <v>66</v>
      </c>
      <c r="M523" s="12">
        <f>_xlfn.XLOOKUP(EarningsPerDay[[#This Row],[Date]],Mileage[Date],Mileage[Total Time])</f>
        <v>7.35</v>
      </c>
      <c r="N523" s="4">
        <f>_xlfn.XLOOKUP(EarningsPerDay[[#This Row],[Date]],Mileage[Date],Mileage[Mileage])</f>
        <v>153</v>
      </c>
      <c r="O523" s="4">
        <f>SUMIF(Combined[Date],EarningsPerDay[[#This Row],[Date]],Combined[Trips])</f>
        <v>17</v>
      </c>
      <c r="P523">
        <f>COUNTIF(Combined[Date],EarningsPerDay[[#This Row],[Date]])</f>
        <v>4</v>
      </c>
      <c r="Q52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23" s="11">
        <f>SUMIF(Combined[Date],EarningsPerDay[[#This Row],[Date]],Combined[Earnings])</f>
        <v>136.09</v>
      </c>
      <c r="S523" s="11">
        <f ca="1">EarningsPerDay[[#This Row],[Gross Earnings]]-(EarningsPerDay[[#This Row],[Miles]]*CpM!$D$11)</f>
        <v>101.97511682787257</v>
      </c>
      <c r="T523" s="11">
        <f t="shared" si="49"/>
        <v>18.515646258503402</v>
      </c>
      <c r="U523" s="11">
        <f t="shared" ca="1" si="50"/>
        <v>13.874165554812596</v>
      </c>
      <c r="V523" s="11">
        <f>EarningsPerDay[[#This Row],[Gross Earnings]]/EarningsPerDay[[#This Row],[Deliveries]]</f>
        <v>8.0052941176470593</v>
      </c>
      <c r="W523" s="11">
        <f>EarningsPerDay[[#This Row],[Gross Earnings]]/EarningsPerDay[[#This Row],[Miles]]</f>
        <v>0.88947712418300651</v>
      </c>
      <c r="X523" s="71">
        <f>EarningsPerDay[[#This Row],[Deliveries]]/EarningsPerDay[[#This Row],[Hours]]</f>
        <v>2.3129251700680271</v>
      </c>
      <c r="Y523" s="71">
        <f>EarningsPerDay[[#This Row],[Miles]]/EarningsPerDay[[#This Row],[Deliveries]]</f>
        <v>9</v>
      </c>
      <c r="Z523" s="81">
        <f>(EarningsPerDay[[#This Row],[Hours]]/EarningsPerDay[[#This Row],[Deliveries]])/24</f>
        <v>1.801470588235294E-2</v>
      </c>
      <c r="AA5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-7.6924470502662601</v>
      </c>
      <c r="AB523" s="11">
        <f>AVERAGEIFS(EarningsPerDay[Gross $/Hour],EarningsPerDay[Week '#], EarningsPerDay[[#This Row],[Week '#]], EarningsPerDay[DOW], EarningsPerDay[[#This Row],[DOW]])</f>
        <v>20.809749427409155</v>
      </c>
      <c r="AC523" s="11">
        <f>EarningsPerDay[[#This Row],[Gross $/Hour]] - EarningsPerDay[[#This Row],[Weekly Average Earnings]]</f>
        <v>-2.2941031689057532</v>
      </c>
      <c r="AD523" s="11">
        <f>(SUMIFS(EarningsPerDay[Gross Earnings], EarningsPerDay[Date],"&gt;="&amp;EarningsPerDay[[#This Row],[Date]]-89, EarningsPerDay[Date], "&lt;="&amp;EarningsPerDay[[#This Row],[Date]]))/90</f>
        <v>70.438222222222223</v>
      </c>
    </row>
    <row r="524" spans="2:30" x14ac:dyDescent="0.35">
      <c r="B524" s="40">
        <v>45452</v>
      </c>
      <c r="C524" s="40">
        <f t="shared" si="51"/>
        <v>45452</v>
      </c>
      <c r="D524" s="4">
        <f>IF(EarningsPerDay[[#This Row],[Week '#]]&gt;=52,YEAR(EarningsPerDay[[#This Row],[Date]])-1,YEAR(EarningsPerDay[[#This Row],[Date]]))</f>
        <v>2024</v>
      </c>
      <c r="E524" s="4" t="str">
        <f>"QTR"&amp;IF(EarningsPerDay[[#This Row],[Week '#]] &lt;= 13, 1, IF(EarningsPerDay[[#This Row],[Week '#]] &lt;= 26, 2, IF(EarningsPerDay[[#This Row],[Week '#]] &lt;= 39, 3, 4)))</f>
        <v>QTR2</v>
      </c>
      <c r="F5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24" s="4">
        <f>IF(WEEKNUM(EarningsPerDay[[#This Row],[Date]], 2) = 53, 1, WEEKNUM(EarningsPerDay[[#This Row],[Date]],2))</f>
        <v>23</v>
      </c>
      <c r="H524" s="40" t="str">
        <f t="shared" si="52"/>
        <v>Sunday</v>
      </c>
      <c r="I524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524" s="40" t="str" cm="1">
        <f t="array" ref="J524">IFERROR(VLOOKUP(MODE(IF(Combined[Date]=EarningsPerDay[[#This Row],[Date]],Combined[Area '#])),KPIs!$B$4:$C$7,2,FALSE),VLOOKUP(EarningsPerDay[[#This Row],[Date]],Combined[[Date]:[Primary Area]],8,FALSE))</f>
        <v>Portland</v>
      </c>
      <c r="K524" s="40" t="str">
        <f>_xlfn.XLOOKUP(EarningsPerDay[[#This Row],[Date]],Mileage[Date],Mileage[Weather])</f>
        <v>Partially Cloudy</v>
      </c>
      <c r="L524" s="4">
        <f>_xlfn.XLOOKUP(EarningsPerDay[[#This Row],[Date]],Mileage[Date],Mileage[Hi Temp])</f>
        <v>61</v>
      </c>
      <c r="M524" s="12">
        <f>_xlfn.XLOOKUP(EarningsPerDay[[#This Row],[Date]],Mileage[Date],Mileage[Total Time])</f>
        <v>6.62</v>
      </c>
      <c r="N524" s="4">
        <f>_xlfn.XLOOKUP(EarningsPerDay[[#This Row],[Date]],Mileage[Date],Mileage[Mileage])</f>
        <v>155</v>
      </c>
      <c r="O524" s="4">
        <f>SUMIF(Combined[Date],EarningsPerDay[[#This Row],[Date]],Combined[Trips])</f>
        <v>13</v>
      </c>
      <c r="P524">
        <f>COUNTIF(Combined[Date],EarningsPerDay[[#This Row],[Date]])</f>
        <v>2</v>
      </c>
      <c r="Q5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4" s="11">
        <f>SUMIF(Combined[Date],EarningsPerDay[[#This Row],[Date]],Combined[Earnings])</f>
        <v>174.07</v>
      </c>
      <c r="S524" s="11">
        <f ca="1">EarningsPerDay[[#This Row],[Gross Earnings]]-(EarningsPerDay[[#This Row],[Miles]]*CpM!$D$11)</f>
        <v>139.509170642616</v>
      </c>
      <c r="T524" s="11">
        <f t="shared" si="49"/>
        <v>26.294561933534741</v>
      </c>
      <c r="U524" s="11">
        <f t="shared" ca="1" si="50"/>
        <v>21.073892846316618</v>
      </c>
      <c r="V524" s="11">
        <f>EarningsPerDay[[#This Row],[Gross Earnings]]/EarningsPerDay[[#This Row],[Deliveries]]</f>
        <v>13.389999999999999</v>
      </c>
      <c r="W524" s="11">
        <f>EarningsPerDay[[#This Row],[Gross Earnings]]/EarningsPerDay[[#This Row],[Miles]]</f>
        <v>1.123032258064516</v>
      </c>
      <c r="X524" s="71">
        <f>EarningsPerDay[[#This Row],[Deliveries]]/EarningsPerDay[[#This Row],[Hours]]</f>
        <v>1.9637462235649545</v>
      </c>
      <c r="Y524" s="71">
        <f>EarningsPerDay[[#This Row],[Miles]]/EarningsPerDay[[#This Row],[Deliveries]]</f>
        <v>11.923076923076923</v>
      </c>
      <c r="Z524" s="81">
        <f>(EarningsPerDay[[#This Row],[Hours]]/EarningsPerDay[[#This Row],[Deliveries]])/24</f>
        <v>2.1217948717948718E-2</v>
      </c>
      <c r="AA5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4.2948626154786673</v>
      </c>
      <c r="AB524" s="11">
        <f>AVERAGEIFS(EarningsPerDay[Gross $/Hour],EarningsPerDay[Week '#], EarningsPerDay[[#This Row],[Week '#]], EarningsPerDay[DOW], EarningsPerDay[[#This Row],[DOW]])</f>
        <v>26.294561933534741</v>
      </c>
      <c r="AC524" s="11">
        <f>EarningsPerDay[[#This Row],[Gross $/Hour]] - EarningsPerDay[[#This Row],[Weekly Average Earnings]]</f>
        <v>0</v>
      </c>
      <c r="AD524" s="11">
        <f>(SUMIFS(EarningsPerDay[Gross Earnings], EarningsPerDay[Date],"&gt;="&amp;EarningsPerDay[[#This Row],[Date]]-89, EarningsPerDay[Date], "&lt;="&amp;EarningsPerDay[[#This Row],[Date]]))/90</f>
        <v>71.298000000000002</v>
      </c>
    </row>
    <row r="525" spans="2:30" x14ac:dyDescent="0.35">
      <c r="B525" s="40">
        <v>45453</v>
      </c>
      <c r="C525" s="40">
        <f t="shared" si="51"/>
        <v>45453</v>
      </c>
      <c r="D525" s="4">
        <f>IF(EarningsPerDay[[#This Row],[Week '#]]&gt;=52,YEAR(EarningsPerDay[[#This Row],[Date]])-1,YEAR(EarningsPerDay[[#This Row],[Date]]))</f>
        <v>2024</v>
      </c>
      <c r="E525" s="4" t="str">
        <f>"QTR"&amp;IF(EarningsPerDay[[#This Row],[Week '#]] &lt;= 13, 1, IF(EarningsPerDay[[#This Row],[Week '#]] &lt;= 26, 2, IF(EarningsPerDay[[#This Row],[Week '#]] &lt;= 39, 3, 4)))</f>
        <v>QTR2</v>
      </c>
      <c r="F5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5" s="4">
        <f>IF(WEEKNUM(EarningsPerDay[[#This Row],[Date]], 2) = 53, 1, WEEKNUM(EarningsPerDay[[#This Row],[Date]],2))</f>
        <v>24</v>
      </c>
      <c r="H525" s="40" t="str">
        <f t="shared" si="52"/>
        <v>Monday</v>
      </c>
      <c r="I52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25" s="40" t="str" cm="1">
        <f t="array" ref="J525">IFERROR(VLOOKUP(MODE(IF(Combined[Date]=EarningsPerDay[[#This Row],[Date]],Combined[Area '#])),KPIs!$B$4:$C$7,2,FALSE),VLOOKUP(EarningsPerDay[[#This Row],[Date]],Combined[[Date]:[Primary Area]],8,FALSE))</f>
        <v>Portland</v>
      </c>
      <c r="K525" s="40" t="str">
        <f>_xlfn.XLOOKUP(EarningsPerDay[[#This Row],[Date]],Mileage[Date],Mileage[Weather])</f>
        <v>Clear</v>
      </c>
      <c r="L525" s="4">
        <f>_xlfn.XLOOKUP(EarningsPerDay[[#This Row],[Date]],Mileage[Date],Mileage[Hi Temp])</f>
        <v>68</v>
      </c>
      <c r="M525" s="12">
        <f>_xlfn.XLOOKUP(EarningsPerDay[[#This Row],[Date]],Mileage[Date],Mileage[Total Time])</f>
        <v>5.16</v>
      </c>
      <c r="N525" s="4">
        <f>_xlfn.XLOOKUP(EarningsPerDay[[#This Row],[Date]],Mileage[Date],Mileage[Mileage])</f>
        <v>111</v>
      </c>
      <c r="O525" s="4">
        <f>SUMIF(Combined[Date],EarningsPerDay[[#This Row],[Date]],Combined[Trips])</f>
        <v>8</v>
      </c>
      <c r="P525">
        <f>COUNTIF(Combined[Date],EarningsPerDay[[#This Row],[Date]])</f>
        <v>4</v>
      </c>
      <c r="Q5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5" s="11">
        <f>SUMIF(Combined[Date],EarningsPerDay[[#This Row],[Date]],Combined[Earnings])</f>
        <v>130.76999999999998</v>
      </c>
      <c r="S525" s="11">
        <f ca="1">EarningsPerDay[[#This Row],[Gross Earnings]]-(EarningsPerDay[[#This Row],[Miles]]*CpM!$D$11)</f>
        <v>106.01998671826047</v>
      </c>
      <c r="T525" s="11">
        <f t="shared" si="49"/>
        <v>25.34302325581395</v>
      </c>
      <c r="U525" s="11">
        <f t="shared" ca="1" si="50"/>
        <v>20.546509053926446</v>
      </c>
      <c r="V525" s="11">
        <f>EarningsPerDay[[#This Row],[Gross Earnings]]/EarningsPerDay[[#This Row],[Deliveries]]</f>
        <v>16.346249999999998</v>
      </c>
      <c r="W525" s="11">
        <f>EarningsPerDay[[#This Row],[Gross Earnings]]/EarningsPerDay[[#This Row],[Miles]]</f>
        <v>1.178108108108108</v>
      </c>
      <c r="X525" s="71">
        <f>EarningsPerDay[[#This Row],[Deliveries]]/EarningsPerDay[[#This Row],[Hours]]</f>
        <v>1.5503875968992247</v>
      </c>
      <c r="Y525" s="71">
        <f>EarningsPerDay[[#This Row],[Miles]]/EarningsPerDay[[#This Row],[Deliveries]]</f>
        <v>13.875</v>
      </c>
      <c r="Z525" s="81">
        <f>(EarningsPerDay[[#This Row],[Hours]]/EarningsPerDay[[#This Row],[Deliveries]])/24</f>
        <v>2.6875E-2</v>
      </c>
      <c r="AA5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5.5938170956170765</v>
      </c>
      <c r="AB525" s="11">
        <f>AVERAGEIFS(EarningsPerDay[Gross $/Hour],EarningsPerDay[Week '#], EarningsPerDay[[#This Row],[Week '#]], EarningsPerDay[DOW], EarningsPerDay[[#This Row],[DOW]])</f>
        <v>18.7884790163058</v>
      </c>
      <c r="AC525" s="11">
        <f>EarningsPerDay[[#This Row],[Gross $/Hour]] - EarningsPerDay[[#This Row],[Weekly Average Earnings]]</f>
        <v>6.5545442395081501</v>
      </c>
      <c r="AD525" s="11">
        <f>(SUMIFS(EarningsPerDay[Gross Earnings], EarningsPerDay[Date],"&gt;="&amp;EarningsPerDay[[#This Row],[Date]]-89, EarningsPerDay[Date], "&lt;="&amp;EarningsPerDay[[#This Row],[Date]]))/90</f>
        <v>72.751000000000005</v>
      </c>
    </row>
    <row r="526" spans="2:30" x14ac:dyDescent="0.35">
      <c r="B526" s="40">
        <v>45454</v>
      </c>
      <c r="C526" s="40">
        <f t="shared" si="51"/>
        <v>45454</v>
      </c>
      <c r="D526" s="4">
        <f>IF(EarningsPerDay[[#This Row],[Week '#]]&gt;=52,YEAR(EarningsPerDay[[#This Row],[Date]])-1,YEAR(EarningsPerDay[[#This Row],[Date]]))</f>
        <v>2024</v>
      </c>
      <c r="E526" s="4" t="str">
        <f>"QTR"&amp;IF(EarningsPerDay[[#This Row],[Week '#]] &lt;= 13, 1, IF(EarningsPerDay[[#This Row],[Week '#]] &lt;= 26, 2, IF(EarningsPerDay[[#This Row],[Week '#]] &lt;= 39, 3, 4)))</f>
        <v>QTR2</v>
      </c>
      <c r="F5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6" s="4">
        <f>IF(WEEKNUM(EarningsPerDay[[#This Row],[Date]], 2) = 53, 1, WEEKNUM(EarningsPerDay[[#This Row],[Date]],2))</f>
        <v>24</v>
      </c>
      <c r="H526" s="40" t="str">
        <f t="shared" si="52"/>
        <v>Tuesday</v>
      </c>
      <c r="I52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26" s="40" t="str" cm="1">
        <f t="array" ref="J526">IFERROR(VLOOKUP(MODE(IF(Combined[Date]=EarningsPerDay[[#This Row],[Date]],Combined[Area '#])),KPIs!$B$4:$C$7,2,FALSE),VLOOKUP(EarningsPerDay[[#This Row],[Date]],Combined[[Date]:[Primary Area]],8,FALSE))</f>
        <v>Brunswick/Bath/Freeport</v>
      </c>
      <c r="K526" s="40" t="str">
        <f>_xlfn.XLOOKUP(EarningsPerDay[[#This Row],[Date]],Mileage[Date],Mileage[Weather])</f>
        <v>Overcast</v>
      </c>
      <c r="L526" s="4">
        <f>_xlfn.XLOOKUP(EarningsPerDay[[#This Row],[Date]],Mileage[Date],Mileage[Hi Temp])</f>
        <v>70</v>
      </c>
      <c r="M526" s="12">
        <f>_xlfn.XLOOKUP(EarningsPerDay[[#This Row],[Date]],Mileage[Date],Mileage[Total Time])</f>
        <v>5.12</v>
      </c>
      <c r="N526" s="4">
        <f>_xlfn.XLOOKUP(EarningsPerDay[[#This Row],[Date]],Mileage[Date],Mileage[Mileage])</f>
        <v>124</v>
      </c>
      <c r="O526" s="4">
        <f>SUMIF(Combined[Date],EarningsPerDay[[#This Row],[Date]],Combined[Trips])</f>
        <v>9</v>
      </c>
      <c r="P526">
        <f>COUNTIF(Combined[Date],EarningsPerDay[[#This Row],[Date]])</f>
        <v>3</v>
      </c>
      <c r="Q5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6" s="11">
        <f>SUMIF(Combined[Date],EarningsPerDay[[#This Row],[Date]],Combined[Earnings])</f>
        <v>100.4</v>
      </c>
      <c r="S526" s="11">
        <f ca="1">EarningsPerDay[[#This Row],[Gross Earnings]]-(EarningsPerDay[[#This Row],[Miles]]*CpM!$D$11)</f>
        <v>72.751336514092813</v>
      </c>
      <c r="T526" s="11">
        <f t="shared" si="49"/>
        <v>19.609375</v>
      </c>
      <c r="U526" s="11">
        <f t="shared" ca="1" si="50"/>
        <v>14.209245412908752</v>
      </c>
      <c r="V526" s="11">
        <f>EarningsPerDay[[#This Row],[Gross Earnings]]/EarningsPerDay[[#This Row],[Deliveries]]</f>
        <v>11.155555555555557</v>
      </c>
      <c r="W526" s="11">
        <f>EarningsPerDay[[#This Row],[Gross Earnings]]/EarningsPerDay[[#This Row],[Miles]]</f>
        <v>0.80967741935483872</v>
      </c>
      <c r="X526" s="71">
        <f>EarningsPerDay[[#This Row],[Deliveries]]/EarningsPerDay[[#This Row],[Hours]]</f>
        <v>1.7578125</v>
      </c>
      <c r="Y526" s="71">
        <f>EarningsPerDay[[#This Row],[Miles]]/EarningsPerDay[[#This Row],[Deliveries]]</f>
        <v>13.777777777777779</v>
      </c>
      <c r="Z526" s="81">
        <f>(EarningsPerDay[[#This Row],[Hours]]/EarningsPerDay[[#This Row],[Deliveries]])/24</f>
        <v>2.3703703703703703E-2</v>
      </c>
      <c r="AA5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-1.7399831942011126</v>
      </c>
      <c r="AB526" s="11">
        <f>AVERAGEIFS(EarningsPerDay[Gross $/Hour],EarningsPerDay[Week '#], EarningsPerDay[[#This Row],[Week '#]], EarningsPerDay[DOW], EarningsPerDay[[#This Row],[DOW]])</f>
        <v>22.483161614441418</v>
      </c>
      <c r="AC526" s="11">
        <f>EarningsPerDay[[#This Row],[Gross $/Hour]] - EarningsPerDay[[#This Row],[Weekly Average Earnings]]</f>
        <v>-2.8737866144414177</v>
      </c>
      <c r="AD526" s="11">
        <f>(SUMIFS(EarningsPerDay[Gross Earnings], EarningsPerDay[Date],"&gt;="&amp;EarningsPerDay[[#This Row],[Date]]-89, EarningsPerDay[Date], "&lt;="&amp;EarningsPerDay[[#This Row],[Date]]))/90</f>
        <v>72.594111111111104</v>
      </c>
    </row>
    <row r="527" spans="2:30" x14ac:dyDescent="0.35">
      <c r="B527" s="40">
        <v>45455</v>
      </c>
      <c r="C527" s="40">
        <f t="shared" si="51"/>
        <v>45455</v>
      </c>
      <c r="D527" s="4">
        <f>IF(EarningsPerDay[[#This Row],[Week '#]]&gt;=52,YEAR(EarningsPerDay[[#This Row],[Date]])-1,YEAR(EarningsPerDay[[#This Row],[Date]]))</f>
        <v>2024</v>
      </c>
      <c r="E527" s="4" t="str">
        <f>"QTR"&amp;IF(EarningsPerDay[[#This Row],[Week '#]] &lt;= 13, 1, IF(EarningsPerDay[[#This Row],[Week '#]] &lt;= 26, 2, IF(EarningsPerDay[[#This Row],[Week '#]] &lt;= 39, 3, 4)))</f>
        <v>QTR2</v>
      </c>
      <c r="F5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7" s="4">
        <f>IF(WEEKNUM(EarningsPerDay[[#This Row],[Date]], 2) = 53, 1, WEEKNUM(EarningsPerDay[[#This Row],[Date]],2))</f>
        <v>24</v>
      </c>
      <c r="H527" s="40" t="str">
        <f t="shared" si="52"/>
        <v>Wednesday</v>
      </c>
      <c r="I52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27" s="40" t="str" cm="1">
        <f t="array" ref="J527">IFERROR(VLOOKUP(MODE(IF(Combined[Date]=EarningsPerDay[[#This Row],[Date]],Combined[Area '#])),KPIs!$B$4:$C$7,2,FALSE),VLOOKUP(EarningsPerDay[[#This Row],[Date]],Combined[[Date]:[Primary Area]],8,FALSE))</f>
        <v>Brunswick/Bath/Freeport</v>
      </c>
      <c r="K527" s="40" t="str">
        <f>_xlfn.XLOOKUP(EarningsPerDay[[#This Row],[Date]],Mileage[Date],Mileage[Weather])</f>
        <v>Overcast</v>
      </c>
      <c r="L527" s="4">
        <f>_xlfn.XLOOKUP(EarningsPerDay[[#This Row],[Date]],Mileage[Date],Mileage[Hi Temp])</f>
        <v>64</v>
      </c>
      <c r="M527" s="12">
        <f>_xlfn.XLOOKUP(EarningsPerDay[[#This Row],[Date]],Mileage[Date],Mileage[Total Time])</f>
        <v>5.72</v>
      </c>
      <c r="N527" s="4">
        <f>_xlfn.XLOOKUP(EarningsPerDay[[#This Row],[Date]],Mileage[Date],Mileage[Mileage])</f>
        <v>104</v>
      </c>
      <c r="O527" s="4">
        <f>SUMIF(Combined[Date],EarningsPerDay[[#This Row],[Date]],Combined[Trips])</f>
        <v>12</v>
      </c>
      <c r="P527">
        <f>COUNTIF(Combined[Date],EarningsPerDay[[#This Row],[Date]])</f>
        <v>1</v>
      </c>
      <c r="Q5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7" s="11">
        <f>SUMIF(Combined[Date],EarningsPerDay[[#This Row],[Date]],Combined[Earnings])</f>
        <v>104.98</v>
      </c>
      <c r="S527" s="11">
        <f ca="1">EarningsPerDay[[#This Row],[Gross Earnings]]-(EarningsPerDay[[#This Row],[Miles]]*CpM!$D$11)</f>
        <v>81.790798366658493</v>
      </c>
      <c r="T527" s="11">
        <f t="shared" si="49"/>
        <v>18.353146853146853</v>
      </c>
      <c r="U527" s="11">
        <f t="shared" ca="1" si="50"/>
        <v>14.299090623541694</v>
      </c>
      <c r="V527" s="11">
        <f>EarningsPerDay[[#This Row],[Gross Earnings]]/EarningsPerDay[[#This Row],[Deliveries]]</f>
        <v>8.7483333333333331</v>
      </c>
      <c r="W527" s="11">
        <f>EarningsPerDay[[#This Row],[Gross Earnings]]/EarningsPerDay[[#This Row],[Miles]]</f>
        <v>1.009423076923077</v>
      </c>
      <c r="X527" s="71">
        <f>EarningsPerDay[[#This Row],[Deliveries]]/EarningsPerDay[[#This Row],[Hours]]</f>
        <v>2.0979020979020979</v>
      </c>
      <c r="Y527" s="71">
        <f>EarningsPerDay[[#This Row],[Miles]]/EarningsPerDay[[#This Row],[Deliveries]]</f>
        <v>8.6666666666666661</v>
      </c>
      <c r="Z527" s="81">
        <f>(EarningsPerDay[[#This Row],[Hours]]/EarningsPerDay[[#This Row],[Deliveries]])/24</f>
        <v>1.9861111111111111E-2</v>
      </c>
      <c r="AA5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-5.1299284309192608</v>
      </c>
      <c r="AB527" s="11">
        <f>AVERAGEIFS(EarningsPerDay[Gross $/Hour],EarningsPerDay[Week '#], EarningsPerDay[[#This Row],[Week '#]], EarningsPerDay[DOW], EarningsPerDay[[#This Row],[DOW]])</f>
        <v>18.353146853146853</v>
      </c>
      <c r="AC527" s="11">
        <f>EarningsPerDay[[#This Row],[Gross $/Hour]] - EarningsPerDay[[#This Row],[Weekly Average Earnings]]</f>
        <v>0</v>
      </c>
      <c r="AD527" s="11">
        <f>(SUMIFS(EarningsPerDay[Gross Earnings], EarningsPerDay[Date],"&gt;="&amp;EarningsPerDay[[#This Row],[Date]]-89, EarningsPerDay[Date], "&lt;="&amp;EarningsPerDay[[#This Row],[Date]]))/90</f>
        <v>72.916111111111093</v>
      </c>
    </row>
    <row r="528" spans="2:30" x14ac:dyDescent="0.35">
      <c r="B528" s="40">
        <v>45456</v>
      </c>
      <c r="C528" s="40">
        <f t="shared" si="51"/>
        <v>45456</v>
      </c>
      <c r="D528" s="4">
        <f>IF(EarningsPerDay[[#This Row],[Week '#]]&gt;=52,YEAR(EarningsPerDay[[#This Row],[Date]])-1,YEAR(EarningsPerDay[[#This Row],[Date]]))</f>
        <v>2024</v>
      </c>
      <c r="E528" s="4" t="str">
        <f>"QTR"&amp;IF(EarningsPerDay[[#This Row],[Week '#]] &lt;= 13, 1, IF(EarningsPerDay[[#This Row],[Week '#]] &lt;= 26, 2, IF(EarningsPerDay[[#This Row],[Week '#]] &lt;= 39, 3, 4)))</f>
        <v>QTR2</v>
      </c>
      <c r="F5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8" s="4">
        <f>IF(WEEKNUM(EarningsPerDay[[#This Row],[Date]], 2) = 53, 1, WEEKNUM(EarningsPerDay[[#This Row],[Date]],2))</f>
        <v>24</v>
      </c>
      <c r="H528" s="40" t="str">
        <f t="shared" si="52"/>
        <v>Thursday</v>
      </c>
      <c r="I52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28" s="40" t="str" cm="1">
        <f t="array" ref="J528">IFERROR(VLOOKUP(MODE(IF(Combined[Date]=EarningsPerDay[[#This Row],[Date]],Combined[Area '#])),KPIs!$B$4:$C$7,2,FALSE),VLOOKUP(EarningsPerDay[[#This Row],[Date]],Combined[[Date]:[Primary Area]],8,FALSE))</f>
        <v>Brunswick/Bath/Freeport</v>
      </c>
      <c r="K528" s="40" t="str">
        <f>_xlfn.XLOOKUP(EarningsPerDay[[#This Row],[Date]],Mileage[Date],Mileage[Weather])</f>
        <v>Clear</v>
      </c>
      <c r="L528" s="4">
        <f>_xlfn.XLOOKUP(EarningsPerDay[[#This Row],[Date]],Mileage[Date],Mileage[Hi Temp])</f>
        <v>73</v>
      </c>
      <c r="M528" s="12">
        <f>_xlfn.XLOOKUP(EarningsPerDay[[#This Row],[Date]],Mileage[Date],Mileage[Total Time])</f>
        <v>5.8</v>
      </c>
      <c r="N528" s="4">
        <f>_xlfn.XLOOKUP(EarningsPerDay[[#This Row],[Date]],Mileage[Date],Mileage[Mileage])</f>
        <v>123</v>
      </c>
      <c r="O528" s="4">
        <f>SUMIF(Combined[Date],EarningsPerDay[[#This Row],[Date]],Combined[Trips])</f>
        <v>14</v>
      </c>
      <c r="P528">
        <f>COUNTIF(Combined[Date],EarningsPerDay[[#This Row],[Date]])</f>
        <v>3</v>
      </c>
      <c r="Q5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8" s="11">
        <f>SUMIF(Combined[Date],EarningsPerDay[[#This Row],[Date]],Combined[Earnings])</f>
        <v>134</v>
      </c>
      <c r="S528" s="11">
        <f ca="1">EarningsPerDay[[#This Row],[Gross Earnings]]-(EarningsPerDay[[#This Row],[Miles]]*CpM!$D$11)</f>
        <v>106.57430960672109</v>
      </c>
      <c r="T528" s="11">
        <f t="shared" si="49"/>
        <v>23.103448275862071</v>
      </c>
      <c r="U528" s="11">
        <f t="shared" ca="1" si="50"/>
        <v>18.374880966676049</v>
      </c>
      <c r="V528" s="11">
        <f>EarningsPerDay[[#This Row],[Gross Earnings]]/EarningsPerDay[[#This Row],[Deliveries]]</f>
        <v>9.5714285714285712</v>
      </c>
      <c r="W528" s="11">
        <f>EarningsPerDay[[#This Row],[Gross Earnings]]/EarningsPerDay[[#This Row],[Miles]]</f>
        <v>1.089430894308943</v>
      </c>
      <c r="X528" s="71">
        <f>EarningsPerDay[[#This Row],[Deliveries]]/EarningsPerDay[[#This Row],[Hours]]</f>
        <v>2.4137931034482758</v>
      </c>
      <c r="Y528" s="71">
        <f>EarningsPerDay[[#This Row],[Miles]]/EarningsPerDay[[#This Row],[Deliveries]]</f>
        <v>8.7857142857142865</v>
      </c>
      <c r="Z528" s="81">
        <f>(EarningsPerDay[[#This Row],[Hours]]/EarningsPerDay[[#This Row],[Deliveries]])/24</f>
        <v>1.726190476190476E-2</v>
      </c>
      <c r="AA5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-0.40335655470993359</v>
      </c>
      <c r="AB528" s="11">
        <f>AVERAGEIFS(EarningsPerDay[Gross $/Hour],EarningsPerDay[Week '#], EarningsPerDay[[#This Row],[Week '#]], EarningsPerDay[DOW], EarningsPerDay[[#This Row],[DOW]])</f>
        <v>20.552091321007818</v>
      </c>
      <c r="AC528" s="11">
        <f>EarningsPerDay[[#This Row],[Gross $/Hour]] - EarningsPerDay[[#This Row],[Weekly Average Earnings]]</f>
        <v>2.5513569548542527</v>
      </c>
      <c r="AD528" s="11">
        <f>(SUMIFS(EarningsPerDay[Gross Earnings], EarningsPerDay[Date],"&gt;="&amp;EarningsPerDay[[#This Row],[Date]]-89, EarningsPerDay[Date], "&lt;="&amp;EarningsPerDay[[#This Row],[Date]]))/90</f>
        <v>73.393333333333331</v>
      </c>
    </row>
    <row r="529" spans="2:30" x14ac:dyDescent="0.35">
      <c r="B529" s="40">
        <v>45457</v>
      </c>
      <c r="C529" s="40">
        <f t="shared" si="51"/>
        <v>45457</v>
      </c>
      <c r="D529" s="4">
        <f>IF(EarningsPerDay[[#This Row],[Week '#]]&gt;=52,YEAR(EarningsPerDay[[#This Row],[Date]])-1,YEAR(EarningsPerDay[[#This Row],[Date]]))</f>
        <v>2024</v>
      </c>
      <c r="E529" s="4" t="str">
        <f>"QTR"&amp;IF(EarningsPerDay[[#This Row],[Week '#]] &lt;= 13, 1, IF(EarningsPerDay[[#This Row],[Week '#]] &lt;= 26, 2, IF(EarningsPerDay[[#This Row],[Week '#]] &lt;= 39, 3, 4)))</f>
        <v>QTR2</v>
      </c>
      <c r="F5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29" s="4">
        <f>IF(WEEKNUM(EarningsPerDay[[#This Row],[Date]], 2) = 53, 1, WEEKNUM(EarningsPerDay[[#This Row],[Date]],2))</f>
        <v>24</v>
      </c>
      <c r="H529" s="40" t="str">
        <f t="shared" si="52"/>
        <v>Friday</v>
      </c>
      <c r="I52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29" s="40" t="str" cm="1">
        <f t="array" ref="J529">IFERROR(VLOOKUP(MODE(IF(Combined[Date]=EarningsPerDay[[#This Row],[Date]],Combined[Area '#])),KPIs!$B$4:$C$7,2,FALSE),VLOOKUP(EarningsPerDay[[#This Row],[Date]],Combined[[Date]:[Primary Area]],8,FALSE))</f>
        <v>Brunswick/Bath/Freeport</v>
      </c>
      <c r="K529" s="40" t="str">
        <f>_xlfn.XLOOKUP(EarningsPerDay[[#This Row],[Date]],Mileage[Date],Mileage[Weather])</f>
        <v>Stormy</v>
      </c>
      <c r="L529" s="4">
        <f>_xlfn.XLOOKUP(EarningsPerDay[[#This Row],[Date]],Mileage[Date],Mileage[Hi Temp])</f>
        <v>79</v>
      </c>
      <c r="M529" s="12">
        <f>_xlfn.XLOOKUP(EarningsPerDay[[#This Row],[Date]],Mileage[Date],Mileage[Total Time])</f>
        <v>7.62</v>
      </c>
      <c r="N529" s="4">
        <f>_xlfn.XLOOKUP(EarningsPerDay[[#This Row],[Date]],Mileage[Date],Mileage[Mileage])</f>
        <v>185</v>
      </c>
      <c r="O529" s="4">
        <f>SUMIF(Combined[Date],EarningsPerDay[[#This Row],[Date]],Combined[Trips])</f>
        <v>17</v>
      </c>
      <c r="P529">
        <f>COUNTIF(Combined[Date],EarningsPerDay[[#This Row],[Date]])</f>
        <v>4</v>
      </c>
      <c r="Q5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29" s="11">
        <f>SUMIF(Combined[Date],EarningsPerDay[[#This Row],[Date]],Combined[Earnings])</f>
        <v>206.79</v>
      </c>
      <c r="S529" s="11">
        <f ca="1">EarningsPerDay[[#This Row],[Gross Earnings]]-(EarningsPerDay[[#This Row],[Miles]]*CpM!$D$11)</f>
        <v>165.53997786376749</v>
      </c>
      <c r="T529" s="11">
        <f t="shared" si="49"/>
        <v>27.137795275590548</v>
      </c>
      <c r="U529" s="11">
        <f t="shared" ca="1" si="50"/>
        <v>21.724406543801507</v>
      </c>
      <c r="V529" s="11">
        <f>EarningsPerDay[[#This Row],[Gross Earnings]]/EarningsPerDay[[#This Row],[Deliveries]]</f>
        <v>12.164117647058823</v>
      </c>
      <c r="W529" s="11">
        <f>EarningsPerDay[[#This Row],[Gross Earnings]]/EarningsPerDay[[#This Row],[Miles]]</f>
        <v>1.1177837837837838</v>
      </c>
      <c r="X529" s="71">
        <f>EarningsPerDay[[#This Row],[Deliveries]]/EarningsPerDay[[#This Row],[Hours]]</f>
        <v>2.2309711286089238</v>
      </c>
      <c r="Y529" s="71">
        <f>EarningsPerDay[[#This Row],[Miles]]/EarningsPerDay[[#This Row],[Deliveries]]</f>
        <v>10.882352941176471</v>
      </c>
      <c r="Z529" s="81">
        <f>(EarningsPerDay[[#This Row],[Hours]]/EarningsPerDay[[#This Row],[Deliveries]])/24</f>
        <v>1.8676470588235294E-2</v>
      </c>
      <c r="AA5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2.6197568675045844</v>
      </c>
      <c r="AB529" s="11">
        <f>AVERAGEIFS(EarningsPerDay[Gross $/Hour],EarningsPerDay[Week '#], EarningsPerDay[[#This Row],[Week '#]], EarningsPerDay[DOW], EarningsPerDay[[#This Row],[DOW]])</f>
        <v>23.104506448136657</v>
      </c>
      <c r="AC529" s="11">
        <f>EarningsPerDay[[#This Row],[Gross $/Hour]] - EarningsPerDay[[#This Row],[Weekly Average Earnings]]</f>
        <v>4.0332888274538909</v>
      </c>
      <c r="AD529" s="11">
        <f>(SUMIFS(EarningsPerDay[Gross Earnings], EarningsPerDay[Date],"&gt;="&amp;EarningsPerDay[[#This Row],[Date]]-89, EarningsPerDay[Date], "&lt;="&amp;EarningsPerDay[[#This Row],[Date]]))/90</f>
        <v>74.756</v>
      </c>
    </row>
    <row r="530" spans="2:30" x14ac:dyDescent="0.35">
      <c r="B530" s="40">
        <v>45458</v>
      </c>
      <c r="C530" s="40">
        <f t="shared" si="51"/>
        <v>45458</v>
      </c>
      <c r="D530" s="4">
        <f>IF(EarningsPerDay[[#This Row],[Week '#]]&gt;=52,YEAR(EarningsPerDay[[#This Row],[Date]])-1,YEAR(EarningsPerDay[[#This Row],[Date]]))</f>
        <v>2024</v>
      </c>
      <c r="E530" s="4" t="str">
        <f>"QTR"&amp;IF(EarningsPerDay[[#This Row],[Week '#]] &lt;= 13, 1, IF(EarningsPerDay[[#This Row],[Week '#]] &lt;= 26, 2, IF(EarningsPerDay[[#This Row],[Week '#]] &lt;= 39, 3, 4)))</f>
        <v>QTR2</v>
      </c>
      <c r="F5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30" s="4">
        <f>IF(WEEKNUM(EarningsPerDay[[#This Row],[Date]], 2) = 53, 1, WEEKNUM(EarningsPerDay[[#This Row],[Date]],2))</f>
        <v>24</v>
      </c>
      <c r="H530" s="40" t="str">
        <f t="shared" si="52"/>
        <v>Saturday</v>
      </c>
      <c r="I530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530" s="40" t="str" cm="1">
        <f t="array" ref="J530">IFERROR(VLOOKUP(MODE(IF(Combined[Date]=EarningsPerDay[[#This Row],[Date]],Combined[Area '#])),KPIs!$B$4:$C$7,2,FALSE),VLOOKUP(EarningsPerDay[[#This Row],[Date]],Combined[[Date]:[Primary Area]],8,FALSE))</f>
        <v>Brunswick/Bath/Freeport</v>
      </c>
      <c r="K530" s="40" t="str">
        <f>_xlfn.XLOOKUP(EarningsPerDay[[#This Row],[Date]],Mileage[Date],Mileage[Weather])</f>
        <v>Clear</v>
      </c>
      <c r="L530" s="4">
        <f>_xlfn.XLOOKUP(EarningsPerDay[[#This Row],[Date]],Mileage[Date],Mileage[Hi Temp])</f>
        <v>66</v>
      </c>
      <c r="M530" s="12">
        <f>_xlfn.XLOOKUP(EarningsPerDay[[#This Row],[Date]],Mileage[Date],Mileage[Total Time])</f>
        <v>5.93</v>
      </c>
      <c r="N530" s="4">
        <f>_xlfn.XLOOKUP(EarningsPerDay[[#This Row],[Date]],Mileage[Date],Mileage[Mileage])</f>
        <v>174</v>
      </c>
      <c r="O530" s="4">
        <f>SUMIF(Combined[Date],EarningsPerDay[[#This Row],[Date]],Combined[Trips])</f>
        <v>11</v>
      </c>
      <c r="P530">
        <f>COUNTIF(Combined[Date],EarningsPerDay[[#This Row],[Date]])</f>
        <v>3</v>
      </c>
      <c r="Q53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30" s="11">
        <f>SUMIF(Combined[Date],EarningsPerDay[[#This Row],[Date]],Combined[Earnings])</f>
        <v>142.88</v>
      </c>
      <c r="S530" s="11">
        <f ca="1">EarningsPerDay[[#This Row],[Gross Earnings]]-(EarningsPerDay[[#This Row],[Miles]]*CpM!$D$11)</f>
        <v>104.0826818826786</v>
      </c>
      <c r="T530" s="11">
        <f t="shared" si="49"/>
        <v>24.094435075885329</v>
      </c>
      <c r="U530" s="11">
        <f t="shared" ca="1" si="50"/>
        <v>17.551885646320169</v>
      </c>
      <c r="V530" s="11">
        <f>EarningsPerDay[[#This Row],[Gross Earnings]]/EarningsPerDay[[#This Row],[Deliveries]]</f>
        <v>12.989090909090908</v>
      </c>
      <c r="W530" s="11">
        <f>EarningsPerDay[[#This Row],[Gross Earnings]]/EarningsPerDay[[#This Row],[Miles]]</f>
        <v>0.82114942528735635</v>
      </c>
      <c r="X530" s="71">
        <f>EarningsPerDay[[#This Row],[Deliveries]]/EarningsPerDay[[#This Row],[Hours]]</f>
        <v>1.854974704890388</v>
      </c>
      <c r="Y530" s="71">
        <f>EarningsPerDay[[#This Row],[Miles]]/EarningsPerDay[[#This Row],[Deliveries]]</f>
        <v>15.818181818181818</v>
      </c>
      <c r="Z530" s="81">
        <f>(EarningsPerDay[[#This Row],[Hours]]/EarningsPerDay[[#This Row],[Deliveries]])/24</f>
        <v>2.2462121212121211E-2</v>
      </c>
      <c r="AA5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-1.5641977292938876</v>
      </c>
      <c r="AB530" s="11">
        <f>AVERAGEIFS(EarningsPerDay[Gross $/Hour],EarningsPerDay[Week '#], EarningsPerDay[[#This Row],[Week '#]], EarningsPerDay[DOW], EarningsPerDay[[#This Row],[DOW]])</f>
        <v>22.337827564977648</v>
      </c>
      <c r="AC530" s="11">
        <f>EarningsPerDay[[#This Row],[Gross $/Hour]] - EarningsPerDay[[#This Row],[Weekly Average Earnings]]</f>
        <v>1.7566075109076813</v>
      </c>
      <c r="AD530" s="11">
        <f>(SUMIFS(EarningsPerDay[Gross Earnings], EarningsPerDay[Date],"&gt;="&amp;EarningsPerDay[[#This Row],[Date]]-89, EarningsPerDay[Date], "&lt;="&amp;EarningsPerDay[[#This Row],[Date]]))/90</f>
        <v>76.343555555555554</v>
      </c>
    </row>
    <row r="531" spans="2:30" x14ac:dyDescent="0.35">
      <c r="B531" s="40">
        <v>45460</v>
      </c>
      <c r="C531" s="40">
        <f t="shared" si="51"/>
        <v>45460</v>
      </c>
      <c r="D531" s="4">
        <f>IF(EarningsPerDay[[#This Row],[Week '#]]&gt;=52,YEAR(EarningsPerDay[[#This Row],[Date]])-1,YEAR(EarningsPerDay[[#This Row],[Date]]))</f>
        <v>2024</v>
      </c>
      <c r="E531" s="4" t="str">
        <f>"QTR"&amp;IF(EarningsPerDay[[#This Row],[Week '#]] &lt;= 13, 1, IF(EarningsPerDay[[#This Row],[Week '#]] &lt;= 26, 2, IF(EarningsPerDay[[#This Row],[Week '#]] &lt;= 39, 3, 4)))</f>
        <v>QTR2</v>
      </c>
      <c r="F5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1" s="4">
        <f>IF(WEEKNUM(EarningsPerDay[[#This Row],[Date]], 2) = 53, 1, WEEKNUM(EarningsPerDay[[#This Row],[Date]],2))</f>
        <v>25</v>
      </c>
      <c r="H531" s="40" t="str">
        <f t="shared" si="52"/>
        <v>Monday</v>
      </c>
      <c r="I53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31" s="40" t="str" cm="1">
        <f t="array" ref="J531">IFERROR(VLOOKUP(MODE(IF(Combined[Date]=EarningsPerDay[[#This Row],[Date]],Combined[Area '#])),KPIs!$B$4:$C$7,2,FALSE),VLOOKUP(EarningsPerDay[[#This Row],[Date]],Combined[[Date]:[Primary Area]],8,FALSE))</f>
        <v>Portland</v>
      </c>
      <c r="K531" s="40" t="str">
        <f>_xlfn.XLOOKUP(EarningsPerDay[[#This Row],[Date]],Mileage[Date],Mileage[Weather])</f>
        <v>Partially Cloudy</v>
      </c>
      <c r="L531" s="4">
        <f>_xlfn.XLOOKUP(EarningsPerDay[[#This Row],[Date]],Mileage[Date],Mileage[Hi Temp])</f>
        <v>66</v>
      </c>
      <c r="M531" s="12">
        <f>_xlfn.XLOOKUP(EarningsPerDay[[#This Row],[Date]],Mileage[Date],Mileage[Total Time])</f>
        <v>5.38</v>
      </c>
      <c r="N531" s="4">
        <f>_xlfn.XLOOKUP(EarningsPerDay[[#This Row],[Date]],Mileage[Date],Mileage[Mileage])</f>
        <v>104</v>
      </c>
      <c r="O531" s="4">
        <f>SUMIF(Combined[Date],EarningsPerDay[[#This Row],[Date]],Combined[Trips])</f>
        <v>11</v>
      </c>
      <c r="P531">
        <f>COUNTIF(Combined[Date],EarningsPerDay[[#This Row],[Date]])</f>
        <v>2</v>
      </c>
      <c r="Q5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1" s="11">
        <f>SUMIF(Combined[Date],EarningsPerDay[[#This Row],[Date]],Combined[Earnings])</f>
        <v>117.83000000000001</v>
      </c>
      <c r="S531" s="11">
        <f ca="1">EarningsPerDay[[#This Row],[Gross Earnings]]-(EarningsPerDay[[#This Row],[Miles]]*CpM!$D$11)</f>
        <v>94.640798366658487</v>
      </c>
      <c r="T531" s="11">
        <f t="shared" si="49"/>
        <v>21.901486988847587</v>
      </c>
      <c r="U531" s="11">
        <f t="shared" ca="1" si="50"/>
        <v>17.59122646220418</v>
      </c>
      <c r="V531" s="11">
        <f>EarningsPerDay[[#This Row],[Gross Earnings]]/EarningsPerDay[[#This Row],[Deliveries]]</f>
        <v>10.711818181818183</v>
      </c>
      <c r="W531" s="11">
        <f>EarningsPerDay[[#This Row],[Gross Earnings]]/EarningsPerDay[[#This Row],[Miles]]</f>
        <v>1.1329807692307694</v>
      </c>
      <c r="X531" s="71">
        <f>EarningsPerDay[[#This Row],[Deliveries]]/EarningsPerDay[[#This Row],[Hours]]</f>
        <v>2.0446096654275094</v>
      </c>
      <c r="Y531" s="71">
        <f>EarningsPerDay[[#This Row],[Miles]]/EarningsPerDay[[#This Row],[Deliveries]]</f>
        <v>9.454545454545455</v>
      </c>
      <c r="Z531" s="81">
        <f>(EarningsPerDay[[#This Row],[Hours]]/EarningsPerDay[[#This Row],[Deliveries]])/24</f>
        <v>2.0378787878787878E-2</v>
      </c>
      <c r="AA5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0.28767513011168688</v>
      </c>
      <c r="AB531" s="11">
        <f>AVERAGEIFS(EarningsPerDay[Gross $/Hour],EarningsPerDay[Week '#], EarningsPerDay[[#This Row],[Week '#]], EarningsPerDay[DOW], EarningsPerDay[[#This Row],[DOW]])</f>
        <v>19.273030658110066</v>
      </c>
      <c r="AC531" s="11">
        <f>EarningsPerDay[[#This Row],[Gross $/Hour]] - EarningsPerDay[[#This Row],[Weekly Average Earnings]]</f>
        <v>2.6284563307375208</v>
      </c>
      <c r="AD531" s="11">
        <f>(SUMIFS(EarningsPerDay[Gross Earnings], EarningsPerDay[Date],"&gt;="&amp;EarningsPerDay[[#This Row],[Date]]-89, EarningsPerDay[Date], "&lt;="&amp;EarningsPerDay[[#This Row],[Date]]))/90</f>
        <v>76.381222222222235</v>
      </c>
    </row>
    <row r="532" spans="2:30" x14ac:dyDescent="0.35">
      <c r="B532" s="40">
        <v>45461</v>
      </c>
      <c r="C532" s="40">
        <f t="shared" si="51"/>
        <v>45461</v>
      </c>
      <c r="D532" s="4">
        <f>IF(EarningsPerDay[[#This Row],[Week '#]]&gt;=52,YEAR(EarningsPerDay[[#This Row],[Date]])-1,YEAR(EarningsPerDay[[#This Row],[Date]]))</f>
        <v>2024</v>
      </c>
      <c r="E532" s="4" t="str">
        <f>"QTR"&amp;IF(EarningsPerDay[[#This Row],[Week '#]] &lt;= 13, 1, IF(EarningsPerDay[[#This Row],[Week '#]] &lt;= 26, 2, IF(EarningsPerDay[[#This Row],[Week '#]] &lt;= 39, 3, 4)))</f>
        <v>QTR2</v>
      </c>
      <c r="F5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2" s="4">
        <f>IF(WEEKNUM(EarningsPerDay[[#This Row],[Date]], 2) = 53, 1, WEEKNUM(EarningsPerDay[[#This Row],[Date]],2))</f>
        <v>25</v>
      </c>
      <c r="H532" s="40" t="str">
        <f t="shared" si="52"/>
        <v>Tuesday</v>
      </c>
      <c r="I53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32" s="40" t="str" cm="1">
        <f t="array" ref="J532">IFERROR(VLOOKUP(MODE(IF(Combined[Date]=EarningsPerDay[[#This Row],[Date]],Combined[Area '#])),KPIs!$B$4:$C$7,2,FALSE),VLOOKUP(EarningsPerDay[[#This Row],[Date]],Combined[[Date]:[Primary Area]],8,FALSE))</f>
        <v>Brunswick/Bath/Freeport</v>
      </c>
      <c r="K532" s="40" t="str">
        <f>_xlfn.XLOOKUP(EarningsPerDay[[#This Row],[Date]],Mileage[Date],Mileage[Weather])</f>
        <v>Clear</v>
      </c>
      <c r="L532" s="4">
        <f>_xlfn.XLOOKUP(EarningsPerDay[[#This Row],[Date]],Mileage[Date],Mileage[Hi Temp])</f>
        <v>84</v>
      </c>
      <c r="M532" s="12">
        <f>_xlfn.XLOOKUP(EarningsPerDay[[#This Row],[Date]],Mileage[Date],Mileage[Total Time])</f>
        <v>5.28</v>
      </c>
      <c r="N532" s="4">
        <f>_xlfn.XLOOKUP(EarningsPerDay[[#This Row],[Date]],Mileage[Date],Mileage[Mileage])</f>
        <v>122</v>
      </c>
      <c r="O532" s="4">
        <f>SUMIF(Combined[Date],EarningsPerDay[[#This Row],[Date]],Combined[Trips])</f>
        <v>14</v>
      </c>
      <c r="P532">
        <f>COUNTIF(Combined[Date],EarningsPerDay[[#This Row],[Date]])</f>
        <v>3</v>
      </c>
      <c r="Q5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2" s="11">
        <f>SUMIF(Combined[Date],EarningsPerDay[[#This Row],[Date]],Combined[Earnings])</f>
        <v>116.97</v>
      </c>
      <c r="S532" s="11">
        <f ca="1">EarningsPerDay[[#This Row],[Gross Earnings]]-(EarningsPerDay[[#This Row],[Miles]]*CpM!$D$11)</f>
        <v>89.76728269934938</v>
      </c>
      <c r="T532" s="11">
        <f t="shared" si="49"/>
        <v>22.15340909090909</v>
      </c>
      <c r="U532" s="11">
        <f t="shared" ca="1" si="50"/>
        <v>17.001379299119201</v>
      </c>
      <c r="V532" s="11">
        <f>EarningsPerDay[[#This Row],[Gross Earnings]]/EarningsPerDay[[#This Row],[Deliveries]]</f>
        <v>8.3550000000000004</v>
      </c>
      <c r="W532" s="11">
        <f>EarningsPerDay[[#This Row],[Gross Earnings]]/EarningsPerDay[[#This Row],[Miles]]</f>
        <v>0.95877049180327867</v>
      </c>
      <c r="X532" s="71">
        <f>EarningsPerDay[[#This Row],[Deliveries]]/EarningsPerDay[[#This Row],[Hours]]</f>
        <v>2.6515151515151514</v>
      </c>
      <c r="Y532" s="71">
        <f>EarningsPerDay[[#This Row],[Miles]]/EarningsPerDay[[#This Row],[Deliveries]]</f>
        <v>8.7142857142857135</v>
      </c>
      <c r="Z532" s="81">
        <f>(EarningsPerDay[[#This Row],[Hours]]/EarningsPerDay[[#This Row],[Deliveries]])/24</f>
        <v>1.5714285714285715E-2</v>
      </c>
      <c r="AA5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0.94904949622473822</v>
      </c>
      <c r="AB532" s="11">
        <f>AVERAGEIFS(EarningsPerDay[Gross $/Hour],EarningsPerDay[Week '#], EarningsPerDay[[#This Row],[Week '#]], EarningsPerDay[DOW], EarningsPerDay[[#This Row],[DOW]])</f>
        <v>22.15340909090909</v>
      </c>
      <c r="AC532" s="11">
        <f>EarningsPerDay[[#This Row],[Gross $/Hour]] - EarningsPerDay[[#This Row],[Weekly Average Earnings]]</f>
        <v>0</v>
      </c>
      <c r="AD532" s="11">
        <f>(SUMIFS(EarningsPerDay[Gross Earnings], EarningsPerDay[Date],"&gt;="&amp;EarningsPerDay[[#This Row],[Date]]-89, EarningsPerDay[Date], "&lt;="&amp;EarningsPerDay[[#This Row],[Date]]))/90</f>
        <v>77.680888888888902</v>
      </c>
    </row>
    <row r="533" spans="2:30" x14ac:dyDescent="0.35">
      <c r="B533" s="40">
        <v>45462</v>
      </c>
      <c r="C533" s="40">
        <f t="shared" si="51"/>
        <v>45462</v>
      </c>
      <c r="D533" s="4">
        <f>IF(EarningsPerDay[[#This Row],[Week '#]]&gt;=52,YEAR(EarningsPerDay[[#This Row],[Date]])-1,YEAR(EarningsPerDay[[#This Row],[Date]]))</f>
        <v>2024</v>
      </c>
      <c r="E533" s="4" t="str">
        <f>"QTR"&amp;IF(EarningsPerDay[[#This Row],[Week '#]] &lt;= 13, 1, IF(EarningsPerDay[[#This Row],[Week '#]] &lt;= 26, 2, IF(EarningsPerDay[[#This Row],[Week '#]] &lt;= 39, 3, 4)))</f>
        <v>QTR2</v>
      </c>
      <c r="F5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3" s="4">
        <f>IF(WEEKNUM(EarningsPerDay[[#This Row],[Date]], 2) = 53, 1, WEEKNUM(EarningsPerDay[[#This Row],[Date]],2))</f>
        <v>25</v>
      </c>
      <c r="H533" s="40" t="str">
        <f t="shared" si="52"/>
        <v>Wednesday</v>
      </c>
      <c r="I53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33" s="40" t="str" cm="1">
        <f t="array" ref="J533">IFERROR(VLOOKUP(MODE(IF(Combined[Date]=EarningsPerDay[[#This Row],[Date]],Combined[Area '#])),KPIs!$B$4:$C$7,2,FALSE),VLOOKUP(EarningsPerDay[[#This Row],[Date]],Combined[[Date]:[Primary Area]],8,FALSE))</f>
        <v>Brunswick/Bath/Freeport</v>
      </c>
      <c r="K533" s="40" t="str">
        <f>_xlfn.XLOOKUP(EarningsPerDay[[#This Row],[Date]],Mileage[Date],Mileage[Weather])</f>
        <v>Clear</v>
      </c>
      <c r="L533" s="4">
        <f>_xlfn.XLOOKUP(EarningsPerDay[[#This Row],[Date]],Mileage[Date],Mileage[Hi Temp])</f>
        <v>82</v>
      </c>
      <c r="M533" s="12">
        <f>_xlfn.XLOOKUP(EarningsPerDay[[#This Row],[Date]],Mileage[Date],Mileage[Total Time])</f>
        <v>5.85</v>
      </c>
      <c r="N533" s="4">
        <f>_xlfn.XLOOKUP(EarningsPerDay[[#This Row],[Date]],Mileage[Date],Mileage[Mileage])</f>
        <v>122</v>
      </c>
      <c r="O533" s="4">
        <f>SUMIF(Combined[Date],EarningsPerDay[[#This Row],[Date]],Combined[Trips])</f>
        <v>12</v>
      </c>
      <c r="P533">
        <f>COUNTIF(Combined[Date],EarningsPerDay[[#This Row],[Date]])</f>
        <v>2</v>
      </c>
      <c r="Q5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3" s="11">
        <f>SUMIF(Combined[Date],EarningsPerDay[[#This Row],[Date]],Combined[Earnings])</f>
        <v>138.86000000000001</v>
      </c>
      <c r="S533" s="11">
        <f ca="1">EarningsPerDay[[#This Row],[Gross Earnings]]-(EarningsPerDay[[#This Row],[Miles]]*CpM!$D$11)</f>
        <v>111.65728269934939</v>
      </c>
      <c r="T533" s="11">
        <f t="shared" si="49"/>
        <v>23.736752136752141</v>
      </c>
      <c r="U533" s="11">
        <f t="shared" ca="1" si="50"/>
        <v>19.086714991341779</v>
      </c>
      <c r="V533" s="11">
        <f>EarningsPerDay[[#This Row],[Gross Earnings]]/EarningsPerDay[[#This Row],[Deliveries]]</f>
        <v>11.571666666666667</v>
      </c>
      <c r="W533" s="11">
        <f>EarningsPerDay[[#This Row],[Gross Earnings]]/EarningsPerDay[[#This Row],[Miles]]</f>
        <v>1.1381967213114754</v>
      </c>
      <c r="X533" s="71">
        <f>EarningsPerDay[[#This Row],[Deliveries]]/EarningsPerDay[[#This Row],[Hours]]</f>
        <v>2.0512820512820515</v>
      </c>
      <c r="Y533" s="71">
        <f>EarningsPerDay[[#This Row],[Miles]]/EarningsPerDay[[#This Row],[Deliveries]]</f>
        <v>10.166666666666666</v>
      </c>
      <c r="Z533" s="81">
        <f>(EarningsPerDay[[#This Row],[Hours]]/EarningsPerDay[[#This Row],[Deliveries]])/24</f>
        <v>2.0312500000000001E-2</v>
      </c>
      <c r="AA5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0.76666969577795285</v>
      </c>
      <c r="AB533" s="11">
        <f>AVERAGEIFS(EarningsPerDay[Gross $/Hour],EarningsPerDay[Week '#], EarningsPerDay[[#This Row],[Week '#]], EarningsPerDay[DOW], EarningsPerDay[[#This Row],[DOW]])</f>
        <v>23.736752136752141</v>
      </c>
      <c r="AC533" s="11">
        <f>EarningsPerDay[[#This Row],[Gross $/Hour]] - EarningsPerDay[[#This Row],[Weekly Average Earnings]]</f>
        <v>0</v>
      </c>
      <c r="AD533" s="11">
        <f>(SUMIFS(EarningsPerDay[Gross Earnings], EarningsPerDay[Date],"&gt;="&amp;EarningsPerDay[[#This Row],[Date]]-89, EarningsPerDay[Date], "&lt;="&amp;EarningsPerDay[[#This Row],[Date]]))/90</f>
        <v>79.223777777777798</v>
      </c>
    </row>
    <row r="534" spans="2:30" x14ac:dyDescent="0.35">
      <c r="B534" s="40">
        <v>45463</v>
      </c>
      <c r="C534" s="40">
        <f t="shared" si="51"/>
        <v>45463</v>
      </c>
      <c r="D534" s="4">
        <f>IF(EarningsPerDay[[#This Row],[Week '#]]&gt;=52,YEAR(EarningsPerDay[[#This Row],[Date]])-1,YEAR(EarningsPerDay[[#This Row],[Date]]))</f>
        <v>2024</v>
      </c>
      <c r="E534" s="4" t="str">
        <f>"QTR"&amp;IF(EarningsPerDay[[#This Row],[Week '#]] &lt;= 13, 1, IF(EarningsPerDay[[#This Row],[Week '#]] &lt;= 26, 2, IF(EarningsPerDay[[#This Row],[Week '#]] &lt;= 39, 3, 4)))</f>
        <v>QTR2</v>
      </c>
      <c r="F5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4" s="4">
        <f>IF(WEEKNUM(EarningsPerDay[[#This Row],[Date]], 2) = 53, 1, WEEKNUM(EarningsPerDay[[#This Row],[Date]],2))</f>
        <v>25</v>
      </c>
      <c r="H534" s="40" t="str">
        <f t="shared" si="52"/>
        <v>Thursday</v>
      </c>
      <c r="I53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34" s="40" t="str" cm="1">
        <f t="array" ref="J534">IFERROR(VLOOKUP(MODE(IF(Combined[Date]=EarningsPerDay[[#This Row],[Date]],Combined[Area '#])),KPIs!$B$4:$C$7,2,FALSE),VLOOKUP(EarningsPerDay[[#This Row],[Date]],Combined[[Date]:[Primary Area]],8,FALSE))</f>
        <v>Brunswick/Bath/Freeport</v>
      </c>
      <c r="K534" s="40" t="str">
        <f>_xlfn.XLOOKUP(EarningsPerDay[[#This Row],[Date]],Mileage[Date],Mileage[Weather])</f>
        <v>Stormy</v>
      </c>
      <c r="L534" s="4">
        <f>_xlfn.XLOOKUP(EarningsPerDay[[#This Row],[Date]],Mileage[Date],Mileage[Hi Temp])</f>
        <v>82</v>
      </c>
      <c r="M534" s="12">
        <f>_xlfn.XLOOKUP(EarningsPerDay[[#This Row],[Date]],Mileage[Date],Mileage[Total Time])</f>
        <v>5.55</v>
      </c>
      <c r="N534" s="4">
        <f>_xlfn.XLOOKUP(EarningsPerDay[[#This Row],[Date]],Mileage[Date],Mileage[Mileage])</f>
        <v>102</v>
      </c>
      <c r="O534" s="4">
        <f>SUMIF(Combined[Date],EarningsPerDay[[#This Row],[Date]],Combined[Trips])</f>
        <v>12</v>
      </c>
      <c r="P534">
        <f>COUNTIF(Combined[Date],EarningsPerDay[[#This Row],[Date]])</f>
        <v>2</v>
      </c>
      <c r="Q5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4" s="11">
        <f>SUMIF(Combined[Date],EarningsPerDay[[#This Row],[Date]],Combined[Earnings])</f>
        <v>142.94</v>
      </c>
      <c r="S534" s="11">
        <f ca="1">EarningsPerDay[[#This Row],[Gross Earnings]]-(EarningsPerDay[[#This Row],[Miles]]*CpM!$D$11)</f>
        <v>120.19674455191505</v>
      </c>
      <c r="T534" s="11">
        <f t="shared" si="49"/>
        <v>25.754954954954954</v>
      </c>
      <c r="U534" s="11">
        <f t="shared" ca="1" si="50"/>
        <v>21.657071090435146</v>
      </c>
      <c r="V534" s="11">
        <f>EarningsPerDay[[#This Row],[Gross Earnings]]/EarningsPerDay[[#This Row],[Deliveries]]</f>
        <v>11.911666666666667</v>
      </c>
      <c r="W534" s="11">
        <f>EarningsPerDay[[#This Row],[Gross Earnings]]/EarningsPerDay[[#This Row],[Miles]]</f>
        <v>1.4013725490196078</v>
      </c>
      <c r="X534" s="71">
        <f>EarningsPerDay[[#This Row],[Deliveries]]/EarningsPerDay[[#This Row],[Hours]]</f>
        <v>2.1621621621621623</v>
      </c>
      <c r="Y534" s="71">
        <f>EarningsPerDay[[#This Row],[Miles]]/EarningsPerDay[[#This Row],[Deliveries]]</f>
        <v>8.5</v>
      </c>
      <c r="Z534" s="81">
        <f>(EarningsPerDay[[#This Row],[Hours]]/EarningsPerDay[[#This Row],[Deliveries]])/24</f>
        <v>1.9270833333333331E-2</v>
      </c>
      <c r="AA5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2.2750405613636104</v>
      </c>
      <c r="AB534" s="11">
        <f>AVERAGEIFS(EarningsPerDay[Gross $/Hour],EarningsPerDay[Week '#], EarningsPerDay[[#This Row],[Week '#]], EarningsPerDay[DOW], EarningsPerDay[[#This Row],[DOW]])</f>
        <v>19.1731951408422</v>
      </c>
      <c r="AC534" s="11">
        <f>EarningsPerDay[[#This Row],[Gross $/Hour]] - EarningsPerDay[[#This Row],[Weekly Average Earnings]]</f>
        <v>6.581759814112754</v>
      </c>
      <c r="AD534" s="11">
        <f>(SUMIFS(EarningsPerDay[Gross Earnings], EarningsPerDay[Date],"&gt;="&amp;EarningsPerDay[[#This Row],[Date]]-89, EarningsPerDay[Date], "&lt;="&amp;EarningsPerDay[[#This Row],[Date]]))/90</f>
        <v>80.812000000000012</v>
      </c>
    </row>
    <row r="535" spans="2:30" x14ac:dyDescent="0.35">
      <c r="B535" s="40">
        <v>45464</v>
      </c>
      <c r="C535" s="40">
        <f t="shared" si="51"/>
        <v>45464</v>
      </c>
      <c r="D535" s="4">
        <f>IF(EarningsPerDay[[#This Row],[Week '#]]&gt;=52,YEAR(EarningsPerDay[[#This Row],[Date]])-1,YEAR(EarningsPerDay[[#This Row],[Date]]))</f>
        <v>2024</v>
      </c>
      <c r="E535" s="4" t="str">
        <f>"QTR"&amp;IF(EarningsPerDay[[#This Row],[Week '#]] &lt;= 13, 1, IF(EarningsPerDay[[#This Row],[Week '#]] &lt;= 26, 2, IF(EarningsPerDay[[#This Row],[Week '#]] &lt;= 39, 3, 4)))</f>
        <v>QTR2</v>
      </c>
      <c r="F5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5" s="4">
        <f>IF(WEEKNUM(EarningsPerDay[[#This Row],[Date]], 2) = 53, 1, WEEKNUM(EarningsPerDay[[#This Row],[Date]],2))</f>
        <v>25</v>
      </c>
      <c r="H535" s="40" t="str">
        <f t="shared" si="52"/>
        <v>Friday</v>
      </c>
      <c r="I53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35" s="40" t="str" cm="1">
        <f t="array" ref="J535">IFERROR(VLOOKUP(MODE(IF(Combined[Date]=EarningsPerDay[[#This Row],[Date]],Combined[Area '#])),KPIs!$B$4:$C$7,2,FALSE),VLOOKUP(EarningsPerDay[[#This Row],[Date]],Combined[[Date]:[Primary Area]],8,FALSE))</f>
        <v>Brunswick/Bath/Freeport</v>
      </c>
      <c r="K535" s="40" t="str">
        <f>_xlfn.XLOOKUP(EarningsPerDay[[#This Row],[Date]],Mileage[Date],Mileage[Weather])</f>
        <v>Overcast</v>
      </c>
      <c r="L535" s="4">
        <f>_xlfn.XLOOKUP(EarningsPerDay[[#This Row],[Date]],Mileage[Date],Mileage[Hi Temp])</f>
        <v>75</v>
      </c>
      <c r="M535" s="12">
        <f>_xlfn.XLOOKUP(EarningsPerDay[[#This Row],[Date]],Mileage[Date],Mileage[Total Time])</f>
        <v>4.7699999999999996</v>
      </c>
      <c r="N535" s="4">
        <f>_xlfn.XLOOKUP(EarningsPerDay[[#This Row],[Date]],Mileage[Date],Mileage[Mileage])</f>
        <v>117</v>
      </c>
      <c r="O535" s="4">
        <f>SUMIF(Combined[Date],EarningsPerDay[[#This Row],[Date]],Combined[Trips])</f>
        <v>11</v>
      </c>
      <c r="P535">
        <f>COUNTIF(Combined[Date],EarningsPerDay[[#This Row],[Date]])</f>
        <v>3</v>
      </c>
      <c r="Q5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5" s="11">
        <f>SUMIF(Combined[Date],EarningsPerDay[[#This Row],[Date]],Combined[Earnings])</f>
        <v>113.5</v>
      </c>
      <c r="S535" s="11">
        <f ca="1">EarningsPerDay[[#This Row],[Gross Earnings]]-(EarningsPerDay[[#This Row],[Miles]]*CpM!$D$11)</f>
        <v>87.412148162490794</v>
      </c>
      <c r="T535" s="11">
        <f t="shared" si="49"/>
        <v>23.794549266247383</v>
      </c>
      <c r="U535" s="11">
        <f t="shared" ca="1" si="50"/>
        <v>18.325397937629099</v>
      </c>
      <c r="V535" s="11">
        <f>EarningsPerDay[[#This Row],[Gross Earnings]]/EarningsPerDay[[#This Row],[Deliveries]]</f>
        <v>10.318181818181818</v>
      </c>
      <c r="W535" s="11">
        <f>EarningsPerDay[[#This Row],[Gross Earnings]]/EarningsPerDay[[#This Row],[Miles]]</f>
        <v>0.97008547008547008</v>
      </c>
      <c r="X535" s="71">
        <f>EarningsPerDay[[#This Row],[Deliveries]]/EarningsPerDay[[#This Row],[Hours]]</f>
        <v>2.3060796645702308</v>
      </c>
      <c r="Y535" s="71">
        <f>EarningsPerDay[[#This Row],[Miles]]/EarningsPerDay[[#This Row],[Deliveries]]</f>
        <v>10.636363636363637</v>
      </c>
      <c r="Z535" s="81">
        <f>(EarningsPerDay[[#This Row],[Hours]]/EarningsPerDay[[#This Row],[Deliveries]])/24</f>
        <v>1.8068181818181817E-2</v>
      </c>
      <c r="AA5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-0.88722394605762034</v>
      </c>
      <c r="AB535" s="11">
        <f>AVERAGEIFS(EarningsPerDay[Gross $/Hour],EarningsPerDay[Week '#], EarningsPerDay[[#This Row],[Week '#]], EarningsPerDay[DOW], EarningsPerDay[[#This Row],[DOW]])</f>
        <v>23.794549266247383</v>
      </c>
      <c r="AC535" s="11">
        <f>EarningsPerDay[[#This Row],[Gross $/Hour]] - EarningsPerDay[[#This Row],[Weekly Average Earnings]]</f>
        <v>0</v>
      </c>
      <c r="AD535" s="11">
        <f>(SUMIFS(EarningsPerDay[Gross Earnings], EarningsPerDay[Date],"&gt;="&amp;EarningsPerDay[[#This Row],[Date]]-89, EarningsPerDay[Date], "&lt;="&amp;EarningsPerDay[[#This Row],[Date]]))/90</f>
        <v>82.073111111111118</v>
      </c>
    </row>
    <row r="536" spans="2:30" x14ac:dyDescent="0.35">
      <c r="B536" s="40">
        <v>45466</v>
      </c>
      <c r="C536" s="40">
        <f t="shared" si="51"/>
        <v>45466</v>
      </c>
      <c r="D536" s="4">
        <f>IF(EarningsPerDay[[#This Row],[Week '#]]&gt;=52,YEAR(EarningsPerDay[[#This Row],[Date]])-1,YEAR(EarningsPerDay[[#This Row],[Date]]))</f>
        <v>2024</v>
      </c>
      <c r="E536" s="4" t="str">
        <f>"QTR"&amp;IF(EarningsPerDay[[#This Row],[Week '#]] &lt;= 13, 1, IF(EarningsPerDay[[#This Row],[Week '#]] &lt;= 26, 2, IF(EarningsPerDay[[#This Row],[Week '#]] &lt;= 39, 3, 4)))</f>
        <v>QTR2</v>
      </c>
      <c r="F5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36" s="4">
        <f>IF(WEEKNUM(EarningsPerDay[[#This Row],[Date]], 2) = 53, 1, WEEKNUM(EarningsPerDay[[#This Row],[Date]],2))</f>
        <v>25</v>
      </c>
      <c r="H536" s="40" t="str">
        <f t="shared" si="52"/>
        <v>Sunday</v>
      </c>
      <c r="I536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536" s="40" t="str" cm="1">
        <f t="array" ref="J536">IFERROR(VLOOKUP(MODE(IF(Combined[Date]=EarningsPerDay[[#This Row],[Date]],Combined[Area '#])),KPIs!$B$4:$C$7,2,FALSE),VLOOKUP(EarningsPerDay[[#This Row],[Date]],Combined[[Date]:[Primary Area]],8,FALSE))</f>
        <v>Portland</v>
      </c>
      <c r="K536" s="40" t="str">
        <f>_xlfn.XLOOKUP(EarningsPerDay[[#This Row],[Date]],Mileage[Date],Mileage[Weather])</f>
        <v>Partially Cloudy</v>
      </c>
      <c r="L536" s="4">
        <f>_xlfn.XLOOKUP(EarningsPerDay[[#This Row],[Date]],Mileage[Date],Mileage[Hi Temp])</f>
        <v>79</v>
      </c>
      <c r="M536" s="12">
        <f>_xlfn.XLOOKUP(EarningsPerDay[[#This Row],[Date]],Mileage[Date],Mileage[Total Time])</f>
        <v>5.18</v>
      </c>
      <c r="N536" s="4">
        <f>_xlfn.XLOOKUP(EarningsPerDay[[#This Row],[Date]],Mileage[Date],Mileage[Mileage])</f>
        <v>95</v>
      </c>
      <c r="O536" s="4">
        <f>SUMIF(Combined[Date],EarningsPerDay[[#This Row],[Date]],Combined[Trips])</f>
        <v>8</v>
      </c>
      <c r="P536">
        <f>COUNTIF(Combined[Date],EarningsPerDay[[#This Row],[Date]])</f>
        <v>2</v>
      </c>
      <c r="Q5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6" s="11">
        <f>SUMIF(Combined[Date],EarningsPerDay[[#This Row],[Date]],Combined[Earnings])</f>
        <v>88.88</v>
      </c>
      <c r="S536" s="11">
        <f ca="1">EarningsPerDay[[#This Row],[Gross Earnings]]-(EarningsPerDay[[#This Row],[Miles]]*CpM!$D$11)</f>
        <v>67.697556200313031</v>
      </c>
      <c r="T536" s="11">
        <f t="shared" si="49"/>
        <v>17.158301158301157</v>
      </c>
      <c r="U536" s="11">
        <f t="shared" ca="1" si="50"/>
        <v>13.069026293496725</v>
      </c>
      <c r="V536" s="11">
        <f>EarningsPerDay[[#This Row],[Gross Earnings]]/EarningsPerDay[[#This Row],[Deliveries]]</f>
        <v>11.11</v>
      </c>
      <c r="W536" s="11">
        <f>EarningsPerDay[[#This Row],[Gross Earnings]]/EarningsPerDay[[#This Row],[Miles]]</f>
        <v>0.93557894736842095</v>
      </c>
      <c r="X536" s="71">
        <f>EarningsPerDay[[#This Row],[Deliveries]]/EarningsPerDay[[#This Row],[Hours]]</f>
        <v>1.5444015444015444</v>
      </c>
      <c r="Y536" s="71">
        <f>EarningsPerDay[[#This Row],[Miles]]/EarningsPerDay[[#This Row],[Deliveries]]</f>
        <v>11.875</v>
      </c>
      <c r="Z536" s="81">
        <f>(EarningsPerDay[[#This Row],[Hours]]/EarningsPerDay[[#This Row],[Deliveries]])/24</f>
        <v>2.6979166666666665E-2</v>
      </c>
      <c r="AA5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-5.4549499619661539</v>
      </c>
      <c r="AB536" s="11">
        <f>AVERAGEIFS(EarningsPerDay[Gross $/Hour],EarningsPerDay[Week '#], EarningsPerDay[[#This Row],[Week '#]], EarningsPerDay[DOW], EarningsPerDay[[#This Row],[DOW]])</f>
        <v>24.167933971299817</v>
      </c>
      <c r="AC536" s="11">
        <f>EarningsPerDay[[#This Row],[Gross $/Hour]] - EarningsPerDay[[#This Row],[Weekly Average Earnings]]</f>
        <v>-7.0096328129986603</v>
      </c>
      <c r="AD536" s="11">
        <f>(SUMIFS(EarningsPerDay[Gross Earnings], EarningsPerDay[Date],"&gt;="&amp;EarningsPerDay[[#This Row],[Date]]-89, EarningsPerDay[Date], "&lt;="&amp;EarningsPerDay[[#This Row],[Date]]))/90</f>
        <v>81.927555555555571</v>
      </c>
    </row>
    <row r="537" spans="2:30" x14ac:dyDescent="0.35">
      <c r="B537" s="40">
        <v>45474</v>
      </c>
      <c r="C537" s="40">
        <f t="shared" si="51"/>
        <v>45474</v>
      </c>
      <c r="D537" s="4">
        <f>IF(EarningsPerDay[[#This Row],[Week '#]]&gt;=52,YEAR(EarningsPerDay[[#This Row],[Date]])-1,YEAR(EarningsPerDay[[#This Row],[Date]]))</f>
        <v>2024</v>
      </c>
      <c r="E537" s="4" t="str">
        <f>"QTR"&amp;IF(EarningsPerDay[[#This Row],[Week '#]] &lt;= 13, 1, IF(EarningsPerDay[[#This Row],[Week '#]] &lt;= 26, 2, IF(EarningsPerDay[[#This Row],[Week '#]] &lt;= 39, 3, 4)))</f>
        <v>QTR3</v>
      </c>
      <c r="F5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37" s="4">
        <f>IF(WEEKNUM(EarningsPerDay[[#This Row],[Date]], 2) = 53, 1, WEEKNUM(EarningsPerDay[[#This Row],[Date]],2))</f>
        <v>27</v>
      </c>
      <c r="H537" s="40" t="str">
        <f t="shared" si="52"/>
        <v>Monday</v>
      </c>
      <c r="I53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37" s="40" t="str" cm="1">
        <f t="array" ref="J537">IFERROR(VLOOKUP(MODE(IF(Combined[Date]=EarningsPerDay[[#This Row],[Date]],Combined[Area '#])),KPIs!$B$4:$C$7,2,FALSE),VLOOKUP(EarningsPerDay[[#This Row],[Date]],Combined[[Date]:[Primary Area]],8,FALSE))</f>
        <v>Lewiston</v>
      </c>
      <c r="K537" s="40" t="str">
        <f>_xlfn.XLOOKUP(EarningsPerDay[[#This Row],[Date]],Mileage[Date],Mileage[Weather])</f>
        <v>Sunny</v>
      </c>
      <c r="L537" s="4">
        <f>_xlfn.XLOOKUP(EarningsPerDay[[#This Row],[Date]],Mileage[Date],Mileage[Hi Temp])</f>
        <v>79</v>
      </c>
      <c r="M537" s="12">
        <f>_xlfn.XLOOKUP(EarningsPerDay[[#This Row],[Date]],Mileage[Date],Mileage[Total Time])</f>
        <v>5.0199999999999996</v>
      </c>
      <c r="N537" s="4">
        <f>_xlfn.XLOOKUP(EarningsPerDay[[#This Row],[Date]],Mileage[Date],Mileage[Mileage])</f>
        <v>92</v>
      </c>
      <c r="O537" s="4">
        <f>SUMIF(Combined[Date],EarningsPerDay[[#This Row],[Date]],Combined[Trips])</f>
        <v>14</v>
      </c>
      <c r="P537">
        <f>COUNTIF(Combined[Date],EarningsPerDay[[#This Row],[Date]])</f>
        <v>3</v>
      </c>
      <c r="Q5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7" s="11">
        <f>SUMIF(Combined[Date],EarningsPerDay[[#This Row],[Date]],Combined[Earnings])</f>
        <v>116.5</v>
      </c>
      <c r="S537" s="11">
        <f ca="1">EarningsPerDay[[#This Row],[Gross Earnings]]-(EarningsPerDay[[#This Row],[Miles]]*CpM!$D$11)</f>
        <v>95.986475478197889</v>
      </c>
      <c r="T537" s="11">
        <f t="shared" si="49"/>
        <v>23.207171314741039</v>
      </c>
      <c r="U537" s="11">
        <f t="shared" ca="1" si="50"/>
        <v>19.120811848246593</v>
      </c>
      <c r="V537" s="11">
        <f>EarningsPerDay[[#This Row],[Gross Earnings]]/EarningsPerDay[[#This Row],[Deliveries]]</f>
        <v>8.3214285714285712</v>
      </c>
      <c r="W537" s="11">
        <f>EarningsPerDay[[#This Row],[Gross Earnings]]/EarningsPerDay[[#This Row],[Miles]]</f>
        <v>1.2663043478260869</v>
      </c>
      <c r="X537" s="71">
        <f>EarningsPerDay[[#This Row],[Deliveries]]/EarningsPerDay[[#This Row],[Hours]]</f>
        <v>2.7888446215139444</v>
      </c>
      <c r="Y537" s="71">
        <f>EarningsPerDay[[#This Row],[Miles]]/EarningsPerDay[[#This Row],[Deliveries]]</f>
        <v>6.5714285714285712</v>
      </c>
      <c r="Z537" s="81">
        <f>(EarningsPerDay[[#This Row],[Hours]]/EarningsPerDay[[#This Row],[Deliveries]])/24</f>
        <v>1.494047619047619E-2</v>
      </c>
      <c r="AA5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13.451998900947936</v>
      </c>
      <c r="AB537" s="11">
        <f>AVERAGEIFS(EarningsPerDay[Gross $/Hour],EarningsPerDay[Week '#], EarningsPerDay[[#This Row],[Week '#]], EarningsPerDay[DOW], EarningsPerDay[[#This Row],[DOW]])</f>
        <v>29.873712776014589</v>
      </c>
      <c r="AC537" s="11">
        <f>EarningsPerDay[[#This Row],[Gross $/Hour]] - EarningsPerDay[[#This Row],[Weekly Average Earnings]]</f>
        <v>-6.6665414612735496</v>
      </c>
      <c r="AD537" s="11">
        <f>(SUMIFS(EarningsPerDay[Gross Earnings], EarningsPerDay[Date],"&gt;="&amp;EarningsPerDay[[#This Row],[Date]]-89, EarningsPerDay[Date], "&lt;="&amp;EarningsPerDay[[#This Row],[Date]]))/90</f>
        <v>77.64422222222224</v>
      </c>
    </row>
    <row r="538" spans="2:30" x14ac:dyDescent="0.35">
      <c r="B538" s="40">
        <v>45475</v>
      </c>
      <c r="C538" s="40">
        <f t="shared" si="51"/>
        <v>45475</v>
      </c>
      <c r="D538" s="4">
        <f>IF(EarningsPerDay[[#This Row],[Week '#]]&gt;=52,YEAR(EarningsPerDay[[#This Row],[Date]])-1,YEAR(EarningsPerDay[[#This Row],[Date]]))</f>
        <v>2024</v>
      </c>
      <c r="E538" s="4" t="str">
        <f>"QTR"&amp;IF(EarningsPerDay[[#This Row],[Week '#]] &lt;= 13, 1, IF(EarningsPerDay[[#This Row],[Week '#]] &lt;= 26, 2, IF(EarningsPerDay[[#This Row],[Week '#]] &lt;= 39, 3, 4)))</f>
        <v>QTR3</v>
      </c>
      <c r="F5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38" s="4">
        <f>IF(WEEKNUM(EarningsPerDay[[#This Row],[Date]], 2) = 53, 1, WEEKNUM(EarningsPerDay[[#This Row],[Date]],2))</f>
        <v>27</v>
      </c>
      <c r="H538" s="40" t="str">
        <f t="shared" si="52"/>
        <v>Tuesday</v>
      </c>
      <c r="I53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38" s="40" t="str" cm="1">
        <f t="array" ref="J538">IFERROR(VLOOKUP(MODE(IF(Combined[Date]=EarningsPerDay[[#This Row],[Date]],Combined[Area '#])),KPIs!$B$4:$C$7,2,FALSE),VLOOKUP(EarningsPerDay[[#This Row],[Date]],Combined[[Date]:[Primary Area]],8,FALSE))</f>
        <v>Portland</v>
      </c>
      <c r="K538" s="40" t="str">
        <f>_xlfn.XLOOKUP(EarningsPerDay[[#This Row],[Date]],Mileage[Date],Mileage[Weather])</f>
        <v>Clear</v>
      </c>
      <c r="L538" s="4">
        <f>_xlfn.XLOOKUP(EarningsPerDay[[#This Row],[Date]],Mileage[Date],Mileage[Hi Temp])</f>
        <v>77</v>
      </c>
      <c r="M538" s="12">
        <f>_xlfn.XLOOKUP(EarningsPerDay[[#This Row],[Date]],Mileage[Date],Mileage[Total Time])</f>
        <v>5.48</v>
      </c>
      <c r="N538" s="4">
        <f>_xlfn.XLOOKUP(EarningsPerDay[[#This Row],[Date]],Mileage[Date],Mileage[Mileage])</f>
        <v>104</v>
      </c>
      <c r="O538" s="4">
        <f>SUMIF(Combined[Date],EarningsPerDay[[#This Row],[Date]],Combined[Trips])</f>
        <v>12</v>
      </c>
      <c r="P538">
        <f>COUNTIF(Combined[Date],EarningsPerDay[[#This Row],[Date]])</f>
        <v>2</v>
      </c>
      <c r="Q5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8" s="11">
        <f>SUMIF(Combined[Date],EarningsPerDay[[#This Row],[Date]],Combined[Earnings])</f>
        <v>153.74</v>
      </c>
      <c r="S538" s="11">
        <f ca="1">EarningsPerDay[[#This Row],[Gross Earnings]]-(EarningsPerDay[[#This Row],[Miles]]*CpM!$D$11)</f>
        <v>130.55079836665848</v>
      </c>
      <c r="T538" s="11">
        <f t="shared" si="49"/>
        <v>28.054744525547445</v>
      </c>
      <c r="U538" s="11">
        <f t="shared" ca="1" si="50"/>
        <v>23.823138388076362</v>
      </c>
      <c r="V538" s="11">
        <f>EarningsPerDay[[#This Row],[Gross Earnings]]/EarningsPerDay[[#This Row],[Deliveries]]</f>
        <v>12.811666666666667</v>
      </c>
      <c r="W538" s="11">
        <f>EarningsPerDay[[#This Row],[Gross Earnings]]/EarningsPerDay[[#This Row],[Miles]]</f>
        <v>1.4782692307692309</v>
      </c>
      <c r="X538" s="71">
        <f>EarningsPerDay[[#This Row],[Deliveries]]/EarningsPerDay[[#This Row],[Hours]]</f>
        <v>2.1897810218978102</v>
      </c>
      <c r="Y538" s="71">
        <f>EarningsPerDay[[#This Row],[Miles]]/EarningsPerDay[[#This Row],[Deliveries]]</f>
        <v>8.6666666666666661</v>
      </c>
      <c r="Z538" s="81">
        <f>(EarningsPerDay[[#This Row],[Hours]]/EarningsPerDay[[#This Row],[Deliveries]])/24</f>
        <v>1.9027777777777779E-2</v>
      </c>
      <c r="AA5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6.1198246120592472</v>
      </c>
      <c r="AB538" s="11">
        <f>AVERAGEIFS(EarningsPerDay[Gross $/Hour],EarningsPerDay[Week '#], EarningsPerDay[[#This Row],[Week '#]], EarningsPerDay[DOW], EarningsPerDay[[#This Row],[DOW]])</f>
        <v>20.191072811871479</v>
      </c>
      <c r="AC538" s="11">
        <f>EarningsPerDay[[#This Row],[Gross $/Hour]] - EarningsPerDay[[#This Row],[Weekly Average Earnings]]</f>
        <v>7.8636717136759664</v>
      </c>
      <c r="AD538" s="11">
        <f>(SUMIFS(EarningsPerDay[Gross Earnings], EarningsPerDay[Date],"&gt;="&amp;EarningsPerDay[[#This Row],[Date]]-89, EarningsPerDay[Date], "&lt;="&amp;EarningsPerDay[[#This Row],[Date]]))/90</f>
        <v>78.927444444444461</v>
      </c>
    </row>
    <row r="539" spans="2:30" x14ac:dyDescent="0.35">
      <c r="B539" s="40">
        <v>45476</v>
      </c>
      <c r="C539" s="40">
        <f t="shared" si="51"/>
        <v>45476</v>
      </c>
      <c r="D539" s="4">
        <f>IF(EarningsPerDay[[#This Row],[Week '#]]&gt;=52,YEAR(EarningsPerDay[[#This Row],[Date]])-1,YEAR(EarningsPerDay[[#This Row],[Date]]))</f>
        <v>2024</v>
      </c>
      <c r="E539" s="4" t="str">
        <f>"QTR"&amp;IF(EarningsPerDay[[#This Row],[Week '#]] &lt;= 13, 1, IF(EarningsPerDay[[#This Row],[Week '#]] &lt;= 26, 2, IF(EarningsPerDay[[#This Row],[Week '#]] &lt;= 39, 3, 4)))</f>
        <v>QTR3</v>
      </c>
      <c r="F5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39" s="4">
        <f>IF(WEEKNUM(EarningsPerDay[[#This Row],[Date]], 2) = 53, 1, WEEKNUM(EarningsPerDay[[#This Row],[Date]],2))</f>
        <v>27</v>
      </c>
      <c r="H539" s="40" t="str">
        <f t="shared" si="52"/>
        <v>Wednesday</v>
      </c>
      <c r="I53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39" s="40" t="str" cm="1">
        <f t="array" ref="J539">IFERROR(VLOOKUP(MODE(IF(Combined[Date]=EarningsPerDay[[#This Row],[Date]],Combined[Area '#])),KPIs!$B$4:$C$7,2,FALSE),VLOOKUP(EarningsPerDay[[#This Row],[Date]],Combined[[Date]:[Primary Area]],8,FALSE))</f>
        <v>Brunswick/Bath/Freeport</v>
      </c>
      <c r="K539" s="40" t="str">
        <f>_xlfn.XLOOKUP(EarningsPerDay[[#This Row],[Date]],Mileage[Date],Mileage[Weather])</f>
        <v>Clear</v>
      </c>
      <c r="L539" s="4">
        <f>_xlfn.XLOOKUP(EarningsPerDay[[#This Row],[Date]],Mileage[Date],Mileage[Hi Temp])</f>
        <v>75</v>
      </c>
      <c r="M539" s="12">
        <f>_xlfn.XLOOKUP(EarningsPerDay[[#This Row],[Date]],Mileage[Date],Mileage[Total Time])</f>
        <v>5.3</v>
      </c>
      <c r="N539" s="4">
        <f>_xlfn.XLOOKUP(EarningsPerDay[[#This Row],[Date]],Mileage[Date],Mileage[Mileage])</f>
        <v>109</v>
      </c>
      <c r="O539" s="4">
        <f>SUMIF(Combined[Date],EarningsPerDay[[#This Row],[Date]],Combined[Trips])</f>
        <v>14</v>
      </c>
      <c r="P539">
        <f>COUNTIF(Combined[Date],EarningsPerDay[[#This Row],[Date]])</f>
        <v>2</v>
      </c>
      <c r="Q5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39" s="11">
        <f>SUMIF(Combined[Date],EarningsPerDay[[#This Row],[Date]],Combined[Earnings])</f>
        <v>130.79</v>
      </c>
      <c r="S539" s="11">
        <f ca="1">EarningsPerDay[[#This Row],[Gross Earnings]]-(EarningsPerDay[[#This Row],[Miles]]*CpM!$D$11)</f>
        <v>106.48593290351705</v>
      </c>
      <c r="T539" s="11">
        <f t="shared" si="49"/>
        <v>24.677358490566036</v>
      </c>
      <c r="U539" s="11">
        <f t="shared" ca="1" si="50"/>
        <v>20.091685453493785</v>
      </c>
      <c r="V539" s="11">
        <f>EarningsPerDay[[#This Row],[Gross Earnings]]/EarningsPerDay[[#This Row],[Deliveries]]</f>
        <v>9.3421428571428571</v>
      </c>
      <c r="W539" s="11">
        <f>EarningsPerDay[[#This Row],[Gross Earnings]]/EarningsPerDay[[#This Row],[Miles]]</f>
        <v>1.1999082568807338</v>
      </c>
      <c r="X539" s="71">
        <f>EarningsPerDay[[#This Row],[Deliveries]]/EarningsPerDay[[#This Row],[Hours]]</f>
        <v>2.6415094339622645</v>
      </c>
      <c r="Y539" s="71">
        <f>EarningsPerDay[[#This Row],[Miles]]/EarningsPerDay[[#This Row],[Deliveries]]</f>
        <v>7.7857142857142856</v>
      </c>
      <c r="Z539" s="81">
        <f>(EarningsPerDay[[#This Row],[Hours]]/EarningsPerDay[[#This Row],[Deliveries]])/24</f>
        <v>1.5773809523809523E-2</v>
      </c>
      <c r="AA5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0.45724338779966089</v>
      </c>
      <c r="AB539" s="11">
        <f>AVERAGEIFS(EarningsPerDay[Gross $/Hour],EarningsPerDay[Week '#], EarningsPerDay[[#This Row],[Week '#]], EarningsPerDay[DOW], EarningsPerDay[[#This Row],[DOW]])</f>
        <v>28.967873876155501</v>
      </c>
      <c r="AC539" s="11">
        <f>EarningsPerDay[[#This Row],[Gross $/Hour]] - EarningsPerDay[[#This Row],[Weekly Average Earnings]]</f>
        <v>-4.2905153855894653</v>
      </c>
      <c r="AD539" s="11">
        <f>(SUMIFS(EarningsPerDay[Gross Earnings], EarningsPerDay[Date],"&gt;="&amp;EarningsPerDay[[#This Row],[Date]]-89, EarningsPerDay[Date], "&lt;="&amp;EarningsPerDay[[#This Row],[Date]]))/90</f>
        <v>80.380666666666684</v>
      </c>
    </row>
    <row r="540" spans="2:30" x14ac:dyDescent="0.35">
      <c r="B540" s="40">
        <v>45477</v>
      </c>
      <c r="C540" s="40">
        <f t="shared" si="51"/>
        <v>45477</v>
      </c>
      <c r="D540" s="4">
        <f>IF(EarningsPerDay[[#This Row],[Week '#]]&gt;=52,YEAR(EarningsPerDay[[#This Row],[Date]])-1,YEAR(EarningsPerDay[[#This Row],[Date]]))</f>
        <v>2024</v>
      </c>
      <c r="E540" s="4" t="str">
        <f>"QTR"&amp;IF(EarningsPerDay[[#This Row],[Week '#]] &lt;= 13, 1, IF(EarningsPerDay[[#This Row],[Week '#]] &lt;= 26, 2, IF(EarningsPerDay[[#This Row],[Week '#]] &lt;= 39, 3, 4)))</f>
        <v>QTR3</v>
      </c>
      <c r="F5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40" s="4">
        <f>IF(WEEKNUM(EarningsPerDay[[#This Row],[Date]], 2) = 53, 1, WEEKNUM(EarningsPerDay[[#This Row],[Date]],2))</f>
        <v>27</v>
      </c>
      <c r="H540" s="40" t="str">
        <f t="shared" si="52"/>
        <v>Thursday</v>
      </c>
      <c r="I540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540" s="40" t="str" cm="1">
        <f t="array" ref="J540">IFERROR(VLOOKUP(MODE(IF(Combined[Date]=EarningsPerDay[[#This Row],[Date]],Combined[Area '#])),KPIs!$B$4:$C$7,2,FALSE),VLOOKUP(EarningsPerDay[[#This Row],[Date]],Combined[[Date]:[Primary Area]],8,FALSE))</f>
        <v>Portland</v>
      </c>
      <c r="K540" s="40" t="str">
        <f>_xlfn.XLOOKUP(EarningsPerDay[[#This Row],[Date]],Mileage[Date],Mileage[Weather])</f>
        <v>Clear</v>
      </c>
      <c r="L540" s="4">
        <f>_xlfn.XLOOKUP(EarningsPerDay[[#This Row],[Date]],Mileage[Date],Mileage[Hi Temp])</f>
        <v>68</v>
      </c>
      <c r="M540" s="12">
        <f>_xlfn.XLOOKUP(EarningsPerDay[[#This Row],[Date]],Mileage[Date],Mileage[Total Time])</f>
        <v>5.98</v>
      </c>
      <c r="N540" s="4">
        <f>_xlfn.XLOOKUP(EarningsPerDay[[#This Row],[Date]],Mileage[Date],Mileage[Mileage])</f>
        <v>131</v>
      </c>
      <c r="O540" s="4">
        <f>SUMIF(Combined[Date],EarningsPerDay[[#This Row],[Date]],Combined[Trips])</f>
        <v>10</v>
      </c>
      <c r="P540">
        <f>COUNTIF(Combined[Date],EarningsPerDay[[#This Row],[Date]])</f>
        <v>2</v>
      </c>
      <c r="Q5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0" s="11">
        <f>SUMIF(Combined[Date],EarningsPerDay[[#This Row],[Date]],Combined[Earnings])</f>
        <v>165.93</v>
      </c>
      <c r="S540" s="11">
        <f ca="1">EarningsPerDay[[#This Row],[Gross Earnings]]-(EarningsPerDay[[#This Row],[Miles]]*CpM!$D$11)</f>
        <v>136.72052486569481</v>
      </c>
      <c r="T540" s="11">
        <f t="shared" si="49"/>
        <v>27.747491638795985</v>
      </c>
      <c r="U540" s="11">
        <f t="shared" ca="1" si="50"/>
        <v>22.862964024363681</v>
      </c>
      <c r="V540" s="11">
        <f>EarningsPerDay[[#This Row],[Gross Earnings]]/EarningsPerDay[[#This Row],[Deliveries]]</f>
        <v>16.593</v>
      </c>
      <c r="W540" s="11">
        <f>EarningsPerDay[[#This Row],[Gross Earnings]]/EarningsPerDay[[#This Row],[Miles]]</f>
        <v>1.2666412213740459</v>
      </c>
      <c r="X540" s="71">
        <f>EarningsPerDay[[#This Row],[Deliveries]]/EarningsPerDay[[#This Row],[Hours]]</f>
        <v>1.6722408026755851</v>
      </c>
      <c r="Y540" s="71">
        <f>EarningsPerDay[[#This Row],[Miles]]/EarningsPerDay[[#This Row],[Deliveries]]</f>
        <v>13.1</v>
      </c>
      <c r="Z540" s="81">
        <f>(EarningsPerDay[[#This Row],[Hours]]/EarningsPerDay[[#This Row],[Deliveries]])/24</f>
        <v>2.491666666666667E-2</v>
      </c>
      <c r="AA5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6.5636682880259549</v>
      </c>
      <c r="AB540" s="11">
        <f>AVERAGEIFS(EarningsPerDay[Gross $/Hour],EarningsPerDay[Week '#], EarningsPerDay[[#This Row],[Week '#]], EarningsPerDay[DOW], EarningsPerDay[[#This Row],[DOW]])</f>
        <v>25.47052001294638</v>
      </c>
      <c r="AC540" s="11">
        <f>EarningsPerDay[[#This Row],[Gross $/Hour]] - EarningsPerDay[[#This Row],[Weekly Average Earnings]]</f>
        <v>2.2769716258496047</v>
      </c>
      <c r="AD540" s="11">
        <f>(SUMIFS(EarningsPerDay[Gross Earnings], EarningsPerDay[Date],"&gt;="&amp;EarningsPerDay[[#This Row],[Date]]-89, EarningsPerDay[Date], "&lt;="&amp;EarningsPerDay[[#This Row],[Date]]))/90</f>
        <v>79.721555555555554</v>
      </c>
    </row>
    <row r="541" spans="2:30" x14ac:dyDescent="0.35">
      <c r="B541" s="40">
        <v>45482</v>
      </c>
      <c r="C541" s="40">
        <f t="shared" si="51"/>
        <v>45482</v>
      </c>
      <c r="D541" s="4">
        <f>IF(EarningsPerDay[[#This Row],[Week '#]]&gt;=52,YEAR(EarningsPerDay[[#This Row],[Date]])-1,YEAR(EarningsPerDay[[#This Row],[Date]]))</f>
        <v>2024</v>
      </c>
      <c r="E541" s="4" t="str">
        <f>"QTR"&amp;IF(EarningsPerDay[[#This Row],[Week '#]] &lt;= 13, 1, IF(EarningsPerDay[[#This Row],[Week '#]] &lt;= 26, 2, IF(EarningsPerDay[[#This Row],[Week '#]] &lt;= 39, 3, 4)))</f>
        <v>QTR3</v>
      </c>
      <c r="F5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541" s="4">
        <f>IF(WEEKNUM(EarningsPerDay[[#This Row],[Date]], 2) = 53, 1, WEEKNUM(EarningsPerDay[[#This Row],[Date]],2))</f>
        <v>28</v>
      </c>
      <c r="H541" s="40" t="str">
        <f t="shared" si="52"/>
        <v>Tuesday</v>
      </c>
      <c r="I54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41" s="40" t="str" cm="1">
        <f t="array" ref="J541">IFERROR(VLOOKUP(MODE(IF(Combined[Date]=EarningsPerDay[[#This Row],[Date]],Combined[Area '#])),KPIs!$B$4:$C$7,2,FALSE),VLOOKUP(EarningsPerDay[[#This Row],[Date]],Combined[[Date]:[Primary Area]],8,FALSE))</f>
        <v>Portland</v>
      </c>
      <c r="K541" s="40" t="str">
        <f>_xlfn.XLOOKUP(EarningsPerDay[[#This Row],[Date]],Mileage[Date],Mileage[Weather])</f>
        <v>Clear</v>
      </c>
      <c r="L541" s="4">
        <f>_xlfn.XLOOKUP(EarningsPerDay[[#This Row],[Date]],Mileage[Date],Mileage[Hi Temp])</f>
        <v>79</v>
      </c>
      <c r="M541" s="12">
        <f>_xlfn.XLOOKUP(EarningsPerDay[[#This Row],[Date]],Mileage[Date],Mileage[Total Time])</f>
        <v>2.2799999999999998</v>
      </c>
      <c r="N541" s="4">
        <f>_xlfn.XLOOKUP(EarningsPerDay[[#This Row],[Date]],Mileage[Date],Mileage[Mileage])</f>
        <v>62</v>
      </c>
      <c r="O541" s="4">
        <f>SUMIF(Combined[Date],EarningsPerDay[[#This Row],[Date]],Combined[Trips])</f>
        <v>3</v>
      </c>
      <c r="P541">
        <f>COUNTIF(Combined[Date],EarningsPerDay[[#This Row],[Date]])</f>
        <v>2</v>
      </c>
      <c r="Q5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1" s="11">
        <f>SUMIF(Combined[Date],EarningsPerDay[[#This Row],[Date]],Combined[Earnings])</f>
        <v>28</v>
      </c>
      <c r="S541" s="11">
        <f ca="1">EarningsPerDay[[#This Row],[Gross Earnings]]-(EarningsPerDay[[#This Row],[Miles]]*CpM!$D$11)</f>
        <v>14.175668257046404</v>
      </c>
      <c r="T541" s="11">
        <f t="shared" si="49"/>
        <v>12.280701754385966</v>
      </c>
      <c r="U541" s="11">
        <f t="shared" ca="1" si="50"/>
        <v>6.2173983583536865</v>
      </c>
      <c r="V541" s="11">
        <f>EarningsPerDay[[#This Row],[Gross Earnings]]/EarningsPerDay[[#This Row],[Deliveries]]</f>
        <v>9.3333333333333339</v>
      </c>
      <c r="W541" s="11">
        <f>EarningsPerDay[[#This Row],[Gross Earnings]]/EarningsPerDay[[#This Row],[Miles]]</f>
        <v>0.45161290322580644</v>
      </c>
      <c r="X541" s="71">
        <f>EarningsPerDay[[#This Row],[Deliveries]]/EarningsPerDay[[#This Row],[Hours]]</f>
        <v>1.3157894736842106</v>
      </c>
      <c r="Y541" s="71">
        <f>EarningsPerDay[[#This Row],[Miles]]/EarningsPerDay[[#This Row],[Deliveries]]</f>
        <v>20.666666666666668</v>
      </c>
      <c r="Z541" s="81">
        <f>(EarningsPerDay[[#This Row],[Hours]]/EarningsPerDay[[#This Row],[Deliveries]])/24</f>
        <v>3.1666666666666662E-2</v>
      </c>
      <c r="AA5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-10.528478817967837</v>
      </c>
      <c r="AB541" s="11">
        <f>AVERAGEIFS(EarningsPerDay[Gross $/Hour],EarningsPerDay[Week '#], EarningsPerDay[[#This Row],[Week '#]], EarningsPerDay[DOW], EarningsPerDay[[#This Row],[DOW]])</f>
        <v>15.352241121095423</v>
      </c>
      <c r="AC541" s="11">
        <f>EarningsPerDay[[#This Row],[Gross $/Hour]] - EarningsPerDay[[#This Row],[Weekly Average Earnings]]</f>
        <v>-3.071539366709457</v>
      </c>
      <c r="AD541" s="11">
        <f>(SUMIFS(EarningsPerDay[Gross Earnings], EarningsPerDay[Date],"&gt;="&amp;EarningsPerDay[[#This Row],[Date]]-89, EarningsPerDay[Date], "&lt;="&amp;EarningsPerDay[[#This Row],[Date]]))/90</f>
        <v>77.135333333333321</v>
      </c>
    </row>
    <row r="542" spans="2:30" x14ac:dyDescent="0.35">
      <c r="B542" s="40">
        <v>45484</v>
      </c>
      <c r="C542" s="40">
        <f t="shared" si="51"/>
        <v>45484</v>
      </c>
      <c r="D542" s="4">
        <f>IF(EarningsPerDay[[#This Row],[Week '#]]&gt;=52,YEAR(EarningsPerDay[[#This Row],[Date]])-1,YEAR(EarningsPerDay[[#This Row],[Date]]))</f>
        <v>2024</v>
      </c>
      <c r="E542" s="4" t="str">
        <f>"QTR"&amp;IF(EarningsPerDay[[#This Row],[Week '#]] &lt;= 13, 1, IF(EarningsPerDay[[#This Row],[Week '#]] &lt;= 26, 2, IF(EarningsPerDay[[#This Row],[Week '#]] &lt;= 39, 3, 4)))</f>
        <v>QTR3</v>
      </c>
      <c r="F5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542" s="4">
        <f>IF(WEEKNUM(EarningsPerDay[[#This Row],[Date]], 2) = 53, 1, WEEKNUM(EarningsPerDay[[#This Row],[Date]],2))</f>
        <v>28</v>
      </c>
      <c r="H542" s="40" t="str">
        <f t="shared" si="52"/>
        <v>Thursday</v>
      </c>
      <c r="I54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42" s="40" t="str" cm="1">
        <f t="array" ref="J542">IFERROR(VLOOKUP(MODE(IF(Combined[Date]=EarningsPerDay[[#This Row],[Date]],Combined[Area '#])),KPIs!$B$4:$C$7,2,FALSE),VLOOKUP(EarningsPerDay[[#This Row],[Date]],Combined[[Date]:[Primary Area]],8,FALSE))</f>
        <v>Brunswick/Bath/Freeport</v>
      </c>
      <c r="K542" s="40" t="str">
        <f>_xlfn.XLOOKUP(EarningsPerDay[[#This Row],[Date]],Mileage[Date],Mileage[Weather])</f>
        <v>Partially Cloudy</v>
      </c>
      <c r="L542" s="4">
        <f>_xlfn.XLOOKUP(EarningsPerDay[[#This Row],[Date]],Mileage[Date],Mileage[Hi Temp])</f>
        <v>81</v>
      </c>
      <c r="M542" s="12">
        <f>_xlfn.XLOOKUP(EarningsPerDay[[#This Row],[Date]],Mileage[Date],Mileage[Total Time])</f>
        <v>0.6</v>
      </c>
      <c r="N542" s="4">
        <f>_xlfn.XLOOKUP(EarningsPerDay[[#This Row],[Date]],Mileage[Date],Mileage[Mileage])</f>
        <v>19</v>
      </c>
      <c r="O542" s="4">
        <f>SUMIF(Combined[Date],EarningsPerDay[[#This Row],[Date]],Combined[Trips])</f>
        <v>1</v>
      </c>
      <c r="P542">
        <f>COUNTIF(Combined[Date],EarningsPerDay[[#This Row],[Date]])</f>
        <v>1</v>
      </c>
      <c r="Q5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2" s="11">
        <f>SUMIF(Combined[Date],EarningsPerDay[[#This Row],[Date]],Combined[Earnings])</f>
        <v>13.39</v>
      </c>
      <c r="S542" s="11">
        <f ca="1">EarningsPerDay[[#This Row],[Gross Earnings]]-(EarningsPerDay[[#This Row],[Miles]]*CpM!$D$11)</f>
        <v>9.153511240062608</v>
      </c>
      <c r="T542" s="11">
        <f t="shared" si="49"/>
        <v>22.31666666666667</v>
      </c>
      <c r="U542" s="11">
        <f t="shared" ca="1" si="50"/>
        <v>15.255852066771014</v>
      </c>
      <c r="V542" s="11">
        <f>EarningsPerDay[[#This Row],[Gross Earnings]]/EarningsPerDay[[#This Row],[Deliveries]]</f>
        <v>13.39</v>
      </c>
      <c r="W542" s="11">
        <f>EarningsPerDay[[#This Row],[Gross Earnings]]/EarningsPerDay[[#This Row],[Miles]]</f>
        <v>0.70473684210526322</v>
      </c>
      <c r="X542" s="71">
        <f>EarningsPerDay[[#This Row],[Deliveries]]/EarningsPerDay[[#This Row],[Hours]]</f>
        <v>1.6666666666666667</v>
      </c>
      <c r="Y542" s="71">
        <f>EarningsPerDay[[#This Row],[Miles]]/EarningsPerDay[[#This Row],[Deliveries]]</f>
        <v>19</v>
      </c>
      <c r="Z542" s="81">
        <f>(EarningsPerDay[[#This Row],[Hours]]/EarningsPerDay[[#This Row],[Deliveries]])/24</f>
        <v>2.4999999999999998E-2</v>
      </c>
      <c r="AA5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3.2166799415903391</v>
      </c>
      <c r="AB542" s="11">
        <f>AVERAGEIFS(EarningsPerDay[Gross $/Hour],EarningsPerDay[Week '#], EarningsPerDay[[#This Row],[Week '#]], EarningsPerDay[DOW], EarningsPerDay[[#This Row],[DOW]])</f>
        <v>24.976515151515155</v>
      </c>
      <c r="AC542" s="11">
        <f>EarningsPerDay[[#This Row],[Gross $/Hour]] - EarningsPerDay[[#This Row],[Weekly Average Earnings]]</f>
        <v>-2.6598484848484851</v>
      </c>
      <c r="AD542" s="11">
        <f>(SUMIFS(EarningsPerDay[Gross Earnings], EarningsPerDay[Date],"&gt;="&amp;EarningsPerDay[[#This Row],[Date]]-89, EarningsPerDay[Date], "&lt;="&amp;EarningsPerDay[[#This Row],[Date]]))/90</f>
        <v>75.306333333333328</v>
      </c>
    </row>
    <row r="543" spans="2:30" x14ac:dyDescent="0.35">
      <c r="B543" s="40">
        <v>45485</v>
      </c>
      <c r="C543" s="40">
        <f t="shared" si="51"/>
        <v>45485</v>
      </c>
      <c r="D543" s="4">
        <f>IF(EarningsPerDay[[#This Row],[Week '#]]&gt;=52,YEAR(EarningsPerDay[[#This Row],[Date]])-1,YEAR(EarningsPerDay[[#This Row],[Date]]))</f>
        <v>2024</v>
      </c>
      <c r="E543" s="4" t="str">
        <f>"QTR"&amp;IF(EarningsPerDay[[#This Row],[Week '#]] &lt;= 13, 1, IF(EarningsPerDay[[#This Row],[Week '#]] &lt;= 26, 2, IF(EarningsPerDay[[#This Row],[Week '#]] &lt;= 39, 3, 4)))</f>
        <v>QTR3</v>
      </c>
      <c r="F5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543" s="4">
        <f>IF(WEEKNUM(EarningsPerDay[[#This Row],[Date]], 2) = 53, 1, WEEKNUM(EarningsPerDay[[#This Row],[Date]],2))</f>
        <v>28</v>
      </c>
      <c r="H543" s="40" t="str">
        <f t="shared" si="52"/>
        <v>Friday</v>
      </c>
      <c r="I54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43" s="40" t="str" cm="1">
        <f t="array" ref="J543">IFERROR(VLOOKUP(MODE(IF(Combined[Date]=EarningsPerDay[[#This Row],[Date]],Combined[Area '#])),KPIs!$B$4:$C$7,2,FALSE),VLOOKUP(EarningsPerDay[[#This Row],[Date]],Combined[[Date]:[Primary Area]],8,FALSE))</f>
        <v>Portland</v>
      </c>
      <c r="K543" s="40" t="str">
        <f>_xlfn.XLOOKUP(EarningsPerDay[[#This Row],[Date]],Mileage[Date],Mileage[Weather])</f>
        <v>Partially Cloudy</v>
      </c>
      <c r="L543" s="4">
        <f>_xlfn.XLOOKUP(EarningsPerDay[[#This Row],[Date]],Mileage[Date],Mileage[Hi Temp])</f>
        <v>81</v>
      </c>
      <c r="M543" s="12">
        <f>_xlfn.XLOOKUP(EarningsPerDay[[#This Row],[Date]],Mileage[Date],Mileage[Total Time])</f>
        <v>6.28</v>
      </c>
      <c r="N543" s="4">
        <f>_xlfn.XLOOKUP(EarningsPerDay[[#This Row],[Date]],Mileage[Date],Mileage[Mileage])</f>
        <v>134</v>
      </c>
      <c r="O543" s="4">
        <f>SUMIF(Combined[Date],EarningsPerDay[[#This Row],[Date]],Combined[Trips])</f>
        <v>12</v>
      </c>
      <c r="P543">
        <f>COUNTIF(Combined[Date],EarningsPerDay[[#This Row],[Date]])</f>
        <v>3</v>
      </c>
      <c r="Q5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3" s="11">
        <f>SUMIF(Combined[Date],EarningsPerDay[[#This Row],[Date]],Combined[Earnings])</f>
        <v>127.66</v>
      </c>
      <c r="S543" s="11">
        <f ca="1">EarningsPerDay[[#This Row],[Gross Earnings]]-(EarningsPerDay[[#This Row],[Miles]]*CpM!$D$11)</f>
        <v>97.781605587809963</v>
      </c>
      <c r="T543" s="11">
        <f t="shared" si="49"/>
        <v>20.328025477707005</v>
      </c>
      <c r="U543" s="11">
        <f t="shared" ca="1" si="50"/>
        <v>15.570319361116235</v>
      </c>
      <c r="V543" s="11">
        <f>EarningsPerDay[[#This Row],[Gross Earnings]]/EarningsPerDay[[#This Row],[Deliveries]]</f>
        <v>10.638333333333334</v>
      </c>
      <c r="W543" s="11">
        <f>EarningsPerDay[[#This Row],[Gross Earnings]]/EarningsPerDay[[#This Row],[Miles]]</f>
        <v>0.9526865671641791</v>
      </c>
      <c r="X543" s="71">
        <f>EarningsPerDay[[#This Row],[Deliveries]]/EarningsPerDay[[#This Row],[Hours]]</f>
        <v>1.910828025477707</v>
      </c>
      <c r="Y543" s="71">
        <f>EarningsPerDay[[#This Row],[Miles]]/EarningsPerDay[[#This Row],[Deliveries]]</f>
        <v>11.166666666666666</v>
      </c>
      <c r="Z543" s="81">
        <f>(EarningsPerDay[[#This Row],[Hours]]/EarningsPerDay[[#This Row],[Deliveries]])/24</f>
        <v>2.1805555555555554E-2</v>
      </c>
      <c r="AA5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-1.0624901271508378</v>
      </c>
      <c r="AB543" s="11">
        <f>AVERAGEIFS(EarningsPerDay[Gross $/Hour],EarningsPerDay[Week '#], EarningsPerDay[[#This Row],[Week '#]], EarningsPerDay[DOW], EarningsPerDay[[#This Row],[DOW]])</f>
        <v>19.758050348801941</v>
      </c>
      <c r="AC543" s="11">
        <f>EarningsPerDay[[#This Row],[Gross $/Hour]] - EarningsPerDay[[#This Row],[Weekly Average Earnings]]</f>
        <v>0.56997512890506385</v>
      </c>
      <c r="AD543" s="11">
        <f>(SUMIFS(EarningsPerDay[Gross Earnings], EarningsPerDay[Date],"&gt;="&amp;EarningsPerDay[[#This Row],[Date]]-89, EarningsPerDay[Date], "&lt;="&amp;EarningsPerDay[[#This Row],[Date]]))/90</f>
        <v>75.894222222222211</v>
      </c>
    </row>
    <row r="544" spans="2:30" x14ac:dyDescent="0.35">
      <c r="B544" s="40">
        <v>45488</v>
      </c>
      <c r="C544" s="40">
        <f t="shared" ref="C544:C558" si="53">B544</f>
        <v>45488</v>
      </c>
      <c r="D544" s="4">
        <f>IF(EarningsPerDay[[#This Row],[Week '#]]&gt;=52,YEAR(EarningsPerDay[[#This Row],[Date]])-1,YEAR(EarningsPerDay[[#This Row],[Date]]))</f>
        <v>2024</v>
      </c>
      <c r="E544" s="4" t="str">
        <f>"QTR"&amp;IF(EarningsPerDay[[#This Row],[Week '#]] &lt;= 13, 1, IF(EarningsPerDay[[#This Row],[Week '#]] &lt;= 26, 2, IF(EarningsPerDay[[#This Row],[Week '#]] &lt;= 39, 3, 4)))</f>
        <v>QTR3</v>
      </c>
      <c r="F5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4" s="4">
        <f>IF(WEEKNUM(EarningsPerDay[[#This Row],[Date]], 2) = 53, 1, WEEKNUM(EarningsPerDay[[#This Row],[Date]],2))</f>
        <v>29</v>
      </c>
      <c r="H544" s="40" t="str">
        <f t="shared" ref="H544:H558" si="54">TEXT(B544,"DDDD")</f>
        <v>Monday</v>
      </c>
      <c r="I54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44" s="40" t="str" cm="1">
        <f t="array" ref="J544">IFERROR(VLOOKUP(MODE(IF(Combined[Date]=EarningsPerDay[[#This Row],[Date]],Combined[Area '#])),KPIs!$B$4:$C$7,2,FALSE),VLOOKUP(EarningsPerDay[[#This Row],[Date]],Combined[[Date]:[Primary Area]],8,FALSE))</f>
        <v>Portland</v>
      </c>
      <c r="K544" s="40" t="str">
        <f>_xlfn.XLOOKUP(EarningsPerDay[[#This Row],[Date]],Mileage[Date],Mileage[Weather])</f>
        <v>Clear</v>
      </c>
      <c r="L544" s="4">
        <f>_xlfn.XLOOKUP(EarningsPerDay[[#This Row],[Date]],Mileage[Date],Mileage[Hi Temp])</f>
        <v>79</v>
      </c>
      <c r="M544" s="12">
        <f>_xlfn.XLOOKUP(EarningsPerDay[[#This Row],[Date]],Mileage[Date],Mileage[Total Time])</f>
        <v>6.17</v>
      </c>
      <c r="N544" s="4">
        <f>_xlfn.XLOOKUP(EarningsPerDay[[#This Row],[Date]],Mileage[Date],Mileage[Mileage])</f>
        <v>136</v>
      </c>
      <c r="O544" s="4">
        <f>SUMIF(Combined[Date],EarningsPerDay[[#This Row],[Date]],Combined[Trips])</f>
        <v>12</v>
      </c>
      <c r="P544">
        <f>COUNTIF(Combined[Date],EarningsPerDay[[#This Row],[Date]])</f>
        <v>1</v>
      </c>
      <c r="Q5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4" s="11">
        <f>SUMIF(Combined[Date],EarningsPerDay[[#This Row],[Date]],Combined[Earnings])</f>
        <v>119.68</v>
      </c>
      <c r="S544" s="11">
        <f ca="1">EarningsPerDay[[#This Row],[Gross Earnings]]-(EarningsPerDay[[#This Row],[Miles]]*CpM!$D$11)</f>
        <v>89.355659402553414</v>
      </c>
      <c r="T544" s="11">
        <f t="shared" si="49"/>
        <v>19.397082658022693</v>
      </c>
      <c r="U544" s="11">
        <f t="shared" ca="1" si="50"/>
        <v>14.482278671402499</v>
      </c>
      <c r="V544" s="11">
        <f>EarningsPerDay[[#This Row],[Gross Earnings]]/EarningsPerDay[[#This Row],[Deliveries]]</f>
        <v>9.9733333333333345</v>
      </c>
      <c r="W544" s="11">
        <f>EarningsPerDay[[#This Row],[Gross Earnings]]/EarningsPerDay[[#This Row],[Miles]]</f>
        <v>0.88</v>
      </c>
      <c r="X544" s="71">
        <f>EarningsPerDay[[#This Row],[Deliveries]]/EarningsPerDay[[#This Row],[Hours]]</f>
        <v>1.9448946515397083</v>
      </c>
      <c r="Y544" s="71">
        <f>EarningsPerDay[[#This Row],[Miles]]/EarningsPerDay[[#This Row],[Deliveries]]</f>
        <v>11.333333333333334</v>
      </c>
      <c r="Z544" s="81">
        <f>(EarningsPerDay[[#This Row],[Hours]]/EarningsPerDay[[#This Row],[Deliveries]])/24</f>
        <v>2.1423611111111112E-2</v>
      </c>
      <c r="AA5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-1.2015121212698538</v>
      </c>
      <c r="AB544" s="11">
        <f>AVERAGEIFS(EarningsPerDay[Gross $/Hour],EarningsPerDay[Week '#], EarningsPerDay[[#This Row],[Week '#]], EarningsPerDay[DOW], EarningsPerDay[[#This Row],[DOW]])</f>
        <v>26.720763551233567</v>
      </c>
      <c r="AC544" s="11">
        <f>EarningsPerDay[[#This Row],[Gross $/Hour]] - EarningsPerDay[[#This Row],[Weekly Average Earnings]]</f>
        <v>-7.3236808932108737</v>
      </c>
      <c r="AD544" s="11">
        <f>(SUMIFS(EarningsPerDay[Gross Earnings], EarningsPerDay[Date],"&gt;="&amp;EarningsPerDay[[#This Row],[Date]]-89, EarningsPerDay[Date], "&lt;="&amp;EarningsPerDay[[#This Row],[Date]]))/90</f>
        <v>76.209777777777774</v>
      </c>
    </row>
    <row r="545" spans="2:30" x14ac:dyDescent="0.35">
      <c r="B545" s="40">
        <v>45489</v>
      </c>
      <c r="C545" s="40">
        <f t="shared" si="53"/>
        <v>45489</v>
      </c>
      <c r="D545" s="4">
        <f>IF(EarningsPerDay[[#This Row],[Week '#]]&gt;=52,YEAR(EarningsPerDay[[#This Row],[Date]])-1,YEAR(EarningsPerDay[[#This Row],[Date]]))</f>
        <v>2024</v>
      </c>
      <c r="E545" s="4" t="str">
        <f>"QTR"&amp;IF(EarningsPerDay[[#This Row],[Week '#]] &lt;= 13, 1, IF(EarningsPerDay[[#This Row],[Week '#]] &lt;= 26, 2, IF(EarningsPerDay[[#This Row],[Week '#]] &lt;= 39, 3, 4)))</f>
        <v>QTR3</v>
      </c>
      <c r="F5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5" s="4">
        <f>IF(WEEKNUM(EarningsPerDay[[#This Row],[Date]], 2) = 53, 1, WEEKNUM(EarningsPerDay[[#This Row],[Date]],2))</f>
        <v>29</v>
      </c>
      <c r="H545" s="40" t="str">
        <f t="shared" si="54"/>
        <v>Tuesday</v>
      </c>
      <c r="I54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45" s="40" t="str" cm="1">
        <f t="array" ref="J545">IFERROR(VLOOKUP(MODE(IF(Combined[Date]=EarningsPerDay[[#This Row],[Date]],Combined[Area '#])),KPIs!$B$4:$C$7,2,FALSE),VLOOKUP(EarningsPerDay[[#This Row],[Date]],Combined[[Date]:[Primary Area]],8,FALSE))</f>
        <v>Brunswick/Bath/Freeport</v>
      </c>
      <c r="K545" s="40" t="str">
        <f>_xlfn.XLOOKUP(EarningsPerDay[[#This Row],[Date]],Mileage[Date],Mileage[Weather])</f>
        <v>Sunny</v>
      </c>
      <c r="L545" s="4">
        <f>_xlfn.XLOOKUP(EarningsPerDay[[#This Row],[Date]],Mileage[Date],Mileage[Hi Temp])</f>
        <v>82</v>
      </c>
      <c r="M545" s="12">
        <f>_xlfn.XLOOKUP(EarningsPerDay[[#This Row],[Date]],Mileage[Date],Mileage[Total Time])</f>
        <v>5</v>
      </c>
      <c r="N545" s="4">
        <f>_xlfn.XLOOKUP(EarningsPerDay[[#This Row],[Date]],Mileage[Date],Mileage[Mileage])</f>
        <v>110</v>
      </c>
      <c r="O545" s="4">
        <f>SUMIF(Combined[Date],EarningsPerDay[[#This Row],[Date]],Combined[Trips])</f>
        <v>10</v>
      </c>
      <c r="P545">
        <f>COUNTIF(Combined[Date],EarningsPerDay[[#This Row],[Date]])</f>
        <v>2</v>
      </c>
      <c r="Q5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5" s="11">
        <f>SUMIF(Combined[Date],EarningsPerDay[[#This Row],[Date]],Combined[Earnings])</f>
        <v>116.21000000000001</v>
      </c>
      <c r="S545" s="11">
        <f ca="1">EarningsPerDay[[#This Row],[Gross Earnings]]-(EarningsPerDay[[#This Row],[Miles]]*CpM!$D$11)</f>
        <v>91.682959810888789</v>
      </c>
      <c r="T545" s="11">
        <f t="shared" si="49"/>
        <v>23.242000000000001</v>
      </c>
      <c r="U545" s="11">
        <f t="shared" ca="1" si="50"/>
        <v>18.336591962177756</v>
      </c>
      <c r="V545" s="11">
        <f>EarningsPerDay[[#This Row],[Gross Earnings]]/EarningsPerDay[[#This Row],[Deliveries]]</f>
        <v>11.621</v>
      </c>
      <c r="W545" s="11">
        <f>EarningsPerDay[[#This Row],[Gross Earnings]]/EarningsPerDay[[#This Row],[Miles]]</f>
        <v>1.0564545454545455</v>
      </c>
      <c r="X545" s="71">
        <f>EarningsPerDay[[#This Row],[Deliveries]]/EarningsPerDay[[#This Row],[Hours]]</f>
        <v>2</v>
      </c>
      <c r="Y545" s="71">
        <f>EarningsPerDay[[#This Row],[Miles]]/EarningsPerDay[[#This Row],[Deliveries]]</f>
        <v>11</v>
      </c>
      <c r="Z545" s="81">
        <f>(EarningsPerDay[[#This Row],[Hours]]/EarningsPerDay[[#This Row],[Deliveries]])/24</f>
        <v>2.0833333333333332E-2</v>
      </c>
      <c r="AA5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1.198140551570738</v>
      </c>
      <c r="AB545" s="11">
        <f>AVERAGEIFS(EarningsPerDay[Gross $/Hour],EarningsPerDay[Week '#], EarningsPerDay[[#This Row],[Week '#]], EarningsPerDay[DOW], EarningsPerDay[[#This Row],[DOW]])</f>
        <v>21.063307692307692</v>
      </c>
      <c r="AC545" s="11">
        <f>EarningsPerDay[[#This Row],[Gross $/Hour]] - EarningsPerDay[[#This Row],[Weekly Average Earnings]]</f>
        <v>2.1786923076923088</v>
      </c>
      <c r="AD545" s="11">
        <f>(SUMIFS(EarningsPerDay[Gross Earnings], EarningsPerDay[Date],"&gt;="&amp;EarningsPerDay[[#This Row],[Date]]-89, EarningsPerDay[Date], "&lt;="&amp;EarningsPerDay[[#This Row],[Date]]))/90</f>
        <v>76.940555555555548</v>
      </c>
    </row>
    <row r="546" spans="2:30" x14ac:dyDescent="0.35">
      <c r="B546" s="40">
        <v>45490</v>
      </c>
      <c r="C546" s="40">
        <f t="shared" si="53"/>
        <v>45490</v>
      </c>
      <c r="D546" s="4">
        <f>IF(EarningsPerDay[[#This Row],[Week '#]]&gt;=52,YEAR(EarningsPerDay[[#This Row],[Date]])-1,YEAR(EarningsPerDay[[#This Row],[Date]]))</f>
        <v>2024</v>
      </c>
      <c r="E546" s="4" t="str">
        <f>"QTR"&amp;IF(EarningsPerDay[[#This Row],[Week '#]] &lt;= 13, 1, IF(EarningsPerDay[[#This Row],[Week '#]] &lt;= 26, 2, IF(EarningsPerDay[[#This Row],[Week '#]] &lt;= 39, 3, 4)))</f>
        <v>QTR3</v>
      </c>
      <c r="F5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6" s="4">
        <f>IF(WEEKNUM(EarningsPerDay[[#This Row],[Date]], 2) = 53, 1, WEEKNUM(EarningsPerDay[[#This Row],[Date]],2))</f>
        <v>29</v>
      </c>
      <c r="H546" s="40" t="str">
        <f t="shared" si="54"/>
        <v>Wednesday</v>
      </c>
      <c r="I54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46" s="40" t="str" cm="1">
        <f t="array" ref="J546">IFERROR(VLOOKUP(MODE(IF(Combined[Date]=EarningsPerDay[[#This Row],[Date]],Combined[Area '#])),KPIs!$B$4:$C$7,2,FALSE),VLOOKUP(EarningsPerDay[[#This Row],[Date]],Combined[[Date]:[Primary Area]],8,FALSE))</f>
        <v>Lewiston</v>
      </c>
      <c r="K546" s="40" t="str">
        <f>_xlfn.XLOOKUP(EarningsPerDay[[#This Row],[Date]],Mileage[Date],Mileage[Weather])</f>
        <v>Partially Cloudy</v>
      </c>
      <c r="L546" s="4">
        <f>_xlfn.XLOOKUP(EarningsPerDay[[#This Row],[Date]],Mileage[Date],Mileage[Hi Temp])</f>
        <v>81</v>
      </c>
      <c r="M546" s="12">
        <f>_xlfn.XLOOKUP(EarningsPerDay[[#This Row],[Date]],Mileage[Date],Mileage[Total Time])</f>
        <v>3.37</v>
      </c>
      <c r="N546" s="4">
        <f>_xlfn.XLOOKUP(EarningsPerDay[[#This Row],[Date]],Mileage[Date],Mileage[Mileage])</f>
        <v>76</v>
      </c>
      <c r="O546" s="4">
        <f>SUMIF(Combined[Date],EarningsPerDay[[#This Row],[Date]],Combined[Trips])</f>
        <v>8</v>
      </c>
      <c r="P546">
        <f>COUNTIF(Combined[Date],EarningsPerDay[[#This Row],[Date]])</f>
        <v>2</v>
      </c>
      <c r="Q5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6" s="11">
        <f>SUMIF(Combined[Date],EarningsPerDay[[#This Row],[Date]],Combined[Earnings])</f>
        <v>58.879999999999995</v>
      </c>
      <c r="S546" s="11">
        <f ca="1">EarningsPerDay[[#This Row],[Gross Earnings]]-(EarningsPerDay[[#This Row],[Miles]]*CpM!$D$11)</f>
        <v>41.934044960250425</v>
      </c>
      <c r="T546" s="11">
        <f t="shared" si="49"/>
        <v>17.471810089020771</v>
      </c>
      <c r="U546" s="11">
        <f t="shared" ca="1" si="50"/>
        <v>12.443336783457099</v>
      </c>
      <c r="V546" s="11">
        <f>EarningsPerDay[[#This Row],[Gross Earnings]]/EarningsPerDay[[#This Row],[Deliveries]]</f>
        <v>7.3599999999999994</v>
      </c>
      <c r="W546" s="11">
        <f>EarningsPerDay[[#This Row],[Gross Earnings]]/EarningsPerDay[[#This Row],[Miles]]</f>
        <v>0.77473684210526306</v>
      </c>
      <c r="X546" s="71">
        <f>EarningsPerDay[[#This Row],[Deliveries]]/EarningsPerDay[[#This Row],[Hours]]</f>
        <v>2.3738872403560829</v>
      </c>
      <c r="Y546" s="71">
        <f>EarningsPerDay[[#This Row],[Miles]]/EarningsPerDay[[#This Row],[Deliveries]]</f>
        <v>9.5</v>
      </c>
      <c r="Z546" s="81">
        <f>(EarningsPerDay[[#This Row],[Hours]]/EarningsPerDay[[#This Row],[Deliveries]])/24</f>
        <v>1.7552083333333333E-2</v>
      </c>
      <c r="AA5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1.0293036290724515</v>
      </c>
      <c r="AB546" s="11">
        <f>AVERAGEIFS(EarningsPerDay[Gross $/Hour],EarningsPerDay[Week '#], EarningsPerDay[[#This Row],[Week '#]], EarningsPerDay[DOW], EarningsPerDay[[#This Row],[DOW]])</f>
        <v>21.177052197860014</v>
      </c>
      <c r="AC546" s="11">
        <f>EarningsPerDay[[#This Row],[Gross $/Hour]] - EarningsPerDay[[#This Row],[Weekly Average Earnings]]</f>
        <v>-3.7052421088392435</v>
      </c>
      <c r="AD546" s="11">
        <f>(SUMIFS(EarningsPerDay[Gross Earnings], EarningsPerDay[Date],"&gt;="&amp;EarningsPerDay[[#This Row],[Date]]-89, EarningsPerDay[Date], "&lt;="&amp;EarningsPerDay[[#This Row],[Date]]))/90</f>
        <v>77.594777777777765</v>
      </c>
    </row>
    <row r="547" spans="2:30" x14ac:dyDescent="0.35">
      <c r="B547" s="40">
        <v>45491</v>
      </c>
      <c r="C547" s="40">
        <f t="shared" si="53"/>
        <v>45491</v>
      </c>
      <c r="D547" s="4">
        <f>IF(EarningsPerDay[[#This Row],[Week '#]]&gt;=52,YEAR(EarningsPerDay[[#This Row],[Date]])-1,YEAR(EarningsPerDay[[#This Row],[Date]]))</f>
        <v>2024</v>
      </c>
      <c r="E547" s="4" t="str">
        <f>"QTR"&amp;IF(EarningsPerDay[[#This Row],[Week '#]] &lt;= 13, 1, IF(EarningsPerDay[[#This Row],[Week '#]] &lt;= 26, 2, IF(EarningsPerDay[[#This Row],[Week '#]] &lt;= 39, 3, 4)))</f>
        <v>QTR3</v>
      </c>
      <c r="F5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7" s="4">
        <f>IF(WEEKNUM(EarningsPerDay[[#This Row],[Date]], 2) = 53, 1, WEEKNUM(EarningsPerDay[[#This Row],[Date]],2))</f>
        <v>29</v>
      </c>
      <c r="H547" s="40" t="str">
        <f t="shared" si="54"/>
        <v>Thursday</v>
      </c>
      <c r="I54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47" s="40" t="str" cm="1">
        <f t="array" ref="J547">IFERROR(VLOOKUP(MODE(IF(Combined[Date]=EarningsPerDay[[#This Row],[Date]],Combined[Area '#])),KPIs!$B$4:$C$7,2,FALSE),VLOOKUP(EarningsPerDay[[#This Row],[Date]],Combined[[Date]:[Primary Area]],8,FALSE))</f>
        <v>Portland</v>
      </c>
      <c r="K547" s="40" t="str">
        <f>_xlfn.XLOOKUP(EarningsPerDay[[#This Row],[Date]],Mileage[Date],Mileage[Weather])</f>
        <v>Partially Cloudy</v>
      </c>
      <c r="L547" s="4">
        <f>_xlfn.XLOOKUP(EarningsPerDay[[#This Row],[Date]],Mileage[Date],Mileage[Hi Temp])</f>
        <v>81</v>
      </c>
      <c r="M547" s="12">
        <f>_xlfn.XLOOKUP(EarningsPerDay[[#This Row],[Date]],Mileage[Date],Mileage[Total Time])</f>
        <v>6.3</v>
      </c>
      <c r="N547" s="4">
        <f>_xlfn.XLOOKUP(EarningsPerDay[[#This Row],[Date]],Mileage[Date],Mileage[Mileage])</f>
        <v>146</v>
      </c>
      <c r="O547" s="4">
        <f>SUMIF(Combined[Date],EarningsPerDay[[#This Row],[Date]],Combined[Trips])</f>
        <v>10</v>
      </c>
      <c r="P547">
        <f>COUNTIF(Combined[Date],EarningsPerDay[[#This Row],[Date]])</f>
        <v>3</v>
      </c>
      <c r="Q5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7" s="11">
        <f>SUMIF(Combined[Date],EarningsPerDay[[#This Row],[Date]],Combined[Earnings])</f>
        <v>139.69</v>
      </c>
      <c r="S547" s="11">
        <f ca="1">EarningsPerDay[[#This Row],[Gross Earnings]]-(EarningsPerDay[[#This Row],[Miles]]*CpM!$D$11)</f>
        <v>107.13592847627055</v>
      </c>
      <c r="T547" s="11">
        <f t="shared" si="49"/>
        <v>22.173015873015874</v>
      </c>
      <c r="U547" s="11">
        <f t="shared" ca="1" si="50"/>
        <v>17.005702932741357</v>
      </c>
      <c r="V547" s="11">
        <f>EarningsPerDay[[#This Row],[Gross Earnings]]/EarningsPerDay[[#This Row],[Deliveries]]</f>
        <v>13.968999999999999</v>
      </c>
      <c r="W547" s="11">
        <f>EarningsPerDay[[#This Row],[Gross Earnings]]/EarningsPerDay[[#This Row],[Miles]]</f>
        <v>0.95678082191780822</v>
      </c>
      <c r="X547" s="71">
        <f>EarningsPerDay[[#This Row],[Deliveries]]/EarningsPerDay[[#This Row],[Hours]]</f>
        <v>1.5873015873015874</v>
      </c>
      <c r="Y547" s="71">
        <f>EarningsPerDay[[#This Row],[Miles]]/EarningsPerDay[[#This Row],[Deliveries]]</f>
        <v>14.6</v>
      </c>
      <c r="Z547" s="81">
        <f>(EarningsPerDay[[#This Row],[Hours]]/EarningsPerDay[[#This Row],[Deliveries]])/24</f>
        <v>2.6249999999999999E-2</v>
      </c>
      <c r="AA5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0.33282569344324742</v>
      </c>
      <c r="AB547" s="11">
        <f>AVERAGEIFS(EarningsPerDay[Gross $/Hour],EarningsPerDay[Week '#], EarningsPerDay[[#This Row],[Week '#]], EarningsPerDay[DOW], EarningsPerDay[[#This Row],[DOW]])</f>
        <v>17.497399025616847</v>
      </c>
      <c r="AC547" s="11">
        <f>EarningsPerDay[[#This Row],[Gross $/Hour]] - EarningsPerDay[[#This Row],[Weekly Average Earnings]]</f>
        <v>4.6756168473990272</v>
      </c>
      <c r="AD547" s="11">
        <f>(SUMIFS(EarningsPerDay[Gross Earnings], EarningsPerDay[Date],"&gt;="&amp;EarningsPerDay[[#This Row],[Date]]-89, EarningsPerDay[Date], "&lt;="&amp;EarningsPerDay[[#This Row],[Date]]))/90</f>
        <v>78.316333333333318</v>
      </c>
    </row>
    <row r="548" spans="2:30" x14ac:dyDescent="0.35">
      <c r="B548" s="40">
        <v>45492</v>
      </c>
      <c r="C548" s="40">
        <f t="shared" si="53"/>
        <v>45492</v>
      </c>
      <c r="D548" s="4">
        <f>IF(EarningsPerDay[[#This Row],[Week '#]]&gt;=52,YEAR(EarningsPerDay[[#This Row],[Date]])-1,YEAR(EarningsPerDay[[#This Row],[Date]]))</f>
        <v>2024</v>
      </c>
      <c r="E548" s="4" t="str">
        <f>"QTR"&amp;IF(EarningsPerDay[[#This Row],[Week '#]] &lt;= 13, 1, IF(EarningsPerDay[[#This Row],[Week '#]] &lt;= 26, 2, IF(EarningsPerDay[[#This Row],[Week '#]] &lt;= 39, 3, 4)))</f>
        <v>QTR3</v>
      </c>
      <c r="F5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8" s="4">
        <f>IF(WEEKNUM(EarningsPerDay[[#This Row],[Date]], 2) = 53, 1, WEEKNUM(EarningsPerDay[[#This Row],[Date]],2))</f>
        <v>29</v>
      </c>
      <c r="H548" s="40" t="str">
        <f t="shared" si="54"/>
        <v>Friday</v>
      </c>
      <c r="I54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48" s="40" t="str" cm="1">
        <f t="array" ref="J548">IFERROR(VLOOKUP(MODE(IF(Combined[Date]=EarningsPerDay[[#This Row],[Date]],Combined[Area '#])),KPIs!$B$4:$C$7,2,FALSE),VLOOKUP(EarningsPerDay[[#This Row],[Date]],Combined[[Date]:[Primary Area]],8,FALSE))</f>
        <v>Brunswick/Bath/Freeport</v>
      </c>
      <c r="K548" s="40" t="str">
        <f>_xlfn.XLOOKUP(EarningsPerDay[[#This Row],[Date]],Mileage[Date],Mileage[Weather])</f>
        <v>Partially Cloudy</v>
      </c>
      <c r="L548" s="4">
        <f>_xlfn.XLOOKUP(EarningsPerDay[[#This Row],[Date]],Mileage[Date],Mileage[Hi Temp])</f>
        <v>81</v>
      </c>
      <c r="M548" s="12">
        <f>_xlfn.XLOOKUP(EarningsPerDay[[#This Row],[Date]],Mileage[Date],Mileage[Total Time])</f>
        <v>7.23</v>
      </c>
      <c r="N548" s="4">
        <f>_xlfn.XLOOKUP(EarningsPerDay[[#This Row],[Date]],Mileage[Date],Mileage[Mileage])</f>
        <v>158</v>
      </c>
      <c r="O548" s="4">
        <f>SUMIF(Combined[Date],EarningsPerDay[[#This Row],[Date]],Combined[Trips])</f>
        <v>16</v>
      </c>
      <c r="P548">
        <f>COUNTIF(Combined[Date],EarningsPerDay[[#This Row],[Date]])</f>
        <v>4</v>
      </c>
      <c r="Q5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8" s="11">
        <f>SUMIF(Combined[Date],EarningsPerDay[[#This Row],[Date]],Combined[Earnings])</f>
        <v>147.6</v>
      </c>
      <c r="S548" s="11">
        <f ca="1">EarningsPerDay[[#This Row],[Gross Earnings]]-(EarningsPerDay[[#This Row],[Miles]]*CpM!$D$11)</f>
        <v>112.37025136473116</v>
      </c>
      <c r="T548" s="11">
        <f t="shared" si="49"/>
        <v>20.414937759336098</v>
      </c>
      <c r="U548" s="11">
        <f t="shared" ca="1" si="50"/>
        <v>15.542220105771944</v>
      </c>
      <c r="V548" s="11">
        <f>EarningsPerDay[[#This Row],[Gross Earnings]]/EarningsPerDay[[#This Row],[Deliveries]]</f>
        <v>9.2249999999999996</v>
      </c>
      <c r="W548" s="11">
        <f>EarningsPerDay[[#This Row],[Gross Earnings]]/EarningsPerDay[[#This Row],[Miles]]</f>
        <v>0.9341772151898734</v>
      </c>
      <c r="X548" s="71">
        <f>EarningsPerDay[[#This Row],[Deliveries]]/EarningsPerDay[[#This Row],[Hours]]</f>
        <v>2.2130013831258641</v>
      </c>
      <c r="Y548" s="71">
        <f>EarningsPerDay[[#This Row],[Miles]]/EarningsPerDay[[#This Row],[Deliveries]]</f>
        <v>9.875</v>
      </c>
      <c r="Z548" s="81">
        <f>(EarningsPerDay[[#This Row],[Hours]]/EarningsPerDay[[#This Row],[Deliveries]])/24</f>
        <v>1.8828125000000001E-2</v>
      </c>
      <c r="AA5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-2.0885072563845739</v>
      </c>
      <c r="AB548" s="11">
        <f>AVERAGEIFS(EarningsPerDay[Gross $/Hour],EarningsPerDay[Week '#], EarningsPerDay[[#This Row],[Week '#]], EarningsPerDay[DOW], EarningsPerDay[[#This Row],[DOW]])</f>
        <v>19.277372919603788</v>
      </c>
      <c r="AC548" s="11">
        <f>EarningsPerDay[[#This Row],[Gross $/Hour]] - EarningsPerDay[[#This Row],[Weekly Average Earnings]]</f>
        <v>1.1375648397323097</v>
      </c>
      <c r="AD548" s="11">
        <f>(SUMIFS(EarningsPerDay[Gross Earnings], EarningsPerDay[Date],"&gt;="&amp;EarningsPerDay[[#This Row],[Date]]-89, EarningsPerDay[Date], "&lt;="&amp;EarningsPerDay[[#This Row],[Date]]))/90</f>
        <v>78.792777777777772</v>
      </c>
    </row>
    <row r="549" spans="2:30" x14ac:dyDescent="0.35">
      <c r="B549" s="40">
        <v>45493</v>
      </c>
      <c r="C549" s="40">
        <f t="shared" si="53"/>
        <v>45493</v>
      </c>
      <c r="D549" s="4">
        <f>IF(EarningsPerDay[[#This Row],[Week '#]]&gt;=52,YEAR(EarningsPerDay[[#This Row],[Date]])-1,YEAR(EarningsPerDay[[#This Row],[Date]]))</f>
        <v>2024</v>
      </c>
      <c r="E549" s="4" t="str">
        <f>"QTR"&amp;IF(EarningsPerDay[[#This Row],[Week '#]] &lt;= 13, 1, IF(EarningsPerDay[[#This Row],[Week '#]] &lt;= 26, 2, IF(EarningsPerDay[[#This Row],[Week '#]] &lt;= 39, 3, 4)))</f>
        <v>QTR3</v>
      </c>
      <c r="F5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549" s="4">
        <f>IF(WEEKNUM(EarningsPerDay[[#This Row],[Date]], 2) = 53, 1, WEEKNUM(EarningsPerDay[[#This Row],[Date]],2))</f>
        <v>29</v>
      </c>
      <c r="H549" s="40" t="str">
        <f t="shared" si="54"/>
        <v>Saturday</v>
      </c>
      <c r="I549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549" s="40" t="str" cm="1">
        <f t="array" ref="J549">IFERROR(VLOOKUP(MODE(IF(Combined[Date]=EarningsPerDay[[#This Row],[Date]],Combined[Area '#])),KPIs!$B$4:$C$7,2,FALSE),VLOOKUP(EarningsPerDay[[#This Row],[Date]],Combined[[Date]:[Primary Area]],8,FALSE))</f>
        <v>Augusta</v>
      </c>
      <c r="K549" s="40" t="str">
        <f>_xlfn.XLOOKUP(EarningsPerDay[[#This Row],[Date]],Mileage[Date],Mileage[Weather])</f>
        <v>Clear</v>
      </c>
      <c r="L549" s="4">
        <f>_xlfn.XLOOKUP(EarningsPerDay[[#This Row],[Date]],Mileage[Date],Mileage[Hi Temp])</f>
        <v>81</v>
      </c>
      <c r="M549" s="12">
        <f>_xlfn.XLOOKUP(EarningsPerDay[[#This Row],[Date]],Mileage[Date],Mileage[Total Time])</f>
        <v>6.92</v>
      </c>
      <c r="N549" s="4">
        <f>_xlfn.XLOOKUP(EarningsPerDay[[#This Row],[Date]],Mileage[Date],Mileage[Mileage])</f>
        <v>170</v>
      </c>
      <c r="O549" s="4">
        <f>SUMIF(Combined[Date],EarningsPerDay[[#This Row],[Date]],Combined[Trips])</f>
        <v>12</v>
      </c>
      <c r="P549">
        <f>COUNTIF(Combined[Date],EarningsPerDay[[#This Row],[Date]])</f>
        <v>4</v>
      </c>
      <c r="Q5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49" s="11">
        <f>SUMIF(Combined[Date],EarningsPerDay[[#This Row],[Date]],Combined[Earnings])</f>
        <v>156.67000000000002</v>
      </c>
      <c r="S549" s="11">
        <f ca="1">EarningsPerDay[[#This Row],[Gross Earnings]]-(EarningsPerDay[[#This Row],[Miles]]*CpM!$D$11)</f>
        <v>118.76457425319177</v>
      </c>
      <c r="T549" s="11">
        <f t="shared" si="49"/>
        <v>22.640173410404628</v>
      </c>
      <c r="U549" s="11">
        <f t="shared" ca="1" si="50"/>
        <v>17.162510730230025</v>
      </c>
      <c r="V549" s="11">
        <f>EarningsPerDay[[#This Row],[Gross Earnings]]/EarningsPerDay[[#This Row],[Deliveries]]</f>
        <v>13.055833333333334</v>
      </c>
      <c r="W549" s="11">
        <f>EarningsPerDay[[#This Row],[Gross Earnings]]/EarningsPerDay[[#This Row],[Miles]]</f>
        <v>0.92158823529411771</v>
      </c>
      <c r="X549" s="71">
        <f>EarningsPerDay[[#This Row],[Deliveries]]/EarningsPerDay[[#This Row],[Hours]]</f>
        <v>1.7341040462427746</v>
      </c>
      <c r="Y549" s="71">
        <f>EarningsPerDay[[#This Row],[Miles]]/EarningsPerDay[[#This Row],[Deliveries]]</f>
        <v>14.166666666666666</v>
      </c>
      <c r="Z549" s="81">
        <f>(EarningsPerDay[[#This Row],[Hours]]/EarningsPerDay[[#This Row],[Deliveries]])/24</f>
        <v>2.4027777777777776E-2</v>
      </c>
      <c r="AA5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4.5676827040849268</v>
      </c>
      <c r="AB549" s="11">
        <f>AVERAGEIFS(EarningsPerDay[Gross $/Hour],EarningsPerDay[Week '#], EarningsPerDay[[#This Row],[Week '#]], EarningsPerDay[DOW], EarningsPerDay[[#This Row],[DOW]])</f>
        <v>20.038561698743642</v>
      </c>
      <c r="AC549" s="11">
        <f>EarningsPerDay[[#This Row],[Gross $/Hour]] - EarningsPerDay[[#This Row],[Weekly Average Earnings]]</f>
        <v>2.6016117116609863</v>
      </c>
      <c r="AD549" s="11">
        <f>(SUMIFS(EarningsPerDay[Gross Earnings], EarningsPerDay[Date],"&gt;="&amp;EarningsPerDay[[#This Row],[Date]]-89, EarningsPerDay[Date], "&lt;="&amp;EarningsPerDay[[#This Row],[Date]]))/90</f>
        <v>79.103999999999999</v>
      </c>
    </row>
    <row r="550" spans="2:30" x14ac:dyDescent="0.35">
      <c r="B550" s="40">
        <v>45495</v>
      </c>
      <c r="C550" s="40">
        <f t="shared" si="53"/>
        <v>45495</v>
      </c>
      <c r="D550" s="4">
        <f>IF(EarningsPerDay[[#This Row],[Week '#]]&gt;=52,YEAR(EarningsPerDay[[#This Row],[Date]])-1,YEAR(EarningsPerDay[[#This Row],[Date]]))</f>
        <v>2024</v>
      </c>
      <c r="E550" s="4" t="str">
        <f>"QTR"&amp;IF(EarningsPerDay[[#This Row],[Week '#]] &lt;= 13, 1, IF(EarningsPerDay[[#This Row],[Week '#]] &lt;= 26, 2, IF(EarningsPerDay[[#This Row],[Week '#]] &lt;= 39, 3, 4)))</f>
        <v>QTR3</v>
      </c>
      <c r="F5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550" s="4">
        <f>IF(WEEKNUM(EarningsPerDay[[#This Row],[Date]], 2) = 53, 1, WEEKNUM(EarningsPerDay[[#This Row],[Date]],2))</f>
        <v>30</v>
      </c>
      <c r="H550" s="40" t="str">
        <f t="shared" si="54"/>
        <v>Monday</v>
      </c>
      <c r="I5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50" s="40" t="str" cm="1">
        <f t="array" ref="J550">IFERROR(VLOOKUP(MODE(IF(Combined[Date]=EarningsPerDay[[#This Row],[Date]],Combined[Area '#])),KPIs!$B$4:$C$7,2,FALSE),VLOOKUP(EarningsPerDay[[#This Row],[Date]],Combined[[Date]:[Primary Area]],8,FALSE))</f>
        <v>Portland</v>
      </c>
      <c r="K550" s="40" t="str">
        <f>_xlfn.XLOOKUP(EarningsPerDay[[#This Row],[Date]],Mileage[Date],Mileage[Weather])</f>
        <v>Clear</v>
      </c>
      <c r="L550" s="4">
        <f>_xlfn.XLOOKUP(EarningsPerDay[[#This Row],[Date]],Mileage[Date],Mileage[Hi Temp])</f>
        <v>73</v>
      </c>
      <c r="M550" s="12">
        <f>_xlfn.XLOOKUP(EarningsPerDay[[#This Row],[Date]],Mileage[Date],Mileage[Total Time])</f>
        <v>6.08</v>
      </c>
      <c r="N550" s="4">
        <f>_xlfn.XLOOKUP(EarningsPerDay[[#This Row],[Date]],Mileage[Date],Mileage[Mileage])</f>
        <v>137</v>
      </c>
      <c r="O550" s="4">
        <f>SUMIF(Combined[Date],EarningsPerDay[[#This Row],[Date]],Combined[Trips])</f>
        <v>12</v>
      </c>
      <c r="P550">
        <f>COUNTIF(Combined[Date],EarningsPerDay[[#This Row],[Date]])</f>
        <v>4</v>
      </c>
      <c r="Q5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0" s="11">
        <f>SUMIF(Combined[Date],EarningsPerDay[[#This Row],[Date]],Combined[Earnings])</f>
        <v>122.99</v>
      </c>
      <c r="S550" s="11">
        <f ca="1">EarningsPerDay[[#This Row],[Gross Earnings]]-(EarningsPerDay[[#This Row],[Miles]]*CpM!$D$11)</f>
        <v>92.442686309925108</v>
      </c>
      <c r="T550" s="11">
        <f t="shared" si="49"/>
        <v>20.22861842105263</v>
      </c>
      <c r="U550" s="11">
        <f t="shared" ca="1" si="50"/>
        <v>15.204389195711366</v>
      </c>
      <c r="V550" s="11">
        <f>EarningsPerDay[[#This Row],[Gross Earnings]]/EarningsPerDay[[#This Row],[Deliveries]]</f>
        <v>10.249166666666666</v>
      </c>
      <c r="W550" s="11">
        <f>EarningsPerDay[[#This Row],[Gross Earnings]]/EarningsPerDay[[#This Row],[Miles]]</f>
        <v>0.89773722627737218</v>
      </c>
      <c r="X550" s="71">
        <f>EarningsPerDay[[#This Row],[Deliveries]]/EarningsPerDay[[#This Row],[Hours]]</f>
        <v>1.9736842105263157</v>
      </c>
      <c r="Y550" s="71">
        <f>EarningsPerDay[[#This Row],[Miles]]/EarningsPerDay[[#This Row],[Deliveries]]</f>
        <v>11.416666666666666</v>
      </c>
      <c r="Z550" s="81">
        <f>(EarningsPerDay[[#This Row],[Hours]]/EarningsPerDay[[#This Row],[Deliveries]])/24</f>
        <v>2.1111111111111112E-2</v>
      </c>
      <c r="AA5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-0.23647501143215521</v>
      </c>
      <c r="AB550" s="11">
        <f>AVERAGEIFS(EarningsPerDay[Gross $/Hour],EarningsPerDay[Week '#], EarningsPerDay[[#This Row],[Week '#]], EarningsPerDay[DOW], EarningsPerDay[[#This Row],[DOW]])</f>
        <v>21.493139294091776</v>
      </c>
      <c r="AC550" s="11">
        <f>EarningsPerDay[[#This Row],[Gross $/Hour]] - EarningsPerDay[[#This Row],[Weekly Average Earnings]]</f>
        <v>-1.264520873039146</v>
      </c>
      <c r="AD550" s="11">
        <f>(SUMIFS(EarningsPerDay[Gross Earnings], EarningsPerDay[Date],"&gt;="&amp;EarningsPerDay[[#This Row],[Date]]-89, EarningsPerDay[Date], "&lt;="&amp;EarningsPerDay[[#This Row],[Date]]))/90</f>
        <v>79.028333333333322</v>
      </c>
    </row>
    <row r="551" spans="2:30" x14ac:dyDescent="0.35">
      <c r="B551" s="40">
        <v>45496</v>
      </c>
      <c r="C551" s="40">
        <f t="shared" si="53"/>
        <v>45496</v>
      </c>
      <c r="D551" s="4">
        <f>IF(EarningsPerDay[[#This Row],[Week '#]]&gt;=52,YEAR(EarningsPerDay[[#This Row],[Date]])-1,YEAR(EarningsPerDay[[#This Row],[Date]]))</f>
        <v>2024</v>
      </c>
      <c r="E551" s="4" t="str">
        <f>"QTR"&amp;IF(EarningsPerDay[[#This Row],[Week '#]] &lt;= 13, 1, IF(EarningsPerDay[[#This Row],[Week '#]] &lt;= 26, 2, IF(EarningsPerDay[[#This Row],[Week '#]] &lt;= 39, 3, 4)))</f>
        <v>QTR3</v>
      </c>
      <c r="F5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551" s="4">
        <f>IF(WEEKNUM(EarningsPerDay[[#This Row],[Date]], 2) = 53, 1, WEEKNUM(EarningsPerDay[[#This Row],[Date]],2))</f>
        <v>30</v>
      </c>
      <c r="H551" s="40" t="str">
        <f t="shared" si="54"/>
        <v>Tuesday</v>
      </c>
      <c r="I55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51" s="40" t="str" cm="1">
        <f t="array" ref="J551">IFERROR(VLOOKUP(MODE(IF(Combined[Date]=EarningsPerDay[[#This Row],[Date]],Combined[Area '#])),KPIs!$B$4:$C$7,2,FALSE),VLOOKUP(EarningsPerDay[[#This Row],[Date]],Combined[[Date]:[Primary Area]],8,FALSE))</f>
        <v>Brunswick/Bath/Freeport</v>
      </c>
      <c r="K551" s="40" t="str">
        <f>_xlfn.XLOOKUP(EarningsPerDay[[#This Row],[Date]],Mileage[Date],Mileage[Weather])</f>
        <v>Mostly Cloudy</v>
      </c>
      <c r="L551" s="4">
        <f>_xlfn.XLOOKUP(EarningsPerDay[[#This Row],[Date]],Mileage[Date],Mileage[Hi Temp])</f>
        <v>73</v>
      </c>
      <c r="M551" s="12">
        <f>_xlfn.XLOOKUP(EarningsPerDay[[#This Row],[Date]],Mileage[Date],Mileage[Total Time])</f>
        <v>4.87</v>
      </c>
      <c r="N551" s="4">
        <f>_xlfn.XLOOKUP(EarningsPerDay[[#This Row],[Date]],Mileage[Date],Mileage[Mileage])</f>
        <v>96</v>
      </c>
      <c r="O551" s="4">
        <f>SUMIF(Combined[Date],EarningsPerDay[[#This Row],[Date]],Combined[Trips])</f>
        <v>9</v>
      </c>
      <c r="P551">
        <f>COUNTIF(Combined[Date],EarningsPerDay[[#This Row],[Date]])</f>
        <v>4</v>
      </c>
      <c r="Q5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1" s="11">
        <f>SUMIF(Combined[Date],EarningsPerDay[[#This Row],[Date]],Combined[Earnings])</f>
        <v>91.11</v>
      </c>
      <c r="S551" s="11">
        <f ca="1">EarningsPerDay[[#This Row],[Gross Earnings]]-(EarningsPerDay[[#This Row],[Miles]]*CpM!$D$11)</f>
        <v>69.704583107684755</v>
      </c>
      <c r="T551" s="11">
        <f t="shared" si="49"/>
        <v>18.708418891170432</v>
      </c>
      <c r="U551" s="11">
        <f t="shared" ca="1" si="50"/>
        <v>14.313056079606726</v>
      </c>
      <c r="V551" s="11">
        <f>EarningsPerDay[[#This Row],[Gross Earnings]]/EarningsPerDay[[#This Row],[Deliveries]]</f>
        <v>10.123333333333333</v>
      </c>
      <c r="W551" s="11">
        <f>EarningsPerDay[[#This Row],[Gross Earnings]]/EarningsPerDay[[#This Row],[Miles]]</f>
        <v>0.94906250000000003</v>
      </c>
      <c r="X551" s="71">
        <f>EarningsPerDay[[#This Row],[Deliveries]]/EarningsPerDay[[#This Row],[Hours]]</f>
        <v>1.8480492813141682</v>
      </c>
      <c r="Y551" s="71">
        <f>EarningsPerDay[[#This Row],[Miles]]/EarningsPerDay[[#This Row],[Deliveries]]</f>
        <v>10.666666666666666</v>
      </c>
      <c r="Z551" s="81">
        <f>(EarningsPerDay[[#This Row],[Hours]]/EarningsPerDay[[#This Row],[Deliveries]])/24</f>
        <v>2.2546296296296297E-2</v>
      </c>
      <c r="AA5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-3.5351306491872876</v>
      </c>
      <c r="AB551" s="11">
        <f>AVERAGEIFS(EarningsPerDay[Gross $/Hour],EarningsPerDay[Week '#], EarningsPerDay[[#This Row],[Week '#]], EarningsPerDay[DOW], EarningsPerDay[[#This Row],[DOW]])</f>
        <v>19.176198587306246</v>
      </c>
      <c r="AC551" s="11">
        <f>EarningsPerDay[[#This Row],[Gross $/Hour]] - EarningsPerDay[[#This Row],[Weekly Average Earnings]]</f>
        <v>-0.46777969613581405</v>
      </c>
      <c r="AD551" s="11">
        <f>(SUMIFS(EarningsPerDay[Gross Earnings], EarningsPerDay[Date],"&gt;="&amp;EarningsPerDay[[#This Row],[Date]]-89, EarningsPerDay[Date], "&lt;="&amp;EarningsPerDay[[#This Row],[Date]]))/90</f>
        <v>80.040666666666652</v>
      </c>
    </row>
    <row r="552" spans="2:30" x14ac:dyDescent="0.35">
      <c r="B552" s="40">
        <v>45497</v>
      </c>
      <c r="C552" s="40">
        <f t="shared" si="53"/>
        <v>45497</v>
      </c>
      <c r="D552" s="4">
        <f>IF(EarningsPerDay[[#This Row],[Week '#]]&gt;=52,YEAR(EarningsPerDay[[#This Row],[Date]])-1,YEAR(EarningsPerDay[[#This Row],[Date]]))</f>
        <v>2024</v>
      </c>
      <c r="E552" s="4" t="str">
        <f>"QTR"&amp;IF(EarningsPerDay[[#This Row],[Week '#]] &lt;= 13, 1, IF(EarningsPerDay[[#This Row],[Week '#]] &lt;= 26, 2, IF(EarningsPerDay[[#This Row],[Week '#]] &lt;= 39, 3, 4)))</f>
        <v>QTR3</v>
      </c>
      <c r="F5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552" s="4">
        <f>IF(WEEKNUM(EarningsPerDay[[#This Row],[Date]], 2) = 53, 1, WEEKNUM(EarningsPerDay[[#This Row],[Date]],2))</f>
        <v>30</v>
      </c>
      <c r="H552" s="40" t="str">
        <f t="shared" si="54"/>
        <v>Wednesday</v>
      </c>
      <c r="I55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52" s="40" t="str" cm="1">
        <f t="array" ref="J552">IFERROR(VLOOKUP(MODE(IF(Combined[Date]=EarningsPerDay[[#This Row],[Date]],Combined[Area '#])),KPIs!$B$4:$C$7,2,FALSE),VLOOKUP(EarningsPerDay[[#This Row],[Date]],Combined[[Date]:[Primary Area]],8,FALSE))</f>
        <v>Brunswick/Bath/Freeport</v>
      </c>
      <c r="K552" s="40" t="str">
        <f>_xlfn.XLOOKUP(EarningsPerDay[[#This Row],[Date]],Mileage[Date],Mileage[Weather])</f>
        <v>Overcast</v>
      </c>
      <c r="L552" s="4">
        <f>_xlfn.XLOOKUP(EarningsPerDay[[#This Row],[Date]],Mileage[Date],Mileage[Hi Temp])</f>
        <v>74</v>
      </c>
      <c r="M552" s="12">
        <f>_xlfn.XLOOKUP(EarningsPerDay[[#This Row],[Date]],Mileage[Date],Mileage[Total Time])</f>
        <v>6.45</v>
      </c>
      <c r="N552" s="4">
        <f>_xlfn.XLOOKUP(EarningsPerDay[[#This Row],[Date]],Mileage[Date],Mileage[Mileage])</f>
        <v>142</v>
      </c>
      <c r="O552" s="4">
        <f>SUMIF(Combined[Date],EarningsPerDay[[#This Row],[Date]],Combined[Trips])</f>
        <v>16</v>
      </c>
      <c r="P552">
        <f>COUNTIF(Combined[Date],EarningsPerDay[[#This Row],[Date]])</f>
        <v>3</v>
      </c>
      <c r="Q5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2" s="11">
        <f>SUMIF(Combined[Date],EarningsPerDay[[#This Row],[Date]],Combined[Earnings])</f>
        <v>144.25</v>
      </c>
      <c r="S552" s="11">
        <f ca="1">EarningsPerDay[[#This Row],[Gross Earnings]]-(EarningsPerDay[[#This Row],[Miles]]*CpM!$D$11)</f>
        <v>112.5878208467837</v>
      </c>
      <c r="T552" s="11">
        <f t="shared" si="49"/>
        <v>22.364341085271317</v>
      </c>
      <c r="U552" s="11">
        <f t="shared" ca="1" si="50"/>
        <v>17.455476100276542</v>
      </c>
      <c r="V552" s="11">
        <f>EarningsPerDay[[#This Row],[Gross Earnings]]/EarningsPerDay[[#This Row],[Deliveries]]</f>
        <v>9.015625</v>
      </c>
      <c r="W552" s="11">
        <f>EarningsPerDay[[#This Row],[Gross Earnings]]/EarningsPerDay[[#This Row],[Miles]]</f>
        <v>1.0158450704225352</v>
      </c>
      <c r="X552" s="71">
        <f>EarningsPerDay[[#This Row],[Deliveries]]/EarningsPerDay[[#This Row],[Hours]]</f>
        <v>2.4806201550387597</v>
      </c>
      <c r="Y552" s="71">
        <f>EarningsPerDay[[#This Row],[Miles]]/EarningsPerDay[[#This Row],[Deliveries]]</f>
        <v>8.875</v>
      </c>
      <c r="Z552" s="81">
        <f>(EarningsPerDay[[#This Row],[Hours]]/EarningsPerDay[[#This Row],[Deliveries]])/24</f>
        <v>1.6796874999999999E-2</v>
      </c>
      <c r="AA5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-1.9472226950549896</v>
      </c>
      <c r="AB552" s="11">
        <f>AVERAGEIFS(EarningsPerDay[Gross $/Hour],EarningsPerDay[Week '#], EarningsPerDay[[#This Row],[Week '#]], EarningsPerDay[DOW], EarningsPerDay[[#This Row],[DOW]])</f>
        <v>26.04195315133131</v>
      </c>
      <c r="AC552" s="11">
        <f>EarningsPerDay[[#This Row],[Gross $/Hour]] - EarningsPerDay[[#This Row],[Weekly Average Earnings]]</f>
        <v>-3.6776120660599929</v>
      </c>
      <c r="AD552" s="11">
        <f>(SUMIFS(EarningsPerDay[Gross Earnings], EarningsPerDay[Date],"&gt;="&amp;EarningsPerDay[[#This Row],[Date]]-89, EarningsPerDay[Date], "&lt;="&amp;EarningsPerDay[[#This Row],[Date]]))/90</f>
        <v>80.881111111111096</v>
      </c>
    </row>
    <row r="553" spans="2:30" x14ac:dyDescent="0.35">
      <c r="B553" s="40">
        <v>45499</v>
      </c>
      <c r="C553" s="40">
        <f t="shared" si="53"/>
        <v>45499</v>
      </c>
      <c r="D553" s="4">
        <f>IF(EarningsPerDay[[#This Row],[Week '#]]&gt;=52,YEAR(EarningsPerDay[[#This Row],[Date]])-1,YEAR(EarningsPerDay[[#This Row],[Date]]))</f>
        <v>2024</v>
      </c>
      <c r="E553" s="4" t="str">
        <f>"QTR"&amp;IF(EarningsPerDay[[#This Row],[Week '#]] &lt;= 13, 1, IF(EarningsPerDay[[#This Row],[Week '#]] &lt;= 26, 2, IF(EarningsPerDay[[#This Row],[Week '#]] &lt;= 39, 3, 4)))</f>
        <v>QTR3</v>
      </c>
      <c r="F5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553" s="4">
        <f>IF(WEEKNUM(EarningsPerDay[[#This Row],[Date]], 2) = 53, 1, WEEKNUM(EarningsPerDay[[#This Row],[Date]],2))</f>
        <v>30</v>
      </c>
      <c r="H553" s="40" t="str">
        <f t="shared" si="54"/>
        <v>Friday</v>
      </c>
      <c r="I55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53" s="40" t="str" cm="1">
        <f t="array" ref="J553">IFERROR(VLOOKUP(MODE(IF(Combined[Date]=EarningsPerDay[[#This Row],[Date]],Combined[Area '#])),KPIs!$B$4:$C$7,2,FALSE),VLOOKUP(EarningsPerDay[[#This Row],[Date]],Combined[[Date]:[Primary Area]],8,FALSE))</f>
        <v>Portland</v>
      </c>
      <c r="K553" s="40" t="str">
        <f>_xlfn.XLOOKUP(EarningsPerDay[[#This Row],[Date]],Mileage[Date],Mileage[Weather])</f>
        <v>Clear</v>
      </c>
      <c r="L553" s="4">
        <f>_xlfn.XLOOKUP(EarningsPerDay[[#This Row],[Date]],Mileage[Date],Mileage[Hi Temp])</f>
        <v>81</v>
      </c>
      <c r="M553" s="12">
        <f>_xlfn.XLOOKUP(EarningsPerDay[[#This Row],[Date]],Mileage[Date],Mileage[Total Time])</f>
        <v>8.6999999999999993</v>
      </c>
      <c r="N553" s="4">
        <f>_xlfn.XLOOKUP(EarningsPerDay[[#This Row],[Date]],Mileage[Date],Mileage[Mileage])</f>
        <v>230</v>
      </c>
      <c r="O553" s="4">
        <f>SUMIF(Combined[Date],EarningsPerDay[[#This Row],[Date]],Combined[Trips])</f>
        <v>14</v>
      </c>
      <c r="P553">
        <f>COUNTIF(Combined[Date],EarningsPerDay[[#This Row],[Date]])</f>
        <v>3</v>
      </c>
      <c r="Q5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3" s="11">
        <f>SUMIF(Combined[Date],EarningsPerDay[[#This Row],[Date]],Combined[Earnings])</f>
        <v>180.29999999999998</v>
      </c>
      <c r="S553" s="11">
        <f ca="1">EarningsPerDay[[#This Row],[Gross Earnings]]-(EarningsPerDay[[#This Row],[Miles]]*CpM!$D$11)</f>
        <v>129.01618869549469</v>
      </c>
      <c r="T553" s="11">
        <f t="shared" si="49"/>
        <v>20.724137931034484</v>
      </c>
      <c r="U553" s="11">
        <f t="shared" ca="1" si="50"/>
        <v>14.829446976493644</v>
      </c>
      <c r="V553" s="11">
        <f>EarningsPerDay[[#This Row],[Gross Earnings]]/EarningsPerDay[[#This Row],[Deliveries]]</f>
        <v>12.878571428571428</v>
      </c>
      <c r="W553" s="11">
        <f>EarningsPerDay[[#This Row],[Gross Earnings]]/EarningsPerDay[[#This Row],[Miles]]</f>
        <v>0.78391304347826074</v>
      </c>
      <c r="X553" s="71">
        <f>EarningsPerDay[[#This Row],[Deliveries]]/EarningsPerDay[[#This Row],[Hours]]</f>
        <v>1.6091954022988506</v>
      </c>
      <c r="Y553" s="71">
        <f>EarningsPerDay[[#This Row],[Miles]]/EarningsPerDay[[#This Row],[Deliveries]]</f>
        <v>16.428571428571427</v>
      </c>
      <c r="Z553" s="81">
        <f>(EarningsPerDay[[#This Row],[Hours]]/EarningsPerDay[[#This Row],[Deliveries]])/24</f>
        <v>2.5892857142857138E-2</v>
      </c>
      <c r="AA5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-0.48929598596488333</v>
      </c>
      <c r="AB553" s="11">
        <f>AVERAGEIFS(EarningsPerDay[Gross $/Hour],EarningsPerDay[Week '#], EarningsPerDay[[#This Row],[Week '#]], EarningsPerDay[DOW], EarningsPerDay[[#This Row],[DOW]])</f>
        <v>20.724137931034484</v>
      </c>
      <c r="AC553" s="11">
        <f>EarningsPerDay[[#This Row],[Gross $/Hour]] - EarningsPerDay[[#This Row],[Weekly Average Earnings]]</f>
        <v>0</v>
      </c>
      <c r="AD553" s="11">
        <f>(SUMIFS(EarningsPerDay[Gross Earnings], EarningsPerDay[Date],"&gt;="&amp;EarningsPerDay[[#This Row],[Date]]-89, EarningsPerDay[Date], "&lt;="&amp;EarningsPerDay[[#This Row],[Date]]))/90</f>
        <v>80.197111111111113</v>
      </c>
    </row>
    <row r="554" spans="2:30" x14ac:dyDescent="0.35">
      <c r="B554" s="40">
        <v>45500</v>
      </c>
      <c r="C554" s="40">
        <f t="shared" si="53"/>
        <v>45500</v>
      </c>
      <c r="D554" s="4">
        <f>IF(EarningsPerDay[[#This Row],[Week '#]]&gt;=52,YEAR(EarningsPerDay[[#This Row],[Date]])-1,YEAR(EarningsPerDay[[#This Row],[Date]]))</f>
        <v>2024</v>
      </c>
      <c r="E554" s="4" t="str">
        <f>"QTR"&amp;IF(EarningsPerDay[[#This Row],[Week '#]] &lt;= 13, 1, IF(EarningsPerDay[[#This Row],[Week '#]] &lt;= 26, 2, IF(EarningsPerDay[[#This Row],[Week '#]] &lt;= 39, 3, 4)))</f>
        <v>QTR3</v>
      </c>
      <c r="F5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554" s="4">
        <f>IF(WEEKNUM(EarningsPerDay[[#This Row],[Date]], 2) = 53, 1, WEEKNUM(EarningsPerDay[[#This Row],[Date]],2))</f>
        <v>30</v>
      </c>
      <c r="H554" s="40" t="str">
        <f t="shared" si="54"/>
        <v>Saturday</v>
      </c>
      <c r="I554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554" s="40" t="str" cm="1">
        <f t="array" ref="J554">IFERROR(VLOOKUP(MODE(IF(Combined[Date]=EarningsPerDay[[#This Row],[Date]],Combined[Area '#])),KPIs!$B$4:$C$7,2,FALSE),VLOOKUP(EarningsPerDay[[#This Row],[Date]],Combined[[Date]:[Primary Area]],8,FALSE))</f>
        <v>Lewiston</v>
      </c>
      <c r="K554" s="40" t="str">
        <f>_xlfn.XLOOKUP(EarningsPerDay[[#This Row],[Date]],Mileage[Date],Mileage[Weather])</f>
        <v>Clear</v>
      </c>
      <c r="L554" s="4">
        <f>_xlfn.XLOOKUP(EarningsPerDay[[#This Row],[Date]],Mileage[Date],Mileage[Hi Temp])</f>
        <v>81</v>
      </c>
      <c r="M554" s="12">
        <f>_xlfn.XLOOKUP(EarningsPerDay[[#This Row],[Date]],Mileage[Date],Mileage[Total Time])</f>
        <v>5.45</v>
      </c>
      <c r="N554" s="4">
        <f>_xlfn.XLOOKUP(EarningsPerDay[[#This Row],[Date]],Mileage[Date],Mileage[Mileage])</f>
        <v>87</v>
      </c>
      <c r="O554" s="4">
        <f>SUMIF(Combined[Date],EarningsPerDay[[#This Row],[Date]],Combined[Trips])</f>
        <v>17</v>
      </c>
      <c r="P554">
        <f>COUNTIF(Combined[Date],EarningsPerDay[[#This Row],[Date]])</f>
        <v>2</v>
      </c>
      <c r="Q5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4" s="11">
        <f>SUMIF(Combined[Date],EarningsPerDay[[#This Row],[Date]],Combined[Earnings])</f>
        <v>128.94999999999999</v>
      </c>
      <c r="S554" s="11">
        <f ca="1">EarningsPerDay[[#This Row],[Gross Earnings]]-(EarningsPerDay[[#This Row],[Miles]]*CpM!$D$11)</f>
        <v>109.55134094133929</v>
      </c>
      <c r="T554" s="11">
        <f t="shared" si="49"/>
        <v>23.660550458715594</v>
      </c>
      <c r="U554" s="11">
        <f t="shared" ca="1" si="50"/>
        <v>20.101163475475097</v>
      </c>
      <c r="V554" s="11">
        <f>EarningsPerDay[[#This Row],[Gross Earnings]]/EarningsPerDay[[#This Row],[Deliveries]]</f>
        <v>7.5852941176470585</v>
      </c>
      <c r="W554" s="11">
        <f>EarningsPerDay[[#This Row],[Gross Earnings]]/EarningsPerDay[[#This Row],[Miles]]</f>
        <v>1.4821839080459769</v>
      </c>
      <c r="X554" s="71">
        <f>EarningsPerDay[[#This Row],[Deliveries]]/EarningsPerDay[[#This Row],[Hours]]</f>
        <v>3.1192660550458715</v>
      </c>
      <c r="Y554" s="71">
        <f>EarningsPerDay[[#This Row],[Miles]]/EarningsPerDay[[#This Row],[Deliveries]]</f>
        <v>5.117647058823529</v>
      </c>
      <c r="Z554" s="81">
        <f>(EarningsPerDay[[#This Row],[Hours]]/EarningsPerDay[[#This Row],[Deliveries]])/24</f>
        <v>1.3357843137254903E-2</v>
      </c>
      <c r="AA5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2.2590991678311099</v>
      </c>
      <c r="AB554" s="11">
        <f>AVERAGEIFS(EarningsPerDay[Gross $/Hour],EarningsPerDay[Week '#], EarningsPerDay[[#This Row],[Week '#]], EarningsPerDay[DOW], EarningsPerDay[[#This Row],[DOW]])</f>
        <v>18.936657968408081</v>
      </c>
      <c r="AC554" s="11">
        <f>EarningsPerDay[[#This Row],[Gross $/Hour]] - EarningsPerDay[[#This Row],[Weekly Average Earnings]]</f>
        <v>4.723892490307513</v>
      </c>
      <c r="AD554" s="11">
        <f>(SUMIFS(EarningsPerDay[Gross Earnings], EarningsPerDay[Date],"&gt;="&amp;EarningsPerDay[[#This Row],[Date]]-89, EarningsPerDay[Date], "&lt;="&amp;EarningsPerDay[[#This Row],[Date]]))/90</f>
        <v>81.060222222222222</v>
      </c>
    </row>
    <row r="555" spans="2:30" x14ac:dyDescent="0.35">
      <c r="B555" s="40">
        <v>45502</v>
      </c>
      <c r="C555" s="40">
        <f t="shared" si="53"/>
        <v>45502</v>
      </c>
      <c r="D555" s="4">
        <f>IF(EarningsPerDay[[#This Row],[Week '#]]&gt;=52,YEAR(EarningsPerDay[[#This Row],[Date]])-1,YEAR(EarningsPerDay[[#This Row],[Date]]))</f>
        <v>2024</v>
      </c>
      <c r="E555" s="4" t="str">
        <f>"QTR"&amp;IF(EarningsPerDay[[#This Row],[Week '#]] &lt;= 13, 1, IF(EarningsPerDay[[#This Row],[Week '#]] &lt;= 26, 2, IF(EarningsPerDay[[#This Row],[Week '#]] &lt;= 39, 3, 4)))</f>
        <v>QTR3</v>
      </c>
      <c r="F5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55" s="4">
        <f>IF(WEEKNUM(EarningsPerDay[[#This Row],[Date]], 2) = 53, 1, WEEKNUM(EarningsPerDay[[#This Row],[Date]],2))</f>
        <v>31</v>
      </c>
      <c r="H555" s="40" t="str">
        <f t="shared" si="54"/>
        <v>Monday</v>
      </c>
      <c r="I55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55" s="40" t="str" cm="1">
        <f t="array" ref="J555">IFERROR(VLOOKUP(MODE(IF(Combined[Date]=EarningsPerDay[[#This Row],[Date]],Combined[Area '#])),KPIs!$B$4:$C$7,2,FALSE),VLOOKUP(EarningsPerDay[[#This Row],[Date]],Combined[[Date]:[Primary Area]],8,FALSE))</f>
        <v>Portland</v>
      </c>
      <c r="K555" s="40" t="str">
        <f>_xlfn.XLOOKUP(EarningsPerDay[[#This Row],[Date]],Mileage[Date],Mileage[Weather])</f>
        <v>Mostly Cloudy</v>
      </c>
      <c r="L555" s="4">
        <f>_xlfn.XLOOKUP(EarningsPerDay[[#This Row],[Date]],Mileage[Date],Mileage[Hi Temp])</f>
        <v>64</v>
      </c>
      <c r="M555" s="12">
        <f>_xlfn.XLOOKUP(EarningsPerDay[[#This Row],[Date]],Mileage[Date],Mileage[Total Time])</f>
        <v>5.83</v>
      </c>
      <c r="N555" s="4">
        <f>_xlfn.XLOOKUP(EarningsPerDay[[#This Row],[Date]],Mileage[Date],Mileage[Mileage])</f>
        <v>121</v>
      </c>
      <c r="O555" s="4">
        <f>SUMIF(Combined[Date],EarningsPerDay[[#This Row],[Date]],Combined[Trips])</f>
        <v>11</v>
      </c>
      <c r="P555">
        <f>COUNTIF(Combined[Date],EarningsPerDay[[#This Row],[Date]])</f>
        <v>3</v>
      </c>
      <c r="Q5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5" s="11">
        <f>SUMIF(Combined[Date],EarningsPerDay[[#This Row],[Date]],Combined[Earnings])</f>
        <v>174.51</v>
      </c>
      <c r="S555" s="11">
        <f ca="1">EarningsPerDay[[#This Row],[Gross Earnings]]-(EarningsPerDay[[#This Row],[Miles]]*CpM!$D$11)</f>
        <v>147.53025579197765</v>
      </c>
      <c r="T555" s="11">
        <f t="shared" si="49"/>
        <v>29.933104631217837</v>
      </c>
      <c r="U555" s="11">
        <f t="shared" ca="1" si="50"/>
        <v>25.30536119931006</v>
      </c>
      <c r="V555" s="11">
        <f>EarningsPerDay[[#This Row],[Gross Earnings]]/EarningsPerDay[[#This Row],[Deliveries]]</f>
        <v>15.864545454545453</v>
      </c>
      <c r="W555" s="11">
        <f>EarningsPerDay[[#This Row],[Gross Earnings]]/EarningsPerDay[[#This Row],[Miles]]</f>
        <v>1.4422314049586775</v>
      </c>
      <c r="X555" s="71">
        <f>EarningsPerDay[[#This Row],[Deliveries]]/EarningsPerDay[[#This Row],[Hours]]</f>
        <v>1.8867924528301887</v>
      </c>
      <c r="Y555" s="71">
        <f>EarningsPerDay[[#This Row],[Miles]]/EarningsPerDay[[#This Row],[Deliveries]]</f>
        <v>11</v>
      </c>
      <c r="Z555" s="81">
        <f>(EarningsPerDay[[#This Row],[Hours]]/EarningsPerDay[[#This Row],[Deliveries]])/24</f>
        <v>2.2083333333333333E-2</v>
      </c>
      <c r="AA5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9.4916586998762682</v>
      </c>
      <c r="AB555" s="11">
        <f>AVERAGEIFS(EarningsPerDay[Gross $/Hour],EarningsPerDay[Week '#], EarningsPerDay[[#This Row],[Week '#]], EarningsPerDay[DOW], EarningsPerDay[[#This Row],[DOW]])</f>
        <v>21.130380645893315</v>
      </c>
      <c r="AC555" s="11">
        <f>EarningsPerDay[[#This Row],[Gross $/Hour]] - EarningsPerDay[[#This Row],[Weekly Average Earnings]]</f>
        <v>8.8027239853245227</v>
      </c>
      <c r="AD555" s="11">
        <f>(SUMIFS(EarningsPerDay[Gross Earnings], EarningsPerDay[Date],"&gt;="&amp;EarningsPerDay[[#This Row],[Date]]-89, EarningsPerDay[Date], "&lt;="&amp;EarningsPerDay[[#This Row],[Date]]))/90</f>
        <v>82.059222222222232</v>
      </c>
    </row>
    <row r="556" spans="2:30" x14ac:dyDescent="0.35">
      <c r="B556" s="40">
        <v>45503</v>
      </c>
      <c r="C556" s="40">
        <f t="shared" si="53"/>
        <v>45503</v>
      </c>
      <c r="D556" s="4">
        <f>IF(EarningsPerDay[[#This Row],[Week '#]]&gt;=52,YEAR(EarningsPerDay[[#This Row],[Date]])-1,YEAR(EarningsPerDay[[#This Row],[Date]]))</f>
        <v>2024</v>
      </c>
      <c r="E556" s="4" t="str">
        <f>"QTR"&amp;IF(EarningsPerDay[[#This Row],[Week '#]] &lt;= 13, 1, IF(EarningsPerDay[[#This Row],[Week '#]] &lt;= 26, 2, IF(EarningsPerDay[[#This Row],[Week '#]] &lt;= 39, 3, 4)))</f>
        <v>QTR3</v>
      </c>
      <c r="F5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56" s="4">
        <f>IF(WEEKNUM(EarningsPerDay[[#This Row],[Date]], 2) = 53, 1, WEEKNUM(EarningsPerDay[[#This Row],[Date]],2))</f>
        <v>31</v>
      </c>
      <c r="H556" s="40" t="str">
        <f t="shared" si="54"/>
        <v>Tuesday</v>
      </c>
      <c r="I55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56" s="40" t="str" cm="1">
        <f t="array" ref="J556">IFERROR(VLOOKUP(MODE(IF(Combined[Date]=EarningsPerDay[[#This Row],[Date]],Combined[Area '#])),KPIs!$B$4:$C$7,2,FALSE),VLOOKUP(EarningsPerDay[[#This Row],[Date]],Combined[[Date]:[Primary Area]],8,FALSE))</f>
        <v>Brunswick/Bath/Freeport</v>
      </c>
      <c r="K556" s="40" t="str">
        <f>_xlfn.XLOOKUP(EarningsPerDay[[#This Row],[Date]],Mileage[Date],Mileage[Weather])</f>
        <v>Partially Cloudy</v>
      </c>
      <c r="L556" s="4">
        <f>_xlfn.XLOOKUP(EarningsPerDay[[#This Row],[Date]],Mileage[Date],Mileage[Hi Temp])</f>
        <v>79</v>
      </c>
      <c r="M556" s="12">
        <f>_xlfn.XLOOKUP(EarningsPerDay[[#This Row],[Date]],Mileage[Date],Mileage[Total Time])</f>
        <v>4.9000000000000004</v>
      </c>
      <c r="N556" s="4">
        <f>_xlfn.XLOOKUP(EarningsPerDay[[#This Row],[Date]],Mileage[Date],Mileage[Mileage])</f>
        <v>93</v>
      </c>
      <c r="O556" s="4">
        <f>SUMIF(Combined[Date],EarningsPerDay[[#This Row],[Date]],Combined[Trips])</f>
        <v>14</v>
      </c>
      <c r="P556">
        <f>COUNTIF(Combined[Date],EarningsPerDay[[#This Row],[Date]])</f>
        <v>2</v>
      </c>
      <c r="Q5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6" s="11">
        <f>SUMIF(Combined[Date],EarningsPerDay[[#This Row],[Date]],Combined[Earnings])</f>
        <v>133.75</v>
      </c>
      <c r="S556" s="11">
        <f ca="1">EarningsPerDay[[#This Row],[Gross Earnings]]-(EarningsPerDay[[#This Row],[Miles]]*CpM!$D$11)</f>
        <v>113.01350238556961</v>
      </c>
      <c r="T556" s="11">
        <f t="shared" si="49"/>
        <v>27.295918367346935</v>
      </c>
      <c r="U556" s="11">
        <f t="shared" ca="1" si="50"/>
        <v>23.063980078687674</v>
      </c>
      <c r="V556" s="11">
        <f>EarningsPerDay[[#This Row],[Gross Earnings]]/EarningsPerDay[[#This Row],[Deliveries]]</f>
        <v>9.5535714285714288</v>
      </c>
      <c r="W556" s="11">
        <f>EarningsPerDay[[#This Row],[Gross Earnings]]/EarningsPerDay[[#This Row],[Miles]]</f>
        <v>1.4381720430107527</v>
      </c>
      <c r="X556" s="71">
        <f>EarningsPerDay[[#This Row],[Deliveries]]/EarningsPerDay[[#This Row],[Hours]]</f>
        <v>2.8571428571428568</v>
      </c>
      <c r="Y556" s="71">
        <f>EarningsPerDay[[#This Row],[Miles]]/EarningsPerDay[[#This Row],[Deliveries]]</f>
        <v>6.6428571428571432</v>
      </c>
      <c r="Z556" s="81">
        <f>(EarningsPerDay[[#This Row],[Hours]]/EarningsPerDay[[#This Row],[Deliveries]])/24</f>
        <v>1.4583333333333335E-2</v>
      </c>
      <c r="AA5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5.5573874911588312</v>
      </c>
      <c r="AB556" s="11">
        <f>AVERAGEIFS(EarningsPerDay[Gross $/Hour],EarningsPerDay[Week '#], EarningsPerDay[[#This Row],[Week '#]], EarningsPerDay[DOW], EarningsPerDay[[#This Row],[DOW]])</f>
        <v>27.295918367346935</v>
      </c>
      <c r="AC556" s="11">
        <f>EarningsPerDay[[#This Row],[Gross $/Hour]] - EarningsPerDay[[#This Row],[Weekly Average Earnings]]</f>
        <v>0</v>
      </c>
      <c r="AD556" s="11">
        <f>(SUMIFS(EarningsPerDay[Gross Earnings], EarningsPerDay[Date],"&gt;="&amp;EarningsPerDay[[#This Row],[Date]]-89, EarningsPerDay[Date], "&lt;="&amp;EarningsPerDay[[#This Row],[Date]]))/90</f>
        <v>82.263000000000005</v>
      </c>
    </row>
    <row r="557" spans="2:30" x14ac:dyDescent="0.35">
      <c r="B557" s="40">
        <v>45504</v>
      </c>
      <c r="C557" s="40">
        <f t="shared" si="53"/>
        <v>45504</v>
      </c>
      <c r="D557" s="4">
        <f>IF(EarningsPerDay[[#This Row],[Week '#]]&gt;=52,YEAR(EarningsPerDay[[#This Row],[Date]])-1,YEAR(EarningsPerDay[[#This Row],[Date]]))</f>
        <v>2024</v>
      </c>
      <c r="E557" s="4" t="str">
        <f>"QTR"&amp;IF(EarningsPerDay[[#This Row],[Week '#]] &lt;= 13, 1, IF(EarningsPerDay[[#This Row],[Week '#]] &lt;= 26, 2, IF(EarningsPerDay[[#This Row],[Week '#]] &lt;= 39, 3, 4)))</f>
        <v>QTR3</v>
      </c>
      <c r="F5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57" s="4">
        <f>IF(WEEKNUM(EarningsPerDay[[#This Row],[Date]], 2) = 53, 1, WEEKNUM(EarningsPerDay[[#This Row],[Date]],2))</f>
        <v>31</v>
      </c>
      <c r="H557" s="40" t="str">
        <f t="shared" si="54"/>
        <v>Wednesday</v>
      </c>
      <c r="I55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557" s="40" t="str" cm="1">
        <f t="array" ref="J557">IFERROR(VLOOKUP(MODE(IF(Combined[Date]=EarningsPerDay[[#This Row],[Date]],Combined[Area '#])),KPIs!$B$4:$C$7,2,FALSE),VLOOKUP(EarningsPerDay[[#This Row],[Date]],Combined[[Date]:[Primary Area]],8,FALSE))</f>
        <v>Brunswick/Bath/Freeport</v>
      </c>
      <c r="K557" s="40" t="str">
        <f>_xlfn.XLOOKUP(EarningsPerDay[[#This Row],[Date]],Mileage[Date],Mileage[Weather])</f>
        <v>Partially Cloudy</v>
      </c>
      <c r="L557" s="4">
        <f>_xlfn.XLOOKUP(EarningsPerDay[[#This Row],[Date]],Mileage[Date],Mileage[Hi Temp])</f>
        <v>75</v>
      </c>
      <c r="M557" s="12">
        <f>_xlfn.XLOOKUP(EarningsPerDay[[#This Row],[Date]],Mileage[Date],Mileage[Total Time])</f>
        <v>2.93</v>
      </c>
      <c r="N557" s="4">
        <f>_xlfn.XLOOKUP(EarningsPerDay[[#This Row],[Date]],Mileage[Date],Mileage[Mileage])</f>
        <v>82</v>
      </c>
      <c r="O557" s="4">
        <f>SUMIF(Combined[Date],EarningsPerDay[[#This Row],[Date]],Combined[Trips])</f>
        <v>5</v>
      </c>
      <c r="P557">
        <f>COUNTIF(Combined[Date],EarningsPerDay[[#This Row],[Date]])</f>
        <v>1</v>
      </c>
      <c r="Q5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7" s="11">
        <f>SUMIF(Combined[Date],EarningsPerDay[[#This Row],[Date]],Combined[Earnings])</f>
        <v>42.74</v>
      </c>
      <c r="S557" s="11">
        <f ca="1">EarningsPerDay[[#This Row],[Gross Earnings]]-(EarningsPerDay[[#This Row],[Miles]]*CpM!$D$11)</f>
        <v>24.456206404480728</v>
      </c>
      <c r="T557" s="11">
        <f t="shared" si="49"/>
        <v>14.58703071672355</v>
      </c>
      <c r="U557" s="11">
        <f t="shared" ca="1" si="50"/>
        <v>8.3468281243961524</v>
      </c>
      <c r="V557" s="11">
        <f>EarningsPerDay[[#This Row],[Gross Earnings]]/EarningsPerDay[[#This Row],[Deliveries]]</f>
        <v>8.548</v>
      </c>
      <c r="W557" s="11">
        <f>EarningsPerDay[[#This Row],[Gross Earnings]]/EarningsPerDay[[#This Row],[Miles]]</f>
        <v>0.52121951219512197</v>
      </c>
      <c r="X557" s="71">
        <f>EarningsPerDay[[#This Row],[Deliveries]]/EarningsPerDay[[#This Row],[Hours]]</f>
        <v>1.7064846416382251</v>
      </c>
      <c r="Y557" s="71">
        <f>EarningsPerDay[[#This Row],[Miles]]/EarningsPerDay[[#This Row],[Deliveries]]</f>
        <v>16.399999999999999</v>
      </c>
      <c r="Z557" s="81">
        <f>(EarningsPerDay[[#This Row],[Hours]]/EarningsPerDay[[#This Row],[Deliveries]])/24</f>
        <v>2.441666666666667E-2</v>
      </c>
      <c r="AA5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-9.3999959477602566</v>
      </c>
      <c r="AB557" s="11">
        <f>AVERAGEIFS(EarningsPerDay[Gross $/Hour],EarningsPerDay[Week '#], EarningsPerDay[[#This Row],[Week '#]], EarningsPerDay[DOW], EarningsPerDay[[#This Row],[DOW]])</f>
        <v>17.567500598214174</v>
      </c>
      <c r="AC557" s="11">
        <f>EarningsPerDay[[#This Row],[Gross $/Hour]] - EarningsPerDay[[#This Row],[Weekly Average Earnings]]</f>
        <v>-2.9804698814906239</v>
      </c>
      <c r="AD557" s="11">
        <f>(SUMIFS(EarningsPerDay[Gross Earnings], EarningsPerDay[Date],"&gt;="&amp;EarningsPerDay[[#This Row],[Date]]-89, EarningsPerDay[Date], "&lt;="&amp;EarningsPerDay[[#This Row],[Date]]))/90</f>
        <v>81.542000000000002</v>
      </c>
    </row>
    <row r="558" spans="2:30" x14ac:dyDescent="0.35">
      <c r="B558" s="40">
        <v>45505</v>
      </c>
      <c r="C558" s="40">
        <f t="shared" si="53"/>
        <v>45505</v>
      </c>
      <c r="D558" s="4">
        <f>IF(EarningsPerDay[[#This Row],[Week '#]]&gt;=52,YEAR(EarningsPerDay[[#This Row],[Date]])-1,YEAR(EarningsPerDay[[#This Row],[Date]]))</f>
        <v>2024</v>
      </c>
      <c r="E558" s="4" t="str">
        <f>"QTR"&amp;IF(EarningsPerDay[[#This Row],[Week '#]] &lt;= 13, 1, IF(EarningsPerDay[[#This Row],[Week '#]] &lt;= 26, 2, IF(EarningsPerDay[[#This Row],[Week '#]] &lt;= 39, 3, 4)))</f>
        <v>QTR3</v>
      </c>
      <c r="F5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58" s="4">
        <f>IF(WEEKNUM(EarningsPerDay[[#This Row],[Date]], 2) = 53, 1, WEEKNUM(EarningsPerDay[[#This Row],[Date]],2))</f>
        <v>31</v>
      </c>
      <c r="H558" s="40" t="str">
        <f t="shared" si="54"/>
        <v>Thursday</v>
      </c>
      <c r="I55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58" s="40" t="str" cm="1">
        <f t="array" ref="J558">IFERROR(VLOOKUP(MODE(IF(Combined[Date]=EarningsPerDay[[#This Row],[Date]],Combined[Area '#])),KPIs!$B$4:$C$7,2,FALSE),VLOOKUP(EarningsPerDay[[#This Row],[Date]],Combined[[Date]:[Primary Area]],8,FALSE))</f>
        <v>Lewiston</v>
      </c>
      <c r="K558" s="40" t="str">
        <f>_xlfn.XLOOKUP(EarningsPerDay[[#This Row],[Date]],Mileage[Date],Mileage[Weather])</f>
        <v>Clear</v>
      </c>
      <c r="L558" s="4">
        <f>_xlfn.XLOOKUP(EarningsPerDay[[#This Row],[Date]],Mileage[Date],Mileage[Hi Temp])</f>
        <v>88</v>
      </c>
      <c r="M558" s="12">
        <f>_xlfn.XLOOKUP(EarningsPerDay[[#This Row],[Date]],Mileage[Date],Mileage[Total Time])</f>
        <v>4.7699999999999996</v>
      </c>
      <c r="N558" s="4">
        <f>_xlfn.XLOOKUP(EarningsPerDay[[#This Row],[Date]],Mileage[Date],Mileage[Mileage])</f>
        <v>73</v>
      </c>
      <c r="O558" s="4">
        <f>SUMIF(Combined[Date],EarningsPerDay[[#This Row],[Date]],Combined[Trips])</f>
        <v>14</v>
      </c>
      <c r="P558">
        <f>COUNTIF(Combined[Date],EarningsPerDay[[#This Row],[Date]])</f>
        <v>3</v>
      </c>
      <c r="Q5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8" s="11">
        <f>SUMIF(Combined[Date],EarningsPerDay[[#This Row],[Date]],Combined[Earnings])</f>
        <v>85.84</v>
      </c>
      <c r="S558" s="11">
        <f ca="1">EarningsPerDay[[#This Row],[Gross Earnings]]-(EarningsPerDay[[#This Row],[Miles]]*CpM!$D$11)</f>
        <v>69.56296423813528</v>
      </c>
      <c r="T558" s="11">
        <f t="shared" si="49"/>
        <v>17.995807127882603</v>
      </c>
      <c r="U558" s="11">
        <f t="shared" ca="1" si="50"/>
        <v>14.583430657889997</v>
      </c>
      <c r="V558" s="11">
        <f>EarningsPerDay[[#This Row],[Gross Earnings]]/EarningsPerDay[[#This Row],[Deliveries]]</f>
        <v>6.1314285714285717</v>
      </c>
      <c r="W558" s="11">
        <f>EarningsPerDay[[#This Row],[Gross Earnings]]/EarningsPerDay[[#This Row],[Miles]]</f>
        <v>1.1758904109589041</v>
      </c>
      <c r="X558" s="71">
        <f>EarningsPerDay[[#This Row],[Deliveries]]/EarningsPerDay[[#This Row],[Hours]]</f>
        <v>2.9350104821802936</v>
      </c>
      <c r="Y558" s="71">
        <f>EarningsPerDay[[#This Row],[Miles]]/EarningsPerDay[[#This Row],[Deliveries]]</f>
        <v>5.2142857142857144</v>
      </c>
      <c r="Z558" s="81">
        <f>(EarningsPerDay[[#This Row],[Hours]]/EarningsPerDay[[#This Row],[Deliveries]])/24</f>
        <v>1.419642857142857E-2</v>
      </c>
      <c r="AA5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1.1766581917123915</v>
      </c>
      <c r="AB558" s="11">
        <f>AVERAGEIFS(EarningsPerDay[Gross $/Hour],EarningsPerDay[Week '#], EarningsPerDay[[#This Row],[Week '#]], EarningsPerDay[DOW], EarningsPerDay[[#This Row],[DOW]])</f>
        <v>18.58249317868167</v>
      </c>
      <c r="AC558" s="11">
        <f>EarningsPerDay[[#This Row],[Gross $/Hour]] - EarningsPerDay[[#This Row],[Weekly Average Earnings]]</f>
        <v>-0.58668605079906655</v>
      </c>
      <c r="AD558" s="11">
        <f>(SUMIFS(EarningsPerDay[Gross Earnings], EarningsPerDay[Date],"&gt;="&amp;EarningsPerDay[[#This Row],[Date]]-89, EarningsPerDay[Date], "&lt;="&amp;EarningsPerDay[[#This Row],[Date]]))/90</f>
        <v>81.123111111111115</v>
      </c>
    </row>
    <row r="559" spans="2:30" x14ac:dyDescent="0.35">
      <c r="B559" s="40">
        <v>45507</v>
      </c>
      <c r="C559" s="40">
        <f t="shared" ref="C559:C623" si="55">B559</f>
        <v>45507</v>
      </c>
      <c r="D559" s="4">
        <f>IF(EarningsPerDay[[#This Row],[Week '#]]&gt;=52,YEAR(EarningsPerDay[[#This Row],[Date]])-1,YEAR(EarningsPerDay[[#This Row],[Date]]))</f>
        <v>2024</v>
      </c>
      <c r="E559" s="4" t="str">
        <f>"QTR"&amp;IF(EarningsPerDay[[#This Row],[Week '#]] &lt;= 13, 1, IF(EarningsPerDay[[#This Row],[Week '#]] &lt;= 26, 2, IF(EarningsPerDay[[#This Row],[Week '#]] &lt;= 39, 3, 4)))</f>
        <v>QTR3</v>
      </c>
      <c r="F5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59" s="4">
        <f>IF(WEEKNUM(EarningsPerDay[[#This Row],[Date]], 2) = 53, 1, WEEKNUM(EarningsPerDay[[#This Row],[Date]],2))</f>
        <v>31</v>
      </c>
      <c r="H559" s="40" t="str">
        <f t="shared" ref="H559:H563" si="56">TEXT(B559,"DDDD")</f>
        <v>Saturday</v>
      </c>
      <c r="I559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559" s="40" t="str" cm="1">
        <f t="array" ref="J559">IFERROR(VLOOKUP(MODE(IF(Combined[Date]=EarningsPerDay[[#This Row],[Date]],Combined[Area '#])),KPIs!$B$4:$C$7,2,FALSE),VLOOKUP(EarningsPerDay[[#This Row],[Date]],Combined[[Date]:[Primary Area]],8,FALSE))</f>
        <v>Lewiston</v>
      </c>
      <c r="K559" s="40" t="str">
        <f>_xlfn.XLOOKUP(EarningsPerDay[[#This Row],[Date]],Mileage[Date],Mileage[Weather])</f>
        <v>Sunny</v>
      </c>
      <c r="L559" s="4">
        <f>_xlfn.XLOOKUP(EarningsPerDay[[#This Row],[Date]],Mileage[Date],Mileage[Hi Temp])</f>
        <v>82</v>
      </c>
      <c r="M559" s="12">
        <f>_xlfn.XLOOKUP(EarningsPerDay[[#This Row],[Date]],Mileage[Date],Mileage[Total Time])</f>
        <v>7.62</v>
      </c>
      <c r="N559" s="4">
        <f>_xlfn.XLOOKUP(EarningsPerDay[[#This Row],[Date]],Mileage[Date],Mileage[Mileage])</f>
        <v>123</v>
      </c>
      <c r="O559" s="4">
        <f>SUMIF(Combined[Date],EarningsPerDay[[#This Row],[Date]],Combined[Trips])</f>
        <v>18</v>
      </c>
      <c r="P559">
        <f>COUNTIF(Combined[Date],EarningsPerDay[[#This Row],[Date]])</f>
        <v>2</v>
      </c>
      <c r="Q5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59" s="11">
        <f>SUMIF(Combined[Date],EarningsPerDay[[#This Row],[Date]],Combined[Earnings])</f>
        <v>167.98000000000002</v>
      </c>
      <c r="S559" s="11">
        <f ca="1">EarningsPerDay[[#This Row],[Gross Earnings]]-(EarningsPerDay[[#This Row],[Miles]]*CpM!$D$11)</f>
        <v>140.55430960672112</v>
      </c>
      <c r="T559" s="11">
        <f t="shared" si="49"/>
        <v>22.044619422572179</v>
      </c>
      <c r="U559" s="11">
        <f t="shared" ca="1" si="50"/>
        <v>18.445447454950276</v>
      </c>
      <c r="V559" s="11">
        <f>EarningsPerDay[[#This Row],[Gross Earnings]]/EarningsPerDay[[#This Row],[Deliveries]]</f>
        <v>9.3322222222222226</v>
      </c>
      <c r="W559" s="11">
        <f>EarningsPerDay[[#This Row],[Gross Earnings]]/EarningsPerDay[[#This Row],[Miles]]</f>
        <v>1.3656910569105694</v>
      </c>
      <c r="X559" s="71">
        <f>EarningsPerDay[[#This Row],[Deliveries]]/EarningsPerDay[[#This Row],[Hours]]</f>
        <v>2.3622047244094486</v>
      </c>
      <c r="Y559" s="71">
        <f>EarningsPerDay[[#This Row],[Miles]]/EarningsPerDay[[#This Row],[Deliveries]]</f>
        <v>6.833333333333333</v>
      </c>
      <c r="Z559" s="81">
        <f>(EarningsPerDay[[#This Row],[Hours]]/EarningsPerDay[[#This Row],[Deliveries]])/24</f>
        <v>1.7638888888888888E-2</v>
      </c>
      <c r="AA5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0.39215711303979361</v>
      </c>
      <c r="AB559" s="11">
        <f>AVERAGEIFS(EarningsPerDay[Gross $/Hour],EarningsPerDay[Week '#], EarningsPerDay[[#This Row],[Week '#]], EarningsPerDay[DOW], EarningsPerDay[[#This Row],[DOW]])</f>
        <v>22.885934984497997</v>
      </c>
      <c r="AC559" s="11">
        <f>EarningsPerDay[[#This Row],[Gross $/Hour]] - EarningsPerDay[[#This Row],[Weekly Average Earnings]]</f>
        <v>-0.84131556192581769</v>
      </c>
      <c r="AD559" s="11">
        <f>(SUMIFS(EarningsPerDay[Gross Earnings], EarningsPerDay[Date],"&gt;="&amp;EarningsPerDay[[#This Row],[Date]]-89, EarningsPerDay[Date], "&lt;="&amp;EarningsPerDay[[#This Row],[Date]]))/90</f>
        <v>80.604222222222234</v>
      </c>
    </row>
    <row r="560" spans="2:30" x14ac:dyDescent="0.35">
      <c r="B560" s="40">
        <v>45508</v>
      </c>
      <c r="C560" s="40">
        <f t="shared" si="55"/>
        <v>45508</v>
      </c>
      <c r="D560" s="4">
        <f>IF(EarningsPerDay[[#This Row],[Week '#]]&gt;=52,YEAR(EarningsPerDay[[#This Row],[Date]])-1,YEAR(EarningsPerDay[[#This Row],[Date]]))</f>
        <v>2024</v>
      </c>
      <c r="E560" s="4" t="str">
        <f>"QTR"&amp;IF(EarningsPerDay[[#This Row],[Week '#]] &lt;= 13, 1, IF(EarningsPerDay[[#This Row],[Week '#]] &lt;= 26, 2, IF(EarningsPerDay[[#This Row],[Week '#]] &lt;= 39, 3, 4)))</f>
        <v>QTR3</v>
      </c>
      <c r="F5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560" s="4">
        <f>IF(WEEKNUM(EarningsPerDay[[#This Row],[Date]], 2) = 53, 1, WEEKNUM(EarningsPerDay[[#This Row],[Date]],2))</f>
        <v>31</v>
      </c>
      <c r="H560" s="40" t="str">
        <f t="shared" si="56"/>
        <v>Sunday</v>
      </c>
      <c r="I560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560" s="40" t="str" cm="1">
        <f t="array" ref="J560">IFERROR(VLOOKUP(MODE(IF(Combined[Date]=EarningsPerDay[[#This Row],[Date]],Combined[Area '#])),KPIs!$B$4:$C$7,2,FALSE),VLOOKUP(EarningsPerDay[[#This Row],[Date]],Combined[[Date]:[Primary Area]],8,FALSE))</f>
        <v>Augusta</v>
      </c>
      <c r="K560" s="40" t="str">
        <f>_xlfn.XLOOKUP(EarningsPerDay[[#This Row],[Date]],Mileage[Date],Mileage[Weather])</f>
        <v>Sunny</v>
      </c>
      <c r="L560" s="4">
        <f>_xlfn.XLOOKUP(EarningsPerDay[[#This Row],[Date]],Mileage[Date],Mileage[Hi Temp])</f>
        <v>77</v>
      </c>
      <c r="M560" s="12">
        <f>_xlfn.XLOOKUP(EarningsPerDay[[#This Row],[Date]],Mileage[Date],Mileage[Total Time])</f>
        <v>6.18</v>
      </c>
      <c r="N560" s="4">
        <f>_xlfn.XLOOKUP(EarningsPerDay[[#This Row],[Date]],Mileage[Date],Mileage[Mileage])</f>
        <v>164</v>
      </c>
      <c r="O560" s="4">
        <f>SUMIF(Combined[Date],EarningsPerDay[[#This Row],[Date]],Combined[Trips])</f>
        <v>12</v>
      </c>
      <c r="P560">
        <f>COUNTIF(Combined[Date],EarningsPerDay[[#This Row],[Date]])</f>
        <v>2</v>
      </c>
      <c r="Q5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0" s="11">
        <f>SUMIF(Combined[Date],EarningsPerDay[[#This Row],[Date]],Combined[Earnings])</f>
        <v>119.69</v>
      </c>
      <c r="S560" s="11">
        <f ca="1">EarningsPerDay[[#This Row],[Gross Earnings]]-(EarningsPerDay[[#This Row],[Miles]]*CpM!$D$11)</f>
        <v>83.122412808961457</v>
      </c>
      <c r="T560" s="11">
        <f t="shared" si="49"/>
        <v>19.367313915857604</v>
      </c>
      <c r="U560" s="11">
        <f t="shared" ca="1" si="50"/>
        <v>13.450228609864315</v>
      </c>
      <c r="V560" s="11">
        <f>EarningsPerDay[[#This Row],[Gross Earnings]]/EarningsPerDay[[#This Row],[Deliveries]]</f>
        <v>9.9741666666666671</v>
      </c>
      <c r="W560" s="11">
        <f>EarningsPerDay[[#This Row],[Gross Earnings]]/EarningsPerDay[[#This Row],[Miles]]</f>
        <v>0.72981707317073174</v>
      </c>
      <c r="X560" s="71">
        <f>EarningsPerDay[[#This Row],[Deliveries]]/EarningsPerDay[[#This Row],[Hours]]</f>
        <v>1.941747572815534</v>
      </c>
      <c r="Y560" s="71">
        <f>EarningsPerDay[[#This Row],[Miles]]/EarningsPerDay[[#This Row],[Deliveries]]</f>
        <v>13.666666666666666</v>
      </c>
      <c r="Z560" s="81">
        <f>(EarningsPerDay[[#This Row],[Hours]]/EarningsPerDay[[#This Row],[Deliveries]])/24</f>
        <v>2.1458333333333333E-2</v>
      </c>
      <c r="AA560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60" s="11">
        <f>AVERAGEIFS(EarningsPerDay[Gross $/Hour],EarningsPerDay[Week '#], EarningsPerDay[[#This Row],[Week '#]], EarningsPerDay[DOW], EarningsPerDay[[#This Row],[DOW]])</f>
        <v>16.999446431613013</v>
      </c>
      <c r="AC560" s="11">
        <f>EarningsPerDay[[#This Row],[Gross $/Hour]] - EarningsPerDay[[#This Row],[Weekly Average Earnings]]</f>
        <v>2.3678674842445915</v>
      </c>
      <c r="AD560" s="11">
        <f>(SUMIFS(EarningsPerDay[Gross Earnings], EarningsPerDay[Date],"&gt;="&amp;EarningsPerDay[[#This Row],[Date]]-89, EarningsPerDay[Date], "&lt;="&amp;EarningsPerDay[[#This Row],[Date]]))/90</f>
        <v>80.455777777777797</v>
      </c>
    </row>
    <row r="561" spans="2:30" x14ac:dyDescent="0.35">
      <c r="B561" s="40">
        <v>45510</v>
      </c>
      <c r="C561" s="40">
        <f t="shared" si="55"/>
        <v>45510</v>
      </c>
      <c r="D561" s="4">
        <f>IF(EarningsPerDay[[#This Row],[Week '#]]&gt;=52,YEAR(EarningsPerDay[[#This Row],[Date]])-1,YEAR(EarningsPerDay[[#This Row],[Date]]))</f>
        <v>2024</v>
      </c>
      <c r="E561" s="4" t="str">
        <f>"QTR"&amp;IF(EarningsPerDay[[#This Row],[Week '#]] &lt;= 13, 1, IF(EarningsPerDay[[#This Row],[Week '#]] &lt;= 26, 2, IF(EarningsPerDay[[#This Row],[Week '#]] &lt;= 39, 3, 4)))</f>
        <v>QTR3</v>
      </c>
      <c r="F5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61" s="4">
        <f>IF(WEEKNUM(EarningsPerDay[[#This Row],[Date]], 2) = 53, 1, WEEKNUM(EarningsPerDay[[#This Row],[Date]],2))</f>
        <v>32</v>
      </c>
      <c r="H561" s="40" t="str">
        <f t="shared" si="56"/>
        <v>Tuesday</v>
      </c>
      <c r="I56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1" s="40" t="str" cm="1">
        <f t="array" ref="J561">IFERROR(VLOOKUP(MODE(IF(Combined[Date]=EarningsPerDay[[#This Row],[Date]],Combined[Area '#])),KPIs!$B$4:$C$7,2,FALSE),VLOOKUP(EarningsPerDay[[#This Row],[Date]],Combined[[Date]:[Primary Area]],8,FALSE))</f>
        <v>Portland</v>
      </c>
      <c r="K561" s="40" t="str">
        <f>_xlfn.XLOOKUP(EarningsPerDay[[#This Row],[Date]],Mileage[Date],Mileage[Weather])</f>
        <v>Partially Cloudy</v>
      </c>
      <c r="L561" s="4">
        <f>_xlfn.XLOOKUP(EarningsPerDay[[#This Row],[Date]],Mileage[Date],Mileage[Hi Temp])</f>
        <v>64</v>
      </c>
      <c r="M561" s="12">
        <f>_xlfn.XLOOKUP(EarningsPerDay[[#This Row],[Date]],Mileage[Date],Mileage[Total Time])</f>
        <v>6.52</v>
      </c>
      <c r="N561" s="4">
        <f>_xlfn.XLOOKUP(EarningsPerDay[[#This Row],[Date]],Mileage[Date],Mileage[Mileage])</f>
        <v>119</v>
      </c>
      <c r="O561" s="4">
        <f>SUMIF(Combined[Date],EarningsPerDay[[#This Row],[Date]],Combined[Trips])</f>
        <v>14</v>
      </c>
      <c r="P561">
        <f>COUNTIF(Combined[Date],EarningsPerDay[[#This Row],[Date]])</f>
        <v>3</v>
      </c>
      <c r="Q5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1" s="11">
        <f>SUMIF(Combined[Date],EarningsPerDay[[#This Row],[Date]],Combined[Earnings])</f>
        <v>145.14000000000001</v>
      </c>
      <c r="S561" s="11">
        <f ca="1">EarningsPerDay[[#This Row],[Gross Earnings]]-(EarningsPerDay[[#This Row],[Miles]]*CpM!$D$11)</f>
        <v>118.60620197723424</v>
      </c>
      <c r="T561" s="11">
        <f t="shared" si="49"/>
        <v>22.260736196319023</v>
      </c>
      <c r="U561" s="11">
        <f t="shared" ca="1" si="50"/>
        <v>18.191135272581938</v>
      </c>
      <c r="V561" s="11">
        <f>EarningsPerDay[[#This Row],[Gross Earnings]]/EarningsPerDay[[#This Row],[Deliveries]]</f>
        <v>10.367142857142857</v>
      </c>
      <c r="W561" s="11">
        <f>EarningsPerDay[[#This Row],[Gross Earnings]]/EarningsPerDay[[#This Row],[Miles]]</f>
        <v>1.2196638655462186</v>
      </c>
      <c r="X561" s="71">
        <f>EarningsPerDay[[#This Row],[Deliveries]]/EarningsPerDay[[#This Row],[Hours]]</f>
        <v>2.147239263803681</v>
      </c>
      <c r="Y561" s="71">
        <f>EarningsPerDay[[#This Row],[Miles]]/EarningsPerDay[[#This Row],[Deliveries]]</f>
        <v>8.5</v>
      </c>
      <c r="Z561" s="81">
        <f>(EarningsPerDay[[#This Row],[Hours]]/EarningsPerDay[[#This Row],[Deliveries]])/24</f>
        <v>1.9404761904761904E-2</v>
      </c>
      <c r="AA5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0.76761547621119774</v>
      </c>
      <c r="AB561" s="11">
        <f>AVERAGEIFS(EarningsPerDay[Gross $/Hour],EarningsPerDay[Week '#], EarningsPerDay[[#This Row],[Week '#]], EarningsPerDay[DOW], EarningsPerDay[[#This Row],[DOW]])</f>
        <v>22.260736196319023</v>
      </c>
      <c r="AC561" s="11">
        <f>EarningsPerDay[[#This Row],[Gross $/Hour]] - EarningsPerDay[[#This Row],[Weekly Average Earnings]]</f>
        <v>0</v>
      </c>
      <c r="AD561" s="11">
        <f>(SUMIFS(EarningsPerDay[Gross Earnings], EarningsPerDay[Date],"&gt;="&amp;EarningsPerDay[[#This Row],[Date]]-89, EarningsPerDay[Date], "&lt;="&amp;EarningsPerDay[[#This Row],[Date]]))/90</f>
        <v>81.234888888888904</v>
      </c>
    </row>
    <row r="562" spans="2:30" x14ac:dyDescent="0.35">
      <c r="B562" s="40">
        <v>45513</v>
      </c>
      <c r="C562" s="40">
        <f t="shared" si="55"/>
        <v>45513</v>
      </c>
      <c r="D562" s="4">
        <f>IF(EarningsPerDay[[#This Row],[Week '#]]&gt;=52,YEAR(EarningsPerDay[[#This Row],[Date]])-1,YEAR(EarningsPerDay[[#This Row],[Date]]))</f>
        <v>2024</v>
      </c>
      <c r="E562" s="4" t="str">
        <f>"QTR"&amp;IF(EarningsPerDay[[#This Row],[Week '#]] &lt;= 13, 1, IF(EarningsPerDay[[#This Row],[Week '#]] &lt;= 26, 2, IF(EarningsPerDay[[#This Row],[Week '#]] &lt;= 39, 3, 4)))</f>
        <v>QTR3</v>
      </c>
      <c r="F5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62" s="4">
        <f>IF(WEEKNUM(EarningsPerDay[[#This Row],[Date]], 2) = 53, 1, WEEKNUM(EarningsPerDay[[#This Row],[Date]],2))</f>
        <v>32</v>
      </c>
      <c r="H562" s="40" t="str">
        <f t="shared" si="56"/>
        <v>Friday</v>
      </c>
      <c r="I56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2" s="40" t="str" cm="1">
        <f t="array" ref="J562">IFERROR(VLOOKUP(MODE(IF(Combined[Date]=EarningsPerDay[[#This Row],[Date]],Combined[Area '#])),KPIs!$B$4:$C$7,2,FALSE),VLOOKUP(EarningsPerDay[[#This Row],[Date]],Combined[[Date]:[Primary Area]],8,FALSE))</f>
        <v>Portland</v>
      </c>
      <c r="K562" s="40" t="str">
        <f>_xlfn.XLOOKUP(EarningsPerDay[[#This Row],[Date]],Mileage[Date],Mileage[Weather])</f>
        <v>Fog</v>
      </c>
      <c r="L562" s="4">
        <f>_xlfn.XLOOKUP(EarningsPerDay[[#This Row],[Date]],Mileage[Date],Mileage[Hi Temp])</f>
        <v>73</v>
      </c>
      <c r="M562" s="12">
        <f>_xlfn.XLOOKUP(EarningsPerDay[[#This Row],[Date]],Mileage[Date],Mileage[Total Time])</f>
        <v>7.78</v>
      </c>
      <c r="N562" s="4">
        <f>_xlfn.XLOOKUP(EarningsPerDay[[#This Row],[Date]],Mileage[Date],Mileage[Mileage])</f>
        <v>129</v>
      </c>
      <c r="O562" s="4">
        <f>SUMIF(Combined[Date],EarningsPerDay[[#This Row],[Date]],Combined[Trips])</f>
        <v>19</v>
      </c>
      <c r="P562">
        <f>COUNTIF(Combined[Date],EarningsPerDay[[#This Row],[Date]])</f>
        <v>4</v>
      </c>
      <c r="Q56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2" s="11">
        <f>SUMIF(Combined[Date],EarningsPerDay[[#This Row],[Date]],Combined[Earnings])</f>
        <v>157.57000000000002</v>
      </c>
      <c r="S562" s="11">
        <f ca="1">EarningsPerDay[[#This Row],[Gross Earnings]]-(EarningsPerDay[[#This Row],[Miles]]*CpM!$D$11)</f>
        <v>128.80647105095142</v>
      </c>
      <c r="T562" s="11">
        <f t="shared" si="49"/>
        <v>20.253213367609256</v>
      </c>
      <c r="U562" s="11">
        <f t="shared" ca="1" si="50"/>
        <v>16.55610167750018</v>
      </c>
      <c r="V562" s="11">
        <f>EarningsPerDay[[#This Row],[Gross Earnings]]/EarningsPerDay[[#This Row],[Deliveries]]</f>
        <v>8.2931578947368436</v>
      </c>
      <c r="W562" s="11">
        <f>EarningsPerDay[[#This Row],[Gross Earnings]]/EarningsPerDay[[#This Row],[Miles]]</f>
        <v>1.2214728682170544</v>
      </c>
      <c r="X562" s="71">
        <f>EarningsPerDay[[#This Row],[Deliveries]]/EarningsPerDay[[#This Row],[Hours]]</f>
        <v>2.442159383033419</v>
      </c>
      <c r="Y562" s="71">
        <f>EarningsPerDay[[#This Row],[Miles]]/EarningsPerDay[[#This Row],[Deliveries]]</f>
        <v>6.7894736842105265</v>
      </c>
      <c r="Z562" s="81">
        <f>(EarningsPerDay[[#This Row],[Hours]]/EarningsPerDay[[#This Row],[Deliveries]])/24</f>
        <v>1.706140350877193E-2</v>
      </c>
      <c r="AA5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-0.8903211228236998</v>
      </c>
      <c r="AB562" s="11">
        <f>AVERAGEIFS(EarningsPerDay[Gross $/Hour],EarningsPerDay[Week '#], EarningsPerDay[[#This Row],[Week '#]], EarningsPerDay[DOW], EarningsPerDay[[#This Row],[DOW]])</f>
        <v>17.967106899099438</v>
      </c>
      <c r="AC562" s="11">
        <f>EarningsPerDay[[#This Row],[Gross $/Hour]] - EarningsPerDay[[#This Row],[Weekly Average Earnings]]</f>
        <v>2.2861064685098178</v>
      </c>
      <c r="AD562" s="11">
        <f>(SUMIFS(EarningsPerDay[Gross Earnings], EarningsPerDay[Date],"&gt;="&amp;EarningsPerDay[[#This Row],[Date]]-89, EarningsPerDay[Date], "&lt;="&amp;EarningsPerDay[[#This Row],[Date]]))/90</f>
        <v>81.968444444444444</v>
      </c>
    </row>
    <row r="563" spans="2:30" x14ac:dyDescent="0.35">
      <c r="B563" s="40">
        <v>45514</v>
      </c>
      <c r="C563" s="40">
        <f t="shared" si="55"/>
        <v>45514</v>
      </c>
      <c r="D563" s="4">
        <f>IF(EarningsPerDay[[#This Row],[Week '#]]&gt;=52,YEAR(EarningsPerDay[[#This Row],[Date]])-1,YEAR(EarningsPerDay[[#This Row],[Date]]))</f>
        <v>2024</v>
      </c>
      <c r="E563" s="4" t="str">
        <f>"QTR"&amp;IF(EarningsPerDay[[#This Row],[Week '#]] &lt;= 13, 1, IF(EarningsPerDay[[#This Row],[Week '#]] &lt;= 26, 2, IF(EarningsPerDay[[#This Row],[Week '#]] &lt;= 39, 3, 4)))</f>
        <v>QTR3</v>
      </c>
      <c r="F5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63" s="4">
        <f>IF(WEEKNUM(EarningsPerDay[[#This Row],[Date]], 2) = 53, 1, WEEKNUM(EarningsPerDay[[#This Row],[Date]],2))</f>
        <v>32</v>
      </c>
      <c r="H563" s="40" t="str">
        <f t="shared" si="56"/>
        <v>Saturday</v>
      </c>
      <c r="I56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63" s="40" t="str" cm="1">
        <f t="array" ref="J563">IFERROR(VLOOKUP(MODE(IF(Combined[Date]=EarningsPerDay[[#This Row],[Date]],Combined[Area '#])),KPIs!$B$4:$C$7,2,FALSE),VLOOKUP(EarningsPerDay[[#This Row],[Date]],Combined[[Date]:[Primary Area]],8,FALSE))</f>
        <v>Lewiston</v>
      </c>
      <c r="K563" s="40" t="str">
        <f>_xlfn.XLOOKUP(EarningsPerDay[[#This Row],[Date]],Mileage[Date],Mileage[Weather])</f>
        <v>Clear</v>
      </c>
      <c r="L563" s="4">
        <f>_xlfn.XLOOKUP(EarningsPerDay[[#This Row],[Date]],Mileage[Date],Mileage[Hi Temp])</f>
        <v>81</v>
      </c>
      <c r="M563" s="12">
        <f>_xlfn.XLOOKUP(EarningsPerDay[[#This Row],[Date]],Mileage[Date],Mileage[Total Time])</f>
        <v>7.63</v>
      </c>
      <c r="N563" s="4">
        <f>_xlfn.XLOOKUP(EarningsPerDay[[#This Row],[Date]],Mileage[Date],Mileage[Mileage])</f>
        <v>119</v>
      </c>
      <c r="O563" s="4">
        <f>SUMIF(Combined[Date],EarningsPerDay[[#This Row],[Date]],Combined[Trips])</f>
        <v>17</v>
      </c>
      <c r="P563">
        <f>COUNTIF(Combined[Date],EarningsPerDay[[#This Row],[Date]])</f>
        <v>4</v>
      </c>
      <c r="Q5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3" s="11">
        <f>SUMIF(Combined[Date],EarningsPerDay[[#This Row],[Date]],Combined[Earnings])</f>
        <v>130.59</v>
      </c>
      <c r="S563" s="11">
        <f ca="1">EarningsPerDay[[#This Row],[Gross Earnings]]-(EarningsPerDay[[#This Row],[Miles]]*CpM!$D$11)</f>
        <v>104.05620197723422</v>
      </c>
      <c r="T563" s="11">
        <f t="shared" si="49"/>
        <v>17.115334207077328</v>
      </c>
      <c r="U563" s="11">
        <f t="shared" ca="1" si="50"/>
        <v>13.637772211957303</v>
      </c>
      <c r="V563" s="11">
        <f>EarningsPerDay[[#This Row],[Gross Earnings]]/EarningsPerDay[[#This Row],[Deliveries]]</f>
        <v>7.6817647058823528</v>
      </c>
      <c r="W563" s="11">
        <f>EarningsPerDay[[#This Row],[Gross Earnings]]/EarningsPerDay[[#This Row],[Miles]]</f>
        <v>1.0973949579831932</v>
      </c>
      <c r="X563" s="71">
        <f>EarningsPerDay[[#This Row],[Deliveries]]/EarningsPerDay[[#This Row],[Hours]]</f>
        <v>2.2280471821756227</v>
      </c>
      <c r="Y563" s="71">
        <f>EarningsPerDay[[#This Row],[Miles]]/EarningsPerDay[[#This Row],[Deliveries]]</f>
        <v>7</v>
      </c>
      <c r="Z563" s="81">
        <f>(EarningsPerDay[[#This Row],[Hours]]/EarningsPerDay[[#This Row],[Deliveries]])/24</f>
        <v>1.8700980392156862E-2</v>
      </c>
      <c r="AA5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-4.5763438137590349</v>
      </c>
      <c r="AB563" s="11">
        <f>AVERAGEIFS(EarningsPerDay[Gross $/Hour],EarningsPerDay[Week '#], EarningsPerDay[[#This Row],[Week '#]], EarningsPerDay[DOW], EarningsPerDay[[#This Row],[DOW]])</f>
        <v>19.537625371175935</v>
      </c>
      <c r="AC563" s="11">
        <f>EarningsPerDay[[#This Row],[Gross $/Hour]] - EarningsPerDay[[#This Row],[Weekly Average Earnings]]</f>
        <v>-2.4222911640986062</v>
      </c>
      <c r="AD563" s="11">
        <f>(SUMIFS(EarningsPerDay[Gross Earnings], EarningsPerDay[Date],"&gt;="&amp;EarningsPerDay[[#This Row],[Date]]-89, EarningsPerDay[Date], "&lt;="&amp;EarningsPerDay[[#This Row],[Date]]))/90</f>
        <v>83.419444444444451</v>
      </c>
    </row>
    <row r="564" spans="2:30" x14ac:dyDescent="0.35">
      <c r="B564" s="40">
        <v>45515</v>
      </c>
      <c r="C564" s="40">
        <f t="shared" si="55"/>
        <v>45515</v>
      </c>
      <c r="D564" s="4">
        <f>IF(EarningsPerDay[[#This Row],[Week '#]]&gt;=52,YEAR(EarningsPerDay[[#This Row],[Date]])-1,YEAR(EarningsPerDay[[#This Row],[Date]]))</f>
        <v>2024</v>
      </c>
      <c r="E564" s="4" t="str">
        <f>"QTR"&amp;IF(EarningsPerDay[[#This Row],[Week '#]] &lt;= 13, 1, IF(EarningsPerDay[[#This Row],[Week '#]] &lt;= 26, 2, IF(EarningsPerDay[[#This Row],[Week '#]] &lt;= 39, 3, 4)))</f>
        <v>QTR3</v>
      </c>
      <c r="F5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564" s="4">
        <f>IF(WEEKNUM(EarningsPerDay[[#This Row],[Date]], 2) = 53, 1, WEEKNUM(EarningsPerDay[[#This Row],[Date]],2))</f>
        <v>32</v>
      </c>
      <c r="H564" s="40" t="str">
        <f t="shared" ref="H564" si="57">TEXT(B564,"DDDD")</f>
        <v>Sunday</v>
      </c>
      <c r="I56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4" s="40" t="str" cm="1">
        <f t="array" ref="J564">IFERROR(VLOOKUP(MODE(IF(Combined[Date]=EarningsPerDay[[#This Row],[Date]],Combined[Area '#])),KPIs!$B$4:$C$7,2,FALSE),VLOOKUP(EarningsPerDay[[#This Row],[Date]],Combined[[Date]:[Primary Area]],8,FALSE))</f>
        <v>Portland</v>
      </c>
      <c r="K564" s="40" t="str">
        <f>_xlfn.XLOOKUP(EarningsPerDay[[#This Row],[Date]],Mileage[Date],Mileage[Weather])</f>
        <v>Partially Cloudy</v>
      </c>
      <c r="L564" s="4">
        <f>_xlfn.XLOOKUP(EarningsPerDay[[#This Row],[Date]],Mileage[Date],Mileage[Hi Temp])</f>
        <v>72</v>
      </c>
      <c r="M564" s="12">
        <f>_xlfn.XLOOKUP(EarningsPerDay[[#This Row],[Date]],Mileage[Date],Mileage[Total Time])</f>
        <v>6.45</v>
      </c>
      <c r="N564" s="4">
        <f>_xlfn.XLOOKUP(EarningsPerDay[[#This Row],[Date]],Mileage[Date],Mileage[Mileage])</f>
        <v>163</v>
      </c>
      <c r="O564" s="4">
        <f>SUMIF(Combined[Date],EarningsPerDay[[#This Row],[Date]],Combined[Trips])</f>
        <v>13</v>
      </c>
      <c r="P564">
        <f>COUNTIF(Combined[Date],EarningsPerDay[[#This Row],[Date]])</f>
        <v>2</v>
      </c>
      <c r="Q5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4" s="11">
        <f>SUMIF(Combined[Date],EarningsPerDay[[#This Row],[Date]],Combined[Earnings])</f>
        <v>171.04000000000002</v>
      </c>
      <c r="S564" s="11">
        <f ca="1">EarningsPerDay[[#This Row],[Gross Earnings]]-(EarningsPerDay[[#This Row],[Miles]]*CpM!$D$11)</f>
        <v>134.69538590158976</v>
      </c>
      <c r="T564" s="11">
        <f t="shared" si="49"/>
        <v>26.517829457364343</v>
      </c>
      <c r="U564" s="11">
        <f t="shared" ca="1" si="50"/>
        <v>20.883005566137946</v>
      </c>
      <c r="V564" s="11">
        <f>EarningsPerDay[[#This Row],[Gross Earnings]]/EarningsPerDay[[#This Row],[Deliveries]]</f>
        <v>13.156923076923078</v>
      </c>
      <c r="W564" s="11">
        <f>EarningsPerDay[[#This Row],[Gross Earnings]]/EarningsPerDay[[#This Row],[Miles]]</f>
        <v>1.0493251533742332</v>
      </c>
      <c r="X564" s="71">
        <f>EarningsPerDay[[#This Row],[Deliveries]]/EarningsPerDay[[#This Row],[Hours]]</f>
        <v>2.0155038759689923</v>
      </c>
      <c r="Y564" s="71">
        <f>EarningsPerDay[[#This Row],[Miles]]/EarningsPerDay[[#This Row],[Deliveries]]</f>
        <v>12.538461538461538</v>
      </c>
      <c r="Z564" s="81">
        <f>(EarningsPerDay[[#This Row],[Hours]]/EarningsPerDay[[#This Row],[Deliveries]])/24</f>
        <v>2.0673076923076922E-2</v>
      </c>
      <c r="AA5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1.747936984246067</v>
      </c>
      <c r="AB564" s="11">
        <f>AVERAGEIFS(EarningsPerDay[Gross $/Hour],EarningsPerDay[Week '#], EarningsPerDay[[#This Row],[Week '#]], EarningsPerDay[DOW], EarningsPerDay[[#This Row],[DOW]])</f>
        <v>22.915748241573912</v>
      </c>
      <c r="AC564" s="11">
        <f>EarningsPerDay[[#This Row],[Gross $/Hour]] - EarningsPerDay[[#This Row],[Weekly Average Earnings]]</f>
        <v>3.6020812157904309</v>
      </c>
      <c r="AD564" s="11">
        <f>(SUMIFS(EarningsPerDay[Gross Earnings], EarningsPerDay[Date],"&gt;="&amp;EarningsPerDay[[#This Row],[Date]]-89, EarningsPerDay[Date], "&lt;="&amp;EarningsPerDay[[#This Row],[Date]]))/90</f>
        <v>83.721777777777774</v>
      </c>
    </row>
    <row r="565" spans="2:30" x14ac:dyDescent="0.35">
      <c r="B565" s="40">
        <v>45516</v>
      </c>
      <c r="C565" s="40">
        <f t="shared" si="55"/>
        <v>45516</v>
      </c>
      <c r="D565" s="4">
        <f>IF(EarningsPerDay[[#This Row],[Week '#]]&gt;=52,YEAR(EarningsPerDay[[#This Row],[Date]])-1,YEAR(EarningsPerDay[[#This Row],[Date]]))</f>
        <v>2024</v>
      </c>
      <c r="E565" s="4" t="str">
        <f>"QTR"&amp;IF(EarningsPerDay[[#This Row],[Week '#]] &lt;= 13, 1, IF(EarningsPerDay[[#This Row],[Week '#]] &lt;= 26, 2, IF(EarningsPerDay[[#This Row],[Week '#]] &lt;= 39, 3, 4)))</f>
        <v>QTR3</v>
      </c>
      <c r="F5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65" s="4">
        <f>IF(WEEKNUM(EarningsPerDay[[#This Row],[Date]], 2) = 53, 1, WEEKNUM(EarningsPerDay[[#This Row],[Date]],2))</f>
        <v>33</v>
      </c>
      <c r="H565" s="40" t="str">
        <f t="shared" ref="H565:H570" si="58">TEXT(B565,"DDDD")</f>
        <v>Monday</v>
      </c>
      <c r="I56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5" s="40" t="str" cm="1">
        <f t="array" ref="J565">IFERROR(VLOOKUP(MODE(IF(Combined[Date]=EarningsPerDay[[#This Row],[Date]],Combined[Area '#])),KPIs!$B$4:$C$7,2,FALSE),VLOOKUP(EarningsPerDay[[#This Row],[Date]],Combined[[Date]:[Primary Area]],8,FALSE))</f>
        <v>Portland</v>
      </c>
      <c r="K565" s="40" t="str">
        <f>_xlfn.XLOOKUP(EarningsPerDay[[#This Row],[Date]],Mileage[Date],Mileage[Weather])</f>
        <v>Clear</v>
      </c>
      <c r="L565" s="4">
        <f>_xlfn.XLOOKUP(EarningsPerDay[[#This Row],[Date]],Mileage[Date],Mileage[Hi Temp])</f>
        <v>72</v>
      </c>
      <c r="M565" s="12">
        <f>_xlfn.XLOOKUP(EarningsPerDay[[#This Row],[Date]],Mileage[Date],Mileage[Total Time])</f>
        <v>6.45</v>
      </c>
      <c r="N565" s="4">
        <f>_xlfn.XLOOKUP(EarningsPerDay[[#This Row],[Date]],Mileage[Date],Mileage[Mileage])</f>
        <v>104</v>
      </c>
      <c r="O565" s="4">
        <f>SUMIF(Combined[Date],EarningsPerDay[[#This Row],[Date]],Combined[Trips])</f>
        <v>14</v>
      </c>
      <c r="P565">
        <f>COUNTIF(Combined[Date],EarningsPerDay[[#This Row],[Date]])</f>
        <v>4</v>
      </c>
      <c r="Q5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5" s="11">
        <f>SUMIF(Combined[Date],EarningsPerDay[[#This Row],[Date]],Combined[Earnings])</f>
        <v>133.61000000000001</v>
      </c>
      <c r="S565" s="11">
        <f ca="1">EarningsPerDay[[#This Row],[Gross Earnings]]-(EarningsPerDay[[#This Row],[Miles]]*CpM!$D$11)</f>
        <v>110.42079836665849</v>
      </c>
      <c r="T565" s="11">
        <f t="shared" si="49"/>
        <v>20.714728682170545</v>
      </c>
      <c r="U565" s="11">
        <f t="shared" ca="1" si="50"/>
        <v>17.119503622737749</v>
      </c>
      <c r="V565" s="11">
        <f>EarningsPerDay[[#This Row],[Gross Earnings]]/EarningsPerDay[[#This Row],[Deliveries]]</f>
        <v>9.543571428571429</v>
      </c>
      <c r="W565" s="11">
        <f>EarningsPerDay[[#This Row],[Gross Earnings]]/EarningsPerDay[[#This Row],[Miles]]</f>
        <v>1.2847115384615386</v>
      </c>
      <c r="X565" s="71">
        <f>EarningsPerDay[[#This Row],[Deliveries]]/EarningsPerDay[[#This Row],[Hours]]</f>
        <v>2.1705426356589146</v>
      </c>
      <c r="Y565" s="71">
        <f>EarningsPerDay[[#This Row],[Miles]]/EarningsPerDay[[#This Row],[Deliveries]]</f>
        <v>7.4285714285714288</v>
      </c>
      <c r="Z565" s="81">
        <f>(EarningsPerDay[[#This Row],[Hours]]/EarningsPerDay[[#This Row],[Deliveries]])/24</f>
        <v>1.9196428571428573E-2</v>
      </c>
      <c r="AA5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-0.58959531279614197</v>
      </c>
      <c r="AB565" s="11">
        <f>AVERAGEIFS(EarningsPerDay[Gross $/Hour],EarningsPerDay[Week '#], EarningsPerDay[[#This Row],[Week '#]], EarningsPerDay[DOW], EarningsPerDay[[#This Row],[DOW]])</f>
        <v>15.658282216918668</v>
      </c>
      <c r="AC565" s="11">
        <f>EarningsPerDay[[#This Row],[Gross $/Hour]] - EarningsPerDay[[#This Row],[Weekly Average Earnings]]</f>
        <v>5.0564464652518772</v>
      </c>
      <c r="AD565" s="11">
        <f>(SUMIFS(EarningsPerDay[Gross Earnings], EarningsPerDay[Date],"&gt;="&amp;EarningsPerDay[[#This Row],[Date]]-89, EarningsPerDay[Date], "&lt;="&amp;EarningsPerDay[[#This Row],[Date]]))/90</f>
        <v>83.623222222222225</v>
      </c>
    </row>
    <row r="566" spans="2:30" x14ac:dyDescent="0.35">
      <c r="B566" s="40">
        <v>45517</v>
      </c>
      <c r="C566" s="40">
        <f t="shared" si="55"/>
        <v>45517</v>
      </c>
      <c r="D566" s="4">
        <f>IF(EarningsPerDay[[#This Row],[Week '#]]&gt;=52,YEAR(EarningsPerDay[[#This Row],[Date]])-1,YEAR(EarningsPerDay[[#This Row],[Date]]))</f>
        <v>2024</v>
      </c>
      <c r="E566" s="4" t="str">
        <f>"QTR"&amp;IF(EarningsPerDay[[#This Row],[Week '#]] &lt;= 13, 1, IF(EarningsPerDay[[#This Row],[Week '#]] &lt;= 26, 2, IF(EarningsPerDay[[#This Row],[Week '#]] &lt;= 39, 3, 4)))</f>
        <v>QTR3</v>
      </c>
      <c r="F5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66" s="4">
        <f>IF(WEEKNUM(EarningsPerDay[[#This Row],[Date]], 2) = 53, 1, WEEKNUM(EarningsPerDay[[#This Row],[Date]],2))</f>
        <v>33</v>
      </c>
      <c r="H566" s="40" t="str">
        <f t="shared" si="58"/>
        <v>Tuesday</v>
      </c>
      <c r="I56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66" s="40" t="str" cm="1">
        <f t="array" ref="J566">IFERROR(VLOOKUP(MODE(IF(Combined[Date]=EarningsPerDay[[#This Row],[Date]],Combined[Area '#])),KPIs!$B$4:$C$7,2,FALSE),VLOOKUP(EarningsPerDay[[#This Row],[Date]],Combined[[Date]:[Primary Area]],8,FALSE))</f>
        <v>Lewiston</v>
      </c>
      <c r="K566" s="40" t="str">
        <f>_xlfn.XLOOKUP(EarningsPerDay[[#This Row],[Date]],Mileage[Date],Mileage[Weather])</f>
        <v>Clear</v>
      </c>
      <c r="L566" s="4">
        <f>_xlfn.XLOOKUP(EarningsPerDay[[#This Row],[Date]],Mileage[Date],Mileage[Hi Temp])</f>
        <v>79</v>
      </c>
      <c r="M566" s="12">
        <f>_xlfn.XLOOKUP(EarningsPerDay[[#This Row],[Date]],Mileage[Date],Mileage[Total Time])</f>
        <v>3.77</v>
      </c>
      <c r="N566" s="4">
        <f>_xlfn.XLOOKUP(EarningsPerDay[[#This Row],[Date]],Mileage[Date],Mileage[Mileage])</f>
        <v>99</v>
      </c>
      <c r="O566" s="4">
        <f>SUMIF(Combined[Date],EarningsPerDay[[#This Row],[Date]],Combined[Trips])</f>
        <v>6</v>
      </c>
      <c r="P566">
        <f>COUNTIF(Combined[Date],EarningsPerDay[[#This Row],[Date]])</f>
        <v>1</v>
      </c>
      <c r="Q5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6" s="11">
        <f>SUMIF(Combined[Date],EarningsPerDay[[#This Row],[Date]],Combined[Earnings])</f>
        <v>39.75</v>
      </c>
      <c r="S566" s="11">
        <f ca="1">EarningsPerDay[[#This Row],[Gross Earnings]]-(EarningsPerDay[[#This Row],[Miles]]*CpM!$D$11)</f>
        <v>17.675663829799902</v>
      </c>
      <c r="T566" s="11">
        <f t="shared" si="49"/>
        <v>10.543766578249336</v>
      </c>
      <c r="U566" s="11">
        <f t="shared" ca="1" si="50"/>
        <v>4.6885049946418835</v>
      </c>
      <c r="V566" s="11">
        <f>EarningsPerDay[[#This Row],[Gross Earnings]]/EarningsPerDay[[#This Row],[Deliveries]]</f>
        <v>6.625</v>
      </c>
      <c r="W566" s="11">
        <f>EarningsPerDay[[#This Row],[Gross Earnings]]/EarningsPerDay[[#This Row],[Miles]]</f>
        <v>0.40151515151515149</v>
      </c>
      <c r="X566" s="71">
        <f>EarningsPerDay[[#This Row],[Deliveries]]/EarningsPerDay[[#This Row],[Hours]]</f>
        <v>1.5915119363395225</v>
      </c>
      <c r="Y566" s="71">
        <f>EarningsPerDay[[#This Row],[Miles]]/EarningsPerDay[[#This Row],[Deliveries]]</f>
        <v>16.5</v>
      </c>
      <c r="Z566" s="81">
        <f>(EarningsPerDay[[#This Row],[Hours]]/EarningsPerDay[[#This Row],[Deliveries]])/24</f>
        <v>2.6180555555555554E-2</v>
      </c>
      <c r="AA5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-5.8497563187143271</v>
      </c>
      <c r="AB566" s="11">
        <f>AVERAGEIFS(EarningsPerDay[Gross $/Hour],EarningsPerDay[Week '#], EarningsPerDay[[#This Row],[Week '#]], EarningsPerDay[DOW], EarningsPerDay[[#This Row],[DOW]])</f>
        <v>17.127735570511192</v>
      </c>
      <c r="AC566" s="11">
        <f>EarningsPerDay[[#This Row],[Gross $/Hour]] - EarningsPerDay[[#This Row],[Weekly Average Earnings]]</f>
        <v>-6.5839689922618554</v>
      </c>
      <c r="AD566" s="11">
        <f>(SUMIFS(EarningsPerDay[Gross Earnings], EarningsPerDay[Date],"&gt;="&amp;EarningsPerDay[[#This Row],[Date]]-89, EarningsPerDay[Date], "&lt;="&amp;EarningsPerDay[[#This Row],[Date]]))/90</f>
        <v>82.674333333333337</v>
      </c>
    </row>
    <row r="567" spans="2:30" x14ac:dyDescent="0.35">
      <c r="B567" s="40">
        <v>45518</v>
      </c>
      <c r="C567" s="40">
        <f t="shared" si="55"/>
        <v>45518</v>
      </c>
      <c r="D567" s="4">
        <f>IF(EarningsPerDay[[#This Row],[Week '#]]&gt;=52,YEAR(EarningsPerDay[[#This Row],[Date]])-1,YEAR(EarningsPerDay[[#This Row],[Date]]))</f>
        <v>2024</v>
      </c>
      <c r="E567" s="4" t="str">
        <f>"QTR"&amp;IF(EarningsPerDay[[#This Row],[Week '#]] &lt;= 13, 1, IF(EarningsPerDay[[#This Row],[Week '#]] &lt;= 26, 2, IF(EarningsPerDay[[#This Row],[Week '#]] &lt;= 39, 3, 4)))</f>
        <v>QTR3</v>
      </c>
      <c r="F5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67" s="4">
        <f>IF(WEEKNUM(EarningsPerDay[[#This Row],[Date]], 2) = 53, 1, WEEKNUM(EarningsPerDay[[#This Row],[Date]],2))</f>
        <v>33</v>
      </c>
      <c r="H567" s="40" t="str">
        <f t="shared" si="58"/>
        <v>Wednesday</v>
      </c>
      <c r="I56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7" s="40" t="str" cm="1">
        <f t="array" ref="J567">IFERROR(VLOOKUP(MODE(IF(Combined[Date]=EarningsPerDay[[#This Row],[Date]],Combined[Area '#])),KPIs!$B$4:$C$7,2,FALSE),VLOOKUP(EarningsPerDay[[#This Row],[Date]],Combined[[Date]:[Primary Area]],8,FALSE))</f>
        <v>Portland</v>
      </c>
      <c r="K567" s="40" t="str">
        <f>_xlfn.XLOOKUP(EarningsPerDay[[#This Row],[Date]],Mileage[Date],Mileage[Weather])</f>
        <v>Partially Cloudy</v>
      </c>
      <c r="L567" s="4">
        <f>_xlfn.XLOOKUP(EarningsPerDay[[#This Row],[Date]],Mileage[Date],Mileage[Hi Temp])</f>
        <v>70</v>
      </c>
      <c r="M567" s="12">
        <f>_xlfn.XLOOKUP(EarningsPerDay[[#This Row],[Date]],Mileage[Date],Mileage[Total Time])</f>
        <v>7.1</v>
      </c>
      <c r="N567" s="4">
        <f>_xlfn.XLOOKUP(EarningsPerDay[[#This Row],[Date]],Mileage[Date],Mileage[Mileage])</f>
        <v>137</v>
      </c>
      <c r="O567" s="4">
        <f>SUMIF(Combined[Date],EarningsPerDay[[#This Row],[Date]],Combined[Trips])</f>
        <v>14</v>
      </c>
      <c r="P567">
        <f>COUNTIF(Combined[Date],EarningsPerDay[[#This Row],[Date]])</f>
        <v>4</v>
      </c>
      <c r="Q5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7" s="11">
        <f>SUMIF(Combined[Date],EarningsPerDay[[#This Row],[Date]],Combined[Earnings])</f>
        <v>159.01</v>
      </c>
      <c r="S567" s="11">
        <f ca="1">EarningsPerDay[[#This Row],[Gross Earnings]]-(EarningsPerDay[[#This Row],[Miles]]*CpM!$D$11)</f>
        <v>128.46268630992512</v>
      </c>
      <c r="T567" s="11">
        <f t="shared" si="49"/>
        <v>22.395774647887325</v>
      </c>
      <c r="U567" s="11">
        <f t="shared" ca="1" si="50"/>
        <v>18.093336099989454</v>
      </c>
      <c r="V567" s="11">
        <f>EarningsPerDay[[#This Row],[Gross Earnings]]/EarningsPerDay[[#This Row],[Deliveries]]</f>
        <v>11.357857142857142</v>
      </c>
      <c r="W567" s="11">
        <f>EarningsPerDay[[#This Row],[Gross Earnings]]/EarningsPerDay[[#This Row],[Miles]]</f>
        <v>1.1606569343065694</v>
      </c>
      <c r="X567" s="71">
        <f>EarningsPerDay[[#This Row],[Deliveries]]/EarningsPerDay[[#This Row],[Hours]]</f>
        <v>1.971830985915493</v>
      </c>
      <c r="Y567" s="71">
        <f>EarningsPerDay[[#This Row],[Miles]]/EarningsPerDay[[#This Row],[Deliveries]]</f>
        <v>9.7857142857142865</v>
      </c>
      <c r="Z567" s="81">
        <f>(EarningsPerDay[[#This Row],[Hours]]/EarningsPerDay[[#This Row],[Deliveries]])/24</f>
        <v>2.1130952380952379E-2</v>
      </c>
      <c r="AA5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-3.992471673091913E-2</v>
      </c>
      <c r="AB567" s="11">
        <f>AVERAGEIFS(EarningsPerDay[Gross $/Hour],EarningsPerDay[Week '#], EarningsPerDay[[#This Row],[Week '#]], EarningsPerDay[DOW], EarningsPerDay[[#This Row],[DOW]])</f>
        <v>21.900354654253771</v>
      </c>
      <c r="AC567" s="11">
        <f>EarningsPerDay[[#This Row],[Gross $/Hour]] - EarningsPerDay[[#This Row],[Weekly Average Earnings]]</f>
        <v>0.49541999363355416</v>
      </c>
      <c r="AD567" s="11">
        <f>(SUMIFS(EarningsPerDay[Gross Earnings], EarningsPerDay[Date],"&gt;="&amp;EarningsPerDay[[#This Row],[Date]]-89, EarningsPerDay[Date], "&lt;="&amp;EarningsPerDay[[#This Row],[Date]]))/90</f>
        <v>83.000333333333344</v>
      </c>
    </row>
    <row r="568" spans="2:30" x14ac:dyDescent="0.35">
      <c r="B568" s="40">
        <v>45519</v>
      </c>
      <c r="C568" s="40">
        <f t="shared" si="55"/>
        <v>45519</v>
      </c>
      <c r="D568" s="4">
        <f>IF(EarningsPerDay[[#This Row],[Week '#]]&gt;=52,YEAR(EarningsPerDay[[#This Row],[Date]])-1,YEAR(EarningsPerDay[[#This Row],[Date]]))</f>
        <v>2024</v>
      </c>
      <c r="E568" s="4" t="str">
        <f>"QTR"&amp;IF(EarningsPerDay[[#This Row],[Week '#]] &lt;= 13, 1, IF(EarningsPerDay[[#This Row],[Week '#]] &lt;= 26, 2, IF(EarningsPerDay[[#This Row],[Week '#]] &lt;= 39, 3, 4)))</f>
        <v>QTR3</v>
      </c>
      <c r="F5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68" s="4">
        <f>IF(WEEKNUM(EarningsPerDay[[#This Row],[Date]], 2) = 53, 1, WEEKNUM(EarningsPerDay[[#This Row],[Date]],2))</f>
        <v>33</v>
      </c>
      <c r="H568" s="40" t="str">
        <f t="shared" si="58"/>
        <v>Thursday</v>
      </c>
      <c r="I56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68" s="40" t="str" cm="1">
        <f t="array" ref="J568">IFERROR(VLOOKUP(MODE(IF(Combined[Date]=EarningsPerDay[[#This Row],[Date]],Combined[Area '#])),KPIs!$B$4:$C$7,2,FALSE),VLOOKUP(EarningsPerDay[[#This Row],[Date]],Combined[[Date]:[Primary Area]],8,FALSE))</f>
        <v>Lewiston</v>
      </c>
      <c r="K568" s="40" t="str">
        <f>_xlfn.XLOOKUP(EarningsPerDay[[#This Row],[Date]],Mileage[Date],Mileage[Weather])</f>
        <v>Fog</v>
      </c>
      <c r="L568" s="4">
        <f>_xlfn.XLOOKUP(EarningsPerDay[[#This Row],[Date]],Mileage[Date],Mileage[Hi Temp])</f>
        <v>68</v>
      </c>
      <c r="M568" s="12">
        <f>_xlfn.XLOOKUP(EarningsPerDay[[#This Row],[Date]],Mileage[Date],Mileage[Total Time])</f>
        <v>6.3</v>
      </c>
      <c r="N568" s="4">
        <f>_xlfn.XLOOKUP(EarningsPerDay[[#This Row],[Date]],Mileage[Date],Mileage[Mileage])</f>
        <v>92</v>
      </c>
      <c r="O568" s="4">
        <f>SUMIF(Combined[Date],EarningsPerDay[[#This Row],[Date]],Combined[Trips])</f>
        <v>18</v>
      </c>
      <c r="P568">
        <f>COUNTIF(Combined[Date],EarningsPerDay[[#This Row],[Date]])</f>
        <v>2</v>
      </c>
      <c r="Q5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68" s="11">
        <f>SUMIF(Combined[Date],EarningsPerDay[[#This Row],[Date]],Combined[Earnings])</f>
        <v>110.67</v>
      </c>
      <c r="S568" s="11">
        <f ca="1">EarningsPerDay[[#This Row],[Gross Earnings]]-(EarningsPerDay[[#This Row],[Miles]]*CpM!$D$11)</f>
        <v>90.156475478197891</v>
      </c>
      <c r="T568" s="11">
        <f t="shared" si="49"/>
        <v>17.566666666666666</v>
      </c>
      <c r="U568" s="11">
        <f t="shared" ca="1" si="50"/>
        <v>14.310551663206015</v>
      </c>
      <c r="V568" s="11">
        <f>EarningsPerDay[[#This Row],[Gross Earnings]]/EarningsPerDay[[#This Row],[Deliveries]]</f>
        <v>6.1483333333333334</v>
      </c>
      <c r="W568" s="11">
        <f>EarningsPerDay[[#This Row],[Gross Earnings]]/EarningsPerDay[[#This Row],[Miles]]</f>
        <v>1.2029347826086956</v>
      </c>
      <c r="X568" s="71">
        <f>EarningsPerDay[[#This Row],[Deliveries]]/EarningsPerDay[[#This Row],[Hours]]</f>
        <v>2.8571428571428572</v>
      </c>
      <c r="Y568" s="71">
        <f>EarningsPerDay[[#This Row],[Miles]]/EarningsPerDay[[#This Row],[Deliveries]]</f>
        <v>5.1111111111111107</v>
      </c>
      <c r="Z568" s="81">
        <f>(EarningsPerDay[[#This Row],[Hours]]/EarningsPerDay[[#This Row],[Deliveries]])/24</f>
        <v>1.4583333333333332E-2</v>
      </c>
      <c r="AA5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0.35529833325898963</v>
      </c>
      <c r="AB568" s="11">
        <f>AVERAGEIFS(EarningsPerDay[Gross $/Hour],EarningsPerDay[Week '#], EarningsPerDay[[#This Row],[Week '#]], EarningsPerDay[DOW], EarningsPerDay[[#This Row],[DOW]])</f>
        <v>17.47428262633742</v>
      </c>
      <c r="AC568" s="11">
        <f>EarningsPerDay[[#This Row],[Gross $/Hour]] - EarningsPerDay[[#This Row],[Weekly Average Earnings]]</f>
        <v>9.2384040329246631E-2</v>
      </c>
      <c r="AD568" s="11">
        <f>(SUMIFS(EarningsPerDay[Gross Earnings], EarningsPerDay[Date],"&gt;="&amp;EarningsPerDay[[#This Row],[Date]]-89, EarningsPerDay[Date], "&lt;="&amp;EarningsPerDay[[#This Row],[Date]]))/90</f>
        <v>82.546777777777791</v>
      </c>
    </row>
    <row r="569" spans="2:30" x14ac:dyDescent="0.35">
      <c r="B569" s="40">
        <v>45520</v>
      </c>
      <c r="C569" s="40">
        <f t="shared" si="55"/>
        <v>45520</v>
      </c>
      <c r="D569" s="4">
        <f>IF(EarningsPerDay[[#This Row],[Week '#]]&gt;=52,YEAR(EarningsPerDay[[#This Row],[Date]])-1,YEAR(EarningsPerDay[[#This Row],[Date]]))</f>
        <v>2024</v>
      </c>
      <c r="E569" s="4" t="str">
        <f>"QTR"&amp;IF(EarningsPerDay[[#This Row],[Week '#]] &lt;= 13, 1, IF(EarningsPerDay[[#This Row],[Week '#]] &lt;= 26, 2, IF(EarningsPerDay[[#This Row],[Week '#]] &lt;= 39, 3, 4)))</f>
        <v>QTR3</v>
      </c>
      <c r="F5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69" s="4">
        <f>IF(WEEKNUM(EarningsPerDay[[#This Row],[Date]], 2) = 53, 1, WEEKNUM(EarningsPerDay[[#This Row],[Date]],2))</f>
        <v>33</v>
      </c>
      <c r="H569" s="40" t="str">
        <f t="shared" si="58"/>
        <v>Friday</v>
      </c>
      <c r="I56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69" s="40" t="str" cm="1">
        <f t="array" ref="J569">IFERROR(VLOOKUP(MODE(IF(Combined[Date]=EarningsPerDay[[#This Row],[Date]],Combined[Area '#])),KPIs!$B$4:$C$7,2,FALSE),VLOOKUP(EarningsPerDay[[#This Row],[Date]],Combined[[Date]:[Primary Area]],8,FALSE))</f>
        <v>Portland</v>
      </c>
      <c r="K569" s="40" t="str">
        <f>_xlfn.XLOOKUP(EarningsPerDay[[#This Row],[Date]],Mileage[Date],Mileage[Weather])</f>
        <v>Fog</v>
      </c>
      <c r="L569" s="4">
        <f>_xlfn.XLOOKUP(EarningsPerDay[[#This Row],[Date]],Mileage[Date],Mileage[Hi Temp])</f>
        <v>66</v>
      </c>
      <c r="M569" s="12">
        <f>_xlfn.XLOOKUP(EarningsPerDay[[#This Row],[Date]],Mileage[Date],Mileage[Total Time])</f>
        <v>6.57</v>
      </c>
      <c r="N569" s="4">
        <f>_xlfn.XLOOKUP(EarningsPerDay[[#This Row],[Date]],Mileage[Date],Mileage[Mileage])</f>
        <v>140</v>
      </c>
      <c r="O569" s="4">
        <f>SUMIF(Combined[Date],EarningsPerDay[[#This Row],[Date]],Combined[Trips])</f>
        <v>15</v>
      </c>
      <c r="P569">
        <f>COUNTIF(Combined[Date],EarningsPerDay[[#This Row],[Date]])</f>
        <v>4</v>
      </c>
      <c r="Q56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69" s="11">
        <f>SUMIF(Combined[Date],EarningsPerDay[[#This Row],[Date]],Combined[Earnings])</f>
        <v>141.51000000000002</v>
      </c>
      <c r="S569" s="11">
        <f ca="1">EarningsPerDay[[#This Row],[Gross Earnings]]-(EarningsPerDay[[#This Row],[Miles]]*CpM!$D$11)</f>
        <v>110.29376703204028</v>
      </c>
      <c r="T569" s="11">
        <f t="shared" si="49"/>
        <v>21.538812785388131</v>
      </c>
      <c r="U569" s="11">
        <f t="shared" ca="1" si="50"/>
        <v>16.787483566520589</v>
      </c>
      <c r="V569" s="11">
        <f>EarningsPerDay[[#This Row],[Gross Earnings]]/EarningsPerDay[[#This Row],[Deliveries]]</f>
        <v>9.4340000000000011</v>
      </c>
      <c r="W569" s="11">
        <f>EarningsPerDay[[#This Row],[Gross Earnings]]/EarningsPerDay[[#This Row],[Miles]]</f>
        <v>1.0107857142857144</v>
      </c>
      <c r="X569" s="71">
        <f>EarningsPerDay[[#This Row],[Deliveries]]/EarningsPerDay[[#This Row],[Hours]]</f>
        <v>2.2831050228310503</v>
      </c>
      <c r="Y569" s="71">
        <f>EarningsPerDay[[#This Row],[Miles]]/EarningsPerDay[[#This Row],[Deliveries]]</f>
        <v>9.3333333333333339</v>
      </c>
      <c r="Z569" s="81">
        <f>(EarningsPerDay[[#This Row],[Hours]]/EarningsPerDay[[#This Row],[Deliveries]])/24</f>
        <v>1.8249999999999999E-2</v>
      </c>
      <c r="AA5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0.50656843530813944</v>
      </c>
      <c r="AB569" s="11">
        <f>AVERAGEIFS(EarningsPerDay[Gross $/Hour],EarningsPerDay[Week '#], EarningsPerDay[[#This Row],[Week '#]], EarningsPerDay[DOW], EarningsPerDay[[#This Row],[DOW]])</f>
        <v>19.306427700229733</v>
      </c>
      <c r="AC569" s="11">
        <f>EarningsPerDay[[#This Row],[Gross $/Hour]] - EarningsPerDay[[#This Row],[Weekly Average Earnings]]</f>
        <v>2.2323850851583984</v>
      </c>
      <c r="AD569" s="11">
        <f>(SUMIFS(EarningsPerDay[Gross Earnings], EarningsPerDay[Date],"&gt;="&amp;EarningsPerDay[[#This Row],[Date]]-89, EarningsPerDay[Date], "&lt;="&amp;EarningsPerDay[[#This Row],[Date]]))/90</f>
        <v>84.119111111111124</v>
      </c>
    </row>
    <row r="570" spans="2:30" x14ac:dyDescent="0.35">
      <c r="B570" s="40">
        <v>45521</v>
      </c>
      <c r="C570" s="40">
        <f t="shared" si="55"/>
        <v>45521</v>
      </c>
      <c r="D570" s="4">
        <f>IF(EarningsPerDay[[#This Row],[Week '#]]&gt;=52,YEAR(EarningsPerDay[[#This Row],[Date]])-1,YEAR(EarningsPerDay[[#This Row],[Date]]))</f>
        <v>2024</v>
      </c>
      <c r="E570" s="4" t="str">
        <f>"QTR"&amp;IF(EarningsPerDay[[#This Row],[Week '#]] &lt;= 13, 1, IF(EarningsPerDay[[#This Row],[Week '#]] &lt;= 26, 2, IF(EarningsPerDay[[#This Row],[Week '#]] &lt;= 39, 3, 4)))</f>
        <v>QTR3</v>
      </c>
      <c r="F5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70" s="4">
        <f>IF(WEEKNUM(EarningsPerDay[[#This Row],[Date]], 2) = 53, 1, WEEKNUM(EarningsPerDay[[#This Row],[Date]],2))</f>
        <v>33</v>
      </c>
      <c r="H570" s="40" t="str">
        <f t="shared" si="58"/>
        <v>Saturday</v>
      </c>
      <c r="I57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70" s="40" t="str" cm="1">
        <f t="array" ref="J570">IFERROR(VLOOKUP(MODE(IF(Combined[Date]=EarningsPerDay[[#This Row],[Date]],Combined[Area '#])),KPIs!$B$4:$C$7,2,FALSE),VLOOKUP(EarningsPerDay[[#This Row],[Date]],Combined[[Date]:[Primary Area]],8,FALSE))</f>
        <v>Portland</v>
      </c>
      <c r="K570" s="40" t="str">
        <f>_xlfn.XLOOKUP(EarningsPerDay[[#This Row],[Date]],Mileage[Date],Mileage[Weather])</f>
        <v>Partially Cloudy</v>
      </c>
      <c r="L570" s="4">
        <f>_xlfn.XLOOKUP(EarningsPerDay[[#This Row],[Date]],Mileage[Date],Mileage[Hi Temp])</f>
        <v>66</v>
      </c>
      <c r="M570" s="12">
        <f>_xlfn.XLOOKUP(EarningsPerDay[[#This Row],[Date]],Mileage[Date],Mileage[Total Time])</f>
        <v>6.35</v>
      </c>
      <c r="N570" s="4">
        <f>_xlfn.XLOOKUP(EarningsPerDay[[#This Row],[Date]],Mileage[Date],Mileage[Mileage])</f>
        <v>131</v>
      </c>
      <c r="O570" s="4">
        <f>SUMIF(Combined[Date],EarningsPerDay[[#This Row],[Date]],Combined[Trips])</f>
        <v>17</v>
      </c>
      <c r="P570">
        <f>COUNTIF(Combined[Date],EarningsPerDay[[#This Row],[Date]])</f>
        <v>2</v>
      </c>
      <c r="Q5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0" s="11">
        <f>SUMIF(Combined[Date],EarningsPerDay[[#This Row],[Date]],Combined[Earnings])</f>
        <v>165.45</v>
      </c>
      <c r="S570" s="11">
        <f ca="1">EarningsPerDay[[#This Row],[Gross Earnings]]-(EarningsPerDay[[#This Row],[Miles]]*CpM!$D$11)</f>
        <v>136.24052486569479</v>
      </c>
      <c r="T570" s="11">
        <f t="shared" si="49"/>
        <v>26.055118110236219</v>
      </c>
      <c r="U570" s="11">
        <f t="shared" ca="1" si="50"/>
        <v>21.455200766251149</v>
      </c>
      <c r="V570" s="11">
        <f>EarningsPerDay[[#This Row],[Gross Earnings]]/EarningsPerDay[[#This Row],[Deliveries]]</f>
        <v>9.7323529411764707</v>
      </c>
      <c r="W570" s="11">
        <f>EarningsPerDay[[#This Row],[Gross Earnings]]/EarningsPerDay[[#This Row],[Miles]]</f>
        <v>1.2629770992366411</v>
      </c>
      <c r="X570" s="71">
        <f>EarningsPerDay[[#This Row],[Deliveries]]/EarningsPerDay[[#This Row],[Hours]]</f>
        <v>2.6771653543307088</v>
      </c>
      <c r="Y570" s="71">
        <f>EarningsPerDay[[#This Row],[Miles]]/EarningsPerDay[[#This Row],[Deliveries]]</f>
        <v>7.7058823529411766</v>
      </c>
      <c r="Z570" s="81">
        <f>(EarningsPerDay[[#This Row],[Hours]]/EarningsPerDay[[#This Row],[Deliveries]])/24</f>
        <v>1.5563725490196079E-2</v>
      </c>
      <c r="AA5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6.259843334194759</v>
      </c>
      <c r="AB570" s="11">
        <f>AVERAGEIFS(EarningsPerDay[Gross $/Hour],EarningsPerDay[Week '#], EarningsPerDay[[#This Row],[Week '#]], EarningsPerDay[DOW], EarningsPerDay[[#This Row],[DOW]])</f>
        <v>21.324966967805693</v>
      </c>
      <c r="AC570" s="11">
        <f>EarningsPerDay[[#This Row],[Gross $/Hour]] - EarningsPerDay[[#This Row],[Weekly Average Earnings]]</f>
        <v>4.7301511424305254</v>
      </c>
      <c r="AD570" s="11">
        <f>(SUMIFS(EarningsPerDay[Gross Earnings], EarningsPerDay[Date],"&gt;="&amp;EarningsPerDay[[#This Row],[Date]]-89, EarningsPerDay[Date], "&lt;="&amp;EarningsPerDay[[#This Row],[Date]]))/90</f>
        <v>85.957444444444462</v>
      </c>
    </row>
    <row r="571" spans="2:30" x14ac:dyDescent="0.35">
      <c r="B571" s="40">
        <v>45522</v>
      </c>
      <c r="C571" s="40">
        <f t="shared" si="55"/>
        <v>45522</v>
      </c>
      <c r="D571" s="4">
        <f>IF(EarningsPerDay[[#This Row],[Week '#]]&gt;=52,YEAR(EarningsPerDay[[#This Row],[Date]])-1,YEAR(EarningsPerDay[[#This Row],[Date]]))</f>
        <v>2024</v>
      </c>
      <c r="E571" s="4" t="str">
        <f>"QTR"&amp;IF(EarningsPerDay[[#This Row],[Week '#]] &lt;= 13, 1, IF(EarningsPerDay[[#This Row],[Week '#]] &lt;= 26, 2, IF(EarningsPerDay[[#This Row],[Week '#]] &lt;= 39, 3, 4)))</f>
        <v>QTR3</v>
      </c>
      <c r="F5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571" s="4">
        <f>IF(WEEKNUM(EarningsPerDay[[#This Row],[Date]], 2) = 53, 1, WEEKNUM(EarningsPerDay[[#This Row],[Date]],2))</f>
        <v>33</v>
      </c>
      <c r="H571" s="40" t="str">
        <f t="shared" ref="H571:H576" si="59">TEXT(B571,"DDDD")</f>
        <v>Sunday</v>
      </c>
      <c r="I571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571" s="40" t="str" cm="1">
        <f t="array" ref="J571">IFERROR(VLOOKUP(MODE(IF(Combined[Date]=EarningsPerDay[[#This Row],[Date]],Combined[Area '#])),KPIs!$B$4:$C$7,2,FALSE),VLOOKUP(EarningsPerDay[[#This Row],[Date]],Combined[[Date]:[Primary Area]],8,FALSE))</f>
        <v>Portland</v>
      </c>
      <c r="K571" s="40" t="str">
        <f>_xlfn.XLOOKUP(EarningsPerDay[[#This Row],[Date]],Mileage[Date],Mileage[Weather])</f>
        <v>Partially Cloudy</v>
      </c>
      <c r="L571" s="4">
        <f>_xlfn.XLOOKUP(EarningsPerDay[[#This Row],[Date]],Mileage[Date],Mileage[Hi Temp])</f>
        <v>68</v>
      </c>
      <c r="M571" s="12">
        <f>_xlfn.XLOOKUP(EarningsPerDay[[#This Row],[Date]],Mileage[Date],Mileage[Total Time])</f>
        <v>4.1500000000000004</v>
      </c>
      <c r="N571" s="4">
        <f>_xlfn.XLOOKUP(EarningsPerDay[[#This Row],[Date]],Mileage[Date],Mileage[Mileage])</f>
        <v>64</v>
      </c>
      <c r="O571" s="4">
        <f>SUMIF(Combined[Date],EarningsPerDay[[#This Row],[Date]],Combined[Trips])</f>
        <v>11</v>
      </c>
      <c r="P571">
        <f>COUNTIF(Combined[Date],EarningsPerDay[[#This Row],[Date]])</f>
        <v>1</v>
      </c>
      <c r="Q57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71" s="11">
        <f>SUMIF(Combined[Date],EarningsPerDay[[#This Row],[Date]],Combined[Earnings])</f>
        <v>76.099999999999994</v>
      </c>
      <c r="S571" s="11">
        <f ca="1">EarningsPerDay[[#This Row],[Gross Earnings]]-(EarningsPerDay[[#This Row],[Miles]]*CpM!$D$11)</f>
        <v>61.829722071789831</v>
      </c>
      <c r="T571" s="11">
        <f t="shared" si="49"/>
        <v>18.337349397590359</v>
      </c>
      <c r="U571" s="11">
        <f t="shared" ca="1" si="50"/>
        <v>14.898728210069837</v>
      </c>
      <c r="V571" s="11">
        <f>EarningsPerDay[[#This Row],[Gross Earnings]]/EarningsPerDay[[#This Row],[Deliveries]]</f>
        <v>6.918181818181818</v>
      </c>
      <c r="W571" s="11">
        <f>EarningsPerDay[[#This Row],[Gross Earnings]]/EarningsPerDay[[#This Row],[Miles]]</f>
        <v>1.1890624999999999</v>
      </c>
      <c r="X571" s="71">
        <f>EarningsPerDay[[#This Row],[Deliveries]]/EarningsPerDay[[#This Row],[Hours]]</f>
        <v>2.6506024096385539</v>
      </c>
      <c r="Y571" s="71">
        <f>EarningsPerDay[[#This Row],[Miles]]/EarningsPerDay[[#This Row],[Deliveries]]</f>
        <v>5.8181818181818183</v>
      </c>
      <c r="Z571" s="81">
        <f>(EarningsPerDay[[#This Row],[Hours]]/EarningsPerDay[[#This Row],[Deliveries]])/24</f>
        <v>1.571969696969697E-2</v>
      </c>
      <c r="AA5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-7.3065115676509507</v>
      </c>
      <c r="AB571" s="11">
        <f>AVERAGEIFS(EarningsPerDay[Gross $/Hour],EarningsPerDay[Week '#], EarningsPerDay[[#This Row],[Week '#]], EarningsPerDay[DOW], EarningsPerDay[[#This Row],[DOW]])</f>
        <v>20.923641586212398</v>
      </c>
      <c r="AC571" s="11">
        <f>EarningsPerDay[[#This Row],[Gross $/Hour]] - EarningsPerDay[[#This Row],[Weekly Average Earnings]]</f>
        <v>-2.5862921886220391</v>
      </c>
      <c r="AD571" s="11">
        <f>(SUMIFS(EarningsPerDay[Gross Earnings], EarningsPerDay[Date],"&gt;="&amp;EarningsPerDay[[#This Row],[Date]]-89, EarningsPerDay[Date], "&lt;="&amp;EarningsPerDay[[#This Row],[Date]]))/90</f>
        <v>86.558555555555557</v>
      </c>
    </row>
    <row r="572" spans="2:30" x14ac:dyDescent="0.35">
      <c r="B572" s="40">
        <v>45525</v>
      </c>
      <c r="C572" s="40">
        <f t="shared" si="55"/>
        <v>45525</v>
      </c>
      <c r="D572" s="4">
        <f>IF(EarningsPerDay[[#This Row],[Week '#]]&gt;=52,YEAR(EarningsPerDay[[#This Row],[Date]])-1,YEAR(EarningsPerDay[[#This Row],[Date]]))</f>
        <v>2024</v>
      </c>
      <c r="E572" s="4" t="str">
        <f>"QTR"&amp;IF(EarningsPerDay[[#This Row],[Week '#]] &lt;= 13, 1, IF(EarningsPerDay[[#This Row],[Week '#]] &lt;= 26, 2, IF(EarningsPerDay[[#This Row],[Week '#]] &lt;= 39, 3, 4)))</f>
        <v>QTR3</v>
      </c>
      <c r="F5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72" s="4">
        <f>IF(WEEKNUM(EarningsPerDay[[#This Row],[Date]], 2) = 53, 1, WEEKNUM(EarningsPerDay[[#This Row],[Date]],2))</f>
        <v>34</v>
      </c>
      <c r="H572" s="40" t="str">
        <f t="shared" si="59"/>
        <v>Wednesday</v>
      </c>
      <c r="I57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72" s="40" t="str" cm="1">
        <f t="array" ref="J572">IFERROR(VLOOKUP(MODE(IF(Combined[Date]=EarningsPerDay[[#This Row],[Date]],Combined[Area '#])),KPIs!$B$4:$C$7,2,FALSE),VLOOKUP(EarningsPerDay[[#This Row],[Date]],Combined[[Date]:[Primary Area]],8,FALSE))</f>
        <v>Portland</v>
      </c>
      <c r="K572" s="40" t="str">
        <f>_xlfn.XLOOKUP(EarningsPerDay[[#This Row],[Date]],Mileage[Date],Mileage[Weather])</f>
        <v>Clear</v>
      </c>
      <c r="L572" s="4">
        <f>_xlfn.XLOOKUP(EarningsPerDay[[#This Row],[Date]],Mileage[Date],Mileage[Hi Temp])</f>
        <v>64</v>
      </c>
      <c r="M572" s="12">
        <f>_xlfn.XLOOKUP(EarningsPerDay[[#This Row],[Date]],Mileage[Date],Mileage[Total Time])</f>
        <v>6.02</v>
      </c>
      <c r="N572" s="4">
        <f>_xlfn.XLOOKUP(EarningsPerDay[[#This Row],[Date]],Mileage[Date],Mileage[Mileage])</f>
        <v>136</v>
      </c>
      <c r="O572" s="4">
        <f>SUMIF(Combined[Date],EarningsPerDay[[#This Row],[Date]],Combined[Trips])</f>
        <v>12</v>
      </c>
      <c r="P572">
        <f>COUNTIF(Combined[Date],EarningsPerDay[[#This Row],[Date]])</f>
        <v>3</v>
      </c>
      <c r="Q5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2" s="11">
        <f>SUMIF(Combined[Date],EarningsPerDay[[#This Row],[Date]],Combined[Earnings])</f>
        <v>143.61000000000001</v>
      </c>
      <c r="S572" s="11">
        <f ca="1">EarningsPerDay[[#This Row],[Gross Earnings]]-(EarningsPerDay[[#This Row],[Miles]]*CpM!$D$11)</f>
        <v>113.28565940255342</v>
      </c>
      <c r="T572" s="11">
        <f t="shared" si="49"/>
        <v>23.855481727574755</v>
      </c>
      <c r="U572" s="11">
        <f t="shared" ca="1" si="50"/>
        <v>18.818215847600236</v>
      </c>
      <c r="V572" s="11">
        <f>EarningsPerDay[[#This Row],[Gross Earnings]]/EarningsPerDay[[#This Row],[Deliveries]]</f>
        <v>11.967500000000001</v>
      </c>
      <c r="W572" s="11">
        <f>EarningsPerDay[[#This Row],[Gross Earnings]]/EarningsPerDay[[#This Row],[Miles]]</f>
        <v>1.0559558823529414</v>
      </c>
      <c r="X572" s="71">
        <f>EarningsPerDay[[#This Row],[Deliveries]]/EarningsPerDay[[#This Row],[Hours]]</f>
        <v>1.9933554817275749</v>
      </c>
      <c r="Y572" s="71">
        <f>EarningsPerDay[[#This Row],[Miles]]/EarningsPerDay[[#This Row],[Deliveries]]</f>
        <v>11.333333333333334</v>
      </c>
      <c r="Z572" s="81">
        <f>(EarningsPerDay[[#This Row],[Hours]]/EarningsPerDay[[#This Row],[Deliveries]])/24</f>
        <v>2.0902777777777774E-2</v>
      </c>
      <c r="AA5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1.4237748346296044</v>
      </c>
      <c r="AB572" s="11">
        <f>AVERAGEIFS(EarningsPerDay[Gross $/Hour],EarningsPerDay[Week '#], EarningsPerDay[[#This Row],[Week '#]], EarningsPerDay[DOW], EarningsPerDay[[#This Row],[DOW]])</f>
        <v>23.323781261793304</v>
      </c>
      <c r="AC572" s="11">
        <f>EarningsPerDay[[#This Row],[Gross $/Hour]] - EarningsPerDay[[#This Row],[Weekly Average Earnings]]</f>
        <v>0.53170046578145147</v>
      </c>
      <c r="AD572" s="11">
        <f>(SUMIFS(EarningsPerDay[Gross Earnings], EarningsPerDay[Date],"&gt;="&amp;EarningsPerDay[[#This Row],[Date]]-89, EarningsPerDay[Date], "&lt;="&amp;EarningsPerDay[[#This Row],[Date]]))/90</f>
        <v>86.172666666666657</v>
      </c>
    </row>
    <row r="573" spans="2:30" x14ac:dyDescent="0.35">
      <c r="B573" s="40">
        <v>45526</v>
      </c>
      <c r="C573" s="40">
        <f t="shared" si="55"/>
        <v>45526</v>
      </c>
      <c r="D573" s="4">
        <f>IF(EarningsPerDay[[#This Row],[Week '#]]&gt;=52,YEAR(EarningsPerDay[[#This Row],[Date]])-1,YEAR(EarningsPerDay[[#This Row],[Date]]))</f>
        <v>2024</v>
      </c>
      <c r="E573" s="4" t="str">
        <f>"QTR"&amp;IF(EarningsPerDay[[#This Row],[Week '#]] &lt;= 13, 1, IF(EarningsPerDay[[#This Row],[Week '#]] &lt;= 26, 2, IF(EarningsPerDay[[#This Row],[Week '#]] &lt;= 39, 3, 4)))</f>
        <v>QTR3</v>
      </c>
      <c r="F5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73" s="4">
        <f>IF(WEEKNUM(EarningsPerDay[[#This Row],[Date]], 2) = 53, 1, WEEKNUM(EarningsPerDay[[#This Row],[Date]],2))</f>
        <v>34</v>
      </c>
      <c r="H573" s="40" t="str">
        <f t="shared" si="59"/>
        <v>Thursday</v>
      </c>
      <c r="I57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73" s="40" t="str" cm="1">
        <f t="array" ref="J573">IFERROR(VLOOKUP(MODE(IF(Combined[Date]=EarningsPerDay[[#This Row],[Date]],Combined[Area '#])),KPIs!$B$4:$C$7,2,FALSE),VLOOKUP(EarningsPerDay[[#This Row],[Date]],Combined[[Date]:[Primary Area]],8,FALSE))</f>
        <v>Portland</v>
      </c>
      <c r="K573" s="40" t="str">
        <f>_xlfn.XLOOKUP(EarningsPerDay[[#This Row],[Date]],Mileage[Date],Mileage[Weather])</f>
        <v>Partially Cloudy</v>
      </c>
      <c r="L573" s="4">
        <f>_xlfn.XLOOKUP(EarningsPerDay[[#This Row],[Date]],Mileage[Date],Mileage[Hi Temp])</f>
        <v>68</v>
      </c>
      <c r="M573" s="12">
        <f>_xlfn.XLOOKUP(EarningsPerDay[[#This Row],[Date]],Mileage[Date],Mileage[Total Time])</f>
        <v>6.22</v>
      </c>
      <c r="N573" s="4">
        <f>_xlfn.XLOOKUP(EarningsPerDay[[#This Row],[Date]],Mileage[Date],Mileage[Mileage])</f>
        <v>112</v>
      </c>
      <c r="O573" s="4">
        <f>SUMIF(Combined[Date],EarningsPerDay[[#This Row],[Date]],Combined[Trips])</f>
        <v>15</v>
      </c>
      <c r="P573">
        <f>COUNTIF(Combined[Date],EarningsPerDay[[#This Row],[Date]])</f>
        <v>4</v>
      </c>
      <c r="Q5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3" s="11">
        <f>SUMIF(Combined[Date],EarningsPerDay[[#This Row],[Date]],Combined[Earnings])</f>
        <v>145.18</v>
      </c>
      <c r="S573" s="11">
        <f ca="1">EarningsPerDay[[#This Row],[Gross Earnings]]-(EarningsPerDay[[#This Row],[Miles]]*CpM!$D$11)</f>
        <v>120.20701362563221</v>
      </c>
      <c r="T573" s="11">
        <f t="shared" si="49"/>
        <v>23.34083601286174</v>
      </c>
      <c r="U573" s="11">
        <f t="shared" ca="1" si="50"/>
        <v>19.325886434989101</v>
      </c>
      <c r="V573" s="11">
        <f>EarningsPerDay[[#This Row],[Gross Earnings]]/EarningsPerDay[[#This Row],[Deliveries]]</f>
        <v>9.6786666666666665</v>
      </c>
      <c r="W573" s="11">
        <f>EarningsPerDay[[#This Row],[Gross Earnings]]/EarningsPerDay[[#This Row],[Miles]]</f>
        <v>1.2962500000000001</v>
      </c>
      <c r="X573" s="71">
        <f>EarningsPerDay[[#This Row],[Deliveries]]/EarningsPerDay[[#This Row],[Hours]]</f>
        <v>2.4115755627009645</v>
      </c>
      <c r="Y573" s="71">
        <f>EarningsPerDay[[#This Row],[Miles]]/EarningsPerDay[[#This Row],[Deliveries]]</f>
        <v>7.4666666666666668</v>
      </c>
      <c r="Z573" s="81">
        <f>(EarningsPerDay[[#This Row],[Hours]]/EarningsPerDay[[#This Row],[Deliveries]])/24</f>
        <v>1.7277777777777777E-2</v>
      </c>
      <c r="AA5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1.4703889520669975</v>
      </c>
      <c r="AB573" s="11">
        <f>AVERAGEIFS(EarningsPerDay[Gross $/Hour],EarningsPerDay[Week '#], EarningsPerDay[[#This Row],[Week '#]], EarningsPerDay[DOW], EarningsPerDay[[#This Row],[DOW]])</f>
        <v>20.801092160105405</v>
      </c>
      <c r="AC573" s="11">
        <f>EarningsPerDay[[#This Row],[Gross $/Hour]] - EarningsPerDay[[#This Row],[Weekly Average Earnings]]</f>
        <v>2.5397438527563345</v>
      </c>
      <c r="AD573" s="11">
        <f>(SUMIFS(EarningsPerDay[Gross Earnings], EarningsPerDay[Date],"&gt;="&amp;EarningsPerDay[[#This Row],[Date]]-89, EarningsPerDay[Date], "&lt;="&amp;EarningsPerDay[[#This Row],[Date]]))/90</f>
        <v>86.98366666666665</v>
      </c>
    </row>
    <row r="574" spans="2:30" x14ac:dyDescent="0.35">
      <c r="B574" s="40">
        <v>45527</v>
      </c>
      <c r="C574" s="40">
        <f t="shared" si="55"/>
        <v>45527</v>
      </c>
      <c r="D574" s="4">
        <f>IF(EarningsPerDay[[#This Row],[Week '#]]&gt;=52,YEAR(EarningsPerDay[[#This Row],[Date]])-1,YEAR(EarningsPerDay[[#This Row],[Date]]))</f>
        <v>2024</v>
      </c>
      <c r="E574" s="4" t="str">
        <f>"QTR"&amp;IF(EarningsPerDay[[#This Row],[Week '#]] &lt;= 13, 1, IF(EarningsPerDay[[#This Row],[Week '#]] &lt;= 26, 2, IF(EarningsPerDay[[#This Row],[Week '#]] &lt;= 39, 3, 4)))</f>
        <v>QTR3</v>
      </c>
      <c r="F5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74" s="4">
        <f>IF(WEEKNUM(EarningsPerDay[[#This Row],[Date]], 2) = 53, 1, WEEKNUM(EarningsPerDay[[#This Row],[Date]],2))</f>
        <v>34</v>
      </c>
      <c r="H574" s="40" t="str">
        <f t="shared" si="59"/>
        <v>Friday</v>
      </c>
      <c r="I574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74" s="40" t="str" cm="1">
        <f t="array" ref="J574">IFERROR(VLOOKUP(MODE(IF(Combined[Date]=EarningsPerDay[[#This Row],[Date]],Combined[Area '#])),KPIs!$B$4:$C$7,2,FALSE),VLOOKUP(EarningsPerDay[[#This Row],[Date]],Combined[[Date]:[Primary Area]],8,FALSE))</f>
        <v>Portland</v>
      </c>
      <c r="K574" s="40" t="str">
        <f>_xlfn.XLOOKUP(EarningsPerDay[[#This Row],[Date]],Mileage[Date],Mileage[Weather])</f>
        <v>Partially Cloudy</v>
      </c>
      <c r="L574" s="4">
        <f>_xlfn.XLOOKUP(EarningsPerDay[[#This Row],[Date]],Mileage[Date],Mileage[Hi Temp])</f>
        <v>68</v>
      </c>
      <c r="M574" s="12">
        <f>_xlfn.XLOOKUP(EarningsPerDay[[#This Row],[Date]],Mileage[Date],Mileage[Total Time])</f>
        <v>7.52</v>
      </c>
      <c r="N574" s="4">
        <f>_xlfn.XLOOKUP(EarningsPerDay[[#This Row],[Date]],Mileage[Date],Mileage[Mileage])</f>
        <v>163</v>
      </c>
      <c r="O574" s="4">
        <f>SUMIF(Combined[Date],EarningsPerDay[[#This Row],[Date]],Combined[Trips])</f>
        <v>16</v>
      </c>
      <c r="P574">
        <f>COUNTIF(Combined[Date],EarningsPerDay[[#This Row],[Date]])</f>
        <v>2</v>
      </c>
      <c r="Q5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4" s="11">
        <f>SUMIF(Combined[Date],EarningsPerDay[[#This Row],[Date]],Combined[Earnings])</f>
        <v>234.59</v>
      </c>
      <c r="S574" s="11">
        <f ca="1">EarningsPerDay[[#This Row],[Gross Earnings]]-(EarningsPerDay[[#This Row],[Miles]]*CpM!$D$11)</f>
        <v>198.24538590158974</v>
      </c>
      <c r="T574" s="11">
        <f t="shared" si="49"/>
        <v>31.195478723404257</v>
      </c>
      <c r="U574" s="11">
        <f t="shared" ca="1" si="50"/>
        <v>26.36241833797736</v>
      </c>
      <c r="V574" s="11">
        <f>EarningsPerDay[[#This Row],[Gross Earnings]]/EarningsPerDay[[#This Row],[Deliveries]]</f>
        <v>14.661875</v>
      </c>
      <c r="W574" s="11">
        <f>EarningsPerDay[[#This Row],[Gross Earnings]]/EarningsPerDay[[#This Row],[Miles]]</f>
        <v>1.4392024539877302</v>
      </c>
      <c r="X574" s="71">
        <f>EarningsPerDay[[#This Row],[Deliveries]]/EarningsPerDay[[#This Row],[Hours]]</f>
        <v>2.1276595744680851</v>
      </c>
      <c r="Y574" s="71">
        <f>EarningsPerDay[[#This Row],[Miles]]/EarningsPerDay[[#This Row],[Deliveries]]</f>
        <v>10.1875</v>
      </c>
      <c r="Z574" s="81">
        <f>(EarningsPerDay[[#This Row],[Hours]]/EarningsPerDay[[#This Row],[Deliveries]])/24</f>
        <v>1.9583333333333331E-2</v>
      </c>
      <c r="AA5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10.106948991623362</v>
      </c>
      <c r="AB574" s="11">
        <f>AVERAGEIFS(EarningsPerDay[Gross $/Hour],EarningsPerDay[Week '#], EarningsPerDay[[#This Row],[Week '#]], EarningsPerDay[DOW], EarningsPerDay[[#This Row],[DOW]])</f>
        <v>25.991327331647295</v>
      </c>
      <c r="AC574" s="11">
        <f>EarningsPerDay[[#This Row],[Gross $/Hour]] - EarningsPerDay[[#This Row],[Weekly Average Earnings]]</f>
        <v>5.2041513917569624</v>
      </c>
      <c r="AD574" s="11">
        <f>(SUMIFS(EarningsPerDay[Gross Earnings], EarningsPerDay[Date],"&gt;="&amp;EarningsPerDay[[#This Row],[Date]]-89, EarningsPerDay[Date], "&lt;="&amp;EarningsPerDay[[#This Row],[Date]]))/90</f>
        <v>89.590222222222209</v>
      </c>
    </row>
    <row r="575" spans="2:30" x14ac:dyDescent="0.35">
      <c r="B575" s="40">
        <v>45528</v>
      </c>
      <c r="C575" s="40">
        <f t="shared" si="55"/>
        <v>45528</v>
      </c>
      <c r="D575" s="4">
        <f>IF(EarningsPerDay[[#This Row],[Week '#]]&gt;=52,YEAR(EarningsPerDay[[#This Row],[Date]])-1,YEAR(EarningsPerDay[[#This Row],[Date]]))</f>
        <v>2024</v>
      </c>
      <c r="E575" s="4" t="str">
        <f>"QTR"&amp;IF(EarningsPerDay[[#This Row],[Week '#]] &lt;= 13, 1, IF(EarningsPerDay[[#This Row],[Week '#]] &lt;= 26, 2, IF(EarningsPerDay[[#This Row],[Week '#]] &lt;= 39, 3, 4)))</f>
        <v>QTR3</v>
      </c>
      <c r="F5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75" s="4">
        <f>IF(WEEKNUM(EarningsPerDay[[#This Row],[Date]], 2) = 53, 1, WEEKNUM(EarningsPerDay[[#This Row],[Date]],2))</f>
        <v>34</v>
      </c>
      <c r="H575" s="40" t="str">
        <f t="shared" si="59"/>
        <v>Saturday</v>
      </c>
      <c r="I575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575" s="40" t="str" cm="1">
        <f t="array" ref="J575">IFERROR(VLOOKUP(MODE(IF(Combined[Date]=EarningsPerDay[[#This Row],[Date]],Combined[Area '#])),KPIs!$B$4:$C$7,2,FALSE),VLOOKUP(EarningsPerDay[[#This Row],[Date]],Combined[[Date]:[Primary Area]],8,FALSE))</f>
        <v>Portland</v>
      </c>
      <c r="K575" s="40" t="str">
        <f>_xlfn.XLOOKUP(EarningsPerDay[[#This Row],[Date]],Mileage[Date],Mileage[Weather])</f>
        <v>Partially Cloudy</v>
      </c>
      <c r="L575" s="4">
        <f>_xlfn.XLOOKUP(EarningsPerDay[[#This Row],[Date]],Mileage[Date],Mileage[Hi Temp])</f>
        <v>70</v>
      </c>
      <c r="M575" s="12">
        <f>_xlfn.XLOOKUP(EarningsPerDay[[#This Row],[Date]],Mileage[Date],Mileage[Total Time])</f>
        <v>6.93</v>
      </c>
      <c r="N575" s="4">
        <f>_xlfn.XLOOKUP(EarningsPerDay[[#This Row],[Date]],Mileage[Date],Mileage[Mileage])</f>
        <v>131</v>
      </c>
      <c r="O575" s="4">
        <f>SUMIF(Combined[Date],EarningsPerDay[[#This Row],[Date]],Combined[Trips])</f>
        <v>16</v>
      </c>
      <c r="P575">
        <f>COUNTIF(Combined[Date],EarningsPerDay[[#This Row],[Date]])</f>
        <v>4</v>
      </c>
      <c r="Q5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5" s="11">
        <f>SUMIF(Combined[Date],EarningsPerDay[[#This Row],[Date]],Combined[Earnings])</f>
        <v>144.54000000000002</v>
      </c>
      <c r="S575" s="11">
        <f ca="1">EarningsPerDay[[#This Row],[Gross Earnings]]-(EarningsPerDay[[#This Row],[Miles]]*CpM!$D$11)</f>
        <v>115.33052486569484</v>
      </c>
      <c r="T575" s="11">
        <f t="shared" si="49"/>
        <v>20.857142857142861</v>
      </c>
      <c r="U575" s="11">
        <f t="shared" ca="1" si="50"/>
        <v>16.642211380331148</v>
      </c>
      <c r="V575" s="11">
        <f>EarningsPerDay[[#This Row],[Gross Earnings]]/EarningsPerDay[[#This Row],[Deliveries]]</f>
        <v>9.0337500000000013</v>
      </c>
      <c r="W575" s="11">
        <f>EarningsPerDay[[#This Row],[Gross Earnings]]/EarningsPerDay[[#This Row],[Miles]]</f>
        <v>1.1033587786259544</v>
      </c>
      <c r="X575" s="71">
        <f>EarningsPerDay[[#This Row],[Deliveries]]/EarningsPerDay[[#This Row],[Hours]]</f>
        <v>2.3088023088023091</v>
      </c>
      <c r="Y575" s="71">
        <f>EarningsPerDay[[#This Row],[Miles]]/EarningsPerDay[[#This Row],[Deliveries]]</f>
        <v>8.1875</v>
      </c>
      <c r="Z575" s="81">
        <f>(EarningsPerDay[[#This Row],[Hours]]/EarningsPerDay[[#This Row],[Deliveries]])/24</f>
        <v>1.8046875E-2</v>
      </c>
      <c r="AA5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-1.0247463636301859</v>
      </c>
      <c r="AB575" s="11">
        <f>AVERAGEIFS(EarningsPerDay[Gross $/Hour],EarningsPerDay[Week '#], EarningsPerDay[[#This Row],[Week '#]], EarningsPerDay[DOW], EarningsPerDay[[#This Row],[DOW]])</f>
        <v>19.755357688810538</v>
      </c>
      <c r="AC575" s="11">
        <f>EarningsPerDay[[#This Row],[Gross $/Hour]] - EarningsPerDay[[#This Row],[Weekly Average Earnings]]</f>
        <v>1.1017851683323237</v>
      </c>
      <c r="AD575" s="11">
        <f>(SUMIFS(EarningsPerDay[Gross Earnings], EarningsPerDay[Date],"&gt;="&amp;EarningsPerDay[[#This Row],[Date]]-89, EarningsPerDay[Date], "&lt;="&amp;EarningsPerDay[[#This Row],[Date]]))/90</f>
        <v>91.196222222222218</v>
      </c>
    </row>
    <row r="576" spans="2:30" x14ac:dyDescent="0.35">
      <c r="B576" s="40">
        <v>45529</v>
      </c>
      <c r="C576" s="40">
        <f t="shared" si="55"/>
        <v>45529</v>
      </c>
      <c r="D576" s="4">
        <f>IF(EarningsPerDay[[#This Row],[Week '#]]&gt;=52,YEAR(EarningsPerDay[[#This Row],[Date]])-1,YEAR(EarningsPerDay[[#This Row],[Date]]))</f>
        <v>2024</v>
      </c>
      <c r="E576" s="4" t="str">
        <f>"QTR"&amp;IF(EarningsPerDay[[#This Row],[Week '#]] &lt;= 13, 1, IF(EarningsPerDay[[#This Row],[Week '#]] &lt;= 26, 2, IF(EarningsPerDay[[#This Row],[Week '#]] &lt;= 39, 3, 4)))</f>
        <v>QTR3</v>
      </c>
      <c r="F5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576" s="4">
        <f>IF(WEEKNUM(EarningsPerDay[[#This Row],[Date]], 2) = 53, 1, WEEKNUM(EarningsPerDay[[#This Row],[Date]],2))</f>
        <v>34</v>
      </c>
      <c r="H576" s="40" t="str">
        <f t="shared" si="59"/>
        <v>Sunday</v>
      </c>
      <c r="I57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76" s="40" t="str" cm="1">
        <f t="array" ref="J576">IFERROR(VLOOKUP(MODE(IF(Combined[Date]=EarningsPerDay[[#This Row],[Date]],Combined[Area '#])),KPIs!$B$4:$C$7,2,FALSE),VLOOKUP(EarningsPerDay[[#This Row],[Date]],Combined[[Date]:[Primary Area]],8,FALSE))</f>
        <v>Portland</v>
      </c>
      <c r="K576" s="40" t="str">
        <f>_xlfn.XLOOKUP(EarningsPerDay[[#This Row],[Date]],Mileage[Date],Mileage[Weather])</f>
        <v>Mostly Cloudy</v>
      </c>
      <c r="L576" s="4">
        <f>_xlfn.XLOOKUP(EarningsPerDay[[#This Row],[Date]],Mileage[Date],Mileage[Hi Temp])</f>
        <v>72</v>
      </c>
      <c r="M576" s="12">
        <f>_xlfn.XLOOKUP(EarningsPerDay[[#This Row],[Date]],Mileage[Date],Mileage[Total Time])</f>
        <v>5.92</v>
      </c>
      <c r="N576" s="4">
        <f>_xlfn.XLOOKUP(EarningsPerDay[[#This Row],[Date]],Mileage[Date],Mileage[Mileage])</f>
        <v>144</v>
      </c>
      <c r="O576" s="4">
        <f>SUMIF(Combined[Date],EarningsPerDay[[#This Row],[Date]],Combined[Trips])</f>
        <v>15</v>
      </c>
      <c r="P576">
        <f>COUNTIF(Combined[Date],EarningsPerDay[[#This Row],[Date]])</f>
        <v>2</v>
      </c>
      <c r="Q5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6" s="11">
        <f>SUMIF(Combined[Date],EarningsPerDay[[#This Row],[Date]],Combined[Earnings])</f>
        <v>159.01999999999998</v>
      </c>
      <c r="S576" s="11">
        <f ca="1">EarningsPerDay[[#This Row],[Gross Earnings]]-(EarningsPerDay[[#This Row],[Miles]]*CpM!$D$11)</f>
        <v>126.91187466152711</v>
      </c>
      <c r="T576" s="11">
        <f t="shared" si="49"/>
        <v>26.861486486486484</v>
      </c>
      <c r="U576" s="11">
        <f t="shared" ca="1" si="50"/>
        <v>21.437816665798497</v>
      </c>
      <c r="V576" s="11">
        <f>EarningsPerDay[[#This Row],[Gross Earnings]]/EarningsPerDay[[#This Row],[Deliveries]]</f>
        <v>10.601333333333333</v>
      </c>
      <c r="W576" s="11">
        <f>EarningsPerDay[[#This Row],[Gross Earnings]]/EarningsPerDay[[#This Row],[Miles]]</f>
        <v>1.1043055555555554</v>
      </c>
      <c r="X576" s="71">
        <f>EarningsPerDay[[#This Row],[Deliveries]]/EarningsPerDay[[#This Row],[Hours]]</f>
        <v>2.5337837837837838</v>
      </c>
      <c r="Y576" s="71">
        <f>EarningsPerDay[[#This Row],[Miles]]/EarningsPerDay[[#This Row],[Deliveries]]</f>
        <v>9.6</v>
      </c>
      <c r="Z576" s="81">
        <f>(EarningsPerDay[[#This Row],[Hours]]/EarningsPerDay[[#This Row],[Deliveries]])/24</f>
        <v>1.6444444444444446E-2</v>
      </c>
      <c r="AA5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3.653129377128824</v>
      </c>
      <c r="AB576" s="11">
        <f>AVERAGEIFS(EarningsPerDay[Gross $/Hour],EarningsPerDay[Week '#], EarningsPerDay[[#This Row],[Week '#]], EarningsPerDay[DOW], EarningsPerDay[[#This Row],[DOW]])</f>
        <v>20.818424402663531</v>
      </c>
      <c r="AC576" s="11">
        <f>EarningsPerDay[[#This Row],[Gross $/Hour]] - EarningsPerDay[[#This Row],[Weekly Average Earnings]]</f>
        <v>6.043062083822953</v>
      </c>
      <c r="AD576" s="11">
        <f>(SUMIFS(EarningsPerDay[Gross Earnings], EarningsPerDay[Date],"&gt;="&amp;EarningsPerDay[[#This Row],[Date]]-89, EarningsPerDay[Date], "&lt;="&amp;EarningsPerDay[[#This Row],[Date]]))/90</f>
        <v>91.924333333333323</v>
      </c>
    </row>
    <row r="577" spans="2:30" x14ac:dyDescent="0.35">
      <c r="B577" s="40">
        <v>45530</v>
      </c>
      <c r="C577" s="40">
        <f t="shared" si="55"/>
        <v>45530</v>
      </c>
      <c r="D577" s="4">
        <f>IF(EarningsPerDay[[#This Row],[Week '#]]&gt;=52,YEAR(EarningsPerDay[[#This Row],[Date]])-1,YEAR(EarningsPerDay[[#This Row],[Date]]))</f>
        <v>2024</v>
      </c>
      <c r="E577" s="4" t="str">
        <f>"QTR"&amp;IF(EarningsPerDay[[#This Row],[Week '#]] &lt;= 13, 1, IF(EarningsPerDay[[#This Row],[Week '#]] &lt;= 26, 2, IF(EarningsPerDay[[#This Row],[Week '#]] &lt;= 39, 3, 4)))</f>
        <v>QTR3</v>
      </c>
      <c r="F5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77" s="4">
        <f>IF(WEEKNUM(EarningsPerDay[[#This Row],[Date]], 2) = 53, 1, WEEKNUM(EarningsPerDay[[#This Row],[Date]],2))</f>
        <v>35</v>
      </c>
      <c r="H577" s="40" t="str">
        <f t="shared" ref="H577:H583" si="60">TEXT(B577,"DDDD")</f>
        <v>Monday</v>
      </c>
      <c r="I57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77" s="40" t="str" cm="1">
        <f t="array" ref="J577">IFERROR(VLOOKUP(MODE(IF(Combined[Date]=EarningsPerDay[[#This Row],[Date]],Combined[Area '#])),KPIs!$B$4:$C$7,2,FALSE),VLOOKUP(EarningsPerDay[[#This Row],[Date]],Combined[[Date]:[Primary Area]],8,FALSE))</f>
        <v>Portland</v>
      </c>
      <c r="K577" s="40" t="str">
        <f>_xlfn.XLOOKUP(EarningsPerDay[[#This Row],[Date]],Mileage[Date],Mileage[Weather])</f>
        <v>Fog</v>
      </c>
      <c r="L577" s="4">
        <f>_xlfn.XLOOKUP(EarningsPerDay[[#This Row],[Date]],Mileage[Date],Mileage[Hi Temp])</f>
        <v>66</v>
      </c>
      <c r="M577" s="12">
        <f>_xlfn.XLOOKUP(EarningsPerDay[[#This Row],[Date]],Mileage[Date],Mileage[Total Time])</f>
        <v>5.7</v>
      </c>
      <c r="N577" s="4">
        <f>_xlfn.XLOOKUP(EarningsPerDay[[#This Row],[Date]],Mileage[Date],Mileage[Mileage])</f>
        <v>145</v>
      </c>
      <c r="O577" s="4">
        <f>SUMIF(Combined[Date],EarningsPerDay[[#This Row],[Date]],Combined[Trips])</f>
        <v>13</v>
      </c>
      <c r="P577">
        <f>COUNTIF(Combined[Date],EarningsPerDay[[#This Row],[Date]])</f>
        <v>2</v>
      </c>
      <c r="Q5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7" s="11">
        <f>SUMIF(Combined[Date],EarningsPerDay[[#This Row],[Date]],Combined[Earnings])</f>
        <v>147.57</v>
      </c>
      <c r="S577" s="11">
        <f ca="1">EarningsPerDay[[#This Row],[Gross Earnings]]-(EarningsPerDay[[#This Row],[Miles]]*CpM!$D$11)</f>
        <v>115.23890156889884</v>
      </c>
      <c r="T577" s="11">
        <f t="shared" si="49"/>
        <v>25.889473684210525</v>
      </c>
      <c r="U577" s="11">
        <f t="shared" ca="1" si="50"/>
        <v>20.217351152438393</v>
      </c>
      <c r="V577" s="11">
        <f>EarningsPerDay[[#This Row],[Gross Earnings]]/EarningsPerDay[[#This Row],[Deliveries]]</f>
        <v>11.35153846153846</v>
      </c>
      <c r="W577" s="11">
        <f>EarningsPerDay[[#This Row],[Gross Earnings]]/EarningsPerDay[[#This Row],[Miles]]</f>
        <v>1.0177241379310344</v>
      </c>
      <c r="X577" s="71">
        <f>EarningsPerDay[[#This Row],[Deliveries]]/EarningsPerDay[[#This Row],[Hours]]</f>
        <v>2.2807017543859649</v>
      </c>
      <c r="Y577" s="71">
        <f>EarningsPerDay[[#This Row],[Miles]]/EarningsPerDay[[#This Row],[Deliveries]]</f>
        <v>11.153846153846153</v>
      </c>
      <c r="Z577" s="81">
        <f>(EarningsPerDay[[#This Row],[Hours]]/EarningsPerDay[[#This Row],[Deliveries]])/24</f>
        <v>1.826923076923077E-2</v>
      </c>
      <c r="AA5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4.634282631976852</v>
      </c>
      <c r="AB577" s="11">
        <f>AVERAGEIFS(EarningsPerDay[Gross $/Hour],EarningsPerDay[Week '#], EarningsPerDay[[#This Row],[Week '#]], EarningsPerDay[DOW], EarningsPerDay[[#This Row],[DOW]])</f>
        <v>22.565375230269186</v>
      </c>
      <c r="AC577" s="11">
        <f>EarningsPerDay[[#This Row],[Gross $/Hour]] - EarningsPerDay[[#This Row],[Weekly Average Earnings]]</f>
        <v>3.324098453941339</v>
      </c>
      <c r="AD577" s="11">
        <f>(SUMIFS(EarningsPerDay[Gross Earnings], EarningsPerDay[Date],"&gt;="&amp;EarningsPerDay[[#This Row],[Date]]-89, EarningsPerDay[Date], "&lt;="&amp;EarningsPerDay[[#This Row],[Date]]))/90</f>
        <v>92.217111111111095</v>
      </c>
    </row>
    <row r="578" spans="2:30" x14ac:dyDescent="0.35">
      <c r="B578" s="40">
        <v>45531</v>
      </c>
      <c r="C578" s="40">
        <f t="shared" si="55"/>
        <v>45531</v>
      </c>
      <c r="D578" s="4">
        <f>IF(EarningsPerDay[[#This Row],[Week '#]]&gt;=52,YEAR(EarningsPerDay[[#This Row],[Date]])-1,YEAR(EarningsPerDay[[#This Row],[Date]]))</f>
        <v>2024</v>
      </c>
      <c r="E578" s="4" t="str">
        <f>"QTR"&amp;IF(EarningsPerDay[[#This Row],[Week '#]] &lt;= 13, 1, IF(EarningsPerDay[[#This Row],[Week '#]] &lt;= 26, 2, IF(EarningsPerDay[[#This Row],[Week '#]] &lt;= 39, 3, 4)))</f>
        <v>QTR3</v>
      </c>
      <c r="F5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78" s="4">
        <f>IF(WEEKNUM(EarningsPerDay[[#This Row],[Date]], 2) = 53, 1, WEEKNUM(EarningsPerDay[[#This Row],[Date]],2))</f>
        <v>35</v>
      </c>
      <c r="H578" s="40" t="str">
        <f t="shared" si="60"/>
        <v>Tuesday</v>
      </c>
      <c r="I57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78" s="40" t="str" cm="1">
        <f t="array" ref="J578">IFERROR(VLOOKUP(MODE(IF(Combined[Date]=EarningsPerDay[[#This Row],[Date]],Combined[Area '#])),KPIs!$B$4:$C$7,2,FALSE),VLOOKUP(EarningsPerDay[[#This Row],[Date]],Combined[[Date]:[Primary Area]],8,FALSE))</f>
        <v>Portland</v>
      </c>
      <c r="K578" s="40" t="str">
        <f>_xlfn.XLOOKUP(EarningsPerDay[[#This Row],[Date]],Mileage[Date],Mileage[Weather])</f>
        <v>Clear</v>
      </c>
      <c r="L578" s="4">
        <f>_xlfn.XLOOKUP(EarningsPerDay[[#This Row],[Date]],Mileage[Date],Mileage[Hi Temp])</f>
        <v>68</v>
      </c>
      <c r="M578" s="12">
        <f>_xlfn.XLOOKUP(EarningsPerDay[[#This Row],[Date]],Mileage[Date],Mileage[Total Time])</f>
        <v>5.47</v>
      </c>
      <c r="N578" s="4">
        <f>_xlfn.XLOOKUP(EarningsPerDay[[#This Row],[Date]],Mileage[Date],Mileage[Mileage])</f>
        <v>90</v>
      </c>
      <c r="O578" s="4">
        <f>SUMIF(Combined[Date],EarningsPerDay[[#This Row],[Date]],Combined[Trips])</f>
        <v>11</v>
      </c>
      <c r="P578">
        <f>COUNTIF(Combined[Date],EarningsPerDay[[#This Row],[Date]])</f>
        <v>1</v>
      </c>
      <c r="Q5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8" s="11">
        <f>SUMIF(Combined[Date],EarningsPerDay[[#This Row],[Date]],Combined[Earnings])</f>
        <v>106.47</v>
      </c>
      <c r="S578" s="11">
        <f ca="1">EarningsPerDay[[#This Row],[Gross Earnings]]-(EarningsPerDay[[#This Row],[Miles]]*CpM!$D$11)</f>
        <v>86.402421663454447</v>
      </c>
      <c r="T578" s="11">
        <f t="shared" si="49"/>
        <v>19.46435100548446</v>
      </c>
      <c r="U578" s="11">
        <f t="shared" ca="1" si="50"/>
        <v>15.795689517998985</v>
      </c>
      <c r="V578" s="11">
        <f>EarningsPerDay[[#This Row],[Gross Earnings]]/EarningsPerDay[[#This Row],[Deliveries]]</f>
        <v>9.6790909090909096</v>
      </c>
      <c r="W578" s="11">
        <f>EarningsPerDay[[#This Row],[Gross Earnings]]/EarningsPerDay[[#This Row],[Miles]]</f>
        <v>1.1830000000000001</v>
      </c>
      <c r="X578" s="71">
        <f>EarningsPerDay[[#This Row],[Deliveries]]/EarningsPerDay[[#This Row],[Hours]]</f>
        <v>2.0109689213893969</v>
      </c>
      <c r="Y578" s="71">
        <f>EarningsPerDay[[#This Row],[Miles]]/EarningsPerDay[[#This Row],[Deliveries]]</f>
        <v>8.1818181818181817</v>
      </c>
      <c r="Z578" s="81">
        <f>(EarningsPerDay[[#This Row],[Hours]]/EarningsPerDay[[#This Row],[Deliveries]])/24</f>
        <v>2.0719696969696968E-2</v>
      </c>
      <c r="AA5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-2.1140603230912767</v>
      </c>
      <c r="AB578" s="11">
        <f>AVERAGEIFS(EarningsPerDay[Gross $/Hour],EarningsPerDay[Week '#], EarningsPerDay[[#This Row],[Week '#]], EarningsPerDay[DOW], EarningsPerDay[[#This Row],[DOW]])</f>
        <v>19.46435100548446</v>
      </c>
      <c r="AC578" s="11">
        <f>EarningsPerDay[[#This Row],[Gross $/Hour]] - EarningsPerDay[[#This Row],[Weekly Average Earnings]]</f>
        <v>0</v>
      </c>
      <c r="AD578" s="11">
        <f>(SUMIFS(EarningsPerDay[Gross Earnings], EarningsPerDay[Date],"&gt;="&amp;EarningsPerDay[[#This Row],[Date]]-89, EarningsPerDay[Date], "&lt;="&amp;EarningsPerDay[[#This Row],[Date]]))/90</f>
        <v>92.86422222222221</v>
      </c>
    </row>
    <row r="579" spans="2:30" x14ac:dyDescent="0.35">
      <c r="B579" s="40">
        <v>45532</v>
      </c>
      <c r="C579" s="40">
        <f t="shared" si="55"/>
        <v>45532</v>
      </c>
      <c r="D579" s="4">
        <f>IF(EarningsPerDay[[#This Row],[Week '#]]&gt;=52,YEAR(EarningsPerDay[[#This Row],[Date]])-1,YEAR(EarningsPerDay[[#This Row],[Date]]))</f>
        <v>2024</v>
      </c>
      <c r="E579" s="4" t="str">
        <f>"QTR"&amp;IF(EarningsPerDay[[#This Row],[Week '#]] &lt;= 13, 1, IF(EarningsPerDay[[#This Row],[Week '#]] &lt;= 26, 2, IF(EarningsPerDay[[#This Row],[Week '#]] &lt;= 39, 3, 4)))</f>
        <v>QTR3</v>
      </c>
      <c r="F5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579" s="4">
        <f>IF(WEEKNUM(EarningsPerDay[[#This Row],[Date]], 2) = 53, 1, WEEKNUM(EarningsPerDay[[#This Row],[Date]],2))</f>
        <v>35</v>
      </c>
      <c r="H579" s="40" t="str">
        <f t="shared" si="60"/>
        <v>Wednesday</v>
      </c>
      <c r="I57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79" s="40" t="str" cm="1">
        <f t="array" ref="J579">IFERROR(VLOOKUP(MODE(IF(Combined[Date]=EarningsPerDay[[#This Row],[Date]],Combined[Area '#])),KPIs!$B$4:$C$7,2,FALSE),VLOOKUP(EarningsPerDay[[#This Row],[Date]],Combined[[Date]:[Primary Area]],8,FALSE))</f>
        <v>Brunswick/Bath/Freeport</v>
      </c>
      <c r="K579" s="40" t="str">
        <f>_xlfn.XLOOKUP(EarningsPerDay[[#This Row],[Date]],Mileage[Date],Mileage[Weather])</f>
        <v>Clear</v>
      </c>
      <c r="L579" s="4">
        <f>_xlfn.XLOOKUP(EarningsPerDay[[#This Row],[Date]],Mileage[Date],Mileage[Hi Temp])</f>
        <v>66</v>
      </c>
      <c r="M579" s="12">
        <f>_xlfn.XLOOKUP(EarningsPerDay[[#This Row],[Date]],Mileage[Date],Mileage[Total Time])</f>
        <v>2.73</v>
      </c>
      <c r="N579" s="4">
        <f>_xlfn.XLOOKUP(EarningsPerDay[[#This Row],[Date]],Mileage[Date],Mileage[Mileage])</f>
        <v>50</v>
      </c>
      <c r="O579" s="4">
        <f>SUMIF(Combined[Date],EarningsPerDay[[#This Row],[Date]],Combined[Trips])</f>
        <v>8</v>
      </c>
      <c r="P579">
        <f>COUNTIF(Combined[Date],EarningsPerDay[[#This Row],[Date]])</f>
        <v>2</v>
      </c>
      <c r="Q5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79" s="11">
        <f>SUMIF(Combined[Date],EarningsPerDay[[#This Row],[Date]],Combined[Earnings])</f>
        <v>62.17</v>
      </c>
      <c r="S579" s="11">
        <f ca="1">EarningsPerDay[[#This Row],[Gross Earnings]]-(EarningsPerDay[[#This Row],[Miles]]*CpM!$D$11)</f>
        <v>51.021345368585813</v>
      </c>
      <c r="T579" s="11">
        <f t="shared" ref="T579:T642" si="61">R579/M579</f>
        <v>22.772893772893774</v>
      </c>
      <c r="U579" s="11">
        <f t="shared" ref="U579:U642" ca="1" si="62">S579/M579</f>
        <v>18.689137497650481</v>
      </c>
      <c r="V579" s="11">
        <f>EarningsPerDay[[#This Row],[Gross Earnings]]/EarningsPerDay[[#This Row],[Deliveries]]</f>
        <v>7.7712500000000002</v>
      </c>
      <c r="W579" s="11">
        <f>EarningsPerDay[[#This Row],[Gross Earnings]]/EarningsPerDay[[#This Row],[Miles]]</f>
        <v>1.2434000000000001</v>
      </c>
      <c r="X579" s="71">
        <f>EarningsPerDay[[#This Row],[Deliveries]]/EarningsPerDay[[#This Row],[Hours]]</f>
        <v>2.9304029304029302</v>
      </c>
      <c r="Y579" s="71">
        <f>EarningsPerDay[[#This Row],[Miles]]/EarningsPerDay[[#This Row],[Deliveries]]</f>
        <v>6.25</v>
      </c>
      <c r="Z579" s="81">
        <f>(EarningsPerDay[[#This Row],[Hours]]/EarningsPerDay[[#This Row],[Deliveries]])/24</f>
        <v>1.421875E-2</v>
      </c>
      <c r="AA5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0.1287236723757168</v>
      </c>
      <c r="AB579" s="11">
        <f>AVERAGEIFS(EarningsPerDay[Gross $/Hour],EarningsPerDay[Week '#], EarningsPerDay[[#This Row],[Week '#]], EarningsPerDay[DOW], EarningsPerDay[[#This Row],[DOW]])</f>
        <v>24.84553283501565</v>
      </c>
      <c r="AC579" s="11">
        <f>EarningsPerDay[[#This Row],[Gross $/Hour]] - EarningsPerDay[[#This Row],[Weekly Average Earnings]]</f>
        <v>-2.0726390621218762</v>
      </c>
      <c r="AD579" s="11">
        <f>(SUMIFS(EarningsPerDay[Gross Earnings], EarningsPerDay[Date],"&gt;="&amp;EarningsPerDay[[#This Row],[Date]]-89, EarningsPerDay[Date], "&lt;="&amp;EarningsPerDay[[#This Row],[Date]]))/90</f>
        <v>91.822444444444429</v>
      </c>
    </row>
    <row r="580" spans="2:30" x14ac:dyDescent="0.35">
      <c r="B580" s="40">
        <v>45537</v>
      </c>
      <c r="C580" s="40">
        <f t="shared" si="55"/>
        <v>45537</v>
      </c>
      <c r="D580" s="4">
        <f>IF(EarningsPerDay[[#This Row],[Week '#]]&gt;=52,YEAR(EarningsPerDay[[#This Row],[Date]])-1,YEAR(EarningsPerDay[[#This Row],[Date]]))</f>
        <v>2024</v>
      </c>
      <c r="E580" s="4" t="str">
        <f>"QTR"&amp;IF(EarningsPerDay[[#This Row],[Week '#]] &lt;= 13, 1, IF(EarningsPerDay[[#This Row],[Week '#]] &lt;= 26, 2, IF(EarningsPerDay[[#This Row],[Week '#]] &lt;= 39, 3, 4)))</f>
        <v>QTR3</v>
      </c>
      <c r="F5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80" s="4">
        <f>IF(WEEKNUM(EarningsPerDay[[#This Row],[Date]], 2) = 53, 1, WEEKNUM(EarningsPerDay[[#This Row],[Date]],2))</f>
        <v>36</v>
      </c>
      <c r="H580" s="40" t="str">
        <f t="shared" si="60"/>
        <v>Monday</v>
      </c>
      <c r="I580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580" s="40" t="str" cm="1">
        <f t="array" ref="J580">IFERROR(VLOOKUP(MODE(IF(Combined[Date]=EarningsPerDay[[#This Row],[Date]],Combined[Area '#])),KPIs!$B$4:$C$7,2,FALSE),VLOOKUP(EarningsPerDay[[#This Row],[Date]],Combined[[Date]:[Primary Area]],8,FALSE))</f>
        <v>Portland</v>
      </c>
      <c r="K580" s="40" t="str">
        <f>_xlfn.XLOOKUP(EarningsPerDay[[#This Row],[Date]],Mileage[Date],Mileage[Weather])</f>
        <v>Clear</v>
      </c>
      <c r="L580" s="4">
        <f>_xlfn.XLOOKUP(EarningsPerDay[[#This Row],[Date]],Mileage[Date],Mileage[Hi Temp])</f>
        <v>64</v>
      </c>
      <c r="M580" s="12">
        <f>_xlfn.XLOOKUP(EarningsPerDay[[#This Row],[Date]],Mileage[Date],Mileage[Total Time])</f>
        <v>6.78</v>
      </c>
      <c r="N580" s="4">
        <f>_xlfn.XLOOKUP(EarningsPerDay[[#This Row],[Date]],Mileage[Date],Mileage[Mileage])</f>
        <v>103</v>
      </c>
      <c r="O580" s="4">
        <f>SUMIF(Combined[Date],EarningsPerDay[[#This Row],[Date]],Combined[Trips])</f>
        <v>17</v>
      </c>
      <c r="P580">
        <f>COUNTIF(Combined[Date],EarningsPerDay[[#This Row],[Date]])</f>
        <v>3</v>
      </c>
      <c r="Q5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0" s="11">
        <f>SUMIF(Combined[Date],EarningsPerDay[[#This Row],[Date]],Combined[Earnings])</f>
        <v>196.91</v>
      </c>
      <c r="S580" s="11">
        <f ca="1">EarningsPerDay[[#This Row],[Gross Earnings]]-(EarningsPerDay[[#This Row],[Miles]]*CpM!$D$11)</f>
        <v>173.94377145928675</v>
      </c>
      <c r="T580" s="11">
        <f t="shared" si="61"/>
        <v>29.04277286135693</v>
      </c>
      <c r="U580" s="11">
        <f t="shared" ca="1" si="62"/>
        <v>25.65542351906884</v>
      </c>
      <c r="V580" s="11">
        <f>EarningsPerDay[[#This Row],[Gross Earnings]]/EarningsPerDay[[#This Row],[Deliveries]]</f>
        <v>11.582941176470587</v>
      </c>
      <c r="W580" s="11">
        <f>EarningsPerDay[[#This Row],[Gross Earnings]]/EarningsPerDay[[#This Row],[Miles]]</f>
        <v>1.911747572815534</v>
      </c>
      <c r="X580" s="71">
        <f>EarningsPerDay[[#This Row],[Deliveries]]/EarningsPerDay[[#This Row],[Hours]]</f>
        <v>2.5073746312684366</v>
      </c>
      <c r="Y580" s="71">
        <f>EarningsPerDay[[#This Row],[Miles]]/EarningsPerDay[[#This Row],[Deliveries]]</f>
        <v>6.0588235294117645</v>
      </c>
      <c r="Z580" s="81">
        <f>(EarningsPerDay[[#This Row],[Hours]]/EarningsPerDay[[#This Row],[Deliveries]])/24</f>
        <v>1.6617647058823532E-2</v>
      </c>
      <c r="AA5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7.4310985297404208</v>
      </c>
      <c r="AB580" s="11">
        <f>AVERAGEIFS(EarningsPerDay[Gross $/Hour],EarningsPerDay[Week '#], EarningsPerDay[[#This Row],[Week '#]], EarningsPerDay[DOW], EarningsPerDay[[#This Row],[DOW]])</f>
        <v>21.854789288246266</v>
      </c>
      <c r="AC580" s="11">
        <f>EarningsPerDay[[#This Row],[Gross $/Hour]] - EarningsPerDay[[#This Row],[Weekly Average Earnings]]</f>
        <v>7.1879835731106638</v>
      </c>
      <c r="AD580" s="11">
        <f>(SUMIFS(EarningsPerDay[Gross Earnings], EarningsPerDay[Date],"&gt;="&amp;EarningsPerDay[[#This Row],[Date]]-89, EarningsPerDay[Date], "&lt;="&amp;EarningsPerDay[[#This Row],[Date]]))/90</f>
        <v>87.577555555555534</v>
      </c>
    </row>
    <row r="581" spans="2:30" x14ac:dyDescent="0.35">
      <c r="B581" s="40">
        <v>45540</v>
      </c>
      <c r="C581" s="40">
        <f t="shared" si="55"/>
        <v>45540</v>
      </c>
      <c r="D581" s="4">
        <f>IF(EarningsPerDay[[#This Row],[Week '#]]&gt;=52,YEAR(EarningsPerDay[[#This Row],[Date]])-1,YEAR(EarningsPerDay[[#This Row],[Date]]))</f>
        <v>2024</v>
      </c>
      <c r="E581" s="4" t="str">
        <f>"QTR"&amp;IF(EarningsPerDay[[#This Row],[Week '#]] &lt;= 13, 1, IF(EarningsPerDay[[#This Row],[Week '#]] &lt;= 26, 2, IF(EarningsPerDay[[#This Row],[Week '#]] &lt;= 39, 3, 4)))</f>
        <v>QTR3</v>
      </c>
      <c r="F5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81" s="4">
        <f>IF(WEEKNUM(EarningsPerDay[[#This Row],[Date]], 2) = 53, 1, WEEKNUM(EarningsPerDay[[#This Row],[Date]],2))</f>
        <v>36</v>
      </c>
      <c r="H581" s="40" t="str">
        <f t="shared" si="60"/>
        <v>Thursday</v>
      </c>
      <c r="I58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581" s="40" t="str" cm="1">
        <f t="array" ref="J581">IFERROR(VLOOKUP(MODE(IF(Combined[Date]=EarningsPerDay[[#This Row],[Date]],Combined[Area '#])),KPIs!$B$4:$C$7,2,FALSE),VLOOKUP(EarningsPerDay[[#This Row],[Date]],Combined[[Date]:[Primary Area]],8,FALSE))</f>
        <v>Lewiston</v>
      </c>
      <c r="K581" s="40" t="str">
        <f>_xlfn.XLOOKUP(EarningsPerDay[[#This Row],[Date]],Mileage[Date],Mileage[Weather])</f>
        <v>Clear</v>
      </c>
      <c r="L581" s="4">
        <f>_xlfn.XLOOKUP(EarningsPerDay[[#This Row],[Date]],Mileage[Date],Mileage[Hi Temp])</f>
        <v>70</v>
      </c>
      <c r="M581" s="12">
        <f>_xlfn.XLOOKUP(EarningsPerDay[[#This Row],[Date]],Mileage[Date],Mileage[Total Time])</f>
        <v>3.58</v>
      </c>
      <c r="N581" s="4">
        <f>_xlfn.XLOOKUP(EarningsPerDay[[#This Row],[Date]],Mileage[Date],Mileage[Mileage])</f>
        <v>46</v>
      </c>
      <c r="O581" s="4">
        <f>SUMIF(Combined[Date],EarningsPerDay[[#This Row],[Date]],Combined[Trips])</f>
        <v>8</v>
      </c>
      <c r="P581">
        <f>COUNTIF(Combined[Date],EarningsPerDay[[#This Row],[Date]])</f>
        <v>3</v>
      </c>
      <c r="Q5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1" s="11">
        <f>SUMIF(Combined[Date],EarningsPerDay[[#This Row],[Date]],Combined[Earnings])</f>
        <v>80.3</v>
      </c>
      <c r="S581" s="11">
        <f ca="1">EarningsPerDay[[#This Row],[Gross Earnings]]-(EarningsPerDay[[#This Row],[Miles]]*CpM!$D$11)</f>
        <v>70.043237739098942</v>
      </c>
      <c r="T581" s="11">
        <f t="shared" si="61"/>
        <v>22.430167597765362</v>
      </c>
      <c r="U581" s="11">
        <f t="shared" ca="1" si="62"/>
        <v>19.565150206452216</v>
      </c>
      <c r="V581" s="11">
        <f>EarningsPerDay[[#This Row],[Gross Earnings]]/EarningsPerDay[[#This Row],[Deliveries]]</f>
        <v>10.0375</v>
      </c>
      <c r="W581" s="11">
        <f>EarningsPerDay[[#This Row],[Gross Earnings]]/EarningsPerDay[[#This Row],[Miles]]</f>
        <v>1.7456521739130435</v>
      </c>
      <c r="X581" s="71">
        <f>EarningsPerDay[[#This Row],[Deliveries]]/EarningsPerDay[[#This Row],[Hours]]</f>
        <v>2.2346368715083798</v>
      </c>
      <c r="Y581" s="71">
        <f>EarningsPerDay[[#This Row],[Miles]]/EarningsPerDay[[#This Row],[Deliveries]]</f>
        <v>5.75</v>
      </c>
      <c r="Z581" s="81">
        <f>(EarningsPerDay[[#This Row],[Hours]]/EarningsPerDay[[#This Row],[Deliveries]])/24</f>
        <v>1.8645833333333334E-2</v>
      </c>
      <c r="AA5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5.1299746810429383</v>
      </c>
      <c r="AB581" s="11">
        <f>AVERAGEIFS(EarningsPerDay[Gross $/Hour],EarningsPerDay[Week '#], EarningsPerDay[[#This Row],[Week '#]], EarningsPerDay[DOW], EarningsPerDay[[#This Row],[DOW]])</f>
        <v>19.339270454773725</v>
      </c>
      <c r="AC581" s="11">
        <f>EarningsPerDay[[#This Row],[Gross $/Hour]] - EarningsPerDay[[#This Row],[Weekly Average Earnings]]</f>
        <v>3.0908971429916363</v>
      </c>
      <c r="AD581" s="11">
        <f>(SUMIFS(EarningsPerDay[Gross Earnings], EarningsPerDay[Date],"&gt;="&amp;EarningsPerDay[[#This Row],[Date]]-89, EarningsPerDay[Date], "&lt;="&amp;EarningsPerDay[[#This Row],[Date]]))/90</f>
        <v>84.073444444444434</v>
      </c>
    </row>
    <row r="582" spans="2:30" x14ac:dyDescent="0.35">
      <c r="B582" s="40">
        <v>45541</v>
      </c>
      <c r="C582" s="40">
        <f t="shared" si="55"/>
        <v>45541</v>
      </c>
      <c r="D582" s="4">
        <f>IF(EarningsPerDay[[#This Row],[Week '#]]&gt;=52,YEAR(EarningsPerDay[[#This Row],[Date]])-1,YEAR(EarningsPerDay[[#This Row],[Date]]))</f>
        <v>2024</v>
      </c>
      <c r="E582" s="4" t="str">
        <f>"QTR"&amp;IF(EarningsPerDay[[#This Row],[Week '#]] &lt;= 13, 1, IF(EarningsPerDay[[#This Row],[Week '#]] &lt;= 26, 2, IF(EarningsPerDay[[#This Row],[Week '#]] &lt;= 39, 3, 4)))</f>
        <v>QTR3</v>
      </c>
      <c r="F5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82" s="4">
        <f>IF(WEEKNUM(EarningsPerDay[[#This Row],[Date]], 2) = 53, 1, WEEKNUM(EarningsPerDay[[#This Row],[Date]],2))</f>
        <v>36</v>
      </c>
      <c r="H582" s="40" t="str">
        <f t="shared" si="60"/>
        <v>Friday</v>
      </c>
      <c r="I58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82" s="40" t="str" cm="1">
        <f t="array" ref="J582">IFERROR(VLOOKUP(MODE(IF(Combined[Date]=EarningsPerDay[[#This Row],[Date]],Combined[Area '#])),KPIs!$B$4:$C$7,2,FALSE),VLOOKUP(EarningsPerDay[[#This Row],[Date]],Combined[[Date]:[Primary Area]],8,FALSE))</f>
        <v>Portland</v>
      </c>
      <c r="K582" s="40" t="str">
        <f>_xlfn.XLOOKUP(EarningsPerDay[[#This Row],[Date]],Mileage[Date],Mileage[Weather])</f>
        <v>Partially Cloudy</v>
      </c>
      <c r="L582" s="4">
        <f>_xlfn.XLOOKUP(EarningsPerDay[[#This Row],[Date]],Mileage[Date],Mileage[Hi Temp])</f>
        <v>63</v>
      </c>
      <c r="M582" s="12">
        <f>_xlfn.XLOOKUP(EarningsPerDay[[#This Row],[Date]],Mileage[Date],Mileage[Total Time])</f>
        <v>6.05</v>
      </c>
      <c r="N582" s="4">
        <f>_xlfn.XLOOKUP(EarningsPerDay[[#This Row],[Date]],Mileage[Date],Mileage[Mileage])</f>
        <v>109</v>
      </c>
      <c r="O582" s="4">
        <f>SUMIF(Combined[Date],EarningsPerDay[[#This Row],[Date]],Combined[Trips])</f>
        <v>13</v>
      </c>
      <c r="P582">
        <f>COUNTIF(Combined[Date],EarningsPerDay[[#This Row],[Date]])</f>
        <v>2</v>
      </c>
      <c r="Q58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82" s="11">
        <f>SUMIF(Combined[Date],EarningsPerDay[[#This Row],[Date]],Combined[Earnings])</f>
        <v>130.28</v>
      </c>
      <c r="S582" s="11">
        <f ca="1">EarningsPerDay[[#This Row],[Gross Earnings]]-(EarningsPerDay[[#This Row],[Miles]]*CpM!$D$11)</f>
        <v>105.97593290351706</v>
      </c>
      <c r="T582" s="11">
        <f t="shared" si="61"/>
        <v>21.533884297520661</v>
      </c>
      <c r="U582" s="11">
        <f t="shared" ca="1" si="62"/>
        <v>17.516683124548276</v>
      </c>
      <c r="V582" s="11">
        <f>EarningsPerDay[[#This Row],[Gross Earnings]]/EarningsPerDay[[#This Row],[Deliveries]]</f>
        <v>10.021538461538462</v>
      </c>
      <c r="W582" s="11">
        <f>EarningsPerDay[[#This Row],[Gross Earnings]]/EarningsPerDay[[#This Row],[Miles]]</f>
        <v>1.1952293577981652</v>
      </c>
      <c r="X582" s="71">
        <f>EarningsPerDay[[#This Row],[Deliveries]]/EarningsPerDay[[#This Row],[Hours]]</f>
        <v>2.1487603305785123</v>
      </c>
      <c r="Y582" s="71">
        <f>EarningsPerDay[[#This Row],[Miles]]/EarningsPerDay[[#This Row],[Deliveries]]</f>
        <v>8.384615384615385</v>
      </c>
      <c r="Z582" s="81">
        <f>(EarningsPerDay[[#This Row],[Hours]]/EarningsPerDay[[#This Row],[Deliveries]])/24</f>
        <v>1.9391025641025642E-2</v>
      </c>
      <c r="AA5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-0.56534033342257217</v>
      </c>
      <c r="AB582" s="11">
        <f>AVERAGEIFS(EarningsPerDay[Gross $/Hour],EarningsPerDay[Week '#], EarningsPerDay[[#This Row],[Week '#]], EarningsPerDay[DOW], EarningsPerDay[[#This Row],[DOW]])</f>
        <v>21.674707341206283</v>
      </c>
      <c r="AC582" s="11">
        <f>EarningsPerDay[[#This Row],[Gross $/Hour]] - EarningsPerDay[[#This Row],[Weekly Average Earnings]]</f>
        <v>-0.14082304368562149</v>
      </c>
      <c r="AD582" s="11">
        <f>(SUMIFS(EarningsPerDay[Gross Earnings], EarningsPerDay[Date],"&gt;="&amp;EarningsPerDay[[#This Row],[Date]]-89, EarningsPerDay[Date], "&lt;="&amp;EarningsPerDay[[#This Row],[Date]]))/90</f>
        <v>84.00888888888889</v>
      </c>
    </row>
    <row r="583" spans="2:30" x14ac:dyDescent="0.35">
      <c r="B583" s="40">
        <v>45542</v>
      </c>
      <c r="C583" s="40">
        <f t="shared" si="55"/>
        <v>45542</v>
      </c>
      <c r="D583" s="4">
        <f>IF(EarningsPerDay[[#This Row],[Week '#]]&gt;=52,YEAR(EarningsPerDay[[#This Row],[Date]])-1,YEAR(EarningsPerDay[[#This Row],[Date]]))</f>
        <v>2024</v>
      </c>
      <c r="E583" s="4" t="str">
        <f>"QTR"&amp;IF(EarningsPerDay[[#This Row],[Week '#]] &lt;= 13, 1, IF(EarningsPerDay[[#This Row],[Week '#]] &lt;= 26, 2, IF(EarningsPerDay[[#This Row],[Week '#]] &lt;= 39, 3, 4)))</f>
        <v>QTR3</v>
      </c>
      <c r="F5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583" s="4">
        <f>IF(WEEKNUM(EarningsPerDay[[#This Row],[Date]], 2) = 53, 1, WEEKNUM(EarningsPerDay[[#This Row],[Date]],2))</f>
        <v>36</v>
      </c>
      <c r="H583" s="40" t="str">
        <f t="shared" si="60"/>
        <v>Saturday</v>
      </c>
      <c r="I583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583" s="40" t="str" cm="1">
        <f t="array" ref="J583">IFERROR(VLOOKUP(MODE(IF(Combined[Date]=EarningsPerDay[[#This Row],[Date]],Combined[Area '#])),KPIs!$B$4:$C$7,2,FALSE),VLOOKUP(EarningsPerDay[[#This Row],[Date]],Combined[[Date]:[Primary Area]],8,FALSE))</f>
        <v>Portland</v>
      </c>
      <c r="K583" s="40" t="str">
        <f>_xlfn.XLOOKUP(EarningsPerDay[[#This Row],[Date]],Mileage[Date],Mileage[Weather])</f>
        <v>Mostly Cloudy</v>
      </c>
      <c r="L583" s="4">
        <f>_xlfn.XLOOKUP(EarningsPerDay[[#This Row],[Date]],Mileage[Date],Mileage[Hi Temp])</f>
        <v>64</v>
      </c>
      <c r="M583" s="12">
        <f>_xlfn.XLOOKUP(EarningsPerDay[[#This Row],[Date]],Mileage[Date],Mileage[Total Time])</f>
        <v>3.95</v>
      </c>
      <c r="N583" s="4">
        <f>_xlfn.XLOOKUP(EarningsPerDay[[#This Row],[Date]],Mileage[Date],Mileage[Mileage])</f>
        <v>104</v>
      </c>
      <c r="O583" s="4">
        <f>SUMIF(Combined[Date],EarningsPerDay[[#This Row],[Date]],Combined[Trips])</f>
        <v>7</v>
      </c>
      <c r="P583">
        <f>COUNTIF(Combined[Date],EarningsPerDay[[#This Row],[Date]])</f>
        <v>2</v>
      </c>
      <c r="Q5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3" s="11">
        <f>SUMIF(Combined[Date],EarningsPerDay[[#This Row],[Date]],Combined[Earnings])</f>
        <v>81.210000000000008</v>
      </c>
      <c r="S583" s="11">
        <f ca="1">EarningsPerDay[[#This Row],[Gross Earnings]]-(EarningsPerDay[[#This Row],[Miles]]*CpM!$D$11)</f>
        <v>58.020798366658489</v>
      </c>
      <c r="T583" s="11">
        <f t="shared" si="61"/>
        <v>20.559493670886077</v>
      </c>
      <c r="U583" s="11">
        <f t="shared" ca="1" si="62"/>
        <v>14.688809713078099</v>
      </c>
      <c r="V583" s="11">
        <f>EarningsPerDay[[#This Row],[Gross Earnings]]/EarningsPerDay[[#This Row],[Deliveries]]</f>
        <v>11.601428571428572</v>
      </c>
      <c r="W583" s="11">
        <f>EarningsPerDay[[#This Row],[Gross Earnings]]/EarningsPerDay[[#This Row],[Miles]]</f>
        <v>0.78086538461538468</v>
      </c>
      <c r="X583" s="71">
        <f>EarningsPerDay[[#This Row],[Deliveries]]/EarningsPerDay[[#This Row],[Hours]]</f>
        <v>1.7721518987341771</v>
      </c>
      <c r="Y583" s="71">
        <f>EarningsPerDay[[#This Row],[Miles]]/EarningsPerDay[[#This Row],[Deliveries]]</f>
        <v>14.857142857142858</v>
      </c>
      <c r="Z583" s="81">
        <f>(EarningsPerDay[[#This Row],[Hours]]/EarningsPerDay[[#This Row],[Deliveries]])/24</f>
        <v>2.3511904761904762E-2</v>
      </c>
      <c r="AA5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-1.0662089589794235</v>
      </c>
      <c r="AB583" s="11">
        <f>AVERAGEIFS(EarningsPerDay[Gross $/Hour],EarningsPerDay[Week '#], EarningsPerDay[[#This Row],[Week '#]], EarningsPerDay[DOW], EarningsPerDay[[#This Row],[DOW]])</f>
        <v>22.045530235932333</v>
      </c>
      <c r="AC583" s="11">
        <f>EarningsPerDay[[#This Row],[Gross $/Hour]] - EarningsPerDay[[#This Row],[Weekly Average Earnings]]</f>
        <v>-1.4860365650462555</v>
      </c>
      <c r="AD583" s="11">
        <f>(SUMIFS(EarningsPerDay[Gross Earnings], EarningsPerDay[Date],"&gt;="&amp;EarningsPerDay[[#This Row],[Date]]-89, EarningsPerDay[Date], "&lt;="&amp;EarningsPerDay[[#This Row],[Date]]))/90</f>
        <v>82.9771111111111</v>
      </c>
    </row>
    <row r="584" spans="2:30" x14ac:dyDescent="0.35">
      <c r="B584" s="40">
        <v>45544</v>
      </c>
      <c r="C584" s="40">
        <f t="shared" si="55"/>
        <v>45544</v>
      </c>
      <c r="D584" s="4">
        <f>IF(EarningsPerDay[[#This Row],[Week '#]]&gt;=52,YEAR(EarningsPerDay[[#This Row],[Date]])-1,YEAR(EarningsPerDay[[#This Row],[Date]]))</f>
        <v>2024</v>
      </c>
      <c r="E584" s="4" t="str">
        <f>"QTR"&amp;IF(EarningsPerDay[[#This Row],[Week '#]] &lt;= 13, 1, IF(EarningsPerDay[[#This Row],[Week '#]] &lt;= 26, 2, IF(EarningsPerDay[[#This Row],[Week '#]] &lt;= 39, 3, 4)))</f>
        <v>QTR3</v>
      </c>
      <c r="F5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4" s="4">
        <f>IF(WEEKNUM(EarningsPerDay[[#This Row],[Date]], 2) = 53, 1, WEEKNUM(EarningsPerDay[[#This Row],[Date]],2))</f>
        <v>37</v>
      </c>
      <c r="H584" s="40" t="str">
        <f t="shared" ref="H584:H586" si="63">TEXT(B584,"DDDD")</f>
        <v>Monday</v>
      </c>
      <c r="I58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84" s="40" t="str" cm="1">
        <f t="array" ref="J584">IFERROR(VLOOKUP(MODE(IF(Combined[Date]=EarningsPerDay[[#This Row],[Date]],Combined[Area '#])),KPIs!$B$4:$C$7,2,FALSE),VLOOKUP(EarningsPerDay[[#This Row],[Date]],Combined[[Date]:[Primary Area]],8,FALSE))</f>
        <v>Brunswick/Bath/Freeport</v>
      </c>
      <c r="K584" s="40" t="str">
        <f>_xlfn.XLOOKUP(EarningsPerDay[[#This Row],[Date]],Mileage[Date],Mileage[Weather])</f>
        <v>Partially Cloudy</v>
      </c>
      <c r="L584" s="4">
        <f>_xlfn.XLOOKUP(EarningsPerDay[[#This Row],[Date]],Mileage[Date],Mileage[Hi Temp])</f>
        <v>64</v>
      </c>
      <c r="M584" s="12">
        <f>_xlfn.XLOOKUP(EarningsPerDay[[#This Row],[Date]],Mileage[Date],Mileage[Total Time])</f>
        <v>5.8</v>
      </c>
      <c r="N584" s="4">
        <f>_xlfn.XLOOKUP(EarningsPerDay[[#This Row],[Date]],Mileage[Date],Mileage[Mileage])</f>
        <v>133</v>
      </c>
      <c r="O584" s="4">
        <f>SUMIF(Combined[Date],EarningsPerDay[[#This Row],[Date]],Combined[Trips])</f>
        <v>16</v>
      </c>
      <c r="P584">
        <f>COUNTIF(Combined[Date],EarningsPerDay[[#This Row],[Date]])</f>
        <v>3</v>
      </c>
      <c r="Q5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4" s="11">
        <f>SUMIF(Combined[Date],EarningsPerDay[[#This Row],[Date]],Combined[Earnings])</f>
        <v>203.74</v>
      </c>
      <c r="S584" s="11">
        <f ca="1">EarningsPerDay[[#This Row],[Gross Earnings]]-(EarningsPerDay[[#This Row],[Miles]]*CpM!$D$11)</f>
        <v>174.08457868043826</v>
      </c>
      <c r="T584" s="11">
        <f t="shared" si="61"/>
        <v>35.127586206896552</v>
      </c>
      <c r="U584" s="11">
        <f t="shared" ca="1" si="62"/>
        <v>30.014582531110044</v>
      </c>
      <c r="V584" s="11">
        <f>EarningsPerDay[[#This Row],[Gross Earnings]]/EarningsPerDay[[#This Row],[Deliveries]]</f>
        <v>12.733750000000001</v>
      </c>
      <c r="W584" s="11">
        <f>EarningsPerDay[[#This Row],[Gross Earnings]]/EarningsPerDay[[#This Row],[Miles]]</f>
        <v>1.5318796992481203</v>
      </c>
      <c r="X584" s="71">
        <f>EarningsPerDay[[#This Row],[Deliveries]]/EarningsPerDay[[#This Row],[Hours]]</f>
        <v>2.7586206896551726</v>
      </c>
      <c r="Y584" s="71">
        <f>EarningsPerDay[[#This Row],[Miles]]/EarningsPerDay[[#This Row],[Deliveries]]</f>
        <v>8.3125</v>
      </c>
      <c r="Z584" s="81">
        <f>(EarningsPerDay[[#This Row],[Hours]]/EarningsPerDay[[#This Row],[Deliveries]])/24</f>
        <v>1.5104166666666667E-2</v>
      </c>
      <c r="AA5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17.826189063988625</v>
      </c>
      <c r="AB584" s="11">
        <f>AVERAGEIFS(EarningsPerDay[Gross $/Hour],EarningsPerDay[Week '#], EarningsPerDay[[#This Row],[Week '#]], EarningsPerDay[DOW], EarningsPerDay[[#This Row],[DOW]])</f>
        <v>27.752792825445322</v>
      </c>
      <c r="AC584" s="11">
        <f>EarningsPerDay[[#This Row],[Gross $/Hour]] - EarningsPerDay[[#This Row],[Weekly Average Earnings]]</f>
        <v>7.3747933814512301</v>
      </c>
      <c r="AD584" s="11">
        <f>(SUMIFS(EarningsPerDay[Gross Earnings], EarningsPerDay[Date],"&gt;="&amp;EarningsPerDay[[#This Row],[Date]]-89, EarningsPerDay[Date], "&lt;="&amp;EarningsPerDay[[#This Row],[Date]]))/90</f>
        <v>82.672333333333341</v>
      </c>
    </row>
    <row r="585" spans="2:30" x14ac:dyDescent="0.35">
      <c r="B585" s="40">
        <v>45545</v>
      </c>
      <c r="C585" s="40">
        <f t="shared" si="55"/>
        <v>45545</v>
      </c>
      <c r="D585" s="4">
        <f>IF(EarningsPerDay[[#This Row],[Week '#]]&gt;=52,YEAR(EarningsPerDay[[#This Row],[Date]])-1,YEAR(EarningsPerDay[[#This Row],[Date]]))</f>
        <v>2024</v>
      </c>
      <c r="E585" s="4" t="str">
        <f>"QTR"&amp;IF(EarningsPerDay[[#This Row],[Week '#]] &lt;= 13, 1, IF(EarningsPerDay[[#This Row],[Week '#]] &lt;= 26, 2, IF(EarningsPerDay[[#This Row],[Week '#]] &lt;= 39, 3, 4)))</f>
        <v>QTR3</v>
      </c>
      <c r="F5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5" s="4">
        <f>IF(WEEKNUM(EarningsPerDay[[#This Row],[Date]], 2) = 53, 1, WEEKNUM(EarningsPerDay[[#This Row],[Date]],2))</f>
        <v>37</v>
      </c>
      <c r="H585" s="40" t="str">
        <f t="shared" si="63"/>
        <v>Tuesday</v>
      </c>
      <c r="I58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85" s="40" t="str" cm="1">
        <f t="array" ref="J585">IFERROR(VLOOKUP(MODE(IF(Combined[Date]=EarningsPerDay[[#This Row],[Date]],Combined[Area '#])),KPIs!$B$4:$C$7,2,FALSE),VLOOKUP(EarningsPerDay[[#This Row],[Date]],Combined[[Date]:[Primary Area]],8,FALSE))</f>
        <v>Brunswick/Bath/Freeport</v>
      </c>
      <c r="K585" s="40" t="str">
        <f>_xlfn.XLOOKUP(EarningsPerDay[[#This Row],[Date]],Mileage[Date],Mileage[Weather])</f>
        <v>Clear</v>
      </c>
      <c r="L585" s="4">
        <f>_xlfn.XLOOKUP(EarningsPerDay[[#This Row],[Date]],Mileage[Date],Mileage[Hi Temp])</f>
        <v>63</v>
      </c>
      <c r="M585" s="12">
        <f>_xlfn.XLOOKUP(EarningsPerDay[[#This Row],[Date]],Mileage[Date],Mileage[Total Time])</f>
        <v>5.3</v>
      </c>
      <c r="N585" s="4">
        <f>_xlfn.XLOOKUP(EarningsPerDay[[#This Row],[Date]],Mileage[Date],Mileage[Mileage])</f>
        <v>119</v>
      </c>
      <c r="O585" s="4">
        <f>SUMIF(Combined[Date],EarningsPerDay[[#This Row],[Date]],Combined[Trips])</f>
        <v>10</v>
      </c>
      <c r="P585">
        <f>COUNTIF(Combined[Date],EarningsPerDay[[#This Row],[Date]])</f>
        <v>1</v>
      </c>
      <c r="Q5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5" s="11">
        <f>SUMIF(Combined[Date],EarningsPerDay[[#This Row],[Date]],Combined[Earnings])</f>
        <v>96.5</v>
      </c>
      <c r="S585" s="11">
        <f ca="1">EarningsPerDay[[#This Row],[Gross Earnings]]-(EarningsPerDay[[#This Row],[Miles]]*CpM!$D$11)</f>
        <v>69.966201977234221</v>
      </c>
      <c r="T585" s="11">
        <f t="shared" si="61"/>
        <v>18.20754716981132</v>
      </c>
      <c r="U585" s="11">
        <f t="shared" ca="1" si="62"/>
        <v>13.201170184383816</v>
      </c>
      <c r="V585" s="11">
        <f>EarningsPerDay[[#This Row],[Gross Earnings]]/EarningsPerDay[[#This Row],[Deliveries]]</f>
        <v>9.65</v>
      </c>
      <c r="W585" s="11">
        <f>EarningsPerDay[[#This Row],[Gross Earnings]]/EarningsPerDay[[#This Row],[Miles]]</f>
        <v>0.81092436974789917</v>
      </c>
      <c r="X585" s="71">
        <f>EarningsPerDay[[#This Row],[Deliveries]]/EarningsPerDay[[#This Row],[Hours]]</f>
        <v>1.8867924528301887</v>
      </c>
      <c r="Y585" s="71">
        <f>EarningsPerDay[[#This Row],[Miles]]/EarningsPerDay[[#This Row],[Deliveries]]</f>
        <v>11.9</v>
      </c>
      <c r="Z585" s="81">
        <f>(EarningsPerDay[[#This Row],[Hours]]/EarningsPerDay[[#This Row],[Deliveries]])/24</f>
        <v>2.2083333333333333E-2</v>
      </c>
      <c r="AA5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-4.2256571427716381</v>
      </c>
      <c r="AB585" s="11">
        <f>AVERAGEIFS(EarningsPerDay[Gross $/Hour],EarningsPerDay[Week '#], EarningsPerDay[[#This Row],[Week '#]], EarningsPerDay[DOW], EarningsPerDay[[#This Row],[DOW]])</f>
        <v>27.742049844005351</v>
      </c>
      <c r="AC585" s="11">
        <f>EarningsPerDay[[#This Row],[Gross $/Hour]] - EarningsPerDay[[#This Row],[Weekly Average Earnings]]</f>
        <v>-9.5345026741940302</v>
      </c>
      <c r="AD585" s="11">
        <f>(SUMIFS(EarningsPerDay[Gross Earnings], EarningsPerDay[Date],"&gt;="&amp;EarningsPerDay[[#This Row],[Date]]-89, EarningsPerDay[Date], "&lt;="&amp;EarningsPerDay[[#This Row],[Date]]))/90</f>
        <v>82.578111111111113</v>
      </c>
    </row>
    <row r="586" spans="2:30" x14ac:dyDescent="0.35">
      <c r="B586" s="40">
        <v>45546</v>
      </c>
      <c r="C586" s="40">
        <f t="shared" si="55"/>
        <v>45546</v>
      </c>
      <c r="D586" s="4">
        <f>IF(EarningsPerDay[[#This Row],[Week '#]]&gt;=52,YEAR(EarningsPerDay[[#This Row],[Date]])-1,YEAR(EarningsPerDay[[#This Row],[Date]]))</f>
        <v>2024</v>
      </c>
      <c r="E586" s="4" t="str">
        <f>"QTR"&amp;IF(EarningsPerDay[[#This Row],[Week '#]] &lt;= 13, 1, IF(EarningsPerDay[[#This Row],[Week '#]] &lt;= 26, 2, IF(EarningsPerDay[[#This Row],[Week '#]] &lt;= 39, 3, 4)))</f>
        <v>QTR3</v>
      </c>
      <c r="F5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6" s="4">
        <f>IF(WEEKNUM(EarningsPerDay[[#This Row],[Date]], 2) = 53, 1, WEEKNUM(EarningsPerDay[[#This Row],[Date]],2))</f>
        <v>37</v>
      </c>
      <c r="H586" s="40" t="str">
        <f t="shared" si="63"/>
        <v>Wednesday</v>
      </c>
      <c r="I58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86" s="40" t="str" cm="1">
        <f t="array" ref="J586">IFERROR(VLOOKUP(MODE(IF(Combined[Date]=EarningsPerDay[[#This Row],[Date]],Combined[Area '#])),KPIs!$B$4:$C$7,2,FALSE),VLOOKUP(EarningsPerDay[[#This Row],[Date]],Combined[[Date]:[Primary Area]],8,FALSE))</f>
        <v>Brunswick/Bath/Freeport</v>
      </c>
      <c r="K586" s="40" t="str">
        <f>_xlfn.XLOOKUP(EarningsPerDay[[#This Row],[Date]],Mileage[Date],Mileage[Weather])</f>
        <v>Clear</v>
      </c>
      <c r="L586" s="4">
        <f>_xlfn.XLOOKUP(EarningsPerDay[[#This Row],[Date]],Mileage[Date],Mileage[Hi Temp])</f>
        <v>66</v>
      </c>
      <c r="M586" s="12">
        <f>_xlfn.XLOOKUP(EarningsPerDay[[#This Row],[Date]],Mileage[Date],Mileage[Total Time])</f>
        <v>5.98</v>
      </c>
      <c r="N586" s="4">
        <f>_xlfn.XLOOKUP(EarningsPerDay[[#This Row],[Date]],Mileage[Date],Mileage[Mileage])</f>
        <v>119</v>
      </c>
      <c r="O586" s="4">
        <f>SUMIF(Combined[Date],EarningsPerDay[[#This Row],[Date]],Combined[Trips])</f>
        <v>13</v>
      </c>
      <c r="P586">
        <f>COUNTIF(Combined[Date],EarningsPerDay[[#This Row],[Date]])</f>
        <v>2</v>
      </c>
      <c r="Q5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6" s="11">
        <f>SUMIF(Combined[Date],EarningsPerDay[[#This Row],[Date]],Combined[Earnings])</f>
        <v>110.62</v>
      </c>
      <c r="S586" s="11">
        <f ca="1">EarningsPerDay[[#This Row],[Gross Earnings]]-(EarningsPerDay[[#This Row],[Miles]]*CpM!$D$11)</f>
        <v>84.086201977234225</v>
      </c>
      <c r="T586" s="11">
        <f t="shared" si="61"/>
        <v>18.498327759197323</v>
      </c>
      <c r="U586" s="11">
        <f t="shared" ca="1" si="62"/>
        <v>14.061237788835154</v>
      </c>
      <c r="V586" s="11">
        <f>EarningsPerDay[[#This Row],[Gross Earnings]]/EarningsPerDay[[#This Row],[Deliveries]]</f>
        <v>8.5092307692307703</v>
      </c>
      <c r="W586" s="11">
        <f>EarningsPerDay[[#This Row],[Gross Earnings]]/EarningsPerDay[[#This Row],[Miles]]</f>
        <v>0.92957983193277316</v>
      </c>
      <c r="X586" s="71">
        <f>EarningsPerDay[[#This Row],[Deliveries]]/EarningsPerDay[[#This Row],[Hours]]</f>
        <v>2.1739130434782608</v>
      </c>
      <c r="Y586" s="71">
        <f>EarningsPerDay[[#This Row],[Miles]]/EarningsPerDay[[#This Row],[Deliveries]]</f>
        <v>9.1538461538461533</v>
      </c>
      <c r="Z586" s="81">
        <f>(EarningsPerDay[[#This Row],[Hours]]/EarningsPerDay[[#This Row],[Deliveries]])/24</f>
        <v>1.9166666666666669E-2</v>
      </c>
      <c r="AA5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-4.1619328003676976</v>
      </c>
      <c r="AB586" s="11">
        <f>AVERAGEIFS(EarningsPerDay[Gross $/Hour],EarningsPerDay[Week '#], EarningsPerDay[[#This Row],[Week '#]], EarningsPerDay[DOW], EarningsPerDay[[#This Row],[DOW]])</f>
        <v>17.244530305697353</v>
      </c>
      <c r="AC586" s="11">
        <f>EarningsPerDay[[#This Row],[Gross $/Hour]] - EarningsPerDay[[#This Row],[Weekly Average Earnings]]</f>
        <v>1.2537974534999705</v>
      </c>
      <c r="AD586" s="11">
        <f>(SUMIFS(EarningsPerDay[Gross Earnings], EarningsPerDay[Date],"&gt;="&amp;EarningsPerDay[[#This Row],[Date]]-89, EarningsPerDay[Date], "&lt;="&amp;EarningsPerDay[[#This Row],[Date]]))/90</f>
        <v>82.318333333333342</v>
      </c>
    </row>
    <row r="587" spans="2:30" x14ac:dyDescent="0.35">
      <c r="B587" s="40">
        <v>45547</v>
      </c>
      <c r="C587" s="40">
        <f t="shared" si="55"/>
        <v>45547</v>
      </c>
      <c r="D587" s="4">
        <f>IF(EarningsPerDay[[#This Row],[Week '#]]&gt;=52,YEAR(EarningsPerDay[[#This Row],[Date]])-1,YEAR(EarningsPerDay[[#This Row],[Date]]))</f>
        <v>2024</v>
      </c>
      <c r="E587" s="4" t="str">
        <f>"QTR"&amp;IF(EarningsPerDay[[#This Row],[Week '#]] &lt;= 13, 1, IF(EarningsPerDay[[#This Row],[Week '#]] &lt;= 26, 2, IF(EarningsPerDay[[#This Row],[Week '#]] &lt;= 39, 3, 4)))</f>
        <v>QTR3</v>
      </c>
      <c r="F5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7" s="4">
        <f>IF(WEEKNUM(EarningsPerDay[[#This Row],[Date]], 2) = 53, 1, WEEKNUM(EarningsPerDay[[#This Row],[Date]],2))</f>
        <v>37</v>
      </c>
      <c r="H587" s="40" t="str">
        <f>TEXT(B587,"DDDD")</f>
        <v>Thursday</v>
      </c>
      <c r="I58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87" s="40" t="str" cm="1">
        <f t="array" ref="J587">IFERROR(VLOOKUP(MODE(IF(Combined[Date]=EarningsPerDay[[#This Row],[Date]],Combined[Area '#])),KPIs!$B$4:$C$7,2,FALSE),VLOOKUP(EarningsPerDay[[#This Row],[Date]],Combined[[Date]:[Primary Area]],8,FALSE))</f>
        <v>Lewiston</v>
      </c>
      <c r="K587" s="40" t="str">
        <f>_xlfn.XLOOKUP(EarningsPerDay[[#This Row],[Date]],Mileage[Date],Mileage[Weather])</f>
        <v>Clear</v>
      </c>
      <c r="L587" s="4">
        <f>_xlfn.XLOOKUP(EarningsPerDay[[#This Row],[Date]],Mileage[Date],Mileage[Hi Temp])</f>
        <v>70</v>
      </c>
      <c r="M587" s="12">
        <f>_xlfn.XLOOKUP(EarningsPerDay[[#This Row],[Date]],Mileage[Date],Mileage[Total Time])</f>
        <v>6.2</v>
      </c>
      <c r="N587" s="4">
        <f>_xlfn.XLOOKUP(EarningsPerDay[[#This Row],[Date]],Mileage[Date],Mileage[Mileage])</f>
        <v>101</v>
      </c>
      <c r="O587" s="4">
        <f>SUMIF(Combined[Date],EarningsPerDay[[#This Row],[Date]],Combined[Trips])</f>
        <v>19</v>
      </c>
      <c r="P587">
        <f>COUNTIF(Combined[Date],EarningsPerDay[[#This Row],[Date]])</f>
        <v>4</v>
      </c>
      <c r="Q58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87" s="11">
        <f>SUMIF(Combined[Date],EarningsPerDay[[#This Row],[Date]],Combined[Earnings])</f>
        <v>154.49</v>
      </c>
      <c r="S587" s="11">
        <f ca="1">EarningsPerDay[[#This Row],[Gross Earnings]]-(EarningsPerDay[[#This Row],[Miles]]*CpM!$D$11)</f>
        <v>131.96971764454335</v>
      </c>
      <c r="T587" s="11">
        <f t="shared" si="61"/>
        <v>24.917741935483871</v>
      </c>
      <c r="U587" s="11">
        <f t="shared" ca="1" si="62"/>
        <v>21.285438329765057</v>
      </c>
      <c r="V587" s="11">
        <f>EarningsPerDay[[#This Row],[Gross Earnings]]/EarningsPerDay[[#This Row],[Deliveries]]</f>
        <v>8.1310526315789478</v>
      </c>
      <c r="W587" s="11">
        <f>EarningsPerDay[[#This Row],[Gross Earnings]]/EarningsPerDay[[#This Row],[Miles]]</f>
        <v>1.5296039603960396</v>
      </c>
      <c r="X587" s="71">
        <f>EarningsPerDay[[#This Row],[Deliveries]]/EarningsPerDay[[#This Row],[Hours]]</f>
        <v>3.064516129032258</v>
      </c>
      <c r="Y587" s="71">
        <f>EarningsPerDay[[#This Row],[Miles]]/EarningsPerDay[[#This Row],[Deliveries]]</f>
        <v>5.3157894736842106</v>
      </c>
      <c r="Z587" s="81">
        <f>(EarningsPerDay[[#This Row],[Hours]]/EarningsPerDay[[#This Row],[Deliveries]])/24</f>
        <v>1.3596491228070176E-2</v>
      </c>
      <c r="AA5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6.5915540825528609</v>
      </c>
      <c r="AB587" s="11">
        <f>AVERAGEIFS(EarningsPerDay[Gross $/Hour],EarningsPerDay[Week '#], EarningsPerDay[[#This Row],[Week '#]], EarningsPerDay[DOW], EarningsPerDay[[#This Row],[DOW]])</f>
        <v>24.77561450694693</v>
      </c>
      <c r="AC587" s="11">
        <f>EarningsPerDay[[#This Row],[Gross $/Hour]] - EarningsPerDay[[#This Row],[Weekly Average Earnings]]</f>
        <v>0.14212742853694138</v>
      </c>
      <c r="AD587" s="11">
        <f>(SUMIFS(EarningsPerDay[Gross Earnings], EarningsPerDay[Date],"&gt;="&amp;EarningsPerDay[[#This Row],[Date]]-89, EarningsPerDay[Date], "&lt;="&amp;EarningsPerDay[[#This Row],[Date]]))/90</f>
        <v>81.737222222222215</v>
      </c>
    </row>
    <row r="588" spans="2:30" x14ac:dyDescent="0.35">
      <c r="B588" s="40">
        <v>45548</v>
      </c>
      <c r="C588" s="40">
        <f t="shared" si="55"/>
        <v>45548</v>
      </c>
      <c r="D588" s="4">
        <f>IF(EarningsPerDay[[#This Row],[Week '#]]&gt;=52,YEAR(EarningsPerDay[[#This Row],[Date]])-1,YEAR(EarningsPerDay[[#This Row],[Date]]))</f>
        <v>2024</v>
      </c>
      <c r="E588" s="4" t="str">
        <f>"QTR"&amp;IF(EarningsPerDay[[#This Row],[Week '#]] &lt;= 13, 1, IF(EarningsPerDay[[#This Row],[Week '#]] &lt;= 26, 2, IF(EarningsPerDay[[#This Row],[Week '#]] &lt;= 39, 3, 4)))</f>
        <v>QTR3</v>
      </c>
      <c r="F5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8" s="4">
        <f>IF(WEEKNUM(EarningsPerDay[[#This Row],[Date]], 2) = 53, 1, WEEKNUM(EarningsPerDay[[#This Row],[Date]],2))</f>
        <v>37</v>
      </c>
      <c r="H588" s="40" t="str">
        <f t="shared" ref="H588:H590" si="64">TEXT(B588,"DDDD")</f>
        <v>Friday</v>
      </c>
      <c r="I58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88" s="40" t="str" cm="1">
        <f t="array" ref="J588">IFERROR(VLOOKUP(MODE(IF(Combined[Date]=EarningsPerDay[[#This Row],[Date]],Combined[Area '#])),KPIs!$B$4:$C$7,2,FALSE),VLOOKUP(EarningsPerDay[[#This Row],[Date]],Combined[[Date]:[Primary Area]],8,FALSE))</f>
        <v>Lewiston</v>
      </c>
      <c r="K588" s="40" t="str">
        <f>_xlfn.XLOOKUP(EarningsPerDay[[#This Row],[Date]],Mileage[Date],Mileage[Weather])</f>
        <v>Clear</v>
      </c>
      <c r="L588" s="4">
        <f>_xlfn.XLOOKUP(EarningsPerDay[[#This Row],[Date]],Mileage[Date],Mileage[Hi Temp])</f>
        <v>79</v>
      </c>
      <c r="M588" s="12">
        <f>_xlfn.XLOOKUP(EarningsPerDay[[#This Row],[Date]],Mileage[Date],Mileage[Total Time])</f>
        <v>7.1</v>
      </c>
      <c r="N588" s="4">
        <f>_xlfn.XLOOKUP(EarningsPerDay[[#This Row],[Date]],Mileage[Date],Mileage[Mileage])</f>
        <v>147</v>
      </c>
      <c r="O588" s="4">
        <f>SUMIF(Combined[Date],EarningsPerDay[[#This Row],[Date]],Combined[Trips])</f>
        <v>14</v>
      </c>
      <c r="P588">
        <f>COUNTIF(Combined[Date],EarningsPerDay[[#This Row],[Date]])</f>
        <v>3</v>
      </c>
      <c r="Q5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88" s="11">
        <f>SUMIF(Combined[Date],EarningsPerDay[[#This Row],[Date]],Combined[Earnings])</f>
        <v>172.95</v>
      </c>
      <c r="S588" s="11">
        <f ca="1">EarningsPerDay[[#This Row],[Gross Earnings]]-(EarningsPerDay[[#This Row],[Miles]]*CpM!$D$11)</f>
        <v>140.17295538364226</v>
      </c>
      <c r="T588" s="11">
        <f t="shared" si="61"/>
        <v>24.359154929577464</v>
      </c>
      <c r="U588" s="11">
        <f t="shared" ca="1" si="62"/>
        <v>19.74266977234398</v>
      </c>
      <c r="V588" s="11">
        <f>EarningsPerDay[[#This Row],[Gross Earnings]]/EarningsPerDay[[#This Row],[Deliveries]]</f>
        <v>12.353571428571428</v>
      </c>
      <c r="W588" s="11">
        <f>EarningsPerDay[[#This Row],[Gross Earnings]]/EarningsPerDay[[#This Row],[Miles]]</f>
        <v>1.176530612244898</v>
      </c>
      <c r="X588" s="71">
        <f>EarningsPerDay[[#This Row],[Deliveries]]/EarningsPerDay[[#This Row],[Hours]]</f>
        <v>1.971830985915493</v>
      </c>
      <c r="Y588" s="71">
        <f>EarningsPerDay[[#This Row],[Miles]]/EarningsPerDay[[#This Row],[Deliveries]]</f>
        <v>10.5</v>
      </c>
      <c r="Z588" s="81">
        <f>(EarningsPerDay[[#This Row],[Hours]]/EarningsPerDay[[#This Row],[Deliveries]])/24</f>
        <v>2.1130952380952379E-2</v>
      </c>
      <c r="AA5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3.8992582887505911</v>
      </c>
      <c r="AB588" s="11">
        <f>AVERAGEIFS(EarningsPerDay[Gross $/Hour],EarningsPerDay[Week '#], EarningsPerDay[[#This Row],[Week '#]], EarningsPerDay[DOW], EarningsPerDay[[#This Row],[DOW]])</f>
        <v>27.690267905647875</v>
      </c>
      <c r="AC588" s="11">
        <f>EarningsPerDay[[#This Row],[Gross $/Hour]] - EarningsPerDay[[#This Row],[Weekly Average Earnings]]</f>
        <v>-3.3311129760704112</v>
      </c>
      <c r="AD588" s="11">
        <f>(SUMIFS(EarningsPerDay[Gross Earnings], EarningsPerDay[Date],"&gt;="&amp;EarningsPerDay[[#This Row],[Date]]-89, EarningsPerDay[Date], "&lt;="&amp;EarningsPerDay[[#This Row],[Date]]))/90</f>
        <v>82.071333333333328</v>
      </c>
    </row>
    <row r="589" spans="2:30" x14ac:dyDescent="0.35">
      <c r="B589" s="40">
        <v>45549</v>
      </c>
      <c r="C589" s="40">
        <f t="shared" si="55"/>
        <v>45549</v>
      </c>
      <c r="D589" s="4">
        <f>IF(EarningsPerDay[[#This Row],[Week '#]]&gt;=52,YEAR(EarningsPerDay[[#This Row],[Date]])-1,YEAR(EarningsPerDay[[#This Row],[Date]]))</f>
        <v>2024</v>
      </c>
      <c r="E589" s="4" t="str">
        <f>"QTR"&amp;IF(EarningsPerDay[[#This Row],[Week '#]] &lt;= 13, 1, IF(EarningsPerDay[[#This Row],[Week '#]] &lt;= 26, 2, IF(EarningsPerDay[[#This Row],[Week '#]] &lt;= 39, 3, 4)))</f>
        <v>QTR3</v>
      </c>
      <c r="F5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89" s="4">
        <f>IF(WEEKNUM(EarningsPerDay[[#This Row],[Date]], 2) = 53, 1, WEEKNUM(EarningsPerDay[[#This Row],[Date]],2))</f>
        <v>37</v>
      </c>
      <c r="H589" s="40" t="str">
        <f t="shared" si="64"/>
        <v>Saturday</v>
      </c>
      <c r="I589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589" s="40" t="str" cm="1">
        <f t="array" ref="J589">IFERROR(VLOOKUP(MODE(IF(Combined[Date]=EarningsPerDay[[#This Row],[Date]],Combined[Area '#])),KPIs!$B$4:$C$7,2,FALSE),VLOOKUP(EarningsPerDay[[#This Row],[Date]],Combined[[Date]:[Primary Area]],8,FALSE))</f>
        <v>Lewiston</v>
      </c>
      <c r="K589" s="40" t="str">
        <f>_xlfn.XLOOKUP(EarningsPerDay[[#This Row],[Date]],Mileage[Date],Mileage[Weather])</f>
        <v>Clear</v>
      </c>
      <c r="L589" s="4">
        <f>_xlfn.XLOOKUP(EarningsPerDay[[#This Row],[Date]],Mileage[Date],Mileage[Hi Temp])</f>
        <v>68</v>
      </c>
      <c r="M589" s="12">
        <f>_xlfn.XLOOKUP(EarningsPerDay[[#This Row],[Date]],Mileage[Date],Mileage[Total Time])</f>
        <v>5.88</v>
      </c>
      <c r="N589" s="4">
        <f>_xlfn.XLOOKUP(EarningsPerDay[[#This Row],[Date]],Mileage[Date],Mileage[Mileage])</f>
        <v>122</v>
      </c>
      <c r="O589" s="4">
        <f>SUMIF(Combined[Date],EarningsPerDay[[#This Row],[Date]],Combined[Trips])</f>
        <v>14</v>
      </c>
      <c r="P589">
        <f>COUNTIF(Combined[Date],EarningsPerDay[[#This Row],[Date]])</f>
        <v>3</v>
      </c>
      <c r="Q58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89" s="11">
        <f>SUMIF(Combined[Date],EarningsPerDay[[#This Row],[Date]],Combined[Earnings])</f>
        <v>120.07</v>
      </c>
      <c r="S589" s="11">
        <f ca="1">EarningsPerDay[[#This Row],[Gross Earnings]]-(EarningsPerDay[[#This Row],[Miles]]*CpM!$D$11)</f>
        <v>92.867282699349374</v>
      </c>
      <c r="T589" s="11">
        <f t="shared" si="61"/>
        <v>20.420068027210885</v>
      </c>
      <c r="U589" s="11">
        <f t="shared" ca="1" si="62"/>
        <v>15.793755561113839</v>
      </c>
      <c r="V589" s="11">
        <f>EarningsPerDay[[#This Row],[Gross Earnings]]/EarningsPerDay[[#This Row],[Deliveries]]</f>
        <v>8.5764285714285702</v>
      </c>
      <c r="W589" s="11">
        <f>EarningsPerDay[[#This Row],[Gross Earnings]]/EarningsPerDay[[#This Row],[Miles]]</f>
        <v>0.98418032786885246</v>
      </c>
      <c r="X589" s="71">
        <f>EarningsPerDay[[#This Row],[Deliveries]]/EarningsPerDay[[#This Row],[Hours]]</f>
        <v>2.3809523809523809</v>
      </c>
      <c r="Y589" s="71">
        <f>EarningsPerDay[[#This Row],[Miles]]/EarningsPerDay[[#This Row],[Deliveries]]</f>
        <v>8.7142857142857135</v>
      </c>
      <c r="Z589" s="81">
        <f>(EarningsPerDay[[#This Row],[Hours]]/EarningsPerDay[[#This Row],[Deliveries]])/24</f>
        <v>1.7499999999999998E-2</v>
      </c>
      <c r="AA5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-0.85557873782920169</v>
      </c>
      <c r="AB589" s="11">
        <f>AVERAGEIFS(EarningsPerDay[Gross $/Hour],EarningsPerDay[Week '#], EarningsPerDay[[#This Row],[Week '#]], EarningsPerDay[DOW], EarningsPerDay[[#This Row],[DOW]])</f>
        <v>22.687811791383218</v>
      </c>
      <c r="AC589" s="11">
        <f>EarningsPerDay[[#This Row],[Gross $/Hour]] - EarningsPerDay[[#This Row],[Weekly Average Earnings]]</f>
        <v>-2.2677437641723337</v>
      </c>
      <c r="AD589" s="11">
        <f>(SUMIFS(EarningsPerDay[Gross Earnings], EarningsPerDay[Date],"&gt;="&amp;EarningsPerDay[[#This Row],[Date]]-89, EarningsPerDay[Date], "&lt;="&amp;EarningsPerDay[[#This Row],[Date]]))/90</f>
        <v>83.405444444444441</v>
      </c>
    </row>
    <row r="590" spans="2:30" x14ac:dyDescent="0.35">
      <c r="B590" s="40">
        <v>45550</v>
      </c>
      <c r="C590" s="40">
        <f t="shared" si="55"/>
        <v>45550</v>
      </c>
      <c r="D590" s="4">
        <f>IF(EarningsPerDay[[#This Row],[Week '#]]&gt;=52,YEAR(EarningsPerDay[[#This Row],[Date]])-1,YEAR(EarningsPerDay[[#This Row],[Date]]))</f>
        <v>2024</v>
      </c>
      <c r="E590" s="4" t="str">
        <f>"QTR"&amp;IF(EarningsPerDay[[#This Row],[Week '#]] &lt;= 13, 1, IF(EarningsPerDay[[#This Row],[Week '#]] &lt;= 26, 2, IF(EarningsPerDay[[#This Row],[Week '#]] &lt;= 39, 3, 4)))</f>
        <v>QTR3</v>
      </c>
      <c r="F5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590" s="4">
        <f>IF(WEEKNUM(EarningsPerDay[[#This Row],[Date]], 2) = 53, 1, WEEKNUM(EarningsPerDay[[#This Row],[Date]],2))</f>
        <v>37</v>
      </c>
      <c r="H590" s="40" t="str">
        <f t="shared" si="64"/>
        <v>Sunday</v>
      </c>
      <c r="I590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590" s="40" t="str" cm="1">
        <f t="array" ref="J590">IFERROR(VLOOKUP(MODE(IF(Combined[Date]=EarningsPerDay[[#This Row],[Date]],Combined[Area '#])),KPIs!$B$4:$C$7,2,FALSE),VLOOKUP(EarningsPerDay[[#This Row],[Date]],Combined[[Date]:[Primary Area]],8,FALSE))</f>
        <v>Brunswick/Bath/Freeport</v>
      </c>
      <c r="K590" s="40" t="str">
        <f>_xlfn.XLOOKUP(EarningsPerDay[[#This Row],[Date]],Mileage[Date],Mileage[Weather])</f>
        <v>Sunny</v>
      </c>
      <c r="L590" s="4">
        <f>_xlfn.XLOOKUP(EarningsPerDay[[#This Row],[Date]],Mileage[Date],Mileage[Hi Temp])</f>
        <v>81</v>
      </c>
      <c r="M590" s="12">
        <f>_xlfn.XLOOKUP(EarningsPerDay[[#This Row],[Date]],Mileage[Date],Mileage[Total Time])</f>
        <v>4.58</v>
      </c>
      <c r="N590" s="4">
        <f>_xlfn.XLOOKUP(EarningsPerDay[[#This Row],[Date]],Mileage[Date],Mileage[Mileage])</f>
        <v>101</v>
      </c>
      <c r="O590" s="4">
        <f>SUMIF(Combined[Date],EarningsPerDay[[#This Row],[Date]],Combined[Trips])</f>
        <v>11</v>
      </c>
      <c r="P590">
        <f>COUNTIF(Combined[Date],EarningsPerDay[[#This Row],[Date]])</f>
        <v>1</v>
      </c>
      <c r="Q59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590" s="11">
        <f>SUMIF(Combined[Date],EarningsPerDay[[#This Row],[Date]],Combined[Earnings])</f>
        <v>93.35</v>
      </c>
      <c r="S590" s="11">
        <f ca="1">EarningsPerDay[[#This Row],[Gross Earnings]]-(EarningsPerDay[[#This Row],[Miles]]*CpM!$D$11)</f>
        <v>70.829717644543337</v>
      </c>
      <c r="T590" s="11">
        <f t="shared" si="61"/>
        <v>20.382096069868993</v>
      </c>
      <c r="U590" s="11">
        <f t="shared" ca="1" si="62"/>
        <v>15.465003852520379</v>
      </c>
      <c r="V590" s="11">
        <f>EarningsPerDay[[#This Row],[Gross Earnings]]/EarningsPerDay[[#This Row],[Deliveries]]</f>
        <v>8.4863636363636363</v>
      </c>
      <c r="W590" s="11">
        <f>EarningsPerDay[[#This Row],[Gross Earnings]]/EarningsPerDay[[#This Row],[Miles]]</f>
        <v>0.92425742574257419</v>
      </c>
      <c r="X590" s="71">
        <f>EarningsPerDay[[#This Row],[Deliveries]]/EarningsPerDay[[#This Row],[Hours]]</f>
        <v>2.4017467248908297</v>
      </c>
      <c r="Y590" s="71">
        <f>EarningsPerDay[[#This Row],[Miles]]/EarningsPerDay[[#This Row],[Deliveries]]</f>
        <v>9.1818181818181817</v>
      </c>
      <c r="Z590" s="81">
        <f>(EarningsPerDay[[#This Row],[Hours]]/EarningsPerDay[[#This Row],[Deliveries]])/24</f>
        <v>1.7348484848484849E-2</v>
      </c>
      <c r="AA5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-3.1971613737222704</v>
      </c>
      <c r="AB590" s="11">
        <f>AVERAGEIFS(EarningsPerDay[Gross $/Hour],EarningsPerDay[Week '#], EarningsPerDay[[#This Row],[Week '#]], EarningsPerDay[DOW], EarningsPerDay[[#This Row],[DOW]])</f>
        <v>25.652020692468419</v>
      </c>
      <c r="AC590" s="11">
        <f>EarningsPerDay[[#This Row],[Gross $/Hour]] - EarningsPerDay[[#This Row],[Weekly Average Earnings]]</f>
        <v>-5.2699246225994258</v>
      </c>
      <c r="AD590" s="11">
        <f>(SUMIFS(EarningsPerDay[Gross Earnings], EarningsPerDay[Date],"&gt;="&amp;EarningsPerDay[[#This Row],[Date]]-89, EarningsPerDay[Date], "&lt;="&amp;EarningsPerDay[[#This Row],[Date]]))/90</f>
        <v>83.13344444444445</v>
      </c>
    </row>
    <row r="591" spans="2:30" x14ac:dyDescent="0.35">
      <c r="B591" s="40">
        <v>45555</v>
      </c>
      <c r="C591" s="40">
        <f t="shared" si="55"/>
        <v>45555</v>
      </c>
      <c r="D591" s="4">
        <f>IF(EarningsPerDay[[#This Row],[Week '#]]&gt;=52,YEAR(EarningsPerDay[[#This Row],[Date]])-1,YEAR(EarningsPerDay[[#This Row],[Date]]))</f>
        <v>2024</v>
      </c>
      <c r="E591" s="4" t="str">
        <f>"QTR"&amp;IF(EarningsPerDay[[#This Row],[Week '#]] &lt;= 13, 1, IF(EarningsPerDay[[#This Row],[Week '#]] &lt;= 26, 2, IF(EarningsPerDay[[#This Row],[Week '#]] &lt;= 39, 3, 4)))</f>
        <v>QTR3</v>
      </c>
      <c r="F5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91" s="4">
        <f>IF(WEEKNUM(EarningsPerDay[[#This Row],[Date]], 2) = 53, 1, WEEKNUM(EarningsPerDay[[#This Row],[Date]],2))</f>
        <v>38</v>
      </c>
      <c r="H591" s="40" t="str">
        <f t="shared" ref="H591:H592" si="65">TEXT(B591,"DDDD")</f>
        <v>Friday</v>
      </c>
      <c r="I59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91" s="40" t="str" cm="1">
        <f t="array" ref="J591">IFERROR(VLOOKUP(MODE(IF(Combined[Date]=EarningsPerDay[[#This Row],[Date]],Combined[Area '#])),KPIs!$B$4:$C$7,2,FALSE),VLOOKUP(EarningsPerDay[[#This Row],[Date]],Combined[[Date]:[Primary Area]],8,FALSE))</f>
        <v>Portland</v>
      </c>
      <c r="K591" s="40" t="str">
        <f>_xlfn.XLOOKUP(EarningsPerDay[[#This Row],[Date]],Mileage[Date],Mileage[Weather])</f>
        <v>Light Rain</v>
      </c>
      <c r="L591" s="4">
        <f>_xlfn.XLOOKUP(EarningsPerDay[[#This Row],[Date]],Mileage[Date],Mileage[Hi Temp])</f>
        <v>63</v>
      </c>
      <c r="M591" s="12">
        <f>_xlfn.XLOOKUP(EarningsPerDay[[#This Row],[Date]],Mileage[Date],Mileage[Total Time])</f>
        <v>7.13</v>
      </c>
      <c r="N591" s="4">
        <f>_xlfn.XLOOKUP(EarningsPerDay[[#This Row],[Date]],Mileage[Date],Mileage[Mileage])</f>
        <v>141</v>
      </c>
      <c r="O591" s="4">
        <f>SUMIF(Combined[Date],EarningsPerDay[[#This Row],[Date]],Combined[Trips])</f>
        <v>18</v>
      </c>
      <c r="P591">
        <f>COUNTIF(Combined[Date],EarningsPerDay[[#This Row],[Date]])</f>
        <v>3</v>
      </c>
      <c r="Q5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1" s="11">
        <f>SUMIF(Combined[Date],EarningsPerDay[[#This Row],[Date]],Combined[Earnings])</f>
        <v>188.85</v>
      </c>
      <c r="S591" s="11">
        <f ca="1">EarningsPerDay[[#This Row],[Gross Earnings]]-(EarningsPerDay[[#This Row],[Miles]]*CpM!$D$11)</f>
        <v>157.41079393941197</v>
      </c>
      <c r="T591" s="11">
        <f t="shared" si="61"/>
        <v>26.486676016830295</v>
      </c>
      <c r="U591" s="11">
        <f t="shared" ca="1" si="62"/>
        <v>22.077250201881064</v>
      </c>
      <c r="V591" s="11">
        <f>EarningsPerDay[[#This Row],[Gross Earnings]]/EarningsPerDay[[#This Row],[Deliveries]]</f>
        <v>10.491666666666667</v>
      </c>
      <c r="W591" s="11">
        <f>EarningsPerDay[[#This Row],[Gross Earnings]]/EarningsPerDay[[#This Row],[Miles]]</f>
        <v>1.3393617021276596</v>
      </c>
      <c r="X591" s="71">
        <f>EarningsPerDay[[#This Row],[Deliveries]]/EarningsPerDay[[#This Row],[Hours]]</f>
        <v>2.5245441795231418</v>
      </c>
      <c r="Y591" s="71">
        <f>EarningsPerDay[[#This Row],[Miles]]/EarningsPerDay[[#This Row],[Deliveries]]</f>
        <v>7.833333333333333</v>
      </c>
      <c r="Z591" s="81">
        <f>(EarningsPerDay[[#This Row],[Hours]]/EarningsPerDay[[#This Row],[Deliveries]])/24</f>
        <v>1.650462962962963E-2</v>
      </c>
      <c r="AA5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4.4388459616527491</v>
      </c>
      <c r="AB591" s="11">
        <f>AVERAGEIFS(EarningsPerDay[Gross $/Hour],EarningsPerDay[Week '#], EarningsPerDay[[#This Row],[Week '#]], EarningsPerDay[DOW], EarningsPerDay[[#This Row],[DOW]])</f>
        <v>19.46006301883239</v>
      </c>
      <c r="AC591" s="11">
        <f>EarningsPerDay[[#This Row],[Gross $/Hour]] - EarningsPerDay[[#This Row],[Weekly Average Earnings]]</f>
        <v>7.0266129979979048</v>
      </c>
      <c r="AD591" s="11">
        <f>(SUMIFS(EarningsPerDay[Gross Earnings], EarningsPerDay[Date],"&gt;="&amp;EarningsPerDay[[#This Row],[Date]]-89, EarningsPerDay[Date], "&lt;="&amp;EarningsPerDay[[#This Row],[Date]]))/90</f>
        <v>79.539888888888896</v>
      </c>
    </row>
    <row r="592" spans="2:30" x14ac:dyDescent="0.35">
      <c r="B592" s="40">
        <v>45557</v>
      </c>
      <c r="C592" s="40">
        <f t="shared" si="55"/>
        <v>45557</v>
      </c>
      <c r="D592" s="4">
        <f>IF(EarningsPerDay[[#This Row],[Week '#]]&gt;=52,YEAR(EarningsPerDay[[#This Row],[Date]])-1,YEAR(EarningsPerDay[[#This Row],[Date]]))</f>
        <v>2024</v>
      </c>
      <c r="E592" s="4" t="str">
        <f>"QTR"&amp;IF(EarningsPerDay[[#This Row],[Week '#]] &lt;= 13, 1, IF(EarningsPerDay[[#This Row],[Week '#]] &lt;= 26, 2, IF(EarningsPerDay[[#This Row],[Week '#]] &lt;= 39, 3, 4)))</f>
        <v>QTR3</v>
      </c>
      <c r="F5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592" s="4">
        <f>IF(WEEKNUM(EarningsPerDay[[#This Row],[Date]], 2) = 53, 1, WEEKNUM(EarningsPerDay[[#This Row],[Date]],2))</f>
        <v>38</v>
      </c>
      <c r="H592" s="40" t="str">
        <f t="shared" si="65"/>
        <v>Sunday</v>
      </c>
      <c r="I592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592" s="40" t="str" cm="1">
        <f t="array" ref="J592">IFERROR(VLOOKUP(MODE(IF(Combined[Date]=EarningsPerDay[[#This Row],[Date]],Combined[Area '#])),KPIs!$B$4:$C$7,2,FALSE),VLOOKUP(EarningsPerDay[[#This Row],[Date]],Combined[[Date]:[Primary Area]],8,FALSE))</f>
        <v>Brunswick/Bath/Freeport</v>
      </c>
      <c r="K592" s="40" t="str">
        <f>_xlfn.XLOOKUP(EarningsPerDay[[#This Row],[Date]],Mileage[Date],Mileage[Weather])</f>
        <v>Partially Cloudy</v>
      </c>
      <c r="L592" s="4">
        <f>_xlfn.XLOOKUP(EarningsPerDay[[#This Row],[Date]],Mileage[Date],Mileage[Hi Temp])</f>
        <v>70</v>
      </c>
      <c r="M592" s="12">
        <f>_xlfn.XLOOKUP(EarningsPerDay[[#This Row],[Date]],Mileage[Date],Mileage[Total Time])</f>
        <v>2.5499999999999998</v>
      </c>
      <c r="N592" s="4">
        <f>_xlfn.XLOOKUP(EarningsPerDay[[#This Row],[Date]],Mileage[Date],Mileage[Mileage])</f>
        <v>34</v>
      </c>
      <c r="O592" s="4">
        <f>SUMIF(Combined[Date],EarningsPerDay[[#This Row],[Date]],Combined[Trips])</f>
        <v>5</v>
      </c>
      <c r="P592">
        <f>COUNTIF(Combined[Date],EarningsPerDay[[#This Row],[Date]])</f>
        <v>2</v>
      </c>
      <c r="Q5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2" s="11">
        <f>SUMIF(Combined[Date],EarningsPerDay[[#This Row],[Date]],Combined[Earnings])</f>
        <v>68.429999999999993</v>
      </c>
      <c r="S592" s="11">
        <f ca="1">EarningsPerDay[[#This Row],[Gross Earnings]]-(EarningsPerDay[[#This Row],[Miles]]*CpM!$D$11)</f>
        <v>60.848914850638344</v>
      </c>
      <c r="T592" s="11">
        <f t="shared" si="61"/>
        <v>26.835294117647059</v>
      </c>
      <c r="U592" s="11">
        <f t="shared" ca="1" si="62"/>
        <v>23.862319549269941</v>
      </c>
      <c r="V592" s="11">
        <f>EarningsPerDay[[#This Row],[Gross Earnings]]/EarningsPerDay[[#This Row],[Deliveries]]</f>
        <v>13.685999999999998</v>
      </c>
      <c r="W592" s="11">
        <f>EarningsPerDay[[#This Row],[Gross Earnings]]/EarningsPerDay[[#This Row],[Miles]]</f>
        <v>2.012647058823529</v>
      </c>
      <c r="X592" s="71">
        <f>EarningsPerDay[[#This Row],[Deliveries]]/EarningsPerDay[[#This Row],[Hours]]</f>
        <v>1.9607843137254903</v>
      </c>
      <c r="Y592" s="71">
        <f>EarningsPerDay[[#This Row],[Miles]]/EarningsPerDay[[#This Row],[Deliveries]]</f>
        <v>6.8</v>
      </c>
      <c r="Z592" s="81">
        <f>(EarningsPerDay[[#This Row],[Hours]]/EarningsPerDay[[#This Row],[Deliveries]])/24</f>
        <v>2.1250000000000002E-2</v>
      </c>
      <c r="AA5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3.7888969030095083</v>
      </c>
      <c r="AB592" s="11">
        <f>AVERAGEIFS(EarningsPerDay[Gross $/Hour],EarningsPerDay[Week '#], EarningsPerDay[[#This Row],[Week '#]], EarningsPerDay[DOW], EarningsPerDay[[#This Row],[DOW]])</f>
        <v>23.467750621375313</v>
      </c>
      <c r="AC592" s="11">
        <f>EarningsPerDay[[#This Row],[Gross $/Hour]] - EarningsPerDay[[#This Row],[Weekly Average Earnings]]</f>
        <v>3.3675434962717468</v>
      </c>
      <c r="AD592" s="11">
        <f>(SUMIFS(EarningsPerDay[Gross Earnings], EarningsPerDay[Date],"&gt;="&amp;EarningsPerDay[[#This Row],[Date]]-89, EarningsPerDay[Date], "&lt;="&amp;EarningsPerDay[[#This Row],[Date]]))/90</f>
        <v>79.312666666666686</v>
      </c>
    </row>
    <row r="593" spans="2:30" x14ac:dyDescent="0.35">
      <c r="B593" s="40">
        <v>45558</v>
      </c>
      <c r="C593" s="40">
        <f t="shared" si="55"/>
        <v>45558</v>
      </c>
      <c r="D593" s="4">
        <f>IF(EarningsPerDay[[#This Row],[Week '#]]&gt;=52,YEAR(EarningsPerDay[[#This Row],[Date]])-1,YEAR(EarningsPerDay[[#This Row],[Date]]))</f>
        <v>2024</v>
      </c>
      <c r="E593" s="4" t="str">
        <f>"QTR"&amp;IF(EarningsPerDay[[#This Row],[Week '#]] &lt;= 13, 1, IF(EarningsPerDay[[#This Row],[Week '#]] &lt;= 26, 2, IF(EarningsPerDay[[#This Row],[Week '#]] &lt;= 39, 3, 4)))</f>
        <v>QTR3</v>
      </c>
      <c r="F5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93" s="4">
        <f>IF(WEEKNUM(EarningsPerDay[[#This Row],[Date]], 2) = 53, 1, WEEKNUM(EarningsPerDay[[#This Row],[Date]],2))</f>
        <v>39</v>
      </c>
      <c r="H593" s="40" t="str">
        <f t="shared" ref="H593:H596" si="66">TEXT(B593,"DDDD")</f>
        <v>Monday</v>
      </c>
      <c r="I59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93" s="40" t="str" cm="1">
        <f t="array" ref="J593">IFERROR(VLOOKUP(MODE(IF(Combined[Date]=EarningsPerDay[[#This Row],[Date]],Combined[Area '#])),KPIs!$B$4:$C$7,2,FALSE),VLOOKUP(EarningsPerDay[[#This Row],[Date]],Combined[[Date]:[Primary Area]],8,FALSE))</f>
        <v>Portland</v>
      </c>
      <c r="K593" s="40" t="str">
        <f>_xlfn.XLOOKUP(EarningsPerDay[[#This Row],[Date]],Mileage[Date],Mileage[Weather])</f>
        <v>Clear</v>
      </c>
      <c r="L593" s="4">
        <f>_xlfn.XLOOKUP(EarningsPerDay[[#This Row],[Date]],Mileage[Date],Mileage[Hi Temp])</f>
        <v>61</v>
      </c>
      <c r="M593" s="12">
        <f>_xlfn.XLOOKUP(EarningsPerDay[[#This Row],[Date]],Mileage[Date],Mileage[Total Time])</f>
        <v>4.97</v>
      </c>
      <c r="N593" s="4">
        <f>_xlfn.XLOOKUP(EarningsPerDay[[#This Row],[Date]],Mileage[Date],Mileage[Mileage])</f>
        <v>118</v>
      </c>
      <c r="O593" s="4">
        <f>SUMIF(Combined[Date],EarningsPerDay[[#This Row],[Date]],Combined[Trips])</f>
        <v>11</v>
      </c>
      <c r="P593">
        <f>COUNTIF(Combined[Date],EarningsPerDay[[#This Row],[Date]])</f>
        <v>3</v>
      </c>
      <c r="Q5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3" s="11">
        <f>SUMIF(Combined[Date],EarningsPerDay[[#This Row],[Date]],Combined[Earnings])</f>
        <v>138.38999999999999</v>
      </c>
      <c r="S593" s="11">
        <f ca="1">EarningsPerDay[[#This Row],[Gross Earnings]]-(EarningsPerDay[[#This Row],[Miles]]*CpM!$D$11)</f>
        <v>112.07917506986249</v>
      </c>
      <c r="T593" s="11">
        <f t="shared" si="61"/>
        <v>27.845070422535208</v>
      </c>
      <c r="U593" s="11">
        <f t="shared" ca="1" si="62"/>
        <v>22.55114186516348</v>
      </c>
      <c r="V593" s="11">
        <f>EarningsPerDay[[#This Row],[Gross Earnings]]/EarningsPerDay[[#This Row],[Deliveries]]</f>
        <v>12.58090909090909</v>
      </c>
      <c r="W593" s="11">
        <f>EarningsPerDay[[#This Row],[Gross Earnings]]/EarningsPerDay[[#This Row],[Miles]]</f>
        <v>1.1727966101694913</v>
      </c>
      <c r="X593" s="71">
        <f>EarningsPerDay[[#This Row],[Deliveries]]/EarningsPerDay[[#This Row],[Hours]]</f>
        <v>2.2132796780684107</v>
      </c>
      <c r="Y593" s="71">
        <f>EarningsPerDay[[#This Row],[Miles]]/EarningsPerDay[[#This Row],[Deliveries]]</f>
        <v>10.727272727272727</v>
      </c>
      <c r="Z593" s="81">
        <f>(EarningsPerDay[[#This Row],[Hours]]/EarningsPerDay[[#This Row],[Deliveries]])/24</f>
        <v>1.8825757575757576E-2</v>
      </c>
      <c r="AA5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5.7026033387943826</v>
      </c>
      <c r="AB593" s="11">
        <f>AVERAGEIFS(EarningsPerDay[Gross $/Hour],EarningsPerDay[Week '#], EarningsPerDay[[#This Row],[Week '#]], EarningsPerDay[DOW], EarningsPerDay[[#This Row],[DOW]])</f>
        <v>22.232296539277556</v>
      </c>
      <c r="AC593" s="11">
        <f>EarningsPerDay[[#This Row],[Gross $/Hour]] - EarningsPerDay[[#This Row],[Weekly Average Earnings]]</f>
        <v>5.6127738832576526</v>
      </c>
      <c r="AD593" s="11">
        <f>(SUMIFS(EarningsPerDay[Gross Earnings], EarningsPerDay[Date],"&gt;="&amp;EarningsPerDay[[#This Row],[Date]]-89, EarningsPerDay[Date], "&lt;="&amp;EarningsPerDay[[#This Row],[Date]]))/90</f>
        <v>80.850333333333353</v>
      </c>
    </row>
    <row r="594" spans="2:30" x14ac:dyDescent="0.35">
      <c r="B594" s="40">
        <v>45559</v>
      </c>
      <c r="C594" s="40">
        <f t="shared" si="55"/>
        <v>45559</v>
      </c>
      <c r="D594" s="4">
        <f>IF(EarningsPerDay[[#This Row],[Week '#]]&gt;=52,YEAR(EarningsPerDay[[#This Row],[Date]])-1,YEAR(EarningsPerDay[[#This Row],[Date]]))</f>
        <v>2024</v>
      </c>
      <c r="E594" s="4" t="str">
        <f>"QTR"&amp;IF(EarningsPerDay[[#This Row],[Week '#]] &lt;= 13, 1, IF(EarningsPerDay[[#This Row],[Week '#]] &lt;= 26, 2, IF(EarningsPerDay[[#This Row],[Week '#]] &lt;= 39, 3, 4)))</f>
        <v>QTR3</v>
      </c>
      <c r="F5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94" s="4">
        <f>IF(WEEKNUM(EarningsPerDay[[#This Row],[Date]], 2) = 53, 1, WEEKNUM(EarningsPerDay[[#This Row],[Date]],2))</f>
        <v>39</v>
      </c>
      <c r="H594" s="40" t="str">
        <f t="shared" si="66"/>
        <v>Tuesday</v>
      </c>
      <c r="I59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94" s="40" t="str" cm="1">
        <f t="array" ref="J594">IFERROR(VLOOKUP(MODE(IF(Combined[Date]=EarningsPerDay[[#This Row],[Date]],Combined[Area '#])),KPIs!$B$4:$C$7,2,FALSE),VLOOKUP(EarningsPerDay[[#This Row],[Date]],Combined[[Date]:[Primary Area]],8,FALSE))</f>
        <v>Brunswick/Bath/Freeport</v>
      </c>
      <c r="K594" s="40" t="str">
        <f>_xlfn.XLOOKUP(EarningsPerDay[[#This Row],[Date]],Mileage[Date],Mileage[Weather])</f>
        <v>Clear</v>
      </c>
      <c r="L594" s="4">
        <f>_xlfn.XLOOKUP(EarningsPerDay[[#This Row],[Date]],Mileage[Date],Mileage[Hi Temp])</f>
        <v>57</v>
      </c>
      <c r="M594" s="12">
        <f>_xlfn.XLOOKUP(EarningsPerDay[[#This Row],[Date]],Mileage[Date],Mileage[Total Time])</f>
        <v>3.98</v>
      </c>
      <c r="N594" s="4">
        <f>_xlfn.XLOOKUP(EarningsPerDay[[#This Row],[Date]],Mileage[Date],Mileage[Mileage])</f>
        <v>120</v>
      </c>
      <c r="O594" s="4">
        <f>SUMIF(Combined[Date],EarningsPerDay[[#This Row],[Date]],Combined[Trips])</f>
        <v>9</v>
      </c>
      <c r="P594">
        <f>COUNTIF(Combined[Date],EarningsPerDay[[#This Row],[Date]])</f>
        <v>2</v>
      </c>
      <c r="Q5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4" s="11">
        <f>SUMIF(Combined[Date],EarningsPerDay[[#This Row],[Date]],Combined[Earnings])</f>
        <v>120.03999999999999</v>
      </c>
      <c r="S594" s="11">
        <f ca="1">EarningsPerDay[[#This Row],[Gross Earnings]]-(EarningsPerDay[[#This Row],[Miles]]*CpM!$D$11)</f>
        <v>93.283228884605933</v>
      </c>
      <c r="T594" s="11">
        <f t="shared" si="61"/>
        <v>30.1608040201005</v>
      </c>
      <c r="U594" s="11">
        <f t="shared" ca="1" si="62"/>
        <v>23.437997207187422</v>
      </c>
      <c r="V594" s="11">
        <f>EarningsPerDay[[#This Row],[Gross Earnings]]/EarningsPerDay[[#This Row],[Deliveries]]</f>
        <v>13.337777777777777</v>
      </c>
      <c r="W594" s="11">
        <f>EarningsPerDay[[#This Row],[Gross Earnings]]/EarningsPerDay[[#This Row],[Miles]]</f>
        <v>1.0003333333333333</v>
      </c>
      <c r="X594" s="71">
        <f>EarningsPerDay[[#This Row],[Deliveries]]/EarningsPerDay[[#This Row],[Hours]]</f>
        <v>2.2613065326633164</v>
      </c>
      <c r="Y594" s="71">
        <f>EarningsPerDay[[#This Row],[Miles]]/EarningsPerDay[[#This Row],[Deliveries]]</f>
        <v>13.333333333333334</v>
      </c>
      <c r="Z594" s="81">
        <f>(EarningsPerDay[[#This Row],[Hours]]/EarningsPerDay[[#This Row],[Deliveries]])/24</f>
        <v>1.8425925925925925E-2</v>
      </c>
      <c r="AA5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8.1971171678254997</v>
      </c>
      <c r="AB594" s="11">
        <f>AVERAGEIFS(EarningsPerDay[Gross $/Hour],EarningsPerDay[Week '#], EarningsPerDay[[#This Row],[Week '#]], EarningsPerDay[DOW], EarningsPerDay[[#This Row],[DOW]])</f>
        <v>23.655376691383267</v>
      </c>
      <c r="AC594" s="11">
        <f>EarningsPerDay[[#This Row],[Gross $/Hour]] - EarningsPerDay[[#This Row],[Weekly Average Earnings]]</f>
        <v>6.5054273287172322</v>
      </c>
      <c r="AD594" s="11">
        <f>(SUMIFS(EarningsPerDay[Gross Earnings], EarningsPerDay[Date],"&gt;="&amp;EarningsPerDay[[#This Row],[Date]]-89, EarningsPerDay[Date], "&lt;="&amp;EarningsPerDay[[#This Row],[Date]]))/90</f>
        <v>82.184111111111122</v>
      </c>
    </row>
    <row r="595" spans="2:30" x14ac:dyDescent="0.35">
      <c r="B595" s="40">
        <v>45560</v>
      </c>
      <c r="C595" s="40">
        <f t="shared" si="55"/>
        <v>45560</v>
      </c>
      <c r="D595" s="4">
        <f>IF(EarningsPerDay[[#This Row],[Week '#]]&gt;=52,YEAR(EarningsPerDay[[#This Row],[Date]])-1,YEAR(EarningsPerDay[[#This Row],[Date]]))</f>
        <v>2024</v>
      </c>
      <c r="E595" s="4" t="str">
        <f>"QTR"&amp;IF(EarningsPerDay[[#This Row],[Week '#]] &lt;= 13, 1, IF(EarningsPerDay[[#This Row],[Week '#]] &lt;= 26, 2, IF(EarningsPerDay[[#This Row],[Week '#]] &lt;= 39, 3, 4)))</f>
        <v>QTR3</v>
      </c>
      <c r="F5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95" s="4">
        <f>IF(WEEKNUM(EarningsPerDay[[#This Row],[Date]], 2) = 53, 1, WEEKNUM(EarningsPerDay[[#This Row],[Date]],2))</f>
        <v>39</v>
      </c>
      <c r="H595" s="40" t="str">
        <f t="shared" si="66"/>
        <v>Wednesday</v>
      </c>
      <c r="I59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595" s="40" t="str" cm="1">
        <f t="array" ref="J595">IFERROR(VLOOKUP(MODE(IF(Combined[Date]=EarningsPerDay[[#This Row],[Date]],Combined[Area '#])),KPIs!$B$4:$C$7,2,FALSE),VLOOKUP(EarningsPerDay[[#This Row],[Date]],Combined[[Date]:[Primary Area]],8,FALSE))</f>
        <v>Brunswick/Bath/Freeport</v>
      </c>
      <c r="K595" s="40" t="str">
        <f>_xlfn.XLOOKUP(EarningsPerDay[[#This Row],[Date]],Mileage[Date],Mileage[Weather])</f>
        <v>Overcast</v>
      </c>
      <c r="L595" s="4">
        <f>_xlfn.XLOOKUP(EarningsPerDay[[#This Row],[Date]],Mileage[Date],Mileage[Hi Temp])</f>
        <v>57</v>
      </c>
      <c r="M595" s="12">
        <f>_xlfn.XLOOKUP(EarningsPerDay[[#This Row],[Date]],Mileage[Date],Mileage[Total Time])</f>
        <v>5.3</v>
      </c>
      <c r="N595" s="4">
        <f>_xlfn.XLOOKUP(EarningsPerDay[[#This Row],[Date]],Mileage[Date],Mileage[Mileage])</f>
        <v>104</v>
      </c>
      <c r="O595" s="4">
        <f>SUMIF(Combined[Date],EarningsPerDay[[#This Row],[Date]],Combined[Trips])</f>
        <v>13</v>
      </c>
      <c r="P595">
        <f>COUNTIF(Combined[Date],EarningsPerDay[[#This Row],[Date]])</f>
        <v>3</v>
      </c>
      <c r="Q59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5" s="11">
        <f>SUMIF(Combined[Date],EarningsPerDay[[#This Row],[Date]],Combined[Earnings])</f>
        <v>130.22</v>
      </c>
      <c r="S595" s="11">
        <f ca="1">EarningsPerDay[[#This Row],[Gross Earnings]]-(EarningsPerDay[[#This Row],[Miles]]*CpM!$D$11)</f>
        <v>107.03079836665847</v>
      </c>
      <c r="T595" s="11">
        <f t="shared" si="61"/>
        <v>24.569811320754717</v>
      </c>
      <c r="U595" s="11">
        <f t="shared" ca="1" si="62"/>
        <v>20.194490257860089</v>
      </c>
      <c r="V595" s="11">
        <f>EarningsPerDay[[#This Row],[Gross Earnings]]/EarningsPerDay[[#This Row],[Deliveries]]</f>
        <v>10.016923076923076</v>
      </c>
      <c r="W595" s="11">
        <f>EarningsPerDay[[#This Row],[Gross Earnings]]/EarningsPerDay[[#This Row],[Miles]]</f>
        <v>1.2521153846153845</v>
      </c>
      <c r="X595" s="71">
        <f>EarningsPerDay[[#This Row],[Deliveries]]/EarningsPerDay[[#This Row],[Hours]]</f>
        <v>2.4528301886792452</v>
      </c>
      <c r="Y595" s="71">
        <f>EarningsPerDay[[#This Row],[Miles]]/EarningsPerDay[[#This Row],[Deliveries]]</f>
        <v>8</v>
      </c>
      <c r="Z595" s="81">
        <f>(EarningsPerDay[[#This Row],[Hours]]/EarningsPerDay[[#This Row],[Deliveries]])/24</f>
        <v>1.6987179487179486E-2</v>
      </c>
      <c r="AA5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2.3719877390083255</v>
      </c>
      <c r="AB595" s="11">
        <f>AVERAGEIFS(EarningsPerDay[Gross $/Hour],EarningsPerDay[Week '#], EarningsPerDay[[#This Row],[Week '#]], EarningsPerDay[DOW], EarningsPerDay[[#This Row],[DOW]])</f>
        <v>19.08452701313605</v>
      </c>
      <c r="AC595" s="11">
        <f>EarningsPerDay[[#This Row],[Gross $/Hour]] - EarningsPerDay[[#This Row],[Weekly Average Earnings]]</f>
        <v>5.4852843076186666</v>
      </c>
      <c r="AD595" s="11">
        <f>(SUMIFS(EarningsPerDay[Gross Earnings], EarningsPerDay[Date],"&gt;="&amp;EarningsPerDay[[#This Row],[Date]]-89, EarningsPerDay[Date], "&lt;="&amp;EarningsPerDay[[#This Row],[Date]]))/90</f>
        <v>83.631000000000014</v>
      </c>
    </row>
    <row r="596" spans="2:30" x14ac:dyDescent="0.35">
      <c r="B596" s="40">
        <v>45562</v>
      </c>
      <c r="C596" s="40">
        <f t="shared" si="55"/>
        <v>45562</v>
      </c>
      <c r="D596" s="4">
        <f>IF(EarningsPerDay[[#This Row],[Week '#]]&gt;=52,YEAR(EarningsPerDay[[#This Row],[Date]])-1,YEAR(EarningsPerDay[[#This Row],[Date]]))</f>
        <v>2024</v>
      </c>
      <c r="E596" s="4" t="str">
        <f>"QTR"&amp;IF(EarningsPerDay[[#This Row],[Week '#]] &lt;= 13, 1, IF(EarningsPerDay[[#This Row],[Week '#]] &lt;= 26, 2, IF(EarningsPerDay[[#This Row],[Week '#]] &lt;= 39, 3, 4)))</f>
        <v>QTR3</v>
      </c>
      <c r="F5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596" s="4">
        <f>IF(WEEKNUM(EarningsPerDay[[#This Row],[Date]], 2) = 53, 1, WEEKNUM(EarningsPerDay[[#This Row],[Date]],2))</f>
        <v>39</v>
      </c>
      <c r="H596" s="40" t="str">
        <f t="shared" si="66"/>
        <v>Friday</v>
      </c>
      <c r="I59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96" s="40" t="str" cm="1">
        <f t="array" ref="J596">IFERROR(VLOOKUP(MODE(IF(Combined[Date]=EarningsPerDay[[#This Row],[Date]],Combined[Area '#])),KPIs!$B$4:$C$7,2,FALSE),VLOOKUP(EarningsPerDay[[#This Row],[Date]],Combined[[Date]:[Primary Area]],8,FALSE))</f>
        <v>Portland</v>
      </c>
      <c r="K596" s="40" t="str">
        <f>_xlfn.XLOOKUP(EarningsPerDay[[#This Row],[Date]],Mileage[Date],Mileage[Weather])</f>
        <v>Clear</v>
      </c>
      <c r="L596" s="4">
        <f>_xlfn.XLOOKUP(EarningsPerDay[[#This Row],[Date]],Mileage[Date],Mileage[Hi Temp])</f>
        <v>64</v>
      </c>
      <c r="M596" s="12">
        <f>_xlfn.XLOOKUP(EarningsPerDay[[#This Row],[Date]],Mileage[Date],Mileage[Total Time])</f>
        <v>8.18</v>
      </c>
      <c r="N596" s="4">
        <f>_xlfn.XLOOKUP(EarningsPerDay[[#This Row],[Date]],Mileage[Date],Mileage[Mileage])</f>
        <v>166</v>
      </c>
      <c r="O596" s="4">
        <f>SUMIF(Combined[Date],EarningsPerDay[[#This Row],[Date]],Combined[Trips])</f>
        <v>23</v>
      </c>
      <c r="P596">
        <f>COUNTIF(Combined[Date],EarningsPerDay[[#This Row],[Date]])</f>
        <v>3</v>
      </c>
      <c r="Q5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6" s="11">
        <f>SUMIF(Combined[Date],EarningsPerDay[[#This Row],[Date]],Combined[Earnings])</f>
        <v>237.01999999999998</v>
      </c>
      <c r="S596" s="11">
        <f ca="1">EarningsPerDay[[#This Row],[Gross Earnings]]-(EarningsPerDay[[#This Row],[Miles]]*CpM!$D$11)</f>
        <v>200.00646662370485</v>
      </c>
      <c r="T596" s="11">
        <f t="shared" si="61"/>
        <v>28.975550122249388</v>
      </c>
      <c r="U596" s="11">
        <f t="shared" ca="1" si="62"/>
        <v>24.450668291406462</v>
      </c>
      <c r="V596" s="11">
        <f>EarningsPerDay[[#This Row],[Gross Earnings]]/EarningsPerDay[[#This Row],[Deliveries]]</f>
        <v>10.305217391304348</v>
      </c>
      <c r="W596" s="11">
        <f>EarningsPerDay[[#This Row],[Gross Earnings]]/EarningsPerDay[[#This Row],[Miles]]</f>
        <v>1.4278313253012047</v>
      </c>
      <c r="X596" s="71">
        <f>EarningsPerDay[[#This Row],[Deliveries]]/EarningsPerDay[[#This Row],[Hours]]</f>
        <v>2.8117359413202934</v>
      </c>
      <c r="Y596" s="71">
        <f>EarningsPerDay[[#This Row],[Miles]]/EarningsPerDay[[#This Row],[Deliveries]]</f>
        <v>7.2173913043478262</v>
      </c>
      <c r="Z596" s="81">
        <f>(EarningsPerDay[[#This Row],[Hours]]/EarningsPerDay[[#This Row],[Deliveries]])/24</f>
        <v>1.4818840579710146E-2</v>
      </c>
      <c r="AA5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6.5578162369341158</v>
      </c>
      <c r="AB596" s="11">
        <f>AVERAGEIFS(EarningsPerDay[Gross $/Hour],EarningsPerDay[Week '#], EarningsPerDay[[#This Row],[Week '#]], EarningsPerDay[DOW], EarningsPerDay[[#This Row],[DOW]])</f>
        <v>26.595370713059737</v>
      </c>
      <c r="AC596" s="11">
        <f>EarningsPerDay[[#This Row],[Gross $/Hour]] - EarningsPerDay[[#This Row],[Weekly Average Earnings]]</f>
        <v>2.3801794091896511</v>
      </c>
      <c r="AD596" s="11">
        <f>(SUMIFS(EarningsPerDay[Gross Earnings], EarningsPerDay[Date],"&gt;="&amp;EarningsPerDay[[#This Row],[Date]]-89, EarningsPerDay[Date], "&lt;="&amp;EarningsPerDay[[#This Row],[Date]]))/90</f>
        <v>86.264555555555575</v>
      </c>
    </row>
    <row r="597" spans="2:30" x14ac:dyDescent="0.35">
      <c r="B597" s="40">
        <v>45565</v>
      </c>
      <c r="C597" s="40">
        <f t="shared" si="55"/>
        <v>45565</v>
      </c>
      <c r="D597" s="4">
        <f>IF(EarningsPerDay[[#This Row],[Week '#]]&gt;=52,YEAR(EarningsPerDay[[#This Row],[Date]])-1,YEAR(EarningsPerDay[[#This Row],[Date]]))</f>
        <v>2024</v>
      </c>
      <c r="E597" s="4" t="str">
        <f>"QTR"&amp;IF(EarningsPerDay[[#This Row],[Week '#]] &lt;= 13, 1, IF(EarningsPerDay[[#This Row],[Week '#]] &lt;= 26, 2, IF(EarningsPerDay[[#This Row],[Week '#]] &lt;= 39, 3, 4)))</f>
        <v>QTR4</v>
      </c>
      <c r="F5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97" s="4">
        <f>IF(WEEKNUM(EarningsPerDay[[#This Row],[Date]], 2) = 53, 1, WEEKNUM(EarningsPerDay[[#This Row],[Date]],2))</f>
        <v>40</v>
      </c>
      <c r="H597" s="40" t="str">
        <f t="shared" ref="H597:H599" si="67">TEXT(B597,"DDDD")</f>
        <v>Monday</v>
      </c>
      <c r="I59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97" s="40" t="str" cm="1">
        <f t="array" ref="J597">IFERROR(VLOOKUP(MODE(IF(Combined[Date]=EarningsPerDay[[#This Row],[Date]],Combined[Area '#])),KPIs!$B$4:$C$7,2,FALSE),VLOOKUP(EarningsPerDay[[#This Row],[Date]],Combined[[Date]:[Primary Area]],8,FALSE))</f>
        <v>Portland</v>
      </c>
      <c r="K597" s="40" t="str">
        <f>_xlfn.XLOOKUP(EarningsPerDay[[#This Row],[Date]],Mileage[Date],Mileage[Weather])</f>
        <v>Partially Cloudy</v>
      </c>
      <c r="L597" s="4">
        <f>_xlfn.XLOOKUP(EarningsPerDay[[#This Row],[Date]],Mileage[Date],Mileage[Hi Temp])</f>
        <v>61</v>
      </c>
      <c r="M597" s="12">
        <f>_xlfn.XLOOKUP(EarningsPerDay[[#This Row],[Date]],Mileage[Date],Mileage[Total Time])</f>
        <v>5.32</v>
      </c>
      <c r="N597" s="4">
        <f>_xlfn.XLOOKUP(EarningsPerDay[[#This Row],[Date]],Mileage[Date],Mileage[Mileage])</f>
        <v>101</v>
      </c>
      <c r="O597" s="4">
        <f>SUMIF(Combined[Date],EarningsPerDay[[#This Row],[Date]],Combined[Trips])</f>
        <v>12</v>
      </c>
      <c r="P597">
        <f>COUNTIF(Combined[Date],EarningsPerDay[[#This Row],[Date]])</f>
        <v>2</v>
      </c>
      <c r="Q5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7" s="11">
        <f>SUMIF(Combined[Date],EarningsPerDay[[#This Row],[Date]],Combined[Earnings])</f>
        <v>98.1</v>
      </c>
      <c r="S597" s="11">
        <f ca="1">EarningsPerDay[[#This Row],[Gross Earnings]]-(EarningsPerDay[[#This Row],[Miles]]*CpM!$D$11)</f>
        <v>75.579717644543337</v>
      </c>
      <c r="T597" s="11">
        <f t="shared" si="61"/>
        <v>18.439849624060148</v>
      </c>
      <c r="U597" s="11">
        <f t="shared" ca="1" si="62"/>
        <v>14.206713842959273</v>
      </c>
      <c r="V597" s="11">
        <f>EarningsPerDay[[#This Row],[Gross Earnings]]/EarningsPerDay[[#This Row],[Deliveries]]</f>
        <v>8.1749999999999989</v>
      </c>
      <c r="W597" s="11">
        <f>EarningsPerDay[[#This Row],[Gross Earnings]]/EarningsPerDay[[#This Row],[Miles]]</f>
        <v>0.97128712871287126</v>
      </c>
      <c r="X597" s="71">
        <f>EarningsPerDay[[#This Row],[Deliveries]]/EarningsPerDay[[#This Row],[Hours]]</f>
        <v>2.255639097744361</v>
      </c>
      <c r="Y597" s="71">
        <f>EarningsPerDay[[#This Row],[Miles]]/EarningsPerDay[[#This Row],[Deliveries]]</f>
        <v>8.4166666666666661</v>
      </c>
      <c r="Z597" s="81">
        <f>(EarningsPerDay[[#This Row],[Hours]]/EarningsPerDay[[#This Row],[Deliveries]])/24</f>
        <v>1.8472222222222223E-2</v>
      </c>
      <c r="AA5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2.2688936456744813</v>
      </c>
      <c r="AB597" s="11">
        <f>AVERAGEIFS(EarningsPerDay[Gross $/Hour],EarningsPerDay[Week '#], EarningsPerDay[[#This Row],[Week '#]], EarningsPerDay[DOW], EarningsPerDay[[#This Row],[DOW]])</f>
        <v>24.06211505700087</v>
      </c>
      <c r="AC597" s="11">
        <f>EarningsPerDay[[#This Row],[Gross $/Hour]] - EarningsPerDay[[#This Row],[Weekly Average Earnings]]</f>
        <v>-5.622265432940722</v>
      </c>
      <c r="AD597" s="11">
        <f>(SUMIFS(EarningsPerDay[Gross Earnings], EarningsPerDay[Date],"&gt;="&amp;EarningsPerDay[[#This Row],[Date]]-89, EarningsPerDay[Date], "&lt;="&amp;EarningsPerDay[[#This Row],[Date]]))/90</f>
        <v>84.351888888888894</v>
      </c>
    </row>
    <row r="598" spans="2:30" x14ac:dyDescent="0.35">
      <c r="B598" s="40">
        <v>45566</v>
      </c>
      <c r="C598" s="40">
        <f t="shared" si="55"/>
        <v>45566</v>
      </c>
      <c r="D598" s="4">
        <f>IF(EarningsPerDay[[#This Row],[Week '#]]&gt;=52,YEAR(EarningsPerDay[[#This Row],[Date]])-1,YEAR(EarningsPerDay[[#This Row],[Date]]))</f>
        <v>2024</v>
      </c>
      <c r="E598" s="4" t="str">
        <f>"QTR"&amp;IF(EarningsPerDay[[#This Row],[Week '#]] &lt;= 13, 1, IF(EarningsPerDay[[#This Row],[Week '#]] &lt;= 26, 2, IF(EarningsPerDay[[#This Row],[Week '#]] &lt;= 39, 3, 4)))</f>
        <v>QTR4</v>
      </c>
      <c r="F5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98" s="4">
        <f>IF(WEEKNUM(EarningsPerDay[[#This Row],[Date]], 2) = 53, 1, WEEKNUM(EarningsPerDay[[#This Row],[Date]],2))</f>
        <v>40</v>
      </c>
      <c r="H598" s="40" t="str">
        <f t="shared" si="67"/>
        <v>Tuesday</v>
      </c>
      <c r="I59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598" s="40" t="str" cm="1">
        <f t="array" ref="J598">IFERROR(VLOOKUP(MODE(IF(Combined[Date]=EarningsPerDay[[#This Row],[Date]],Combined[Area '#])),KPIs!$B$4:$C$7,2,FALSE),VLOOKUP(EarningsPerDay[[#This Row],[Date]],Combined[[Date]:[Primary Area]],8,FALSE))</f>
        <v>Augusta</v>
      </c>
      <c r="K598" s="40" t="str">
        <f>_xlfn.XLOOKUP(EarningsPerDay[[#This Row],[Date]],Mileage[Date],Mileage[Weather])</f>
        <v>Clear</v>
      </c>
      <c r="L598" s="4">
        <f>_xlfn.XLOOKUP(EarningsPerDay[[#This Row],[Date]],Mileage[Date],Mileage[Hi Temp])</f>
        <v>54</v>
      </c>
      <c r="M598" s="12">
        <f>_xlfn.XLOOKUP(EarningsPerDay[[#This Row],[Date]],Mileage[Date],Mileage[Total Time])</f>
        <v>4.55</v>
      </c>
      <c r="N598" s="4">
        <f>_xlfn.XLOOKUP(EarningsPerDay[[#This Row],[Date]],Mileage[Date],Mileage[Mileage])</f>
        <v>101</v>
      </c>
      <c r="O598" s="4">
        <f>SUMIF(Combined[Date],EarningsPerDay[[#This Row],[Date]],Combined[Trips])</f>
        <v>6</v>
      </c>
      <c r="P598">
        <f>COUNTIF(Combined[Date],EarningsPerDay[[#This Row],[Date]])</f>
        <v>3</v>
      </c>
      <c r="Q5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8" s="11">
        <f>SUMIF(Combined[Date],EarningsPerDay[[#This Row],[Date]],Combined[Earnings])</f>
        <v>58.59</v>
      </c>
      <c r="S598" s="11">
        <f ca="1">EarningsPerDay[[#This Row],[Gross Earnings]]-(EarningsPerDay[[#This Row],[Miles]]*CpM!$D$11)</f>
        <v>36.069717644543339</v>
      </c>
      <c r="T598" s="11">
        <f t="shared" si="61"/>
        <v>12.876923076923077</v>
      </c>
      <c r="U598" s="11">
        <f t="shared" ca="1" si="62"/>
        <v>7.9274104713282068</v>
      </c>
      <c r="V598" s="11">
        <f>EarningsPerDay[[#This Row],[Gross Earnings]]/EarningsPerDay[[#This Row],[Deliveries]]</f>
        <v>9.7650000000000006</v>
      </c>
      <c r="W598" s="11">
        <f>EarningsPerDay[[#This Row],[Gross Earnings]]/EarningsPerDay[[#This Row],[Miles]]</f>
        <v>0.58009900990099017</v>
      </c>
      <c r="X598" s="71">
        <f>EarningsPerDay[[#This Row],[Deliveries]]/EarningsPerDay[[#This Row],[Hours]]</f>
        <v>1.3186813186813187</v>
      </c>
      <c r="Y598" s="71">
        <f>EarningsPerDay[[#This Row],[Miles]]/EarningsPerDay[[#This Row],[Deliveries]]</f>
        <v>16.833333333333332</v>
      </c>
      <c r="Z598" s="81">
        <f>(EarningsPerDay[[#This Row],[Hours]]/EarningsPerDay[[#This Row],[Deliveries]])/24</f>
        <v>3.1597222222222221E-2</v>
      </c>
      <c r="AA598" s="8" t="str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/>
      </c>
      <c r="AB598" s="11">
        <f>AVERAGEIFS(EarningsPerDay[Gross $/Hour],EarningsPerDay[Week '#], EarningsPerDay[[#This Row],[Week '#]], EarningsPerDay[DOW], EarningsPerDay[[#This Row],[DOW]])</f>
        <v>21.837681604110177</v>
      </c>
      <c r="AC598" s="11">
        <f>EarningsPerDay[[#This Row],[Gross $/Hour]] - EarningsPerDay[[#This Row],[Weekly Average Earnings]]</f>
        <v>-8.9607585271870995</v>
      </c>
      <c r="AD598" s="11">
        <f>(SUMIFS(EarningsPerDay[Gross Earnings], EarningsPerDay[Date],"&gt;="&amp;EarningsPerDay[[#This Row],[Date]]-89, EarningsPerDay[Date], "&lt;="&amp;EarningsPerDay[[#This Row],[Date]]))/90</f>
        <v>83.549666666666681</v>
      </c>
    </row>
    <row r="599" spans="2:30" x14ac:dyDescent="0.35">
      <c r="B599" s="40">
        <v>45570</v>
      </c>
      <c r="C599" s="40">
        <f t="shared" si="55"/>
        <v>45570</v>
      </c>
      <c r="D599" s="4">
        <f>IF(EarningsPerDay[[#This Row],[Week '#]]&gt;=52,YEAR(EarningsPerDay[[#This Row],[Date]])-1,YEAR(EarningsPerDay[[#This Row],[Date]]))</f>
        <v>2024</v>
      </c>
      <c r="E599" s="4" t="str">
        <f>"QTR"&amp;IF(EarningsPerDay[[#This Row],[Week '#]] &lt;= 13, 1, IF(EarningsPerDay[[#This Row],[Week '#]] &lt;= 26, 2, IF(EarningsPerDay[[#This Row],[Week '#]] &lt;= 39, 3, 4)))</f>
        <v>QTR4</v>
      </c>
      <c r="F5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599" s="4">
        <f>IF(WEEKNUM(EarningsPerDay[[#This Row],[Date]], 2) = 53, 1, WEEKNUM(EarningsPerDay[[#This Row],[Date]],2))</f>
        <v>40</v>
      </c>
      <c r="H599" s="40" t="str">
        <f t="shared" si="67"/>
        <v>Saturday</v>
      </c>
      <c r="I59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599" s="40" t="str" cm="1">
        <f t="array" ref="J599">IFERROR(VLOOKUP(MODE(IF(Combined[Date]=EarningsPerDay[[#This Row],[Date]],Combined[Area '#])),KPIs!$B$4:$C$7,2,FALSE),VLOOKUP(EarningsPerDay[[#This Row],[Date]],Combined[[Date]:[Primary Area]],8,FALSE))</f>
        <v>Portland</v>
      </c>
      <c r="K599" s="40" t="str">
        <f>_xlfn.XLOOKUP(EarningsPerDay[[#This Row],[Date]],Mileage[Date],Mileage[Weather])</f>
        <v>Mostly Cloudy</v>
      </c>
      <c r="L599" s="4">
        <f>_xlfn.XLOOKUP(EarningsPerDay[[#This Row],[Date]],Mileage[Date],Mileage[Hi Temp])</f>
        <v>53</v>
      </c>
      <c r="M599" s="12">
        <f>_xlfn.XLOOKUP(EarningsPerDay[[#This Row],[Date]],Mileage[Date],Mileage[Total Time])</f>
        <v>6.75</v>
      </c>
      <c r="N599" s="4">
        <f>_xlfn.XLOOKUP(EarningsPerDay[[#This Row],[Date]],Mileage[Date],Mileage[Mileage])</f>
        <v>173</v>
      </c>
      <c r="O599" s="4">
        <f>SUMIF(Combined[Date],EarningsPerDay[[#This Row],[Date]],Combined[Trips])</f>
        <v>15</v>
      </c>
      <c r="P599">
        <f>COUNTIF(Combined[Date],EarningsPerDay[[#This Row],[Date]])</f>
        <v>3</v>
      </c>
      <c r="Q59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599" s="11">
        <f>SUMIF(Combined[Date],EarningsPerDay[[#This Row],[Date]],Combined[Earnings])</f>
        <v>144.54</v>
      </c>
      <c r="S599" s="11">
        <f ca="1">EarningsPerDay[[#This Row],[Gross Earnings]]-(EarningsPerDay[[#This Row],[Miles]]*CpM!$D$11)</f>
        <v>105.96565497530689</v>
      </c>
      <c r="T599" s="11">
        <f t="shared" si="61"/>
        <v>21.41333333333333</v>
      </c>
      <c r="U599" s="11">
        <f t="shared" ca="1" si="62"/>
        <v>15.698615551897317</v>
      </c>
      <c r="V599" s="11">
        <f>EarningsPerDay[[#This Row],[Gross Earnings]]/EarningsPerDay[[#This Row],[Deliveries]]</f>
        <v>9.6359999999999992</v>
      </c>
      <c r="W599" s="11">
        <f>EarningsPerDay[[#This Row],[Gross Earnings]]/EarningsPerDay[[#This Row],[Miles]]</f>
        <v>0.83549132947976879</v>
      </c>
      <c r="X599" s="71">
        <f>EarningsPerDay[[#This Row],[Deliveries]]/EarningsPerDay[[#This Row],[Hours]]</f>
        <v>2.2222222222222223</v>
      </c>
      <c r="Y599" s="71">
        <f>EarningsPerDay[[#This Row],[Miles]]/EarningsPerDay[[#This Row],[Deliveries]]</f>
        <v>11.533333333333333</v>
      </c>
      <c r="Z599" s="81">
        <f>(EarningsPerDay[[#This Row],[Hours]]/EarningsPerDay[[#This Row],[Deliveries]])/24</f>
        <v>1.8749999999999999E-2</v>
      </c>
      <c r="AA5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-1.250624632333281</v>
      </c>
      <c r="AB599" s="11">
        <f>AVERAGEIFS(EarningsPerDay[Gross $/Hour],EarningsPerDay[Week '#], EarningsPerDay[[#This Row],[Week '#]], EarningsPerDay[DOW], EarningsPerDay[[#This Row],[DOW]])</f>
        <v>19.21857142857143</v>
      </c>
      <c r="AC599" s="11">
        <f>EarningsPerDay[[#This Row],[Gross $/Hour]] - EarningsPerDay[[#This Row],[Weekly Average Earnings]]</f>
        <v>2.1947619047619007</v>
      </c>
      <c r="AD599" s="11">
        <f>(SUMIFS(EarningsPerDay[Gross Earnings], EarningsPerDay[Date],"&gt;="&amp;EarningsPerDay[[#This Row],[Date]]-89, EarningsPerDay[Date], "&lt;="&amp;EarningsPerDay[[#This Row],[Date]]))/90</f>
        <v>83.312000000000012</v>
      </c>
    </row>
    <row r="600" spans="2:30" x14ac:dyDescent="0.35">
      <c r="B600" s="40">
        <v>45571</v>
      </c>
      <c r="C600" s="40">
        <f t="shared" si="55"/>
        <v>45571</v>
      </c>
      <c r="D600" s="4">
        <f>IF(EarningsPerDay[[#This Row],[Week '#]]&gt;=52,YEAR(EarningsPerDay[[#This Row],[Date]])-1,YEAR(EarningsPerDay[[#This Row],[Date]]))</f>
        <v>2024</v>
      </c>
      <c r="E600" s="4" t="str">
        <f>"QTR"&amp;IF(EarningsPerDay[[#This Row],[Week '#]] &lt;= 13, 1, IF(EarningsPerDay[[#This Row],[Week '#]] &lt;= 26, 2, IF(EarningsPerDay[[#This Row],[Week '#]] &lt;= 39, 3, 4)))</f>
        <v>QTR4</v>
      </c>
      <c r="F6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00" s="4">
        <f>IF(WEEKNUM(EarningsPerDay[[#This Row],[Date]], 2) = 53, 1, WEEKNUM(EarningsPerDay[[#This Row],[Date]],2))</f>
        <v>40</v>
      </c>
      <c r="H600" s="40" t="str">
        <f>TEXT(B600,"DDDD")</f>
        <v>Sunday</v>
      </c>
      <c r="I600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600" s="40" t="str" cm="1">
        <f t="array" ref="J600">IFERROR(VLOOKUP(MODE(IF(Combined[Date]=EarningsPerDay[[#This Row],[Date]],Combined[Area '#])),KPIs!$B$4:$C$7,2,FALSE),VLOOKUP(EarningsPerDay[[#This Row],[Date]],Combined[[Date]:[Primary Area]],8,FALSE))</f>
        <v>Brunswick/Bath/Freeport</v>
      </c>
      <c r="K600" s="40" t="str">
        <f>_xlfn.XLOOKUP(EarningsPerDay[[#This Row],[Date]],Mileage[Date],Mileage[Weather])</f>
        <v>Overcast</v>
      </c>
      <c r="L600" s="4">
        <f>_xlfn.XLOOKUP(EarningsPerDay[[#This Row],[Date]],Mileage[Date],Mileage[Hi Temp])</f>
        <v>61</v>
      </c>
      <c r="M600" s="12">
        <f>_xlfn.XLOOKUP(EarningsPerDay[[#This Row],[Date]],Mileage[Date],Mileage[Total Time])</f>
        <v>5.9</v>
      </c>
      <c r="N600" s="4">
        <f>_xlfn.XLOOKUP(EarningsPerDay[[#This Row],[Date]],Mileage[Date],Mileage[Mileage])</f>
        <v>138</v>
      </c>
      <c r="O600" s="4">
        <f>SUMIF(Combined[Date],EarningsPerDay[[#This Row],[Date]],Combined[Trips])</f>
        <v>10</v>
      </c>
      <c r="P600">
        <f>COUNTIF(Combined[Date],EarningsPerDay[[#This Row],[Date]])</f>
        <v>3</v>
      </c>
      <c r="Q6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0" s="11">
        <f>SUMIF(Combined[Date],EarningsPerDay[[#This Row],[Date]],Combined[Earnings])</f>
        <v>149.30000000000001</v>
      </c>
      <c r="S600" s="11">
        <f ca="1">EarningsPerDay[[#This Row],[Gross Earnings]]-(EarningsPerDay[[#This Row],[Miles]]*CpM!$D$11)</f>
        <v>118.52971321729684</v>
      </c>
      <c r="T600" s="11">
        <f t="shared" si="61"/>
        <v>25.305084745762713</v>
      </c>
      <c r="U600" s="11">
        <f t="shared" ca="1" si="62"/>
        <v>20.089781901236751</v>
      </c>
      <c r="V600" s="11">
        <f>EarningsPerDay[[#This Row],[Gross Earnings]]/EarningsPerDay[[#This Row],[Deliveries]]</f>
        <v>14.930000000000001</v>
      </c>
      <c r="W600" s="11">
        <f>EarningsPerDay[[#This Row],[Gross Earnings]]/EarningsPerDay[[#This Row],[Miles]]</f>
        <v>1.0818840579710145</v>
      </c>
      <c r="X600" s="71">
        <f>EarningsPerDay[[#This Row],[Deliveries]]/EarningsPerDay[[#This Row],[Hours]]</f>
        <v>1.6949152542372881</v>
      </c>
      <c r="Y600" s="71">
        <f>EarningsPerDay[[#This Row],[Miles]]/EarningsPerDay[[#This Row],[Deliveries]]</f>
        <v>13.8</v>
      </c>
      <c r="Z600" s="81">
        <f>(EarningsPerDay[[#This Row],[Hours]]/EarningsPerDay[[#This Row],[Deliveries]])/24</f>
        <v>2.4583333333333336E-2</v>
      </c>
      <c r="AA6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2.875335819349484</v>
      </c>
      <c r="AB600" s="11">
        <f>AVERAGEIFS(EarningsPerDay[Gross $/Hour],EarningsPerDay[Week '#], EarningsPerDay[[#This Row],[Week '#]], EarningsPerDay[DOW], EarningsPerDay[[#This Row],[DOW]])</f>
        <v>22.944492803640362</v>
      </c>
      <c r="AC600" s="11">
        <f>EarningsPerDay[[#This Row],[Gross $/Hour]] - EarningsPerDay[[#This Row],[Weekly Average Earnings]]</f>
        <v>2.3605919421223511</v>
      </c>
      <c r="AD600" s="11">
        <f>(SUMIFS(EarningsPerDay[Gross Earnings], EarningsPerDay[Date],"&gt;="&amp;EarningsPerDay[[#This Row],[Date]]-89, EarningsPerDay[Date], "&lt;="&amp;EarningsPerDay[[#This Row],[Date]]))/90</f>
        <v>84.970888888888894</v>
      </c>
    </row>
    <row r="601" spans="2:30" x14ac:dyDescent="0.35">
      <c r="B601" s="40">
        <v>45572</v>
      </c>
      <c r="C601" s="40">
        <f t="shared" si="55"/>
        <v>45572</v>
      </c>
      <c r="D601" s="4">
        <f>IF(EarningsPerDay[[#This Row],[Week '#]]&gt;=52,YEAR(EarningsPerDay[[#This Row],[Date]])-1,YEAR(EarningsPerDay[[#This Row],[Date]]))</f>
        <v>2024</v>
      </c>
      <c r="E601" s="4" t="str">
        <f>"QTR"&amp;IF(EarningsPerDay[[#This Row],[Week '#]] &lt;= 13, 1, IF(EarningsPerDay[[#This Row],[Week '#]] &lt;= 26, 2, IF(EarningsPerDay[[#This Row],[Week '#]] &lt;= 39, 3, 4)))</f>
        <v>QTR4</v>
      </c>
      <c r="F6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01" s="4">
        <f>IF(WEEKNUM(EarningsPerDay[[#This Row],[Date]], 2) = 53, 1, WEEKNUM(EarningsPerDay[[#This Row],[Date]],2))</f>
        <v>41</v>
      </c>
      <c r="H601" s="40" t="str">
        <f t="shared" ref="H601:H603" si="68">TEXT(B601,"DDDD")</f>
        <v>Monday</v>
      </c>
      <c r="I60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01" s="40" t="str" cm="1">
        <f t="array" ref="J601">IFERROR(VLOOKUP(MODE(IF(Combined[Date]=EarningsPerDay[[#This Row],[Date]],Combined[Area '#])),KPIs!$B$4:$C$7,2,FALSE),VLOOKUP(EarningsPerDay[[#This Row],[Date]],Combined[[Date]:[Primary Area]],8,FALSE))</f>
        <v>Brunswick/Bath/Freeport</v>
      </c>
      <c r="K601" s="40" t="str">
        <f>_xlfn.XLOOKUP(EarningsPerDay[[#This Row],[Date]],Mileage[Date],Mileage[Weather])</f>
        <v>Fog</v>
      </c>
      <c r="L601" s="4">
        <f>_xlfn.XLOOKUP(EarningsPerDay[[#This Row],[Date]],Mileage[Date],Mileage[Hi Temp])</f>
        <v>54</v>
      </c>
      <c r="M601" s="12">
        <f>_xlfn.XLOOKUP(EarningsPerDay[[#This Row],[Date]],Mileage[Date],Mileage[Total Time])</f>
        <v>6.13</v>
      </c>
      <c r="N601" s="4">
        <f>_xlfn.XLOOKUP(EarningsPerDay[[#This Row],[Date]],Mileage[Date],Mileage[Mileage])</f>
        <v>138</v>
      </c>
      <c r="O601" s="4">
        <f>SUMIF(Combined[Date],EarningsPerDay[[#This Row],[Date]],Combined[Trips])</f>
        <v>14</v>
      </c>
      <c r="P601">
        <f>COUNTIF(Combined[Date],EarningsPerDay[[#This Row],[Date]])</f>
        <v>3</v>
      </c>
      <c r="Q6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1" s="11">
        <f>SUMIF(Combined[Date],EarningsPerDay[[#This Row],[Date]],Combined[Earnings])</f>
        <v>159.58000000000001</v>
      </c>
      <c r="S601" s="11">
        <f ca="1">EarningsPerDay[[#This Row],[Gross Earnings]]-(EarningsPerDay[[#This Row],[Miles]]*CpM!$D$11)</f>
        <v>128.80971321729686</v>
      </c>
      <c r="T601" s="11">
        <f t="shared" si="61"/>
        <v>26.0326264274062</v>
      </c>
      <c r="U601" s="11">
        <f t="shared" ca="1" si="62"/>
        <v>21.013003787487254</v>
      </c>
      <c r="V601" s="11">
        <f>EarningsPerDay[[#This Row],[Gross Earnings]]/EarningsPerDay[[#This Row],[Deliveries]]</f>
        <v>11.398571428571429</v>
      </c>
      <c r="W601" s="11">
        <f>EarningsPerDay[[#This Row],[Gross Earnings]]/EarningsPerDay[[#This Row],[Miles]]</f>
        <v>1.156376811594203</v>
      </c>
      <c r="X601" s="71">
        <f>EarningsPerDay[[#This Row],[Deliveries]]/EarningsPerDay[[#This Row],[Hours]]</f>
        <v>2.2838499184339316</v>
      </c>
      <c r="Y601" s="71">
        <f>EarningsPerDay[[#This Row],[Miles]]/EarningsPerDay[[#This Row],[Deliveries]]</f>
        <v>9.8571428571428577</v>
      </c>
      <c r="Z601" s="81">
        <f>(EarningsPerDay[[#This Row],[Hours]]/EarningsPerDay[[#This Row],[Deliveries]])/24</f>
        <v>1.8244047619047618E-2</v>
      </c>
      <c r="AA6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1.1273340430175551</v>
      </c>
      <c r="AB601" s="11">
        <f>AVERAGEIFS(EarningsPerDay[Gross $/Hour],EarningsPerDay[Week '#], EarningsPerDay[[#This Row],[Week '#]], EarningsPerDay[DOW], EarningsPerDay[[#This Row],[DOW]])</f>
        <v>25.660106415887583</v>
      </c>
      <c r="AC601" s="11">
        <f>EarningsPerDay[[#This Row],[Gross $/Hour]] - EarningsPerDay[[#This Row],[Weekly Average Earnings]]</f>
        <v>0.37252001151861691</v>
      </c>
      <c r="AD601" s="11">
        <f>(SUMIFS(EarningsPerDay[Gross Earnings], EarningsPerDay[Date],"&gt;="&amp;EarningsPerDay[[#This Row],[Date]]-89, EarningsPerDay[Date], "&lt;="&amp;EarningsPerDay[[#This Row],[Date]]))/90</f>
        <v>86.432888888888897</v>
      </c>
    </row>
    <row r="602" spans="2:30" x14ac:dyDescent="0.35">
      <c r="B602" s="40">
        <v>45577</v>
      </c>
      <c r="C602" s="40">
        <f t="shared" si="55"/>
        <v>45577</v>
      </c>
      <c r="D602" s="4">
        <f>IF(EarningsPerDay[[#This Row],[Week '#]]&gt;=52,YEAR(EarningsPerDay[[#This Row],[Date]])-1,YEAR(EarningsPerDay[[#This Row],[Date]]))</f>
        <v>2024</v>
      </c>
      <c r="E602" s="4" t="str">
        <f>"QTR"&amp;IF(EarningsPerDay[[#This Row],[Week '#]] &lt;= 13, 1, IF(EarningsPerDay[[#This Row],[Week '#]] &lt;= 26, 2, IF(EarningsPerDay[[#This Row],[Week '#]] &lt;= 39, 3, 4)))</f>
        <v>QTR4</v>
      </c>
      <c r="F6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02" s="4">
        <f>IF(WEEKNUM(EarningsPerDay[[#This Row],[Date]], 2) = 53, 1, WEEKNUM(EarningsPerDay[[#This Row],[Date]],2))</f>
        <v>41</v>
      </c>
      <c r="H602" s="40" t="str">
        <f t="shared" si="68"/>
        <v>Saturday</v>
      </c>
      <c r="I60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602" s="40" t="str" cm="1">
        <f t="array" ref="J602">IFERROR(VLOOKUP(MODE(IF(Combined[Date]=EarningsPerDay[[#This Row],[Date]],Combined[Area '#])),KPIs!$B$4:$C$7,2,FALSE),VLOOKUP(EarningsPerDay[[#This Row],[Date]],Combined[[Date]:[Primary Area]],8,FALSE))</f>
        <v>Portland</v>
      </c>
      <c r="K602" s="40" t="str">
        <f>_xlfn.XLOOKUP(EarningsPerDay[[#This Row],[Date]],Mileage[Date],Mileage[Weather])</f>
        <v>Partially Cloudy</v>
      </c>
      <c r="L602" s="4">
        <f>_xlfn.XLOOKUP(EarningsPerDay[[#This Row],[Date]],Mileage[Date],Mileage[Hi Temp])</f>
        <v>63</v>
      </c>
      <c r="M602" s="12">
        <f>_xlfn.XLOOKUP(EarningsPerDay[[#This Row],[Date]],Mileage[Date],Mileage[Total Time])</f>
        <v>3.82</v>
      </c>
      <c r="N602" s="4">
        <f>_xlfn.XLOOKUP(EarningsPerDay[[#This Row],[Date]],Mileage[Date],Mileage[Mileage])</f>
        <v>66</v>
      </c>
      <c r="O602" s="4">
        <f>SUMIF(Combined[Date],EarningsPerDay[[#This Row],[Date]],Combined[Trips])</f>
        <v>6</v>
      </c>
      <c r="P602">
        <f>COUNTIF(Combined[Date],EarningsPerDay[[#This Row],[Date]])</f>
        <v>2</v>
      </c>
      <c r="Q6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2" s="11">
        <f>SUMIF(Combined[Date],EarningsPerDay[[#This Row],[Date]],Combined[Earnings])</f>
        <v>116.2</v>
      </c>
      <c r="S602" s="11">
        <f ca="1">EarningsPerDay[[#This Row],[Gross Earnings]]-(EarningsPerDay[[#This Row],[Miles]]*CpM!$D$11)</f>
        <v>101.48377588653327</v>
      </c>
      <c r="T602" s="11">
        <f t="shared" si="61"/>
        <v>30.41884816753927</v>
      </c>
      <c r="U602" s="11">
        <f t="shared" ca="1" si="62"/>
        <v>26.566433478150071</v>
      </c>
      <c r="V602" s="11">
        <f>EarningsPerDay[[#This Row],[Gross Earnings]]/EarningsPerDay[[#This Row],[Deliveries]]</f>
        <v>19.366666666666667</v>
      </c>
      <c r="W602" s="11">
        <f>EarningsPerDay[[#This Row],[Gross Earnings]]/EarningsPerDay[[#This Row],[Miles]]</f>
        <v>1.7606060606060607</v>
      </c>
      <c r="X602" s="71">
        <f>EarningsPerDay[[#This Row],[Deliveries]]/EarningsPerDay[[#This Row],[Hours]]</f>
        <v>1.5706806282722514</v>
      </c>
      <c r="Y602" s="71">
        <f>EarningsPerDay[[#This Row],[Miles]]/EarningsPerDay[[#This Row],[Deliveries]]</f>
        <v>11</v>
      </c>
      <c r="Z602" s="81">
        <f>(EarningsPerDay[[#This Row],[Hours]]/EarningsPerDay[[#This Row],[Deliveries]])/24</f>
        <v>2.6527777777777775E-2</v>
      </c>
      <c r="AA6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8.1717650793170868</v>
      </c>
      <c r="AB602" s="11">
        <f>AVERAGEIFS(EarningsPerDay[Gross $/Hour],EarningsPerDay[Week '#], EarningsPerDay[[#This Row],[Week '#]], EarningsPerDay[DOW], EarningsPerDay[[#This Row],[DOW]])</f>
        <v>32.706034253261159</v>
      </c>
      <c r="AC602" s="11">
        <f>EarningsPerDay[[#This Row],[Gross $/Hour]] - EarningsPerDay[[#This Row],[Weekly Average Earnings]]</f>
        <v>-2.2871860857218884</v>
      </c>
      <c r="AD602" s="11">
        <f>(SUMIFS(EarningsPerDay[Gross Earnings], EarningsPerDay[Date],"&gt;="&amp;EarningsPerDay[[#This Row],[Date]]-89, EarningsPerDay[Date], "&lt;="&amp;EarningsPerDay[[#This Row],[Date]]))/90</f>
        <v>86.156777777777791</v>
      </c>
    </row>
    <row r="603" spans="2:30" x14ac:dyDescent="0.35">
      <c r="B603" s="40">
        <v>45579</v>
      </c>
      <c r="C603" s="40">
        <f t="shared" si="55"/>
        <v>45579</v>
      </c>
      <c r="D603" s="4">
        <f>IF(EarningsPerDay[[#This Row],[Week '#]]&gt;=52,YEAR(EarningsPerDay[[#This Row],[Date]])-1,YEAR(EarningsPerDay[[#This Row],[Date]]))</f>
        <v>2024</v>
      </c>
      <c r="E603" s="4" t="str">
        <f>"QTR"&amp;IF(EarningsPerDay[[#This Row],[Week '#]] &lt;= 13, 1, IF(EarningsPerDay[[#This Row],[Week '#]] &lt;= 26, 2, IF(EarningsPerDay[[#This Row],[Week '#]] &lt;= 39, 3, 4)))</f>
        <v>QTR4</v>
      </c>
      <c r="F6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3" s="4">
        <f>IF(WEEKNUM(EarningsPerDay[[#This Row],[Date]], 2) = 53, 1, WEEKNUM(EarningsPerDay[[#This Row],[Date]],2))</f>
        <v>42</v>
      </c>
      <c r="H603" s="40" t="str">
        <f t="shared" si="68"/>
        <v>Monday</v>
      </c>
      <c r="I60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03" s="40" t="str" cm="1">
        <f t="array" ref="J603">IFERROR(VLOOKUP(MODE(IF(Combined[Date]=EarningsPerDay[[#This Row],[Date]],Combined[Area '#])),KPIs!$B$4:$C$7,2,FALSE),VLOOKUP(EarningsPerDay[[#This Row],[Date]],Combined[[Date]:[Primary Area]],8,FALSE))</f>
        <v>Brunswick/Bath/Freeport</v>
      </c>
      <c r="K603" s="40" t="str">
        <f>_xlfn.XLOOKUP(EarningsPerDay[[#This Row],[Date]],Mileage[Date],Mileage[Weather])</f>
        <v>Mostly Cloudy</v>
      </c>
      <c r="L603" s="4">
        <f>_xlfn.XLOOKUP(EarningsPerDay[[#This Row],[Date]],Mileage[Date],Mileage[Hi Temp])</f>
        <v>46</v>
      </c>
      <c r="M603" s="12">
        <f>_xlfn.XLOOKUP(EarningsPerDay[[#This Row],[Date]],Mileage[Date],Mileage[Total Time])</f>
        <v>4</v>
      </c>
      <c r="N603" s="4">
        <f>_xlfn.XLOOKUP(EarningsPerDay[[#This Row],[Date]],Mileage[Date],Mileage[Mileage])</f>
        <v>85</v>
      </c>
      <c r="O603" s="4">
        <f>SUMIF(Combined[Date],EarningsPerDay[[#This Row],[Date]],Combined[Trips])</f>
        <v>10</v>
      </c>
      <c r="P603">
        <f>COUNTIF(Combined[Date],EarningsPerDay[[#This Row],[Date]])</f>
        <v>3</v>
      </c>
      <c r="Q6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3" s="11">
        <f>SUMIF(Combined[Date],EarningsPerDay[[#This Row],[Date]],Combined[Earnings])</f>
        <v>116.7</v>
      </c>
      <c r="S603" s="11">
        <f ca="1">EarningsPerDay[[#This Row],[Gross Earnings]]-(EarningsPerDay[[#This Row],[Miles]]*CpM!$D$11)</f>
        <v>97.747287126595879</v>
      </c>
      <c r="T603" s="11">
        <f t="shared" si="61"/>
        <v>29.175000000000001</v>
      </c>
      <c r="U603" s="11">
        <f t="shared" ca="1" si="62"/>
        <v>24.43682178164897</v>
      </c>
      <c r="V603" s="11">
        <f>EarningsPerDay[[#This Row],[Gross Earnings]]/EarningsPerDay[[#This Row],[Deliveries]]</f>
        <v>11.67</v>
      </c>
      <c r="W603" s="11">
        <f>EarningsPerDay[[#This Row],[Gross Earnings]]/EarningsPerDay[[#This Row],[Miles]]</f>
        <v>1.3729411764705883</v>
      </c>
      <c r="X603" s="71">
        <f>EarningsPerDay[[#This Row],[Deliveries]]/EarningsPerDay[[#This Row],[Hours]]</f>
        <v>2.5</v>
      </c>
      <c r="Y603" s="71">
        <f>EarningsPerDay[[#This Row],[Miles]]/EarningsPerDay[[#This Row],[Deliveries]]</f>
        <v>8.5</v>
      </c>
      <c r="Z603" s="81">
        <f>(EarningsPerDay[[#This Row],[Hours]]/EarningsPerDay[[#This Row],[Deliveries]])/24</f>
        <v>1.6666666666666666E-2</v>
      </c>
      <c r="AA6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4.1757631120265621</v>
      </c>
      <c r="AB603" s="11">
        <f>AVERAGEIFS(EarningsPerDay[Gross $/Hour],EarningsPerDay[Week '#], EarningsPerDay[[#This Row],[Week '#]], EarningsPerDay[DOW], EarningsPerDay[[#This Row],[DOW]])</f>
        <v>24.193893597623301</v>
      </c>
      <c r="AC603" s="11">
        <f>EarningsPerDay[[#This Row],[Gross $/Hour]] - EarningsPerDay[[#This Row],[Weekly Average Earnings]]</f>
        <v>4.9811064023766995</v>
      </c>
      <c r="AD603" s="11">
        <f>(SUMIFS(EarningsPerDay[Gross Earnings], EarningsPerDay[Date],"&gt;="&amp;EarningsPerDay[[#This Row],[Date]]-89, EarningsPerDay[Date], "&lt;="&amp;EarningsPerDay[[#This Row],[Date]]))/90</f>
        <v>84.832444444444462</v>
      </c>
    </row>
    <row r="604" spans="2:30" x14ac:dyDescent="0.35">
      <c r="B604" s="40">
        <v>45581</v>
      </c>
      <c r="C604" s="40">
        <f t="shared" si="55"/>
        <v>45581</v>
      </c>
      <c r="D604" s="4">
        <f>IF(EarningsPerDay[[#This Row],[Week '#]]&gt;=52,YEAR(EarningsPerDay[[#This Row],[Date]])-1,YEAR(EarningsPerDay[[#This Row],[Date]]))</f>
        <v>2024</v>
      </c>
      <c r="E604" s="4" t="str">
        <f>"QTR"&amp;IF(EarningsPerDay[[#This Row],[Week '#]] &lt;= 13, 1, IF(EarningsPerDay[[#This Row],[Week '#]] &lt;= 26, 2, IF(EarningsPerDay[[#This Row],[Week '#]] &lt;= 39, 3, 4)))</f>
        <v>QTR4</v>
      </c>
      <c r="F6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4" s="4">
        <f>IF(WEEKNUM(EarningsPerDay[[#This Row],[Date]], 2) = 53, 1, WEEKNUM(EarningsPerDay[[#This Row],[Date]],2))</f>
        <v>42</v>
      </c>
      <c r="H604" s="40" t="str">
        <f t="shared" ref="H604:H605" si="69">TEXT(B604,"DDDD")</f>
        <v>Wednesday</v>
      </c>
      <c r="I60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04" s="40" t="str" cm="1">
        <f t="array" ref="J604">IFERROR(VLOOKUP(MODE(IF(Combined[Date]=EarningsPerDay[[#This Row],[Date]],Combined[Area '#])),KPIs!$B$4:$C$7,2,FALSE),VLOOKUP(EarningsPerDay[[#This Row],[Date]],Combined[[Date]:[Primary Area]],8,FALSE))</f>
        <v>Lewiston</v>
      </c>
      <c r="K604" s="40" t="str">
        <f>_xlfn.XLOOKUP(EarningsPerDay[[#This Row],[Date]],Mileage[Date],Mileage[Weather])</f>
        <v>Clear</v>
      </c>
      <c r="L604" s="4">
        <f>_xlfn.XLOOKUP(EarningsPerDay[[#This Row],[Date]],Mileage[Date],Mileage[Hi Temp])</f>
        <v>45</v>
      </c>
      <c r="M604" s="12">
        <f>_xlfn.XLOOKUP(EarningsPerDay[[#This Row],[Date]],Mileage[Date],Mileage[Total Time])</f>
        <v>3.35</v>
      </c>
      <c r="N604" s="4">
        <f>_xlfn.XLOOKUP(EarningsPerDay[[#This Row],[Date]],Mileage[Date],Mileage[Mileage])</f>
        <v>68</v>
      </c>
      <c r="O604" s="4">
        <f>SUMIF(Combined[Date],EarningsPerDay[[#This Row],[Date]],Combined[Trips])</f>
        <v>7</v>
      </c>
      <c r="P604">
        <f>COUNTIF(Combined[Date],EarningsPerDay[[#This Row],[Date]])</f>
        <v>2</v>
      </c>
      <c r="Q6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4" s="11">
        <f>SUMIF(Combined[Date],EarningsPerDay[[#This Row],[Date]],Combined[Earnings])</f>
        <v>59.19</v>
      </c>
      <c r="S604" s="11">
        <f ca="1">EarningsPerDay[[#This Row],[Gross Earnings]]-(EarningsPerDay[[#This Row],[Miles]]*CpM!$D$11)</f>
        <v>44.027829701276701</v>
      </c>
      <c r="T604" s="11">
        <f t="shared" si="61"/>
        <v>17.66865671641791</v>
      </c>
      <c r="U604" s="11">
        <f t="shared" ca="1" si="62"/>
        <v>13.142635731724388</v>
      </c>
      <c r="V604" s="11">
        <f>EarningsPerDay[[#This Row],[Gross Earnings]]/EarningsPerDay[[#This Row],[Deliveries]]</f>
        <v>8.4557142857142846</v>
      </c>
      <c r="W604" s="11">
        <f>EarningsPerDay[[#This Row],[Gross Earnings]]/EarningsPerDay[[#This Row],[Miles]]</f>
        <v>0.87044117647058816</v>
      </c>
      <c r="X604" s="71">
        <f>EarningsPerDay[[#This Row],[Deliveries]]/EarningsPerDay[[#This Row],[Hours]]</f>
        <v>2.08955223880597</v>
      </c>
      <c r="Y604" s="71">
        <f>EarningsPerDay[[#This Row],[Miles]]/EarningsPerDay[[#This Row],[Deliveries]]</f>
        <v>9.7142857142857135</v>
      </c>
      <c r="Z604" s="81">
        <f>(EarningsPerDay[[#This Row],[Hours]]/EarningsPerDay[[#This Row],[Deliveries]])/24</f>
        <v>1.9940476190476192E-2</v>
      </c>
      <c r="AA6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10.396076071256619</v>
      </c>
      <c r="AB604" s="11">
        <f>AVERAGEIFS(EarningsPerDay[Gross $/Hour],EarningsPerDay[Week '#], EarningsPerDay[[#This Row],[Week '#]], EarningsPerDay[DOW], EarningsPerDay[[#This Row],[DOW]])</f>
        <v>13.571307524875621</v>
      </c>
      <c r="AC604" s="11">
        <f>EarningsPerDay[[#This Row],[Gross $/Hour]] - EarningsPerDay[[#This Row],[Weekly Average Earnings]]</f>
        <v>4.097349191542289</v>
      </c>
      <c r="AD604" s="11">
        <f>(SUMIFS(EarningsPerDay[Gross Earnings], EarningsPerDay[Date],"&gt;="&amp;EarningsPerDay[[#This Row],[Date]]-89, EarningsPerDay[Date], "&lt;="&amp;EarningsPerDay[[#This Row],[Date]]))/90</f>
        <v>83.283777777777772</v>
      </c>
    </row>
    <row r="605" spans="2:30" x14ac:dyDescent="0.35">
      <c r="B605" s="40">
        <v>45582</v>
      </c>
      <c r="C605" s="40">
        <f t="shared" si="55"/>
        <v>45582</v>
      </c>
      <c r="D605" s="4">
        <f>IF(EarningsPerDay[[#This Row],[Week '#]]&gt;=52,YEAR(EarningsPerDay[[#This Row],[Date]])-1,YEAR(EarningsPerDay[[#This Row],[Date]]))</f>
        <v>2024</v>
      </c>
      <c r="E605" s="4" t="str">
        <f>"QTR"&amp;IF(EarningsPerDay[[#This Row],[Week '#]] &lt;= 13, 1, IF(EarningsPerDay[[#This Row],[Week '#]] &lt;= 26, 2, IF(EarningsPerDay[[#This Row],[Week '#]] &lt;= 39, 3, 4)))</f>
        <v>QTR4</v>
      </c>
      <c r="F6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5" s="4">
        <f>IF(WEEKNUM(EarningsPerDay[[#This Row],[Date]], 2) = 53, 1, WEEKNUM(EarningsPerDay[[#This Row],[Date]],2))</f>
        <v>42</v>
      </c>
      <c r="H605" s="40" t="str">
        <f t="shared" si="69"/>
        <v>Thursday</v>
      </c>
      <c r="I60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05" s="40" t="str" cm="1">
        <f t="array" ref="J605">IFERROR(VLOOKUP(MODE(IF(Combined[Date]=EarningsPerDay[[#This Row],[Date]],Combined[Area '#])),KPIs!$B$4:$C$7,2,FALSE),VLOOKUP(EarningsPerDay[[#This Row],[Date]],Combined[[Date]:[Primary Area]],8,FALSE))</f>
        <v>Lewiston</v>
      </c>
      <c r="K605" s="40" t="str">
        <f>_xlfn.XLOOKUP(EarningsPerDay[[#This Row],[Date]],Mileage[Date],Mileage[Weather])</f>
        <v>Clear</v>
      </c>
      <c r="L605" s="4">
        <f>_xlfn.XLOOKUP(EarningsPerDay[[#This Row],[Date]],Mileage[Date],Mileage[Hi Temp])</f>
        <v>54</v>
      </c>
      <c r="M605" s="12">
        <f>_xlfn.XLOOKUP(EarningsPerDay[[#This Row],[Date]],Mileage[Date],Mileage[Total Time])</f>
        <v>4.18</v>
      </c>
      <c r="N605" s="4">
        <f>_xlfn.XLOOKUP(EarningsPerDay[[#This Row],[Date]],Mileage[Date],Mileage[Mileage])</f>
        <v>81</v>
      </c>
      <c r="O605" s="4">
        <f>SUMIF(Combined[Date],EarningsPerDay[[#This Row],[Date]],Combined[Trips])</f>
        <v>8</v>
      </c>
      <c r="P605">
        <f>COUNTIF(Combined[Date],EarningsPerDay[[#This Row],[Date]])</f>
        <v>3</v>
      </c>
      <c r="Q6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5" s="11">
        <f>SUMIF(Combined[Date],EarningsPerDay[[#This Row],[Date]],Combined[Earnings])</f>
        <v>53.82</v>
      </c>
      <c r="S605" s="11">
        <f ca="1">EarningsPerDay[[#This Row],[Gross Earnings]]-(EarningsPerDay[[#This Row],[Miles]]*CpM!$D$11)</f>
        <v>35.75917949710901</v>
      </c>
      <c r="T605" s="11">
        <f t="shared" si="61"/>
        <v>12.875598086124404</v>
      </c>
      <c r="U605" s="11">
        <f t="shared" ca="1" si="62"/>
        <v>8.5548276308873241</v>
      </c>
      <c r="V605" s="11">
        <f>EarningsPerDay[[#This Row],[Gross Earnings]]/EarningsPerDay[[#This Row],[Deliveries]]</f>
        <v>6.7275</v>
      </c>
      <c r="W605" s="11">
        <f>EarningsPerDay[[#This Row],[Gross Earnings]]/EarningsPerDay[[#This Row],[Miles]]</f>
        <v>0.66444444444444439</v>
      </c>
      <c r="X605" s="71">
        <f>EarningsPerDay[[#This Row],[Deliveries]]/EarningsPerDay[[#This Row],[Hours]]</f>
        <v>1.9138755980861246</v>
      </c>
      <c r="Y605" s="71">
        <f>EarningsPerDay[[#This Row],[Miles]]/EarningsPerDay[[#This Row],[Deliveries]]</f>
        <v>10.125</v>
      </c>
      <c r="Z605" s="81">
        <f>(EarningsPerDay[[#This Row],[Hours]]/EarningsPerDay[[#This Row],[Deliveries]])/24</f>
        <v>2.1770833333333333E-2</v>
      </c>
      <c r="AA6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0.13141203961277448</v>
      </c>
      <c r="AB605" s="11">
        <f>AVERAGEIFS(EarningsPerDay[Gross $/Hour],EarningsPerDay[Week '#], EarningsPerDay[[#This Row],[Week '#]], EarningsPerDay[DOW], EarningsPerDay[[#This Row],[DOW]])</f>
        <v>12.875598086124404</v>
      </c>
      <c r="AC605" s="11">
        <f>EarningsPerDay[[#This Row],[Gross $/Hour]] - EarningsPerDay[[#This Row],[Weekly Average Earnings]]</f>
        <v>0</v>
      </c>
      <c r="AD605" s="11">
        <f>(SUMIFS(EarningsPerDay[Gross Earnings], EarningsPerDay[Date],"&gt;="&amp;EarningsPerDay[[#This Row],[Date]]-89, EarningsPerDay[Date], "&lt;="&amp;EarningsPerDay[[#This Row],[Date]]))/90</f>
        <v>82.24177777777777</v>
      </c>
    </row>
    <row r="606" spans="2:30" x14ac:dyDescent="0.35">
      <c r="B606" s="40">
        <v>45583</v>
      </c>
      <c r="C606" s="40">
        <f t="shared" si="55"/>
        <v>45583</v>
      </c>
      <c r="D606" s="4">
        <f>IF(EarningsPerDay[[#This Row],[Week '#]]&gt;=52,YEAR(EarningsPerDay[[#This Row],[Date]])-1,YEAR(EarningsPerDay[[#This Row],[Date]]))</f>
        <v>2024</v>
      </c>
      <c r="E606" s="4" t="str">
        <f>"QTR"&amp;IF(EarningsPerDay[[#This Row],[Week '#]] &lt;= 13, 1, IF(EarningsPerDay[[#This Row],[Week '#]] &lt;= 26, 2, IF(EarningsPerDay[[#This Row],[Week '#]] &lt;= 39, 3, 4)))</f>
        <v>QTR4</v>
      </c>
      <c r="F6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6" s="4">
        <f>IF(WEEKNUM(EarningsPerDay[[#This Row],[Date]], 2) = 53, 1, WEEKNUM(EarningsPerDay[[#This Row],[Date]],2))</f>
        <v>42</v>
      </c>
      <c r="H606" s="40" t="str">
        <f t="shared" ref="H606:H608" si="70">TEXT(B606,"DDDD")</f>
        <v>Friday</v>
      </c>
      <c r="I60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06" s="40" t="str" cm="1">
        <f t="array" ref="J606">IFERROR(VLOOKUP(MODE(IF(Combined[Date]=EarningsPerDay[[#This Row],[Date]],Combined[Area '#])),KPIs!$B$4:$C$7,2,FALSE),VLOOKUP(EarningsPerDay[[#This Row],[Date]],Combined[[Date]:[Primary Area]],8,FALSE))</f>
        <v>Brunswick/Bath/Freeport</v>
      </c>
      <c r="K606" s="40" t="str">
        <f>_xlfn.XLOOKUP(EarningsPerDay[[#This Row],[Date]],Mileage[Date],Mileage[Weather])</f>
        <v>Clear</v>
      </c>
      <c r="L606" s="4">
        <f>_xlfn.XLOOKUP(EarningsPerDay[[#This Row],[Date]],Mileage[Date],Mileage[Hi Temp])</f>
        <v>55</v>
      </c>
      <c r="M606" s="12">
        <f>_xlfn.XLOOKUP(EarningsPerDay[[#This Row],[Date]],Mileage[Date],Mileage[Total Time])</f>
        <v>6.5</v>
      </c>
      <c r="N606" s="4">
        <f>_xlfn.XLOOKUP(EarningsPerDay[[#This Row],[Date]],Mileage[Date],Mileage[Mileage])</f>
        <v>102</v>
      </c>
      <c r="O606" s="4">
        <f>SUMIF(Combined[Date],EarningsPerDay[[#This Row],[Date]],Combined[Trips])</f>
        <v>16</v>
      </c>
      <c r="P606">
        <f>COUNTIF(Combined[Date],EarningsPerDay[[#This Row],[Date]])</f>
        <v>4</v>
      </c>
      <c r="Q60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06" s="11">
        <f>SUMIF(Combined[Date],EarningsPerDay[[#This Row],[Date]],Combined[Earnings])</f>
        <v>150.51999999999998</v>
      </c>
      <c r="S606" s="11">
        <f ca="1">EarningsPerDay[[#This Row],[Gross Earnings]]-(EarningsPerDay[[#This Row],[Miles]]*CpM!$D$11)</f>
        <v>127.77674455191503</v>
      </c>
      <c r="T606" s="11">
        <f t="shared" si="61"/>
        <v>23.156923076923075</v>
      </c>
      <c r="U606" s="11">
        <f t="shared" ca="1" si="62"/>
        <v>19.65796070029462</v>
      </c>
      <c r="V606" s="11">
        <f>EarningsPerDay[[#This Row],[Gross Earnings]]/EarningsPerDay[[#This Row],[Deliveries]]</f>
        <v>9.4074999999999989</v>
      </c>
      <c r="W606" s="11">
        <f>EarningsPerDay[[#This Row],[Gross Earnings]]/EarningsPerDay[[#This Row],[Miles]]</f>
        <v>1.4756862745098038</v>
      </c>
      <c r="X606" s="71">
        <f>EarningsPerDay[[#This Row],[Deliveries]]/EarningsPerDay[[#This Row],[Hours]]</f>
        <v>2.4615384615384617</v>
      </c>
      <c r="Y606" s="71">
        <f>EarningsPerDay[[#This Row],[Miles]]/EarningsPerDay[[#This Row],[Deliveries]]</f>
        <v>6.375</v>
      </c>
      <c r="Z606" s="81">
        <f>(EarningsPerDay[[#This Row],[Hours]]/EarningsPerDay[[#This Row],[Deliveries]])/24</f>
        <v>1.6927083333333332E-2</v>
      </c>
      <c r="AA6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-0.55354683869114396</v>
      </c>
      <c r="AB606" s="11">
        <f>AVERAGEIFS(EarningsPerDay[Gross $/Hour],EarningsPerDay[Week '#], EarningsPerDay[[#This Row],[Week '#]], EarningsPerDay[DOW], EarningsPerDay[[#This Row],[DOW]])</f>
        <v>24.71711727802343</v>
      </c>
      <c r="AC606" s="11">
        <f>EarningsPerDay[[#This Row],[Gross $/Hour]] - EarningsPerDay[[#This Row],[Weekly Average Earnings]]</f>
        <v>-1.5601942011003551</v>
      </c>
      <c r="AD606" s="11">
        <f>(SUMIFS(EarningsPerDay[Gross Earnings], EarningsPerDay[Date],"&gt;="&amp;EarningsPerDay[[#This Row],[Date]]-89, EarningsPerDay[Date], "&lt;="&amp;EarningsPerDay[[#This Row],[Date]]))/90</f>
        <v>82.173444444444428</v>
      </c>
    </row>
    <row r="607" spans="2:30" x14ac:dyDescent="0.35">
      <c r="B607" s="40">
        <v>45584</v>
      </c>
      <c r="C607" s="40">
        <f t="shared" si="55"/>
        <v>45584</v>
      </c>
      <c r="D607" s="4">
        <f>IF(EarningsPerDay[[#This Row],[Week '#]]&gt;=52,YEAR(EarningsPerDay[[#This Row],[Date]])-1,YEAR(EarningsPerDay[[#This Row],[Date]]))</f>
        <v>2024</v>
      </c>
      <c r="E607" s="4" t="str">
        <f>"QTR"&amp;IF(EarningsPerDay[[#This Row],[Week '#]] &lt;= 13, 1, IF(EarningsPerDay[[#This Row],[Week '#]] &lt;= 26, 2, IF(EarningsPerDay[[#This Row],[Week '#]] &lt;= 39, 3, 4)))</f>
        <v>QTR4</v>
      </c>
      <c r="F6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7" s="4">
        <f>IF(WEEKNUM(EarningsPerDay[[#This Row],[Date]], 2) = 53, 1, WEEKNUM(EarningsPerDay[[#This Row],[Date]],2))</f>
        <v>42</v>
      </c>
      <c r="H607" s="40" t="str">
        <f t="shared" si="70"/>
        <v>Saturday</v>
      </c>
      <c r="I607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607" s="40" t="str" cm="1">
        <f t="array" ref="J607">IFERROR(VLOOKUP(MODE(IF(Combined[Date]=EarningsPerDay[[#This Row],[Date]],Combined[Area '#])),KPIs!$B$4:$C$7,2,FALSE),VLOOKUP(EarningsPerDay[[#This Row],[Date]],Combined[[Date]:[Primary Area]],8,FALSE))</f>
        <v>Brunswick/Bath/Freeport</v>
      </c>
      <c r="K607" s="40" t="str">
        <f>_xlfn.XLOOKUP(EarningsPerDay[[#This Row],[Date]],Mileage[Date],Mileage[Weather])</f>
        <v>Clear</v>
      </c>
      <c r="L607" s="4">
        <f>_xlfn.XLOOKUP(EarningsPerDay[[#This Row],[Date]],Mileage[Date],Mileage[Hi Temp])</f>
        <v>57</v>
      </c>
      <c r="M607" s="12">
        <f>_xlfn.XLOOKUP(EarningsPerDay[[#This Row],[Date]],Mileage[Date],Mileage[Total Time])</f>
        <v>1.52</v>
      </c>
      <c r="N607" s="4">
        <f>_xlfn.XLOOKUP(EarningsPerDay[[#This Row],[Date]],Mileage[Date],Mileage[Mileage])</f>
        <v>33</v>
      </c>
      <c r="O607" s="4">
        <f>SUMIF(Combined[Date],EarningsPerDay[[#This Row],[Date]],Combined[Trips])</f>
        <v>4</v>
      </c>
      <c r="P607">
        <f>COUNTIF(Combined[Date],EarningsPerDay[[#This Row],[Date]])</f>
        <v>1</v>
      </c>
      <c r="Q60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07" s="11">
        <f>SUMIF(Combined[Date],EarningsPerDay[[#This Row],[Date]],Combined[Earnings])</f>
        <v>38.71</v>
      </c>
      <c r="S607" s="11">
        <f ca="1">EarningsPerDay[[#This Row],[Gross Earnings]]-(EarningsPerDay[[#This Row],[Miles]]*CpM!$D$11)</f>
        <v>31.351887943266632</v>
      </c>
      <c r="T607" s="11">
        <f t="shared" si="61"/>
        <v>25.467105263157894</v>
      </c>
      <c r="U607" s="11">
        <f t="shared" ca="1" si="62"/>
        <v>20.626242067938573</v>
      </c>
      <c r="V607" s="11">
        <f>EarningsPerDay[[#This Row],[Gross Earnings]]/EarningsPerDay[[#This Row],[Deliveries]]</f>
        <v>9.6775000000000002</v>
      </c>
      <c r="W607" s="11">
        <f>EarningsPerDay[[#This Row],[Gross Earnings]]/EarningsPerDay[[#This Row],[Miles]]</f>
        <v>1.1730303030303031</v>
      </c>
      <c r="X607" s="71">
        <f>EarningsPerDay[[#This Row],[Deliveries]]/EarningsPerDay[[#This Row],[Hours]]</f>
        <v>2.6315789473684212</v>
      </c>
      <c r="Y607" s="71">
        <f>EarningsPerDay[[#This Row],[Miles]]/EarningsPerDay[[#This Row],[Deliveries]]</f>
        <v>8.25</v>
      </c>
      <c r="Z607" s="81">
        <f>(EarningsPerDay[[#This Row],[Hours]]/EarningsPerDay[[#This Row],[Deliveries]])/24</f>
        <v>1.5833333333333335E-2</v>
      </c>
      <c r="AA6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5.1404893167390533</v>
      </c>
      <c r="AB607" s="11">
        <f>AVERAGEIFS(EarningsPerDay[Gross $/Hour],EarningsPerDay[Week '#], EarningsPerDay[[#This Row],[Week '#]], EarningsPerDay[DOW], EarningsPerDay[[#This Row],[DOW]])</f>
        <v>25.467105263157894</v>
      </c>
      <c r="AC607" s="11">
        <f>EarningsPerDay[[#This Row],[Gross $/Hour]] - EarningsPerDay[[#This Row],[Weekly Average Earnings]]</f>
        <v>0</v>
      </c>
      <c r="AD607" s="11">
        <f>(SUMIFS(EarningsPerDay[Gross Earnings], EarningsPerDay[Date],"&gt;="&amp;EarningsPerDay[[#This Row],[Date]]-89, EarningsPerDay[Date], "&lt;="&amp;EarningsPerDay[[#This Row],[Date]]))/90</f>
        <v>82.603555555555545</v>
      </c>
    </row>
    <row r="608" spans="2:30" x14ac:dyDescent="0.35">
      <c r="B608" s="40">
        <v>45585</v>
      </c>
      <c r="C608" s="40">
        <f t="shared" si="55"/>
        <v>45585</v>
      </c>
      <c r="D608" s="4">
        <f>IF(EarningsPerDay[[#This Row],[Week '#]]&gt;=52,YEAR(EarningsPerDay[[#This Row],[Date]])-1,YEAR(EarningsPerDay[[#This Row],[Date]]))</f>
        <v>2024</v>
      </c>
      <c r="E608" s="4" t="str">
        <f>"QTR"&amp;IF(EarningsPerDay[[#This Row],[Week '#]] &lt;= 13, 1, IF(EarningsPerDay[[#This Row],[Week '#]] &lt;= 26, 2, IF(EarningsPerDay[[#This Row],[Week '#]] &lt;= 39, 3, 4)))</f>
        <v>QTR4</v>
      </c>
      <c r="F6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08" s="4">
        <f>IF(WEEKNUM(EarningsPerDay[[#This Row],[Date]], 2) = 53, 1, WEEKNUM(EarningsPerDay[[#This Row],[Date]],2))</f>
        <v>42</v>
      </c>
      <c r="H608" s="40" t="str">
        <f t="shared" si="70"/>
        <v>Sunday</v>
      </c>
      <c r="I608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608" s="40" t="str" cm="1">
        <f t="array" ref="J608">IFERROR(VLOOKUP(MODE(IF(Combined[Date]=EarningsPerDay[[#This Row],[Date]],Combined[Area '#])),KPIs!$B$4:$C$7,2,FALSE),VLOOKUP(EarningsPerDay[[#This Row],[Date]],Combined[[Date]:[Primary Area]],8,FALSE))</f>
        <v>Lewiston</v>
      </c>
      <c r="K608" s="40" t="str">
        <f>_xlfn.XLOOKUP(EarningsPerDay[[#This Row],[Date]],Mileage[Date],Mileage[Weather])</f>
        <v>Clear</v>
      </c>
      <c r="L608" s="4">
        <f>_xlfn.XLOOKUP(EarningsPerDay[[#This Row],[Date]],Mileage[Date],Mileage[Hi Temp])</f>
        <v>61</v>
      </c>
      <c r="M608" s="12">
        <f>_xlfn.XLOOKUP(EarningsPerDay[[#This Row],[Date]],Mileage[Date],Mileage[Total Time])</f>
        <v>3.98</v>
      </c>
      <c r="N608" s="4">
        <f>_xlfn.XLOOKUP(EarningsPerDay[[#This Row],[Date]],Mileage[Date],Mileage[Mileage])</f>
        <v>71</v>
      </c>
      <c r="O608" s="4">
        <f>SUMIF(Combined[Date],EarningsPerDay[[#This Row],[Date]],Combined[Trips])</f>
        <v>11</v>
      </c>
      <c r="P608">
        <f>COUNTIF(Combined[Date],EarningsPerDay[[#This Row],[Date]])</f>
        <v>1</v>
      </c>
      <c r="Q60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08" s="11">
        <f>SUMIF(Combined[Date],EarningsPerDay[[#This Row],[Date]],Combined[Earnings])</f>
        <v>86.51</v>
      </c>
      <c r="S608" s="11">
        <f ca="1">EarningsPerDay[[#This Row],[Gross Earnings]]-(EarningsPerDay[[#This Row],[Miles]]*CpM!$D$11)</f>
        <v>70.678910423391855</v>
      </c>
      <c r="T608" s="11">
        <f t="shared" si="61"/>
        <v>21.736180904522616</v>
      </c>
      <c r="U608" s="11">
        <f t="shared" ca="1" si="62"/>
        <v>17.758520206882377</v>
      </c>
      <c r="V608" s="11">
        <f>EarningsPerDay[[#This Row],[Gross Earnings]]/EarningsPerDay[[#This Row],[Deliveries]]</f>
        <v>7.8645454545454552</v>
      </c>
      <c r="W608" s="11">
        <f>EarningsPerDay[[#This Row],[Gross Earnings]]/EarningsPerDay[[#This Row],[Miles]]</f>
        <v>1.2184507042253523</v>
      </c>
      <c r="X608" s="71">
        <f>EarningsPerDay[[#This Row],[Deliveries]]/EarningsPerDay[[#This Row],[Hours]]</f>
        <v>2.7638190954773871</v>
      </c>
      <c r="Y608" s="71">
        <f>EarningsPerDay[[#This Row],[Miles]]/EarningsPerDay[[#This Row],[Deliveries]]</f>
        <v>6.4545454545454541</v>
      </c>
      <c r="Z608" s="81">
        <f>(EarningsPerDay[[#This Row],[Hours]]/EarningsPerDay[[#This Row],[Deliveries]])/24</f>
        <v>1.5075757575757576E-2</v>
      </c>
      <c r="AA6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1.3328978807868097</v>
      </c>
      <c r="AB608" s="11">
        <f>AVERAGEIFS(EarningsPerDay[Gross $/Hour],EarningsPerDay[Week '#], EarningsPerDay[[#This Row],[Week '#]], EarningsPerDay[DOW], EarningsPerDay[[#This Row],[DOW]])</f>
        <v>25.972257118927978</v>
      </c>
      <c r="AC608" s="11">
        <f>EarningsPerDay[[#This Row],[Gross $/Hour]] - EarningsPerDay[[#This Row],[Weekly Average Earnings]]</f>
        <v>-4.2360762144053616</v>
      </c>
      <c r="AD608" s="11">
        <f>(SUMIFS(EarningsPerDay[Gross Earnings], EarningsPerDay[Date],"&gt;="&amp;EarningsPerDay[[#This Row],[Date]]-89, EarningsPerDay[Date], "&lt;="&amp;EarningsPerDay[[#This Row],[Date]]))/90</f>
        <v>82.198222222222213</v>
      </c>
    </row>
    <row r="609" spans="2:30" x14ac:dyDescent="0.35">
      <c r="B609" s="40">
        <v>45586</v>
      </c>
      <c r="C609" s="40">
        <f t="shared" si="55"/>
        <v>45586</v>
      </c>
      <c r="D609" s="4">
        <f>IF(EarningsPerDay[[#This Row],[Week '#]]&gt;=52,YEAR(EarningsPerDay[[#This Row],[Date]])-1,YEAR(EarningsPerDay[[#This Row],[Date]]))</f>
        <v>2024</v>
      </c>
      <c r="E609" s="4" t="str">
        <f>"QTR"&amp;IF(EarningsPerDay[[#This Row],[Week '#]] &lt;= 13, 1, IF(EarningsPerDay[[#This Row],[Week '#]] &lt;= 26, 2, IF(EarningsPerDay[[#This Row],[Week '#]] &lt;= 39, 3, 4)))</f>
        <v>QTR4</v>
      </c>
      <c r="F6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09" s="4">
        <f>IF(WEEKNUM(EarningsPerDay[[#This Row],[Date]], 2) = 53, 1, WEEKNUM(EarningsPerDay[[#This Row],[Date]],2))</f>
        <v>43</v>
      </c>
      <c r="H609" s="40" t="str">
        <f t="shared" ref="H609:H611" si="71">TEXT(B609,"DDDD")</f>
        <v>Monday</v>
      </c>
      <c r="I60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09" s="40" t="str" cm="1">
        <f t="array" ref="J609">IFERROR(VLOOKUP(MODE(IF(Combined[Date]=EarningsPerDay[[#This Row],[Date]],Combined[Area '#])),KPIs!$B$4:$C$7,2,FALSE),VLOOKUP(EarningsPerDay[[#This Row],[Date]],Combined[[Date]:[Primary Area]],8,FALSE))</f>
        <v>Augusta</v>
      </c>
      <c r="K609" s="40" t="str">
        <f>_xlfn.XLOOKUP(EarningsPerDay[[#This Row],[Date]],Mileage[Date],Mileage[Weather])</f>
        <v>Clear</v>
      </c>
      <c r="L609" s="4">
        <f>_xlfn.XLOOKUP(EarningsPerDay[[#This Row],[Date]],Mileage[Date],Mileage[Hi Temp])</f>
        <v>30</v>
      </c>
      <c r="M609" s="12">
        <f>_xlfn.XLOOKUP(EarningsPerDay[[#This Row],[Date]],Mileage[Date],Mileage[Total Time])</f>
        <v>4.93</v>
      </c>
      <c r="N609" s="4">
        <f>_xlfn.XLOOKUP(EarningsPerDay[[#This Row],[Date]],Mileage[Date],Mileage[Mileage])</f>
        <v>146</v>
      </c>
      <c r="O609" s="4">
        <f>SUMIF(Combined[Date],EarningsPerDay[[#This Row],[Date]],Combined[Trips])</f>
        <v>7</v>
      </c>
      <c r="P609">
        <f>COUNTIF(Combined[Date],EarningsPerDay[[#This Row],[Date]])</f>
        <v>2</v>
      </c>
      <c r="Q6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09" s="11">
        <f>SUMIF(Combined[Date],EarningsPerDay[[#This Row],[Date]],Combined[Earnings])</f>
        <v>87.43</v>
      </c>
      <c r="S609" s="11">
        <f ca="1">EarningsPerDay[[#This Row],[Gross Earnings]]-(EarningsPerDay[[#This Row],[Miles]]*CpM!$D$11)</f>
        <v>54.875928476270566</v>
      </c>
      <c r="T609" s="11">
        <f t="shared" si="61"/>
        <v>17.7342799188641</v>
      </c>
      <c r="U609" s="11">
        <f t="shared" ca="1" si="62"/>
        <v>11.131019974902753</v>
      </c>
      <c r="V609" s="11">
        <f>EarningsPerDay[[#This Row],[Gross Earnings]]/EarningsPerDay[[#This Row],[Deliveries]]</f>
        <v>12.49</v>
      </c>
      <c r="W609" s="11">
        <f>EarningsPerDay[[#This Row],[Gross Earnings]]/EarningsPerDay[[#This Row],[Miles]]</f>
        <v>0.59883561643835626</v>
      </c>
      <c r="X609" s="71">
        <f>EarningsPerDay[[#This Row],[Deliveries]]/EarningsPerDay[[#This Row],[Hours]]</f>
        <v>1.4198782961460448</v>
      </c>
      <c r="Y609" s="71">
        <f>EarningsPerDay[[#This Row],[Miles]]/EarningsPerDay[[#This Row],[Deliveries]]</f>
        <v>20.857142857142858</v>
      </c>
      <c r="Z609" s="81">
        <f>(EarningsPerDay[[#This Row],[Hours]]/EarningsPerDay[[#This Row],[Deliveries]])/24</f>
        <v>2.9345238095238094E-2</v>
      </c>
      <c r="AA6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-7.7025197374328904</v>
      </c>
      <c r="AB609" s="11">
        <f>AVERAGEIFS(EarningsPerDay[Gross $/Hour],EarningsPerDay[Week '#], EarningsPerDay[[#This Row],[Week '#]], EarningsPerDay[DOW], EarningsPerDay[[#This Row],[DOW]])</f>
        <v>19.130731392710466</v>
      </c>
      <c r="AC609" s="11">
        <f>EarningsPerDay[[#This Row],[Gross $/Hour]] - EarningsPerDay[[#This Row],[Weekly Average Earnings]]</f>
        <v>-1.3964514738463656</v>
      </c>
      <c r="AD609" s="11">
        <f>(SUMIFS(EarningsPerDay[Gross Earnings], EarningsPerDay[Date],"&gt;="&amp;EarningsPerDay[[#This Row],[Date]]-89, EarningsPerDay[Date], "&lt;="&amp;EarningsPerDay[[#This Row],[Date]]))/90</f>
        <v>82.157333333333341</v>
      </c>
    </row>
    <row r="610" spans="2:30" x14ac:dyDescent="0.35">
      <c r="B610" s="40">
        <v>45587</v>
      </c>
      <c r="C610" s="40">
        <f t="shared" si="55"/>
        <v>45587</v>
      </c>
      <c r="D610" s="4">
        <f>IF(EarningsPerDay[[#This Row],[Week '#]]&gt;=52,YEAR(EarningsPerDay[[#This Row],[Date]])-1,YEAR(EarningsPerDay[[#This Row],[Date]]))</f>
        <v>2024</v>
      </c>
      <c r="E610" s="4" t="str">
        <f>"QTR"&amp;IF(EarningsPerDay[[#This Row],[Week '#]] &lt;= 13, 1, IF(EarningsPerDay[[#This Row],[Week '#]] &lt;= 26, 2, IF(EarningsPerDay[[#This Row],[Week '#]] &lt;= 39, 3, 4)))</f>
        <v>QTR4</v>
      </c>
      <c r="F6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10" s="4">
        <f>IF(WEEKNUM(EarningsPerDay[[#This Row],[Date]], 2) = 53, 1, WEEKNUM(EarningsPerDay[[#This Row],[Date]],2))</f>
        <v>43</v>
      </c>
      <c r="H610" s="40" t="str">
        <f t="shared" si="71"/>
        <v>Tuesday</v>
      </c>
      <c r="I61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10" s="40" t="str" cm="1">
        <f t="array" ref="J610">IFERROR(VLOOKUP(MODE(IF(Combined[Date]=EarningsPerDay[[#This Row],[Date]],Combined[Area '#])),KPIs!$B$4:$C$7,2,FALSE),VLOOKUP(EarningsPerDay[[#This Row],[Date]],Combined[[Date]:[Primary Area]],8,FALSE))</f>
        <v>Brunswick/Bath/Freeport</v>
      </c>
      <c r="K610" s="40" t="str">
        <f>_xlfn.XLOOKUP(EarningsPerDay[[#This Row],[Date]],Mileage[Date],Mileage[Weather])</f>
        <v>Fog</v>
      </c>
      <c r="L610" s="4">
        <f>_xlfn.XLOOKUP(EarningsPerDay[[#This Row],[Date]],Mileage[Date],Mileage[Hi Temp])</f>
        <v>52</v>
      </c>
      <c r="M610" s="12">
        <f>_xlfn.XLOOKUP(EarningsPerDay[[#This Row],[Date]],Mileage[Date],Mileage[Total Time])</f>
        <v>4.55</v>
      </c>
      <c r="N610" s="4">
        <f>_xlfn.XLOOKUP(EarningsPerDay[[#This Row],[Date]],Mileage[Date],Mileage[Mileage])</f>
        <v>55</v>
      </c>
      <c r="O610" s="4">
        <f>SUMIF(Combined[Date],EarningsPerDay[[#This Row],[Date]],Combined[Trips])</f>
        <v>11</v>
      </c>
      <c r="P610">
        <f>COUNTIF(Combined[Date],EarningsPerDay[[#This Row],[Date]])</f>
        <v>1</v>
      </c>
      <c r="Q6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0" s="11">
        <f>SUMIF(Combined[Date],EarningsPerDay[[#This Row],[Date]],Combined[Earnings])</f>
        <v>100.80000000000001</v>
      </c>
      <c r="S610" s="11">
        <f ca="1">EarningsPerDay[[#This Row],[Gross Earnings]]-(EarningsPerDay[[#This Row],[Miles]]*CpM!$D$11)</f>
        <v>88.536479905444395</v>
      </c>
      <c r="T610" s="11">
        <f t="shared" si="61"/>
        <v>22.153846153846157</v>
      </c>
      <c r="U610" s="11">
        <f t="shared" ca="1" si="62"/>
        <v>19.458567012185583</v>
      </c>
      <c r="V610" s="11">
        <f>EarningsPerDay[[#This Row],[Gross Earnings]]/EarningsPerDay[[#This Row],[Deliveries]]</f>
        <v>9.163636363636364</v>
      </c>
      <c r="W610" s="11">
        <f>EarningsPerDay[[#This Row],[Gross Earnings]]/EarningsPerDay[[#This Row],[Miles]]</f>
        <v>1.832727272727273</v>
      </c>
      <c r="X610" s="71">
        <f>EarningsPerDay[[#This Row],[Deliveries]]/EarningsPerDay[[#This Row],[Hours]]</f>
        <v>2.4175824175824179</v>
      </c>
      <c r="Y610" s="71">
        <f>EarningsPerDay[[#This Row],[Miles]]/EarningsPerDay[[#This Row],[Deliveries]]</f>
        <v>5</v>
      </c>
      <c r="Z610" s="81">
        <f>(EarningsPerDay[[#This Row],[Hours]]/EarningsPerDay[[#This Row],[Deliveries]])/24</f>
        <v>1.7234848484848485E-2</v>
      </c>
      <c r="AA6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-2.217971211641423</v>
      </c>
      <c r="AB610" s="11">
        <f>AVERAGEIFS(EarningsPerDay[Gross $/Hour],EarningsPerDay[Week '#], EarningsPerDay[[#This Row],[Week '#]], EarningsPerDay[DOW], EarningsPerDay[[#This Row],[DOW]])</f>
        <v>22.257518733367181</v>
      </c>
      <c r="AC610" s="11">
        <f>EarningsPerDay[[#This Row],[Gross $/Hour]] - EarningsPerDay[[#This Row],[Weekly Average Earnings]]</f>
        <v>-0.10367257952102449</v>
      </c>
      <c r="AD610" s="11">
        <f>(SUMIFS(EarningsPerDay[Gross Earnings], EarningsPerDay[Date],"&gt;="&amp;EarningsPerDay[[#This Row],[Date]]-89, EarningsPerDay[Date], "&lt;="&amp;EarningsPerDay[[#This Row],[Date]]))/90</f>
        <v>81.674555555555571</v>
      </c>
    </row>
    <row r="611" spans="2:30" x14ac:dyDescent="0.35">
      <c r="B611" s="40">
        <v>45590</v>
      </c>
      <c r="C611" s="40">
        <f t="shared" si="55"/>
        <v>45590</v>
      </c>
      <c r="D611" s="4">
        <f>IF(EarningsPerDay[[#This Row],[Week '#]]&gt;=52,YEAR(EarningsPerDay[[#This Row],[Date]])-1,YEAR(EarningsPerDay[[#This Row],[Date]]))</f>
        <v>2024</v>
      </c>
      <c r="E611" s="4" t="str">
        <f>"QTR"&amp;IF(EarningsPerDay[[#This Row],[Week '#]] &lt;= 13, 1, IF(EarningsPerDay[[#This Row],[Week '#]] &lt;= 26, 2, IF(EarningsPerDay[[#This Row],[Week '#]] &lt;= 39, 3, 4)))</f>
        <v>QTR4</v>
      </c>
      <c r="F6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11" s="4">
        <f>IF(WEEKNUM(EarningsPerDay[[#This Row],[Date]], 2) = 53, 1, WEEKNUM(EarningsPerDay[[#This Row],[Date]],2))</f>
        <v>43</v>
      </c>
      <c r="H611" s="40" t="str">
        <f t="shared" si="71"/>
        <v>Friday</v>
      </c>
      <c r="I61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11" s="40" t="str" cm="1">
        <f t="array" ref="J611">IFERROR(VLOOKUP(MODE(IF(Combined[Date]=EarningsPerDay[[#This Row],[Date]],Combined[Area '#])),KPIs!$B$4:$C$7,2,FALSE),VLOOKUP(EarningsPerDay[[#This Row],[Date]],Combined[[Date]:[Primary Area]],8,FALSE))</f>
        <v>Brunswick/Bath/Freeport</v>
      </c>
      <c r="K611" s="40" t="str">
        <f>_xlfn.XLOOKUP(EarningsPerDay[[#This Row],[Date]],Mileage[Date],Mileage[Weather])</f>
        <v>Clear</v>
      </c>
      <c r="L611" s="4">
        <f>_xlfn.XLOOKUP(EarningsPerDay[[#This Row],[Date]],Mileage[Date],Mileage[Hi Temp])</f>
        <v>50</v>
      </c>
      <c r="M611" s="12">
        <f>_xlfn.XLOOKUP(EarningsPerDay[[#This Row],[Date]],Mileage[Date],Mileage[Total Time])</f>
        <v>5.23</v>
      </c>
      <c r="N611" s="4">
        <f>_xlfn.XLOOKUP(EarningsPerDay[[#This Row],[Date]],Mileage[Date],Mileage[Mileage])</f>
        <v>104</v>
      </c>
      <c r="O611" s="4">
        <f>SUMIF(Combined[Date],EarningsPerDay[[#This Row],[Date]],Combined[Trips])</f>
        <v>11</v>
      </c>
      <c r="P611">
        <f>COUNTIF(Combined[Date],EarningsPerDay[[#This Row],[Date]])</f>
        <v>1</v>
      </c>
      <c r="Q61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11" s="11">
        <f>SUMIF(Combined[Date],EarningsPerDay[[#This Row],[Date]],Combined[Earnings])</f>
        <v>105.94</v>
      </c>
      <c r="S611" s="11">
        <f ca="1">EarningsPerDay[[#This Row],[Gross Earnings]]-(EarningsPerDay[[#This Row],[Miles]]*CpM!$D$11)</f>
        <v>82.750798366658472</v>
      </c>
      <c r="T611" s="11">
        <f t="shared" si="61"/>
        <v>20.256214149139577</v>
      </c>
      <c r="U611" s="11">
        <f t="shared" ca="1" si="62"/>
        <v>15.822332383682307</v>
      </c>
      <c r="V611" s="11">
        <f>EarningsPerDay[[#This Row],[Gross Earnings]]/EarningsPerDay[[#This Row],[Deliveries]]</f>
        <v>9.6309090909090909</v>
      </c>
      <c r="W611" s="11">
        <f>EarningsPerDay[[#This Row],[Gross Earnings]]/EarningsPerDay[[#This Row],[Miles]]</f>
        <v>1.0186538461538461</v>
      </c>
      <c r="X611" s="71">
        <f>EarningsPerDay[[#This Row],[Deliveries]]/EarningsPerDay[[#This Row],[Hours]]</f>
        <v>2.1032504780114722</v>
      </c>
      <c r="Y611" s="71">
        <f>EarningsPerDay[[#This Row],[Miles]]/EarningsPerDay[[#This Row],[Deliveries]]</f>
        <v>9.454545454545455</v>
      </c>
      <c r="Z611" s="81">
        <f>(EarningsPerDay[[#This Row],[Hours]]/EarningsPerDay[[#This Row],[Deliveries]])/24</f>
        <v>1.9810606060606063E-2</v>
      </c>
      <c r="AA6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-3.4216941877281037</v>
      </c>
      <c r="AB611" s="11">
        <f>AVERAGEIFS(EarningsPerDay[Gross $/Hour],EarningsPerDay[Week '#], EarningsPerDay[[#This Row],[Week '#]], EarningsPerDay[DOW], EarningsPerDay[[#This Row],[DOW]])</f>
        <v>20.256214149139577</v>
      </c>
      <c r="AC611" s="11">
        <f>EarningsPerDay[[#This Row],[Gross $/Hour]] - EarningsPerDay[[#This Row],[Weekly Average Earnings]]</f>
        <v>0</v>
      </c>
      <c r="AD611" s="11">
        <f>(SUMIFS(EarningsPerDay[Gross Earnings], EarningsPerDay[Date],"&gt;="&amp;EarningsPerDay[[#This Row],[Date]]-89, EarningsPerDay[Date], "&lt;="&amp;EarningsPerDay[[#This Row],[Date]]))/90</f>
        <v>79.415555555555557</v>
      </c>
    </row>
    <row r="612" spans="2:30" x14ac:dyDescent="0.35">
      <c r="B612" s="40">
        <v>45592</v>
      </c>
      <c r="C612" s="40">
        <f t="shared" si="55"/>
        <v>45592</v>
      </c>
      <c r="D612" s="4">
        <f>IF(EarningsPerDay[[#This Row],[Week '#]]&gt;=52,YEAR(EarningsPerDay[[#This Row],[Date]])-1,YEAR(EarningsPerDay[[#This Row],[Date]]))</f>
        <v>2024</v>
      </c>
      <c r="E612" s="4" t="str">
        <f>"QTR"&amp;IF(EarningsPerDay[[#This Row],[Week '#]] &lt;= 13, 1, IF(EarningsPerDay[[#This Row],[Week '#]] &lt;= 26, 2, IF(EarningsPerDay[[#This Row],[Week '#]] &lt;= 39, 3, 4)))</f>
        <v>QTR4</v>
      </c>
      <c r="F6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12" s="4">
        <f>IF(WEEKNUM(EarningsPerDay[[#This Row],[Date]], 2) = 53, 1, WEEKNUM(EarningsPerDay[[#This Row],[Date]],2))</f>
        <v>43</v>
      </c>
      <c r="H612" s="40" t="str">
        <f>TEXT(B612,"DDDD")</f>
        <v>Sunday</v>
      </c>
      <c r="I61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12" s="40" t="str" cm="1">
        <f t="array" ref="J612">IFERROR(VLOOKUP(MODE(IF(Combined[Date]=EarningsPerDay[[#This Row],[Date]],Combined[Area '#])),KPIs!$B$4:$C$7,2,FALSE),VLOOKUP(EarningsPerDay[[#This Row],[Date]],Combined[[Date]:[Primary Area]],8,FALSE))</f>
        <v>Brunswick/Bath/Freeport</v>
      </c>
      <c r="K612" s="40" t="str">
        <f>_xlfn.XLOOKUP(EarningsPerDay[[#This Row],[Date]],Mileage[Date],Mileage[Weather])</f>
        <v>Mostly Cloudy</v>
      </c>
      <c r="L612" s="4">
        <f>_xlfn.XLOOKUP(EarningsPerDay[[#This Row],[Date]],Mileage[Date],Mileage[Hi Temp])</f>
        <v>45</v>
      </c>
      <c r="M612" s="12">
        <f>_xlfn.XLOOKUP(EarningsPerDay[[#This Row],[Date]],Mileage[Date],Mileage[Total Time])</f>
        <v>4.63</v>
      </c>
      <c r="N612" s="4">
        <f>_xlfn.XLOOKUP(EarningsPerDay[[#This Row],[Date]],Mileage[Date],Mileage[Mileage])</f>
        <v>93</v>
      </c>
      <c r="O612" s="4">
        <f>SUMIF(Combined[Date],EarningsPerDay[[#This Row],[Date]],Combined[Trips])</f>
        <v>14</v>
      </c>
      <c r="P612">
        <f>COUNTIF(Combined[Date],EarningsPerDay[[#This Row],[Date]])</f>
        <v>2</v>
      </c>
      <c r="Q6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2" s="11">
        <f>SUMIF(Combined[Date],EarningsPerDay[[#This Row],[Date]],Combined[Earnings])</f>
        <v>110.34</v>
      </c>
      <c r="S612" s="11">
        <f ca="1">EarningsPerDay[[#This Row],[Gross Earnings]]-(EarningsPerDay[[#This Row],[Miles]]*CpM!$D$11)</f>
        <v>89.603502385569612</v>
      </c>
      <c r="T612" s="11">
        <f t="shared" si="61"/>
        <v>23.831533477321816</v>
      </c>
      <c r="U612" s="11">
        <f t="shared" ca="1" si="62"/>
        <v>19.352808290619787</v>
      </c>
      <c r="V612" s="11">
        <f>EarningsPerDay[[#This Row],[Gross Earnings]]/EarningsPerDay[[#This Row],[Deliveries]]</f>
        <v>7.8814285714285717</v>
      </c>
      <c r="W612" s="11">
        <f>EarningsPerDay[[#This Row],[Gross Earnings]]/EarningsPerDay[[#This Row],[Miles]]</f>
        <v>1.1864516129032259</v>
      </c>
      <c r="X612" s="71">
        <f>EarningsPerDay[[#This Row],[Deliveries]]/EarningsPerDay[[#This Row],[Hours]]</f>
        <v>3.0237580993520519</v>
      </c>
      <c r="Y612" s="71">
        <f>EarningsPerDay[[#This Row],[Miles]]/EarningsPerDay[[#This Row],[Deliveries]]</f>
        <v>6.6428571428571432</v>
      </c>
      <c r="Z612" s="81">
        <f>(EarningsPerDay[[#This Row],[Hours]]/EarningsPerDay[[#This Row],[Deliveries]])/24</f>
        <v>1.3779761904761904E-2</v>
      </c>
      <c r="AA6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1.0823027932030875</v>
      </c>
      <c r="AB612" s="11">
        <f>AVERAGEIFS(EarningsPerDay[Gross $/Hour],EarningsPerDay[Week '#], EarningsPerDay[[#This Row],[Week '#]], EarningsPerDay[DOW], EarningsPerDay[[#This Row],[DOW]])</f>
        <v>24.648174146068314</v>
      </c>
      <c r="AC612" s="11">
        <f>EarningsPerDay[[#This Row],[Gross $/Hour]] - EarningsPerDay[[#This Row],[Weekly Average Earnings]]</f>
        <v>-0.81664066874649777</v>
      </c>
      <c r="AD612" s="11">
        <f>(SUMIFS(EarningsPerDay[Gross Earnings], EarningsPerDay[Date],"&gt;="&amp;EarningsPerDay[[#This Row],[Date]]-89, EarningsPerDay[Date], "&lt;="&amp;EarningsPerDay[[#This Row],[Date]]))/90</f>
        <v>78.702555555555563</v>
      </c>
    </row>
    <row r="613" spans="2:30" x14ac:dyDescent="0.35">
      <c r="B613" s="40">
        <v>45593</v>
      </c>
      <c r="C613" s="40">
        <f t="shared" si="55"/>
        <v>45593</v>
      </c>
      <c r="D613" s="4">
        <f>IF(EarningsPerDay[[#This Row],[Week '#]]&gt;=52,YEAR(EarningsPerDay[[#This Row],[Date]])-1,YEAR(EarningsPerDay[[#This Row],[Date]]))</f>
        <v>2024</v>
      </c>
      <c r="E613" s="4" t="str">
        <f>"QTR"&amp;IF(EarningsPerDay[[#This Row],[Week '#]] &lt;= 13, 1, IF(EarningsPerDay[[#This Row],[Week '#]] &lt;= 26, 2, IF(EarningsPerDay[[#This Row],[Week '#]] &lt;= 39, 3, 4)))</f>
        <v>QTR4</v>
      </c>
      <c r="F6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3" s="4">
        <f>IF(WEEKNUM(EarningsPerDay[[#This Row],[Date]], 2) = 53, 1, WEEKNUM(EarningsPerDay[[#This Row],[Date]],2))</f>
        <v>44</v>
      </c>
      <c r="H613" s="40" t="str">
        <f t="shared" ref="H613:H618" si="72">TEXT(B613,"DDDD")</f>
        <v>Monday</v>
      </c>
      <c r="I61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13" s="40" t="str" cm="1">
        <f t="array" ref="J613">IFERROR(VLOOKUP(MODE(IF(Combined[Date]=EarningsPerDay[[#This Row],[Date]],Combined[Area '#])),KPIs!$B$4:$C$7,2,FALSE),VLOOKUP(EarningsPerDay[[#This Row],[Date]],Combined[[Date]:[Primary Area]],8,FALSE))</f>
        <v>Brunswick/Bath/Freeport</v>
      </c>
      <c r="K613" s="40" t="str">
        <f>_xlfn.XLOOKUP(EarningsPerDay[[#This Row],[Date]],Mileage[Date],Mileage[Weather])</f>
        <v>Clear</v>
      </c>
      <c r="L613" s="4">
        <f>_xlfn.XLOOKUP(EarningsPerDay[[#This Row],[Date]],Mileage[Date],Mileage[Hi Temp])</f>
        <v>41</v>
      </c>
      <c r="M613" s="12">
        <f>_xlfn.XLOOKUP(EarningsPerDay[[#This Row],[Date]],Mileage[Date],Mileage[Total Time])</f>
        <v>1.42</v>
      </c>
      <c r="N613" s="4">
        <f>_xlfn.XLOOKUP(EarningsPerDay[[#This Row],[Date]],Mileage[Date],Mileage[Mileage])</f>
        <v>28</v>
      </c>
      <c r="O613" s="4">
        <f>SUMIF(Combined[Date],EarningsPerDay[[#This Row],[Date]],Combined[Trips])</f>
        <v>2</v>
      </c>
      <c r="P613">
        <f>COUNTIF(Combined[Date],EarningsPerDay[[#This Row],[Date]])</f>
        <v>2</v>
      </c>
      <c r="Q6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3" s="11">
        <f>SUMIF(Combined[Date],EarningsPerDay[[#This Row],[Date]],Combined[Earnings])</f>
        <v>30.26</v>
      </c>
      <c r="S613" s="11">
        <f ca="1">EarningsPerDay[[#This Row],[Gross Earnings]]-(EarningsPerDay[[#This Row],[Miles]]*CpM!$D$11)</f>
        <v>24.016753406408053</v>
      </c>
      <c r="T613" s="11">
        <f t="shared" si="61"/>
        <v>21.30985915492958</v>
      </c>
      <c r="U613" s="11">
        <f t="shared" ca="1" si="62"/>
        <v>16.913206624231023</v>
      </c>
      <c r="V613" s="11">
        <f>EarningsPerDay[[#This Row],[Gross Earnings]]/EarningsPerDay[[#This Row],[Deliveries]]</f>
        <v>15.13</v>
      </c>
      <c r="W613" s="11">
        <f>EarningsPerDay[[#This Row],[Gross Earnings]]/EarningsPerDay[[#This Row],[Miles]]</f>
        <v>1.0807142857142857</v>
      </c>
      <c r="X613" s="71">
        <f>EarningsPerDay[[#This Row],[Deliveries]]/EarningsPerDay[[#This Row],[Hours]]</f>
        <v>1.4084507042253522</v>
      </c>
      <c r="Y613" s="71">
        <f>EarningsPerDay[[#This Row],[Miles]]/EarningsPerDay[[#This Row],[Deliveries]]</f>
        <v>14</v>
      </c>
      <c r="Z613" s="81">
        <f>(EarningsPerDay[[#This Row],[Hours]]/EarningsPerDay[[#This Row],[Deliveries]])/24</f>
        <v>2.9583333333333333E-2</v>
      </c>
      <c r="AA6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-4.0105902801228268</v>
      </c>
      <c r="AB613" s="11">
        <f>AVERAGEIFS(EarningsPerDay[Gross $/Hour],EarningsPerDay[Week '#], EarningsPerDay[[#This Row],[Week '#]], EarningsPerDay[DOW], EarningsPerDay[[#This Row],[DOW]])</f>
        <v>23.348653143428958</v>
      </c>
      <c r="AC613" s="11">
        <f>EarningsPerDay[[#This Row],[Gross $/Hour]] - EarningsPerDay[[#This Row],[Weekly Average Earnings]]</f>
        <v>-2.0387939884993784</v>
      </c>
      <c r="AD613" s="11">
        <f>(SUMIFS(EarningsPerDay[Gross Earnings], EarningsPerDay[Date],"&gt;="&amp;EarningsPerDay[[#This Row],[Date]]-89, EarningsPerDay[Date], "&lt;="&amp;EarningsPerDay[[#This Row],[Date]]))/90</f>
        <v>77.552666666666681</v>
      </c>
    </row>
    <row r="614" spans="2:30" x14ac:dyDescent="0.35">
      <c r="B614" s="40">
        <v>45594</v>
      </c>
      <c r="C614" s="40">
        <f t="shared" si="55"/>
        <v>45594</v>
      </c>
      <c r="D614" s="4">
        <f>IF(EarningsPerDay[[#This Row],[Week '#]]&gt;=52,YEAR(EarningsPerDay[[#This Row],[Date]])-1,YEAR(EarningsPerDay[[#This Row],[Date]]))</f>
        <v>2024</v>
      </c>
      <c r="E614" s="4" t="str">
        <f>"QTR"&amp;IF(EarningsPerDay[[#This Row],[Week '#]] &lt;= 13, 1, IF(EarningsPerDay[[#This Row],[Week '#]] &lt;= 26, 2, IF(EarningsPerDay[[#This Row],[Week '#]] &lt;= 39, 3, 4)))</f>
        <v>QTR4</v>
      </c>
      <c r="F6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4" s="4">
        <f>IF(WEEKNUM(EarningsPerDay[[#This Row],[Date]], 2) = 53, 1, WEEKNUM(EarningsPerDay[[#This Row],[Date]],2))</f>
        <v>44</v>
      </c>
      <c r="H614" s="40" t="str">
        <f t="shared" si="72"/>
        <v>Tuesday</v>
      </c>
      <c r="I61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14" s="40" t="str" cm="1">
        <f t="array" ref="J614">IFERROR(VLOOKUP(MODE(IF(Combined[Date]=EarningsPerDay[[#This Row],[Date]],Combined[Area '#])),KPIs!$B$4:$C$7,2,FALSE),VLOOKUP(EarningsPerDay[[#This Row],[Date]],Combined[[Date]:[Primary Area]],8,FALSE))</f>
        <v>Portland</v>
      </c>
      <c r="K614" s="40" t="str">
        <f>_xlfn.XLOOKUP(EarningsPerDay[[#This Row],[Date]],Mileage[Date],Mileage[Weather])</f>
        <v>Overcast</v>
      </c>
      <c r="L614" s="4">
        <f>_xlfn.XLOOKUP(EarningsPerDay[[#This Row],[Date]],Mileage[Date],Mileage[Hi Temp])</f>
        <v>52</v>
      </c>
      <c r="M614" s="12">
        <f>_xlfn.XLOOKUP(EarningsPerDay[[#This Row],[Date]],Mileage[Date],Mileage[Total Time])</f>
        <v>4.9800000000000004</v>
      </c>
      <c r="N614" s="4">
        <f>_xlfn.XLOOKUP(EarningsPerDay[[#This Row],[Date]],Mileage[Date],Mileage[Mileage])</f>
        <v>126</v>
      </c>
      <c r="O614" s="4">
        <f>SUMIF(Combined[Date],EarningsPerDay[[#This Row],[Date]],Combined[Trips])</f>
        <v>8</v>
      </c>
      <c r="P614">
        <f>COUNTIF(Combined[Date],EarningsPerDay[[#This Row],[Date]])</f>
        <v>1</v>
      </c>
      <c r="Q6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4" s="11">
        <f>SUMIF(Combined[Date],EarningsPerDay[[#This Row],[Date]],Combined[Earnings])</f>
        <v>61.53</v>
      </c>
      <c r="S614" s="11">
        <f ca="1">EarningsPerDay[[#This Row],[Gross Earnings]]-(EarningsPerDay[[#This Row],[Miles]]*CpM!$D$11)</f>
        <v>33.435390328836235</v>
      </c>
      <c r="T614" s="11">
        <f t="shared" si="61"/>
        <v>12.355421686746988</v>
      </c>
      <c r="U614" s="11">
        <f t="shared" ca="1" si="62"/>
        <v>6.7139338009711311</v>
      </c>
      <c r="V614" s="11">
        <f>EarningsPerDay[[#This Row],[Gross Earnings]]/EarningsPerDay[[#This Row],[Deliveries]]</f>
        <v>7.6912500000000001</v>
      </c>
      <c r="W614" s="11">
        <f>EarningsPerDay[[#This Row],[Gross Earnings]]/EarningsPerDay[[#This Row],[Miles]]</f>
        <v>0.48833333333333334</v>
      </c>
      <c r="X614" s="71">
        <f>EarningsPerDay[[#This Row],[Deliveries]]/EarningsPerDay[[#This Row],[Hours]]</f>
        <v>1.6064257028112447</v>
      </c>
      <c r="Y614" s="71">
        <f>EarningsPerDay[[#This Row],[Miles]]/EarningsPerDay[[#This Row],[Deliveries]]</f>
        <v>15.75</v>
      </c>
      <c r="Z614" s="81">
        <f>(EarningsPerDay[[#This Row],[Hours]]/EarningsPerDay[[#This Row],[Deliveries]])/24</f>
        <v>2.5937500000000002E-2</v>
      </c>
      <c r="AA6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-7.7541218668703653</v>
      </c>
      <c r="AB614" s="11">
        <f>AVERAGEIFS(EarningsPerDay[Gross $/Hour],EarningsPerDay[Week '#], EarningsPerDay[[#This Row],[Week '#]], EarningsPerDay[DOW], EarningsPerDay[[#This Row],[DOW]])</f>
        <v>21.655685828705042</v>
      </c>
      <c r="AC614" s="11">
        <f>EarningsPerDay[[#This Row],[Gross $/Hour]] - EarningsPerDay[[#This Row],[Weekly Average Earnings]]</f>
        <v>-9.3002641419580545</v>
      </c>
      <c r="AD614" s="11">
        <f>(SUMIFS(EarningsPerDay[Gross Earnings], EarningsPerDay[Date],"&gt;="&amp;EarningsPerDay[[#This Row],[Date]]-89, EarningsPerDay[Date], "&lt;="&amp;EarningsPerDay[[#This Row],[Date]]))/90</f>
        <v>77.76144444444445</v>
      </c>
    </row>
    <row r="615" spans="2:30" x14ac:dyDescent="0.35">
      <c r="B615" s="40">
        <v>45595</v>
      </c>
      <c r="C615" s="40">
        <f t="shared" si="55"/>
        <v>45595</v>
      </c>
      <c r="D615" s="4">
        <f>IF(EarningsPerDay[[#This Row],[Week '#]]&gt;=52,YEAR(EarningsPerDay[[#This Row],[Date]])-1,YEAR(EarningsPerDay[[#This Row],[Date]]))</f>
        <v>2024</v>
      </c>
      <c r="E615" s="4" t="str">
        <f>"QTR"&amp;IF(EarningsPerDay[[#This Row],[Week '#]] &lt;= 13, 1, IF(EarningsPerDay[[#This Row],[Week '#]] &lt;= 26, 2, IF(EarningsPerDay[[#This Row],[Week '#]] &lt;= 39, 3, 4)))</f>
        <v>QTR4</v>
      </c>
      <c r="F6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5" s="4">
        <f>IF(WEEKNUM(EarningsPerDay[[#This Row],[Date]], 2) = 53, 1, WEEKNUM(EarningsPerDay[[#This Row],[Date]],2))</f>
        <v>44</v>
      </c>
      <c r="H615" s="40" t="str">
        <f t="shared" si="72"/>
        <v>Wednesday</v>
      </c>
      <c r="I61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15" s="40" t="str" cm="1">
        <f t="array" ref="J615">IFERROR(VLOOKUP(MODE(IF(Combined[Date]=EarningsPerDay[[#This Row],[Date]],Combined[Area '#])),KPIs!$B$4:$C$7,2,FALSE),VLOOKUP(EarningsPerDay[[#This Row],[Date]],Combined[[Date]:[Primary Area]],8,FALSE))</f>
        <v>Brunswick/Bath/Freeport</v>
      </c>
      <c r="K615" s="40" t="str">
        <f>_xlfn.XLOOKUP(EarningsPerDay[[#This Row],[Date]],Mileage[Date],Mileage[Weather])</f>
        <v>Fog</v>
      </c>
      <c r="L615" s="4">
        <f>_xlfn.XLOOKUP(EarningsPerDay[[#This Row],[Date]],Mileage[Date],Mileage[Hi Temp])</f>
        <v>54</v>
      </c>
      <c r="M615" s="12">
        <f>_xlfn.XLOOKUP(EarningsPerDay[[#This Row],[Date]],Mileage[Date],Mileage[Total Time])</f>
        <v>4.0199999999999996</v>
      </c>
      <c r="N615" s="4">
        <f>_xlfn.XLOOKUP(EarningsPerDay[[#This Row],[Date]],Mileage[Date],Mileage[Mileage])</f>
        <v>74</v>
      </c>
      <c r="O615" s="4">
        <f>SUMIF(Combined[Date],EarningsPerDay[[#This Row],[Date]],Combined[Trips])</f>
        <v>10</v>
      </c>
      <c r="P615">
        <f>COUNTIF(Combined[Date],EarningsPerDay[[#This Row],[Date]])</f>
        <v>1</v>
      </c>
      <c r="Q61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15" s="11">
        <f>SUMIF(Combined[Date],EarningsPerDay[[#This Row],[Date]],Combined[Earnings])</f>
        <v>117.5</v>
      </c>
      <c r="S615" s="11">
        <f ca="1">EarningsPerDay[[#This Row],[Gross Earnings]]-(EarningsPerDay[[#This Row],[Miles]]*CpM!$D$11)</f>
        <v>100.999991145507</v>
      </c>
      <c r="T615" s="11">
        <f t="shared" si="61"/>
        <v>29.228855721393039</v>
      </c>
      <c r="U615" s="11">
        <f t="shared" ca="1" si="62"/>
        <v>25.124375906842538</v>
      </c>
      <c r="V615" s="11">
        <f>EarningsPerDay[[#This Row],[Gross Earnings]]/EarningsPerDay[[#This Row],[Deliveries]]</f>
        <v>11.75</v>
      </c>
      <c r="W615" s="11">
        <f>EarningsPerDay[[#This Row],[Gross Earnings]]/EarningsPerDay[[#This Row],[Miles]]</f>
        <v>1.5878378378378379</v>
      </c>
      <c r="X615" s="71">
        <f>EarningsPerDay[[#This Row],[Deliveries]]/EarningsPerDay[[#This Row],[Hours]]</f>
        <v>2.4875621890547266</v>
      </c>
      <c r="Y615" s="71">
        <f>EarningsPerDay[[#This Row],[Miles]]/EarningsPerDay[[#This Row],[Deliveries]]</f>
        <v>7.4</v>
      </c>
      <c r="Z615" s="81">
        <f>(EarningsPerDay[[#This Row],[Hours]]/EarningsPerDay[[#This Row],[Deliveries]])/24</f>
        <v>1.6749999999999998E-2</v>
      </c>
      <c r="AA6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7.391007090625493</v>
      </c>
      <c r="AB615" s="11">
        <f>AVERAGEIFS(EarningsPerDay[Gross $/Hour],EarningsPerDay[Week '#], EarningsPerDay[[#This Row],[Week '#]], EarningsPerDay[DOW], EarningsPerDay[[#This Row],[DOW]])</f>
        <v>26.418192488621589</v>
      </c>
      <c r="AC615" s="11">
        <f>EarningsPerDay[[#This Row],[Gross $/Hour]] - EarningsPerDay[[#This Row],[Weekly Average Earnings]]</f>
        <v>2.81066323277145</v>
      </c>
      <c r="AD615" s="11">
        <f>(SUMIFS(EarningsPerDay[Gross Earnings], EarningsPerDay[Date],"&gt;="&amp;EarningsPerDay[[#This Row],[Date]]-89, EarningsPerDay[Date], "&lt;="&amp;EarningsPerDay[[#This Row],[Date]]))/90</f>
        <v>78.113222222222234</v>
      </c>
    </row>
    <row r="616" spans="2:30" x14ac:dyDescent="0.35">
      <c r="B616" s="40">
        <v>45597</v>
      </c>
      <c r="C616" s="40">
        <f t="shared" si="55"/>
        <v>45597</v>
      </c>
      <c r="D616" s="4">
        <f>IF(EarningsPerDay[[#This Row],[Week '#]]&gt;=52,YEAR(EarningsPerDay[[#This Row],[Date]])-1,YEAR(EarningsPerDay[[#This Row],[Date]]))</f>
        <v>2024</v>
      </c>
      <c r="E616" s="4" t="str">
        <f>"QTR"&amp;IF(EarningsPerDay[[#This Row],[Week '#]] &lt;= 13, 1, IF(EarningsPerDay[[#This Row],[Week '#]] &lt;= 26, 2, IF(EarningsPerDay[[#This Row],[Week '#]] &lt;= 39, 3, 4)))</f>
        <v>QTR4</v>
      </c>
      <c r="F6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6" s="4">
        <f>IF(WEEKNUM(EarningsPerDay[[#This Row],[Date]], 2) = 53, 1, WEEKNUM(EarningsPerDay[[#This Row],[Date]],2))</f>
        <v>44</v>
      </c>
      <c r="H616" s="40" t="str">
        <f t="shared" si="72"/>
        <v>Friday</v>
      </c>
      <c r="I61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16" s="40" t="str" cm="1">
        <f t="array" ref="J616">IFERROR(VLOOKUP(MODE(IF(Combined[Date]=EarningsPerDay[[#This Row],[Date]],Combined[Area '#])),KPIs!$B$4:$C$7,2,FALSE),VLOOKUP(EarningsPerDay[[#This Row],[Date]],Combined[[Date]:[Primary Area]],8,FALSE))</f>
        <v>Brunswick/Bath/Freeport</v>
      </c>
      <c r="K616" s="40" t="str">
        <f>_xlfn.XLOOKUP(EarningsPerDay[[#This Row],[Date]],Mileage[Date],Mileage[Weather])</f>
        <v>Clear</v>
      </c>
      <c r="L616" s="4">
        <f>_xlfn.XLOOKUP(EarningsPerDay[[#This Row],[Date]],Mileage[Date],Mileage[Hi Temp])</f>
        <v>59</v>
      </c>
      <c r="M616" s="12">
        <f>_xlfn.XLOOKUP(EarningsPerDay[[#This Row],[Date]],Mileage[Date],Mileage[Total Time])</f>
        <v>6.88</v>
      </c>
      <c r="N616" s="4">
        <f>_xlfn.XLOOKUP(EarningsPerDay[[#This Row],[Date]],Mileage[Date],Mileage[Mileage])</f>
        <v>172</v>
      </c>
      <c r="O616" s="4">
        <f>SUMIF(Combined[Date],EarningsPerDay[[#This Row],[Date]],Combined[Trips])</f>
        <v>17</v>
      </c>
      <c r="P616">
        <f>COUNTIF(Combined[Date],EarningsPerDay[[#This Row],[Date]])</f>
        <v>2</v>
      </c>
      <c r="Q6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6" s="11">
        <f>SUMIF(Combined[Date],EarningsPerDay[[#This Row],[Date]],Combined[Earnings])</f>
        <v>223.74</v>
      </c>
      <c r="S616" s="11">
        <f ca="1">EarningsPerDay[[#This Row],[Gross Earnings]]-(EarningsPerDay[[#This Row],[Miles]]*CpM!$D$11)</f>
        <v>185.3886280679352</v>
      </c>
      <c r="T616" s="11">
        <f t="shared" si="61"/>
        <v>32.520348837209305</v>
      </c>
      <c r="U616" s="11">
        <f t="shared" ca="1" si="62"/>
        <v>26.94602152150221</v>
      </c>
      <c r="V616" s="11">
        <f>EarningsPerDay[[#This Row],[Gross Earnings]]/EarningsPerDay[[#This Row],[Deliveries]]</f>
        <v>13.161176470588236</v>
      </c>
      <c r="W616" s="11">
        <f>EarningsPerDay[[#This Row],[Gross Earnings]]/EarningsPerDay[[#This Row],[Miles]]</f>
        <v>1.3008139534883723</v>
      </c>
      <c r="X616" s="71">
        <f>EarningsPerDay[[#This Row],[Deliveries]]/EarningsPerDay[[#This Row],[Hours]]</f>
        <v>2.4709302325581395</v>
      </c>
      <c r="Y616" s="71">
        <f>EarningsPerDay[[#This Row],[Miles]]/EarningsPerDay[[#This Row],[Deliveries]]</f>
        <v>10.117647058823529</v>
      </c>
      <c r="Z616" s="81">
        <f>(EarningsPerDay[[#This Row],[Hours]]/EarningsPerDay[[#This Row],[Deliveries]])/24</f>
        <v>1.6862745098039218E-2</v>
      </c>
      <c r="AA6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9.0325346218820748</v>
      </c>
      <c r="AB616" s="11">
        <f>AVERAGEIFS(EarningsPerDay[Gross $/Hour],EarningsPerDay[Week '#], EarningsPerDay[[#This Row],[Week '#]], EarningsPerDay[DOW], EarningsPerDay[[#This Row],[DOW]])</f>
        <v>32.520348837209305</v>
      </c>
      <c r="AC616" s="11">
        <f>EarningsPerDay[[#This Row],[Gross $/Hour]] - EarningsPerDay[[#This Row],[Weekly Average Earnings]]</f>
        <v>0</v>
      </c>
      <c r="AD616" s="11">
        <f>(SUMIFS(EarningsPerDay[Gross Earnings], EarningsPerDay[Date],"&gt;="&amp;EarningsPerDay[[#This Row],[Date]]-89, EarningsPerDay[Date], "&lt;="&amp;EarningsPerDay[[#This Row],[Date]]))/90</f>
        <v>78.732777777777784</v>
      </c>
    </row>
    <row r="617" spans="2:30" x14ac:dyDescent="0.35">
      <c r="B617" s="40">
        <v>45598</v>
      </c>
      <c r="C617" s="40">
        <f t="shared" si="55"/>
        <v>45598</v>
      </c>
      <c r="D617" s="4">
        <f>IF(EarningsPerDay[[#This Row],[Week '#]]&gt;=52,YEAR(EarningsPerDay[[#This Row],[Date]])-1,YEAR(EarningsPerDay[[#This Row],[Date]]))</f>
        <v>2024</v>
      </c>
      <c r="E617" s="4" t="str">
        <f>"QTR"&amp;IF(EarningsPerDay[[#This Row],[Week '#]] &lt;= 13, 1, IF(EarningsPerDay[[#This Row],[Week '#]] &lt;= 26, 2, IF(EarningsPerDay[[#This Row],[Week '#]] &lt;= 39, 3, 4)))</f>
        <v>QTR4</v>
      </c>
      <c r="F6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7" s="4">
        <f>IF(WEEKNUM(EarningsPerDay[[#This Row],[Date]], 2) = 53, 1, WEEKNUM(EarningsPerDay[[#This Row],[Date]],2))</f>
        <v>44</v>
      </c>
      <c r="H617" s="40" t="str">
        <f t="shared" si="72"/>
        <v>Saturday</v>
      </c>
      <c r="I617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617" s="40" t="str" cm="1">
        <f t="array" ref="J617">IFERROR(VLOOKUP(MODE(IF(Combined[Date]=EarningsPerDay[[#This Row],[Date]],Combined[Area '#])),KPIs!$B$4:$C$7,2,FALSE),VLOOKUP(EarningsPerDay[[#This Row],[Date]],Combined[[Date]:[Primary Area]],8,FALSE))</f>
        <v>Portland</v>
      </c>
      <c r="K617" s="40" t="str">
        <f>_xlfn.XLOOKUP(EarningsPerDay[[#This Row],[Date]],Mileage[Date],Mileage[Weather])</f>
        <v>Clear</v>
      </c>
      <c r="L617" s="4">
        <f>_xlfn.XLOOKUP(EarningsPerDay[[#This Row],[Date]],Mileage[Date],Mileage[Hi Temp])</f>
        <v>37</v>
      </c>
      <c r="M617" s="12">
        <f>_xlfn.XLOOKUP(EarningsPerDay[[#This Row],[Date]],Mileage[Date],Mileage[Total Time])</f>
        <v>6.3</v>
      </c>
      <c r="N617" s="4">
        <f>_xlfn.XLOOKUP(EarningsPerDay[[#This Row],[Date]],Mileage[Date],Mileage[Mileage])</f>
        <v>128</v>
      </c>
      <c r="O617" s="4">
        <f>SUMIF(Combined[Date],EarningsPerDay[[#This Row],[Date]],Combined[Trips])</f>
        <v>13</v>
      </c>
      <c r="P617">
        <f>COUNTIF(Combined[Date],EarningsPerDay[[#This Row],[Date]])</f>
        <v>2</v>
      </c>
      <c r="Q6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7" s="11">
        <f>SUMIF(Combined[Date],EarningsPerDay[[#This Row],[Date]],Combined[Earnings])</f>
        <v>100.36</v>
      </c>
      <c r="S617" s="11">
        <f ca="1">EarningsPerDay[[#This Row],[Gross Earnings]]-(EarningsPerDay[[#This Row],[Miles]]*CpM!$D$11)</f>
        <v>71.819444143579673</v>
      </c>
      <c r="T617" s="11">
        <f t="shared" si="61"/>
        <v>15.93015873015873</v>
      </c>
      <c r="U617" s="11">
        <f t="shared" ca="1" si="62"/>
        <v>11.39991176882217</v>
      </c>
      <c r="V617" s="11">
        <f>EarningsPerDay[[#This Row],[Gross Earnings]]/EarningsPerDay[[#This Row],[Deliveries]]</f>
        <v>7.72</v>
      </c>
      <c r="W617" s="11">
        <f>EarningsPerDay[[#This Row],[Gross Earnings]]/EarningsPerDay[[#This Row],[Miles]]</f>
        <v>0.7840625</v>
      </c>
      <c r="X617" s="71">
        <f>EarningsPerDay[[#This Row],[Deliveries]]/EarningsPerDay[[#This Row],[Hours]]</f>
        <v>2.0634920634920637</v>
      </c>
      <c r="Y617" s="71">
        <f>EarningsPerDay[[#This Row],[Miles]]/EarningsPerDay[[#This Row],[Deliveries]]</f>
        <v>9.8461538461538467</v>
      </c>
      <c r="Z617" s="81">
        <f>(EarningsPerDay[[#This Row],[Hours]]/EarningsPerDay[[#This Row],[Deliveries]])/24</f>
        <v>2.0192307692307693E-2</v>
      </c>
      <c r="AA6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-8.3598656278927237</v>
      </c>
      <c r="AB617" s="11">
        <f>AVERAGEIFS(EarningsPerDay[Gross $/Hour],EarningsPerDay[Week '#], EarningsPerDay[[#This Row],[Week '#]], EarningsPerDay[DOW], EarningsPerDay[[#This Row],[DOW]])</f>
        <v>20.061507532095767</v>
      </c>
      <c r="AC617" s="11">
        <f>EarningsPerDay[[#This Row],[Gross $/Hour]] - EarningsPerDay[[#This Row],[Weekly Average Earnings]]</f>
        <v>-4.1313488019370368</v>
      </c>
      <c r="AD617" s="11">
        <f>(SUMIFS(EarningsPerDay[Gross Earnings], EarningsPerDay[Date],"&gt;="&amp;EarningsPerDay[[#This Row],[Date]]-89, EarningsPerDay[Date], "&lt;="&amp;EarningsPerDay[[#This Row],[Date]]))/90</f>
        <v>78.518000000000001</v>
      </c>
    </row>
    <row r="618" spans="2:30" x14ac:dyDescent="0.35">
      <c r="B618" s="40">
        <v>45599</v>
      </c>
      <c r="C618" s="40">
        <f t="shared" si="55"/>
        <v>45599</v>
      </c>
      <c r="D618" s="4">
        <f>IF(EarningsPerDay[[#This Row],[Week '#]]&gt;=52,YEAR(EarningsPerDay[[#This Row],[Date]])-1,YEAR(EarningsPerDay[[#This Row],[Date]]))</f>
        <v>2024</v>
      </c>
      <c r="E618" s="4" t="str">
        <f>"QTR"&amp;IF(EarningsPerDay[[#This Row],[Week '#]] &lt;= 13, 1, IF(EarningsPerDay[[#This Row],[Week '#]] &lt;= 26, 2, IF(EarningsPerDay[[#This Row],[Week '#]] &lt;= 39, 3, 4)))</f>
        <v>QTR4</v>
      </c>
      <c r="F6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18" s="4">
        <f>IF(WEEKNUM(EarningsPerDay[[#This Row],[Date]], 2) = 53, 1, WEEKNUM(EarningsPerDay[[#This Row],[Date]],2))</f>
        <v>44</v>
      </c>
      <c r="H618" s="40" t="str">
        <f t="shared" si="72"/>
        <v>Sunday</v>
      </c>
      <c r="I61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18" s="40" t="str" cm="1">
        <f t="array" ref="J618">IFERROR(VLOOKUP(MODE(IF(Combined[Date]=EarningsPerDay[[#This Row],[Date]],Combined[Area '#])),KPIs!$B$4:$C$7,2,FALSE),VLOOKUP(EarningsPerDay[[#This Row],[Date]],Combined[[Date]:[Primary Area]],8,FALSE))</f>
        <v>Brunswick/Bath/Freeport</v>
      </c>
      <c r="K618" s="40" t="str">
        <f>_xlfn.XLOOKUP(EarningsPerDay[[#This Row],[Date]],Mileage[Date],Mileage[Weather])</f>
        <v>Clear</v>
      </c>
      <c r="L618" s="4">
        <f>_xlfn.XLOOKUP(EarningsPerDay[[#This Row],[Date]],Mileage[Date],Mileage[Hi Temp])</f>
        <v>41</v>
      </c>
      <c r="M618" s="12">
        <f>_xlfn.XLOOKUP(EarningsPerDay[[#This Row],[Date]],Mileage[Date],Mileage[Total Time])</f>
        <v>6.13</v>
      </c>
      <c r="N618" s="4">
        <f>_xlfn.XLOOKUP(EarningsPerDay[[#This Row],[Date]],Mileage[Date],Mileage[Mileage])</f>
        <v>121</v>
      </c>
      <c r="O618" s="4">
        <f>SUMIF(Combined[Date],EarningsPerDay[[#This Row],[Date]],Combined[Trips])</f>
        <v>16</v>
      </c>
      <c r="P618">
        <f>COUNTIF(Combined[Date],EarningsPerDay[[#This Row],[Date]])</f>
        <v>2</v>
      </c>
      <c r="Q61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18" s="11">
        <f>SUMIF(Combined[Date],EarningsPerDay[[#This Row],[Date]],Combined[Earnings])</f>
        <v>175.5</v>
      </c>
      <c r="S618" s="11">
        <f ca="1">EarningsPerDay[[#This Row],[Gross Earnings]]-(EarningsPerDay[[#This Row],[Miles]]*CpM!$D$11)</f>
        <v>148.52025579197766</v>
      </c>
      <c r="T618" s="11">
        <f t="shared" si="61"/>
        <v>28.62969004893964</v>
      </c>
      <c r="U618" s="11">
        <f t="shared" ca="1" si="62"/>
        <v>24.228426719735346</v>
      </c>
      <c r="V618" s="11">
        <f>EarningsPerDay[[#This Row],[Gross Earnings]]/EarningsPerDay[[#This Row],[Deliveries]]</f>
        <v>10.96875</v>
      </c>
      <c r="W618" s="11">
        <f>EarningsPerDay[[#This Row],[Gross Earnings]]/EarningsPerDay[[#This Row],[Miles]]</f>
        <v>1.4504132231404958</v>
      </c>
      <c r="X618" s="71">
        <f>EarningsPerDay[[#This Row],[Deliveries]]/EarningsPerDay[[#This Row],[Hours]]</f>
        <v>2.6101141924959217</v>
      </c>
      <c r="Y618" s="71">
        <f>EarningsPerDay[[#This Row],[Miles]]/EarningsPerDay[[#This Row],[Deliveries]]</f>
        <v>7.5625</v>
      </c>
      <c r="Z618" s="81">
        <f>(EarningsPerDay[[#This Row],[Hours]]/EarningsPerDay[[#This Row],[Deliveries]])/24</f>
        <v>1.5963541666666668E-2</v>
      </c>
      <c r="AA6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5.7722290855006051</v>
      </c>
      <c r="AB618" s="11">
        <f>AVERAGEIFS(EarningsPerDay[Gross $/Hour],EarningsPerDay[Week '#], EarningsPerDay[[#This Row],[Week '#]], EarningsPerDay[DOW], EarningsPerDay[[#This Row],[DOW]])</f>
        <v>25.478956891064474</v>
      </c>
      <c r="AC618" s="11">
        <f>EarningsPerDay[[#This Row],[Gross $/Hour]] - EarningsPerDay[[#This Row],[Weekly Average Earnings]]</f>
        <v>3.1507331578751661</v>
      </c>
      <c r="AD618" s="11">
        <f>(SUMIFS(EarningsPerDay[Gross Earnings], EarningsPerDay[Date],"&gt;="&amp;EarningsPerDay[[#This Row],[Date]]-89, EarningsPerDay[Date], "&lt;="&amp;EarningsPerDay[[#This Row],[Date]]))/90</f>
        <v>80.468000000000004</v>
      </c>
    </row>
    <row r="619" spans="2:30" x14ac:dyDescent="0.35">
      <c r="B619" s="40">
        <v>45600</v>
      </c>
      <c r="C619" s="40">
        <f t="shared" si="55"/>
        <v>45600</v>
      </c>
      <c r="D619" s="4">
        <f>IF(EarningsPerDay[[#This Row],[Week '#]]&gt;=52,YEAR(EarningsPerDay[[#This Row],[Date]])-1,YEAR(EarningsPerDay[[#This Row],[Date]]))</f>
        <v>2024</v>
      </c>
      <c r="E619" s="4" t="str">
        <f>"QTR"&amp;IF(EarningsPerDay[[#This Row],[Week '#]] &lt;= 13, 1, IF(EarningsPerDay[[#This Row],[Week '#]] &lt;= 26, 2, IF(EarningsPerDay[[#This Row],[Week '#]] &lt;= 39, 3, 4)))</f>
        <v>QTR4</v>
      </c>
      <c r="F6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19" s="4">
        <f>IF(WEEKNUM(EarningsPerDay[[#This Row],[Date]], 2) = 53, 1, WEEKNUM(EarningsPerDay[[#This Row],[Date]],2))</f>
        <v>45</v>
      </c>
      <c r="H619" s="40" t="str">
        <f t="shared" ref="H619:H622" si="73">TEXT(B619,"DDDD")</f>
        <v>Monday</v>
      </c>
      <c r="I61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19" s="40" t="str" cm="1">
        <f t="array" ref="J619">IFERROR(VLOOKUP(MODE(IF(Combined[Date]=EarningsPerDay[[#This Row],[Date]],Combined[Area '#])),KPIs!$B$4:$C$7,2,FALSE),VLOOKUP(EarningsPerDay[[#This Row],[Date]],Combined[[Date]:[Primary Area]],8,FALSE))</f>
        <v>Brunswick/Bath/Freeport</v>
      </c>
      <c r="K619" s="40" t="str">
        <f>_xlfn.XLOOKUP(EarningsPerDay[[#This Row],[Date]],Mileage[Date],Mileage[Weather])</f>
        <v>Mostly Cloudy</v>
      </c>
      <c r="L619" s="4">
        <f>_xlfn.XLOOKUP(EarningsPerDay[[#This Row],[Date]],Mileage[Date],Mileage[Hi Temp])</f>
        <v>43</v>
      </c>
      <c r="M619" s="12">
        <f>_xlfn.XLOOKUP(EarningsPerDay[[#This Row],[Date]],Mileage[Date],Mileage[Total Time])</f>
        <v>5.35</v>
      </c>
      <c r="N619" s="4">
        <f>_xlfn.XLOOKUP(EarningsPerDay[[#This Row],[Date]],Mileage[Date],Mileage[Mileage])</f>
        <v>87</v>
      </c>
      <c r="O619" s="4">
        <f>SUMIF(Combined[Date],EarningsPerDay[[#This Row],[Date]],Combined[Trips])</f>
        <v>11</v>
      </c>
      <c r="P619">
        <f>COUNTIF(Combined[Date],EarningsPerDay[[#This Row],[Date]])</f>
        <v>3</v>
      </c>
      <c r="Q61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19" s="11">
        <f>SUMIF(Combined[Date],EarningsPerDay[[#This Row],[Date]],Combined[Earnings])</f>
        <v>127.31</v>
      </c>
      <c r="S619" s="11">
        <f ca="1">EarningsPerDay[[#This Row],[Gross Earnings]]-(EarningsPerDay[[#This Row],[Miles]]*CpM!$D$11)</f>
        <v>107.9113409413393</v>
      </c>
      <c r="T619" s="11">
        <f t="shared" si="61"/>
        <v>23.796261682242992</v>
      </c>
      <c r="U619" s="11">
        <f t="shared" ca="1" si="62"/>
        <v>20.170344101184916</v>
      </c>
      <c r="V619" s="11">
        <f>EarningsPerDay[[#This Row],[Gross Earnings]]/EarningsPerDay[[#This Row],[Deliveries]]</f>
        <v>11.573636363636364</v>
      </c>
      <c r="W619" s="11">
        <f>EarningsPerDay[[#This Row],[Gross Earnings]]/EarningsPerDay[[#This Row],[Miles]]</f>
        <v>1.4633333333333334</v>
      </c>
      <c r="X619" s="71">
        <f>EarningsPerDay[[#This Row],[Deliveries]]/EarningsPerDay[[#This Row],[Hours]]</f>
        <v>2.0560747663551404</v>
      </c>
      <c r="Y619" s="71">
        <f>EarningsPerDay[[#This Row],[Miles]]/EarningsPerDay[[#This Row],[Deliveries]]</f>
        <v>7.9090909090909092</v>
      </c>
      <c r="Z619" s="81">
        <f>(EarningsPerDay[[#This Row],[Hours]]/EarningsPerDay[[#This Row],[Deliveries]])/24</f>
        <v>2.0265151515151514E-2</v>
      </c>
      <c r="AA6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-1.2377170185149282</v>
      </c>
      <c r="AB619" s="11">
        <f>AVERAGEIFS(EarningsPerDay[Gross $/Hour],EarningsPerDay[Week '#], EarningsPerDay[[#This Row],[Week '#]], EarningsPerDay[DOW], EarningsPerDay[[#This Row],[DOW]])</f>
        <v>23.702445636735508</v>
      </c>
      <c r="AC619" s="11">
        <f>EarningsPerDay[[#This Row],[Gross $/Hour]] - EarningsPerDay[[#This Row],[Weekly Average Earnings]]</f>
        <v>9.3816045507484347E-2</v>
      </c>
      <c r="AD619" s="11">
        <f>(SUMIFS(EarningsPerDay[Gross Earnings], EarningsPerDay[Date],"&gt;="&amp;EarningsPerDay[[#This Row],[Date]]-89, EarningsPerDay[Date], "&lt;="&amp;EarningsPerDay[[#This Row],[Date]]))/90</f>
        <v>80.269888888888872</v>
      </c>
    </row>
    <row r="620" spans="2:30" x14ac:dyDescent="0.35">
      <c r="B620" s="40">
        <v>45601</v>
      </c>
      <c r="C620" s="40">
        <f t="shared" si="55"/>
        <v>45601</v>
      </c>
      <c r="D620" s="4">
        <f>IF(EarningsPerDay[[#This Row],[Week '#]]&gt;=52,YEAR(EarningsPerDay[[#This Row],[Date]])-1,YEAR(EarningsPerDay[[#This Row],[Date]]))</f>
        <v>2024</v>
      </c>
      <c r="E620" s="4" t="str">
        <f>"QTR"&amp;IF(EarningsPerDay[[#This Row],[Week '#]] &lt;= 13, 1, IF(EarningsPerDay[[#This Row],[Week '#]] &lt;= 26, 2, IF(EarningsPerDay[[#This Row],[Week '#]] &lt;= 39, 3, 4)))</f>
        <v>QTR4</v>
      </c>
      <c r="F6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20" s="4">
        <f>IF(WEEKNUM(EarningsPerDay[[#This Row],[Date]], 2) = 53, 1, WEEKNUM(EarningsPerDay[[#This Row],[Date]],2))</f>
        <v>45</v>
      </c>
      <c r="H620" s="40" t="str">
        <f t="shared" si="73"/>
        <v>Tuesday</v>
      </c>
      <c r="I62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20" s="40" t="str" cm="1">
        <f t="array" ref="J620">IFERROR(VLOOKUP(MODE(IF(Combined[Date]=EarningsPerDay[[#This Row],[Date]],Combined[Area '#])),KPIs!$B$4:$C$7,2,FALSE),VLOOKUP(EarningsPerDay[[#This Row],[Date]],Combined[[Date]:[Primary Area]],8,FALSE))</f>
        <v>Brunswick/Bath/Freeport</v>
      </c>
      <c r="K620" s="40" t="str">
        <f>_xlfn.XLOOKUP(EarningsPerDay[[#This Row],[Date]],Mileage[Date],Mileage[Weather])</f>
        <v>Clear</v>
      </c>
      <c r="L620" s="4">
        <f>_xlfn.XLOOKUP(EarningsPerDay[[#This Row],[Date]],Mileage[Date],Mileage[Hi Temp])</f>
        <v>52</v>
      </c>
      <c r="M620" s="12">
        <f>_xlfn.XLOOKUP(EarningsPerDay[[#This Row],[Date]],Mileage[Date],Mileage[Total Time])</f>
        <v>5.07</v>
      </c>
      <c r="N620" s="4">
        <f>_xlfn.XLOOKUP(EarningsPerDay[[#This Row],[Date]],Mileage[Date],Mileage[Mileage])</f>
        <v>87</v>
      </c>
      <c r="O620" s="4">
        <f>SUMIF(Combined[Date],EarningsPerDay[[#This Row],[Date]],Combined[Trips])</f>
        <v>11</v>
      </c>
      <c r="P620">
        <f>COUNTIF(Combined[Date],EarningsPerDay[[#This Row],[Date]])</f>
        <v>3</v>
      </c>
      <c r="Q6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0" s="11">
        <f>SUMIF(Combined[Date],EarningsPerDay[[#This Row],[Date]],Combined[Earnings])</f>
        <v>160.63999999999999</v>
      </c>
      <c r="S620" s="11">
        <f ca="1">EarningsPerDay[[#This Row],[Gross Earnings]]-(EarningsPerDay[[#This Row],[Miles]]*CpM!$D$11)</f>
        <v>141.2413409413393</v>
      </c>
      <c r="T620" s="11">
        <f t="shared" si="61"/>
        <v>31.684418145956602</v>
      </c>
      <c r="U620" s="11">
        <f t="shared" ca="1" si="62"/>
        <v>27.858252651151734</v>
      </c>
      <c r="V620" s="11">
        <f>EarningsPerDay[[#This Row],[Gross Earnings]]/EarningsPerDay[[#This Row],[Deliveries]]</f>
        <v>14.603636363636362</v>
      </c>
      <c r="W620" s="11">
        <f>EarningsPerDay[[#This Row],[Gross Earnings]]/EarningsPerDay[[#This Row],[Miles]]</f>
        <v>1.8464367816091953</v>
      </c>
      <c r="X620" s="71">
        <f>EarningsPerDay[[#This Row],[Deliveries]]/EarningsPerDay[[#This Row],[Hours]]</f>
        <v>2.1696252465483234</v>
      </c>
      <c r="Y620" s="71">
        <f>EarningsPerDay[[#This Row],[Miles]]/EarningsPerDay[[#This Row],[Deliveries]]</f>
        <v>7.9090909090909092</v>
      </c>
      <c r="Z620" s="81">
        <f>(EarningsPerDay[[#This Row],[Hours]]/EarningsPerDay[[#This Row],[Deliveries]])/24</f>
        <v>1.9204545454545457E-2</v>
      </c>
      <c r="AA6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7.5343979016331666</v>
      </c>
      <c r="AB620" s="11">
        <f>AVERAGEIFS(EarningsPerDay[Gross $/Hour],EarningsPerDay[Week '#], EarningsPerDay[[#This Row],[Week '#]], EarningsPerDay[DOW], EarningsPerDay[[#This Row],[DOW]])</f>
        <v>24.067332496186882</v>
      </c>
      <c r="AC620" s="11">
        <f>EarningsPerDay[[#This Row],[Gross $/Hour]] - EarningsPerDay[[#This Row],[Weekly Average Earnings]]</f>
        <v>7.6170856497697201</v>
      </c>
      <c r="AD620" s="11">
        <f>(SUMIFS(EarningsPerDay[Gross Earnings], EarningsPerDay[Date],"&gt;="&amp;EarningsPerDay[[#This Row],[Date]]-89, EarningsPerDay[Date], "&lt;="&amp;EarningsPerDay[[#This Row],[Date]]))/90</f>
        <v>82.054777777777772</v>
      </c>
    </row>
    <row r="621" spans="2:30" x14ac:dyDescent="0.35">
      <c r="B621" s="40">
        <v>45603</v>
      </c>
      <c r="C621" s="40">
        <f t="shared" si="55"/>
        <v>45603</v>
      </c>
      <c r="D621" s="4">
        <f>IF(EarningsPerDay[[#This Row],[Week '#]]&gt;=52,YEAR(EarningsPerDay[[#This Row],[Date]])-1,YEAR(EarningsPerDay[[#This Row],[Date]]))</f>
        <v>2024</v>
      </c>
      <c r="E621" s="4" t="str">
        <f>"QTR"&amp;IF(EarningsPerDay[[#This Row],[Week '#]] &lt;= 13, 1, IF(EarningsPerDay[[#This Row],[Week '#]] &lt;= 26, 2, IF(EarningsPerDay[[#This Row],[Week '#]] &lt;= 39, 3, 4)))</f>
        <v>QTR4</v>
      </c>
      <c r="F6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21" s="4">
        <f>IF(WEEKNUM(EarningsPerDay[[#This Row],[Date]], 2) = 53, 1, WEEKNUM(EarningsPerDay[[#This Row],[Date]],2))</f>
        <v>45</v>
      </c>
      <c r="H621" s="40" t="str">
        <f t="shared" si="73"/>
        <v>Thursday</v>
      </c>
      <c r="I62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21" s="40" t="str" cm="1">
        <f t="array" ref="J621">IFERROR(VLOOKUP(MODE(IF(Combined[Date]=EarningsPerDay[[#This Row],[Date]],Combined[Area '#])),KPIs!$B$4:$C$7,2,FALSE),VLOOKUP(EarningsPerDay[[#This Row],[Date]],Combined[[Date]:[Primary Area]],8,FALSE))</f>
        <v>Brunswick/Bath/Freeport</v>
      </c>
      <c r="K621" s="40" t="str">
        <f>_xlfn.XLOOKUP(EarningsPerDay[[#This Row],[Date]],Mileage[Date],Mileage[Weather])</f>
        <v>Clear</v>
      </c>
      <c r="L621" s="4">
        <f>_xlfn.XLOOKUP(EarningsPerDay[[#This Row],[Date]],Mileage[Date],Mileage[Hi Temp])</f>
        <v>46</v>
      </c>
      <c r="M621" s="12">
        <f>_xlfn.XLOOKUP(EarningsPerDay[[#This Row],[Date]],Mileage[Date],Mileage[Total Time])</f>
        <v>2.58</v>
      </c>
      <c r="N621" s="4">
        <f>_xlfn.XLOOKUP(EarningsPerDay[[#This Row],[Date]],Mileage[Date],Mileage[Mileage])</f>
        <v>28</v>
      </c>
      <c r="O621" s="4">
        <f>SUMIF(Combined[Date],EarningsPerDay[[#This Row],[Date]],Combined[Trips])</f>
        <v>3</v>
      </c>
      <c r="P621">
        <f>COUNTIF(Combined[Date],EarningsPerDay[[#This Row],[Date]])</f>
        <v>1</v>
      </c>
      <c r="Q6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1" s="11">
        <f>SUMIF(Combined[Date],EarningsPerDay[[#This Row],[Date]],Combined[Earnings])</f>
        <v>77.56</v>
      </c>
      <c r="S621" s="11">
        <f ca="1">EarningsPerDay[[#This Row],[Gross Earnings]]-(EarningsPerDay[[#This Row],[Miles]]*CpM!$D$11)</f>
        <v>71.316753406408054</v>
      </c>
      <c r="T621" s="11">
        <f t="shared" si="61"/>
        <v>30.062015503875969</v>
      </c>
      <c r="U621" s="11">
        <f t="shared" ca="1" si="62"/>
        <v>27.642152483103896</v>
      </c>
      <c r="V621" s="11">
        <f>EarningsPerDay[[#This Row],[Gross Earnings]]/EarningsPerDay[[#This Row],[Deliveries]]</f>
        <v>25.853333333333335</v>
      </c>
      <c r="W621" s="11">
        <f>EarningsPerDay[[#This Row],[Gross Earnings]]/EarningsPerDay[[#This Row],[Miles]]</f>
        <v>2.77</v>
      </c>
      <c r="X621" s="71">
        <f>EarningsPerDay[[#This Row],[Deliveries]]/EarningsPerDay[[#This Row],[Hours]]</f>
        <v>1.1627906976744187</v>
      </c>
      <c r="Y621" s="71">
        <f>EarningsPerDay[[#This Row],[Miles]]/EarningsPerDay[[#This Row],[Deliveries]]</f>
        <v>9.3333333333333339</v>
      </c>
      <c r="Z621" s="81">
        <f>(EarningsPerDay[[#This Row],[Hours]]/EarningsPerDay[[#This Row],[Deliveries]])/24</f>
        <v>3.5833333333333335E-2</v>
      </c>
      <c r="AA6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7.478108931808265</v>
      </c>
      <c r="AB621" s="11">
        <f>AVERAGEIFS(EarningsPerDay[Gross $/Hour],EarningsPerDay[Week '#], EarningsPerDay[[#This Row],[Week '#]], EarningsPerDay[DOW], EarningsPerDay[[#This Row],[DOW]])</f>
        <v>30.062015503875969</v>
      </c>
      <c r="AC621" s="11">
        <f>EarningsPerDay[[#This Row],[Gross $/Hour]] - EarningsPerDay[[#This Row],[Weekly Average Earnings]]</f>
        <v>0</v>
      </c>
      <c r="AD621" s="11">
        <f>(SUMIFS(EarningsPerDay[Gross Earnings], EarningsPerDay[Date],"&gt;="&amp;EarningsPerDay[[#This Row],[Date]]-89, EarningsPerDay[Date], "&lt;="&amp;EarningsPerDay[[#This Row],[Date]]))/90</f>
        <v>81.165777777777777</v>
      </c>
    </row>
    <row r="622" spans="2:30" x14ac:dyDescent="0.35">
      <c r="B622" s="40">
        <v>45607</v>
      </c>
      <c r="C622" s="40">
        <f t="shared" si="55"/>
        <v>45607</v>
      </c>
      <c r="D622" s="4">
        <f>IF(EarningsPerDay[[#This Row],[Week '#]]&gt;=52,YEAR(EarningsPerDay[[#This Row],[Date]])-1,YEAR(EarningsPerDay[[#This Row],[Date]]))</f>
        <v>2024</v>
      </c>
      <c r="E622" s="4" t="str">
        <f>"QTR"&amp;IF(EarningsPerDay[[#This Row],[Week '#]] &lt;= 13, 1, IF(EarningsPerDay[[#This Row],[Week '#]] &lt;= 26, 2, IF(EarningsPerDay[[#This Row],[Week '#]] &lt;= 39, 3, 4)))</f>
        <v>QTR4</v>
      </c>
      <c r="F6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22" s="4">
        <f>IF(WEEKNUM(EarningsPerDay[[#This Row],[Date]], 2) = 53, 1, WEEKNUM(EarningsPerDay[[#This Row],[Date]],2))</f>
        <v>46</v>
      </c>
      <c r="H622" s="40" t="str">
        <f t="shared" si="73"/>
        <v>Monday</v>
      </c>
      <c r="I62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22" s="40" t="str" cm="1">
        <f t="array" ref="J622">IFERROR(VLOOKUP(MODE(IF(Combined[Date]=EarningsPerDay[[#This Row],[Date]],Combined[Area '#])),KPIs!$B$4:$C$7,2,FALSE),VLOOKUP(EarningsPerDay[[#This Row],[Date]],Combined[[Date]:[Primary Area]],8,FALSE))</f>
        <v>Brunswick/Bath/Freeport</v>
      </c>
      <c r="K622" s="40" t="str">
        <f>_xlfn.XLOOKUP(EarningsPerDay[[#This Row],[Date]],Mileage[Date],Mileage[Weather])</f>
        <v>Overcast</v>
      </c>
      <c r="L622" s="4">
        <f>_xlfn.XLOOKUP(EarningsPerDay[[#This Row],[Date]],Mileage[Date],Mileage[Hi Temp])</f>
        <v>55</v>
      </c>
      <c r="M622" s="12">
        <f>_xlfn.XLOOKUP(EarningsPerDay[[#This Row],[Date]],Mileage[Date],Mileage[Total Time])</f>
        <v>5.03</v>
      </c>
      <c r="N622" s="4">
        <f>_xlfn.XLOOKUP(EarningsPerDay[[#This Row],[Date]],Mileage[Date],Mileage[Mileage])</f>
        <v>88</v>
      </c>
      <c r="O622" s="4">
        <f>SUMIF(Combined[Date],EarningsPerDay[[#This Row],[Date]],Combined[Trips])</f>
        <v>15</v>
      </c>
      <c r="P622">
        <f>COUNTIF(Combined[Date],EarningsPerDay[[#This Row],[Date]])</f>
        <v>2</v>
      </c>
      <c r="Q6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2" s="11">
        <f>SUMIF(Combined[Date],EarningsPerDay[[#This Row],[Date]],Combined[Earnings])</f>
        <v>143.59</v>
      </c>
      <c r="S622" s="11">
        <f ca="1">EarningsPerDay[[#This Row],[Gross Earnings]]-(EarningsPerDay[[#This Row],[Miles]]*CpM!$D$11)</f>
        <v>123.96836784871103</v>
      </c>
      <c r="T622" s="11">
        <f t="shared" si="61"/>
        <v>28.546719681908549</v>
      </c>
      <c r="U622" s="11">
        <f t="shared" ca="1" si="62"/>
        <v>24.645798777079726</v>
      </c>
      <c r="V622" s="11">
        <f>EarningsPerDay[[#This Row],[Gross Earnings]]/EarningsPerDay[[#This Row],[Deliveries]]</f>
        <v>9.5726666666666667</v>
      </c>
      <c r="W622" s="11">
        <f>EarningsPerDay[[#This Row],[Gross Earnings]]/EarningsPerDay[[#This Row],[Miles]]</f>
        <v>1.6317045454545456</v>
      </c>
      <c r="X622" s="71">
        <f>EarningsPerDay[[#This Row],[Deliveries]]/EarningsPerDay[[#This Row],[Hours]]</f>
        <v>2.982107355864811</v>
      </c>
      <c r="Y622" s="71">
        <f>EarningsPerDay[[#This Row],[Miles]]/EarningsPerDay[[#This Row],[Deliveries]]</f>
        <v>5.8666666666666663</v>
      </c>
      <c r="Z622" s="81">
        <f>(EarningsPerDay[[#This Row],[Hours]]/EarningsPerDay[[#This Row],[Deliveries]])/24</f>
        <v>1.3972222222222224E-2</v>
      </c>
      <c r="AA6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3.5952554490516242</v>
      </c>
      <c r="AB622" s="11">
        <f>AVERAGEIFS(EarningsPerDay[Gross $/Hour],EarningsPerDay[Week '#], EarningsPerDay[[#This Row],[Week '#]], EarningsPerDay[DOW], EarningsPerDay[[#This Row],[DOW]])</f>
        <v>23.916574509696126</v>
      </c>
      <c r="AC622" s="11">
        <f>EarningsPerDay[[#This Row],[Gross $/Hour]] - EarningsPerDay[[#This Row],[Weekly Average Earnings]]</f>
        <v>4.6301451722124227</v>
      </c>
      <c r="AD622" s="11">
        <f>(SUMIFS(EarningsPerDay[Gross Earnings], EarningsPerDay[Date],"&gt;="&amp;EarningsPerDay[[#This Row],[Date]]-89, EarningsPerDay[Date], "&lt;="&amp;EarningsPerDay[[#This Row],[Date]]))/90</f>
        <v>77.483555555555554</v>
      </c>
    </row>
    <row r="623" spans="2:30" x14ac:dyDescent="0.35">
      <c r="B623" s="40">
        <v>45608</v>
      </c>
      <c r="C623" s="40">
        <f t="shared" si="55"/>
        <v>45608</v>
      </c>
      <c r="D623" s="4">
        <f>IF(EarningsPerDay[[#This Row],[Week '#]]&gt;=52,YEAR(EarningsPerDay[[#This Row],[Date]])-1,YEAR(EarningsPerDay[[#This Row],[Date]]))</f>
        <v>2024</v>
      </c>
      <c r="E623" s="4" t="str">
        <f>"QTR"&amp;IF(EarningsPerDay[[#This Row],[Week '#]] &lt;= 13, 1, IF(EarningsPerDay[[#This Row],[Week '#]] &lt;= 26, 2, IF(EarningsPerDay[[#This Row],[Week '#]] &lt;= 39, 3, 4)))</f>
        <v>QTR4</v>
      </c>
      <c r="F6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23" s="4">
        <f>IF(WEEKNUM(EarningsPerDay[[#This Row],[Date]], 2) = 53, 1, WEEKNUM(EarningsPerDay[[#This Row],[Date]],2))</f>
        <v>46</v>
      </c>
      <c r="H623" s="40" t="str">
        <f t="shared" ref="H623:H631" si="74">TEXT(B623,"DDDD")</f>
        <v>Tuesday</v>
      </c>
      <c r="I623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23" s="40" t="str" cm="1">
        <f t="array" ref="J623">IFERROR(VLOOKUP(MODE(IF(Combined[Date]=EarningsPerDay[[#This Row],[Date]],Combined[Area '#])),KPIs!$B$4:$C$7,2,FALSE),VLOOKUP(EarningsPerDay[[#This Row],[Date]],Combined[[Date]:[Primary Area]],8,FALSE))</f>
        <v>Brunswick/Bath/Freeport</v>
      </c>
      <c r="K623" s="40" t="str">
        <f>_xlfn.XLOOKUP(EarningsPerDay[[#This Row],[Date]],Mileage[Date],Mileage[Weather])</f>
        <v>Clear</v>
      </c>
      <c r="L623" s="4">
        <f>_xlfn.XLOOKUP(EarningsPerDay[[#This Row],[Date]],Mileage[Date],Mileage[Hi Temp])</f>
        <v>34</v>
      </c>
      <c r="M623" s="12">
        <f>_xlfn.XLOOKUP(EarningsPerDay[[#This Row],[Date]],Mileage[Date],Mileage[Total Time])</f>
        <v>4.67</v>
      </c>
      <c r="N623" s="4">
        <f>_xlfn.XLOOKUP(EarningsPerDay[[#This Row],[Date]],Mileage[Date],Mileage[Mileage])</f>
        <v>71</v>
      </c>
      <c r="O623" s="4">
        <f>SUMIF(Combined[Date],EarningsPerDay[[#This Row],[Date]],Combined[Trips])</f>
        <v>12</v>
      </c>
      <c r="P623">
        <f>COUNTIF(Combined[Date],EarningsPerDay[[#This Row],[Date]])</f>
        <v>2</v>
      </c>
      <c r="Q6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3" s="11">
        <f>SUMIF(Combined[Date],EarningsPerDay[[#This Row],[Date]],Combined[Earnings])</f>
        <v>89.41</v>
      </c>
      <c r="S623" s="11">
        <f ca="1">EarningsPerDay[[#This Row],[Gross Earnings]]-(EarningsPerDay[[#This Row],[Miles]]*CpM!$D$11)</f>
        <v>73.578910423391847</v>
      </c>
      <c r="T623" s="11">
        <f t="shared" si="61"/>
        <v>19.14561027837259</v>
      </c>
      <c r="U623" s="11">
        <f t="shared" ca="1" si="62"/>
        <v>15.755655336914742</v>
      </c>
      <c r="V623" s="11">
        <f>EarningsPerDay[[#This Row],[Gross Earnings]]/EarningsPerDay[[#This Row],[Deliveries]]</f>
        <v>7.4508333333333328</v>
      </c>
      <c r="W623" s="11">
        <f>EarningsPerDay[[#This Row],[Gross Earnings]]/EarningsPerDay[[#This Row],[Miles]]</f>
        <v>1.2592957746478872</v>
      </c>
      <c r="X623" s="71">
        <f>EarningsPerDay[[#This Row],[Deliveries]]/EarningsPerDay[[#This Row],[Hours]]</f>
        <v>2.5695931477516059</v>
      </c>
      <c r="Y623" s="71">
        <f>EarningsPerDay[[#This Row],[Miles]]/EarningsPerDay[[#This Row],[Deliveries]]</f>
        <v>5.916666666666667</v>
      </c>
      <c r="Z623" s="81">
        <f>(EarningsPerDay[[#This Row],[Hours]]/EarningsPerDay[[#This Row],[Deliveries]])/24</f>
        <v>1.6215277777777776E-2</v>
      </c>
      <c r="AA6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-5.6893552297356784</v>
      </c>
      <c r="AB623" s="11">
        <f>AVERAGEIFS(EarningsPerDay[Gross $/Hour],EarningsPerDay[Week '#], EarningsPerDay[[#This Row],[Week '#]], EarningsPerDay[DOW], EarningsPerDay[[#This Row],[DOW]])</f>
        <v>27.181628668598059</v>
      </c>
      <c r="AC623" s="11">
        <f>EarningsPerDay[[#This Row],[Gross $/Hour]] - EarningsPerDay[[#This Row],[Weekly Average Earnings]]</f>
        <v>-8.0360183902254683</v>
      </c>
      <c r="AD623" s="11">
        <f>(SUMIFS(EarningsPerDay[Gross Earnings], EarningsPerDay[Date],"&gt;="&amp;EarningsPerDay[[#This Row],[Date]]-89, EarningsPerDay[Date], "&lt;="&amp;EarningsPerDay[[#This Row],[Date]]))/90</f>
        <v>76.7102222222222</v>
      </c>
    </row>
    <row r="624" spans="2:30" x14ac:dyDescent="0.35">
      <c r="B624" s="40">
        <v>45611</v>
      </c>
      <c r="C624" s="40">
        <f t="shared" ref="C624:C696" si="75">B624</f>
        <v>45611</v>
      </c>
      <c r="D624" s="4">
        <f>IF(EarningsPerDay[[#This Row],[Week '#]]&gt;=52,YEAR(EarningsPerDay[[#This Row],[Date]])-1,YEAR(EarningsPerDay[[#This Row],[Date]]))</f>
        <v>2024</v>
      </c>
      <c r="E624" s="4" t="str">
        <f>"QTR"&amp;IF(EarningsPerDay[[#This Row],[Week '#]] &lt;= 13, 1, IF(EarningsPerDay[[#This Row],[Week '#]] &lt;= 26, 2, IF(EarningsPerDay[[#This Row],[Week '#]] &lt;= 39, 3, 4)))</f>
        <v>QTR4</v>
      </c>
      <c r="F6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24" s="4">
        <f>IF(WEEKNUM(EarningsPerDay[[#This Row],[Date]], 2) = 53, 1, WEEKNUM(EarningsPerDay[[#This Row],[Date]],2))</f>
        <v>46</v>
      </c>
      <c r="H624" s="40" t="str">
        <f t="shared" si="74"/>
        <v>Friday</v>
      </c>
      <c r="I62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24" s="40" t="str" cm="1">
        <f t="array" ref="J624">IFERROR(VLOOKUP(MODE(IF(Combined[Date]=EarningsPerDay[[#This Row],[Date]],Combined[Area '#])),KPIs!$B$4:$C$7,2,FALSE),VLOOKUP(EarningsPerDay[[#This Row],[Date]],Combined[[Date]:[Primary Area]],8,FALSE))</f>
        <v>Brunswick/Bath/Freeport</v>
      </c>
      <c r="K624" s="40" t="str">
        <f>_xlfn.XLOOKUP(EarningsPerDay[[#This Row],[Date]],Mileage[Date],Mileage[Weather])</f>
        <v>Partially Cloudy</v>
      </c>
      <c r="L624" s="4">
        <f>_xlfn.XLOOKUP(EarningsPerDay[[#This Row],[Date]],Mileage[Date],Mileage[Hi Temp])</f>
        <v>50</v>
      </c>
      <c r="M624" s="12">
        <f>_xlfn.XLOOKUP(EarningsPerDay[[#This Row],[Date]],Mileage[Date],Mileage[Total Time])</f>
        <v>6.27</v>
      </c>
      <c r="N624" s="4">
        <f>_xlfn.XLOOKUP(EarningsPerDay[[#This Row],[Date]],Mileage[Date],Mileage[Mileage])</f>
        <v>114</v>
      </c>
      <c r="O624" s="4">
        <f>SUMIF(Combined[Date],EarningsPerDay[[#This Row],[Date]],Combined[Trips])</f>
        <v>17</v>
      </c>
      <c r="P624">
        <f>COUNTIF(Combined[Date],EarningsPerDay[[#This Row],[Date]])</f>
        <v>3</v>
      </c>
      <c r="Q6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4" s="11">
        <f>SUMIF(Combined[Date],EarningsPerDay[[#This Row],[Date]],Combined[Earnings])</f>
        <v>150.26</v>
      </c>
      <c r="S624" s="11">
        <f ca="1">EarningsPerDay[[#This Row],[Gross Earnings]]-(EarningsPerDay[[#This Row],[Miles]]*CpM!$D$11)</f>
        <v>124.84106744037564</v>
      </c>
      <c r="T624" s="11">
        <f t="shared" si="61"/>
        <v>23.964912280701753</v>
      </c>
      <c r="U624" s="11">
        <f t="shared" ca="1" si="62"/>
        <v>19.910856051096594</v>
      </c>
      <c r="V624" s="11">
        <f>EarningsPerDay[[#This Row],[Gross Earnings]]/EarningsPerDay[[#This Row],[Deliveries]]</f>
        <v>8.8388235294117639</v>
      </c>
      <c r="W624" s="11">
        <f>EarningsPerDay[[#This Row],[Gross Earnings]]/EarningsPerDay[[#This Row],[Miles]]</f>
        <v>1.3180701754385964</v>
      </c>
      <c r="X624" s="71">
        <f>EarningsPerDay[[#This Row],[Deliveries]]/EarningsPerDay[[#This Row],[Hours]]</f>
        <v>2.7113237639553431</v>
      </c>
      <c r="Y624" s="71">
        <f>EarningsPerDay[[#This Row],[Miles]]/EarningsPerDay[[#This Row],[Deliveries]]</f>
        <v>6.7058823529411766</v>
      </c>
      <c r="Z624" s="81">
        <f>(EarningsPerDay[[#This Row],[Hours]]/EarningsPerDay[[#This Row],[Deliveries]])/24</f>
        <v>1.5367647058823528E-2</v>
      </c>
      <c r="AA6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1.7015063280965137E-3</v>
      </c>
      <c r="AB624" s="11">
        <f>AVERAGEIFS(EarningsPerDay[Gross $/Hour],EarningsPerDay[Week '#], EarningsPerDay[[#This Row],[Week '#]], EarningsPerDay[DOW], EarningsPerDay[[#This Row],[DOW]])</f>
        <v>22.483122528976669</v>
      </c>
      <c r="AC624" s="11">
        <f>EarningsPerDay[[#This Row],[Gross $/Hour]] - EarningsPerDay[[#This Row],[Weekly Average Earnings]]</f>
        <v>1.4817897517250849</v>
      </c>
      <c r="AD624" s="11">
        <f>(SUMIFS(EarningsPerDay[Gross Earnings], EarningsPerDay[Date],"&gt;="&amp;EarningsPerDay[[#This Row],[Date]]-89, EarningsPerDay[Date], "&lt;="&amp;EarningsPerDay[[#This Row],[Date]]))/90</f>
        <v>73.73944444444443</v>
      </c>
    </row>
    <row r="625" spans="2:30" x14ac:dyDescent="0.35">
      <c r="B625" s="40">
        <v>45612</v>
      </c>
      <c r="C625" s="40">
        <f t="shared" si="75"/>
        <v>45612</v>
      </c>
      <c r="D625" s="4">
        <f>IF(EarningsPerDay[[#This Row],[Week '#]]&gt;=52,YEAR(EarningsPerDay[[#This Row],[Date]])-1,YEAR(EarningsPerDay[[#This Row],[Date]]))</f>
        <v>2024</v>
      </c>
      <c r="E625" s="4" t="str">
        <f>"QTR"&amp;IF(EarningsPerDay[[#This Row],[Week '#]] &lt;= 13, 1, IF(EarningsPerDay[[#This Row],[Week '#]] &lt;= 26, 2, IF(EarningsPerDay[[#This Row],[Week '#]] &lt;= 39, 3, 4)))</f>
        <v>QTR4</v>
      </c>
      <c r="F6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25" s="4">
        <f>IF(WEEKNUM(EarningsPerDay[[#This Row],[Date]], 2) = 53, 1, WEEKNUM(EarningsPerDay[[#This Row],[Date]],2))</f>
        <v>46</v>
      </c>
      <c r="H625" s="40" t="str">
        <f t="shared" si="74"/>
        <v>Saturday</v>
      </c>
      <c r="I62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25" s="40" t="str" cm="1">
        <f t="array" ref="J625">IFERROR(VLOOKUP(MODE(IF(Combined[Date]=EarningsPerDay[[#This Row],[Date]],Combined[Area '#])),KPIs!$B$4:$C$7,2,FALSE),VLOOKUP(EarningsPerDay[[#This Row],[Date]],Combined[[Date]:[Primary Area]],8,FALSE))</f>
        <v>Lewiston</v>
      </c>
      <c r="K625" s="40" t="str">
        <f>_xlfn.XLOOKUP(EarningsPerDay[[#This Row],[Date]],Mileage[Date],Mileage[Weather])</f>
        <v>Clear</v>
      </c>
      <c r="L625" s="4">
        <f>_xlfn.XLOOKUP(EarningsPerDay[[#This Row],[Date]],Mileage[Date],Mileage[Hi Temp])</f>
        <v>46</v>
      </c>
      <c r="M625" s="12">
        <f>_xlfn.XLOOKUP(EarningsPerDay[[#This Row],[Date]],Mileage[Date],Mileage[Total Time])</f>
        <v>8</v>
      </c>
      <c r="N625" s="4">
        <f>_xlfn.XLOOKUP(EarningsPerDay[[#This Row],[Date]],Mileage[Date],Mileage[Mileage])</f>
        <v>116</v>
      </c>
      <c r="O625" s="4">
        <f>SUMIF(Combined[Date],EarningsPerDay[[#This Row],[Date]],Combined[Trips])</f>
        <v>20</v>
      </c>
      <c r="P625">
        <f>COUNTIF(Combined[Date],EarningsPerDay[[#This Row],[Date]])</f>
        <v>5</v>
      </c>
      <c r="Q6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5" s="11">
        <f>SUMIF(Combined[Date],EarningsPerDay[[#This Row],[Date]],Combined[Earnings])</f>
        <v>174.28</v>
      </c>
      <c r="S625" s="11">
        <f ca="1">EarningsPerDay[[#This Row],[Gross Earnings]]-(EarningsPerDay[[#This Row],[Miles]]*CpM!$D$11)</f>
        <v>148.41512125511909</v>
      </c>
      <c r="T625" s="11">
        <f t="shared" si="61"/>
        <v>21.785</v>
      </c>
      <c r="U625" s="11">
        <f t="shared" ca="1" si="62"/>
        <v>18.551890156889886</v>
      </c>
      <c r="V625" s="11">
        <f>EarningsPerDay[[#This Row],[Gross Earnings]]/EarningsPerDay[[#This Row],[Deliveries]]</f>
        <v>8.7140000000000004</v>
      </c>
      <c r="W625" s="11">
        <f>EarningsPerDay[[#This Row],[Gross Earnings]]/EarningsPerDay[[#This Row],[Miles]]</f>
        <v>1.5024137931034482</v>
      </c>
      <c r="X625" s="71">
        <f>EarningsPerDay[[#This Row],[Deliveries]]/EarningsPerDay[[#This Row],[Hours]]</f>
        <v>2.5</v>
      </c>
      <c r="Y625" s="71">
        <f>EarningsPerDay[[#This Row],[Miles]]/EarningsPerDay[[#This Row],[Deliveries]]</f>
        <v>5.8</v>
      </c>
      <c r="Z625" s="81">
        <f>(EarningsPerDay[[#This Row],[Hours]]/EarningsPerDay[[#This Row],[Deliveries]])/24</f>
        <v>1.6666666666666666E-2</v>
      </c>
      <c r="AA6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-0.34518199152400086</v>
      </c>
      <c r="AB625" s="11">
        <f>AVERAGEIFS(EarningsPerDay[Gross $/Hour],EarningsPerDay[Week '#], EarningsPerDay[[#This Row],[Week '#]], EarningsPerDay[DOW], EarningsPerDay[[#This Row],[DOW]])</f>
        <v>19.625391333956259</v>
      </c>
      <c r="AC625" s="11">
        <f>EarningsPerDay[[#This Row],[Gross $/Hour]] - EarningsPerDay[[#This Row],[Weekly Average Earnings]]</f>
        <v>2.1596086660437415</v>
      </c>
      <c r="AD625" s="11">
        <f>(SUMIFS(EarningsPerDay[Gross Earnings], EarningsPerDay[Date],"&gt;="&amp;EarningsPerDay[[#This Row],[Date]]-89, EarningsPerDay[Date], "&lt;="&amp;EarningsPerDay[[#This Row],[Date]]))/90</f>
        <v>74.830333333333314</v>
      </c>
    </row>
    <row r="626" spans="2:30" x14ac:dyDescent="0.35">
      <c r="B626" s="40">
        <v>45614</v>
      </c>
      <c r="C626" s="40">
        <f t="shared" si="75"/>
        <v>45614</v>
      </c>
      <c r="D626" s="4">
        <f>IF(EarningsPerDay[[#This Row],[Week '#]]&gt;=52,YEAR(EarningsPerDay[[#This Row],[Date]])-1,YEAR(EarningsPerDay[[#This Row],[Date]]))</f>
        <v>2024</v>
      </c>
      <c r="E626" s="4" t="str">
        <f>"QTR"&amp;IF(EarningsPerDay[[#This Row],[Week '#]] &lt;= 13, 1, IF(EarningsPerDay[[#This Row],[Week '#]] &lt;= 26, 2, IF(EarningsPerDay[[#This Row],[Week '#]] &lt;= 39, 3, 4)))</f>
        <v>QTR4</v>
      </c>
      <c r="F6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26" s="4">
        <f>IF(WEEKNUM(EarningsPerDay[[#This Row],[Date]], 2) = 53, 1, WEEKNUM(EarningsPerDay[[#This Row],[Date]],2))</f>
        <v>47</v>
      </c>
      <c r="H626" s="40" t="str">
        <f t="shared" si="74"/>
        <v>Monday</v>
      </c>
      <c r="I62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26" s="40" t="str" cm="1">
        <f t="array" ref="J626">IFERROR(VLOOKUP(MODE(IF(Combined[Date]=EarningsPerDay[[#This Row],[Date]],Combined[Area '#])),KPIs!$B$4:$C$7,2,FALSE),VLOOKUP(EarningsPerDay[[#This Row],[Date]],Combined[[Date]:[Primary Area]],8,FALSE))</f>
        <v>Brunswick/Bath/Freeport</v>
      </c>
      <c r="K626" s="40" t="str">
        <f>_xlfn.XLOOKUP(EarningsPerDay[[#This Row],[Date]],Mileage[Date],Mileage[Weather])</f>
        <v>Overcast</v>
      </c>
      <c r="L626" s="4">
        <f>_xlfn.XLOOKUP(EarningsPerDay[[#This Row],[Date]],Mileage[Date],Mileage[Hi Temp])</f>
        <v>50</v>
      </c>
      <c r="M626" s="12">
        <f>_xlfn.XLOOKUP(EarningsPerDay[[#This Row],[Date]],Mileage[Date],Mileage[Total Time])</f>
        <v>3.02</v>
      </c>
      <c r="N626" s="4">
        <f>_xlfn.XLOOKUP(EarningsPerDay[[#This Row],[Date]],Mileage[Date],Mileage[Mileage])</f>
        <v>59</v>
      </c>
      <c r="O626" s="4">
        <f>SUMIF(Combined[Date],EarningsPerDay[[#This Row],[Date]],Combined[Trips])</f>
        <v>5</v>
      </c>
      <c r="P626">
        <f>COUNTIF(Combined[Date],EarningsPerDay[[#This Row],[Date]])</f>
        <v>2</v>
      </c>
      <c r="Q62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6" s="11">
        <f>SUMIF(Combined[Date],EarningsPerDay[[#This Row],[Date]],Combined[Earnings])</f>
        <v>68.75</v>
      </c>
      <c r="S626" s="11">
        <f ca="1">EarningsPerDay[[#This Row],[Gross Earnings]]-(EarningsPerDay[[#This Row],[Miles]]*CpM!$D$11)</f>
        <v>55.59458753493125</v>
      </c>
      <c r="T626" s="11">
        <f t="shared" si="61"/>
        <v>22.764900662251655</v>
      </c>
      <c r="U626" s="11">
        <f t="shared" ca="1" si="62"/>
        <v>18.408803819513658</v>
      </c>
      <c r="V626" s="11">
        <f>EarningsPerDay[[#This Row],[Gross Earnings]]/EarningsPerDay[[#This Row],[Deliveries]]</f>
        <v>13.75</v>
      </c>
      <c r="W626" s="11">
        <f>EarningsPerDay[[#This Row],[Gross Earnings]]/EarningsPerDay[[#This Row],[Miles]]</f>
        <v>1.1652542372881356</v>
      </c>
      <c r="X626" s="71">
        <f>EarningsPerDay[[#This Row],[Deliveries]]/EarningsPerDay[[#This Row],[Hours]]</f>
        <v>1.6556291390728477</v>
      </c>
      <c r="Y626" s="71">
        <f>EarningsPerDay[[#This Row],[Miles]]/EarningsPerDay[[#This Row],[Deliveries]]</f>
        <v>11.8</v>
      </c>
      <c r="Z626" s="81">
        <f>(EarningsPerDay[[#This Row],[Hours]]/EarningsPerDay[[#This Row],[Deliveries]])/24</f>
        <v>2.5166666666666667E-2</v>
      </c>
      <c r="AA6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-2.4112670361709938</v>
      </c>
      <c r="AB626" s="11">
        <f>AVERAGEIFS(EarningsPerDay[Gross $/Hour],EarningsPerDay[Week '#], EarningsPerDay[[#This Row],[Week '#]], EarningsPerDay[DOW], EarningsPerDay[[#This Row],[DOW]])</f>
        <v>25.390434083182001</v>
      </c>
      <c r="AC626" s="11">
        <f>EarningsPerDay[[#This Row],[Gross $/Hour]] - EarningsPerDay[[#This Row],[Weekly Average Earnings]]</f>
        <v>-2.6255334209303456</v>
      </c>
      <c r="AD626" s="11">
        <f>(SUMIFS(EarningsPerDay[Gross Earnings], EarningsPerDay[Date],"&gt;="&amp;EarningsPerDay[[#This Row],[Date]]-89, EarningsPerDay[Date], "&lt;="&amp;EarningsPerDay[[#This Row],[Date]]))/90</f>
        <v>75.594222222222214</v>
      </c>
    </row>
    <row r="627" spans="2:30" x14ac:dyDescent="0.35">
      <c r="B627" s="40">
        <v>45617</v>
      </c>
      <c r="C627" s="40">
        <f t="shared" si="75"/>
        <v>45617</v>
      </c>
      <c r="D627" s="4">
        <f>IF(EarningsPerDay[[#This Row],[Week '#]]&gt;=52,YEAR(EarningsPerDay[[#This Row],[Date]])-1,YEAR(EarningsPerDay[[#This Row],[Date]]))</f>
        <v>2024</v>
      </c>
      <c r="E627" s="4" t="str">
        <f>"QTR"&amp;IF(EarningsPerDay[[#This Row],[Week '#]] &lt;= 13, 1, IF(EarningsPerDay[[#This Row],[Week '#]] &lt;= 26, 2, IF(EarningsPerDay[[#This Row],[Week '#]] &lt;= 39, 3, 4)))</f>
        <v>QTR4</v>
      </c>
      <c r="F6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27" s="4">
        <f>IF(WEEKNUM(EarningsPerDay[[#This Row],[Date]], 2) = 53, 1, WEEKNUM(EarningsPerDay[[#This Row],[Date]],2))</f>
        <v>47</v>
      </c>
      <c r="H627" s="40" t="str">
        <f t="shared" si="74"/>
        <v>Thursday</v>
      </c>
      <c r="I62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27" s="40" t="str" cm="1">
        <f t="array" ref="J627">IFERROR(VLOOKUP(MODE(IF(Combined[Date]=EarningsPerDay[[#This Row],[Date]],Combined[Area '#])),KPIs!$B$4:$C$7,2,FALSE),VLOOKUP(EarningsPerDay[[#This Row],[Date]],Combined[[Date]:[Primary Area]],8,FALSE))</f>
        <v>Brunswick/Bath/Freeport</v>
      </c>
      <c r="K627" s="40" t="str">
        <f>_xlfn.XLOOKUP(EarningsPerDay[[#This Row],[Date]],Mileage[Date],Mileage[Weather])</f>
        <v>Fog</v>
      </c>
      <c r="L627" s="4">
        <f>_xlfn.XLOOKUP(EarningsPerDay[[#This Row],[Date]],Mileage[Date],Mileage[Hi Temp])</f>
        <v>45</v>
      </c>
      <c r="M627" s="12">
        <f>_xlfn.XLOOKUP(EarningsPerDay[[#This Row],[Date]],Mileage[Date],Mileage[Total Time])</f>
        <v>0.6</v>
      </c>
      <c r="N627" s="4">
        <f>_xlfn.XLOOKUP(EarningsPerDay[[#This Row],[Date]],Mileage[Date],Mileage[Mileage])</f>
        <v>19</v>
      </c>
      <c r="O627" s="4">
        <f>SUMIF(Combined[Date],EarningsPerDay[[#This Row],[Date]],Combined[Trips])</f>
        <v>1</v>
      </c>
      <c r="P627">
        <f>COUNTIF(Combined[Date],EarningsPerDay[[#This Row],[Date]])</f>
        <v>1</v>
      </c>
      <c r="Q6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7" s="11">
        <f>SUMIF(Combined[Date],EarningsPerDay[[#This Row],[Date]],Combined[Earnings])</f>
        <v>8.07</v>
      </c>
      <c r="S627" s="11">
        <f ca="1">EarningsPerDay[[#This Row],[Gross Earnings]]-(EarningsPerDay[[#This Row],[Miles]]*CpM!$D$11)</f>
        <v>3.8335112400626077</v>
      </c>
      <c r="T627" s="11">
        <f t="shared" si="61"/>
        <v>13.450000000000001</v>
      </c>
      <c r="U627" s="11">
        <f t="shared" ca="1" si="62"/>
        <v>6.3891854001043464</v>
      </c>
      <c r="V627" s="11">
        <f>EarningsPerDay[[#This Row],[Gross Earnings]]/EarningsPerDay[[#This Row],[Deliveries]]</f>
        <v>8.07</v>
      </c>
      <c r="W627" s="11">
        <f>EarningsPerDay[[#This Row],[Gross Earnings]]/EarningsPerDay[[#This Row],[Miles]]</f>
        <v>0.42473684210526319</v>
      </c>
      <c r="X627" s="71">
        <f>EarningsPerDay[[#This Row],[Deliveries]]/EarningsPerDay[[#This Row],[Hours]]</f>
        <v>1.6666666666666667</v>
      </c>
      <c r="Y627" s="71">
        <f>EarningsPerDay[[#This Row],[Miles]]/EarningsPerDay[[#This Row],[Deliveries]]</f>
        <v>19</v>
      </c>
      <c r="Z627" s="81">
        <f>(EarningsPerDay[[#This Row],[Hours]]/EarningsPerDay[[#This Row],[Deliveries]])/24</f>
        <v>2.4999999999999998E-2</v>
      </c>
      <c r="AA6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-9.964807564490842</v>
      </c>
      <c r="AB627" s="11">
        <f>AVERAGEIFS(EarningsPerDay[Gross $/Hour],EarningsPerDay[Week '#], EarningsPerDay[[#This Row],[Week '#]], EarningsPerDay[DOW], EarningsPerDay[[#This Row],[DOW]])</f>
        <v>15.912805605247465</v>
      </c>
      <c r="AC627" s="11">
        <f>EarningsPerDay[[#This Row],[Gross $/Hour]] - EarningsPerDay[[#This Row],[Weekly Average Earnings]]</f>
        <v>-2.4628056052474641</v>
      </c>
      <c r="AD627" s="11">
        <f>(SUMIFS(EarningsPerDay[Gross Earnings], EarningsPerDay[Date],"&gt;="&amp;EarningsPerDay[[#This Row],[Date]]-89, EarningsPerDay[Date], "&lt;="&amp;EarningsPerDay[[#This Row],[Date]]))/90</f>
        <v>69.86855555555556</v>
      </c>
    </row>
    <row r="628" spans="2:30" x14ac:dyDescent="0.35">
      <c r="B628" s="40">
        <v>45618</v>
      </c>
      <c r="C628" s="40">
        <f t="shared" si="75"/>
        <v>45618</v>
      </c>
      <c r="D628" s="4">
        <f>IF(EarningsPerDay[[#This Row],[Week '#]]&gt;=52,YEAR(EarningsPerDay[[#This Row],[Date]])-1,YEAR(EarningsPerDay[[#This Row],[Date]]))</f>
        <v>2024</v>
      </c>
      <c r="E628" s="4" t="str">
        <f>"QTR"&amp;IF(EarningsPerDay[[#This Row],[Week '#]] &lt;= 13, 1, IF(EarningsPerDay[[#This Row],[Week '#]] &lt;= 26, 2, IF(EarningsPerDay[[#This Row],[Week '#]] &lt;= 39, 3, 4)))</f>
        <v>QTR4</v>
      </c>
      <c r="F6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28" s="4">
        <f>IF(WEEKNUM(EarningsPerDay[[#This Row],[Date]], 2) = 53, 1, WEEKNUM(EarningsPerDay[[#This Row],[Date]],2))</f>
        <v>47</v>
      </c>
      <c r="H628" s="40" t="str">
        <f t="shared" si="74"/>
        <v>Friday</v>
      </c>
      <c r="I62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28" s="40" t="str" cm="1">
        <f t="array" ref="J628">IFERROR(VLOOKUP(MODE(IF(Combined[Date]=EarningsPerDay[[#This Row],[Date]],Combined[Area '#])),KPIs!$B$4:$C$7,2,FALSE),VLOOKUP(EarningsPerDay[[#This Row],[Date]],Combined[[Date]:[Primary Area]],8,FALSE))</f>
        <v>Brunswick/Bath/Freeport</v>
      </c>
      <c r="K628" s="40" t="str">
        <f>_xlfn.XLOOKUP(EarningsPerDay[[#This Row],[Date]],Mileage[Date],Mileage[Weather])</f>
        <v>Light Rain</v>
      </c>
      <c r="L628" s="4">
        <f>_xlfn.XLOOKUP(EarningsPerDay[[#This Row],[Date]],Mileage[Date],Mileage[Hi Temp])</f>
        <v>46</v>
      </c>
      <c r="M628" s="12">
        <f>_xlfn.XLOOKUP(EarningsPerDay[[#This Row],[Date]],Mileage[Date],Mileage[Total Time])</f>
        <v>3.83</v>
      </c>
      <c r="N628" s="4">
        <f>_xlfn.XLOOKUP(EarningsPerDay[[#This Row],[Date]],Mileage[Date],Mileage[Mileage])</f>
        <v>85</v>
      </c>
      <c r="O628" s="4">
        <f>SUMIF(Combined[Date],EarningsPerDay[[#This Row],[Date]],Combined[Trips])</f>
        <v>8</v>
      </c>
      <c r="P628">
        <f>COUNTIF(Combined[Date],EarningsPerDay[[#This Row],[Date]])</f>
        <v>3</v>
      </c>
      <c r="Q6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8" s="11">
        <f>SUMIF(Combined[Date],EarningsPerDay[[#This Row],[Date]],Combined[Earnings])</f>
        <v>105.69999999999999</v>
      </c>
      <c r="S628" s="11">
        <f ca="1">EarningsPerDay[[#This Row],[Gross Earnings]]-(EarningsPerDay[[#This Row],[Miles]]*CpM!$D$11)</f>
        <v>86.747287126595864</v>
      </c>
      <c r="T628" s="11">
        <f t="shared" si="61"/>
        <v>27.597911227154043</v>
      </c>
      <c r="U628" s="11">
        <f t="shared" ca="1" si="62"/>
        <v>22.649422226265237</v>
      </c>
      <c r="V628" s="11">
        <f>EarningsPerDay[[#This Row],[Gross Earnings]]/EarningsPerDay[[#This Row],[Deliveries]]</f>
        <v>13.212499999999999</v>
      </c>
      <c r="W628" s="11">
        <f>EarningsPerDay[[#This Row],[Gross Earnings]]/EarningsPerDay[[#This Row],[Miles]]</f>
        <v>1.2435294117647058</v>
      </c>
      <c r="X628" s="71">
        <f>EarningsPerDay[[#This Row],[Deliveries]]/EarningsPerDay[[#This Row],[Hours]]</f>
        <v>2.0887728459530024</v>
      </c>
      <c r="Y628" s="71">
        <f>EarningsPerDay[[#This Row],[Miles]]/EarningsPerDay[[#This Row],[Deliveries]]</f>
        <v>10.625</v>
      </c>
      <c r="Z628" s="81">
        <f>(EarningsPerDay[[#This Row],[Hours]]/EarningsPerDay[[#This Row],[Deliveries]])/24</f>
        <v>1.9947916666666666E-2</v>
      </c>
      <c r="AA6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3.6346153774639802</v>
      </c>
      <c r="AB628" s="11">
        <f>AVERAGEIFS(EarningsPerDay[Gross $/Hour],EarningsPerDay[Week '#], EarningsPerDay[[#This Row],[Week '#]], EarningsPerDay[DOW], EarningsPerDay[[#This Row],[DOW]])</f>
        <v>22.73915602398818</v>
      </c>
      <c r="AC628" s="11">
        <f>EarningsPerDay[[#This Row],[Gross $/Hour]] - EarningsPerDay[[#This Row],[Weekly Average Earnings]]</f>
        <v>4.8587552031658632</v>
      </c>
      <c r="AD628" s="11">
        <f>(SUMIFS(EarningsPerDay[Gross Earnings], EarningsPerDay[Date],"&gt;="&amp;EarningsPerDay[[#This Row],[Date]]-89, EarningsPerDay[Date], "&lt;="&amp;EarningsPerDay[[#This Row],[Date]]))/90</f>
        <v>69.436999999999998</v>
      </c>
    </row>
    <row r="629" spans="2:30" x14ac:dyDescent="0.35">
      <c r="B629" s="40">
        <v>45621</v>
      </c>
      <c r="C629" s="40">
        <f t="shared" si="75"/>
        <v>45621</v>
      </c>
      <c r="D629" s="4">
        <f>IF(EarningsPerDay[[#This Row],[Week '#]]&gt;=52,YEAR(EarningsPerDay[[#This Row],[Date]])-1,YEAR(EarningsPerDay[[#This Row],[Date]]))</f>
        <v>2024</v>
      </c>
      <c r="E629" s="4" t="str">
        <f>"QTR"&amp;IF(EarningsPerDay[[#This Row],[Week '#]] &lt;= 13, 1, IF(EarningsPerDay[[#This Row],[Week '#]] &lt;= 26, 2, IF(EarningsPerDay[[#This Row],[Week '#]] &lt;= 39, 3, 4)))</f>
        <v>QTR4</v>
      </c>
      <c r="F6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29" s="4">
        <f>IF(WEEKNUM(EarningsPerDay[[#This Row],[Date]], 2) = 53, 1, WEEKNUM(EarningsPerDay[[#This Row],[Date]],2))</f>
        <v>48</v>
      </c>
      <c r="H629" s="40" t="str">
        <f t="shared" si="74"/>
        <v>Monday</v>
      </c>
      <c r="I62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29" s="40" t="str" cm="1">
        <f t="array" ref="J629">IFERROR(VLOOKUP(MODE(IF(Combined[Date]=EarningsPerDay[[#This Row],[Date]],Combined[Area '#])),KPIs!$B$4:$C$7,2,FALSE),VLOOKUP(EarningsPerDay[[#This Row],[Date]],Combined[[Date]:[Primary Area]],8,FALSE))</f>
        <v>Brunswick/Bath/Freeport</v>
      </c>
      <c r="K629" s="40" t="str">
        <f>_xlfn.XLOOKUP(EarningsPerDay[[#This Row],[Date]],Mileage[Date],Mileage[Weather])</f>
        <v>Clear</v>
      </c>
      <c r="L629" s="4">
        <f>_xlfn.XLOOKUP(EarningsPerDay[[#This Row],[Date]],Mileage[Date],Mileage[Hi Temp])</f>
        <v>36</v>
      </c>
      <c r="M629" s="12">
        <f>_xlfn.XLOOKUP(EarningsPerDay[[#This Row],[Date]],Mileage[Date],Mileage[Total Time])</f>
        <v>3</v>
      </c>
      <c r="N629" s="4">
        <f>_xlfn.XLOOKUP(EarningsPerDay[[#This Row],[Date]],Mileage[Date],Mileage[Mileage])</f>
        <v>52</v>
      </c>
      <c r="O629" s="4">
        <f>SUMIF(Combined[Date],EarningsPerDay[[#This Row],[Date]],Combined[Trips])</f>
        <v>6</v>
      </c>
      <c r="P629">
        <f>COUNTIF(Combined[Date],EarningsPerDay[[#This Row],[Date]])</f>
        <v>3</v>
      </c>
      <c r="Q6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29" s="11">
        <f>SUMIF(Combined[Date],EarningsPerDay[[#This Row],[Date]],Combined[Earnings])</f>
        <v>64.39</v>
      </c>
      <c r="S629" s="11">
        <f ca="1">EarningsPerDay[[#This Row],[Gross Earnings]]-(EarningsPerDay[[#This Row],[Miles]]*CpM!$D$11)</f>
        <v>52.795399183329238</v>
      </c>
      <c r="T629" s="11">
        <f t="shared" si="61"/>
        <v>21.463333333333335</v>
      </c>
      <c r="U629" s="11">
        <f t="shared" ca="1" si="62"/>
        <v>17.598466394443079</v>
      </c>
      <c r="V629" s="11">
        <f>EarningsPerDay[[#This Row],[Gross Earnings]]/EarningsPerDay[[#This Row],[Deliveries]]</f>
        <v>10.731666666666667</v>
      </c>
      <c r="W629" s="11">
        <f>EarningsPerDay[[#This Row],[Gross Earnings]]/EarningsPerDay[[#This Row],[Miles]]</f>
        <v>1.2382692307692307</v>
      </c>
      <c r="X629" s="71">
        <f>EarningsPerDay[[#This Row],[Deliveries]]/EarningsPerDay[[#This Row],[Hours]]</f>
        <v>2</v>
      </c>
      <c r="Y629" s="71">
        <f>EarningsPerDay[[#This Row],[Miles]]/EarningsPerDay[[#This Row],[Deliveries]]</f>
        <v>8.6666666666666661</v>
      </c>
      <c r="Z629" s="81">
        <f>(EarningsPerDay[[#This Row],[Hours]]/EarningsPerDay[[#This Row],[Deliveries]])/24</f>
        <v>2.0833333333333332E-2</v>
      </c>
      <c r="AA6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-3.5709951276674907</v>
      </c>
      <c r="AB629" s="11">
        <f>AVERAGEIFS(EarningsPerDay[Gross $/Hour],EarningsPerDay[Week '#], EarningsPerDay[[#This Row],[Week '#]], EarningsPerDay[DOW], EarningsPerDay[[#This Row],[DOW]])</f>
        <v>22.7536390170972</v>
      </c>
      <c r="AC629" s="11">
        <f>EarningsPerDay[[#This Row],[Gross $/Hour]] - EarningsPerDay[[#This Row],[Weekly Average Earnings]]</f>
        <v>-1.2903056837638651</v>
      </c>
      <c r="AD629" s="11">
        <f>(SUMIFS(EarningsPerDay[Gross Earnings], EarningsPerDay[Date],"&gt;="&amp;EarningsPerDay[[#This Row],[Date]]-89, EarningsPerDay[Date], "&lt;="&amp;EarningsPerDay[[#This Row],[Date]]))/90</f>
        <v>65.562888888888892</v>
      </c>
    </row>
    <row r="630" spans="2:30" x14ac:dyDescent="0.35">
      <c r="B630" s="40">
        <v>45623</v>
      </c>
      <c r="C630" s="40">
        <f t="shared" si="75"/>
        <v>45623</v>
      </c>
      <c r="D630" s="4">
        <f>IF(EarningsPerDay[[#This Row],[Week '#]]&gt;=52,YEAR(EarningsPerDay[[#This Row],[Date]])-1,YEAR(EarningsPerDay[[#This Row],[Date]]))</f>
        <v>2024</v>
      </c>
      <c r="E630" s="4" t="str">
        <f>"QTR"&amp;IF(EarningsPerDay[[#This Row],[Week '#]] &lt;= 13, 1, IF(EarningsPerDay[[#This Row],[Week '#]] &lt;= 26, 2, IF(EarningsPerDay[[#This Row],[Week '#]] &lt;= 39, 3, 4)))</f>
        <v>QTR4</v>
      </c>
      <c r="F6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30" s="4">
        <f>IF(WEEKNUM(EarningsPerDay[[#This Row],[Date]], 2) = 53, 1, WEEKNUM(EarningsPerDay[[#This Row],[Date]],2))</f>
        <v>48</v>
      </c>
      <c r="H630" s="40" t="str">
        <f t="shared" si="74"/>
        <v>Wednesday</v>
      </c>
      <c r="I63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30" s="40" t="str" cm="1">
        <f t="array" ref="J630">IFERROR(VLOOKUP(MODE(IF(Combined[Date]=EarningsPerDay[[#This Row],[Date]],Combined[Area '#])),KPIs!$B$4:$C$7,2,FALSE),VLOOKUP(EarningsPerDay[[#This Row],[Date]],Combined[[Date]:[Primary Area]],8,FALSE))</f>
        <v>Brunswick/Bath/Freeport</v>
      </c>
      <c r="K630" s="40" t="str">
        <f>_xlfn.XLOOKUP(EarningsPerDay[[#This Row],[Date]],Mileage[Date],Mileage[Weather])</f>
        <v>Clear</v>
      </c>
      <c r="L630" s="4">
        <f>_xlfn.XLOOKUP(EarningsPerDay[[#This Row],[Date]],Mileage[Date],Mileage[Hi Temp])</f>
        <v>34</v>
      </c>
      <c r="M630" s="12">
        <f>_xlfn.XLOOKUP(EarningsPerDay[[#This Row],[Date]],Mileage[Date],Mileage[Total Time])</f>
        <v>2.77</v>
      </c>
      <c r="N630" s="4">
        <f>_xlfn.XLOOKUP(EarningsPerDay[[#This Row],[Date]],Mileage[Date],Mileage[Mileage])</f>
        <v>56</v>
      </c>
      <c r="O630" s="4">
        <f>SUMIF(Combined[Date],EarningsPerDay[[#This Row],[Date]],Combined[Trips])</f>
        <v>6</v>
      </c>
      <c r="P630">
        <f>COUNTIF(Combined[Date],EarningsPerDay[[#This Row],[Date]])</f>
        <v>2</v>
      </c>
      <c r="Q63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30" s="11">
        <f>SUMIF(Combined[Date],EarningsPerDay[[#This Row],[Date]],Combined[Earnings])</f>
        <v>66.87</v>
      </c>
      <c r="S630" s="11">
        <f ca="1">EarningsPerDay[[#This Row],[Gross Earnings]]-(EarningsPerDay[[#This Row],[Miles]]*CpM!$D$11)</f>
        <v>54.383506812816108</v>
      </c>
      <c r="T630" s="11">
        <f t="shared" si="61"/>
        <v>24.140794223826717</v>
      </c>
      <c r="U630" s="11">
        <f t="shared" ca="1" si="62"/>
        <v>19.633034950475128</v>
      </c>
      <c r="V630" s="11">
        <f>EarningsPerDay[[#This Row],[Gross Earnings]]/EarningsPerDay[[#This Row],[Deliveries]]</f>
        <v>11.145000000000001</v>
      </c>
      <c r="W630" s="11">
        <f>EarningsPerDay[[#This Row],[Gross Earnings]]/EarningsPerDay[[#This Row],[Miles]]</f>
        <v>1.194107142857143</v>
      </c>
      <c r="X630" s="71">
        <f>EarningsPerDay[[#This Row],[Deliveries]]/EarningsPerDay[[#This Row],[Hours]]</f>
        <v>2.1660649819494586</v>
      </c>
      <c r="Y630" s="71">
        <f>EarningsPerDay[[#This Row],[Miles]]/EarningsPerDay[[#This Row],[Deliveries]]</f>
        <v>9.3333333333333339</v>
      </c>
      <c r="Z630" s="81">
        <f>(EarningsPerDay[[#This Row],[Hours]]/EarningsPerDay[[#This Row],[Deliveries]])/24</f>
        <v>1.923611111111111E-2</v>
      </c>
      <c r="AA6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1.6310358575477615</v>
      </c>
      <c r="AB630" s="11">
        <f>AVERAGEIFS(EarningsPerDay[Gross $/Hour],EarningsPerDay[Week '#], EarningsPerDay[[#This Row],[Week '#]], EarningsPerDay[DOW], EarningsPerDay[[#This Row],[DOW]])</f>
        <v>21.611061995023647</v>
      </c>
      <c r="AC630" s="11">
        <f>EarningsPerDay[[#This Row],[Gross $/Hour]] - EarningsPerDay[[#This Row],[Weekly Average Earnings]]</f>
        <v>2.5297322288030699</v>
      </c>
      <c r="AD630" s="11">
        <f>(SUMIFS(EarningsPerDay[Gross Earnings], EarningsPerDay[Date],"&gt;="&amp;EarningsPerDay[[#This Row],[Date]]-89, EarningsPerDay[Date], "&lt;="&amp;EarningsPerDay[[#This Row],[Date]]))/90</f>
        <v>65.615111111111119</v>
      </c>
    </row>
    <row r="631" spans="2:30" x14ac:dyDescent="0.35">
      <c r="B631" s="40">
        <v>45625</v>
      </c>
      <c r="C631" s="40">
        <f t="shared" si="75"/>
        <v>45625</v>
      </c>
      <c r="D631" s="4">
        <f>IF(EarningsPerDay[[#This Row],[Week '#]]&gt;=52,YEAR(EarningsPerDay[[#This Row],[Date]])-1,YEAR(EarningsPerDay[[#This Row],[Date]]))</f>
        <v>2024</v>
      </c>
      <c r="E631" s="4" t="str">
        <f>"QTR"&amp;IF(EarningsPerDay[[#This Row],[Week '#]] &lt;= 13, 1, IF(EarningsPerDay[[#This Row],[Week '#]] &lt;= 26, 2, IF(EarningsPerDay[[#This Row],[Week '#]] &lt;= 39, 3, 4)))</f>
        <v>QTR4</v>
      </c>
      <c r="F6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31" s="4">
        <f>IF(WEEKNUM(EarningsPerDay[[#This Row],[Date]], 2) = 53, 1, WEEKNUM(EarningsPerDay[[#This Row],[Date]],2))</f>
        <v>48</v>
      </c>
      <c r="H631" s="40" t="str">
        <f t="shared" si="74"/>
        <v>Friday</v>
      </c>
      <c r="I63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31" s="40" t="str" cm="1">
        <f t="array" ref="J631">IFERROR(VLOOKUP(MODE(IF(Combined[Date]=EarningsPerDay[[#This Row],[Date]],Combined[Area '#])),KPIs!$B$4:$C$7,2,FALSE),VLOOKUP(EarningsPerDay[[#This Row],[Date]],Combined[[Date]:[Primary Area]],8,FALSE))</f>
        <v>Augusta</v>
      </c>
      <c r="K631" s="40" t="str">
        <f>_xlfn.XLOOKUP(EarningsPerDay[[#This Row],[Date]],Mileage[Date],Mileage[Weather])</f>
        <v>Clear</v>
      </c>
      <c r="L631" s="4">
        <f>_xlfn.XLOOKUP(EarningsPerDay[[#This Row],[Date]],Mileage[Date],Mileage[Hi Temp])</f>
        <v>36</v>
      </c>
      <c r="M631" s="12">
        <f>_xlfn.XLOOKUP(EarningsPerDay[[#This Row],[Date]],Mileage[Date],Mileage[Total Time])</f>
        <v>5.97</v>
      </c>
      <c r="N631" s="4">
        <f>_xlfn.XLOOKUP(EarningsPerDay[[#This Row],[Date]],Mileage[Date],Mileage[Mileage])</f>
        <v>116</v>
      </c>
      <c r="O631" s="4">
        <f>SUMIF(Combined[Date],EarningsPerDay[[#This Row],[Date]],Combined[Trips])</f>
        <v>11</v>
      </c>
      <c r="P631">
        <f>COUNTIF(Combined[Date],EarningsPerDay[[#This Row],[Date]])</f>
        <v>3</v>
      </c>
      <c r="Q63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31" s="11">
        <f>SUMIF(Combined[Date],EarningsPerDay[[#This Row],[Date]],Combined[Earnings])</f>
        <v>150.29000000000002</v>
      </c>
      <c r="S631" s="11">
        <f ca="1">EarningsPerDay[[#This Row],[Gross Earnings]]-(EarningsPerDay[[#This Row],[Miles]]*CpM!$D$11)</f>
        <v>124.42512125511909</v>
      </c>
      <c r="T631" s="11">
        <f t="shared" si="61"/>
        <v>25.174204355108881</v>
      </c>
      <c r="U631" s="11">
        <f t="shared" ca="1" si="62"/>
        <v>20.841728853453784</v>
      </c>
      <c r="V631" s="11">
        <f>EarningsPerDay[[#This Row],[Gross Earnings]]/EarningsPerDay[[#This Row],[Deliveries]]</f>
        <v>13.662727272727274</v>
      </c>
      <c r="W631" s="11">
        <f>EarningsPerDay[[#This Row],[Gross Earnings]]/EarningsPerDay[[#This Row],[Miles]]</f>
        <v>1.2956034482758623</v>
      </c>
      <c r="X631" s="71">
        <f>EarningsPerDay[[#This Row],[Deliveries]]/EarningsPerDay[[#This Row],[Hours]]</f>
        <v>1.8425460636515913</v>
      </c>
      <c r="Y631" s="71">
        <f>EarningsPerDay[[#This Row],[Miles]]/EarningsPerDay[[#This Row],[Deliveries]]</f>
        <v>10.545454545454545</v>
      </c>
      <c r="Z631" s="81">
        <f>(EarningsPerDay[[#This Row],[Hours]]/EarningsPerDay[[#This Row],[Deliveries]])/24</f>
        <v>2.2613636363636364E-2</v>
      </c>
      <c r="AA6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1.30647948738401</v>
      </c>
      <c r="AB631" s="11">
        <f>AVERAGEIFS(EarningsPerDay[Gross $/Hour],EarningsPerDay[Week '#], EarningsPerDay[[#This Row],[Week '#]], EarningsPerDay[DOW], EarningsPerDay[[#This Row],[DOW]])</f>
        <v>22.823939422141361</v>
      </c>
      <c r="AC631" s="11">
        <f>EarningsPerDay[[#This Row],[Gross $/Hour]] - EarningsPerDay[[#This Row],[Weekly Average Earnings]]</f>
        <v>2.3502649329675194</v>
      </c>
      <c r="AD631" s="11">
        <f>(SUMIFS(EarningsPerDay[Gross Earnings], EarningsPerDay[Date],"&gt;="&amp;EarningsPerDay[[#This Row],[Date]]-89, EarningsPerDay[Date], "&lt;="&amp;EarningsPerDay[[#This Row],[Date]]))/90</f>
        <v>67.285000000000011</v>
      </c>
    </row>
    <row r="632" spans="2:30" x14ac:dyDescent="0.35">
      <c r="B632" s="40">
        <v>45628</v>
      </c>
      <c r="C632" s="40">
        <f t="shared" si="75"/>
        <v>45628</v>
      </c>
      <c r="D632" s="4">
        <f>IF(EarningsPerDay[[#This Row],[Week '#]]&gt;=52,YEAR(EarningsPerDay[[#This Row],[Date]])-1,YEAR(EarningsPerDay[[#This Row],[Date]]))</f>
        <v>2024</v>
      </c>
      <c r="E632" s="4" t="str">
        <f>"QTR"&amp;IF(EarningsPerDay[[#This Row],[Week '#]] &lt;= 13, 1, IF(EarningsPerDay[[#This Row],[Week '#]] &lt;= 26, 2, IF(EarningsPerDay[[#This Row],[Week '#]] &lt;= 39, 3, 4)))</f>
        <v>QTR4</v>
      </c>
      <c r="F6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32" s="4">
        <f>IF(WEEKNUM(EarningsPerDay[[#This Row],[Date]], 2) = 53, 1, WEEKNUM(EarningsPerDay[[#This Row],[Date]],2))</f>
        <v>49</v>
      </c>
      <c r="H632" s="40" t="str">
        <f t="shared" ref="H632:H637" si="76">TEXT(B632,"DDDD")</f>
        <v>Monday</v>
      </c>
      <c r="I63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32" s="40" t="str" cm="1">
        <f t="array" ref="J632">IFERROR(VLOOKUP(MODE(IF(Combined[Date]=EarningsPerDay[[#This Row],[Date]],Combined[Area '#])),KPIs!$B$4:$C$7,2,FALSE),VLOOKUP(EarningsPerDay[[#This Row],[Date]],Combined[[Date]:[Primary Area]],8,FALSE))</f>
        <v>Brunswick/Bath/Freeport</v>
      </c>
      <c r="K632" s="40" t="str">
        <f>_xlfn.XLOOKUP(EarningsPerDay[[#This Row],[Date]],Mileage[Date],Mileage[Weather])</f>
        <v>Partially Cloudy</v>
      </c>
      <c r="L632" s="4">
        <f>_xlfn.XLOOKUP(EarningsPerDay[[#This Row],[Date]],Mileage[Date],Mileage[Hi Temp])</f>
        <v>28</v>
      </c>
      <c r="M632" s="12">
        <f>_xlfn.XLOOKUP(EarningsPerDay[[#This Row],[Date]],Mileage[Date],Mileage[Total Time])</f>
        <v>2.23</v>
      </c>
      <c r="N632" s="4">
        <f>_xlfn.XLOOKUP(EarningsPerDay[[#This Row],[Date]],Mileage[Date],Mileage[Mileage])</f>
        <v>57</v>
      </c>
      <c r="O632" s="4">
        <f>SUMIF(Combined[Date],EarningsPerDay[[#This Row],[Date]],Combined[Trips])</f>
        <v>10</v>
      </c>
      <c r="P632">
        <f>COUNTIF(Combined[Date],EarningsPerDay[[#This Row],[Date]])</f>
        <v>2</v>
      </c>
      <c r="Q6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2" s="11">
        <f>SUMIF(Combined[Date],EarningsPerDay[[#This Row],[Date]],Combined[Earnings])</f>
        <v>66.58</v>
      </c>
      <c r="S632" s="11">
        <f ca="1">EarningsPerDay[[#This Row],[Gross Earnings]]-(EarningsPerDay[[#This Row],[Miles]]*CpM!$D$11)</f>
        <v>53.870533720187822</v>
      </c>
      <c r="T632" s="11">
        <f t="shared" si="61"/>
        <v>29.856502242152466</v>
      </c>
      <c r="U632" s="11">
        <f t="shared" ca="1" si="62"/>
        <v>24.157190009052837</v>
      </c>
      <c r="V632" s="11">
        <f>EarningsPerDay[[#This Row],[Gross Earnings]]/EarningsPerDay[[#This Row],[Deliveries]]</f>
        <v>6.6579999999999995</v>
      </c>
      <c r="W632" s="11">
        <f>EarningsPerDay[[#This Row],[Gross Earnings]]/EarningsPerDay[[#This Row],[Miles]]</f>
        <v>1.1680701754385965</v>
      </c>
      <c r="X632" s="71">
        <f>EarningsPerDay[[#This Row],[Deliveries]]/EarningsPerDay[[#This Row],[Hours]]</f>
        <v>4.4843049327354256</v>
      </c>
      <c r="Y632" s="71">
        <f>EarningsPerDay[[#This Row],[Miles]]/EarningsPerDay[[#This Row],[Deliveries]]</f>
        <v>5.7</v>
      </c>
      <c r="Z632" s="81">
        <f>(EarningsPerDay[[#This Row],[Hours]]/EarningsPerDay[[#This Row],[Deliveries]])/24</f>
        <v>9.2916666666666668E-3</v>
      </c>
      <c r="AA6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5.0205623993553914</v>
      </c>
      <c r="AB632" s="11">
        <f>AVERAGEIFS(EarningsPerDay[Gross $/Hour],EarningsPerDay[Week '#], EarningsPerDay[[#This Row],[Week '#]], EarningsPerDay[DOW], EarningsPerDay[[#This Row],[DOW]])</f>
        <v>21.442841149708883</v>
      </c>
      <c r="AC632" s="11">
        <f>EarningsPerDay[[#This Row],[Gross $/Hour]] - EarningsPerDay[[#This Row],[Weekly Average Earnings]]</f>
        <v>8.4136610924435828</v>
      </c>
      <c r="AD632" s="11">
        <f>(SUMIFS(EarningsPerDay[Gross Earnings], EarningsPerDay[Date],"&gt;="&amp;EarningsPerDay[[#This Row],[Date]]-89, EarningsPerDay[Date], "&lt;="&amp;EarningsPerDay[[#This Row],[Date]]))/90</f>
        <v>65.836888888888907</v>
      </c>
    </row>
    <row r="633" spans="2:30" x14ac:dyDescent="0.35">
      <c r="B633" s="40">
        <v>45629</v>
      </c>
      <c r="C633" s="40">
        <f t="shared" si="75"/>
        <v>45629</v>
      </c>
      <c r="D633" s="4">
        <f>IF(EarningsPerDay[[#This Row],[Week '#]]&gt;=52,YEAR(EarningsPerDay[[#This Row],[Date]])-1,YEAR(EarningsPerDay[[#This Row],[Date]]))</f>
        <v>2024</v>
      </c>
      <c r="E633" s="4" t="str">
        <f>"QTR"&amp;IF(EarningsPerDay[[#This Row],[Week '#]] &lt;= 13, 1, IF(EarningsPerDay[[#This Row],[Week '#]] &lt;= 26, 2, IF(EarningsPerDay[[#This Row],[Week '#]] &lt;= 39, 3, 4)))</f>
        <v>QTR4</v>
      </c>
      <c r="F6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33" s="4">
        <f>IF(WEEKNUM(EarningsPerDay[[#This Row],[Date]], 2) = 53, 1, WEEKNUM(EarningsPerDay[[#This Row],[Date]],2))</f>
        <v>49</v>
      </c>
      <c r="H633" s="40" t="str">
        <f t="shared" si="76"/>
        <v>Tuesday</v>
      </c>
      <c r="I633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633" s="40" t="str" cm="1">
        <f t="array" ref="J633">IFERROR(VLOOKUP(MODE(IF(Combined[Date]=EarningsPerDay[[#This Row],[Date]],Combined[Area '#])),KPIs!$B$4:$C$7,2,FALSE),VLOOKUP(EarningsPerDay[[#This Row],[Date]],Combined[[Date]:[Primary Area]],8,FALSE))</f>
        <v>Brunswick/Bath/Freeport</v>
      </c>
      <c r="K633" s="40" t="str">
        <f>_xlfn.XLOOKUP(EarningsPerDay[[#This Row],[Date]],Mileage[Date],Mileage[Weather])</f>
        <v>Mostly Cloudy</v>
      </c>
      <c r="L633" s="4">
        <f>_xlfn.XLOOKUP(EarningsPerDay[[#This Row],[Date]],Mileage[Date],Mileage[Hi Temp])</f>
        <v>30</v>
      </c>
      <c r="M633" s="12">
        <f>_xlfn.XLOOKUP(EarningsPerDay[[#This Row],[Date]],Mileage[Date],Mileage[Total Time])</f>
        <v>1.23</v>
      </c>
      <c r="N633" s="4">
        <f>_xlfn.XLOOKUP(EarningsPerDay[[#This Row],[Date]],Mileage[Date],Mileage[Mileage])</f>
        <v>14</v>
      </c>
      <c r="O633" s="4">
        <f>SUMIF(Combined[Date],EarningsPerDay[[#This Row],[Date]],Combined[Trips])</f>
        <v>3</v>
      </c>
      <c r="P633">
        <f>COUNTIF(Combined[Date],EarningsPerDay[[#This Row],[Date]])</f>
        <v>1</v>
      </c>
      <c r="Q6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3" s="11">
        <f>SUMIF(Combined[Date],EarningsPerDay[[#This Row],[Date]],Combined[Earnings])</f>
        <v>26</v>
      </c>
      <c r="S633" s="11">
        <f ca="1">EarningsPerDay[[#This Row],[Gross Earnings]]-(EarningsPerDay[[#This Row],[Miles]]*CpM!$D$11)</f>
        <v>22.878376703204026</v>
      </c>
      <c r="T633" s="11">
        <f t="shared" si="61"/>
        <v>21.13821138211382</v>
      </c>
      <c r="U633" s="11">
        <f t="shared" ca="1" si="62"/>
        <v>18.6003062627675</v>
      </c>
      <c r="V633" s="11">
        <f>EarningsPerDay[[#This Row],[Gross Earnings]]/EarningsPerDay[[#This Row],[Deliveries]]</f>
        <v>8.6666666666666661</v>
      </c>
      <c r="W633" s="11">
        <f>EarningsPerDay[[#This Row],[Gross Earnings]]/EarningsPerDay[[#This Row],[Miles]]</f>
        <v>1.8571428571428572</v>
      </c>
      <c r="X633" s="71">
        <f>EarningsPerDay[[#This Row],[Deliveries]]/EarningsPerDay[[#This Row],[Hours]]</f>
        <v>2.4390243902439024</v>
      </c>
      <c r="Y633" s="71">
        <f>EarningsPerDay[[#This Row],[Miles]]/EarningsPerDay[[#This Row],[Deliveries]]</f>
        <v>4.666666666666667</v>
      </c>
      <c r="Z633" s="81">
        <f>(EarningsPerDay[[#This Row],[Hours]]/EarningsPerDay[[#This Row],[Deliveries]])/24</f>
        <v>1.7083333333333332E-2</v>
      </c>
      <c r="AA6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-3.2226411901831433</v>
      </c>
      <c r="AB633" s="11">
        <f>AVERAGEIFS(EarningsPerDay[Gross $/Hour],EarningsPerDay[Week '#], EarningsPerDay[[#This Row],[Week '#]], EarningsPerDay[DOW], EarningsPerDay[[#This Row],[DOW]])</f>
        <v>25.405428055549038</v>
      </c>
      <c r="AC633" s="11">
        <f>EarningsPerDay[[#This Row],[Gross $/Hour]] - EarningsPerDay[[#This Row],[Weekly Average Earnings]]</f>
        <v>-4.2672166734352182</v>
      </c>
      <c r="AD633" s="11">
        <f>(SUMIFS(EarningsPerDay[Gross Earnings], EarningsPerDay[Date],"&gt;="&amp;EarningsPerDay[[#This Row],[Date]]-89, EarningsPerDay[Date], "&lt;="&amp;EarningsPerDay[[#This Row],[Date]]))/90</f>
        <v>66.125777777777799</v>
      </c>
    </row>
    <row r="634" spans="2:30" x14ac:dyDescent="0.35">
      <c r="B634" s="40">
        <v>45630</v>
      </c>
      <c r="C634" s="40">
        <f t="shared" si="75"/>
        <v>45630</v>
      </c>
      <c r="D634" s="4">
        <f>IF(EarningsPerDay[[#This Row],[Week '#]]&gt;=52,YEAR(EarningsPerDay[[#This Row],[Date]])-1,YEAR(EarningsPerDay[[#This Row],[Date]]))</f>
        <v>2024</v>
      </c>
      <c r="E634" s="4" t="str">
        <f>"QTR"&amp;IF(EarningsPerDay[[#This Row],[Week '#]] &lt;= 13, 1, IF(EarningsPerDay[[#This Row],[Week '#]] &lt;= 26, 2, IF(EarningsPerDay[[#This Row],[Week '#]] &lt;= 39, 3, 4)))</f>
        <v>QTR4</v>
      </c>
      <c r="F6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34" s="4">
        <f>IF(WEEKNUM(EarningsPerDay[[#This Row],[Date]], 2) = 53, 1, WEEKNUM(EarningsPerDay[[#This Row],[Date]],2))</f>
        <v>49</v>
      </c>
      <c r="H634" s="40" t="str">
        <f t="shared" si="76"/>
        <v>Wednesday</v>
      </c>
      <c r="I634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34" s="40" t="str" cm="1">
        <f t="array" ref="J634">IFERROR(VLOOKUP(MODE(IF(Combined[Date]=EarningsPerDay[[#This Row],[Date]],Combined[Area '#])),KPIs!$B$4:$C$7,2,FALSE),VLOOKUP(EarningsPerDay[[#This Row],[Date]],Combined[[Date]:[Primary Area]],8,FALSE))</f>
        <v>Brunswick/Bath/Freeport</v>
      </c>
      <c r="K634" s="40" t="str">
        <f>_xlfn.XLOOKUP(EarningsPerDay[[#This Row],[Date]],Mileage[Date],Mileage[Weather])</f>
        <v>Snow Storm</v>
      </c>
      <c r="L634" s="4">
        <f>_xlfn.XLOOKUP(EarningsPerDay[[#This Row],[Date]],Mileage[Date],Mileage[Hi Temp])</f>
        <v>34</v>
      </c>
      <c r="M634" s="12">
        <f>_xlfn.XLOOKUP(EarningsPerDay[[#This Row],[Date]],Mileage[Date],Mileage[Total Time])</f>
        <v>3.27</v>
      </c>
      <c r="N634" s="4">
        <f>_xlfn.XLOOKUP(EarningsPerDay[[#This Row],[Date]],Mileage[Date],Mileage[Mileage])</f>
        <v>68</v>
      </c>
      <c r="O634" s="4">
        <f>SUMIF(Combined[Date],EarningsPerDay[[#This Row],[Date]],Combined[Trips])</f>
        <v>12</v>
      </c>
      <c r="P634">
        <f>COUNTIF(Combined[Date],EarningsPerDay[[#This Row],[Date]])</f>
        <v>3</v>
      </c>
      <c r="Q6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4" s="11">
        <f>SUMIF(Combined[Date],EarningsPerDay[[#This Row],[Date]],Combined[Earnings])</f>
        <v>92.76</v>
      </c>
      <c r="S634" s="11">
        <f ca="1">EarningsPerDay[[#This Row],[Gross Earnings]]-(EarningsPerDay[[#This Row],[Miles]]*CpM!$D$11)</f>
        <v>77.597829701276709</v>
      </c>
      <c r="T634" s="11">
        <f t="shared" si="61"/>
        <v>28.366972477064223</v>
      </c>
      <c r="U634" s="11">
        <f t="shared" ca="1" si="62"/>
        <v>23.730223150237524</v>
      </c>
      <c r="V634" s="11">
        <f>EarningsPerDay[[#This Row],[Gross Earnings]]/EarningsPerDay[[#This Row],[Deliveries]]</f>
        <v>7.73</v>
      </c>
      <c r="W634" s="11">
        <f>EarningsPerDay[[#This Row],[Gross Earnings]]/EarningsPerDay[[#This Row],[Miles]]</f>
        <v>1.3641176470588237</v>
      </c>
      <c r="X634" s="71">
        <f>EarningsPerDay[[#This Row],[Deliveries]]/EarningsPerDay[[#This Row],[Hours]]</f>
        <v>3.6697247706422016</v>
      </c>
      <c r="Y634" s="71">
        <f>EarningsPerDay[[#This Row],[Miles]]/EarningsPerDay[[#This Row],[Deliveries]]</f>
        <v>5.666666666666667</v>
      </c>
      <c r="Z634" s="81">
        <f>(EarningsPerDay[[#This Row],[Hours]]/EarningsPerDay[[#This Row],[Deliveries]])/24</f>
        <v>1.1354166666666667E-2</v>
      </c>
      <c r="AA6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5.7212944559896215</v>
      </c>
      <c r="AB634" s="11">
        <f>AVERAGEIFS(EarningsPerDay[Gross $/Hour],EarningsPerDay[Week '#], EarningsPerDay[[#This Row],[Week '#]], EarningsPerDay[DOW], EarningsPerDay[[#This Row],[DOW]])</f>
        <v>22.342390348121153</v>
      </c>
      <c r="AC634" s="11">
        <f>EarningsPerDay[[#This Row],[Gross $/Hour]] - EarningsPerDay[[#This Row],[Weekly Average Earnings]]</f>
        <v>6.0245821289430701</v>
      </c>
      <c r="AD634" s="11">
        <f>(SUMIFS(EarningsPerDay[Gross Earnings], EarningsPerDay[Date],"&gt;="&amp;EarningsPerDay[[#This Row],[Date]]-89, EarningsPerDay[Date], "&lt;="&amp;EarningsPerDay[[#This Row],[Date]]))/90</f>
        <v>66.264222222222244</v>
      </c>
    </row>
    <row r="635" spans="2:30" x14ac:dyDescent="0.35">
      <c r="B635" s="40">
        <v>45632</v>
      </c>
      <c r="C635" s="40">
        <f t="shared" si="75"/>
        <v>45632</v>
      </c>
      <c r="D635" s="4">
        <f>IF(EarningsPerDay[[#This Row],[Week '#]]&gt;=52,YEAR(EarningsPerDay[[#This Row],[Date]])-1,YEAR(EarningsPerDay[[#This Row],[Date]]))</f>
        <v>2024</v>
      </c>
      <c r="E635" s="4" t="str">
        <f>"QTR"&amp;IF(EarningsPerDay[[#This Row],[Week '#]] &lt;= 13, 1, IF(EarningsPerDay[[#This Row],[Week '#]] &lt;= 26, 2, IF(EarningsPerDay[[#This Row],[Week '#]] &lt;= 39, 3, 4)))</f>
        <v>QTR4</v>
      </c>
      <c r="F6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35" s="4">
        <f>IF(WEEKNUM(EarningsPerDay[[#This Row],[Date]], 2) = 53, 1, WEEKNUM(EarningsPerDay[[#This Row],[Date]],2))</f>
        <v>49</v>
      </c>
      <c r="H635" s="40" t="str">
        <f t="shared" si="76"/>
        <v>Friday</v>
      </c>
      <c r="I635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35" s="40" t="str" cm="1">
        <f t="array" ref="J635">IFERROR(VLOOKUP(MODE(IF(Combined[Date]=EarningsPerDay[[#This Row],[Date]],Combined[Area '#])),KPIs!$B$4:$C$7,2,FALSE),VLOOKUP(EarningsPerDay[[#This Row],[Date]],Combined[[Date]:[Primary Area]],8,FALSE))</f>
        <v>Brunswick/Bath/Freeport</v>
      </c>
      <c r="K635" s="40" t="str">
        <f>_xlfn.XLOOKUP(EarningsPerDay[[#This Row],[Date]],Mileage[Date],Mileage[Weather])</f>
        <v>Clear</v>
      </c>
      <c r="L635" s="4">
        <f>_xlfn.XLOOKUP(EarningsPerDay[[#This Row],[Date]],Mileage[Date],Mileage[Hi Temp])</f>
        <v>19</v>
      </c>
      <c r="M635" s="12">
        <f>_xlfn.XLOOKUP(EarningsPerDay[[#This Row],[Date]],Mileage[Date],Mileage[Total Time])</f>
        <v>2.02</v>
      </c>
      <c r="N635" s="4">
        <f>_xlfn.XLOOKUP(EarningsPerDay[[#This Row],[Date]],Mileage[Date],Mileage[Mileage])</f>
        <v>55</v>
      </c>
      <c r="O635" s="4">
        <f>SUMIF(Combined[Date],EarningsPerDay[[#This Row],[Date]],Combined[Trips])</f>
        <v>4</v>
      </c>
      <c r="P635">
        <f>COUNTIF(Combined[Date],EarningsPerDay[[#This Row],[Date]])</f>
        <v>1</v>
      </c>
      <c r="Q6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5" s="11">
        <f>SUMIF(Combined[Date],EarningsPerDay[[#This Row],[Date]],Combined[Earnings])</f>
        <v>44.5</v>
      </c>
      <c r="S635" s="11">
        <f ca="1">EarningsPerDay[[#This Row],[Gross Earnings]]-(EarningsPerDay[[#This Row],[Miles]]*CpM!$D$11)</f>
        <v>32.236479905444391</v>
      </c>
      <c r="T635" s="11">
        <f t="shared" si="61"/>
        <v>22.029702970297031</v>
      </c>
      <c r="U635" s="11">
        <f t="shared" ca="1" si="62"/>
        <v>15.958653418536827</v>
      </c>
      <c r="V635" s="11">
        <f>EarningsPerDay[[#This Row],[Gross Earnings]]/EarningsPerDay[[#This Row],[Deliveries]]</f>
        <v>11.125</v>
      </c>
      <c r="W635" s="11">
        <f>EarningsPerDay[[#This Row],[Gross Earnings]]/EarningsPerDay[[#This Row],[Miles]]</f>
        <v>0.80909090909090908</v>
      </c>
      <c r="X635" s="71">
        <f>EarningsPerDay[[#This Row],[Deliveries]]/EarningsPerDay[[#This Row],[Hours]]</f>
        <v>1.9801980198019802</v>
      </c>
      <c r="Y635" s="71">
        <f>EarningsPerDay[[#This Row],[Miles]]/EarningsPerDay[[#This Row],[Deliveries]]</f>
        <v>13.75</v>
      </c>
      <c r="Z635" s="81">
        <f>(EarningsPerDay[[#This Row],[Hours]]/EarningsPerDay[[#This Row],[Deliveries]])/24</f>
        <v>2.1041666666666667E-2</v>
      </c>
      <c r="AA6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-2.1066698021294101</v>
      </c>
      <c r="AB635" s="11">
        <f>AVERAGEIFS(EarningsPerDay[Gross $/Hour],EarningsPerDay[Week '#], EarningsPerDay[[#This Row],[Week '#]], EarningsPerDay[DOW], EarningsPerDay[[#This Row],[DOW]])</f>
        <v>20.150712464611388</v>
      </c>
      <c r="AC635" s="11">
        <f>EarningsPerDay[[#This Row],[Gross $/Hour]] - EarningsPerDay[[#This Row],[Weekly Average Earnings]]</f>
        <v>1.8789905056856426</v>
      </c>
      <c r="AD635" s="11">
        <f>(SUMIFS(EarningsPerDay[Gross Earnings], EarningsPerDay[Date],"&gt;="&amp;EarningsPerDay[[#This Row],[Date]]-89, EarningsPerDay[Date], "&lt;="&amp;EarningsPerDay[[#This Row],[Date]]))/90</f>
        <v>64.408777777777786</v>
      </c>
    </row>
    <row r="636" spans="2:30" x14ac:dyDescent="0.35">
      <c r="B636" s="40">
        <v>45635</v>
      </c>
      <c r="C636" s="40">
        <f t="shared" si="75"/>
        <v>45635</v>
      </c>
      <c r="D636" s="4">
        <f>IF(EarningsPerDay[[#This Row],[Week '#]]&gt;=52,YEAR(EarningsPerDay[[#This Row],[Date]])-1,YEAR(EarningsPerDay[[#This Row],[Date]]))</f>
        <v>2024</v>
      </c>
      <c r="E636" s="4" t="str">
        <f>"QTR"&amp;IF(EarningsPerDay[[#This Row],[Week '#]] &lt;= 13, 1, IF(EarningsPerDay[[#This Row],[Week '#]] &lt;= 26, 2, IF(EarningsPerDay[[#This Row],[Week '#]] &lt;= 39, 3, 4)))</f>
        <v>QTR4</v>
      </c>
      <c r="F6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36" s="4">
        <f>IF(WEEKNUM(EarningsPerDay[[#This Row],[Date]], 2) = 53, 1, WEEKNUM(EarningsPerDay[[#This Row],[Date]],2))</f>
        <v>50</v>
      </c>
      <c r="H636" s="40" t="str">
        <f t="shared" si="76"/>
        <v>Monday</v>
      </c>
      <c r="I636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36" s="40" t="str" cm="1">
        <f t="array" ref="J636">IFERROR(VLOOKUP(MODE(IF(Combined[Date]=EarningsPerDay[[#This Row],[Date]],Combined[Area '#])),KPIs!$B$4:$C$7,2,FALSE),VLOOKUP(EarningsPerDay[[#This Row],[Date]],Combined[[Date]:[Primary Area]],8,FALSE))</f>
        <v>Brunswick/Bath/Freeport</v>
      </c>
      <c r="K636" s="40" t="str">
        <f>_xlfn.XLOOKUP(EarningsPerDay[[#This Row],[Date]],Mileage[Date],Mileage[Weather])</f>
        <v>Light Snow</v>
      </c>
      <c r="L636" s="4">
        <f>_xlfn.XLOOKUP(EarningsPerDay[[#This Row],[Date]],Mileage[Date],Mileage[Hi Temp])</f>
        <v>28</v>
      </c>
      <c r="M636" s="12">
        <f>_xlfn.XLOOKUP(EarningsPerDay[[#This Row],[Date]],Mileage[Date],Mileage[Total Time])</f>
        <v>1.85</v>
      </c>
      <c r="N636" s="4">
        <f>_xlfn.XLOOKUP(EarningsPerDay[[#This Row],[Date]],Mileage[Date],Mileage[Mileage])</f>
        <v>32</v>
      </c>
      <c r="O636" s="4">
        <f>SUMIF(Combined[Date],EarningsPerDay[[#This Row],[Date]],Combined[Trips])</f>
        <v>6</v>
      </c>
      <c r="P636">
        <f>COUNTIF(Combined[Date],EarningsPerDay[[#This Row],[Date]])</f>
        <v>2</v>
      </c>
      <c r="Q63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36" s="11">
        <f>SUMIF(Combined[Date],EarningsPerDay[[#This Row],[Date]],Combined[Earnings])</f>
        <v>58.88</v>
      </c>
      <c r="S636" s="11">
        <f ca="1">EarningsPerDay[[#This Row],[Gross Earnings]]-(EarningsPerDay[[#This Row],[Miles]]*CpM!$D$11)</f>
        <v>51.744861035894921</v>
      </c>
      <c r="T636" s="11">
        <f t="shared" si="61"/>
        <v>31.827027027027025</v>
      </c>
      <c r="U636" s="11">
        <f t="shared" ca="1" si="62"/>
        <v>27.970195154537794</v>
      </c>
      <c r="V636" s="11">
        <f>EarningsPerDay[[#This Row],[Gross Earnings]]/EarningsPerDay[[#This Row],[Deliveries]]</f>
        <v>9.8133333333333344</v>
      </c>
      <c r="W636" s="11">
        <f>EarningsPerDay[[#This Row],[Gross Earnings]]/EarningsPerDay[[#This Row],[Miles]]</f>
        <v>1.84</v>
      </c>
      <c r="X636" s="71">
        <f>EarningsPerDay[[#This Row],[Deliveries]]/EarningsPerDay[[#This Row],[Hours]]</f>
        <v>3.243243243243243</v>
      </c>
      <c r="Y636" s="71">
        <f>EarningsPerDay[[#This Row],[Miles]]/EarningsPerDay[[#This Row],[Deliveries]]</f>
        <v>5.333333333333333</v>
      </c>
      <c r="Z636" s="81">
        <f>(EarningsPerDay[[#This Row],[Hours]]/EarningsPerDay[[#This Row],[Deliveries]])/24</f>
        <v>1.2847222222222223E-2</v>
      </c>
      <c r="AA6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6.7268470579480883</v>
      </c>
      <c r="AB636" s="11">
        <f>AVERAGEIFS(EarningsPerDay[Gross $/Hour],EarningsPerDay[Week '#], EarningsPerDay[[#This Row],[Week '#]], EarningsPerDay[DOW], EarningsPerDay[[#This Row],[DOW]])</f>
        <v>22.79137036513114</v>
      </c>
      <c r="AC636" s="11">
        <f>EarningsPerDay[[#This Row],[Gross $/Hour]] - EarningsPerDay[[#This Row],[Weekly Average Earnings]]</f>
        <v>9.0356566618958851</v>
      </c>
      <c r="AD636" s="11">
        <f>(SUMIFS(EarningsPerDay[Gross Earnings], EarningsPerDay[Date],"&gt;="&amp;EarningsPerDay[[#This Row],[Date]]-89, EarningsPerDay[Date], "&lt;="&amp;EarningsPerDay[[#This Row],[Date]]))/90</f>
        <v>61.727000000000011</v>
      </c>
    </row>
    <row r="637" spans="2:30" x14ac:dyDescent="0.35">
      <c r="B637" s="40">
        <v>45638</v>
      </c>
      <c r="C637" s="40">
        <f t="shared" si="75"/>
        <v>45638</v>
      </c>
      <c r="D637" s="4">
        <f>IF(EarningsPerDay[[#This Row],[Week '#]]&gt;=52,YEAR(EarningsPerDay[[#This Row],[Date]])-1,YEAR(EarningsPerDay[[#This Row],[Date]]))</f>
        <v>2024</v>
      </c>
      <c r="E637" s="4" t="str">
        <f>"QTR"&amp;IF(EarningsPerDay[[#This Row],[Week '#]] &lt;= 13, 1, IF(EarningsPerDay[[#This Row],[Week '#]] &lt;= 26, 2, IF(EarningsPerDay[[#This Row],[Week '#]] &lt;= 39, 3, 4)))</f>
        <v>QTR4</v>
      </c>
      <c r="F6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37" s="4">
        <f>IF(WEEKNUM(EarningsPerDay[[#This Row],[Date]], 2) = 53, 1, WEEKNUM(EarningsPerDay[[#This Row],[Date]],2))</f>
        <v>50</v>
      </c>
      <c r="H637" s="40" t="str">
        <f t="shared" si="76"/>
        <v>Thursday</v>
      </c>
      <c r="I637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637" s="40" t="str" cm="1">
        <f t="array" ref="J637">IFERROR(VLOOKUP(MODE(IF(Combined[Date]=EarningsPerDay[[#This Row],[Date]],Combined[Area '#])),KPIs!$B$4:$C$7,2,FALSE),VLOOKUP(EarningsPerDay[[#This Row],[Date]],Combined[[Date]:[Primary Area]],8,FALSE))</f>
        <v>Brunswick/Bath/Freeport</v>
      </c>
      <c r="K637" s="40" t="str">
        <f>_xlfn.XLOOKUP(EarningsPerDay[[#This Row],[Date]],Mileage[Date],Mileage[Weather])</f>
        <v>Clear</v>
      </c>
      <c r="L637" s="4">
        <f>_xlfn.XLOOKUP(EarningsPerDay[[#This Row],[Date]],Mileage[Date],Mileage[Hi Temp])</f>
        <v>34</v>
      </c>
      <c r="M637" s="12">
        <f>_xlfn.XLOOKUP(EarningsPerDay[[#This Row],[Date]],Mileage[Date],Mileage[Total Time])</f>
        <v>2.12</v>
      </c>
      <c r="N637" s="4">
        <f>_xlfn.XLOOKUP(EarningsPerDay[[#This Row],[Date]],Mileage[Date],Mileage[Mileage])</f>
        <v>19</v>
      </c>
      <c r="O637" s="4">
        <f>SUMIF(Combined[Date],EarningsPerDay[[#This Row],[Date]],Combined[Trips])</f>
        <v>3</v>
      </c>
      <c r="P637">
        <f>COUNTIF(Combined[Date],EarningsPerDay[[#This Row],[Date]])</f>
        <v>2</v>
      </c>
      <c r="Q6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7" s="11">
        <f>SUMIF(Combined[Date],EarningsPerDay[[#This Row],[Date]],Combined[Earnings])</f>
        <v>36.19</v>
      </c>
      <c r="S637" s="11">
        <f ca="1">EarningsPerDay[[#This Row],[Gross Earnings]]-(EarningsPerDay[[#This Row],[Miles]]*CpM!$D$11)</f>
        <v>31.953511240062603</v>
      </c>
      <c r="T637" s="11">
        <f t="shared" si="61"/>
        <v>17.070754716981131</v>
      </c>
      <c r="U637" s="11">
        <f t="shared" ca="1" si="62"/>
        <v>15.072410962293681</v>
      </c>
      <c r="V637" s="11">
        <f>EarningsPerDay[[#This Row],[Gross Earnings]]/EarningsPerDay[[#This Row],[Deliveries]]</f>
        <v>12.063333333333333</v>
      </c>
      <c r="W637" s="11">
        <f>EarningsPerDay[[#This Row],[Gross Earnings]]/EarningsPerDay[[#This Row],[Miles]]</f>
        <v>1.9047368421052631</v>
      </c>
      <c r="X637" s="71">
        <f>EarningsPerDay[[#This Row],[Deliveries]]/EarningsPerDay[[#This Row],[Hours]]</f>
        <v>1.4150943396226414</v>
      </c>
      <c r="Y637" s="71">
        <f>EarningsPerDay[[#This Row],[Miles]]/EarningsPerDay[[#This Row],[Deliveries]]</f>
        <v>6.333333333333333</v>
      </c>
      <c r="Z637" s="81">
        <f>(EarningsPerDay[[#This Row],[Hours]]/EarningsPerDay[[#This Row],[Deliveries]])/24</f>
        <v>2.9444444444444443E-2</v>
      </c>
      <c r="AA6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-5.347572091060627</v>
      </c>
      <c r="AB637" s="11">
        <f>AVERAGEIFS(EarningsPerDay[Gross $/Hour],EarningsPerDay[Week '#], EarningsPerDay[[#This Row],[Week '#]], EarningsPerDay[DOW], EarningsPerDay[[#This Row],[DOW]])</f>
        <v>20.118243620248233</v>
      </c>
      <c r="AC637" s="11">
        <f>EarningsPerDay[[#This Row],[Gross $/Hour]] - EarningsPerDay[[#This Row],[Weekly Average Earnings]]</f>
        <v>-3.0474889032671015</v>
      </c>
      <c r="AD637" s="11">
        <f>(SUMIFS(EarningsPerDay[Gross Earnings], EarningsPerDay[Date],"&gt;="&amp;EarningsPerDay[[#This Row],[Date]]-89, EarningsPerDay[Date], "&lt;="&amp;EarningsPerDay[[#This Row],[Date]]))/90</f>
        <v>57.26177777777778</v>
      </c>
    </row>
    <row r="638" spans="2:30" x14ac:dyDescent="0.35">
      <c r="B638" s="40">
        <v>45659</v>
      </c>
      <c r="C638" s="40">
        <f t="shared" si="75"/>
        <v>45659</v>
      </c>
      <c r="D638" s="4">
        <f>IF(EarningsPerDay[[#This Row],[Week '#]]&gt;=52,YEAR(EarningsPerDay[[#This Row],[Date]])-1,YEAR(EarningsPerDay[[#This Row],[Date]]))</f>
        <v>2025</v>
      </c>
      <c r="E638" s="4" t="str">
        <f>"QTR"&amp;IF(EarningsPerDay[[#This Row],[Week '#]] &lt;= 13, 1, IF(EarningsPerDay[[#This Row],[Week '#]] &lt;= 26, 2, IF(EarningsPerDay[[#This Row],[Week '#]] &lt;= 39, 3, 4)))</f>
        <v>QTR1</v>
      </c>
      <c r="F6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38" s="4">
        <f>IF(WEEKNUM(EarningsPerDay[[#This Row],[Date]], 2) = 53, 1, WEEKNUM(EarningsPerDay[[#This Row],[Date]],2))</f>
        <v>1</v>
      </c>
      <c r="H638" s="40" t="str">
        <f t="shared" ref="H638:H642" si="77">TEXT(B638,"DDDD")</f>
        <v>Thursday</v>
      </c>
      <c r="I63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38" s="40" t="str" cm="1">
        <f t="array" ref="J638">IFERROR(VLOOKUP(MODE(IF(Combined[Date]=EarningsPerDay[[#This Row],[Date]],Combined[Area '#])),KPIs!$B$4:$C$7,2,FALSE),VLOOKUP(EarningsPerDay[[#This Row],[Date]],Combined[[Date]:[Primary Area]],8,FALSE))</f>
        <v>Lewiston</v>
      </c>
      <c r="K638" s="40" t="str">
        <f>_xlfn.XLOOKUP(EarningsPerDay[[#This Row],[Date]],Mileage[Date],Mileage[Weather])</f>
        <v>Mostly Cloudy</v>
      </c>
      <c r="L638" s="4">
        <f>_xlfn.XLOOKUP(EarningsPerDay[[#This Row],[Date]],Mileage[Date],Mileage[Hi Temp])</f>
        <v>34</v>
      </c>
      <c r="M638" s="12">
        <f>_xlfn.XLOOKUP(EarningsPerDay[[#This Row],[Date]],Mileage[Date],Mileage[Total Time])</f>
        <v>2.75</v>
      </c>
      <c r="N638" s="4">
        <f>_xlfn.XLOOKUP(EarningsPerDay[[#This Row],[Date]],Mileage[Date],Mileage[Mileage])</f>
        <v>38</v>
      </c>
      <c r="O638" s="4">
        <f>SUMIF(Combined[Date],EarningsPerDay[[#This Row],[Date]],Combined[Trips])</f>
        <v>5</v>
      </c>
      <c r="P638">
        <f>COUNTIF(Combined[Date],EarningsPerDay[[#This Row],[Date]])</f>
        <v>3</v>
      </c>
      <c r="Q6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8" s="11">
        <f>SUMIF(Combined[Date],EarningsPerDay[[#This Row],[Date]],Combined[Earnings])</f>
        <v>61.47</v>
      </c>
      <c r="S638" s="11">
        <f ca="1">EarningsPerDay[[#This Row],[Gross Earnings]]-(EarningsPerDay[[#This Row],[Miles]]*CpM!$D$11)</f>
        <v>52.99702248012521</v>
      </c>
      <c r="T638" s="11">
        <f t="shared" si="61"/>
        <v>22.352727272727272</v>
      </c>
      <c r="U638" s="11">
        <f t="shared" ca="1" si="62"/>
        <v>19.271644538227349</v>
      </c>
      <c r="V638" s="11">
        <f>EarningsPerDay[[#This Row],[Gross Earnings]]/EarningsPerDay[[#This Row],[Deliveries]]</f>
        <v>12.294</v>
      </c>
      <c r="W638" s="11">
        <f>EarningsPerDay[[#This Row],[Gross Earnings]]/EarningsPerDay[[#This Row],[Miles]]</f>
        <v>1.6176315789473683</v>
      </c>
      <c r="X638" s="71">
        <f>EarningsPerDay[[#This Row],[Deliveries]]/EarningsPerDay[[#This Row],[Hours]]</f>
        <v>1.8181818181818181</v>
      </c>
      <c r="Y638" s="71">
        <f>EarningsPerDay[[#This Row],[Miles]]/EarningsPerDay[[#This Row],[Deliveries]]</f>
        <v>7.6</v>
      </c>
      <c r="Z638" s="81">
        <f>(EarningsPerDay[[#This Row],[Hours]]/EarningsPerDay[[#This Row],[Deliveries]])/24</f>
        <v>2.2916666666666669E-2</v>
      </c>
      <c r="AA6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0.84138916668301533</v>
      </c>
      <c r="AB638" s="11">
        <f>AVERAGEIFS(EarningsPerDay[Gross $/Hour],EarningsPerDay[Week '#], EarningsPerDay[[#This Row],[Week '#]], EarningsPerDay[DOW], EarningsPerDay[[#This Row],[DOW]])</f>
        <v>19.427183793387528</v>
      </c>
      <c r="AC638" s="11">
        <f>EarningsPerDay[[#This Row],[Gross $/Hour]] - EarningsPerDay[[#This Row],[Weekly Average Earnings]]</f>
        <v>2.9255434793397441</v>
      </c>
      <c r="AD638" s="11">
        <f>(SUMIFS(EarningsPerDay[Gross Earnings], EarningsPerDay[Date],"&gt;="&amp;EarningsPerDay[[#This Row],[Date]]-89, EarningsPerDay[Date], "&lt;="&amp;EarningsPerDay[[#This Row],[Date]]))/90</f>
        <v>44.021888888888888</v>
      </c>
    </row>
    <row r="639" spans="2:30" x14ac:dyDescent="0.35">
      <c r="B639" s="40">
        <v>45660</v>
      </c>
      <c r="C639" s="40">
        <f t="shared" si="75"/>
        <v>45660</v>
      </c>
      <c r="D639" s="4">
        <f>IF(EarningsPerDay[[#This Row],[Week '#]]&gt;=52,YEAR(EarningsPerDay[[#This Row],[Date]])-1,YEAR(EarningsPerDay[[#This Row],[Date]]))</f>
        <v>2025</v>
      </c>
      <c r="E639" s="4" t="str">
        <f>"QTR"&amp;IF(EarningsPerDay[[#This Row],[Week '#]] &lt;= 13, 1, IF(EarningsPerDay[[#This Row],[Week '#]] &lt;= 26, 2, IF(EarningsPerDay[[#This Row],[Week '#]] &lt;= 39, 3, 4)))</f>
        <v>QTR1</v>
      </c>
      <c r="F6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39" s="4">
        <f>IF(WEEKNUM(EarningsPerDay[[#This Row],[Date]], 2) = 53, 1, WEEKNUM(EarningsPerDay[[#This Row],[Date]],2))</f>
        <v>1</v>
      </c>
      <c r="H639" s="40" t="str">
        <f t="shared" si="77"/>
        <v>Friday</v>
      </c>
      <c r="I63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39" s="40" t="str" cm="1">
        <f t="array" ref="J639">IFERROR(VLOOKUP(MODE(IF(Combined[Date]=EarningsPerDay[[#This Row],[Date]],Combined[Area '#])),KPIs!$B$4:$C$7,2,FALSE),VLOOKUP(EarningsPerDay[[#This Row],[Date]],Combined[[Date]:[Primary Area]],8,FALSE))</f>
        <v>Lewiston</v>
      </c>
      <c r="K639" s="40" t="str">
        <f>_xlfn.XLOOKUP(EarningsPerDay[[#This Row],[Date]],Mileage[Date],Mileage[Weather])</f>
        <v>Clear</v>
      </c>
      <c r="L639" s="4">
        <f>_xlfn.XLOOKUP(EarningsPerDay[[#This Row],[Date]],Mileage[Date],Mileage[Hi Temp])</f>
        <v>30</v>
      </c>
      <c r="M639" s="12">
        <f>_xlfn.XLOOKUP(EarningsPerDay[[#This Row],[Date]],Mileage[Date],Mileage[Total Time])</f>
        <v>1.73</v>
      </c>
      <c r="N639" s="4">
        <f>_xlfn.XLOOKUP(EarningsPerDay[[#This Row],[Date]],Mileage[Date],Mileage[Mileage])</f>
        <v>27</v>
      </c>
      <c r="O639" s="4">
        <f>SUMIF(Combined[Date],EarningsPerDay[[#This Row],[Date]],Combined[Trips])</f>
        <v>4</v>
      </c>
      <c r="P639">
        <f>COUNTIF(Combined[Date],EarningsPerDay[[#This Row],[Date]])</f>
        <v>2</v>
      </c>
      <c r="Q6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39" s="11">
        <f>SUMIF(Combined[Date],EarningsPerDay[[#This Row],[Date]],Combined[Earnings])</f>
        <v>30.52</v>
      </c>
      <c r="S639" s="11">
        <f ca="1">EarningsPerDay[[#This Row],[Gross Earnings]]-(EarningsPerDay[[#This Row],[Miles]]*CpM!$D$11)</f>
        <v>24.499726499036335</v>
      </c>
      <c r="T639" s="11">
        <f t="shared" si="61"/>
        <v>17.641618497109828</v>
      </c>
      <c r="U639" s="11">
        <f t="shared" ca="1" si="62"/>
        <v>14.161691617940079</v>
      </c>
      <c r="V639" s="11">
        <f>EarningsPerDay[[#This Row],[Gross Earnings]]/EarningsPerDay[[#This Row],[Deliveries]]</f>
        <v>7.63</v>
      </c>
      <c r="W639" s="11">
        <f>EarningsPerDay[[#This Row],[Gross Earnings]]/EarningsPerDay[[#This Row],[Miles]]</f>
        <v>1.1303703703703702</v>
      </c>
      <c r="X639" s="71">
        <f>EarningsPerDay[[#This Row],[Deliveries]]/EarningsPerDay[[#This Row],[Hours]]</f>
        <v>2.3121387283236996</v>
      </c>
      <c r="Y639" s="71">
        <f>EarningsPerDay[[#This Row],[Miles]]/EarningsPerDay[[#This Row],[Deliveries]]</f>
        <v>6.75</v>
      </c>
      <c r="Z639" s="81">
        <f>(EarningsPerDay[[#This Row],[Hours]]/EarningsPerDay[[#This Row],[Deliveries]])/24</f>
        <v>1.8020833333333333E-2</v>
      </c>
      <c r="AA6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-2.5741405533135051</v>
      </c>
      <c r="AB639" s="11">
        <f>AVERAGEIFS(EarningsPerDay[Gross $/Hour],EarningsPerDay[Week '#], EarningsPerDay[[#This Row],[Week '#]], EarningsPerDay[DOW], EarningsPerDay[[#This Row],[DOW]])</f>
        <v>19.988788031661809</v>
      </c>
      <c r="AC639" s="11">
        <f>EarningsPerDay[[#This Row],[Gross $/Hour]] - EarningsPerDay[[#This Row],[Weekly Average Earnings]]</f>
        <v>-2.3471695345519805</v>
      </c>
      <c r="AD639" s="11">
        <f>(SUMIFS(EarningsPerDay[Gross Earnings], EarningsPerDay[Date],"&gt;="&amp;EarningsPerDay[[#This Row],[Date]]-89, EarningsPerDay[Date], "&lt;="&amp;EarningsPerDay[[#This Row],[Date]]))/90</f>
        <v>42.754999999999995</v>
      </c>
    </row>
    <row r="640" spans="2:30" x14ac:dyDescent="0.35">
      <c r="B640" s="40">
        <v>45662</v>
      </c>
      <c r="C640" s="40">
        <f t="shared" si="75"/>
        <v>45662</v>
      </c>
      <c r="D640" s="4">
        <f>IF(EarningsPerDay[[#This Row],[Week '#]]&gt;=52,YEAR(EarningsPerDay[[#This Row],[Date]])-1,YEAR(EarningsPerDay[[#This Row],[Date]]))</f>
        <v>2025</v>
      </c>
      <c r="E640" s="4" t="str">
        <f>"QTR"&amp;IF(EarningsPerDay[[#This Row],[Week '#]] &lt;= 13, 1, IF(EarningsPerDay[[#This Row],[Week '#]] &lt;= 26, 2, IF(EarningsPerDay[[#This Row],[Week '#]] &lt;= 39, 3, 4)))</f>
        <v>QTR1</v>
      </c>
      <c r="F6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640" s="4">
        <f>IF(WEEKNUM(EarningsPerDay[[#This Row],[Date]], 2) = 53, 1, WEEKNUM(EarningsPerDay[[#This Row],[Date]],2))</f>
        <v>1</v>
      </c>
      <c r="H640" s="40" t="str">
        <f t="shared" si="77"/>
        <v>Sunday</v>
      </c>
      <c r="I64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40" s="40" t="str" cm="1">
        <f t="array" ref="J640">IFERROR(VLOOKUP(MODE(IF(Combined[Date]=EarningsPerDay[[#This Row],[Date]],Combined[Area '#])),KPIs!$B$4:$C$7,2,FALSE),VLOOKUP(EarningsPerDay[[#This Row],[Date]],Combined[[Date]:[Primary Area]],8,FALSE))</f>
        <v>Brunswick/Bath/Freeport</v>
      </c>
      <c r="K640" s="40" t="str">
        <f>_xlfn.XLOOKUP(EarningsPerDay[[#This Row],[Date]],Mileage[Date],Mileage[Weather])</f>
        <v>Clear</v>
      </c>
      <c r="L640" s="4">
        <f>_xlfn.XLOOKUP(EarningsPerDay[[#This Row],[Date]],Mileage[Date],Mileage[Hi Temp])</f>
        <v>9</v>
      </c>
      <c r="M640" s="12">
        <f>_xlfn.XLOOKUP(EarningsPerDay[[#This Row],[Date]],Mileage[Date],Mileage[Total Time])</f>
        <v>2.85</v>
      </c>
      <c r="N640" s="4">
        <f>_xlfn.XLOOKUP(EarningsPerDay[[#This Row],[Date]],Mileage[Date],Mileage[Mileage])</f>
        <v>62</v>
      </c>
      <c r="O640" s="4">
        <f>SUMIF(Combined[Date],EarningsPerDay[[#This Row],[Date]],Combined[Trips])</f>
        <v>4</v>
      </c>
      <c r="P640">
        <f>COUNTIF(Combined[Date],EarningsPerDay[[#This Row],[Date]])</f>
        <v>1</v>
      </c>
      <c r="Q6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0" s="11">
        <f>SUMIF(Combined[Date],EarningsPerDay[[#This Row],[Date]],Combined[Earnings])</f>
        <v>74.41</v>
      </c>
      <c r="S640" s="11">
        <f ca="1">EarningsPerDay[[#This Row],[Gross Earnings]]-(EarningsPerDay[[#This Row],[Miles]]*CpM!$D$11)</f>
        <v>60.5856682570464</v>
      </c>
      <c r="T640" s="11">
        <f t="shared" si="61"/>
        <v>26.10877192982456</v>
      </c>
      <c r="U640" s="11">
        <f t="shared" ca="1" si="62"/>
        <v>21.258129212998735</v>
      </c>
      <c r="V640" s="11">
        <f>EarningsPerDay[[#This Row],[Gross Earnings]]/EarningsPerDay[[#This Row],[Deliveries]]</f>
        <v>18.602499999999999</v>
      </c>
      <c r="W640" s="11">
        <f>EarningsPerDay[[#This Row],[Gross Earnings]]/EarningsPerDay[[#This Row],[Miles]]</f>
        <v>1.2001612903225807</v>
      </c>
      <c r="X640" s="71">
        <f>EarningsPerDay[[#This Row],[Deliveries]]/EarningsPerDay[[#This Row],[Hours]]</f>
        <v>1.4035087719298245</v>
      </c>
      <c r="Y640" s="71">
        <f>EarningsPerDay[[#This Row],[Miles]]/EarningsPerDay[[#This Row],[Deliveries]]</f>
        <v>15.5</v>
      </c>
      <c r="Z640" s="81">
        <f>(EarningsPerDay[[#This Row],[Hours]]/EarningsPerDay[[#This Row],[Deliveries]])/24</f>
        <v>2.9687500000000002E-2</v>
      </c>
      <c r="AA6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0.16399412156455995</v>
      </c>
      <c r="AB640" s="11">
        <f>AVERAGEIFS(EarningsPerDay[Gross $/Hour],EarningsPerDay[Week '#], EarningsPerDay[[#This Row],[Week '#]], EarningsPerDay[DOW], EarningsPerDay[[#This Row],[DOW]])</f>
        <v>25.011850729934075</v>
      </c>
      <c r="AC640" s="11">
        <f>EarningsPerDay[[#This Row],[Gross $/Hour]] - EarningsPerDay[[#This Row],[Weekly Average Earnings]]</f>
        <v>1.0969211998904846</v>
      </c>
      <c r="AD640" s="11">
        <f>(SUMIFS(EarningsPerDay[Gross Earnings], EarningsPerDay[Date],"&gt;="&amp;EarningsPerDay[[#This Row],[Date]]-89, EarningsPerDay[Date], "&lt;="&amp;EarningsPerDay[[#This Row],[Date]]))/90</f>
        <v>40.149777777777771</v>
      </c>
    </row>
    <row r="641" spans="2:30" x14ac:dyDescent="0.35">
      <c r="B641" s="40">
        <v>45665</v>
      </c>
      <c r="C641" s="40">
        <f t="shared" si="75"/>
        <v>45665</v>
      </c>
      <c r="D641" s="4">
        <f>IF(EarningsPerDay[[#This Row],[Week '#]]&gt;=52,YEAR(EarningsPerDay[[#This Row],[Date]])-1,YEAR(EarningsPerDay[[#This Row],[Date]]))</f>
        <v>2025</v>
      </c>
      <c r="E641" s="4" t="str">
        <f>"QTR"&amp;IF(EarningsPerDay[[#This Row],[Week '#]] &lt;= 13, 1, IF(EarningsPerDay[[#This Row],[Week '#]] &lt;= 26, 2, IF(EarningsPerDay[[#This Row],[Week '#]] &lt;= 39, 3, 4)))</f>
        <v>QTR1</v>
      </c>
      <c r="F6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41" s="4">
        <f>IF(WEEKNUM(EarningsPerDay[[#This Row],[Date]], 2) = 53, 1, WEEKNUM(EarningsPerDay[[#This Row],[Date]],2))</f>
        <v>2</v>
      </c>
      <c r="H641" s="40" t="str">
        <f t="shared" si="77"/>
        <v>Wednesday</v>
      </c>
      <c r="I64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41" s="40" t="str" cm="1">
        <f t="array" ref="J641">IFERROR(VLOOKUP(MODE(IF(Combined[Date]=EarningsPerDay[[#This Row],[Date]],Combined[Area '#])),KPIs!$B$4:$C$7,2,FALSE),VLOOKUP(EarningsPerDay[[#This Row],[Date]],Combined[[Date]:[Primary Area]],8,FALSE))</f>
        <v>Brunswick/Bath/Freeport</v>
      </c>
      <c r="K641" s="40" t="str">
        <f>_xlfn.XLOOKUP(EarningsPerDay[[#This Row],[Date]],Mileage[Date],Mileage[Weather])</f>
        <v>Overcast</v>
      </c>
      <c r="L641" s="4">
        <f>_xlfn.XLOOKUP(EarningsPerDay[[#This Row],[Date]],Mileage[Date],Mileage[Hi Temp])</f>
        <v>16</v>
      </c>
      <c r="M641" s="12">
        <f>_xlfn.XLOOKUP(EarningsPerDay[[#This Row],[Date]],Mileage[Date],Mileage[Total Time])</f>
        <v>1.38</v>
      </c>
      <c r="N641" s="4">
        <f>_xlfn.XLOOKUP(EarningsPerDay[[#This Row],[Date]],Mileage[Date],Mileage[Mileage])</f>
        <v>50</v>
      </c>
      <c r="O641" s="4">
        <f>SUMIF(Combined[Date],EarningsPerDay[[#This Row],[Date]],Combined[Trips])</f>
        <v>1</v>
      </c>
      <c r="P641">
        <f>COUNTIF(Combined[Date],EarningsPerDay[[#This Row],[Date]])</f>
        <v>1</v>
      </c>
      <c r="Q6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1" s="11">
        <f>SUMIF(Combined[Date],EarningsPerDay[[#This Row],[Date]],Combined[Earnings])</f>
        <v>22.01</v>
      </c>
      <c r="S641" s="11">
        <f ca="1">EarningsPerDay[[#This Row],[Gross Earnings]]-(EarningsPerDay[[#This Row],[Miles]]*CpM!$D$11)</f>
        <v>10.861345368585811</v>
      </c>
      <c r="T641" s="11">
        <f t="shared" si="61"/>
        <v>15.949275362318843</v>
      </c>
      <c r="U641" s="11">
        <f t="shared" ca="1" si="62"/>
        <v>7.8705401221636313</v>
      </c>
      <c r="V641" s="11">
        <f>EarningsPerDay[[#This Row],[Gross Earnings]]/EarningsPerDay[[#This Row],[Deliveries]]</f>
        <v>22.01</v>
      </c>
      <c r="W641" s="11">
        <f>EarningsPerDay[[#This Row],[Gross Earnings]]/EarningsPerDay[[#This Row],[Miles]]</f>
        <v>0.44020000000000004</v>
      </c>
      <c r="X641" s="71">
        <f>EarningsPerDay[[#This Row],[Deliveries]]/EarningsPerDay[[#This Row],[Hours]]</f>
        <v>0.7246376811594204</v>
      </c>
      <c r="Y641" s="71">
        <f>EarningsPerDay[[#This Row],[Miles]]/EarningsPerDay[[#This Row],[Deliveries]]</f>
        <v>50</v>
      </c>
      <c r="Z641" s="81">
        <f>(EarningsPerDay[[#This Row],[Hours]]/EarningsPerDay[[#This Row],[Deliveries]])/24</f>
        <v>5.7499999999999996E-2</v>
      </c>
      <c r="AA6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-12.644791817851011</v>
      </c>
      <c r="AB641" s="11">
        <f>AVERAGEIFS(EarningsPerDay[Gross $/Hour],EarningsPerDay[Week '#], EarningsPerDay[[#This Row],[Week '#]], EarningsPerDay[DOW], EarningsPerDay[[#This Row],[DOW]])</f>
        <v>20.407605676328505</v>
      </c>
      <c r="AC641" s="11">
        <f>EarningsPerDay[[#This Row],[Gross $/Hour]] - EarningsPerDay[[#This Row],[Weekly Average Earnings]]</f>
        <v>-4.4583303140096611</v>
      </c>
      <c r="AD641" s="11">
        <f>(SUMIFS(EarningsPerDay[Gross Earnings], EarningsPerDay[Date],"&gt;="&amp;EarningsPerDay[[#This Row],[Date]]-89, EarningsPerDay[Date], "&lt;="&amp;EarningsPerDay[[#This Row],[Date]]))/90</f>
        <v>40.394333333333329</v>
      </c>
    </row>
    <row r="642" spans="2:30" x14ac:dyDescent="0.35">
      <c r="B642" s="40">
        <v>45666</v>
      </c>
      <c r="C642" s="40">
        <f t="shared" si="75"/>
        <v>45666</v>
      </c>
      <c r="D642" s="4">
        <f>IF(EarningsPerDay[[#This Row],[Week '#]]&gt;=52,YEAR(EarningsPerDay[[#This Row],[Date]])-1,YEAR(EarningsPerDay[[#This Row],[Date]]))</f>
        <v>2025</v>
      </c>
      <c r="E642" s="4" t="str">
        <f>"QTR"&amp;IF(EarningsPerDay[[#This Row],[Week '#]] &lt;= 13, 1, IF(EarningsPerDay[[#This Row],[Week '#]] &lt;= 26, 2, IF(EarningsPerDay[[#This Row],[Week '#]] &lt;= 39, 3, 4)))</f>
        <v>QTR1</v>
      </c>
      <c r="F6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42" s="4">
        <f>IF(WEEKNUM(EarningsPerDay[[#This Row],[Date]], 2) = 53, 1, WEEKNUM(EarningsPerDay[[#This Row],[Date]],2))</f>
        <v>2</v>
      </c>
      <c r="H642" s="40" t="str">
        <f t="shared" si="77"/>
        <v>Thursday</v>
      </c>
      <c r="I64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42" s="40" t="str" cm="1">
        <f t="array" ref="J642">IFERROR(VLOOKUP(MODE(IF(Combined[Date]=EarningsPerDay[[#This Row],[Date]],Combined[Area '#])),KPIs!$B$4:$C$7,2,FALSE),VLOOKUP(EarningsPerDay[[#This Row],[Date]],Combined[[Date]:[Primary Area]],8,FALSE))</f>
        <v>Lewiston</v>
      </c>
      <c r="K642" s="40" t="str">
        <f>_xlfn.XLOOKUP(EarningsPerDay[[#This Row],[Date]],Mileage[Date],Mileage[Weather])</f>
        <v>Clear</v>
      </c>
      <c r="L642" s="4">
        <f>_xlfn.XLOOKUP(EarningsPerDay[[#This Row],[Date]],Mileage[Date],Mileage[Hi Temp])</f>
        <v>23</v>
      </c>
      <c r="M642" s="12">
        <f>_xlfn.XLOOKUP(EarningsPerDay[[#This Row],[Date]],Mileage[Date],Mileage[Total Time])</f>
        <v>2.0699999999999998</v>
      </c>
      <c r="N642" s="4">
        <f>_xlfn.XLOOKUP(EarningsPerDay[[#This Row],[Date]],Mileage[Date],Mileage[Mileage])</f>
        <v>23</v>
      </c>
      <c r="O642" s="4">
        <f>SUMIF(Combined[Date],EarningsPerDay[[#This Row],[Date]],Combined[Trips])</f>
        <v>2</v>
      </c>
      <c r="P642">
        <f>COUNTIF(Combined[Date],EarningsPerDay[[#This Row],[Date]])</f>
        <v>2</v>
      </c>
      <c r="Q6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2" s="11">
        <f>SUMIF(Combined[Date],EarningsPerDay[[#This Row],[Date]],Combined[Earnings])</f>
        <v>13.52</v>
      </c>
      <c r="S642" s="11">
        <f ca="1">EarningsPerDay[[#This Row],[Gross Earnings]]-(EarningsPerDay[[#This Row],[Miles]]*CpM!$D$11)</f>
        <v>8.3916188695494718</v>
      </c>
      <c r="T642" s="11">
        <f t="shared" si="61"/>
        <v>6.5314009661835755</v>
      </c>
      <c r="U642" s="11">
        <f t="shared" ca="1" si="62"/>
        <v>4.053922159202644</v>
      </c>
      <c r="V642" s="11">
        <f>EarningsPerDay[[#This Row],[Gross Earnings]]/EarningsPerDay[[#This Row],[Deliveries]]</f>
        <v>6.76</v>
      </c>
      <c r="W642" s="11">
        <f>EarningsPerDay[[#This Row],[Gross Earnings]]/EarningsPerDay[[#This Row],[Miles]]</f>
        <v>0.58782608695652172</v>
      </c>
      <c r="X642" s="71">
        <f>EarningsPerDay[[#This Row],[Deliveries]]/EarningsPerDay[[#This Row],[Hours]]</f>
        <v>0.96618357487922713</v>
      </c>
      <c r="Y642" s="71">
        <f>EarningsPerDay[[#This Row],[Miles]]/EarningsPerDay[[#This Row],[Deliveries]]</f>
        <v>11.5</v>
      </c>
      <c r="Z642" s="81">
        <f>(EarningsPerDay[[#This Row],[Hours]]/EarningsPerDay[[#This Row],[Deliveries]])/24</f>
        <v>4.3124999999999997E-2</v>
      </c>
      <c r="AA6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-15.064076056528982</v>
      </c>
      <c r="AB642" s="11">
        <f>AVERAGEIFS(EarningsPerDay[Gross $/Hour],EarningsPerDay[Week '#], EarningsPerDay[[#This Row],[Week '#]], EarningsPerDay[DOW], EarningsPerDay[[#This Row],[DOW]])</f>
        <v>17.499254197459155</v>
      </c>
      <c r="AC642" s="11">
        <f>EarningsPerDay[[#This Row],[Gross $/Hour]] - EarningsPerDay[[#This Row],[Weekly Average Earnings]]</f>
        <v>-10.96785323127558</v>
      </c>
      <c r="AD642" s="11">
        <f>(SUMIFS(EarningsPerDay[Gross Earnings], EarningsPerDay[Date],"&gt;="&amp;EarningsPerDay[[#This Row],[Date]]-89, EarningsPerDay[Date], "&lt;="&amp;EarningsPerDay[[#This Row],[Date]]))/90</f>
        <v>40.544555555555554</v>
      </c>
    </row>
    <row r="643" spans="2:30" x14ac:dyDescent="0.35">
      <c r="B643" s="40">
        <v>45668</v>
      </c>
      <c r="C643" s="40">
        <f t="shared" si="75"/>
        <v>45668</v>
      </c>
      <c r="D643" s="4">
        <f>IF(EarningsPerDay[[#This Row],[Week '#]]&gt;=52,YEAR(EarningsPerDay[[#This Row],[Date]])-1,YEAR(EarningsPerDay[[#This Row],[Date]]))</f>
        <v>2025</v>
      </c>
      <c r="E643" s="4" t="str">
        <f>"QTR"&amp;IF(EarningsPerDay[[#This Row],[Week '#]] &lt;= 13, 1, IF(EarningsPerDay[[#This Row],[Week '#]] &lt;= 26, 2, IF(EarningsPerDay[[#This Row],[Week '#]] &lt;= 39, 3, 4)))</f>
        <v>QTR1</v>
      </c>
      <c r="F6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43" s="4">
        <f>IF(WEEKNUM(EarningsPerDay[[#This Row],[Date]], 2) = 53, 1, WEEKNUM(EarningsPerDay[[#This Row],[Date]],2))</f>
        <v>2</v>
      </c>
      <c r="H643" s="40" t="str">
        <f>TEXT(B643,"DDDD")</f>
        <v>Saturday</v>
      </c>
      <c r="I643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643" s="40" t="str" cm="1">
        <f t="array" ref="J643">IFERROR(VLOOKUP(MODE(IF(Combined[Date]=EarningsPerDay[[#This Row],[Date]],Combined[Area '#])),KPIs!$B$4:$C$7,2,FALSE),VLOOKUP(EarningsPerDay[[#This Row],[Date]],Combined[[Date]:[Primary Area]],8,FALSE))</f>
        <v>Portland</v>
      </c>
      <c r="K643" s="40" t="str">
        <f>_xlfn.XLOOKUP(EarningsPerDay[[#This Row],[Date]],Mileage[Date],Mileage[Weather])</f>
        <v>Light Snow</v>
      </c>
      <c r="L643" s="4">
        <f>_xlfn.XLOOKUP(EarningsPerDay[[#This Row],[Date]],Mileage[Date],Mileage[Hi Temp])</f>
        <v>27</v>
      </c>
      <c r="M643" s="12">
        <f>_xlfn.XLOOKUP(EarningsPerDay[[#This Row],[Date]],Mileage[Date],Mileage[Total Time])</f>
        <v>6.78</v>
      </c>
      <c r="N643" s="4">
        <f>_xlfn.XLOOKUP(EarningsPerDay[[#This Row],[Date]],Mileage[Date],Mileage[Mileage])</f>
        <v>116</v>
      </c>
      <c r="O643" s="4">
        <f>SUMIF(Combined[Date],EarningsPerDay[[#This Row],[Date]],Combined[Trips])</f>
        <v>16</v>
      </c>
      <c r="P643">
        <f>COUNTIF(Combined[Date],EarningsPerDay[[#This Row],[Date]])</f>
        <v>2</v>
      </c>
      <c r="Q6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3" s="11">
        <f>SUMIF(Combined[Date],EarningsPerDay[[#This Row],[Date]],Combined[Earnings])</f>
        <v>148.96</v>
      </c>
      <c r="S643" s="11">
        <f ca="1">EarningsPerDay[[#This Row],[Gross Earnings]]-(EarningsPerDay[[#This Row],[Miles]]*CpM!$D$11)</f>
        <v>123.09512125511908</v>
      </c>
      <c r="T643" s="11">
        <f t="shared" ref="T643:T706" si="78">R643/M643</f>
        <v>21.970501474926255</v>
      </c>
      <c r="U643" s="11">
        <f t="shared" ref="U643:U706" ca="1" si="79">S643/M643</f>
        <v>18.155622603999863</v>
      </c>
      <c r="V643" s="11">
        <f>EarningsPerDay[[#This Row],[Gross Earnings]]/EarningsPerDay[[#This Row],[Deliveries]]</f>
        <v>9.31</v>
      </c>
      <c r="W643" s="11">
        <f>EarningsPerDay[[#This Row],[Gross Earnings]]/EarningsPerDay[[#This Row],[Miles]]</f>
        <v>1.2841379310344829</v>
      </c>
      <c r="X643" s="71">
        <f>EarningsPerDay[[#This Row],[Deliveries]]/EarningsPerDay[[#This Row],[Hours]]</f>
        <v>2.359882005899705</v>
      </c>
      <c r="Y643" s="71">
        <f>EarningsPerDay[[#This Row],[Miles]]/EarningsPerDay[[#This Row],[Deliveries]]</f>
        <v>7.25</v>
      </c>
      <c r="Z643" s="81">
        <f>(EarningsPerDay[[#This Row],[Hours]]/EarningsPerDay[[#This Row],[Deliveries]])/24</f>
        <v>1.7656250000000002E-2</v>
      </c>
      <c r="AA6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3.0973034197733718</v>
      </c>
      <c r="AB643" s="11">
        <f>AVERAGEIFS(EarningsPerDay[Gross $/Hour],EarningsPerDay[Week '#], EarningsPerDay[[#This Row],[Week '#]], EarningsPerDay[DOW], EarningsPerDay[[#This Row],[DOW]])</f>
        <v>24.347155499367886</v>
      </c>
      <c r="AC643" s="11">
        <f>EarningsPerDay[[#This Row],[Gross $/Hour]] - EarningsPerDay[[#This Row],[Weekly Average Earnings]]</f>
        <v>-2.3766540244416312</v>
      </c>
      <c r="AD643" s="11">
        <f>(SUMIFS(EarningsPerDay[Gross Earnings], EarningsPerDay[Date],"&gt;="&amp;EarningsPerDay[[#This Row],[Date]]-89, EarningsPerDay[Date], "&lt;="&amp;EarningsPerDay[[#This Row],[Date]]))/90</f>
        <v>40.908555555555559</v>
      </c>
    </row>
    <row r="644" spans="2:30" x14ac:dyDescent="0.35">
      <c r="B644" s="40">
        <v>45670</v>
      </c>
      <c r="C644" s="40">
        <f t="shared" si="75"/>
        <v>45670</v>
      </c>
      <c r="D644" s="4">
        <f>IF(EarningsPerDay[[#This Row],[Week '#]]&gt;=52,YEAR(EarningsPerDay[[#This Row],[Date]])-1,YEAR(EarningsPerDay[[#This Row],[Date]]))</f>
        <v>2025</v>
      </c>
      <c r="E644" s="4" t="str">
        <f>"QTR"&amp;IF(EarningsPerDay[[#This Row],[Week '#]] &lt;= 13, 1, IF(EarningsPerDay[[#This Row],[Week '#]] &lt;= 26, 2, IF(EarningsPerDay[[#This Row],[Week '#]] &lt;= 39, 3, 4)))</f>
        <v>QTR1</v>
      </c>
      <c r="F6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44" s="4">
        <f>IF(WEEKNUM(EarningsPerDay[[#This Row],[Date]], 2) = 53, 1, WEEKNUM(EarningsPerDay[[#This Row],[Date]],2))</f>
        <v>3</v>
      </c>
      <c r="H644" s="40" t="str">
        <f>TEXT(B644,"DDDD")</f>
        <v>Monday</v>
      </c>
      <c r="I64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44" s="40" t="str" cm="1">
        <f t="array" ref="J644">IFERROR(VLOOKUP(MODE(IF(Combined[Date]=EarningsPerDay[[#This Row],[Date]],Combined[Area '#])),KPIs!$B$4:$C$7,2,FALSE),VLOOKUP(EarningsPerDay[[#This Row],[Date]],Combined[[Date]:[Primary Area]],8,FALSE))</f>
        <v>Portland</v>
      </c>
      <c r="K644" s="40" t="str">
        <f>_xlfn.XLOOKUP(EarningsPerDay[[#This Row],[Date]],Mileage[Date],Mileage[Weather])</f>
        <v>Light Snow</v>
      </c>
      <c r="L644" s="4">
        <f>_xlfn.XLOOKUP(EarningsPerDay[[#This Row],[Date]],Mileage[Date],Mileage[Hi Temp])</f>
        <v>34</v>
      </c>
      <c r="M644" s="12">
        <f>_xlfn.XLOOKUP(EarningsPerDay[[#This Row],[Date]],Mileage[Date],Mileage[Total Time])</f>
        <v>4.38</v>
      </c>
      <c r="N644" s="4">
        <f>_xlfn.XLOOKUP(EarningsPerDay[[#This Row],[Date]],Mileage[Date],Mileage[Mileage])</f>
        <v>68</v>
      </c>
      <c r="O644" s="4">
        <f>SUMIF(Combined[Date],EarningsPerDay[[#This Row],[Date]],Combined[Trips])</f>
        <v>7</v>
      </c>
      <c r="P644">
        <f>COUNTIF(Combined[Date],EarningsPerDay[[#This Row],[Date]])</f>
        <v>2</v>
      </c>
      <c r="Q64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4" s="11">
        <f>SUMIF(Combined[Date],EarningsPerDay[[#This Row],[Date]],Combined[Earnings])</f>
        <v>83.05</v>
      </c>
      <c r="S644" s="11">
        <f ca="1">EarningsPerDay[[#This Row],[Gross Earnings]]-(EarningsPerDay[[#This Row],[Miles]]*CpM!$D$11)</f>
        <v>67.887829701276701</v>
      </c>
      <c r="T644" s="11">
        <f t="shared" si="78"/>
        <v>18.961187214611872</v>
      </c>
      <c r="U644" s="11">
        <f t="shared" ca="1" si="79"/>
        <v>15.499504498008379</v>
      </c>
      <c r="V644" s="11">
        <f>EarningsPerDay[[#This Row],[Gross Earnings]]/EarningsPerDay[[#This Row],[Deliveries]]</f>
        <v>11.864285714285714</v>
      </c>
      <c r="W644" s="11">
        <f>EarningsPerDay[[#This Row],[Gross Earnings]]/EarningsPerDay[[#This Row],[Miles]]</f>
        <v>1.2213235294117646</v>
      </c>
      <c r="X644" s="71">
        <f>EarningsPerDay[[#This Row],[Deliveries]]/EarningsPerDay[[#This Row],[Hours]]</f>
        <v>1.5981735159817352</v>
      </c>
      <c r="Y644" s="71">
        <f>EarningsPerDay[[#This Row],[Miles]]/EarningsPerDay[[#This Row],[Deliveries]]</f>
        <v>9.7142857142857135</v>
      </c>
      <c r="Z644" s="81">
        <f>(EarningsPerDay[[#This Row],[Hours]]/EarningsPerDay[[#This Row],[Deliveries]])/24</f>
        <v>2.6071428571428568E-2</v>
      </c>
      <c r="AA6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3.9283861038864298</v>
      </c>
      <c r="AB644" s="11">
        <f>AVERAGEIFS(EarningsPerDay[Gross $/Hour],EarningsPerDay[Week '#], EarningsPerDay[[#This Row],[Week '#]], EarningsPerDay[DOW], EarningsPerDay[[#This Row],[DOW]])</f>
        <v>20.098029868779264</v>
      </c>
      <c r="AC644" s="11">
        <f>EarningsPerDay[[#This Row],[Gross $/Hour]] - EarningsPerDay[[#This Row],[Weekly Average Earnings]]</f>
        <v>-1.1368426541673919</v>
      </c>
      <c r="AD644" s="11">
        <f>(SUMIFS(EarningsPerDay[Gross Earnings], EarningsPerDay[Date],"&gt;="&amp;EarningsPerDay[[#This Row],[Date]]-89, EarningsPerDay[Date], "&lt;="&amp;EarningsPerDay[[#This Row],[Date]]))/90</f>
        <v>40.534666666666674</v>
      </c>
    </row>
    <row r="645" spans="2:30" x14ac:dyDescent="0.35">
      <c r="B645" s="40">
        <v>45673</v>
      </c>
      <c r="C645" s="40">
        <f t="shared" si="75"/>
        <v>45673</v>
      </c>
      <c r="D645" s="4">
        <f>IF(EarningsPerDay[[#This Row],[Week '#]]&gt;=52,YEAR(EarningsPerDay[[#This Row],[Date]])-1,YEAR(EarningsPerDay[[#This Row],[Date]]))</f>
        <v>2025</v>
      </c>
      <c r="E645" s="4" t="str">
        <f>"QTR"&amp;IF(EarningsPerDay[[#This Row],[Week '#]] &lt;= 13, 1, IF(EarningsPerDay[[#This Row],[Week '#]] &lt;= 26, 2, IF(EarningsPerDay[[#This Row],[Week '#]] &lt;= 39, 3, 4)))</f>
        <v>QTR1</v>
      </c>
      <c r="F6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45" s="4">
        <f>IF(WEEKNUM(EarningsPerDay[[#This Row],[Date]], 2) = 53, 1, WEEKNUM(EarningsPerDay[[#This Row],[Date]],2))</f>
        <v>3</v>
      </c>
      <c r="H645" s="40" t="str">
        <f t="shared" ref="H645:H646" si="80">TEXT(B645,"DDDD")</f>
        <v>Thursday</v>
      </c>
      <c r="I64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45" s="40" t="str" cm="1">
        <f t="array" ref="J645">IFERROR(VLOOKUP(MODE(IF(Combined[Date]=EarningsPerDay[[#This Row],[Date]],Combined[Area '#])),KPIs!$B$4:$C$7,2,FALSE),VLOOKUP(EarningsPerDay[[#This Row],[Date]],Combined[[Date]:[Primary Area]],8,FALSE))</f>
        <v>Lewiston</v>
      </c>
      <c r="K645" s="40" t="str">
        <f>_xlfn.XLOOKUP(EarningsPerDay[[#This Row],[Date]],Mileage[Date],Mileage[Weather])</f>
        <v>Clear</v>
      </c>
      <c r="L645" s="4">
        <f>_xlfn.XLOOKUP(EarningsPerDay[[#This Row],[Date]],Mileage[Date],Mileage[Hi Temp])</f>
        <v>16</v>
      </c>
      <c r="M645" s="12">
        <f>_xlfn.XLOOKUP(EarningsPerDay[[#This Row],[Date]],Mileage[Date],Mileage[Total Time])</f>
        <v>4.1500000000000004</v>
      </c>
      <c r="N645" s="4">
        <f>_xlfn.XLOOKUP(EarningsPerDay[[#This Row],[Date]],Mileage[Date],Mileage[Mileage])</f>
        <v>40</v>
      </c>
      <c r="O645" s="4">
        <f>SUMIF(Combined[Date],EarningsPerDay[[#This Row],[Date]],Combined[Trips])</f>
        <v>8</v>
      </c>
      <c r="P645">
        <f>COUNTIF(Combined[Date],EarningsPerDay[[#This Row],[Date]])</f>
        <v>3</v>
      </c>
      <c r="Q6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5" s="11">
        <f>SUMIF(Combined[Date],EarningsPerDay[[#This Row],[Date]],Combined[Earnings])</f>
        <v>87.92</v>
      </c>
      <c r="S645" s="11">
        <f ca="1">EarningsPerDay[[#This Row],[Gross Earnings]]-(EarningsPerDay[[#This Row],[Miles]]*CpM!$D$11)</f>
        <v>79.001076294868653</v>
      </c>
      <c r="T645" s="11">
        <f t="shared" si="78"/>
        <v>21.185542168674697</v>
      </c>
      <c r="U645" s="11">
        <f t="shared" ca="1" si="79"/>
        <v>19.036403926474371</v>
      </c>
      <c r="V645" s="11">
        <f>EarningsPerDay[[#This Row],[Gross Earnings]]/EarningsPerDay[[#This Row],[Deliveries]]</f>
        <v>10.99</v>
      </c>
      <c r="W645" s="11">
        <f>EarningsPerDay[[#This Row],[Gross Earnings]]/EarningsPerDay[[#This Row],[Miles]]</f>
        <v>2.198</v>
      </c>
      <c r="X645" s="71">
        <f>EarningsPerDay[[#This Row],[Deliveries]]/EarningsPerDay[[#This Row],[Hours]]</f>
        <v>1.9277108433734937</v>
      </c>
      <c r="Y645" s="71">
        <f>EarningsPerDay[[#This Row],[Miles]]/EarningsPerDay[[#This Row],[Deliveries]]</f>
        <v>5</v>
      </c>
      <c r="Z645" s="81">
        <f>(EarningsPerDay[[#This Row],[Hours]]/EarningsPerDay[[#This Row],[Deliveries]])/24</f>
        <v>2.1614583333333336E-2</v>
      </c>
      <c r="AA6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0.95952660564659098</v>
      </c>
      <c r="AB645" s="11">
        <f>AVERAGEIFS(EarningsPerDay[Gross $/Hour],EarningsPerDay[Week '#], EarningsPerDay[[#This Row],[Week '#]], EarningsPerDay[DOW], EarningsPerDay[[#This Row],[DOW]])</f>
        <v>16.934665145332534</v>
      </c>
      <c r="AC645" s="11">
        <f>EarningsPerDay[[#This Row],[Gross $/Hour]] - EarningsPerDay[[#This Row],[Weekly Average Earnings]]</f>
        <v>4.2508770233421629</v>
      </c>
      <c r="AD645" s="11">
        <f>(SUMIFS(EarningsPerDay[Gross Earnings], EarningsPerDay[Date],"&gt;="&amp;EarningsPerDay[[#This Row],[Date]]-89, EarningsPerDay[Date], "&lt;="&amp;EarningsPerDay[[#This Row],[Date]]))/90</f>
        <v>38.583444444444439</v>
      </c>
    </row>
    <row r="646" spans="2:30" x14ac:dyDescent="0.35">
      <c r="B646" s="40">
        <v>45674</v>
      </c>
      <c r="C646" s="40">
        <f t="shared" si="75"/>
        <v>45674</v>
      </c>
      <c r="D646" s="4">
        <f>IF(EarningsPerDay[[#This Row],[Week '#]]&gt;=52,YEAR(EarningsPerDay[[#This Row],[Date]])-1,YEAR(EarningsPerDay[[#This Row],[Date]]))</f>
        <v>2025</v>
      </c>
      <c r="E646" s="4" t="str">
        <f>"QTR"&amp;IF(EarningsPerDay[[#This Row],[Week '#]] &lt;= 13, 1, IF(EarningsPerDay[[#This Row],[Week '#]] &lt;= 26, 2, IF(EarningsPerDay[[#This Row],[Week '#]] &lt;= 39, 3, 4)))</f>
        <v>QTR1</v>
      </c>
      <c r="F6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46" s="4">
        <f>IF(WEEKNUM(EarningsPerDay[[#This Row],[Date]], 2) = 53, 1, WEEKNUM(EarningsPerDay[[#This Row],[Date]],2))</f>
        <v>3</v>
      </c>
      <c r="H646" s="40" t="str">
        <f t="shared" si="80"/>
        <v>Friday</v>
      </c>
      <c r="I64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46" s="40" t="str" cm="1">
        <f t="array" ref="J646">IFERROR(VLOOKUP(MODE(IF(Combined[Date]=EarningsPerDay[[#This Row],[Date]],Combined[Area '#])),KPIs!$B$4:$C$7,2,FALSE),VLOOKUP(EarningsPerDay[[#This Row],[Date]],Combined[[Date]:[Primary Area]],8,FALSE))</f>
        <v>Lewiston</v>
      </c>
      <c r="K646" s="40" t="str">
        <f>_xlfn.XLOOKUP(EarningsPerDay[[#This Row],[Date]],Mileage[Date],Mileage[Weather])</f>
        <v>Clear</v>
      </c>
      <c r="L646" s="4">
        <f>_xlfn.XLOOKUP(EarningsPerDay[[#This Row],[Date]],Mileage[Date],Mileage[Hi Temp])</f>
        <v>25</v>
      </c>
      <c r="M646" s="12">
        <f>_xlfn.XLOOKUP(EarningsPerDay[[#This Row],[Date]],Mileage[Date],Mileage[Total Time])</f>
        <v>5.47</v>
      </c>
      <c r="N646" s="4">
        <f>_xlfn.XLOOKUP(EarningsPerDay[[#This Row],[Date]],Mileage[Date],Mileage[Mileage])</f>
        <v>110</v>
      </c>
      <c r="O646" s="4">
        <f>SUMIF(Combined[Date],EarningsPerDay[[#This Row],[Date]],Combined[Trips])</f>
        <v>9</v>
      </c>
      <c r="P646">
        <f>COUNTIF(Combined[Date],EarningsPerDay[[#This Row],[Date]])</f>
        <v>3</v>
      </c>
      <c r="Q64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6" s="11">
        <f>SUMIF(Combined[Date],EarningsPerDay[[#This Row],[Date]],Combined[Earnings])</f>
        <v>99.85</v>
      </c>
      <c r="S646" s="11">
        <f ca="1">EarningsPerDay[[#This Row],[Gross Earnings]]-(EarningsPerDay[[#This Row],[Miles]]*CpM!$D$11)</f>
        <v>75.322959810888776</v>
      </c>
      <c r="T646" s="11">
        <f t="shared" si="78"/>
        <v>18.254113345521024</v>
      </c>
      <c r="U646" s="11">
        <f t="shared" ca="1" si="79"/>
        <v>13.770193749705443</v>
      </c>
      <c r="V646" s="11">
        <f>EarningsPerDay[[#This Row],[Gross Earnings]]/EarningsPerDay[[#This Row],[Deliveries]]</f>
        <v>11.094444444444443</v>
      </c>
      <c r="W646" s="11">
        <f>EarningsPerDay[[#This Row],[Gross Earnings]]/EarningsPerDay[[#This Row],[Miles]]</f>
        <v>0.90772727272727272</v>
      </c>
      <c r="X646" s="71">
        <f>EarningsPerDay[[#This Row],[Deliveries]]/EarningsPerDay[[#This Row],[Hours]]</f>
        <v>1.6453382084095065</v>
      </c>
      <c r="Y646" s="71">
        <f>EarningsPerDay[[#This Row],[Miles]]/EarningsPerDay[[#This Row],[Deliveries]]</f>
        <v>12.222222222222221</v>
      </c>
      <c r="Z646" s="81">
        <f>(EarningsPerDay[[#This Row],[Hours]]/EarningsPerDay[[#This Row],[Deliveries]])/24</f>
        <v>2.5324074074074072E-2</v>
      </c>
      <c r="AA6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-1.7636348931089643</v>
      </c>
      <c r="AB646" s="11">
        <f>AVERAGEIFS(EarningsPerDay[Gross $/Hour],EarningsPerDay[Week '#], EarningsPerDay[[#This Row],[Week '#]], EarningsPerDay[DOW], EarningsPerDay[[#This Row],[DOW]])</f>
        <v>26.311622557568853</v>
      </c>
      <c r="AC646" s="11">
        <f>EarningsPerDay[[#This Row],[Gross $/Hour]] - EarningsPerDay[[#This Row],[Weekly Average Earnings]]</f>
        <v>-8.0575092120478295</v>
      </c>
      <c r="AD646" s="11">
        <f>(SUMIFS(EarningsPerDay[Gross Earnings], EarningsPerDay[Date],"&gt;="&amp;EarningsPerDay[[#This Row],[Date]]-89, EarningsPerDay[Date], "&lt;="&amp;EarningsPerDay[[#This Row],[Date]]))/90</f>
        <v>39.262777777777771</v>
      </c>
    </row>
    <row r="647" spans="2:30" x14ac:dyDescent="0.35">
      <c r="B647" s="40">
        <v>45675</v>
      </c>
      <c r="C647" s="40">
        <f t="shared" si="75"/>
        <v>45675</v>
      </c>
      <c r="D647" s="4">
        <f>IF(EarningsPerDay[[#This Row],[Week '#]]&gt;=52,YEAR(EarningsPerDay[[#This Row],[Date]])-1,YEAR(EarningsPerDay[[#This Row],[Date]]))</f>
        <v>2025</v>
      </c>
      <c r="E647" s="4" t="str">
        <f>"QTR"&amp;IF(EarningsPerDay[[#This Row],[Week '#]] &lt;= 13, 1, IF(EarningsPerDay[[#This Row],[Week '#]] &lt;= 26, 2, IF(EarningsPerDay[[#This Row],[Week '#]] &lt;= 39, 3, 4)))</f>
        <v>QTR1</v>
      </c>
      <c r="F6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47" s="4">
        <f>IF(WEEKNUM(EarningsPerDay[[#This Row],[Date]], 2) = 53, 1, WEEKNUM(EarningsPerDay[[#This Row],[Date]],2))</f>
        <v>3</v>
      </c>
      <c r="H647" s="40" t="str">
        <f>TEXT(B647,"DDDD")</f>
        <v>Saturday</v>
      </c>
      <c r="I64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47" s="40" t="str" cm="1">
        <f t="array" ref="J647">IFERROR(VLOOKUP(MODE(IF(Combined[Date]=EarningsPerDay[[#This Row],[Date]],Combined[Area '#])),KPIs!$B$4:$C$7,2,FALSE),VLOOKUP(EarningsPerDay[[#This Row],[Date]],Combined[[Date]:[Primary Area]],8,FALSE))</f>
        <v>Brunswick/Bath/Freeport</v>
      </c>
      <c r="K647" s="40" t="str">
        <f>_xlfn.XLOOKUP(EarningsPerDay[[#This Row],[Date]],Mileage[Date],Mileage[Weather])</f>
        <v>Light Rain</v>
      </c>
      <c r="L647" s="4">
        <f>_xlfn.XLOOKUP(EarningsPerDay[[#This Row],[Date]],Mileage[Date],Mileage[Hi Temp])</f>
        <v>39</v>
      </c>
      <c r="M647" s="12">
        <f>_xlfn.XLOOKUP(EarningsPerDay[[#This Row],[Date]],Mileage[Date],Mileage[Total Time])</f>
        <v>4.4000000000000004</v>
      </c>
      <c r="N647" s="4">
        <f>_xlfn.XLOOKUP(EarningsPerDay[[#This Row],[Date]],Mileage[Date],Mileage[Mileage])</f>
        <v>106</v>
      </c>
      <c r="O647" s="4">
        <f>SUMIF(Combined[Date],EarningsPerDay[[#This Row],[Date]],Combined[Trips])</f>
        <v>8</v>
      </c>
      <c r="P647">
        <f>COUNTIF(Combined[Date],EarningsPerDay[[#This Row],[Date]])</f>
        <v>4</v>
      </c>
      <c r="Q6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7" s="11">
        <f>SUMIF(Combined[Date],EarningsPerDay[[#This Row],[Date]],Combined[Earnings])</f>
        <v>91.160000000000011</v>
      </c>
      <c r="S647" s="11">
        <f ca="1">EarningsPerDay[[#This Row],[Gross Earnings]]-(EarningsPerDay[[#This Row],[Miles]]*CpM!$D$11)</f>
        <v>67.524852181401926</v>
      </c>
      <c r="T647" s="11">
        <f t="shared" si="78"/>
        <v>20.718181818181819</v>
      </c>
      <c r="U647" s="11">
        <f t="shared" ca="1" si="79"/>
        <v>15.346557313954982</v>
      </c>
      <c r="V647" s="11">
        <f>EarningsPerDay[[#This Row],[Gross Earnings]]/EarningsPerDay[[#This Row],[Deliveries]]</f>
        <v>11.395000000000001</v>
      </c>
      <c r="W647" s="11">
        <f>EarningsPerDay[[#This Row],[Gross Earnings]]/EarningsPerDay[[#This Row],[Miles]]</f>
        <v>0.8600000000000001</v>
      </c>
      <c r="X647" s="71">
        <f>EarningsPerDay[[#This Row],[Deliveries]]/EarningsPerDay[[#This Row],[Hours]]</f>
        <v>1.8181818181818181</v>
      </c>
      <c r="Y647" s="71">
        <f>EarningsPerDay[[#This Row],[Miles]]/EarningsPerDay[[#This Row],[Deliveries]]</f>
        <v>13.25</v>
      </c>
      <c r="Z647" s="81">
        <f>(EarningsPerDay[[#This Row],[Hours]]/EarningsPerDay[[#This Row],[Deliveries]])/24</f>
        <v>2.2916666666666669E-2</v>
      </c>
      <c r="AA6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-5.1014706134417622</v>
      </c>
      <c r="AB647" s="11">
        <f>AVERAGEIFS(EarningsPerDay[Gross $/Hour],EarningsPerDay[Week '#], EarningsPerDay[[#This Row],[Week '#]], EarningsPerDay[DOW], EarningsPerDay[[#This Row],[DOW]])</f>
        <v>22.144434801112787</v>
      </c>
      <c r="AC647" s="11">
        <f>EarningsPerDay[[#This Row],[Gross $/Hour]] - EarningsPerDay[[#This Row],[Weekly Average Earnings]]</f>
        <v>-1.4262529829309685</v>
      </c>
      <c r="AD647" s="11">
        <f>(SUMIFS(EarningsPerDay[Gross Earnings], EarningsPerDay[Date],"&gt;="&amp;EarningsPerDay[[#This Row],[Date]]-89, EarningsPerDay[Date], "&lt;="&amp;EarningsPerDay[[#This Row],[Date]]))/90</f>
        <v>39.31444444444444</v>
      </c>
    </row>
    <row r="648" spans="2:30" x14ac:dyDescent="0.35">
      <c r="B648" s="40">
        <v>45676</v>
      </c>
      <c r="C648" s="40">
        <f t="shared" si="75"/>
        <v>45676</v>
      </c>
      <c r="D648" s="4">
        <f>IF(EarningsPerDay[[#This Row],[Week '#]]&gt;=52,YEAR(EarningsPerDay[[#This Row],[Date]])-1,YEAR(EarningsPerDay[[#This Row],[Date]]))</f>
        <v>2025</v>
      </c>
      <c r="E648" s="4" t="str">
        <f>"QTR"&amp;IF(EarningsPerDay[[#This Row],[Week '#]] &lt;= 13, 1, IF(EarningsPerDay[[#This Row],[Week '#]] &lt;= 26, 2, IF(EarningsPerDay[[#This Row],[Week '#]] &lt;= 39, 3, 4)))</f>
        <v>QTR1</v>
      </c>
      <c r="F6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48" s="4">
        <f>IF(WEEKNUM(EarningsPerDay[[#This Row],[Date]], 2) = 53, 1, WEEKNUM(EarningsPerDay[[#This Row],[Date]],2))</f>
        <v>3</v>
      </c>
      <c r="H648" s="40" t="str">
        <f>TEXT(B648,"DDDD")</f>
        <v>Sunday</v>
      </c>
      <c r="I648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648" s="40" t="str" cm="1">
        <f t="array" ref="J648">IFERROR(VLOOKUP(MODE(IF(Combined[Date]=EarningsPerDay[[#This Row],[Date]],Combined[Area '#])),KPIs!$B$4:$C$7,2,FALSE),VLOOKUP(EarningsPerDay[[#This Row],[Date]],Combined[[Date]:[Primary Area]],8,FALSE))</f>
        <v>Portland</v>
      </c>
      <c r="K648" s="40" t="str">
        <f>_xlfn.XLOOKUP(EarningsPerDay[[#This Row],[Date]],Mileage[Date],Mileage[Weather])</f>
        <v>Snow Storm</v>
      </c>
      <c r="L648" s="4">
        <f>_xlfn.XLOOKUP(EarningsPerDay[[#This Row],[Date]],Mileage[Date],Mileage[Hi Temp])</f>
        <v>32</v>
      </c>
      <c r="M648" s="12">
        <f>_xlfn.XLOOKUP(EarningsPerDay[[#This Row],[Date]],Mileage[Date],Mileage[Total Time])</f>
        <v>3.53</v>
      </c>
      <c r="N648" s="4">
        <f>_xlfn.XLOOKUP(EarningsPerDay[[#This Row],[Date]],Mileage[Date],Mileage[Mileage])</f>
        <v>73</v>
      </c>
      <c r="O648" s="4">
        <f>SUMIF(Combined[Date],EarningsPerDay[[#This Row],[Date]],Combined[Trips])</f>
        <v>7</v>
      </c>
      <c r="P648">
        <f>COUNTIF(Combined[Date],EarningsPerDay[[#This Row],[Date]])</f>
        <v>2</v>
      </c>
      <c r="Q6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8" s="11">
        <f>SUMIF(Combined[Date],EarningsPerDay[[#This Row],[Date]],Combined[Earnings])</f>
        <v>90.899999999999991</v>
      </c>
      <c r="S648" s="11">
        <f ca="1">EarningsPerDay[[#This Row],[Gross Earnings]]-(EarningsPerDay[[#This Row],[Miles]]*CpM!$D$11)</f>
        <v>74.622964238135268</v>
      </c>
      <c r="T648" s="11">
        <f t="shared" si="78"/>
        <v>25.75070821529745</v>
      </c>
      <c r="U648" s="11">
        <f t="shared" ca="1" si="79"/>
        <v>21.139649925817359</v>
      </c>
      <c r="V648" s="11">
        <f>EarningsPerDay[[#This Row],[Gross Earnings]]/EarningsPerDay[[#This Row],[Deliveries]]</f>
        <v>12.985714285714284</v>
      </c>
      <c r="W648" s="11">
        <f>EarningsPerDay[[#This Row],[Gross Earnings]]/EarningsPerDay[[#This Row],[Miles]]</f>
        <v>1.2452054794520546</v>
      </c>
      <c r="X648" s="71">
        <f>EarningsPerDay[[#This Row],[Deliveries]]/EarningsPerDay[[#This Row],[Hours]]</f>
        <v>1.9830028328611899</v>
      </c>
      <c r="Y648" s="71">
        <f>EarningsPerDay[[#This Row],[Miles]]/EarningsPerDay[[#This Row],[Deliveries]]</f>
        <v>10.428571428571429</v>
      </c>
      <c r="Z648" s="81">
        <f>(EarningsPerDay[[#This Row],[Hours]]/EarningsPerDay[[#This Row],[Deliveries]])/24</f>
        <v>2.1011904761904759E-2</v>
      </c>
      <c r="AA6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8.8344402864931055</v>
      </c>
      <c r="AB648" s="11">
        <f>AVERAGEIFS(EarningsPerDay[Gross $/Hour],EarningsPerDay[Week '#], EarningsPerDay[[#This Row],[Week '#]], EarningsPerDay[DOW], EarningsPerDay[[#This Row],[DOW]])</f>
        <v>16.540912777473199</v>
      </c>
      <c r="AC648" s="11">
        <f>EarningsPerDay[[#This Row],[Gross $/Hour]] - EarningsPerDay[[#This Row],[Weekly Average Earnings]]</f>
        <v>9.2097954378242513</v>
      </c>
      <c r="AD648" s="11">
        <f>(SUMIFS(EarningsPerDay[Gross Earnings], EarningsPerDay[Date],"&gt;="&amp;EarningsPerDay[[#This Row],[Date]]-89, EarningsPerDay[Date], "&lt;="&amp;EarningsPerDay[[#This Row],[Date]]))/90</f>
        <v>39.353000000000002</v>
      </c>
    </row>
    <row r="649" spans="2:30" x14ac:dyDescent="0.35">
      <c r="B649" s="40">
        <v>45678</v>
      </c>
      <c r="C649" s="40">
        <f t="shared" si="75"/>
        <v>45678</v>
      </c>
      <c r="D649" s="4">
        <f>IF(EarningsPerDay[[#This Row],[Week '#]]&gt;=52,YEAR(EarningsPerDay[[#This Row],[Date]])-1,YEAR(EarningsPerDay[[#This Row],[Date]]))</f>
        <v>2025</v>
      </c>
      <c r="E649" s="4" t="str">
        <f>"QTR"&amp;IF(EarningsPerDay[[#This Row],[Week '#]] &lt;= 13, 1, IF(EarningsPerDay[[#This Row],[Week '#]] &lt;= 26, 2, IF(EarningsPerDay[[#This Row],[Week '#]] &lt;= 39, 3, 4)))</f>
        <v>QTR1</v>
      </c>
      <c r="F6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49" s="4">
        <f>IF(WEEKNUM(EarningsPerDay[[#This Row],[Date]], 2) = 53, 1, WEEKNUM(EarningsPerDay[[#This Row],[Date]],2))</f>
        <v>4</v>
      </c>
      <c r="H649" s="40" t="str">
        <f t="shared" ref="H649:H650" si="81">TEXT(B649,"DDDD")</f>
        <v>Tuesday</v>
      </c>
      <c r="I649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49" s="40" t="str" cm="1">
        <f t="array" ref="J649">IFERROR(VLOOKUP(MODE(IF(Combined[Date]=EarningsPerDay[[#This Row],[Date]],Combined[Area '#])),KPIs!$B$4:$C$7,2,FALSE),VLOOKUP(EarningsPerDay[[#This Row],[Date]],Combined[[Date]:[Primary Area]],8,FALSE))</f>
        <v>Portland</v>
      </c>
      <c r="K649" s="40" t="str">
        <f>_xlfn.XLOOKUP(EarningsPerDay[[#This Row],[Date]],Mileage[Date],Mileage[Weather])</f>
        <v>Clear</v>
      </c>
      <c r="L649" s="4">
        <f>_xlfn.XLOOKUP(EarningsPerDay[[#This Row],[Date]],Mileage[Date],Mileage[Hi Temp])</f>
        <v>12</v>
      </c>
      <c r="M649" s="12">
        <f>_xlfn.XLOOKUP(EarningsPerDay[[#This Row],[Date]],Mileage[Date],Mileage[Total Time])</f>
        <v>1.7</v>
      </c>
      <c r="N649" s="4">
        <f>_xlfn.XLOOKUP(EarningsPerDay[[#This Row],[Date]],Mileage[Date],Mileage[Mileage])</f>
        <v>47</v>
      </c>
      <c r="O649" s="4">
        <f>SUMIF(Combined[Date],EarningsPerDay[[#This Row],[Date]],Combined[Trips])</f>
        <v>2</v>
      </c>
      <c r="P649">
        <f>COUNTIF(Combined[Date],EarningsPerDay[[#This Row],[Date]])</f>
        <v>1</v>
      </c>
      <c r="Q6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49" s="11">
        <f>SUMIF(Combined[Date],EarningsPerDay[[#This Row],[Date]],Combined[Earnings])</f>
        <v>26.9</v>
      </c>
      <c r="S649" s="11">
        <f ca="1">EarningsPerDay[[#This Row],[Gross Earnings]]-(EarningsPerDay[[#This Row],[Miles]]*CpM!$D$11)</f>
        <v>16.42026464647066</v>
      </c>
      <c r="T649" s="11">
        <f t="shared" si="78"/>
        <v>15.823529411764705</v>
      </c>
      <c r="U649" s="11">
        <f t="shared" ca="1" si="79"/>
        <v>9.6589792038062701</v>
      </c>
      <c r="V649" s="11">
        <f>EarningsPerDay[[#This Row],[Gross Earnings]]/EarningsPerDay[[#This Row],[Deliveries]]</f>
        <v>13.45</v>
      </c>
      <c r="W649" s="11">
        <f>EarningsPerDay[[#This Row],[Gross Earnings]]/EarningsPerDay[[#This Row],[Miles]]</f>
        <v>0.57234042553191489</v>
      </c>
      <c r="X649" s="71">
        <f>EarningsPerDay[[#This Row],[Deliveries]]/EarningsPerDay[[#This Row],[Hours]]</f>
        <v>1.1764705882352942</v>
      </c>
      <c r="Y649" s="71">
        <f>EarningsPerDay[[#This Row],[Miles]]/EarningsPerDay[[#This Row],[Deliveries]]</f>
        <v>23.5</v>
      </c>
      <c r="Z649" s="81">
        <f>(EarningsPerDay[[#This Row],[Hours]]/EarningsPerDay[[#This Row],[Deliveries]])/24</f>
        <v>3.5416666666666666E-2</v>
      </c>
      <c r="AA6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-1.2909710136063151</v>
      </c>
      <c r="AB649" s="11">
        <f>AVERAGEIFS(EarningsPerDay[Gross $/Hour],EarningsPerDay[Week '#], EarningsPerDay[[#This Row],[Week '#]], EarningsPerDay[DOW], EarningsPerDay[[#This Row],[DOW]])</f>
        <v>17.237755895309665</v>
      </c>
      <c r="AC649" s="11">
        <f>EarningsPerDay[[#This Row],[Gross $/Hour]] - EarningsPerDay[[#This Row],[Weekly Average Earnings]]</f>
        <v>-1.4142264835449598</v>
      </c>
      <c r="AD649" s="11">
        <f>(SUMIFS(EarningsPerDay[Gross Earnings], EarningsPerDay[Date],"&gt;="&amp;EarningsPerDay[[#This Row],[Date]]-89, EarningsPerDay[Date], "&lt;="&amp;EarningsPerDay[[#This Row],[Date]]))/90</f>
        <v>38.531888888888886</v>
      </c>
    </row>
    <row r="650" spans="2:30" x14ac:dyDescent="0.35">
      <c r="B650" s="40">
        <v>45679</v>
      </c>
      <c r="C650" s="40">
        <f t="shared" si="75"/>
        <v>45679</v>
      </c>
      <c r="D650" s="4">
        <f>IF(EarningsPerDay[[#This Row],[Week '#]]&gt;=52,YEAR(EarningsPerDay[[#This Row],[Date]])-1,YEAR(EarningsPerDay[[#This Row],[Date]]))</f>
        <v>2025</v>
      </c>
      <c r="E650" s="4" t="str">
        <f>"QTR"&amp;IF(EarningsPerDay[[#This Row],[Week '#]] &lt;= 13, 1, IF(EarningsPerDay[[#This Row],[Week '#]] &lt;= 26, 2, IF(EarningsPerDay[[#This Row],[Week '#]] &lt;= 39, 3, 4)))</f>
        <v>QTR1</v>
      </c>
      <c r="F6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50" s="4">
        <f>IF(WEEKNUM(EarningsPerDay[[#This Row],[Date]], 2) = 53, 1, WEEKNUM(EarningsPerDay[[#This Row],[Date]],2))</f>
        <v>4</v>
      </c>
      <c r="H650" s="40" t="str">
        <f t="shared" si="81"/>
        <v>Wednesday</v>
      </c>
      <c r="I65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50" s="40" t="str" cm="1">
        <f t="array" ref="J650">IFERROR(VLOOKUP(MODE(IF(Combined[Date]=EarningsPerDay[[#This Row],[Date]],Combined[Area '#])),KPIs!$B$4:$C$7,2,FALSE),VLOOKUP(EarningsPerDay[[#This Row],[Date]],Combined[[Date]:[Primary Area]],8,FALSE))</f>
        <v>Brunswick/Bath/Freeport</v>
      </c>
      <c r="K650" s="40" t="str">
        <f>_xlfn.XLOOKUP(EarningsPerDay[[#This Row],[Date]],Mileage[Date],Mileage[Weather])</f>
        <v>Clear</v>
      </c>
      <c r="L650" s="4">
        <f>_xlfn.XLOOKUP(EarningsPerDay[[#This Row],[Date]],Mileage[Date],Mileage[Hi Temp])</f>
        <v>12</v>
      </c>
      <c r="M650" s="12">
        <f>_xlfn.XLOOKUP(EarningsPerDay[[#This Row],[Date]],Mileage[Date],Mileage[Total Time])</f>
        <v>2.35</v>
      </c>
      <c r="N650" s="4">
        <f>_xlfn.XLOOKUP(EarningsPerDay[[#This Row],[Date]],Mileage[Date],Mileage[Mileage])</f>
        <v>57</v>
      </c>
      <c r="O650" s="4">
        <f>SUMIF(Combined[Date],EarningsPerDay[[#This Row],[Date]],Combined[Trips])</f>
        <v>5</v>
      </c>
      <c r="P650">
        <f>COUNTIF(Combined[Date],EarningsPerDay[[#This Row],[Date]])</f>
        <v>2</v>
      </c>
      <c r="Q6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0" s="11">
        <f>SUMIF(Combined[Date],EarningsPerDay[[#This Row],[Date]],Combined[Earnings])</f>
        <v>46.31</v>
      </c>
      <c r="S650" s="11">
        <f ca="1">EarningsPerDay[[#This Row],[Gross Earnings]]-(EarningsPerDay[[#This Row],[Miles]]*CpM!$D$11)</f>
        <v>33.600533720187826</v>
      </c>
      <c r="T650" s="11">
        <f t="shared" si="78"/>
        <v>19.706382978723404</v>
      </c>
      <c r="U650" s="11">
        <f t="shared" ca="1" si="79"/>
        <v>14.298099455399074</v>
      </c>
      <c r="V650" s="11">
        <f>EarningsPerDay[[#This Row],[Gross Earnings]]/EarningsPerDay[[#This Row],[Deliveries]]</f>
        <v>9.2620000000000005</v>
      </c>
      <c r="W650" s="11">
        <f>EarningsPerDay[[#This Row],[Gross Earnings]]/EarningsPerDay[[#This Row],[Miles]]</f>
        <v>0.81245614035087721</v>
      </c>
      <c r="X650" s="71">
        <f>EarningsPerDay[[#This Row],[Deliveries]]/EarningsPerDay[[#This Row],[Hours]]</f>
        <v>2.1276595744680851</v>
      </c>
      <c r="Y650" s="71">
        <f>EarningsPerDay[[#This Row],[Miles]]/EarningsPerDay[[#This Row],[Deliveries]]</f>
        <v>11.4</v>
      </c>
      <c r="Z650" s="81">
        <f>(EarningsPerDay[[#This Row],[Hours]]/EarningsPerDay[[#This Row],[Deliveries]])/24</f>
        <v>1.9583333333333335E-2</v>
      </c>
      <c r="AA6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-7.984484785885666</v>
      </c>
      <c r="AB650" s="11">
        <f>AVERAGEIFS(EarningsPerDay[Gross $/Hour],EarningsPerDay[Week '#], EarningsPerDay[[#This Row],[Week '#]], EarningsPerDay[DOW], EarningsPerDay[[#This Row],[DOW]])</f>
        <v>19.706382978723404</v>
      </c>
      <c r="AC650" s="11">
        <f>EarningsPerDay[[#This Row],[Gross $/Hour]] - EarningsPerDay[[#This Row],[Weekly Average Earnings]]</f>
        <v>0</v>
      </c>
      <c r="AD650" s="11">
        <f>(SUMIFS(EarningsPerDay[Gross Earnings], EarningsPerDay[Date],"&gt;="&amp;EarningsPerDay[[#This Row],[Date]]-89, EarningsPerDay[Date], "&lt;="&amp;EarningsPerDay[[#This Row],[Date]]))/90</f>
        <v>39.04644444444444</v>
      </c>
    </row>
    <row r="651" spans="2:30" x14ac:dyDescent="0.35">
      <c r="B651" s="40">
        <v>45681</v>
      </c>
      <c r="C651" s="40">
        <f t="shared" si="75"/>
        <v>45681</v>
      </c>
      <c r="D651" s="4">
        <f>IF(EarningsPerDay[[#This Row],[Week '#]]&gt;=52,YEAR(EarningsPerDay[[#This Row],[Date]])-1,YEAR(EarningsPerDay[[#This Row],[Date]]))</f>
        <v>2025</v>
      </c>
      <c r="E651" s="4" t="str">
        <f>"QTR"&amp;IF(EarningsPerDay[[#This Row],[Week '#]] &lt;= 13, 1, IF(EarningsPerDay[[#This Row],[Week '#]] &lt;= 26, 2, IF(EarningsPerDay[[#This Row],[Week '#]] &lt;= 39, 3, 4)))</f>
        <v>QTR1</v>
      </c>
      <c r="F6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51" s="4">
        <f>IF(WEEKNUM(EarningsPerDay[[#This Row],[Date]], 2) = 53, 1, WEEKNUM(EarningsPerDay[[#This Row],[Date]],2))</f>
        <v>4</v>
      </c>
      <c r="H651" s="40" t="str">
        <f>TEXT(B651,"DDDD")</f>
        <v>Friday</v>
      </c>
      <c r="I65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51" s="40" t="str" cm="1">
        <f t="array" ref="J651">IFERROR(VLOOKUP(MODE(IF(Combined[Date]=EarningsPerDay[[#This Row],[Date]],Combined[Area '#])),KPIs!$B$4:$C$7,2,FALSE),VLOOKUP(EarningsPerDay[[#This Row],[Date]],Combined[[Date]:[Primary Area]],8,FALSE))</f>
        <v>Lewiston</v>
      </c>
      <c r="K651" s="40" t="str">
        <f>_xlfn.XLOOKUP(EarningsPerDay[[#This Row],[Date]],Mileage[Date],Mileage[Weather])</f>
        <v>Clear</v>
      </c>
      <c r="L651" s="4">
        <f>_xlfn.XLOOKUP(EarningsPerDay[[#This Row],[Date]],Mileage[Date],Mileage[Hi Temp])</f>
        <v>19</v>
      </c>
      <c r="M651" s="12">
        <f>_xlfn.XLOOKUP(EarningsPerDay[[#This Row],[Date]],Mileage[Date],Mileage[Total Time])</f>
        <v>5.03</v>
      </c>
      <c r="N651" s="4">
        <f>_xlfn.XLOOKUP(EarningsPerDay[[#This Row],[Date]],Mileage[Date],Mileage[Mileage])</f>
        <v>67</v>
      </c>
      <c r="O651" s="4">
        <f>SUMIF(Combined[Date],EarningsPerDay[[#This Row],[Date]],Combined[Trips])</f>
        <v>9</v>
      </c>
      <c r="P651">
        <f>COUNTIF(Combined[Date],EarningsPerDay[[#This Row],[Date]])</f>
        <v>3</v>
      </c>
      <c r="Q6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1" s="11">
        <f>SUMIF(Combined[Date],EarningsPerDay[[#This Row],[Date]],Combined[Earnings])</f>
        <v>79.010000000000005</v>
      </c>
      <c r="S651" s="11">
        <f ca="1">EarningsPerDay[[#This Row],[Gross Earnings]]-(EarningsPerDay[[#This Row],[Miles]]*CpM!$D$11)</f>
        <v>64.070802793904988</v>
      </c>
      <c r="T651" s="11">
        <f t="shared" si="78"/>
        <v>15.707753479125248</v>
      </c>
      <c r="U651" s="11">
        <f t="shared" ca="1" si="79"/>
        <v>12.737734153857851</v>
      </c>
      <c r="V651" s="11">
        <f>EarningsPerDay[[#This Row],[Gross Earnings]]/EarningsPerDay[[#This Row],[Deliveries]]</f>
        <v>8.7788888888888899</v>
      </c>
      <c r="W651" s="11">
        <f>EarningsPerDay[[#This Row],[Gross Earnings]]/EarningsPerDay[[#This Row],[Miles]]</f>
        <v>1.1792537313432836</v>
      </c>
      <c r="X651" s="71">
        <f>EarningsPerDay[[#This Row],[Deliveries]]/EarningsPerDay[[#This Row],[Hours]]</f>
        <v>1.7892644135188867</v>
      </c>
      <c r="Y651" s="71">
        <f>EarningsPerDay[[#This Row],[Miles]]/EarningsPerDay[[#This Row],[Deliveries]]</f>
        <v>7.4444444444444446</v>
      </c>
      <c r="Z651" s="81">
        <f>(EarningsPerDay[[#This Row],[Hours]]/EarningsPerDay[[#This Row],[Deliveries]])/24</f>
        <v>2.3287037037037037E-2</v>
      </c>
      <c r="AA6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-4.1840208385683866</v>
      </c>
      <c r="AB651" s="11">
        <f>AVERAGEIFS(EarningsPerDay[Gross $/Hour],EarningsPerDay[Week '#], EarningsPerDay[[#This Row],[Week '#]], EarningsPerDay[DOW], EarningsPerDay[[#This Row],[DOW]])</f>
        <v>16.768241380446604</v>
      </c>
      <c r="AC651" s="11">
        <f>EarningsPerDay[[#This Row],[Gross $/Hour]] - EarningsPerDay[[#This Row],[Weekly Average Earnings]]</f>
        <v>-1.0604879013213555</v>
      </c>
      <c r="AD651" s="11">
        <f>(SUMIFS(EarningsPerDay[Gross Earnings], EarningsPerDay[Date],"&gt;="&amp;EarningsPerDay[[#This Row],[Date]]-89, EarningsPerDay[Date], "&lt;="&amp;EarningsPerDay[[#This Row],[Date]]))/90</f>
        <v>38.747222222222227</v>
      </c>
    </row>
    <row r="652" spans="2:30" x14ac:dyDescent="0.35">
      <c r="B652" s="40">
        <v>45683</v>
      </c>
      <c r="C652" s="40">
        <f t="shared" si="75"/>
        <v>45683</v>
      </c>
      <c r="D652" s="4">
        <f>IF(EarningsPerDay[[#This Row],[Week '#]]&gt;=52,YEAR(EarningsPerDay[[#This Row],[Date]])-1,YEAR(EarningsPerDay[[#This Row],[Date]]))</f>
        <v>2025</v>
      </c>
      <c r="E652" s="4" t="str">
        <f>"QTR"&amp;IF(EarningsPerDay[[#This Row],[Week '#]] &lt;= 13, 1, IF(EarningsPerDay[[#This Row],[Week '#]] &lt;= 26, 2, IF(EarningsPerDay[[#This Row],[Week '#]] &lt;= 39, 3, 4)))</f>
        <v>QTR1</v>
      </c>
      <c r="F6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52" s="4">
        <f>IF(WEEKNUM(EarningsPerDay[[#This Row],[Date]], 2) = 53, 1, WEEKNUM(EarningsPerDay[[#This Row],[Date]],2))</f>
        <v>4</v>
      </c>
      <c r="H652" s="40" t="str">
        <f t="shared" ref="H652:H653" si="82">TEXT(B652,"DDDD")</f>
        <v>Sunday</v>
      </c>
      <c r="I652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52" s="40" t="str" cm="1">
        <f t="array" ref="J652">IFERROR(VLOOKUP(MODE(IF(Combined[Date]=EarningsPerDay[[#This Row],[Date]],Combined[Area '#])),KPIs!$B$4:$C$7,2,FALSE),VLOOKUP(EarningsPerDay[[#This Row],[Date]],Combined[[Date]:[Primary Area]],8,FALSE))</f>
        <v>Brunswick/Bath/Freeport</v>
      </c>
      <c r="K652" s="40" t="str">
        <f>_xlfn.XLOOKUP(EarningsPerDay[[#This Row],[Date]],Mileage[Date],Mileage[Weather])</f>
        <v>Clear</v>
      </c>
      <c r="L652" s="4">
        <f>_xlfn.XLOOKUP(EarningsPerDay[[#This Row],[Date]],Mileage[Date],Mileage[Hi Temp])</f>
        <v>30</v>
      </c>
      <c r="M652" s="12">
        <f>_xlfn.XLOOKUP(EarningsPerDay[[#This Row],[Date]],Mileage[Date],Mileage[Total Time])</f>
        <v>2.5</v>
      </c>
      <c r="N652" s="4">
        <f>_xlfn.XLOOKUP(EarningsPerDay[[#This Row],[Date]],Mileage[Date],Mileage[Mileage])</f>
        <v>71</v>
      </c>
      <c r="O652" s="4">
        <f>SUMIF(Combined[Date],EarningsPerDay[[#This Row],[Date]],Combined[Trips])</f>
        <v>5</v>
      </c>
      <c r="P652">
        <f>COUNTIF(Combined[Date],EarningsPerDay[[#This Row],[Date]])</f>
        <v>2</v>
      </c>
      <c r="Q6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2" s="11">
        <f>SUMIF(Combined[Date],EarningsPerDay[[#This Row],[Date]],Combined[Earnings])</f>
        <v>45.46</v>
      </c>
      <c r="S652" s="11">
        <f ca="1">EarningsPerDay[[#This Row],[Gross Earnings]]-(EarningsPerDay[[#This Row],[Miles]]*CpM!$D$11)</f>
        <v>29.628910423391851</v>
      </c>
      <c r="T652" s="11">
        <f t="shared" si="78"/>
        <v>18.184000000000001</v>
      </c>
      <c r="U652" s="11">
        <f t="shared" ca="1" si="79"/>
        <v>11.85156416935674</v>
      </c>
      <c r="V652" s="11">
        <f>EarningsPerDay[[#This Row],[Gross Earnings]]/EarningsPerDay[[#This Row],[Deliveries]]</f>
        <v>9.0920000000000005</v>
      </c>
      <c r="W652" s="11">
        <f>EarningsPerDay[[#This Row],[Gross Earnings]]/EarningsPerDay[[#This Row],[Miles]]</f>
        <v>0.64028169014084513</v>
      </c>
      <c r="X652" s="71">
        <f>EarningsPerDay[[#This Row],[Deliveries]]/EarningsPerDay[[#This Row],[Hours]]</f>
        <v>2</v>
      </c>
      <c r="Y652" s="71">
        <f>EarningsPerDay[[#This Row],[Miles]]/EarningsPerDay[[#This Row],[Deliveries]]</f>
        <v>14.2</v>
      </c>
      <c r="Z652" s="81">
        <f>(EarningsPerDay[[#This Row],[Hours]]/EarningsPerDay[[#This Row],[Deliveries]])/24</f>
        <v>2.0833333333333332E-2</v>
      </c>
      <c r="AA6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-7.7812770734555698</v>
      </c>
      <c r="AB652" s="11">
        <f>AVERAGEIFS(EarningsPerDay[Gross $/Hour],EarningsPerDay[Week '#], EarningsPerDay[[#This Row],[Week '#]], EarningsPerDay[DOW], EarningsPerDay[[#This Row],[DOW]])</f>
        <v>18.184000000000001</v>
      </c>
      <c r="AC652" s="11">
        <f>EarningsPerDay[[#This Row],[Gross $/Hour]] - EarningsPerDay[[#This Row],[Weekly Average Earnings]]</f>
        <v>0</v>
      </c>
      <c r="AD652" s="11">
        <f>(SUMIFS(EarningsPerDay[Gross Earnings], EarningsPerDay[Date],"&gt;="&amp;EarningsPerDay[[#This Row],[Date]]-89, EarningsPerDay[Date], "&lt;="&amp;EarningsPerDay[[#This Row],[Date]]))/90</f>
        <v>37.690111111111115</v>
      </c>
    </row>
    <row r="653" spans="2:30" x14ac:dyDescent="0.35">
      <c r="B653" s="40">
        <v>45685</v>
      </c>
      <c r="C653" s="40">
        <f t="shared" si="75"/>
        <v>45685</v>
      </c>
      <c r="D653" s="4">
        <f>IF(EarningsPerDay[[#This Row],[Week '#]]&gt;=52,YEAR(EarningsPerDay[[#This Row],[Date]])-1,YEAR(EarningsPerDay[[#This Row],[Date]]))</f>
        <v>2025</v>
      </c>
      <c r="E653" s="4" t="str">
        <f>"QTR"&amp;IF(EarningsPerDay[[#This Row],[Week '#]] &lt;= 13, 1, IF(EarningsPerDay[[#This Row],[Week '#]] &lt;= 26, 2, IF(EarningsPerDay[[#This Row],[Week '#]] &lt;= 39, 3, 4)))</f>
        <v>QTR1</v>
      </c>
      <c r="F6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53" s="4">
        <f>IF(WEEKNUM(EarningsPerDay[[#This Row],[Date]], 2) = 53, 1, WEEKNUM(EarningsPerDay[[#This Row],[Date]],2))</f>
        <v>5</v>
      </c>
      <c r="H653" s="40" t="str">
        <f t="shared" si="82"/>
        <v>Tuesday</v>
      </c>
      <c r="I65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53" s="40" t="str" cm="1">
        <f t="array" ref="J653">IFERROR(VLOOKUP(MODE(IF(Combined[Date]=EarningsPerDay[[#This Row],[Date]],Combined[Area '#])),KPIs!$B$4:$C$7,2,FALSE),VLOOKUP(EarningsPerDay[[#This Row],[Date]],Combined[[Date]:[Primary Area]],8,FALSE))</f>
        <v>Augusta</v>
      </c>
      <c r="K653" s="40" t="str">
        <f>_xlfn.XLOOKUP(EarningsPerDay[[#This Row],[Date]],Mileage[Date],Mileage[Weather])</f>
        <v>Clear</v>
      </c>
      <c r="L653" s="4">
        <f>_xlfn.XLOOKUP(EarningsPerDay[[#This Row],[Date]],Mileage[Date],Mileage[Hi Temp])</f>
        <v>12</v>
      </c>
      <c r="M653" s="12">
        <f>_xlfn.XLOOKUP(EarningsPerDay[[#This Row],[Date]],Mileage[Date],Mileage[Total Time])</f>
        <v>4.17</v>
      </c>
      <c r="N653" s="4">
        <f>_xlfn.XLOOKUP(EarningsPerDay[[#This Row],[Date]],Mileage[Date],Mileage[Mileage])</f>
        <v>130</v>
      </c>
      <c r="O653" s="4">
        <f>SUMIF(Combined[Date],EarningsPerDay[[#This Row],[Date]],Combined[Trips])</f>
        <v>6</v>
      </c>
      <c r="P653">
        <f>COUNTIF(Combined[Date],EarningsPerDay[[#This Row],[Date]])</f>
        <v>4</v>
      </c>
      <c r="Q6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3" s="11">
        <f>SUMIF(Combined[Date],EarningsPerDay[[#This Row],[Date]],Combined[Earnings])</f>
        <v>75.11</v>
      </c>
      <c r="S653" s="11">
        <f ca="1">EarningsPerDay[[#This Row],[Gross Earnings]]-(EarningsPerDay[[#This Row],[Miles]]*CpM!$D$11)</f>
        <v>46.1234979583231</v>
      </c>
      <c r="T653" s="11">
        <f t="shared" si="78"/>
        <v>18.01199040767386</v>
      </c>
      <c r="U653" s="11">
        <f t="shared" ca="1" si="79"/>
        <v>11.060790877295707</v>
      </c>
      <c r="V653" s="11">
        <f>EarningsPerDay[[#This Row],[Gross Earnings]]/EarningsPerDay[[#This Row],[Deliveries]]</f>
        <v>12.518333333333333</v>
      </c>
      <c r="W653" s="11">
        <f>EarningsPerDay[[#This Row],[Gross Earnings]]/EarningsPerDay[[#This Row],[Miles]]</f>
        <v>0.57776923076923081</v>
      </c>
      <c r="X653" s="71">
        <f>EarningsPerDay[[#This Row],[Deliveries]]/EarningsPerDay[[#This Row],[Hours]]</f>
        <v>1.4388489208633093</v>
      </c>
      <c r="Y653" s="71">
        <f>EarningsPerDay[[#This Row],[Miles]]/EarningsPerDay[[#This Row],[Deliveries]]</f>
        <v>21.666666666666668</v>
      </c>
      <c r="Z653" s="81">
        <f>(EarningsPerDay[[#This Row],[Hours]]/EarningsPerDay[[#This Row],[Deliveries]])/24</f>
        <v>2.8958333333333332E-2</v>
      </c>
      <c r="AA6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1.9327745853282643</v>
      </c>
      <c r="AB653" s="11">
        <f>AVERAGEIFS(EarningsPerDay[Gross $/Hour],EarningsPerDay[Week '#], EarningsPerDay[[#This Row],[Week '#]], EarningsPerDay[DOW], EarningsPerDay[[#This Row],[DOW]])</f>
        <v>27.034416256468504</v>
      </c>
      <c r="AC653" s="11">
        <f>EarningsPerDay[[#This Row],[Gross $/Hour]] - EarningsPerDay[[#This Row],[Weekly Average Earnings]]</f>
        <v>-9.0224258487946436</v>
      </c>
      <c r="AD653" s="11">
        <f>(SUMIFS(EarningsPerDay[Gross Earnings], EarningsPerDay[Date],"&gt;="&amp;EarningsPerDay[[#This Row],[Date]]-89, EarningsPerDay[Date], "&lt;="&amp;EarningsPerDay[[#This Row],[Date]]))/90</f>
        <v>36.535444444444458</v>
      </c>
    </row>
    <row r="654" spans="2:30" x14ac:dyDescent="0.35">
      <c r="B654" s="40">
        <v>45689</v>
      </c>
      <c r="C654" s="40">
        <f t="shared" si="75"/>
        <v>45689</v>
      </c>
      <c r="D654" s="4">
        <f>IF(EarningsPerDay[[#This Row],[Week '#]]&gt;=52,YEAR(EarningsPerDay[[#This Row],[Date]])-1,YEAR(EarningsPerDay[[#This Row],[Date]]))</f>
        <v>2025</v>
      </c>
      <c r="E654" s="4" t="str">
        <f>"QTR"&amp;IF(EarningsPerDay[[#This Row],[Week '#]] &lt;= 13, 1, IF(EarningsPerDay[[#This Row],[Week '#]] &lt;= 26, 2, IF(EarningsPerDay[[#This Row],[Week '#]] &lt;= 39, 3, 4)))</f>
        <v>QTR1</v>
      </c>
      <c r="F6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654" s="4">
        <f>IF(WEEKNUM(EarningsPerDay[[#This Row],[Date]], 2) = 53, 1, WEEKNUM(EarningsPerDay[[#This Row],[Date]],2))</f>
        <v>5</v>
      </c>
      <c r="H654" s="40" t="str">
        <f t="shared" ref="H654:H655" si="83">TEXT(B654,"DDDD")</f>
        <v>Saturday</v>
      </c>
      <c r="I654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654" s="40" t="str" cm="1">
        <f t="array" ref="J654">IFERROR(VLOOKUP(MODE(IF(Combined[Date]=EarningsPerDay[[#This Row],[Date]],Combined[Area '#])),KPIs!$B$4:$C$7,2,FALSE),VLOOKUP(EarningsPerDay[[#This Row],[Date]],Combined[[Date]:[Primary Area]],8,FALSE))</f>
        <v>Brunswick/Bath/Freeport</v>
      </c>
      <c r="K654" s="40" t="str">
        <f>_xlfn.XLOOKUP(EarningsPerDay[[#This Row],[Date]],Mileage[Date],Mileage[Weather])</f>
        <v>Sunny</v>
      </c>
      <c r="L654" s="4">
        <f>_xlfn.XLOOKUP(EarningsPerDay[[#This Row],[Date]],Mileage[Date],Mileage[Hi Temp])</f>
        <v>21</v>
      </c>
      <c r="M654" s="12">
        <f>_xlfn.XLOOKUP(EarningsPerDay[[#This Row],[Date]],Mileage[Date],Mileage[Total Time])</f>
        <v>2</v>
      </c>
      <c r="N654" s="4">
        <f>_xlfn.XLOOKUP(EarningsPerDay[[#This Row],[Date]],Mileage[Date],Mileage[Mileage])</f>
        <v>54</v>
      </c>
      <c r="O654" s="4">
        <f>SUMIF(Combined[Date],EarningsPerDay[[#This Row],[Date]],Combined[Trips])</f>
        <v>3</v>
      </c>
      <c r="P654">
        <f>COUNTIF(Combined[Date],EarningsPerDay[[#This Row],[Date]])</f>
        <v>1</v>
      </c>
      <c r="Q65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4" s="11">
        <f>SUMIF(Combined[Date],EarningsPerDay[[#This Row],[Date]],Combined[Earnings])</f>
        <v>49.75</v>
      </c>
      <c r="S654" s="11">
        <f ca="1">EarningsPerDay[[#This Row],[Gross Earnings]]-(EarningsPerDay[[#This Row],[Miles]]*CpM!$D$11)</f>
        <v>37.709452998072678</v>
      </c>
      <c r="T654" s="11">
        <f t="shared" si="78"/>
        <v>24.875</v>
      </c>
      <c r="U654" s="11">
        <f t="shared" ca="1" si="79"/>
        <v>18.854726499036339</v>
      </c>
      <c r="V654" s="11">
        <f>EarningsPerDay[[#This Row],[Gross Earnings]]/EarningsPerDay[[#This Row],[Deliveries]]</f>
        <v>16.583333333333332</v>
      </c>
      <c r="W654" s="11">
        <f>EarningsPerDay[[#This Row],[Gross Earnings]]/EarningsPerDay[[#This Row],[Miles]]</f>
        <v>0.92129629629629628</v>
      </c>
      <c r="X654" s="71">
        <f>EarningsPerDay[[#This Row],[Deliveries]]/EarningsPerDay[[#This Row],[Hours]]</f>
        <v>1.5</v>
      </c>
      <c r="Y654" s="71">
        <f>EarningsPerDay[[#This Row],[Miles]]/EarningsPerDay[[#This Row],[Deliveries]]</f>
        <v>18</v>
      </c>
      <c r="Z654" s="81">
        <f>(EarningsPerDay[[#This Row],[Hours]]/EarningsPerDay[[#This Row],[Deliveries]])/24</f>
        <v>2.7777777777777776E-2</v>
      </c>
      <c r="AA6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-0.71276740373986414</v>
      </c>
      <c r="AB654" s="11">
        <f>AVERAGEIFS(EarningsPerDay[Gross $/Hour],EarningsPerDay[Week '#], EarningsPerDay[[#This Row],[Week '#]], EarningsPerDay[DOW], EarningsPerDay[[#This Row],[DOW]])</f>
        <v>19.039721119304218</v>
      </c>
      <c r="AC654" s="11">
        <f>EarningsPerDay[[#This Row],[Gross $/Hour]] - EarningsPerDay[[#This Row],[Weekly Average Earnings]]</f>
        <v>5.8352788806957818</v>
      </c>
      <c r="AD654" s="11">
        <f>(SUMIFS(EarningsPerDay[Gross Earnings], EarningsPerDay[Date],"&gt;="&amp;EarningsPerDay[[#This Row],[Date]]-89, EarningsPerDay[Date], "&lt;="&amp;EarningsPerDay[[#This Row],[Date]]))/90</f>
        <v>31.537111111111116</v>
      </c>
    </row>
    <row r="655" spans="2:30" x14ac:dyDescent="0.35">
      <c r="B655" s="40">
        <v>45691</v>
      </c>
      <c r="C655" s="40">
        <f t="shared" si="75"/>
        <v>45691</v>
      </c>
      <c r="D655" s="4">
        <f>IF(EarningsPerDay[[#This Row],[Week '#]]&gt;=52,YEAR(EarningsPerDay[[#This Row],[Date]])-1,YEAR(EarningsPerDay[[#This Row],[Date]]))</f>
        <v>2025</v>
      </c>
      <c r="E655" s="4" t="str">
        <f>"QTR"&amp;IF(EarningsPerDay[[#This Row],[Week '#]] &lt;= 13, 1, IF(EarningsPerDay[[#This Row],[Week '#]] &lt;= 26, 2, IF(EarningsPerDay[[#This Row],[Week '#]] &lt;= 39, 3, 4)))</f>
        <v>QTR1</v>
      </c>
      <c r="F6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55" s="4">
        <f>IF(WEEKNUM(EarningsPerDay[[#This Row],[Date]], 2) = 53, 1, WEEKNUM(EarningsPerDay[[#This Row],[Date]],2))</f>
        <v>6</v>
      </c>
      <c r="H655" s="40" t="str">
        <f t="shared" si="83"/>
        <v>Monday</v>
      </c>
      <c r="I65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55" s="40" t="str" cm="1">
        <f t="array" ref="J655">IFERROR(VLOOKUP(MODE(IF(Combined[Date]=EarningsPerDay[[#This Row],[Date]],Combined[Area '#])),KPIs!$B$4:$C$7,2,FALSE),VLOOKUP(EarningsPerDay[[#This Row],[Date]],Combined[[Date]:[Primary Area]],8,FALSE))</f>
        <v>Augusta</v>
      </c>
      <c r="K655" s="40" t="str">
        <f>_xlfn.XLOOKUP(EarningsPerDay[[#This Row],[Date]],Mileage[Date],Mileage[Weather])</f>
        <v>Light Snow</v>
      </c>
      <c r="L655" s="4">
        <f>_xlfn.XLOOKUP(EarningsPerDay[[#This Row],[Date]],Mileage[Date],Mileage[Hi Temp])</f>
        <v>34</v>
      </c>
      <c r="M655" s="12">
        <f>_xlfn.XLOOKUP(EarningsPerDay[[#This Row],[Date]],Mileage[Date],Mileage[Total Time])</f>
        <v>2.82</v>
      </c>
      <c r="N655" s="4">
        <f>_xlfn.XLOOKUP(EarningsPerDay[[#This Row],[Date]],Mileage[Date],Mileage[Mileage])</f>
        <v>68</v>
      </c>
      <c r="O655" s="4">
        <f>SUMIF(Combined[Date],EarningsPerDay[[#This Row],[Date]],Combined[Trips])</f>
        <v>5</v>
      </c>
      <c r="P655">
        <f>COUNTIF(Combined[Date],EarningsPerDay[[#This Row],[Date]])</f>
        <v>1</v>
      </c>
      <c r="Q6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5" s="11">
        <f>SUMIF(Combined[Date],EarningsPerDay[[#This Row],[Date]],Combined[Earnings])</f>
        <v>57.5</v>
      </c>
      <c r="S655" s="11">
        <f ca="1">EarningsPerDay[[#This Row],[Gross Earnings]]-(EarningsPerDay[[#This Row],[Miles]]*CpM!$D$11)</f>
        <v>42.337829701276704</v>
      </c>
      <c r="T655" s="11">
        <f t="shared" si="78"/>
        <v>20.390070921985817</v>
      </c>
      <c r="U655" s="11">
        <f t="shared" ca="1" si="79"/>
        <v>15.013414787686775</v>
      </c>
      <c r="V655" s="11">
        <f>EarningsPerDay[[#This Row],[Gross Earnings]]/EarningsPerDay[[#This Row],[Deliveries]]</f>
        <v>11.5</v>
      </c>
      <c r="W655" s="11">
        <f>EarningsPerDay[[#This Row],[Gross Earnings]]/EarningsPerDay[[#This Row],[Miles]]</f>
        <v>0.84558823529411764</v>
      </c>
      <c r="X655" s="71">
        <f>EarningsPerDay[[#This Row],[Deliveries]]/EarningsPerDay[[#This Row],[Hours]]</f>
        <v>1.773049645390071</v>
      </c>
      <c r="Y655" s="71">
        <f>EarningsPerDay[[#This Row],[Miles]]/EarningsPerDay[[#This Row],[Deliveries]]</f>
        <v>13.6</v>
      </c>
      <c r="Z655" s="81">
        <f>(EarningsPerDay[[#This Row],[Hours]]/EarningsPerDay[[#This Row],[Deliveries]])/24</f>
        <v>2.3499999999999997E-2</v>
      </c>
      <c r="AA6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5.2209652309289094</v>
      </c>
      <c r="AB655" s="11">
        <f>AVERAGEIFS(EarningsPerDay[Gross $/Hour],EarningsPerDay[Week '#], EarningsPerDay[[#This Row],[Week '#]], EarningsPerDay[DOW], EarningsPerDay[[#This Row],[DOW]])</f>
        <v>16.370667853439272</v>
      </c>
      <c r="AC655" s="11">
        <f>EarningsPerDay[[#This Row],[Gross $/Hour]] - EarningsPerDay[[#This Row],[Weekly Average Earnings]]</f>
        <v>4.0194030685465449</v>
      </c>
      <c r="AD655" s="11">
        <f>(SUMIFS(EarningsPerDay[Gross Earnings], EarningsPerDay[Date],"&gt;="&amp;EarningsPerDay[[#This Row],[Date]]-89, EarningsPerDay[Date], "&lt;="&amp;EarningsPerDay[[#This Row],[Date]]))/90</f>
        <v>28.976555555555564</v>
      </c>
    </row>
    <row r="656" spans="2:30" x14ac:dyDescent="0.35">
      <c r="B656" s="40">
        <v>45693</v>
      </c>
      <c r="C656" s="40">
        <f t="shared" si="75"/>
        <v>45693</v>
      </c>
      <c r="D656" s="4">
        <f>IF(EarningsPerDay[[#This Row],[Week '#]]&gt;=52,YEAR(EarningsPerDay[[#This Row],[Date]])-1,YEAR(EarningsPerDay[[#This Row],[Date]]))</f>
        <v>2025</v>
      </c>
      <c r="E656" s="4" t="str">
        <f>"QTR"&amp;IF(EarningsPerDay[[#This Row],[Week '#]] &lt;= 13, 1, IF(EarningsPerDay[[#This Row],[Week '#]] &lt;= 26, 2, IF(EarningsPerDay[[#This Row],[Week '#]] &lt;= 39, 3, 4)))</f>
        <v>QTR1</v>
      </c>
      <c r="F6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56" s="4">
        <f>IF(WEEKNUM(EarningsPerDay[[#This Row],[Date]], 2) = 53, 1, WEEKNUM(EarningsPerDay[[#This Row],[Date]],2))</f>
        <v>6</v>
      </c>
      <c r="H656" s="40" t="str">
        <f t="shared" ref="H656:H657" si="84">TEXT(B656,"DDDD")</f>
        <v>Wednesday</v>
      </c>
      <c r="I65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56" s="40" t="str" cm="1">
        <f t="array" ref="J656">IFERROR(VLOOKUP(MODE(IF(Combined[Date]=EarningsPerDay[[#This Row],[Date]],Combined[Area '#])),KPIs!$B$4:$C$7,2,FALSE),VLOOKUP(EarningsPerDay[[#This Row],[Date]],Combined[[Date]:[Primary Area]],8,FALSE))</f>
        <v>Portland</v>
      </c>
      <c r="K656" s="40" t="str">
        <f>_xlfn.XLOOKUP(EarningsPerDay[[#This Row],[Date]],Mileage[Date],Mileage[Weather])</f>
        <v>Clear</v>
      </c>
      <c r="L656" s="4">
        <f>_xlfn.XLOOKUP(EarningsPerDay[[#This Row],[Date]],Mileage[Date],Mileage[Hi Temp])</f>
        <v>16</v>
      </c>
      <c r="M656" s="12">
        <f>_xlfn.XLOOKUP(EarningsPerDay[[#This Row],[Date]],Mileage[Date],Mileage[Total Time])</f>
        <v>2.7</v>
      </c>
      <c r="N656" s="4">
        <f>_xlfn.XLOOKUP(EarningsPerDay[[#This Row],[Date]],Mileage[Date],Mileage[Mileage])</f>
        <v>69</v>
      </c>
      <c r="O656" s="4">
        <f>SUMIF(Combined[Date],EarningsPerDay[[#This Row],[Date]],Combined[Trips])</f>
        <v>5</v>
      </c>
      <c r="P656">
        <f>COUNTIF(Combined[Date],EarningsPerDay[[#This Row],[Date]])</f>
        <v>2</v>
      </c>
      <c r="Q6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6" s="11">
        <f>SUMIF(Combined[Date],EarningsPerDay[[#This Row],[Date]],Combined[Earnings])</f>
        <v>51.3</v>
      </c>
      <c r="S656" s="11">
        <f ca="1">EarningsPerDay[[#This Row],[Gross Earnings]]-(EarningsPerDay[[#This Row],[Miles]]*CpM!$D$11)</f>
        <v>35.914856608648414</v>
      </c>
      <c r="T656" s="11">
        <f t="shared" si="78"/>
        <v>18.999999999999996</v>
      </c>
      <c r="U656" s="11">
        <f t="shared" ca="1" si="79"/>
        <v>13.301798743943856</v>
      </c>
      <c r="V656" s="11">
        <f>EarningsPerDay[[#This Row],[Gross Earnings]]/EarningsPerDay[[#This Row],[Deliveries]]</f>
        <v>10.26</v>
      </c>
      <c r="W656" s="11">
        <f>EarningsPerDay[[#This Row],[Gross Earnings]]/EarningsPerDay[[#This Row],[Miles]]</f>
        <v>0.74347826086956514</v>
      </c>
      <c r="X656" s="71">
        <f>EarningsPerDay[[#This Row],[Deliveries]]/EarningsPerDay[[#This Row],[Hours]]</f>
        <v>1.8518518518518516</v>
      </c>
      <c r="Y656" s="71">
        <f>EarningsPerDay[[#This Row],[Miles]]/EarningsPerDay[[#This Row],[Deliveries]]</f>
        <v>13.8</v>
      </c>
      <c r="Z656" s="81">
        <f>(EarningsPerDay[[#This Row],[Hours]]/EarningsPerDay[[#This Row],[Deliveries]])/24</f>
        <v>2.2500000000000003E-2</v>
      </c>
      <c r="AA6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-0.44687500000000213</v>
      </c>
      <c r="AB656" s="11">
        <f>AVERAGEIFS(EarningsPerDay[Gross $/Hour],EarningsPerDay[Week '#], EarningsPerDay[[#This Row],[Week '#]], EarningsPerDay[DOW], EarningsPerDay[[#This Row],[DOW]])</f>
        <v>21.938596739633184</v>
      </c>
      <c r="AC656" s="11">
        <f>EarningsPerDay[[#This Row],[Gross $/Hour]] - EarningsPerDay[[#This Row],[Weekly Average Earnings]]</f>
        <v>-2.9385967396331871</v>
      </c>
      <c r="AD656" s="11">
        <f>(SUMIFS(EarningsPerDay[Gross Earnings], EarningsPerDay[Date],"&gt;="&amp;EarningsPerDay[[#This Row],[Date]]-89, EarningsPerDay[Date], "&lt;="&amp;EarningsPerDay[[#This Row],[Date]]))/90</f>
        <v>28.684777777777786</v>
      </c>
    </row>
    <row r="657" spans="2:30" x14ac:dyDescent="0.35">
      <c r="B657" s="40">
        <v>45694</v>
      </c>
      <c r="C657" s="40">
        <f t="shared" si="75"/>
        <v>45694</v>
      </c>
      <c r="D657" s="4">
        <f>IF(EarningsPerDay[[#This Row],[Week '#]]&gt;=52,YEAR(EarningsPerDay[[#This Row],[Date]])-1,YEAR(EarningsPerDay[[#This Row],[Date]]))</f>
        <v>2025</v>
      </c>
      <c r="E657" s="4" t="str">
        <f>"QTR"&amp;IF(EarningsPerDay[[#This Row],[Week '#]] &lt;= 13, 1, IF(EarningsPerDay[[#This Row],[Week '#]] &lt;= 26, 2, IF(EarningsPerDay[[#This Row],[Week '#]] &lt;= 39, 3, 4)))</f>
        <v>QTR1</v>
      </c>
      <c r="F6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57" s="4">
        <f>IF(WEEKNUM(EarningsPerDay[[#This Row],[Date]], 2) = 53, 1, WEEKNUM(EarningsPerDay[[#This Row],[Date]],2))</f>
        <v>6</v>
      </c>
      <c r="H657" s="40" t="str">
        <f t="shared" si="84"/>
        <v>Thursday</v>
      </c>
      <c r="I65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57" s="40" t="str" cm="1">
        <f t="array" ref="J657">IFERROR(VLOOKUP(MODE(IF(Combined[Date]=EarningsPerDay[[#This Row],[Date]],Combined[Area '#])),KPIs!$B$4:$C$7,2,FALSE),VLOOKUP(EarningsPerDay[[#This Row],[Date]],Combined[[Date]:[Primary Area]],8,FALSE))</f>
        <v>Lewiston</v>
      </c>
      <c r="K657" s="40" t="str">
        <f>_xlfn.XLOOKUP(EarningsPerDay[[#This Row],[Date]],Mileage[Date],Mileage[Weather])</f>
        <v>Snow Storm</v>
      </c>
      <c r="L657" s="4">
        <f>_xlfn.XLOOKUP(EarningsPerDay[[#This Row],[Date]],Mileage[Date],Mileage[Hi Temp])</f>
        <v>18</v>
      </c>
      <c r="M657" s="12">
        <f>_xlfn.XLOOKUP(EarningsPerDay[[#This Row],[Date]],Mileage[Date],Mileage[Total Time])</f>
        <v>1.1499999999999999</v>
      </c>
      <c r="N657" s="4">
        <f>_xlfn.XLOOKUP(EarningsPerDay[[#This Row],[Date]],Mileage[Date],Mileage[Mileage])</f>
        <v>21</v>
      </c>
      <c r="O657" s="4">
        <f>SUMIF(Combined[Date],EarningsPerDay[[#This Row],[Date]],Combined[Trips])</f>
        <v>4</v>
      </c>
      <c r="P657">
        <f>COUNTIF(Combined[Date],EarningsPerDay[[#This Row],[Date]])</f>
        <v>2</v>
      </c>
      <c r="Q6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7" s="11">
        <f>SUMIF(Combined[Date],EarningsPerDay[[#This Row],[Date]],Combined[Earnings])</f>
        <v>19.04</v>
      </c>
      <c r="S657" s="11">
        <f ca="1">EarningsPerDay[[#This Row],[Gross Earnings]]-(EarningsPerDay[[#This Row],[Miles]]*CpM!$D$11)</f>
        <v>14.357565054806038</v>
      </c>
      <c r="T657" s="11">
        <f t="shared" si="78"/>
        <v>16.556521739130435</v>
      </c>
      <c r="U657" s="11">
        <f t="shared" ca="1" si="79"/>
        <v>12.484839178092209</v>
      </c>
      <c r="V657" s="11">
        <f>EarningsPerDay[[#This Row],[Gross Earnings]]/EarningsPerDay[[#This Row],[Deliveries]]</f>
        <v>4.76</v>
      </c>
      <c r="W657" s="11">
        <f>EarningsPerDay[[#This Row],[Gross Earnings]]/EarningsPerDay[[#This Row],[Miles]]</f>
        <v>0.90666666666666662</v>
      </c>
      <c r="X657" s="71">
        <f>EarningsPerDay[[#This Row],[Deliveries]]/EarningsPerDay[[#This Row],[Hours]]</f>
        <v>3.4782608695652177</v>
      </c>
      <c r="Y657" s="71">
        <f>EarningsPerDay[[#This Row],[Miles]]/EarningsPerDay[[#This Row],[Deliveries]]</f>
        <v>5.25</v>
      </c>
      <c r="Z657" s="81">
        <f>(EarningsPerDay[[#This Row],[Hours]]/EarningsPerDay[[#This Row],[Deliveries]])/24</f>
        <v>1.1979166666666666E-2</v>
      </c>
      <c r="AA6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-3.74945437436822</v>
      </c>
      <c r="AB657" s="11">
        <f>AVERAGEIFS(EarningsPerDay[Gross $/Hour],EarningsPerDay[Week '#], EarningsPerDay[[#This Row],[Week '#]], EarningsPerDay[DOW], EarningsPerDay[[#This Row],[DOW]])</f>
        <v>20.232614280015955</v>
      </c>
      <c r="AC657" s="11">
        <f>EarningsPerDay[[#This Row],[Gross $/Hour]] - EarningsPerDay[[#This Row],[Weekly Average Earnings]]</f>
        <v>-3.6760925408855201</v>
      </c>
      <c r="AD657" s="11">
        <f>(SUMIFS(EarningsPerDay[Gross Earnings], EarningsPerDay[Date],"&gt;="&amp;EarningsPerDay[[#This Row],[Date]]-89, EarningsPerDay[Date], "&lt;="&amp;EarningsPerDay[[#This Row],[Date]]))/90</f>
        <v>28.896333333333338</v>
      </c>
    </row>
    <row r="658" spans="2:30" x14ac:dyDescent="0.35">
      <c r="B658" s="40">
        <v>45695</v>
      </c>
      <c r="C658" s="40">
        <f t="shared" si="75"/>
        <v>45695</v>
      </c>
      <c r="D658" s="4">
        <f>IF(EarningsPerDay[[#This Row],[Week '#]]&gt;=52,YEAR(EarningsPerDay[[#This Row],[Date]])-1,YEAR(EarningsPerDay[[#This Row],[Date]]))</f>
        <v>2025</v>
      </c>
      <c r="E658" s="4" t="str">
        <f>"QTR"&amp;IF(EarningsPerDay[[#This Row],[Week '#]] &lt;= 13, 1, IF(EarningsPerDay[[#This Row],[Week '#]] &lt;= 26, 2, IF(EarningsPerDay[[#This Row],[Week '#]] &lt;= 39, 3, 4)))</f>
        <v>QTR1</v>
      </c>
      <c r="F6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58" s="4">
        <f>IF(WEEKNUM(EarningsPerDay[[#This Row],[Date]], 2) = 53, 1, WEEKNUM(EarningsPerDay[[#This Row],[Date]],2))</f>
        <v>6</v>
      </c>
      <c r="H658" s="40" t="str">
        <f t="shared" ref="H658:H666" si="85">TEXT(B658,"DDDD")</f>
        <v>Friday</v>
      </c>
      <c r="I658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58" s="40" t="str" cm="1">
        <f t="array" ref="J658">IFERROR(VLOOKUP(MODE(IF(Combined[Date]=EarningsPerDay[[#This Row],[Date]],Combined[Area '#])),KPIs!$B$4:$C$7,2,FALSE),VLOOKUP(EarningsPerDay[[#This Row],[Date]],Combined[[Date]:[Primary Area]],8,FALSE))</f>
        <v>Lewiston</v>
      </c>
      <c r="K658" s="40" t="str">
        <f>_xlfn.XLOOKUP(EarningsPerDay[[#This Row],[Date]],Mileage[Date],Mileage[Weather])</f>
        <v>Overcast</v>
      </c>
      <c r="L658" s="4">
        <f>_xlfn.XLOOKUP(EarningsPerDay[[#This Row],[Date]],Mileage[Date],Mileage[Hi Temp])</f>
        <v>27</v>
      </c>
      <c r="M658" s="12">
        <f>_xlfn.XLOOKUP(EarningsPerDay[[#This Row],[Date]],Mileage[Date],Mileage[Total Time])</f>
        <v>3.6</v>
      </c>
      <c r="N658" s="4">
        <f>_xlfn.XLOOKUP(EarningsPerDay[[#This Row],[Date]],Mileage[Date],Mileage[Mileage])</f>
        <v>65</v>
      </c>
      <c r="O658" s="4">
        <f>SUMIF(Combined[Date],EarningsPerDay[[#This Row],[Date]],Combined[Trips])</f>
        <v>6</v>
      </c>
      <c r="P658">
        <f>COUNTIF(Combined[Date],EarningsPerDay[[#This Row],[Date]])</f>
        <v>2</v>
      </c>
      <c r="Q6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8" s="11">
        <f>SUMIF(Combined[Date],EarningsPerDay[[#This Row],[Date]],Combined[Earnings])</f>
        <v>41.3</v>
      </c>
      <c r="S658" s="11">
        <f ca="1">EarningsPerDay[[#This Row],[Gross Earnings]]-(EarningsPerDay[[#This Row],[Miles]]*CpM!$D$11)</f>
        <v>26.806748979161547</v>
      </c>
      <c r="T658" s="11">
        <f t="shared" si="78"/>
        <v>11.472222222222221</v>
      </c>
      <c r="U658" s="11">
        <f t="shared" ca="1" si="79"/>
        <v>7.4463191608782076</v>
      </c>
      <c r="V658" s="11">
        <f>EarningsPerDay[[#This Row],[Gross Earnings]]/EarningsPerDay[[#This Row],[Deliveries]]</f>
        <v>6.8833333333333329</v>
      </c>
      <c r="W658" s="11">
        <f>EarningsPerDay[[#This Row],[Gross Earnings]]/EarningsPerDay[[#This Row],[Miles]]</f>
        <v>0.63538461538461533</v>
      </c>
      <c r="X658" s="71">
        <f>EarningsPerDay[[#This Row],[Deliveries]]/EarningsPerDay[[#This Row],[Hours]]</f>
        <v>1.6666666666666665</v>
      </c>
      <c r="Y658" s="71">
        <f>EarningsPerDay[[#This Row],[Miles]]/EarningsPerDay[[#This Row],[Deliveries]]</f>
        <v>10.833333333333334</v>
      </c>
      <c r="Z658" s="81">
        <f>(EarningsPerDay[[#This Row],[Hours]]/EarningsPerDay[[#This Row],[Deliveries]])/24</f>
        <v>2.4999999999999998E-2</v>
      </c>
      <c r="AA6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-8.1406173729001878</v>
      </c>
      <c r="AB658" s="11">
        <f>AVERAGEIFS(EarningsPerDay[Gross $/Hour],EarningsPerDay[Week '#], EarningsPerDay[[#This Row],[Week '#]], EarningsPerDay[DOW], EarningsPerDay[[#This Row],[DOW]])</f>
        <v>16.078306651419858</v>
      </c>
      <c r="AC658" s="11">
        <f>EarningsPerDay[[#This Row],[Gross $/Hour]] - EarningsPerDay[[#This Row],[Weekly Average Earnings]]</f>
        <v>-4.6060844291976366</v>
      </c>
      <c r="AD658" s="11">
        <f>(SUMIFS(EarningsPerDay[Gross Earnings], EarningsPerDay[Date],"&gt;="&amp;EarningsPerDay[[#This Row],[Date]]-89, EarningsPerDay[Date], "&lt;="&amp;EarningsPerDay[[#This Row],[Date]]))/90</f>
        <v>29.355222222222231</v>
      </c>
    </row>
    <row r="659" spans="2:30" x14ac:dyDescent="0.35">
      <c r="B659" s="40">
        <v>45697</v>
      </c>
      <c r="C659" s="40">
        <f t="shared" si="75"/>
        <v>45697</v>
      </c>
      <c r="D659" s="4">
        <f>IF(EarningsPerDay[[#This Row],[Week '#]]&gt;=52,YEAR(EarningsPerDay[[#This Row],[Date]])-1,YEAR(EarningsPerDay[[#This Row],[Date]]))</f>
        <v>2025</v>
      </c>
      <c r="E659" s="4" t="str">
        <f>"QTR"&amp;IF(EarningsPerDay[[#This Row],[Week '#]] &lt;= 13, 1, IF(EarningsPerDay[[#This Row],[Week '#]] &lt;= 26, 2, IF(EarningsPerDay[[#This Row],[Week '#]] &lt;= 39, 3, 4)))</f>
        <v>QTR1</v>
      </c>
      <c r="F6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659" s="4">
        <f>IF(WEEKNUM(EarningsPerDay[[#This Row],[Date]], 2) = 53, 1, WEEKNUM(EarningsPerDay[[#This Row],[Date]],2))</f>
        <v>6</v>
      </c>
      <c r="H659" s="40" t="str">
        <f t="shared" si="85"/>
        <v>Sunday</v>
      </c>
      <c r="I659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659" s="40" t="str" cm="1">
        <f t="array" ref="J659">IFERROR(VLOOKUP(MODE(IF(Combined[Date]=EarningsPerDay[[#This Row],[Date]],Combined[Area '#])),KPIs!$B$4:$C$7,2,FALSE),VLOOKUP(EarningsPerDay[[#This Row],[Date]],Combined[[Date]:[Primary Area]],8,FALSE))</f>
        <v>Brunswick/Bath/Freeport</v>
      </c>
      <c r="K659" s="40" t="str">
        <f>_xlfn.XLOOKUP(EarningsPerDay[[#This Row],[Date]],Mileage[Date],Mileage[Weather])</f>
        <v>Partially Cloudy</v>
      </c>
      <c r="L659" s="4">
        <f>_xlfn.XLOOKUP(EarningsPerDay[[#This Row],[Date]],Mileage[Date],Mileage[Hi Temp])</f>
        <v>21</v>
      </c>
      <c r="M659" s="12">
        <f>_xlfn.XLOOKUP(EarningsPerDay[[#This Row],[Date]],Mileage[Date],Mileage[Total Time])</f>
        <v>3.6</v>
      </c>
      <c r="N659" s="4">
        <f>_xlfn.XLOOKUP(EarningsPerDay[[#This Row],[Date]],Mileage[Date],Mileage[Mileage])</f>
        <v>77</v>
      </c>
      <c r="O659" s="4">
        <f>SUMIF(Combined[Date],EarningsPerDay[[#This Row],[Date]],Combined[Trips])</f>
        <v>6</v>
      </c>
      <c r="P659">
        <f>COUNTIF(Combined[Date],EarningsPerDay[[#This Row],[Date]])</f>
        <v>2</v>
      </c>
      <c r="Q6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59" s="11">
        <f>SUMIF(Combined[Date],EarningsPerDay[[#This Row],[Date]],Combined[Earnings])</f>
        <v>95.12</v>
      </c>
      <c r="S659" s="11">
        <f ca="1">EarningsPerDay[[#This Row],[Gross Earnings]]-(EarningsPerDay[[#This Row],[Miles]]*CpM!$D$11)</f>
        <v>77.951071867622147</v>
      </c>
      <c r="T659" s="11">
        <f t="shared" si="78"/>
        <v>26.422222222222224</v>
      </c>
      <c r="U659" s="11">
        <f t="shared" ca="1" si="79"/>
        <v>21.653075518783929</v>
      </c>
      <c r="V659" s="11">
        <f>EarningsPerDay[[#This Row],[Gross Earnings]]/EarningsPerDay[[#This Row],[Deliveries]]</f>
        <v>15.853333333333333</v>
      </c>
      <c r="W659" s="11">
        <f>EarningsPerDay[[#This Row],[Gross Earnings]]/EarningsPerDay[[#This Row],[Miles]]</f>
        <v>1.2353246753246754</v>
      </c>
      <c r="X659" s="71">
        <f>EarningsPerDay[[#This Row],[Deliveries]]/EarningsPerDay[[#This Row],[Hours]]</f>
        <v>1.6666666666666665</v>
      </c>
      <c r="Y659" s="71">
        <f>EarningsPerDay[[#This Row],[Miles]]/EarningsPerDay[[#This Row],[Deliveries]]</f>
        <v>12.833333333333334</v>
      </c>
      <c r="Z659" s="81">
        <f>(EarningsPerDay[[#This Row],[Hours]]/EarningsPerDay[[#This Row],[Deliveries]])/24</f>
        <v>2.4999999999999998E-2</v>
      </c>
      <c r="AA6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1.3215314902617159</v>
      </c>
      <c r="AB659" s="11">
        <f>AVERAGEIFS(EarningsPerDay[Gross $/Hour],EarningsPerDay[Week '#], EarningsPerDay[[#This Row],[Week '#]], EarningsPerDay[DOW], EarningsPerDay[[#This Row],[DOW]])</f>
        <v>20.128703703703703</v>
      </c>
      <c r="AC659" s="11">
        <f>EarningsPerDay[[#This Row],[Gross $/Hour]] - EarningsPerDay[[#This Row],[Weekly Average Earnings]]</f>
        <v>6.2935185185185212</v>
      </c>
      <c r="AD659" s="11">
        <f>(SUMIFS(EarningsPerDay[Gross Earnings], EarningsPerDay[Date],"&gt;="&amp;EarningsPerDay[[#This Row],[Date]]-89, EarningsPerDay[Date], "&lt;="&amp;EarningsPerDay[[#This Row],[Date]]))/90</f>
        <v>28.816666666666681</v>
      </c>
    </row>
    <row r="660" spans="2:30" x14ac:dyDescent="0.35">
      <c r="B660" s="40">
        <v>45698</v>
      </c>
      <c r="C660" s="40">
        <f t="shared" si="75"/>
        <v>45698</v>
      </c>
      <c r="D660" s="4">
        <f>IF(EarningsPerDay[[#This Row],[Week '#]]&gt;=52,YEAR(EarningsPerDay[[#This Row],[Date]])-1,YEAR(EarningsPerDay[[#This Row],[Date]]))</f>
        <v>2025</v>
      </c>
      <c r="E660" s="4" t="str">
        <f>"QTR"&amp;IF(EarningsPerDay[[#This Row],[Week '#]] &lt;= 13, 1, IF(EarningsPerDay[[#This Row],[Week '#]] &lt;= 26, 2, IF(EarningsPerDay[[#This Row],[Week '#]] &lt;= 39, 3, 4)))</f>
        <v>QTR1</v>
      </c>
      <c r="F6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60" s="4">
        <f>IF(WEEKNUM(EarningsPerDay[[#This Row],[Date]], 2) = 53, 1, WEEKNUM(EarningsPerDay[[#This Row],[Date]],2))</f>
        <v>7</v>
      </c>
      <c r="H660" s="40" t="str">
        <f t="shared" si="85"/>
        <v>Monday</v>
      </c>
      <c r="I660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60" s="40" t="str" cm="1">
        <f t="array" ref="J660">IFERROR(VLOOKUP(MODE(IF(Combined[Date]=EarningsPerDay[[#This Row],[Date]],Combined[Area '#])),KPIs!$B$4:$C$7,2,FALSE),VLOOKUP(EarningsPerDay[[#This Row],[Date]],Combined[[Date]:[Primary Area]],8,FALSE))</f>
        <v>Brunswick/Bath/Freeport</v>
      </c>
      <c r="K660" s="40" t="str">
        <f>_xlfn.XLOOKUP(EarningsPerDay[[#This Row],[Date]],Mileage[Date],Mileage[Weather])</f>
        <v>Clear</v>
      </c>
      <c r="L660" s="4">
        <f>_xlfn.XLOOKUP(EarningsPerDay[[#This Row],[Date]],Mileage[Date],Mileage[Hi Temp])</f>
        <v>19</v>
      </c>
      <c r="M660" s="12">
        <f>_xlfn.XLOOKUP(EarningsPerDay[[#This Row],[Date]],Mileage[Date],Mileage[Total Time])</f>
        <v>3.75</v>
      </c>
      <c r="N660" s="4">
        <f>_xlfn.XLOOKUP(EarningsPerDay[[#This Row],[Date]],Mileage[Date],Mileage[Mileage])</f>
        <v>75</v>
      </c>
      <c r="O660" s="4">
        <f>SUMIF(Combined[Date],EarningsPerDay[[#This Row],[Date]],Combined[Trips])</f>
        <v>8</v>
      </c>
      <c r="P660">
        <f>COUNTIF(Combined[Date],EarningsPerDay[[#This Row],[Date]])</f>
        <v>4</v>
      </c>
      <c r="Q6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0" s="11">
        <f>SUMIF(Combined[Date],EarningsPerDay[[#This Row],[Date]],Combined[Earnings])</f>
        <v>106.43</v>
      </c>
      <c r="S660" s="11">
        <f ca="1">EarningsPerDay[[#This Row],[Gross Earnings]]-(EarningsPerDay[[#This Row],[Miles]]*CpM!$D$11)</f>
        <v>89.707018052878723</v>
      </c>
      <c r="T660" s="11">
        <f t="shared" si="78"/>
        <v>28.381333333333334</v>
      </c>
      <c r="U660" s="11">
        <f t="shared" ca="1" si="79"/>
        <v>23.92187148076766</v>
      </c>
      <c r="V660" s="11">
        <f>EarningsPerDay[[#This Row],[Gross Earnings]]/EarningsPerDay[[#This Row],[Deliveries]]</f>
        <v>13.303750000000001</v>
      </c>
      <c r="W660" s="11">
        <f>EarningsPerDay[[#This Row],[Gross Earnings]]/EarningsPerDay[[#This Row],[Miles]]</f>
        <v>1.4190666666666667</v>
      </c>
      <c r="X660" s="71">
        <f>EarningsPerDay[[#This Row],[Deliveries]]/EarningsPerDay[[#This Row],[Hours]]</f>
        <v>2.1333333333333333</v>
      </c>
      <c r="Y660" s="71">
        <f>EarningsPerDay[[#This Row],[Miles]]/EarningsPerDay[[#This Row],[Deliveries]]</f>
        <v>9.375</v>
      </c>
      <c r="Z660" s="81">
        <f>(EarningsPerDay[[#This Row],[Hours]]/EarningsPerDay[[#This Row],[Deliveries]])/24</f>
        <v>1.953125E-2</v>
      </c>
      <c r="AA6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2.6220717380203347</v>
      </c>
      <c r="AB660" s="11">
        <f>AVERAGEIFS(EarningsPerDay[Gross $/Hour],EarningsPerDay[Week '#], EarningsPerDay[[#This Row],[Week '#]], EarningsPerDay[DOW], EarningsPerDay[[#This Row],[DOW]])</f>
        <v>28.381333333333334</v>
      </c>
      <c r="AC660" s="11">
        <f>EarningsPerDay[[#This Row],[Gross $/Hour]] - EarningsPerDay[[#This Row],[Weekly Average Earnings]]</f>
        <v>0</v>
      </c>
      <c r="AD660" s="11">
        <f>(SUMIFS(EarningsPerDay[Gross Earnings], EarningsPerDay[Date],"&gt;="&amp;EarningsPerDay[[#This Row],[Date]]-89, EarningsPerDay[Date], "&lt;="&amp;EarningsPerDay[[#This Row],[Date]]))/90</f>
        <v>29.005777777777784</v>
      </c>
    </row>
    <row r="661" spans="2:30" x14ac:dyDescent="0.35">
      <c r="B661" s="40">
        <v>45701</v>
      </c>
      <c r="C661" s="40">
        <f t="shared" si="75"/>
        <v>45701</v>
      </c>
      <c r="D661" s="4">
        <f>IF(EarningsPerDay[[#This Row],[Week '#]]&gt;=52,YEAR(EarningsPerDay[[#This Row],[Date]])-1,YEAR(EarningsPerDay[[#This Row],[Date]]))</f>
        <v>2025</v>
      </c>
      <c r="E661" s="4" t="str">
        <f>"QTR"&amp;IF(EarningsPerDay[[#This Row],[Week '#]] &lt;= 13, 1, IF(EarningsPerDay[[#This Row],[Week '#]] &lt;= 26, 2, IF(EarningsPerDay[[#This Row],[Week '#]] &lt;= 39, 3, 4)))</f>
        <v>QTR1</v>
      </c>
      <c r="F6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61" s="4">
        <f>IF(WEEKNUM(EarningsPerDay[[#This Row],[Date]], 2) = 53, 1, WEEKNUM(EarningsPerDay[[#This Row],[Date]],2))</f>
        <v>7</v>
      </c>
      <c r="H661" s="40" t="str">
        <f t="shared" si="85"/>
        <v>Thursday</v>
      </c>
      <c r="I66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61" s="40" t="str" cm="1">
        <f t="array" ref="J661">IFERROR(VLOOKUP(MODE(IF(Combined[Date]=EarningsPerDay[[#This Row],[Date]],Combined[Area '#])),KPIs!$B$4:$C$7,2,FALSE),VLOOKUP(EarningsPerDay[[#This Row],[Date]],Combined[[Date]:[Primary Area]],8,FALSE))</f>
        <v>Lewiston</v>
      </c>
      <c r="K661" s="40" t="str">
        <f>_xlfn.XLOOKUP(EarningsPerDay[[#This Row],[Date]],Mileage[Date],Mileage[Weather])</f>
        <v>Overcast</v>
      </c>
      <c r="L661" s="4">
        <f>_xlfn.XLOOKUP(EarningsPerDay[[#This Row],[Date]],Mileage[Date],Mileage[Hi Temp])</f>
        <v>27</v>
      </c>
      <c r="M661" s="12">
        <f>_xlfn.XLOOKUP(EarningsPerDay[[#This Row],[Date]],Mileage[Date],Mileage[Total Time])</f>
        <v>4.07</v>
      </c>
      <c r="N661" s="4">
        <f>_xlfn.XLOOKUP(EarningsPerDay[[#This Row],[Date]],Mileage[Date],Mileage[Mileage])</f>
        <v>26</v>
      </c>
      <c r="O661" s="4">
        <f>SUMIF(Combined[Date],EarningsPerDay[[#This Row],[Date]],Combined[Trips])</f>
        <v>5</v>
      </c>
      <c r="P661">
        <f>COUNTIF(Combined[Date],EarningsPerDay[[#This Row],[Date]])</f>
        <v>1</v>
      </c>
      <c r="Q6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1" s="11">
        <f>SUMIF(Combined[Date],EarningsPerDay[[#This Row],[Date]],Combined[Earnings])</f>
        <v>91.15</v>
      </c>
      <c r="S661" s="11">
        <f ca="1">EarningsPerDay[[#This Row],[Gross Earnings]]-(EarningsPerDay[[#This Row],[Miles]]*CpM!$D$11)</f>
        <v>85.352699591664631</v>
      </c>
      <c r="T661" s="11">
        <f t="shared" si="78"/>
        <v>22.395577395577394</v>
      </c>
      <c r="U661" s="11">
        <f t="shared" ca="1" si="79"/>
        <v>20.971179260851258</v>
      </c>
      <c r="V661" s="11">
        <f>EarningsPerDay[[#This Row],[Gross Earnings]]/EarningsPerDay[[#This Row],[Deliveries]]</f>
        <v>18.23</v>
      </c>
      <c r="W661" s="11">
        <f>EarningsPerDay[[#This Row],[Gross Earnings]]/EarningsPerDay[[#This Row],[Miles]]</f>
        <v>3.5057692307692312</v>
      </c>
      <c r="X661" s="71">
        <f>EarningsPerDay[[#This Row],[Deliveries]]/EarningsPerDay[[#This Row],[Hours]]</f>
        <v>1.2285012285012284</v>
      </c>
      <c r="Y661" s="71">
        <f>EarningsPerDay[[#This Row],[Miles]]/EarningsPerDay[[#This Row],[Deliveries]]</f>
        <v>5.2</v>
      </c>
      <c r="Z661" s="81">
        <f>(EarningsPerDay[[#This Row],[Hours]]/EarningsPerDay[[#This Row],[Deliveries]])/24</f>
        <v>3.3916666666666671E-2</v>
      </c>
      <c r="AA6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2.3780208493378332</v>
      </c>
      <c r="AB661" s="11">
        <f>AVERAGEIFS(EarningsPerDay[Gross $/Hour],EarningsPerDay[Week '#], EarningsPerDay[[#This Row],[Week '#]], EarningsPerDay[DOW], EarningsPerDay[[#This Row],[DOW]])</f>
        <v>22.876360126360126</v>
      </c>
      <c r="AC661" s="11">
        <f>EarningsPerDay[[#This Row],[Gross $/Hour]] - EarningsPerDay[[#This Row],[Weekly Average Earnings]]</f>
        <v>-0.4807827307827317</v>
      </c>
      <c r="AD661" s="11">
        <f>(SUMIFS(EarningsPerDay[Gross Earnings], EarningsPerDay[Date],"&gt;="&amp;EarningsPerDay[[#This Row],[Date]]-89, EarningsPerDay[Date], "&lt;="&amp;EarningsPerDay[[#This Row],[Date]]))/90</f>
        <v>28.349000000000004</v>
      </c>
    </row>
    <row r="662" spans="2:30" x14ac:dyDescent="0.35">
      <c r="B662" s="40">
        <v>45703</v>
      </c>
      <c r="C662" s="40">
        <f t="shared" si="75"/>
        <v>45703</v>
      </c>
      <c r="D662" s="4">
        <f>IF(EarningsPerDay[[#This Row],[Week '#]]&gt;=52,YEAR(EarningsPerDay[[#This Row],[Date]])-1,YEAR(EarningsPerDay[[#This Row],[Date]]))</f>
        <v>2025</v>
      </c>
      <c r="E662" s="4" t="str">
        <f>"QTR"&amp;IF(EarningsPerDay[[#This Row],[Week '#]] &lt;= 13, 1, IF(EarningsPerDay[[#This Row],[Week '#]] &lt;= 26, 2, IF(EarningsPerDay[[#This Row],[Week '#]] &lt;= 39, 3, 4)))</f>
        <v>QTR1</v>
      </c>
      <c r="F6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662" s="4">
        <f>IF(WEEKNUM(EarningsPerDay[[#This Row],[Date]], 2) = 53, 1, WEEKNUM(EarningsPerDay[[#This Row],[Date]],2))</f>
        <v>7</v>
      </c>
      <c r="H662" s="40" t="str">
        <f t="shared" si="85"/>
        <v>Saturday</v>
      </c>
      <c r="I662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62" s="40" t="str" cm="1">
        <f t="array" ref="J662">IFERROR(VLOOKUP(MODE(IF(Combined[Date]=EarningsPerDay[[#This Row],[Date]],Combined[Area '#])),KPIs!$B$4:$C$7,2,FALSE),VLOOKUP(EarningsPerDay[[#This Row],[Date]],Combined[[Date]:[Primary Area]],8,FALSE))</f>
        <v>Augusta</v>
      </c>
      <c r="K662" s="40" t="str">
        <f>_xlfn.XLOOKUP(EarningsPerDay[[#This Row],[Date]],Mileage[Date],Mileage[Weather])</f>
        <v>Light Snow</v>
      </c>
      <c r="L662" s="4">
        <f>_xlfn.XLOOKUP(EarningsPerDay[[#This Row],[Date]],Mileage[Date],Mileage[Hi Temp])</f>
        <v>27</v>
      </c>
      <c r="M662" s="12">
        <f>_xlfn.XLOOKUP(EarningsPerDay[[#This Row],[Date]],Mileage[Date],Mileage[Total Time])</f>
        <v>3.2</v>
      </c>
      <c r="N662" s="4">
        <f>_xlfn.XLOOKUP(EarningsPerDay[[#This Row],[Date]],Mileage[Date],Mileage[Mileage])</f>
        <v>106</v>
      </c>
      <c r="O662" s="4">
        <f>SUMIF(Combined[Date],EarningsPerDay[[#This Row],[Date]],Combined[Trips])</f>
        <v>6</v>
      </c>
      <c r="P662">
        <f>COUNTIF(Combined[Date],EarningsPerDay[[#This Row],[Date]])</f>
        <v>1</v>
      </c>
      <c r="Q66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62" s="11">
        <f>SUMIF(Combined[Date],EarningsPerDay[[#This Row],[Date]],Combined[Earnings])</f>
        <v>64.260000000000005</v>
      </c>
      <c r="S662" s="11">
        <f ca="1">EarningsPerDay[[#This Row],[Gross Earnings]]-(EarningsPerDay[[#This Row],[Miles]]*CpM!$D$11)</f>
        <v>40.62485218140192</v>
      </c>
      <c r="T662" s="11">
        <f t="shared" si="78"/>
        <v>20.081250000000001</v>
      </c>
      <c r="U662" s="11">
        <f t="shared" ca="1" si="79"/>
        <v>12.695266306688099</v>
      </c>
      <c r="V662" s="11">
        <f>EarningsPerDay[[#This Row],[Gross Earnings]]/EarningsPerDay[[#This Row],[Deliveries]]</f>
        <v>10.71</v>
      </c>
      <c r="W662" s="11">
        <f>EarningsPerDay[[#This Row],[Gross Earnings]]/EarningsPerDay[[#This Row],[Miles]]</f>
        <v>0.60622641509433972</v>
      </c>
      <c r="X662" s="71">
        <f>EarningsPerDay[[#This Row],[Deliveries]]/EarningsPerDay[[#This Row],[Hours]]</f>
        <v>1.875</v>
      </c>
      <c r="Y662" s="71">
        <f>EarningsPerDay[[#This Row],[Miles]]/EarningsPerDay[[#This Row],[Deliveries]]</f>
        <v>17.666666666666668</v>
      </c>
      <c r="Z662" s="81">
        <f>(EarningsPerDay[[#This Row],[Hours]]/EarningsPerDay[[#This Row],[Deliveries]])/24</f>
        <v>2.2222222222222223E-2</v>
      </c>
      <c r="AA6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1.2863132911392441</v>
      </c>
      <c r="AB662" s="11">
        <f>AVERAGEIFS(EarningsPerDay[Gross $/Hour],EarningsPerDay[Week '#], EarningsPerDay[[#This Row],[Week '#]], EarningsPerDay[DOW], EarningsPerDay[[#This Row],[DOW]])</f>
        <v>22.316988072985641</v>
      </c>
      <c r="AC662" s="11">
        <f>EarningsPerDay[[#This Row],[Gross $/Hour]] - EarningsPerDay[[#This Row],[Weekly Average Earnings]]</f>
        <v>-2.2357380729856402</v>
      </c>
      <c r="AD662" s="11">
        <f>(SUMIFS(EarningsPerDay[Gross Earnings], EarningsPerDay[Date],"&gt;="&amp;EarningsPerDay[[#This Row],[Date]]-89, EarningsPerDay[Date], "&lt;="&amp;EarningsPerDay[[#This Row],[Date]]))/90</f>
        <v>27.126555555555555</v>
      </c>
    </row>
    <row r="663" spans="2:30" x14ac:dyDescent="0.35">
      <c r="B663" s="40">
        <v>45706</v>
      </c>
      <c r="C663" s="40">
        <f t="shared" si="75"/>
        <v>45706</v>
      </c>
      <c r="D663" s="4">
        <f>IF(EarningsPerDay[[#This Row],[Week '#]]&gt;=52,YEAR(EarningsPerDay[[#This Row],[Date]])-1,YEAR(EarningsPerDay[[#This Row],[Date]]))</f>
        <v>2025</v>
      </c>
      <c r="E663" s="4" t="str">
        <f>"QTR"&amp;IF(EarningsPerDay[[#This Row],[Week '#]] &lt;= 13, 1, IF(EarningsPerDay[[#This Row],[Week '#]] &lt;= 26, 2, IF(EarningsPerDay[[#This Row],[Week '#]] &lt;= 39, 3, 4)))</f>
        <v>QTR1</v>
      </c>
      <c r="F6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63" s="4">
        <f>IF(WEEKNUM(EarningsPerDay[[#This Row],[Date]], 2) = 53, 1, WEEKNUM(EarningsPerDay[[#This Row],[Date]],2))</f>
        <v>8</v>
      </c>
      <c r="H663" s="40" t="str">
        <f t="shared" si="85"/>
        <v>Tuesday</v>
      </c>
      <c r="I66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63" s="40" t="str" cm="1">
        <f t="array" ref="J663">IFERROR(VLOOKUP(MODE(IF(Combined[Date]=EarningsPerDay[[#This Row],[Date]],Combined[Area '#])),KPIs!$B$4:$C$7,2,FALSE),VLOOKUP(EarningsPerDay[[#This Row],[Date]],Combined[[Date]:[Primary Area]],8,FALSE))</f>
        <v>Brunswick/Bath/Freeport</v>
      </c>
      <c r="K663" s="40" t="str">
        <f>_xlfn.XLOOKUP(EarningsPerDay[[#This Row],[Date]],Mileage[Date],Mileage[Weather])</f>
        <v>Clear</v>
      </c>
      <c r="L663" s="4">
        <f>_xlfn.XLOOKUP(EarningsPerDay[[#This Row],[Date]],Mileage[Date],Mileage[Hi Temp])</f>
        <v>10</v>
      </c>
      <c r="M663" s="12">
        <f>_xlfn.XLOOKUP(EarningsPerDay[[#This Row],[Date]],Mileage[Date],Mileage[Total Time])</f>
        <v>5.2</v>
      </c>
      <c r="N663" s="4">
        <f>_xlfn.XLOOKUP(EarningsPerDay[[#This Row],[Date]],Mileage[Date],Mileage[Mileage])</f>
        <v>103</v>
      </c>
      <c r="O663" s="4">
        <f>SUMIF(Combined[Date],EarningsPerDay[[#This Row],[Date]],Combined[Trips])</f>
        <v>10</v>
      </c>
      <c r="P663">
        <f>COUNTIF(Combined[Date],EarningsPerDay[[#This Row],[Date]])</f>
        <v>3</v>
      </c>
      <c r="Q6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3" s="11">
        <f>SUMIF(Combined[Date],EarningsPerDay[[#This Row],[Date]],Combined[Earnings])</f>
        <v>107.02</v>
      </c>
      <c r="S663" s="11">
        <f ca="1">EarningsPerDay[[#This Row],[Gross Earnings]]-(EarningsPerDay[[#This Row],[Miles]]*CpM!$D$11)</f>
        <v>84.053771459286764</v>
      </c>
      <c r="T663" s="11">
        <f t="shared" si="78"/>
        <v>20.580769230769228</v>
      </c>
      <c r="U663" s="11">
        <f t="shared" ca="1" si="79"/>
        <v>16.164186819093608</v>
      </c>
      <c r="V663" s="11">
        <f>EarningsPerDay[[#This Row],[Gross Earnings]]/EarningsPerDay[[#This Row],[Deliveries]]</f>
        <v>10.702</v>
      </c>
      <c r="W663" s="11">
        <f>EarningsPerDay[[#This Row],[Gross Earnings]]/EarningsPerDay[[#This Row],[Miles]]</f>
        <v>1.0390291262135922</v>
      </c>
      <c r="X663" s="71">
        <f>EarningsPerDay[[#This Row],[Deliveries]]/EarningsPerDay[[#This Row],[Hours]]</f>
        <v>1.9230769230769229</v>
      </c>
      <c r="Y663" s="71">
        <f>EarningsPerDay[[#This Row],[Miles]]/EarningsPerDay[[#This Row],[Deliveries]]</f>
        <v>10.3</v>
      </c>
      <c r="Z663" s="81">
        <f>(EarningsPerDay[[#This Row],[Hours]]/EarningsPerDay[[#This Row],[Deliveries]])/24</f>
        <v>2.1666666666666667E-2</v>
      </c>
      <c r="AA6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-7.1785227372149265</v>
      </c>
      <c r="AB663" s="11">
        <f>AVERAGEIFS(EarningsPerDay[Gross $/Hour],EarningsPerDay[Week '#], EarningsPerDay[[#This Row],[Week '#]], EarningsPerDay[DOW], EarningsPerDay[[#This Row],[DOW]])</f>
        <v>25.107199243055533</v>
      </c>
      <c r="AC663" s="11">
        <f>EarningsPerDay[[#This Row],[Gross $/Hour]] - EarningsPerDay[[#This Row],[Weekly Average Earnings]]</f>
        <v>-4.5264300122863048</v>
      </c>
      <c r="AD663" s="11">
        <f>(SUMIFS(EarningsPerDay[Gross Earnings], EarningsPerDay[Date],"&gt;="&amp;EarningsPerDay[[#This Row],[Date]]-89, EarningsPerDay[Date], "&lt;="&amp;EarningsPerDay[[#This Row],[Date]]))/90</f>
        <v>27.551777777777776</v>
      </c>
    </row>
    <row r="664" spans="2:30" x14ac:dyDescent="0.35">
      <c r="B664" s="40">
        <v>45708</v>
      </c>
      <c r="C664" s="40">
        <f t="shared" si="75"/>
        <v>45708</v>
      </c>
      <c r="D664" s="4">
        <f>IF(EarningsPerDay[[#This Row],[Week '#]]&gt;=52,YEAR(EarningsPerDay[[#This Row],[Date]])-1,YEAR(EarningsPerDay[[#This Row],[Date]]))</f>
        <v>2025</v>
      </c>
      <c r="E664" s="4" t="str">
        <f>"QTR"&amp;IF(EarningsPerDay[[#This Row],[Week '#]] &lt;= 13, 1, IF(EarningsPerDay[[#This Row],[Week '#]] &lt;= 26, 2, IF(EarningsPerDay[[#This Row],[Week '#]] &lt;= 39, 3, 4)))</f>
        <v>QTR1</v>
      </c>
      <c r="F6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64" s="4">
        <f>IF(WEEKNUM(EarningsPerDay[[#This Row],[Date]], 2) = 53, 1, WEEKNUM(EarningsPerDay[[#This Row],[Date]],2))</f>
        <v>8</v>
      </c>
      <c r="H664" s="40" t="str">
        <f t="shared" si="85"/>
        <v>Thursday</v>
      </c>
      <c r="I66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64" s="40" t="str" cm="1">
        <f t="array" ref="J664">IFERROR(VLOOKUP(MODE(IF(Combined[Date]=EarningsPerDay[[#This Row],[Date]],Combined[Area '#])),KPIs!$B$4:$C$7,2,FALSE),VLOOKUP(EarningsPerDay[[#This Row],[Date]],Combined[[Date]:[Primary Area]],8,FALSE))</f>
        <v>Augusta</v>
      </c>
      <c r="K664" s="40" t="str">
        <f>_xlfn.XLOOKUP(EarningsPerDay[[#This Row],[Date]],Mileage[Date],Mileage[Weather])</f>
        <v>Partially Cloudy</v>
      </c>
      <c r="L664" s="4">
        <f>_xlfn.XLOOKUP(EarningsPerDay[[#This Row],[Date]],Mileage[Date],Mileage[Hi Temp])</f>
        <v>28</v>
      </c>
      <c r="M664" s="12">
        <f>_xlfn.XLOOKUP(EarningsPerDay[[#This Row],[Date]],Mileage[Date],Mileage[Total Time])</f>
        <v>4.92</v>
      </c>
      <c r="N664" s="4">
        <f>_xlfn.XLOOKUP(EarningsPerDay[[#This Row],[Date]],Mileage[Date],Mileage[Mileage])</f>
        <v>118</v>
      </c>
      <c r="O664" s="4">
        <f>SUMIF(Combined[Date],EarningsPerDay[[#This Row],[Date]],Combined[Trips])</f>
        <v>9</v>
      </c>
      <c r="P664">
        <f>COUNTIF(Combined[Date],EarningsPerDay[[#This Row],[Date]])</f>
        <v>3</v>
      </c>
      <c r="Q6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4" s="11">
        <f>SUMIF(Combined[Date],EarningsPerDay[[#This Row],[Date]],Combined[Earnings])</f>
        <v>99.14</v>
      </c>
      <c r="S664" s="11">
        <f ca="1">EarningsPerDay[[#This Row],[Gross Earnings]]-(EarningsPerDay[[#This Row],[Miles]]*CpM!$D$11)</f>
        <v>72.829175069862515</v>
      </c>
      <c r="T664" s="11">
        <f t="shared" si="78"/>
        <v>20.150406504065042</v>
      </c>
      <c r="U664" s="11">
        <f t="shared" ca="1" si="79"/>
        <v>14.802677859728155</v>
      </c>
      <c r="V664" s="11">
        <f>EarningsPerDay[[#This Row],[Gross Earnings]]/EarningsPerDay[[#This Row],[Deliveries]]</f>
        <v>11.015555555555556</v>
      </c>
      <c r="W664" s="11">
        <f>EarningsPerDay[[#This Row],[Gross Earnings]]/EarningsPerDay[[#This Row],[Miles]]</f>
        <v>0.84016949152542375</v>
      </c>
      <c r="X664" s="71">
        <f>EarningsPerDay[[#This Row],[Deliveries]]/EarningsPerDay[[#This Row],[Hours]]</f>
        <v>1.8292682926829269</v>
      </c>
      <c r="Y664" s="71">
        <f>EarningsPerDay[[#This Row],[Miles]]/EarningsPerDay[[#This Row],[Deliveries]]</f>
        <v>13.111111111111111</v>
      </c>
      <c r="Z664" s="81">
        <f>(EarningsPerDay[[#This Row],[Hours]]/EarningsPerDay[[#This Row],[Deliveries]])/24</f>
        <v>2.2777777777777775E-2</v>
      </c>
      <c r="AA6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2.7748732993389709</v>
      </c>
      <c r="AB664" s="11">
        <f>AVERAGEIFS(EarningsPerDay[Gross $/Hour],EarningsPerDay[Week '#], EarningsPerDay[[#This Row],[Week '#]], EarningsPerDay[DOW], EarningsPerDay[[#This Row],[DOW]])</f>
        <v>21.236984459688347</v>
      </c>
      <c r="AC664" s="11">
        <f>EarningsPerDay[[#This Row],[Gross $/Hour]] - EarningsPerDay[[#This Row],[Weekly Average Earnings]]</f>
        <v>-1.0865779556233051</v>
      </c>
      <c r="AD664" s="11">
        <f>(SUMIFS(EarningsPerDay[Gross Earnings], EarningsPerDay[Date],"&gt;="&amp;EarningsPerDay[[#This Row],[Date]]-89, EarningsPerDay[Date], "&lt;="&amp;EarningsPerDay[[#This Row],[Date]]))/90</f>
        <v>27.389222222222223</v>
      </c>
    </row>
    <row r="665" spans="2:30" x14ac:dyDescent="0.35">
      <c r="B665" s="40">
        <v>45709</v>
      </c>
      <c r="C665" s="40">
        <f t="shared" si="75"/>
        <v>45709</v>
      </c>
      <c r="D665" s="4">
        <f>IF(EarningsPerDay[[#This Row],[Week '#]]&gt;=52,YEAR(EarningsPerDay[[#This Row],[Date]])-1,YEAR(EarningsPerDay[[#This Row],[Date]]))</f>
        <v>2025</v>
      </c>
      <c r="E665" s="4" t="str">
        <f>"QTR"&amp;IF(EarningsPerDay[[#This Row],[Week '#]] &lt;= 13, 1, IF(EarningsPerDay[[#This Row],[Week '#]] &lt;= 26, 2, IF(EarningsPerDay[[#This Row],[Week '#]] &lt;= 39, 3, 4)))</f>
        <v>QTR1</v>
      </c>
      <c r="F6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65" s="4">
        <f>IF(WEEKNUM(EarningsPerDay[[#This Row],[Date]], 2) = 53, 1, WEEKNUM(EarningsPerDay[[#This Row],[Date]],2))</f>
        <v>8</v>
      </c>
      <c r="H665" s="40" t="str">
        <f t="shared" si="85"/>
        <v>Friday</v>
      </c>
      <c r="I66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65" s="40" t="str" cm="1">
        <f t="array" ref="J665">IFERROR(VLOOKUP(MODE(IF(Combined[Date]=EarningsPerDay[[#This Row],[Date]],Combined[Area '#])),KPIs!$B$4:$C$7,2,FALSE),VLOOKUP(EarningsPerDay[[#This Row],[Date]],Combined[[Date]:[Primary Area]],8,FALSE))</f>
        <v>Portland</v>
      </c>
      <c r="K665" s="40" t="str">
        <f>_xlfn.XLOOKUP(EarningsPerDay[[#This Row],[Date]],Mileage[Date],Mileage[Weather])</f>
        <v>Clear</v>
      </c>
      <c r="L665" s="4">
        <f>_xlfn.XLOOKUP(EarningsPerDay[[#This Row],[Date]],Mileage[Date],Mileage[Hi Temp])</f>
        <v>25</v>
      </c>
      <c r="M665" s="12">
        <f>_xlfn.XLOOKUP(EarningsPerDay[[#This Row],[Date]],Mileage[Date],Mileage[Total Time])</f>
        <v>8.6199999999999992</v>
      </c>
      <c r="N665" s="4">
        <f>_xlfn.XLOOKUP(EarningsPerDay[[#This Row],[Date]],Mileage[Date],Mileage[Mileage])</f>
        <v>159</v>
      </c>
      <c r="O665" s="4">
        <f>SUMIF(Combined[Date],EarningsPerDay[[#This Row],[Date]],Combined[Trips])</f>
        <v>20</v>
      </c>
      <c r="P665">
        <f>COUNTIF(Combined[Date],EarningsPerDay[[#This Row],[Date]])</f>
        <v>3</v>
      </c>
      <c r="Q6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5" s="11">
        <f>SUMIF(Combined[Date],EarningsPerDay[[#This Row],[Date]],Combined[Earnings])</f>
        <v>208.86</v>
      </c>
      <c r="S665" s="11">
        <f ca="1">EarningsPerDay[[#This Row],[Gross Earnings]]-(EarningsPerDay[[#This Row],[Miles]]*CpM!$D$11)</f>
        <v>173.40727827210287</v>
      </c>
      <c r="T665" s="11">
        <f t="shared" si="78"/>
        <v>24.229698375870072</v>
      </c>
      <c r="U665" s="11">
        <f t="shared" ca="1" si="79"/>
        <v>20.116853627854162</v>
      </c>
      <c r="V665" s="11">
        <f>EarningsPerDay[[#This Row],[Gross Earnings]]/EarningsPerDay[[#This Row],[Deliveries]]</f>
        <v>10.443000000000001</v>
      </c>
      <c r="W665" s="11">
        <f>EarningsPerDay[[#This Row],[Gross Earnings]]/EarningsPerDay[[#This Row],[Miles]]</f>
        <v>1.3135849056603774</v>
      </c>
      <c r="X665" s="71">
        <f>EarningsPerDay[[#This Row],[Deliveries]]/EarningsPerDay[[#This Row],[Hours]]</f>
        <v>2.3201856148491879</v>
      </c>
      <c r="Y665" s="71">
        <f>EarningsPerDay[[#This Row],[Miles]]/EarningsPerDay[[#This Row],[Deliveries]]</f>
        <v>7.95</v>
      </c>
      <c r="Z665" s="81">
        <f>(EarningsPerDay[[#This Row],[Hours]]/EarningsPerDay[[#This Row],[Deliveries]])/24</f>
        <v>1.795833333333333E-2</v>
      </c>
      <c r="AA6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-2.3598226774385722E-2</v>
      </c>
      <c r="AB665" s="11">
        <f>AVERAGEIFS(EarningsPerDay[Gross $/Hour],EarningsPerDay[Week '#], EarningsPerDay[[#This Row],[Week '#]], EarningsPerDay[DOW], EarningsPerDay[[#This Row],[DOW]])</f>
        <v>27.384712072751245</v>
      </c>
      <c r="AC665" s="11">
        <f>EarningsPerDay[[#This Row],[Gross $/Hour]] - EarningsPerDay[[#This Row],[Weekly Average Earnings]]</f>
        <v>-3.1550136968811735</v>
      </c>
      <c r="AD665" s="11">
        <f>(SUMIFS(EarningsPerDay[Gross Earnings], EarningsPerDay[Date],"&gt;="&amp;EarningsPerDay[[#This Row],[Date]]-89, EarningsPerDay[Date], "&lt;="&amp;EarningsPerDay[[#This Row],[Date]]))/90</f>
        <v>29.709888888888891</v>
      </c>
    </row>
    <row r="666" spans="2:30" x14ac:dyDescent="0.35">
      <c r="B666" s="40">
        <v>45710</v>
      </c>
      <c r="C666" s="40">
        <f t="shared" si="75"/>
        <v>45710</v>
      </c>
      <c r="D666" s="4">
        <f>IF(EarningsPerDay[[#This Row],[Week '#]]&gt;=52,YEAR(EarningsPerDay[[#This Row],[Date]])-1,YEAR(EarningsPerDay[[#This Row],[Date]]))</f>
        <v>2025</v>
      </c>
      <c r="E666" s="4" t="str">
        <f>"QTR"&amp;IF(EarningsPerDay[[#This Row],[Week '#]] &lt;= 13, 1, IF(EarningsPerDay[[#This Row],[Week '#]] &lt;= 26, 2, IF(EarningsPerDay[[#This Row],[Week '#]] &lt;= 39, 3, 4)))</f>
        <v>QTR1</v>
      </c>
      <c r="F6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666" s="4">
        <f>IF(WEEKNUM(EarningsPerDay[[#This Row],[Date]], 2) = 53, 1, WEEKNUM(EarningsPerDay[[#This Row],[Date]],2))</f>
        <v>8</v>
      </c>
      <c r="H666" s="40" t="str">
        <f t="shared" si="85"/>
        <v>Saturday</v>
      </c>
      <c r="I666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666" s="40" t="str" cm="1">
        <f t="array" ref="J666">IFERROR(VLOOKUP(MODE(IF(Combined[Date]=EarningsPerDay[[#This Row],[Date]],Combined[Area '#])),KPIs!$B$4:$C$7,2,FALSE),VLOOKUP(EarningsPerDay[[#This Row],[Date]],Combined[[Date]:[Primary Area]],8,FALSE))</f>
        <v>Brunswick/Bath/Freeport</v>
      </c>
      <c r="K666" s="40" t="str">
        <f>_xlfn.XLOOKUP(EarningsPerDay[[#This Row],[Date]],Mileage[Date],Mileage[Weather])</f>
        <v>Sunny</v>
      </c>
      <c r="L666" s="4">
        <f>_xlfn.XLOOKUP(EarningsPerDay[[#This Row],[Date]],Mileage[Date],Mileage[Hi Temp])</f>
        <v>32</v>
      </c>
      <c r="M666" s="12">
        <f>_xlfn.XLOOKUP(EarningsPerDay[[#This Row],[Date]],Mileage[Date],Mileage[Total Time])</f>
        <v>5.6</v>
      </c>
      <c r="N666" s="4">
        <f>_xlfn.XLOOKUP(EarningsPerDay[[#This Row],[Date]],Mileage[Date],Mileage[Mileage])</f>
        <v>66</v>
      </c>
      <c r="O666" s="4">
        <f>SUMIF(Combined[Date],EarningsPerDay[[#This Row],[Date]],Combined[Trips])</f>
        <v>11</v>
      </c>
      <c r="P666">
        <f>COUNTIF(Combined[Date],EarningsPerDay[[#This Row],[Date]])</f>
        <v>3</v>
      </c>
      <c r="Q6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6" s="11">
        <f>SUMIF(Combined[Date],EarningsPerDay[[#This Row],[Date]],Combined[Earnings])</f>
        <v>156.59</v>
      </c>
      <c r="S666" s="11">
        <f ca="1">EarningsPerDay[[#This Row],[Gross Earnings]]-(EarningsPerDay[[#This Row],[Miles]]*CpM!$D$11)</f>
        <v>141.87377588653328</v>
      </c>
      <c r="T666" s="11">
        <f t="shared" si="78"/>
        <v>27.962500000000002</v>
      </c>
      <c r="U666" s="11">
        <f t="shared" ca="1" si="79"/>
        <v>25.334602836880943</v>
      </c>
      <c r="V666" s="11">
        <f>EarningsPerDay[[#This Row],[Gross Earnings]]/EarningsPerDay[[#This Row],[Deliveries]]</f>
        <v>14.235454545454546</v>
      </c>
      <c r="W666" s="11">
        <f>EarningsPerDay[[#This Row],[Gross Earnings]]/EarningsPerDay[[#This Row],[Miles]]</f>
        <v>2.3725757575757576</v>
      </c>
      <c r="X666" s="71">
        <f>EarningsPerDay[[#This Row],[Deliveries]]/EarningsPerDay[[#This Row],[Hours]]</f>
        <v>1.9642857142857144</v>
      </c>
      <c r="Y666" s="71">
        <f>EarningsPerDay[[#This Row],[Miles]]/EarningsPerDay[[#This Row],[Deliveries]]</f>
        <v>6</v>
      </c>
      <c r="Z666" s="81">
        <f>(EarningsPerDay[[#This Row],[Hours]]/EarningsPerDay[[#This Row],[Deliveries]])/24</f>
        <v>2.121212121212121E-2</v>
      </c>
      <c r="AA6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2.405722483379261</v>
      </c>
      <c r="AB666" s="11">
        <f>AVERAGEIFS(EarningsPerDay[Gross $/Hour],EarningsPerDay[Week '#], EarningsPerDay[[#This Row],[Week '#]], EarningsPerDay[DOW], EarningsPerDay[[#This Row],[DOW]])</f>
        <v>29.384048741661168</v>
      </c>
      <c r="AC666" s="11">
        <f>EarningsPerDay[[#This Row],[Gross $/Hour]] - EarningsPerDay[[#This Row],[Weekly Average Earnings]]</f>
        <v>-1.4215487416611658</v>
      </c>
      <c r="AD666" s="11">
        <f>(SUMIFS(EarningsPerDay[Gross Earnings], EarningsPerDay[Date],"&gt;="&amp;EarningsPerDay[[#This Row],[Date]]-89, EarningsPerDay[Date], "&lt;="&amp;EarningsPerDay[[#This Row],[Date]]))/90</f>
        <v>31.449777777777783</v>
      </c>
    </row>
    <row r="667" spans="2:30" x14ac:dyDescent="0.35">
      <c r="B667" s="40">
        <v>45712</v>
      </c>
      <c r="C667" s="40">
        <f t="shared" si="75"/>
        <v>45712</v>
      </c>
      <c r="D667" s="4">
        <f>IF(EarningsPerDay[[#This Row],[Week '#]]&gt;=52,YEAR(EarningsPerDay[[#This Row],[Date]])-1,YEAR(EarningsPerDay[[#This Row],[Date]]))</f>
        <v>2025</v>
      </c>
      <c r="E667" s="4" t="str">
        <f>"QTR"&amp;IF(EarningsPerDay[[#This Row],[Week '#]] &lt;= 13, 1, IF(EarningsPerDay[[#This Row],[Week '#]] &lt;= 26, 2, IF(EarningsPerDay[[#This Row],[Week '#]] &lt;= 39, 3, 4)))</f>
        <v>QTR1</v>
      </c>
      <c r="F6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67" s="4">
        <f>IF(WEEKNUM(EarningsPerDay[[#This Row],[Date]], 2) = 53, 1, WEEKNUM(EarningsPerDay[[#This Row],[Date]],2))</f>
        <v>9</v>
      </c>
      <c r="H667" s="40" t="str">
        <f t="shared" ref="H667:H672" si="86">TEXT(B667,"DDDD")</f>
        <v>Monday</v>
      </c>
      <c r="I66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67" s="40" t="str" cm="1">
        <f t="array" ref="J667">IFERROR(VLOOKUP(MODE(IF(Combined[Date]=EarningsPerDay[[#This Row],[Date]],Combined[Area '#])),KPIs!$B$4:$C$7,2,FALSE),VLOOKUP(EarningsPerDay[[#This Row],[Date]],Combined[[Date]:[Primary Area]],8,FALSE))</f>
        <v>Brunswick/Bath/Freeport</v>
      </c>
      <c r="K667" s="40" t="str">
        <f>_xlfn.XLOOKUP(EarningsPerDay[[#This Row],[Date]],Mileage[Date],Mileage[Weather])</f>
        <v>Overcast</v>
      </c>
      <c r="L667" s="4">
        <f>_xlfn.XLOOKUP(EarningsPerDay[[#This Row],[Date]],Mileage[Date],Mileage[Hi Temp])</f>
        <v>37</v>
      </c>
      <c r="M667" s="12">
        <f>_xlfn.XLOOKUP(EarningsPerDay[[#This Row],[Date]],Mileage[Date],Mileage[Total Time])</f>
        <v>3.73</v>
      </c>
      <c r="N667" s="4">
        <f>_xlfn.XLOOKUP(EarningsPerDay[[#This Row],[Date]],Mileage[Date],Mileage[Mileage])</f>
        <v>66</v>
      </c>
      <c r="O667" s="4">
        <f>SUMIF(Combined[Date],EarningsPerDay[[#This Row],[Date]],Combined[Trips])</f>
        <v>8</v>
      </c>
      <c r="P667">
        <f>COUNTIF(Combined[Date],EarningsPerDay[[#This Row],[Date]])</f>
        <v>3</v>
      </c>
      <c r="Q6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7" s="11">
        <f>SUMIF(Combined[Date],EarningsPerDay[[#This Row],[Date]],Combined[Earnings])</f>
        <v>85.3</v>
      </c>
      <c r="S667" s="11">
        <f ca="1">EarningsPerDay[[#This Row],[Gross Earnings]]-(EarningsPerDay[[#This Row],[Miles]]*CpM!$D$11)</f>
        <v>70.58377588653326</v>
      </c>
      <c r="T667" s="11">
        <f t="shared" si="78"/>
        <v>22.868632707774797</v>
      </c>
      <c r="U667" s="11">
        <f t="shared" ca="1" si="79"/>
        <v>18.923264312743502</v>
      </c>
      <c r="V667" s="11">
        <f>EarningsPerDay[[#This Row],[Gross Earnings]]/EarningsPerDay[[#This Row],[Deliveries]]</f>
        <v>10.6625</v>
      </c>
      <c r="W667" s="11">
        <f>EarningsPerDay[[#This Row],[Gross Earnings]]/EarningsPerDay[[#This Row],[Miles]]</f>
        <v>1.2924242424242425</v>
      </c>
      <c r="X667" s="71">
        <f>EarningsPerDay[[#This Row],[Deliveries]]/EarningsPerDay[[#This Row],[Hours]]</f>
        <v>2.1447721179624666</v>
      </c>
      <c r="Y667" s="71">
        <f>EarningsPerDay[[#This Row],[Miles]]/EarningsPerDay[[#This Row],[Deliveries]]</f>
        <v>8.25</v>
      </c>
      <c r="Z667" s="81">
        <f>(EarningsPerDay[[#This Row],[Hours]]/EarningsPerDay[[#This Row],[Deliveries]])/24</f>
        <v>1.9427083333333334E-2</v>
      </c>
      <c r="AA6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-3.0545083711644736</v>
      </c>
      <c r="AB667" s="11">
        <f>AVERAGEIFS(EarningsPerDay[Gross $/Hour],EarningsPerDay[Week '#], EarningsPerDay[[#This Row],[Week '#]], EarningsPerDay[DOW], EarningsPerDay[[#This Row],[DOW]])</f>
        <v>22.868632707774797</v>
      </c>
      <c r="AC667" s="11">
        <f>EarningsPerDay[[#This Row],[Gross $/Hour]] - EarningsPerDay[[#This Row],[Weekly Average Earnings]]</f>
        <v>0</v>
      </c>
      <c r="AD667" s="11">
        <f>(SUMIFS(EarningsPerDay[Gross Earnings], EarningsPerDay[Date],"&gt;="&amp;EarningsPerDay[[#This Row],[Date]]-89, EarningsPerDay[Date], "&lt;="&amp;EarningsPerDay[[#This Row],[Date]]))/90</f>
        <v>31.682111111111116</v>
      </c>
    </row>
    <row r="668" spans="2:30" x14ac:dyDescent="0.35">
      <c r="B668" s="40">
        <v>45714</v>
      </c>
      <c r="C668" s="40">
        <f t="shared" si="75"/>
        <v>45714</v>
      </c>
      <c r="D668" s="4">
        <f>IF(EarningsPerDay[[#This Row],[Week '#]]&gt;=52,YEAR(EarningsPerDay[[#This Row],[Date]])-1,YEAR(EarningsPerDay[[#This Row],[Date]]))</f>
        <v>2025</v>
      </c>
      <c r="E668" s="4" t="str">
        <f>"QTR"&amp;IF(EarningsPerDay[[#This Row],[Week '#]] &lt;= 13, 1, IF(EarningsPerDay[[#This Row],[Week '#]] &lt;= 26, 2, IF(EarningsPerDay[[#This Row],[Week '#]] &lt;= 39, 3, 4)))</f>
        <v>QTR1</v>
      </c>
      <c r="F6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68" s="4">
        <f>IF(WEEKNUM(EarningsPerDay[[#This Row],[Date]], 2) = 53, 1, WEEKNUM(EarningsPerDay[[#This Row],[Date]],2))</f>
        <v>9</v>
      </c>
      <c r="H668" s="40" t="str">
        <f t="shared" si="86"/>
        <v>Wednesday</v>
      </c>
      <c r="I66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68" s="40" t="str" cm="1">
        <f t="array" ref="J668">IFERROR(VLOOKUP(MODE(IF(Combined[Date]=EarningsPerDay[[#This Row],[Date]],Combined[Area '#])),KPIs!$B$4:$C$7,2,FALSE),VLOOKUP(EarningsPerDay[[#This Row],[Date]],Combined[[Date]:[Primary Area]],8,FALSE))</f>
        <v>Augusta</v>
      </c>
      <c r="K668" s="40" t="str">
        <f>_xlfn.XLOOKUP(EarningsPerDay[[#This Row],[Date]],Mileage[Date],Mileage[Weather])</f>
        <v>Clear</v>
      </c>
      <c r="L668" s="4">
        <f>_xlfn.XLOOKUP(EarningsPerDay[[#This Row],[Date]],Mileage[Date],Mileage[Hi Temp])</f>
        <v>36</v>
      </c>
      <c r="M668" s="12">
        <f>_xlfn.XLOOKUP(EarningsPerDay[[#This Row],[Date]],Mileage[Date],Mileage[Total Time])</f>
        <v>5.25</v>
      </c>
      <c r="N668" s="4">
        <f>_xlfn.XLOOKUP(EarningsPerDay[[#This Row],[Date]],Mileage[Date],Mileage[Mileage])</f>
        <v>137</v>
      </c>
      <c r="O668" s="4">
        <f>SUMIF(Combined[Date],EarningsPerDay[[#This Row],[Date]],Combined[Trips])</f>
        <v>8</v>
      </c>
      <c r="P668">
        <f>COUNTIF(Combined[Date],EarningsPerDay[[#This Row],[Date]])</f>
        <v>3</v>
      </c>
      <c r="Q6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8" s="11">
        <f>SUMIF(Combined[Date],EarningsPerDay[[#This Row],[Date]],Combined[Earnings])</f>
        <v>129.32</v>
      </c>
      <c r="S668" s="11">
        <f ca="1">EarningsPerDay[[#This Row],[Gross Earnings]]-(EarningsPerDay[[#This Row],[Miles]]*CpM!$D$11)</f>
        <v>98.772686309925106</v>
      </c>
      <c r="T668" s="11">
        <f t="shared" si="78"/>
        <v>24.632380952380952</v>
      </c>
      <c r="U668" s="11">
        <f t="shared" ca="1" si="79"/>
        <v>18.813845011414305</v>
      </c>
      <c r="V668" s="11">
        <f>EarningsPerDay[[#This Row],[Gross Earnings]]/EarningsPerDay[[#This Row],[Deliveries]]</f>
        <v>16.164999999999999</v>
      </c>
      <c r="W668" s="11">
        <f>EarningsPerDay[[#This Row],[Gross Earnings]]/EarningsPerDay[[#This Row],[Miles]]</f>
        <v>0.943941605839416</v>
      </c>
      <c r="X668" s="71">
        <f>EarningsPerDay[[#This Row],[Deliveries]]/EarningsPerDay[[#This Row],[Hours]]</f>
        <v>1.5238095238095237</v>
      </c>
      <c r="Y668" s="71">
        <f>EarningsPerDay[[#This Row],[Miles]]/EarningsPerDay[[#This Row],[Deliveries]]</f>
        <v>17.125</v>
      </c>
      <c r="Z668" s="81">
        <f>(EarningsPerDay[[#This Row],[Hours]]/EarningsPerDay[[#This Row],[Deliveries]])/24</f>
        <v>2.734375E-2</v>
      </c>
      <c r="AA6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8.3673101731113881</v>
      </c>
      <c r="AB668" s="11">
        <f>AVERAGEIFS(EarningsPerDay[Gross $/Hour],EarningsPerDay[Week '#], EarningsPerDay[[#This Row],[Week '#]], EarningsPerDay[DOW], EarningsPerDay[[#This Row],[DOW]])</f>
        <v>24.066190476190474</v>
      </c>
      <c r="AC668" s="11">
        <f>EarningsPerDay[[#This Row],[Gross $/Hour]] - EarningsPerDay[[#This Row],[Weekly Average Earnings]]</f>
        <v>0.56619047619047791</v>
      </c>
      <c r="AD668" s="11">
        <f>(SUMIFS(EarningsPerDay[Gross Earnings], EarningsPerDay[Date],"&gt;="&amp;EarningsPerDay[[#This Row],[Date]]-89, EarningsPerDay[Date], "&lt;="&amp;EarningsPerDay[[#This Row],[Date]]))/90</f>
        <v>32.376000000000005</v>
      </c>
    </row>
    <row r="669" spans="2:30" x14ac:dyDescent="0.35">
      <c r="B669" s="40">
        <v>45717</v>
      </c>
      <c r="C669" s="40">
        <f t="shared" si="75"/>
        <v>45717</v>
      </c>
      <c r="D669" s="4">
        <f>IF(EarningsPerDay[[#This Row],[Week '#]]&gt;=52,YEAR(EarningsPerDay[[#This Row],[Date]])-1,YEAR(EarningsPerDay[[#This Row],[Date]]))</f>
        <v>2025</v>
      </c>
      <c r="E669" s="4" t="str">
        <f>"QTR"&amp;IF(EarningsPerDay[[#This Row],[Week '#]] &lt;= 13, 1, IF(EarningsPerDay[[#This Row],[Week '#]] &lt;= 26, 2, IF(EarningsPerDay[[#This Row],[Week '#]] &lt;= 39, 3, 4)))</f>
        <v>QTR1</v>
      </c>
      <c r="F6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669" s="4">
        <f>IF(WEEKNUM(EarningsPerDay[[#This Row],[Date]], 2) = 53, 1, WEEKNUM(EarningsPerDay[[#This Row],[Date]],2))</f>
        <v>9</v>
      </c>
      <c r="H669" s="40" t="str">
        <f t="shared" si="86"/>
        <v>Saturday</v>
      </c>
      <c r="I669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669" s="40" t="str" cm="1">
        <f t="array" ref="J669">IFERROR(VLOOKUP(MODE(IF(Combined[Date]=EarningsPerDay[[#This Row],[Date]],Combined[Area '#])),KPIs!$B$4:$C$7,2,FALSE),VLOOKUP(EarningsPerDay[[#This Row],[Date]],Combined[[Date]:[Primary Area]],8,FALSE))</f>
        <v>Brunswick/Bath/Freeport</v>
      </c>
      <c r="K669" s="40" t="str">
        <f>_xlfn.XLOOKUP(EarningsPerDay[[#This Row],[Date]],Mileage[Date],Mileage[Weather])</f>
        <v>Light Snow</v>
      </c>
      <c r="L669" s="4">
        <f>_xlfn.XLOOKUP(EarningsPerDay[[#This Row],[Date]],Mileage[Date],Mileage[Hi Temp])</f>
        <v>18</v>
      </c>
      <c r="M669" s="12">
        <f>_xlfn.XLOOKUP(EarningsPerDay[[#This Row],[Date]],Mileage[Date],Mileage[Total Time])</f>
        <v>5.3</v>
      </c>
      <c r="N669" s="4">
        <f>_xlfn.XLOOKUP(EarningsPerDay[[#This Row],[Date]],Mileage[Date],Mileage[Mileage])</f>
        <v>108</v>
      </c>
      <c r="O669" s="4">
        <f>SUMIF(Combined[Date],EarningsPerDay[[#This Row],[Date]],Combined[Trips])</f>
        <v>12</v>
      </c>
      <c r="P669">
        <f>COUNTIF(Combined[Date],EarningsPerDay[[#This Row],[Date]])</f>
        <v>3</v>
      </c>
      <c r="Q6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69" s="11">
        <f>SUMIF(Combined[Date],EarningsPerDay[[#This Row],[Date]],Combined[Earnings])</f>
        <v>143.5</v>
      </c>
      <c r="S669" s="11">
        <f ca="1">EarningsPerDay[[#This Row],[Gross Earnings]]-(EarningsPerDay[[#This Row],[Miles]]*CpM!$D$11)</f>
        <v>119.41890599614536</v>
      </c>
      <c r="T669" s="11">
        <f t="shared" si="78"/>
        <v>27.075471698113208</v>
      </c>
      <c r="U669" s="11">
        <f t="shared" ca="1" si="79"/>
        <v>22.531869055876484</v>
      </c>
      <c r="V669" s="11">
        <f>EarningsPerDay[[#This Row],[Gross Earnings]]/EarningsPerDay[[#This Row],[Deliveries]]</f>
        <v>11.958333333333334</v>
      </c>
      <c r="W669" s="11">
        <f>EarningsPerDay[[#This Row],[Gross Earnings]]/EarningsPerDay[[#This Row],[Miles]]</f>
        <v>1.3287037037037037</v>
      </c>
      <c r="X669" s="71">
        <f>EarningsPerDay[[#This Row],[Deliveries]]/EarningsPerDay[[#This Row],[Hours]]</f>
        <v>2.2641509433962264</v>
      </c>
      <c r="Y669" s="71">
        <f>EarningsPerDay[[#This Row],[Miles]]/EarningsPerDay[[#This Row],[Deliveries]]</f>
        <v>9</v>
      </c>
      <c r="Z669" s="81">
        <f>(EarningsPerDay[[#This Row],[Hours]]/EarningsPerDay[[#This Row],[Deliveries]])/24</f>
        <v>1.8402777777777778E-2</v>
      </c>
      <c r="AA6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1.4184557446849979</v>
      </c>
      <c r="AB669" s="11">
        <f>AVERAGEIFS(EarningsPerDay[Gross $/Hour],EarningsPerDay[Week '#], EarningsPerDay[[#This Row],[Week '#]], EarningsPerDay[DOW], EarningsPerDay[[#This Row],[DOW]])</f>
        <v>23.647241099883558</v>
      </c>
      <c r="AC669" s="11">
        <f>EarningsPerDay[[#This Row],[Gross $/Hour]] - EarningsPerDay[[#This Row],[Weekly Average Earnings]]</f>
        <v>3.4282305982296499</v>
      </c>
      <c r="AD669" s="11">
        <f>(SUMIFS(EarningsPerDay[Gross Earnings], EarningsPerDay[Date],"&gt;="&amp;EarningsPerDay[[#This Row],[Date]]-89, EarningsPerDay[Date], "&lt;="&amp;EarningsPerDay[[#This Row],[Date]]))/90</f>
        <v>32.300555555555562</v>
      </c>
    </row>
    <row r="670" spans="2:30" x14ac:dyDescent="0.35">
      <c r="B670" s="40">
        <v>45719</v>
      </c>
      <c r="C670" s="40">
        <f t="shared" si="75"/>
        <v>45719</v>
      </c>
      <c r="D670" s="4">
        <f>IF(EarningsPerDay[[#This Row],[Week '#]]&gt;=52,YEAR(EarningsPerDay[[#This Row],[Date]])-1,YEAR(EarningsPerDay[[#This Row],[Date]]))</f>
        <v>2025</v>
      </c>
      <c r="E670" s="4" t="str">
        <f>"QTR"&amp;IF(EarningsPerDay[[#This Row],[Week '#]] &lt;= 13, 1, IF(EarningsPerDay[[#This Row],[Week '#]] &lt;= 26, 2, IF(EarningsPerDay[[#This Row],[Week '#]] &lt;= 39, 3, 4)))</f>
        <v>QTR1</v>
      </c>
      <c r="F6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70" s="4">
        <f>IF(WEEKNUM(EarningsPerDay[[#This Row],[Date]], 2) = 53, 1, WEEKNUM(EarningsPerDay[[#This Row],[Date]],2))</f>
        <v>10</v>
      </c>
      <c r="H670" s="40" t="str">
        <f t="shared" si="86"/>
        <v>Monday</v>
      </c>
      <c r="I67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70" s="40" t="str" cm="1">
        <f t="array" ref="J670">IFERROR(VLOOKUP(MODE(IF(Combined[Date]=EarningsPerDay[[#This Row],[Date]],Combined[Area '#])),KPIs!$B$4:$C$7,2,FALSE),VLOOKUP(EarningsPerDay[[#This Row],[Date]],Combined[[Date]:[Primary Area]],8,FALSE))</f>
        <v>Brunswick/Bath/Freeport</v>
      </c>
      <c r="K670" s="40" t="str">
        <f>_xlfn.XLOOKUP(EarningsPerDay[[#This Row],[Date]],Mileage[Date],Mileage[Weather])</f>
        <v>Clear</v>
      </c>
      <c r="L670" s="4">
        <f>_xlfn.XLOOKUP(EarningsPerDay[[#This Row],[Date]],Mileage[Date],Mileage[Hi Temp])</f>
        <v>21</v>
      </c>
      <c r="M670" s="12">
        <f>_xlfn.XLOOKUP(EarningsPerDay[[#This Row],[Date]],Mileage[Date],Mileage[Total Time])</f>
        <v>5.23</v>
      </c>
      <c r="N670" s="4">
        <f>_xlfn.XLOOKUP(EarningsPerDay[[#This Row],[Date]],Mileage[Date],Mileage[Mileage])</f>
        <v>125</v>
      </c>
      <c r="O670" s="4">
        <f>SUMIF(Combined[Date],EarningsPerDay[[#This Row],[Date]],Combined[Trips])</f>
        <v>13</v>
      </c>
      <c r="P670">
        <f>COUNTIF(Combined[Date],EarningsPerDay[[#This Row],[Date]])</f>
        <v>4</v>
      </c>
      <c r="Q6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0" s="11">
        <f>SUMIF(Combined[Date],EarningsPerDay[[#This Row],[Date]],Combined[Earnings])</f>
        <v>143.87</v>
      </c>
      <c r="S670" s="11">
        <f ca="1">EarningsPerDay[[#This Row],[Gross Earnings]]-(EarningsPerDay[[#This Row],[Miles]]*CpM!$D$11)</f>
        <v>115.99836342146452</v>
      </c>
      <c r="T670" s="11">
        <f t="shared" si="78"/>
        <v>27.508604206500955</v>
      </c>
      <c r="U670" s="11">
        <f t="shared" ca="1" si="79"/>
        <v>22.179419392249429</v>
      </c>
      <c r="V670" s="11">
        <f>EarningsPerDay[[#This Row],[Gross Earnings]]/EarningsPerDay[[#This Row],[Deliveries]]</f>
        <v>11.066923076923077</v>
      </c>
      <c r="W670" s="11">
        <f>EarningsPerDay[[#This Row],[Gross Earnings]]/EarningsPerDay[[#This Row],[Miles]]</f>
        <v>1.15096</v>
      </c>
      <c r="X670" s="71">
        <f>EarningsPerDay[[#This Row],[Deliveries]]/EarningsPerDay[[#This Row],[Hours]]</f>
        <v>2.4856596558317396</v>
      </c>
      <c r="Y670" s="71">
        <f>EarningsPerDay[[#This Row],[Miles]]/EarningsPerDay[[#This Row],[Deliveries]]</f>
        <v>9.615384615384615</v>
      </c>
      <c r="Z670" s="81">
        <f>(EarningsPerDay[[#This Row],[Hours]]/EarningsPerDay[[#This Row],[Deliveries]])/24</f>
        <v>1.6762820512820516E-2</v>
      </c>
      <c r="AA6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1.7651400905713608</v>
      </c>
      <c r="AB670" s="11">
        <f>AVERAGEIFS(EarningsPerDay[Gross $/Hour],EarningsPerDay[Week '#], EarningsPerDay[[#This Row],[Week '#]], EarningsPerDay[DOW], EarningsPerDay[[#This Row],[DOW]])</f>
        <v>24.199959675578484</v>
      </c>
      <c r="AC670" s="11">
        <f>EarningsPerDay[[#This Row],[Gross $/Hour]] - EarningsPerDay[[#This Row],[Weekly Average Earnings]]</f>
        <v>3.3086445309224715</v>
      </c>
      <c r="AD670" s="11">
        <f>(SUMIFS(EarningsPerDay[Gross Earnings], EarningsPerDay[Date],"&gt;="&amp;EarningsPerDay[[#This Row],[Date]]-89, EarningsPerDay[Date], "&lt;="&amp;EarningsPerDay[[#This Row],[Date]]))/90</f>
        <v>32.870444444444445</v>
      </c>
    </row>
    <row r="671" spans="2:30" x14ac:dyDescent="0.35">
      <c r="B671" s="40">
        <v>45720</v>
      </c>
      <c r="C671" s="40">
        <f t="shared" si="75"/>
        <v>45720</v>
      </c>
      <c r="D671" s="4">
        <f>IF(EarningsPerDay[[#This Row],[Week '#]]&gt;=52,YEAR(EarningsPerDay[[#This Row],[Date]])-1,YEAR(EarningsPerDay[[#This Row],[Date]]))</f>
        <v>2025</v>
      </c>
      <c r="E671" s="4" t="str">
        <f>"QTR"&amp;IF(EarningsPerDay[[#This Row],[Week '#]] &lt;= 13, 1, IF(EarningsPerDay[[#This Row],[Week '#]] &lt;= 26, 2, IF(EarningsPerDay[[#This Row],[Week '#]] &lt;= 39, 3, 4)))</f>
        <v>QTR1</v>
      </c>
      <c r="F6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71" s="4">
        <f>IF(WEEKNUM(EarningsPerDay[[#This Row],[Date]], 2) = 53, 1, WEEKNUM(EarningsPerDay[[#This Row],[Date]],2))</f>
        <v>10</v>
      </c>
      <c r="H671" s="40" t="str">
        <f t="shared" si="86"/>
        <v>Tuesday</v>
      </c>
      <c r="I67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71" s="40" t="str" cm="1">
        <f t="array" ref="J671">IFERROR(VLOOKUP(MODE(IF(Combined[Date]=EarningsPerDay[[#This Row],[Date]],Combined[Area '#])),KPIs!$B$4:$C$7,2,FALSE),VLOOKUP(EarningsPerDay[[#This Row],[Date]],Combined[[Date]:[Primary Area]],8,FALSE))</f>
        <v>Brunswick/Bath/Freeport</v>
      </c>
      <c r="K671" s="40" t="str">
        <f>_xlfn.XLOOKUP(EarningsPerDay[[#This Row],[Date]],Mileage[Date],Mileage[Weather])</f>
        <v>Overcast</v>
      </c>
      <c r="L671" s="4">
        <f>_xlfn.XLOOKUP(EarningsPerDay[[#This Row],[Date]],Mileage[Date],Mileage[Hi Temp])</f>
        <v>37</v>
      </c>
      <c r="M671" s="12">
        <f>_xlfn.XLOOKUP(EarningsPerDay[[#This Row],[Date]],Mileage[Date],Mileage[Total Time])</f>
        <v>4.5199999999999996</v>
      </c>
      <c r="N671" s="4">
        <f>_xlfn.XLOOKUP(EarningsPerDay[[#This Row],[Date]],Mileage[Date],Mileage[Mileage])</f>
        <v>95</v>
      </c>
      <c r="O671" s="4">
        <f>SUMIF(Combined[Date],EarningsPerDay[[#This Row],[Date]],Combined[Trips])</f>
        <v>8</v>
      </c>
      <c r="P671">
        <f>COUNTIF(Combined[Date],EarningsPerDay[[#This Row],[Date]])</f>
        <v>1</v>
      </c>
      <c r="Q6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1" s="11">
        <f>SUMIF(Combined[Date],EarningsPerDay[[#This Row],[Date]],Combined[Earnings])</f>
        <v>89.25</v>
      </c>
      <c r="S671" s="11">
        <f ca="1">EarningsPerDay[[#This Row],[Gross Earnings]]-(EarningsPerDay[[#This Row],[Miles]]*CpM!$D$11)</f>
        <v>68.067556200313035</v>
      </c>
      <c r="T671" s="11">
        <f t="shared" si="78"/>
        <v>19.745575221238941</v>
      </c>
      <c r="U671" s="11">
        <f t="shared" ca="1" si="79"/>
        <v>15.059193849626778</v>
      </c>
      <c r="V671" s="11">
        <f>EarningsPerDay[[#This Row],[Gross Earnings]]/EarningsPerDay[[#This Row],[Deliveries]]</f>
        <v>11.15625</v>
      </c>
      <c r="W671" s="11">
        <f>EarningsPerDay[[#This Row],[Gross Earnings]]/EarningsPerDay[[#This Row],[Miles]]</f>
        <v>0.93947368421052635</v>
      </c>
      <c r="X671" s="71">
        <f>EarningsPerDay[[#This Row],[Deliveries]]/EarningsPerDay[[#This Row],[Hours]]</f>
        <v>1.7699115044247788</v>
      </c>
      <c r="Y671" s="71">
        <f>EarningsPerDay[[#This Row],[Miles]]/EarningsPerDay[[#This Row],[Deliveries]]</f>
        <v>11.875</v>
      </c>
      <c r="Z671" s="81">
        <f>(EarningsPerDay[[#This Row],[Hours]]/EarningsPerDay[[#This Row],[Deliveries]])/24</f>
        <v>2.3541666666666666E-2</v>
      </c>
      <c r="AA6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-7.6358997605760059</v>
      </c>
      <c r="AB671" s="11">
        <f>AVERAGEIFS(EarningsPerDay[Gross $/Hour],EarningsPerDay[Week '#], EarningsPerDay[[#This Row],[Week '#]], EarningsPerDay[DOW], EarningsPerDay[[#This Row],[DOW]])</f>
        <v>20.790663442097699</v>
      </c>
      <c r="AC671" s="11">
        <f>EarningsPerDay[[#This Row],[Gross $/Hour]] - EarningsPerDay[[#This Row],[Weekly Average Earnings]]</f>
        <v>-1.0450882208587586</v>
      </c>
      <c r="AD671" s="11">
        <f>(SUMIFS(EarningsPerDay[Gross Earnings], EarningsPerDay[Date],"&gt;="&amp;EarningsPerDay[[#This Row],[Date]]-89, EarningsPerDay[Date], "&lt;="&amp;EarningsPerDay[[#This Row],[Date]]))/90</f>
        <v>32.83144444444445</v>
      </c>
    </row>
    <row r="672" spans="2:30" x14ac:dyDescent="0.35">
      <c r="B672" s="40">
        <v>45724</v>
      </c>
      <c r="C672" s="40">
        <f t="shared" si="75"/>
        <v>45724</v>
      </c>
      <c r="D672" s="4">
        <f>IF(EarningsPerDay[[#This Row],[Week '#]]&gt;=52,YEAR(EarningsPerDay[[#This Row],[Date]])-1,YEAR(EarningsPerDay[[#This Row],[Date]]))</f>
        <v>2025</v>
      </c>
      <c r="E672" s="4" t="str">
        <f>"QTR"&amp;IF(EarningsPerDay[[#This Row],[Week '#]] &lt;= 13, 1, IF(EarningsPerDay[[#This Row],[Week '#]] &lt;= 26, 2, IF(EarningsPerDay[[#This Row],[Week '#]] &lt;= 39, 3, 4)))</f>
        <v>QTR1</v>
      </c>
      <c r="F6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72" s="4">
        <f>IF(WEEKNUM(EarningsPerDay[[#This Row],[Date]], 2) = 53, 1, WEEKNUM(EarningsPerDay[[#This Row],[Date]],2))</f>
        <v>10</v>
      </c>
      <c r="H672" s="40" t="str">
        <f t="shared" si="86"/>
        <v>Saturday</v>
      </c>
      <c r="I672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672" s="40" t="str" cm="1">
        <f t="array" ref="J672">IFERROR(VLOOKUP(MODE(IF(Combined[Date]=EarningsPerDay[[#This Row],[Date]],Combined[Area '#])),KPIs!$B$4:$C$7,2,FALSE),VLOOKUP(EarningsPerDay[[#This Row],[Date]],Combined[[Date]:[Primary Area]],8,FALSE))</f>
        <v>Brunswick/Bath/Freeport</v>
      </c>
      <c r="K672" s="40" t="str">
        <f>_xlfn.XLOOKUP(EarningsPerDay[[#This Row],[Date]],Mileage[Date],Mileage[Weather])</f>
        <v>Overcast</v>
      </c>
      <c r="L672" s="4">
        <f>_xlfn.XLOOKUP(EarningsPerDay[[#This Row],[Date]],Mileage[Date],Mileage[Hi Temp])</f>
        <v>28</v>
      </c>
      <c r="M672" s="12">
        <f>_xlfn.XLOOKUP(EarningsPerDay[[#This Row],[Date]],Mileage[Date],Mileage[Total Time])</f>
        <v>6.85</v>
      </c>
      <c r="N672" s="4">
        <f>_xlfn.XLOOKUP(EarningsPerDay[[#This Row],[Date]],Mileage[Date],Mileage[Mileage])</f>
        <v>134</v>
      </c>
      <c r="O672" s="4">
        <f>SUMIF(Combined[Date],EarningsPerDay[[#This Row],[Date]],Combined[Trips])</f>
        <v>13</v>
      </c>
      <c r="P672">
        <f>COUNTIF(Combined[Date],EarningsPerDay[[#This Row],[Date]])</f>
        <v>2</v>
      </c>
      <c r="Q6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2" s="11">
        <f>SUMIF(Combined[Date],EarningsPerDay[[#This Row],[Date]],Combined[Earnings])</f>
        <v>147.78</v>
      </c>
      <c r="S672" s="11">
        <f ca="1">EarningsPerDay[[#This Row],[Gross Earnings]]-(EarningsPerDay[[#This Row],[Miles]]*CpM!$D$11)</f>
        <v>117.90160558780997</v>
      </c>
      <c r="T672" s="11">
        <f t="shared" si="78"/>
        <v>21.573722627737226</v>
      </c>
      <c r="U672" s="11">
        <f t="shared" ca="1" si="79"/>
        <v>17.211913224497806</v>
      </c>
      <c r="V672" s="11">
        <f>EarningsPerDay[[#This Row],[Gross Earnings]]/EarningsPerDay[[#This Row],[Deliveries]]</f>
        <v>11.367692307692307</v>
      </c>
      <c r="W672" s="11">
        <f>EarningsPerDay[[#This Row],[Gross Earnings]]/EarningsPerDay[[#This Row],[Miles]]</f>
        <v>1.1028358208955225</v>
      </c>
      <c r="X672" s="71">
        <f>EarningsPerDay[[#This Row],[Deliveries]]/EarningsPerDay[[#This Row],[Hours]]</f>
        <v>1.8978102189781023</v>
      </c>
      <c r="Y672" s="71">
        <f>EarningsPerDay[[#This Row],[Miles]]/EarningsPerDay[[#This Row],[Deliveries]]</f>
        <v>10.307692307692308</v>
      </c>
      <c r="Z672" s="81">
        <f>(EarningsPerDay[[#This Row],[Hours]]/EarningsPerDay[[#This Row],[Deliveries]])/24</f>
        <v>2.1955128205128207E-2</v>
      </c>
      <c r="AA6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-4.1400315554783838</v>
      </c>
      <c r="AB672" s="11">
        <f>AVERAGEIFS(EarningsPerDay[Gross $/Hour],EarningsPerDay[Week '#], EarningsPerDay[[#This Row],[Week '#]], EarningsPerDay[DOW], EarningsPerDay[[#This Row],[DOW]])</f>
        <v>30.543878208019763</v>
      </c>
      <c r="AC672" s="11">
        <f>EarningsPerDay[[#This Row],[Gross $/Hour]] - EarningsPerDay[[#This Row],[Weekly Average Earnings]]</f>
        <v>-8.9701555802825368</v>
      </c>
      <c r="AD672" s="11">
        <f>(SUMIFS(EarningsPerDay[Gross Earnings], EarningsPerDay[Date],"&gt;="&amp;EarningsPerDay[[#This Row],[Date]]-89, EarningsPerDay[Date], "&lt;="&amp;EarningsPerDay[[#This Row],[Date]]))/90</f>
        <v>33.979000000000006</v>
      </c>
    </row>
    <row r="673" spans="2:30" x14ac:dyDescent="0.35">
      <c r="B673" s="40">
        <v>45725</v>
      </c>
      <c r="C673" s="40">
        <f t="shared" si="75"/>
        <v>45725</v>
      </c>
      <c r="D673" s="4">
        <f>IF(EarningsPerDay[[#This Row],[Week '#]]&gt;=52,YEAR(EarningsPerDay[[#This Row],[Date]])-1,YEAR(EarningsPerDay[[#This Row],[Date]]))</f>
        <v>2025</v>
      </c>
      <c r="E673" s="4" t="str">
        <f>"QTR"&amp;IF(EarningsPerDay[[#This Row],[Week '#]] &lt;= 13, 1, IF(EarningsPerDay[[#This Row],[Week '#]] &lt;= 26, 2, IF(EarningsPerDay[[#This Row],[Week '#]] &lt;= 39, 3, 4)))</f>
        <v>QTR1</v>
      </c>
      <c r="F6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673" s="4">
        <f>IF(WEEKNUM(EarningsPerDay[[#This Row],[Date]], 2) = 53, 1, WEEKNUM(EarningsPerDay[[#This Row],[Date]],2))</f>
        <v>10</v>
      </c>
      <c r="H673" s="40" t="str">
        <f t="shared" ref="H673:H674" si="87">TEXT(B673,"DDDD")</f>
        <v>Sunday</v>
      </c>
      <c r="I673" s="106">
        <f>IF(_xlfn.XLOOKUP(EarningsPerDay[[#This Row],[Date]],Mileage[Date],Mileage[Start Time])="","",MROUND(_xlfn.XLOOKUP(EarningsPerDay[[#This Row],[Date]],Mileage[Date],Mileage[Start Time]),0.0208333333333333))</f>
        <v>0.41666666666666602</v>
      </c>
      <c r="J673" s="40" t="str" cm="1">
        <f t="array" ref="J673">IFERROR(VLOOKUP(MODE(IF(Combined[Date]=EarningsPerDay[[#This Row],[Date]],Combined[Area '#])),KPIs!$B$4:$C$7,2,FALSE),VLOOKUP(EarningsPerDay[[#This Row],[Date]],Combined[[Date]:[Primary Area]],8,FALSE))</f>
        <v>Brunswick/Bath/Freeport</v>
      </c>
      <c r="K673" s="40" t="str">
        <f>_xlfn.XLOOKUP(EarningsPerDay[[#This Row],[Date]],Mileage[Date],Mileage[Weather])</f>
        <v>Overcast</v>
      </c>
      <c r="L673" s="4">
        <f>_xlfn.XLOOKUP(EarningsPerDay[[#This Row],[Date]],Mileage[Date],Mileage[Hi Temp])</f>
        <v>37</v>
      </c>
      <c r="M673" s="12">
        <f>_xlfn.XLOOKUP(EarningsPerDay[[#This Row],[Date]],Mileage[Date],Mileage[Total Time])</f>
        <v>1.03</v>
      </c>
      <c r="N673" s="4">
        <f>_xlfn.XLOOKUP(EarningsPerDay[[#This Row],[Date]],Mileage[Date],Mileage[Mileage])</f>
        <v>29</v>
      </c>
      <c r="O673" s="4">
        <f>SUMIF(Combined[Date],EarningsPerDay[[#This Row],[Date]],Combined[Trips])</f>
        <v>2</v>
      </c>
      <c r="P673">
        <f>COUNTIF(Combined[Date],EarningsPerDay[[#This Row],[Date]])</f>
        <v>2</v>
      </c>
      <c r="Q6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3" s="11">
        <f>SUMIF(Combined[Date],EarningsPerDay[[#This Row],[Date]],Combined[Earnings])</f>
        <v>13.66</v>
      </c>
      <c r="S673" s="11">
        <f ca="1">EarningsPerDay[[#This Row],[Gross Earnings]]-(EarningsPerDay[[#This Row],[Miles]]*CpM!$D$11)</f>
        <v>7.1937803137797696</v>
      </c>
      <c r="T673" s="11">
        <f t="shared" si="78"/>
        <v>13.262135922330097</v>
      </c>
      <c r="U673" s="11">
        <f t="shared" ca="1" si="79"/>
        <v>6.9842527318250189</v>
      </c>
      <c r="V673" s="11">
        <f>EarningsPerDay[[#This Row],[Gross Earnings]]/EarningsPerDay[[#This Row],[Deliveries]]</f>
        <v>6.83</v>
      </c>
      <c r="W673" s="11">
        <f>EarningsPerDay[[#This Row],[Gross Earnings]]/EarningsPerDay[[#This Row],[Miles]]</f>
        <v>0.4710344827586207</v>
      </c>
      <c r="X673" s="71">
        <f>EarningsPerDay[[#This Row],[Deliveries]]/EarningsPerDay[[#This Row],[Hours]]</f>
        <v>1.941747572815534</v>
      </c>
      <c r="Y673" s="71">
        <f>EarningsPerDay[[#This Row],[Miles]]/EarningsPerDay[[#This Row],[Deliveries]]</f>
        <v>14.5</v>
      </c>
      <c r="Z673" s="81">
        <f>(EarningsPerDay[[#This Row],[Hours]]/EarningsPerDay[[#This Row],[Deliveries]])/24</f>
        <v>2.1458333333333333E-2</v>
      </c>
      <c r="AA6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-11.970707958656581</v>
      </c>
      <c r="AB673" s="11">
        <f>AVERAGEIFS(EarningsPerDay[Gross $/Hour],EarningsPerDay[Week '#], EarningsPerDay[[#This Row],[Week '#]], EarningsPerDay[DOW], EarningsPerDay[[#This Row],[DOW]])</f>
        <v>13.262135922330097</v>
      </c>
      <c r="AC673" s="11">
        <f>EarningsPerDay[[#This Row],[Gross $/Hour]] - EarningsPerDay[[#This Row],[Weekly Average Earnings]]</f>
        <v>0</v>
      </c>
      <c r="AD673" s="11">
        <f>(SUMIFS(EarningsPerDay[Gross Earnings], EarningsPerDay[Date],"&gt;="&amp;EarningsPerDay[[#This Row],[Date]]-89, EarningsPerDay[Date], "&lt;="&amp;EarningsPerDay[[#This Row],[Date]]))/90</f>
        <v>33.476555555555557</v>
      </c>
    </row>
    <row r="674" spans="2:30" x14ac:dyDescent="0.35">
      <c r="B674" s="40">
        <v>45726</v>
      </c>
      <c r="C674" s="40">
        <f t="shared" si="75"/>
        <v>45726</v>
      </c>
      <c r="D674" s="4">
        <f>IF(EarningsPerDay[[#This Row],[Week '#]]&gt;=52,YEAR(EarningsPerDay[[#This Row],[Date]])-1,YEAR(EarningsPerDay[[#This Row],[Date]]))</f>
        <v>2025</v>
      </c>
      <c r="E674" s="4" t="str">
        <f>"QTR"&amp;IF(EarningsPerDay[[#This Row],[Week '#]] &lt;= 13, 1, IF(EarningsPerDay[[#This Row],[Week '#]] &lt;= 26, 2, IF(EarningsPerDay[[#This Row],[Week '#]] &lt;= 39, 3, 4)))</f>
        <v>QTR1</v>
      </c>
      <c r="F6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74" s="4">
        <f>IF(WEEKNUM(EarningsPerDay[[#This Row],[Date]], 2) = 53, 1, WEEKNUM(EarningsPerDay[[#This Row],[Date]],2))</f>
        <v>11</v>
      </c>
      <c r="H674" s="40" t="str">
        <f t="shared" si="87"/>
        <v>Monday</v>
      </c>
      <c r="I67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74" s="40" t="str" cm="1">
        <f t="array" ref="J674">IFERROR(VLOOKUP(MODE(IF(Combined[Date]=EarningsPerDay[[#This Row],[Date]],Combined[Area '#])),KPIs!$B$4:$C$7,2,FALSE),VLOOKUP(EarningsPerDay[[#This Row],[Date]],Combined[[Date]:[Primary Area]],8,FALSE))</f>
        <v>Brunswick/Bath/Freeport</v>
      </c>
      <c r="K674" s="40" t="str">
        <f>_xlfn.XLOOKUP(EarningsPerDay[[#This Row],[Date]],Mileage[Date],Mileage[Weather])</f>
        <v>Partially Cloudy</v>
      </c>
      <c r="L674" s="4">
        <f>_xlfn.XLOOKUP(EarningsPerDay[[#This Row],[Date]],Mileage[Date],Mileage[Hi Temp])</f>
        <v>39</v>
      </c>
      <c r="M674" s="12">
        <f>_xlfn.XLOOKUP(EarningsPerDay[[#This Row],[Date]],Mileage[Date],Mileage[Total Time])</f>
        <v>4.4800000000000004</v>
      </c>
      <c r="N674" s="4">
        <f>_xlfn.XLOOKUP(EarningsPerDay[[#This Row],[Date]],Mileage[Date],Mileage[Mileage])</f>
        <v>71</v>
      </c>
      <c r="O674" s="4">
        <f>SUMIF(Combined[Date],EarningsPerDay[[#This Row],[Date]],Combined[Trips])</f>
        <v>8</v>
      </c>
      <c r="P674">
        <f>COUNTIF(Combined[Date],EarningsPerDay[[#This Row],[Date]])</f>
        <v>2</v>
      </c>
      <c r="Q6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4" s="11">
        <f>SUMIF(Combined[Date],EarningsPerDay[[#This Row],[Date]],Combined[Earnings])</f>
        <v>105.51</v>
      </c>
      <c r="S674" s="11">
        <f ca="1">EarningsPerDay[[#This Row],[Gross Earnings]]-(EarningsPerDay[[#This Row],[Miles]]*CpM!$D$11)</f>
        <v>89.678910423391855</v>
      </c>
      <c r="T674" s="11">
        <f t="shared" si="78"/>
        <v>23.551339285714285</v>
      </c>
      <c r="U674" s="11">
        <f t="shared" ca="1" si="79"/>
        <v>20.017613933792823</v>
      </c>
      <c r="V674" s="11">
        <f>EarningsPerDay[[#This Row],[Gross Earnings]]/EarningsPerDay[[#This Row],[Deliveries]]</f>
        <v>13.188750000000001</v>
      </c>
      <c r="W674" s="11">
        <f>EarningsPerDay[[#This Row],[Gross Earnings]]/EarningsPerDay[[#This Row],[Miles]]</f>
        <v>1.4860563380281691</v>
      </c>
      <c r="X674" s="71">
        <f>EarningsPerDay[[#This Row],[Deliveries]]/EarningsPerDay[[#This Row],[Hours]]</f>
        <v>1.7857142857142856</v>
      </c>
      <c r="Y674" s="71">
        <f>EarningsPerDay[[#This Row],[Miles]]/EarningsPerDay[[#This Row],[Deliveries]]</f>
        <v>8.875</v>
      </c>
      <c r="Z674" s="81">
        <f>(EarningsPerDay[[#This Row],[Hours]]/EarningsPerDay[[#This Row],[Deliveries]])/24</f>
        <v>2.3333333333333334E-2</v>
      </c>
      <c r="AA6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-2.2901881685803858</v>
      </c>
      <c r="AB674" s="11">
        <f>AVERAGEIFS(EarningsPerDay[Gross $/Hour],EarningsPerDay[Week '#], EarningsPerDay[[#This Row],[Week '#]], EarningsPerDay[DOW], EarningsPerDay[[#This Row],[DOW]])</f>
        <v>26.303037502761384</v>
      </c>
      <c r="AC674" s="11">
        <f>EarningsPerDay[[#This Row],[Gross $/Hour]] - EarningsPerDay[[#This Row],[Weekly Average Earnings]]</f>
        <v>-2.7516982170470996</v>
      </c>
      <c r="AD674" s="11">
        <f>(SUMIFS(EarningsPerDay[Gross Earnings], EarningsPerDay[Date],"&gt;="&amp;EarningsPerDay[[#This Row],[Date]]-89, EarningsPerDay[Date], "&lt;="&amp;EarningsPerDay[[#This Row],[Date]]))/90</f>
        <v>34.648888888888898</v>
      </c>
    </row>
    <row r="675" spans="2:30" x14ac:dyDescent="0.35">
      <c r="B675" s="40">
        <v>45728</v>
      </c>
      <c r="C675" s="40">
        <f t="shared" si="75"/>
        <v>45728</v>
      </c>
      <c r="D675" s="4">
        <f>IF(EarningsPerDay[[#This Row],[Week '#]]&gt;=52,YEAR(EarningsPerDay[[#This Row],[Date]])-1,YEAR(EarningsPerDay[[#This Row],[Date]]))</f>
        <v>2025</v>
      </c>
      <c r="E675" s="4" t="str">
        <f>"QTR"&amp;IF(EarningsPerDay[[#This Row],[Week '#]] &lt;= 13, 1, IF(EarningsPerDay[[#This Row],[Week '#]] &lt;= 26, 2, IF(EarningsPerDay[[#This Row],[Week '#]] &lt;= 39, 3, 4)))</f>
        <v>QTR1</v>
      </c>
      <c r="F6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75" s="4">
        <f>IF(WEEKNUM(EarningsPerDay[[#This Row],[Date]], 2) = 53, 1, WEEKNUM(EarningsPerDay[[#This Row],[Date]],2))</f>
        <v>11</v>
      </c>
      <c r="H675" s="40" t="str">
        <f t="shared" ref="H675:H680" si="88">TEXT(B675,"DDDD")</f>
        <v>Wednesday</v>
      </c>
      <c r="I675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75" s="40" t="str" cm="1">
        <f t="array" ref="J675">IFERROR(VLOOKUP(MODE(IF(Combined[Date]=EarningsPerDay[[#This Row],[Date]],Combined[Area '#])),KPIs!$B$4:$C$7,2,FALSE),VLOOKUP(EarningsPerDay[[#This Row],[Date]],Combined[[Date]:[Primary Area]],8,FALSE))</f>
        <v>Brunswick/Bath/Freeport</v>
      </c>
      <c r="K675" s="40" t="str">
        <f>_xlfn.XLOOKUP(EarningsPerDay[[#This Row],[Date]],Mileage[Date],Mileage[Weather])</f>
        <v>Clear</v>
      </c>
      <c r="L675" s="4">
        <f>_xlfn.XLOOKUP(EarningsPerDay[[#This Row],[Date]],Mileage[Date],Mileage[Hi Temp])</f>
        <v>36</v>
      </c>
      <c r="M675" s="12">
        <f>_xlfn.XLOOKUP(EarningsPerDay[[#This Row],[Date]],Mileage[Date],Mileage[Total Time])</f>
        <v>2.52</v>
      </c>
      <c r="N675" s="4">
        <f>_xlfn.XLOOKUP(EarningsPerDay[[#This Row],[Date]],Mileage[Date],Mileage[Mileage])</f>
        <v>33</v>
      </c>
      <c r="O675" s="4">
        <f>SUMIF(Combined[Date],EarningsPerDay[[#This Row],[Date]],Combined[Trips])</f>
        <v>6</v>
      </c>
      <c r="P675">
        <f>COUNTIF(Combined[Date],EarningsPerDay[[#This Row],[Date]])</f>
        <v>2</v>
      </c>
      <c r="Q6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5" s="11">
        <f>SUMIF(Combined[Date],EarningsPerDay[[#This Row],[Date]],Combined[Earnings])</f>
        <v>54.72</v>
      </c>
      <c r="S675" s="11">
        <f ca="1">EarningsPerDay[[#This Row],[Gross Earnings]]-(EarningsPerDay[[#This Row],[Miles]]*CpM!$D$11)</f>
        <v>47.36188794326663</v>
      </c>
      <c r="T675" s="11">
        <f t="shared" si="78"/>
        <v>21.714285714285715</v>
      </c>
      <c r="U675" s="11">
        <f t="shared" ca="1" si="79"/>
        <v>18.794399977486759</v>
      </c>
      <c r="V675" s="11">
        <f>EarningsPerDay[[#This Row],[Gross Earnings]]/EarningsPerDay[[#This Row],[Deliveries]]</f>
        <v>9.1199999999999992</v>
      </c>
      <c r="W675" s="11">
        <f>EarningsPerDay[[#This Row],[Gross Earnings]]/EarningsPerDay[[#This Row],[Miles]]</f>
        <v>1.6581818181818182</v>
      </c>
      <c r="X675" s="71">
        <f>EarningsPerDay[[#This Row],[Deliveries]]/EarningsPerDay[[#This Row],[Hours]]</f>
        <v>2.3809523809523809</v>
      </c>
      <c r="Y675" s="71">
        <f>EarningsPerDay[[#This Row],[Miles]]/EarningsPerDay[[#This Row],[Deliveries]]</f>
        <v>5.5</v>
      </c>
      <c r="Z675" s="81">
        <f>(EarningsPerDay[[#This Row],[Hours]]/EarningsPerDay[[#This Row],[Deliveries]])/24</f>
        <v>1.7499999999999998E-2</v>
      </c>
      <c r="AA6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-5.444283064597645</v>
      </c>
      <c r="AB675" s="11">
        <f>AVERAGEIFS(EarningsPerDay[Gross $/Hour],EarningsPerDay[Week '#], EarningsPerDay[[#This Row],[Week '#]], EarningsPerDay[DOW], EarningsPerDay[[#This Row],[DOW]])</f>
        <v>24.713285343418189</v>
      </c>
      <c r="AC675" s="11">
        <f>EarningsPerDay[[#This Row],[Gross $/Hour]] - EarningsPerDay[[#This Row],[Weekly Average Earnings]]</f>
        <v>-2.9989996291324736</v>
      </c>
      <c r="AD675" s="11">
        <f>(SUMIFS(EarningsPerDay[Gross Earnings], EarningsPerDay[Date],"&gt;="&amp;EarningsPerDay[[#This Row],[Date]]-89, EarningsPerDay[Date], "&lt;="&amp;EarningsPerDay[[#This Row],[Date]]))/90</f>
        <v>34.854777777777784</v>
      </c>
    </row>
    <row r="676" spans="2:30" x14ac:dyDescent="0.35">
      <c r="B676" s="40">
        <v>45729</v>
      </c>
      <c r="C676" s="40">
        <f t="shared" si="75"/>
        <v>45729</v>
      </c>
      <c r="D676" s="4">
        <f>IF(EarningsPerDay[[#This Row],[Week '#]]&gt;=52,YEAR(EarningsPerDay[[#This Row],[Date]])-1,YEAR(EarningsPerDay[[#This Row],[Date]]))</f>
        <v>2025</v>
      </c>
      <c r="E676" s="4" t="str">
        <f>"QTR"&amp;IF(EarningsPerDay[[#This Row],[Week '#]] &lt;= 13, 1, IF(EarningsPerDay[[#This Row],[Week '#]] &lt;= 26, 2, IF(EarningsPerDay[[#This Row],[Week '#]] &lt;= 39, 3, 4)))</f>
        <v>QTR1</v>
      </c>
      <c r="F6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76" s="4">
        <f>IF(WEEKNUM(EarningsPerDay[[#This Row],[Date]], 2) = 53, 1, WEEKNUM(EarningsPerDay[[#This Row],[Date]],2))</f>
        <v>11</v>
      </c>
      <c r="H676" s="40" t="str">
        <f t="shared" si="88"/>
        <v>Thursday</v>
      </c>
      <c r="I67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76" s="40" t="str" cm="1">
        <f t="array" ref="J676">IFERROR(VLOOKUP(MODE(IF(Combined[Date]=EarningsPerDay[[#This Row],[Date]],Combined[Area '#])),KPIs!$B$4:$C$7,2,FALSE),VLOOKUP(EarningsPerDay[[#This Row],[Date]],Combined[[Date]:[Primary Area]],8,FALSE))</f>
        <v>Brunswick/Bath/Freeport</v>
      </c>
      <c r="K676" s="40" t="str">
        <f>_xlfn.XLOOKUP(EarningsPerDay[[#This Row],[Date]],Mileage[Date],Mileage[Weather])</f>
        <v>Clear</v>
      </c>
      <c r="L676" s="4">
        <f>_xlfn.XLOOKUP(EarningsPerDay[[#This Row],[Date]],Mileage[Date],Mileage[Hi Temp])</f>
        <v>34</v>
      </c>
      <c r="M676" s="12">
        <f>_xlfn.XLOOKUP(EarningsPerDay[[#This Row],[Date]],Mileage[Date],Mileage[Total Time])</f>
        <v>5.03</v>
      </c>
      <c r="N676" s="4">
        <f>_xlfn.XLOOKUP(EarningsPerDay[[#This Row],[Date]],Mileage[Date],Mileage[Mileage])</f>
        <v>127</v>
      </c>
      <c r="O676" s="4">
        <f>SUMIF(Combined[Date],EarningsPerDay[[#This Row],[Date]],Combined[Trips])</f>
        <v>9</v>
      </c>
      <c r="P676">
        <f>COUNTIF(Combined[Date],EarningsPerDay[[#This Row],[Date]])</f>
        <v>3</v>
      </c>
      <c r="Q6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6" s="11">
        <f>SUMIF(Combined[Date],EarningsPerDay[[#This Row],[Date]],Combined[Earnings])</f>
        <v>108.12</v>
      </c>
      <c r="S676" s="11">
        <f ca="1">EarningsPerDay[[#This Row],[Gross Earnings]]-(EarningsPerDay[[#This Row],[Miles]]*CpM!$D$11)</f>
        <v>79.802417236207958</v>
      </c>
      <c r="T676" s="11">
        <f t="shared" si="78"/>
        <v>21.495029821073558</v>
      </c>
      <c r="U676" s="11">
        <f t="shared" ca="1" si="79"/>
        <v>15.865291697059236</v>
      </c>
      <c r="V676" s="11">
        <f>EarningsPerDay[[#This Row],[Gross Earnings]]/EarningsPerDay[[#This Row],[Deliveries]]</f>
        <v>12.013333333333334</v>
      </c>
      <c r="W676" s="11">
        <f>EarningsPerDay[[#This Row],[Gross Earnings]]/EarningsPerDay[[#This Row],[Miles]]</f>
        <v>0.85133858267716545</v>
      </c>
      <c r="X676" s="71">
        <f>EarningsPerDay[[#This Row],[Deliveries]]/EarningsPerDay[[#This Row],[Hours]]</f>
        <v>1.7892644135188867</v>
      </c>
      <c r="Y676" s="71">
        <f>EarningsPerDay[[#This Row],[Miles]]/EarningsPerDay[[#This Row],[Deliveries]]</f>
        <v>14.111111111111111</v>
      </c>
      <c r="Z676" s="81">
        <f>(EarningsPerDay[[#This Row],[Hours]]/EarningsPerDay[[#This Row],[Deliveries]])/24</f>
        <v>2.3287037037037037E-2</v>
      </c>
      <c r="AA6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1.6920163040556062</v>
      </c>
      <c r="AB676" s="11">
        <f>AVERAGEIFS(EarningsPerDay[Gross $/Hour],EarningsPerDay[Week '#], EarningsPerDay[[#This Row],[Week '#]], EarningsPerDay[DOW], EarningsPerDay[[#This Row],[DOW]])</f>
        <v>21.339386458777209</v>
      </c>
      <c r="AC676" s="11">
        <f>EarningsPerDay[[#This Row],[Gross $/Hour]] - EarningsPerDay[[#This Row],[Weekly Average Earnings]]</f>
        <v>0.1556433622963489</v>
      </c>
      <c r="AD676" s="11">
        <f>(SUMIFS(EarningsPerDay[Gross Earnings], EarningsPerDay[Date],"&gt;="&amp;EarningsPerDay[[#This Row],[Date]]-89, EarningsPerDay[Date], "&lt;="&amp;EarningsPerDay[[#This Row],[Date]]))/90</f>
        <v>36.056111111111115</v>
      </c>
    </row>
    <row r="677" spans="2:30" x14ac:dyDescent="0.35">
      <c r="B677" s="40">
        <v>45732</v>
      </c>
      <c r="C677" s="40">
        <f t="shared" si="75"/>
        <v>45732</v>
      </c>
      <c r="D677" s="4">
        <f>IF(EarningsPerDay[[#This Row],[Week '#]]&gt;=52,YEAR(EarningsPerDay[[#This Row],[Date]])-1,YEAR(EarningsPerDay[[#This Row],[Date]]))</f>
        <v>2025</v>
      </c>
      <c r="E677" s="4" t="str">
        <f>"QTR"&amp;IF(EarningsPerDay[[#This Row],[Week '#]] &lt;= 13, 1, IF(EarningsPerDay[[#This Row],[Week '#]] &lt;= 26, 2, IF(EarningsPerDay[[#This Row],[Week '#]] &lt;= 39, 3, 4)))</f>
        <v>QTR1</v>
      </c>
      <c r="F6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677" s="4">
        <f>IF(WEEKNUM(EarningsPerDay[[#This Row],[Date]], 2) = 53, 1, WEEKNUM(EarningsPerDay[[#This Row],[Date]],2))</f>
        <v>11</v>
      </c>
      <c r="H677" s="40" t="str">
        <f t="shared" si="88"/>
        <v>Sunday</v>
      </c>
      <c r="I677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677" s="40" t="str" cm="1">
        <f t="array" ref="J677">IFERROR(VLOOKUP(MODE(IF(Combined[Date]=EarningsPerDay[[#This Row],[Date]],Combined[Area '#])),KPIs!$B$4:$C$7,2,FALSE),VLOOKUP(EarningsPerDay[[#This Row],[Date]],Combined[[Date]:[Primary Area]],8,FALSE))</f>
        <v>Augusta</v>
      </c>
      <c r="K677" s="40" t="str">
        <f>_xlfn.XLOOKUP(EarningsPerDay[[#This Row],[Date]],Mileage[Date],Mileage[Weather])</f>
        <v>Partially Cloudy</v>
      </c>
      <c r="L677" s="4">
        <f>_xlfn.XLOOKUP(EarningsPerDay[[#This Row],[Date]],Mileage[Date],Mileage[Hi Temp])</f>
        <v>55</v>
      </c>
      <c r="M677" s="12">
        <f>_xlfn.XLOOKUP(EarningsPerDay[[#This Row],[Date]],Mileage[Date],Mileage[Total Time])</f>
        <v>8.1300000000000008</v>
      </c>
      <c r="N677" s="4">
        <f>_xlfn.XLOOKUP(EarningsPerDay[[#This Row],[Date]],Mileage[Date],Mileage[Mileage])</f>
        <v>205</v>
      </c>
      <c r="O677" s="4">
        <f>SUMIF(Combined[Date],EarningsPerDay[[#This Row],[Date]],Combined[Trips])</f>
        <v>17</v>
      </c>
      <c r="P677">
        <f>COUNTIF(Combined[Date],EarningsPerDay[[#This Row],[Date]])</f>
        <v>4</v>
      </c>
      <c r="Q6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7" s="11">
        <f>SUMIF(Combined[Date],EarningsPerDay[[#This Row],[Date]],Combined[Earnings])</f>
        <v>289.48999999999995</v>
      </c>
      <c r="S677" s="11">
        <f ca="1">EarningsPerDay[[#This Row],[Gross Earnings]]-(EarningsPerDay[[#This Row],[Miles]]*CpM!$D$11)</f>
        <v>243.78051601120177</v>
      </c>
      <c r="T677" s="11">
        <f t="shared" si="78"/>
        <v>35.60762607626075</v>
      </c>
      <c r="U677" s="11">
        <f t="shared" ca="1" si="79"/>
        <v>29.985303322411038</v>
      </c>
      <c r="V677" s="11">
        <f>EarningsPerDay[[#This Row],[Gross Earnings]]/EarningsPerDay[[#This Row],[Deliveries]]</f>
        <v>17.028823529411763</v>
      </c>
      <c r="W677" s="11">
        <f>EarningsPerDay[[#This Row],[Gross Earnings]]/EarningsPerDay[[#This Row],[Miles]]</f>
        <v>1.4121463414634143</v>
      </c>
      <c r="X677" s="71">
        <f>EarningsPerDay[[#This Row],[Deliveries]]/EarningsPerDay[[#This Row],[Hours]]</f>
        <v>2.0910209102091017</v>
      </c>
      <c r="Y677" s="71">
        <f>EarningsPerDay[[#This Row],[Miles]]/EarningsPerDay[[#This Row],[Deliveries]]</f>
        <v>12.058823529411764</v>
      </c>
      <c r="Z677" s="81">
        <f>(EarningsPerDay[[#This Row],[Hours]]/EarningsPerDay[[#This Row],[Deliveries]])/24</f>
        <v>1.9926470588235295E-2</v>
      </c>
      <c r="AA6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19.984892534462801</v>
      </c>
      <c r="AB677" s="11">
        <f>AVERAGEIFS(EarningsPerDay[Gross $/Hour],EarningsPerDay[Week '#], EarningsPerDay[[#This Row],[Week '#]], EarningsPerDay[DOW], EarningsPerDay[[#This Row],[DOW]])</f>
        <v>35.60762607626075</v>
      </c>
      <c r="AC677" s="11">
        <f>EarningsPerDay[[#This Row],[Gross $/Hour]] - EarningsPerDay[[#This Row],[Weekly Average Earnings]]</f>
        <v>0</v>
      </c>
      <c r="AD677" s="11">
        <f>(SUMIFS(EarningsPerDay[Gross Earnings], EarningsPerDay[Date],"&gt;="&amp;EarningsPerDay[[#This Row],[Date]]-89, EarningsPerDay[Date], "&lt;="&amp;EarningsPerDay[[#This Row],[Date]]))/90</f>
        <v>39.272666666666666</v>
      </c>
    </row>
    <row r="678" spans="2:30" x14ac:dyDescent="0.35">
      <c r="B678" s="40">
        <v>45733</v>
      </c>
      <c r="C678" s="40">
        <f t="shared" si="75"/>
        <v>45733</v>
      </c>
      <c r="D678" s="4">
        <f>IF(EarningsPerDay[[#This Row],[Week '#]]&gt;=52,YEAR(EarningsPerDay[[#This Row],[Date]])-1,YEAR(EarningsPerDay[[#This Row],[Date]]))</f>
        <v>2025</v>
      </c>
      <c r="E678" s="4" t="str">
        <f>"QTR"&amp;IF(EarningsPerDay[[#This Row],[Week '#]] &lt;= 13, 1, IF(EarningsPerDay[[#This Row],[Week '#]] &lt;= 26, 2, IF(EarningsPerDay[[#This Row],[Week '#]] &lt;= 39, 3, 4)))</f>
        <v>QTR1</v>
      </c>
      <c r="F6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78" s="4">
        <f>IF(WEEKNUM(EarningsPerDay[[#This Row],[Date]], 2) = 53, 1, WEEKNUM(EarningsPerDay[[#This Row],[Date]],2))</f>
        <v>12</v>
      </c>
      <c r="H678" s="40" t="str">
        <f t="shared" si="88"/>
        <v>Monday</v>
      </c>
      <c r="I67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78" s="40" t="str" cm="1">
        <f t="array" ref="J678">IFERROR(VLOOKUP(MODE(IF(Combined[Date]=EarningsPerDay[[#This Row],[Date]],Combined[Area '#])),KPIs!$B$4:$C$7,2,FALSE),VLOOKUP(EarningsPerDay[[#This Row],[Date]],Combined[[Date]:[Primary Area]],8,FALSE))</f>
        <v>Brunswick/Bath/Freeport</v>
      </c>
      <c r="K678" s="40" t="str">
        <f>_xlfn.XLOOKUP(EarningsPerDay[[#This Row],[Date]],Mileage[Date],Mileage[Weather])</f>
        <v>Light Rain</v>
      </c>
      <c r="L678" s="4">
        <f>_xlfn.XLOOKUP(EarningsPerDay[[#This Row],[Date]],Mileage[Date],Mileage[Hi Temp])</f>
        <v>45</v>
      </c>
      <c r="M678" s="12">
        <f>_xlfn.XLOOKUP(EarningsPerDay[[#This Row],[Date]],Mileage[Date],Mileage[Total Time])</f>
        <v>2.78</v>
      </c>
      <c r="N678" s="4">
        <f>_xlfn.XLOOKUP(EarningsPerDay[[#This Row],[Date]],Mileage[Date],Mileage[Mileage])</f>
        <v>39</v>
      </c>
      <c r="O678" s="4">
        <f>SUMIF(Combined[Date],EarningsPerDay[[#This Row],[Date]],Combined[Trips])</f>
        <v>7</v>
      </c>
      <c r="P678">
        <f>COUNTIF(Combined[Date],EarningsPerDay[[#This Row],[Date]])</f>
        <v>1</v>
      </c>
      <c r="Q6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8" s="11">
        <f>SUMIF(Combined[Date],EarningsPerDay[[#This Row],[Date]],Combined[Earnings])</f>
        <v>43.5</v>
      </c>
      <c r="S678" s="11">
        <f ca="1">EarningsPerDay[[#This Row],[Gross Earnings]]-(EarningsPerDay[[#This Row],[Miles]]*CpM!$D$11)</f>
        <v>34.804049387496931</v>
      </c>
      <c r="T678" s="11">
        <f t="shared" si="78"/>
        <v>15.647482014388491</v>
      </c>
      <c r="U678" s="11">
        <f t="shared" ca="1" si="79"/>
        <v>12.519442225718322</v>
      </c>
      <c r="V678" s="11">
        <f>EarningsPerDay[[#This Row],[Gross Earnings]]/EarningsPerDay[[#This Row],[Deliveries]]</f>
        <v>6.2142857142857144</v>
      </c>
      <c r="W678" s="11">
        <f>EarningsPerDay[[#This Row],[Gross Earnings]]/EarningsPerDay[[#This Row],[Miles]]</f>
        <v>1.1153846153846154</v>
      </c>
      <c r="X678" s="71">
        <f>EarningsPerDay[[#This Row],[Deliveries]]/EarningsPerDay[[#This Row],[Hours]]</f>
        <v>2.5179856115107917</v>
      </c>
      <c r="Y678" s="71">
        <f>EarningsPerDay[[#This Row],[Miles]]/EarningsPerDay[[#This Row],[Deliveries]]</f>
        <v>5.5714285714285712</v>
      </c>
      <c r="Z678" s="81">
        <f>(EarningsPerDay[[#This Row],[Hours]]/EarningsPerDay[[#This Row],[Deliveries]])/24</f>
        <v>1.6547619047619047E-2</v>
      </c>
      <c r="AA6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-10.073509220507212</v>
      </c>
      <c r="AB678" s="11">
        <f>AVERAGEIFS(EarningsPerDay[Gross $/Hour],EarningsPerDay[Week '#], EarningsPerDay[[#This Row],[Week '#]], EarningsPerDay[DOW], EarningsPerDay[[#This Row],[DOW]])</f>
        <v>22.127564587674119</v>
      </c>
      <c r="AC678" s="11">
        <f>EarningsPerDay[[#This Row],[Gross $/Hour]] - EarningsPerDay[[#This Row],[Weekly Average Earnings]]</f>
        <v>-6.4800825732856282</v>
      </c>
      <c r="AD678" s="11">
        <f>(SUMIFS(EarningsPerDay[Gross Earnings], EarningsPerDay[Date],"&gt;="&amp;EarningsPerDay[[#This Row],[Date]]-89, EarningsPerDay[Date], "&lt;="&amp;EarningsPerDay[[#This Row],[Date]]))/90</f>
        <v>39.756</v>
      </c>
    </row>
    <row r="679" spans="2:30" x14ac:dyDescent="0.35">
      <c r="B679" s="40">
        <v>45734</v>
      </c>
      <c r="C679" s="40">
        <f t="shared" si="75"/>
        <v>45734</v>
      </c>
      <c r="D679" s="4">
        <f>IF(EarningsPerDay[[#This Row],[Week '#]]&gt;=52,YEAR(EarningsPerDay[[#This Row],[Date]])-1,YEAR(EarningsPerDay[[#This Row],[Date]]))</f>
        <v>2025</v>
      </c>
      <c r="E679" s="4" t="str">
        <f>"QTR"&amp;IF(EarningsPerDay[[#This Row],[Week '#]] &lt;= 13, 1, IF(EarningsPerDay[[#This Row],[Week '#]] &lt;= 26, 2, IF(EarningsPerDay[[#This Row],[Week '#]] &lt;= 39, 3, 4)))</f>
        <v>QTR1</v>
      </c>
      <c r="F6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79" s="4">
        <f>IF(WEEKNUM(EarningsPerDay[[#This Row],[Date]], 2) = 53, 1, WEEKNUM(EarningsPerDay[[#This Row],[Date]],2))</f>
        <v>12</v>
      </c>
      <c r="H679" s="40" t="str">
        <f t="shared" si="88"/>
        <v>Tuesday</v>
      </c>
      <c r="I67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79" s="40" t="str" cm="1">
        <f t="array" ref="J679">IFERROR(VLOOKUP(MODE(IF(Combined[Date]=EarningsPerDay[[#This Row],[Date]],Combined[Area '#])),KPIs!$B$4:$C$7,2,FALSE),VLOOKUP(EarningsPerDay[[#This Row],[Date]],Combined[[Date]:[Primary Area]],8,FALSE))</f>
        <v>Brunswick/Bath/Freeport</v>
      </c>
      <c r="K679" s="40" t="str">
        <f>_xlfn.XLOOKUP(EarningsPerDay[[#This Row],[Date]],Mileage[Date],Mileage[Weather])</f>
        <v>Clear</v>
      </c>
      <c r="L679" s="4">
        <f>_xlfn.XLOOKUP(EarningsPerDay[[#This Row],[Date]],Mileage[Date],Mileage[Hi Temp])</f>
        <v>45</v>
      </c>
      <c r="M679" s="12">
        <f>_xlfn.XLOOKUP(EarningsPerDay[[#This Row],[Date]],Mileage[Date],Mileage[Total Time])</f>
        <v>4.87</v>
      </c>
      <c r="N679" s="4">
        <f>_xlfn.XLOOKUP(EarningsPerDay[[#This Row],[Date]],Mileage[Date],Mileage[Mileage])</f>
        <v>92</v>
      </c>
      <c r="O679" s="4">
        <f>SUMIF(Combined[Date],EarningsPerDay[[#This Row],[Date]],Combined[Trips])</f>
        <v>11</v>
      </c>
      <c r="P679">
        <f>COUNTIF(Combined[Date],EarningsPerDay[[#This Row],[Date]])</f>
        <v>3</v>
      </c>
      <c r="Q6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79" s="11">
        <f>SUMIF(Combined[Date],EarningsPerDay[[#This Row],[Date]],Combined[Earnings])</f>
        <v>105.92</v>
      </c>
      <c r="S679" s="11">
        <f ca="1">EarningsPerDay[[#This Row],[Gross Earnings]]-(EarningsPerDay[[#This Row],[Miles]]*CpM!$D$11)</f>
        <v>85.406475478197891</v>
      </c>
      <c r="T679" s="11">
        <f t="shared" si="78"/>
        <v>21.749486652977414</v>
      </c>
      <c r="U679" s="11">
        <f t="shared" ca="1" si="79"/>
        <v>17.537263958562196</v>
      </c>
      <c r="V679" s="11">
        <f>EarningsPerDay[[#This Row],[Gross Earnings]]/EarningsPerDay[[#This Row],[Deliveries]]</f>
        <v>9.6290909090909089</v>
      </c>
      <c r="W679" s="11">
        <f>EarningsPerDay[[#This Row],[Gross Earnings]]/EarningsPerDay[[#This Row],[Miles]]</f>
        <v>1.1513043478260869</v>
      </c>
      <c r="X679" s="71">
        <f>EarningsPerDay[[#This Row],[Deliveries]]/EarningsPerDay[[#This Row],[Hours]]</f>
        <v>2.2587268993839835</v>
      </c>
      <c r="Y679" s="71">
        <f>EarningsPerDay[[#This Row],[Miles]]/EarningsPerDay[[#This Row],[Deliveries]]</f>
        <v>8.3636363636363633</v>
      </c>
      <c r="Z679" s="81">
        <f>(EarningsPerDay[[#This Row],[Hours]]/EarningsPerDay[[#This Row],[Deliveries]])/24</f>
        <v>1.8446969696969698E-2</v>
      </c>
      <c r="AA6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-5.2501933408087318</v>
      </c>
      <c r="AB679" s="11">
        <f>AVERAGEIFS(EarningsPerDay[Gross $/Hour],EarningsPerDay[Week '#], EarningsPerDay[[#This Row],[Week '#]], EarningsPerDay[DOW], EarningsPerDay[[#This Row],[DOW]])</f>
        <v>23.708191000470212</v>
      </c>
      <c r="AC679" s="11">
        <f>EarningsPerDay[[#This Row],[Gross $/Hour]] - EarningsPerDay[[#This Row],[Weekly Average Earnings]]</f>
        <v>-1.9587043474927981</v>
      </c>
      <c r="AD679" s="11">
        <f>(SUMIFS(EarningsPerDay[Gross Earnings], EarningsPerDay[Date],"&gt;="&amp;EarningsPerDay[[#This Row],[Date]]-89, EarningsPerDay[Date], "&lt;="&amp;EarningsPerDay[[#This Row],[Date]]))/90</f>
        <v>40.93288888888889</v>
      </c>
    </row>
    <row r="680" spans="2:30" x14ac:dyDescent="0.35">
      <c r="B680" s="40">
        <v>45735</v>
      </c>
      <c r="C680" s="40">
        <f t="shared" si="75"/>
        <v>45735</v>
      </c>
      <c r="D680" s="4">
        <f>IF(EarningsPerDay[[#This Row],[Week '#]]&gt;=52,YEAR(EarningsPerDay[[#This Row],[Date]])-1,YEAR(EarningsPerDay[[#This Row],[Date]]))</f>
        <v>2025</v>
      </c>
      <c r="E680" s="4" t="str">
        <f>"QTR"&amp;IF(EarningsPerDay[[#This Row],[Week '#]] &lt;= 13, 1, IF(EarningsPerDay[[#This Row],[Week '#]] &lt;= 26, 2, IF(EarningsPerDay[[#This Row],[Week '#]] &lt;= 39, 3, 4)))</f>
        <v>QTR1</v>
      </c>
      <c r="F6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80" s="4">
        <f>IF(WEEKNUM(EarningsPerDay[[#This Row],[Date]], 2) = 53, 1, WEEKNUM(EarningsPerDay[[#This Row],[Date]],2))</f>
        <v>12</v>
      </c>
      <c r="H680" s="40" t="str">
        <f t="shared" si="88"/>
        <v>Wednesday</v>
      </c>
      <c r="I68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80" s="40" t="str" cm="1">
        <f t="array" ref="J680">IFERROR(VLOOKUP(MODE(IF(Combined[Date]=EarningsPerDay[[#This Row],[Date]],Combined[Area '#])),KPIs!$B$4:$C$7,2,FALSE),VLOOKUP(EarningsPerDay[[#This Row],[Date]],Combined[[Date]:[Primary Area]],8,FALSE))</f>
        <v>Brunswick/Bath/Freeport</v>
      </c>
      <c r="K680" s="40" t="str">
        <f>_xlfn.XLOOKUP(EarningsPerDay[[#This Row],[Date]],Mileage[Date],Mileage[Weather])</f>
        <v>Clear</v>
      </c>
      <c r="L680" s="4">
        <f>_xlfn.XLOOKUP(EarningsPerDay[[#This Row],[Date]],Mileage[Date],Mileage[Hi Temp])</f>
        <v>46</v>
      </c>
      <c r="M680" s="12">
        <f>_xlfn.XLOOKUP(EarningsPerDay[[#This Row],[Date]],Mileage[Date],Mileage[Total Time])</f>
        <v>3.42</v>
      </c>
      <c r="N680" s="4">
        <f>_xlfn.XLOOKUP(EarningsPerDay[[#This Row],[Date]],Mileage[Date],Mileage[Mileage])</f>
        <v>80</v>
      </c>
      <c r="O680" s="4">
        <f>SUMIF(Combined[Date],EarningsPerDay[[#This Row],[Date]],Combined[Trips])</f>
        <v>6</v>
      </c>
      <c r="P680">
        <f>COUNTIF(Combined[Date],EarningsPerDay[[#This Row],[Date]])</f>
        <v>1</v>
      </c>
      <c r="Q6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0" s="11">
        <f>SUMIF(Combined[Date],EarningsPerDay[[#This Row],[Date]],Combined[Earnings])</f>
        <v>60.75</v>
      </c>
      <c r="S680" s="11">
        <f ca="1">EarningsPerDay[[#This Row],[Gross Earnings]]-(EarningsPerDay[[#This Row],[Miles]]*CpM!$D$11)</f>
        <v>42.912152589737289</v>
      </c>
      <c r="T680" s="11">
        <f t="shared" si="78"/>
        <v>17.763157894736842</v>
      </c>
      <c r="U680" s="11">
        <f t="shared" ca="1" si="79"/>
        <v>12.547413037934881</v>
      </c>
      <c r="V680" s="11">
        <f>EarningsPerDay[[#This Row],[Gross Earnings]]/EarningsPerDay[[#This Row],[Deliveries]]</f>
        <v>10.125</v>
      </c>
      <c r="W680" s="11">
        <f>EarningsPerDay[[#This Row],[Gross Earnings]]/EarningsPerDay[[#This Row],[Miles]]</f>
        <v>0.75937500000000002</v>
      </c>
      <c r="X680" s="71">
        <f>EarningsPerDay[[#This Row],[Deliveries]]/EarningsPerDay[[#This Row],[Hours]]</f>
        <v>1.7543859649122808</v>
      </c>
      <c r="Y680" s="71">
        <f>EarningsPerDay[[#This Row],[Miles]]/EarningsPerDay[[#This Row],[Deliveries]]</f>
        <v>13.333333333333334</v>
      </c>
      <c r="Z680" s="81">
        <f>(EarningsPerDay[[#This Row],[Hours]]/EarningsPerDay[[#This Row],[Deliveries]])/24</f>
        <v>2.3749999999999997E-2</v>
      </c>
      <c r="AA6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-9.0551431926091652</v>
      </c>
      <c r="AB680" s="11">
        <f>AVERAGEIFS(EarningsPerDay[Gross $/Hour],EarningsPerDay[Week '#], EarningsPerDay[[#This Row],[Week '#]], EarningsPerDay[DOW], EarningsPerDay[[#This Row],[DOW]])</f>
        <v>26.505470302261681</v>
      </c>
      <c r="AC680" s="11">
        <f>EarningsPerDay[[#This Row],[Gross $/Hour]] - EarningsPerDay[[#This Row],[Weekly Average Earnings]]</f>
        <v>-8.7423124075248388</v>
      </c>
      <c r="AD680" s="11">
        <f>(SUMIFS(EarningsPerDay[Gross Earnings], EarningsPerDay[Date],"&gt;="&amp;EarningsPerDay[[#This Row],[Date]]-89, EarningsPerDay[Date], "&lt;="&amp;EarningsPerDay[[#This Row],[Date]]))/90</f>
        <v>41.607888888888887</v>
      </c>
    </row>
    <row r="681" spans="2:30" x14ac:dyDescent="0.35">
      <c r="B681" s="40">
        <v>45737</v>
      </c>
      <c r="C681" s="40">
        <f t="shared" si="75"/>
        <v>45737</v>
      </c>
      <c r="D681" s="4">
        <f>IF(EarningsPerDay[[#This Row],[Week '#]]&gt;=52,YEAR(EarningsPerDay[[#This Row],[Date]])-1,YEAR(EarningsPerDay[[#This Row],[Date]]))</f>
        <v>2025</v>
      </c>
      <c r="E681" s="4" t="str">
        <f>"QTR"&amp;IF(EarningsPerDay[[#This Row],[Week '#]] &lt;= 13, 1, IF(EarningsPerDay[[#This Row],[Week '#]] &lt;= 26, 2, IF(EarningsPerDay[[#This Row],[Week '#]] &lt;= 39, 3, 4)))</f>
        <v>QTR1</v>
      </c>
      <c r="F6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81" s="4">
        <f>IF(WEEKNUM(EarningsPerDay[[#This Row],[Date]], 2) = 53, 1, WEEKNUM(EarningsPerDay[[#This Row],[Date]],2))</f>
        <v>12</v>
      </c>
      <c r="H681" s="40" t="str">
        <f t="shared" ref="H681:H686" si="89">TEXT(B681,"DDDD")</f>
        <v>Friday</v>
      </c>
      <c r="I68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81" s="40" t="str" cm="1">
        <f t="array" ref="J681">IFERROR(VLOOKUP(MODE(IF(Combined[Date]=EarningsPerDay[[#This Row],[Date]],Combined[Area '#])),KPIs!$B$4:$C$7,2,FALSE),VLOOKUP(EarningsPerDay[[#This Row],[Date]],Combined[[Date]:[Primary Area]],8,FALSE))</f>
        <v>Augusta</v>
      </c>
      <c r="K681" s="40" t="str">
        <f>_xlfn.XLOOKUP(EarningsPerDay[[#This Row],[Date]],Mileage[Date],Mileage[Weather])</f>
        <v>Mostly Cloudy</v>
      </c>
      <c r="L681" s="4">
        <f>_xlfn.XLOOKUP(EarningsPerDay[[#This Row],[Date]],Mileage[Date],Mileage[Hi Temp])</f>
        <v>37</v>
      </c>
      <c r="M681" s="12">
        <f>_xlfn.XLOOKUP(EarningsPerDay[[#This Row],[Date]],Mileage[Date],Mileage[Total Time])</f>
        <v>6.82</v>
      </c>
      <c r="N681" s="4">
        <f>_xlfn.XLOOKUP(EarningsPerDay[[#This Row],[Date]],Mileage[Date],Mileage[Mileage])</f>
        <v>152</v>
      </c>
      <c r="O681" s="4">
        <f>SUMIF(Combined[Date],EarningsPerDay[[#This Row],[Date]],Combined[Trips])</f>
        <v>13</v>
      </c>
      <c r="P681">
        <f>COUNTIF(Combined[Date],EarningsPerDay[[#This Row],[Date]])</f>
        <v>2</v>
      </c>
      <c r="Q68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81" s="11">
        <f>SUMIF(Combined[Date],EarningsPerDay[[#This Row],[Date]],Combined[Earnings])</f>
        <v>184.51</v>
      </c>
      <c r="S681" s="11">
        <f ca="1">EarningsPerDay[[#This Row],[Gross Earnings]]-(EarningsPerDay[[#This Row],[Miles]]*CpM!$D$11)</f>
        <v>150.61808992050084</v>
      </c>
      <c r="T681" s="11">
        <f t="shared" si="78"/>
        <v>27.054252199413487</v>
      </c>
      <c r="U681" s="11">
        <f t="shared" ca="1" si="79"/>
        <v>22.084763917961997</v>
      </c>
      <c r="V681" s="11">
        <f>EarningsPerDay[[#This Row],[Gross Earnings]]/EarningsPerDay[[#This Row],[Deliveries]]</f>
        <v>14.193076923076923</v>
      </c>
      <c r="W681" s="11">
        <f>EarningsPerDay[[#This Row],[Gross Earnings]]/EarningsPerDay[[#This Row],[Miles]]</f>
        <v>1.2138815789473683</v>
      </c>
      <c r="X681" s="71">
        <f>EarningsPerDay[[#This Row],[Deliveries]]/EarningsPerDay[[#This Row],[Hours]]</f>
        <v>1.9061583577712609</v>
      </c>
      <c r="Y681" s="71">
        <f>EarningsPerDay[[#This Row],[Miles]]/EarningsPerDay[[#This Row],[Deliveries]]</f>
        <v>11.692307692307692</v>
      </c>
      <c r="Z681" s="81">
        <f>(EarningsPerDay[[#This Row],[Hours]]/EarningsPerDay[[#This Row],[Deliveries]])/24</f>
        <v>2.1858974358974357E-2</v>
      </c>
      <c r="AA6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12.925000498733214</v>
      </c>
      <c r="AB681" s="11">
        <f>AVERAGEIFS(EarningsPerDay[Gross $/Hour],EarningsPerDay[Week '#], EarningsPerDay[[#This Row],[Week '#]], EarningsPerDay[DOW], EarningsPerDay[[#This Row],[DOW]])</f>
        <v>24.852884451271549</v>
      </c>
      <c r="AC681" s="11">
        <f>EarningsPerDay[[#This Row],[Gross $/Hour]] - EarningsPerDay[[#This Row],[Weekly Average Earnings]]</f>
        <v>2.2013677481419371</v>
      </c>
      <c r="AD681" s="11">
        <f>(SUMIFS(EarningsPerDay[Gross Earnings], EarningsPerDay[Date],"&gt;="&amp;EarningsPerDay[[#This Row],[Date]]-89, EarningsPerDay[Date], "&lt;="&amp;EarningsPerDay[[#This Row],[Date]]))/90</f>
        <v>43.658000000000001</v>
      </c>
    </row>
    <row r="682" spans="2:30" x14ac:dyDescent="0.35">
      <c r="B682" s="40">
        <v>45738</v>
      </c>
      <c r="C682" s="40">
        <f t="shared" si="75"/>
        <v>45738</v>
      </c>
      <c r="D682" s="4">
        <f>IF(EarningsPerDay[[#This Row],[Week '#]]&gt;=52,YEAR(EarningsPerDay[[#This Row],[Date]])-1,YEAR(EarningsPerDay[[#This Row],[Date]]))</f>
        <v>2025</v>
      </c>
      <c r="E682" s="4" t="str">
        <f>"QTR"&amp;IF(EarningsPerDay[[#This Row],[Week '#]] &lt;= 13, 1, IF(EarningsPerDay[[#This Row],[Week '#]] &lt;= 26, 2, IF(EarningsPerDay[[#This Row],[Week '#]] &lt;= 39, 3, 4)))</f>
        <v>QTR1</v>
      </c>
      <c r="F6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82" s="4">
        <f>IF(WEEKNUM(EarningsPerDay[[#This Row],[Date]], 2) = 53, 1, WEEKNUM(EarningsPerDay[[#This Row],[Date]],2))</f>
        <v>12</v>
      </c>
      <c r="H682" s="40" t="str">
        <f t="shared" si="89"/>
        <v>Saturday</v>
      </c>
      <c r="I68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682" s="40" t="str" cm="1">
        <f t="array" ref="J682">IFERROR(VLOOKUP(MODE(IF(Combined[Date]=EarningsPerDay[[#This Row],[Date]],Combined[Area '#])),KPIs!$B$4:$C$7,2,FALSE),VLOOKUP(EarningsPerDay[[#This Row],[Date]],Combined[[Date]:[Primary Area]],8,FALSE))</f>
        <v>Lewiston</v>
      </c>
      <c r="K682" s="40" t="str">
        <f>_xlfn.XLOOKUP(EarningsPerDay[[#This Row],[Date]],Mileage[Date],Mileage[Weather])</f>
        <v>Sunny</v>
      </c>
      <c r="L682" s="4">
        <f>_xlfn.XLOOKUP(EarningsPerDay[[#This Row],[Date]],Mileage[Date],Mileage[Hi Temp])</f>
        <v>57</v>
      </c>
      <c r="M682" s="12">
        <f>_xlfn.XLOOKUP(EarningsPerDay[[#This Row],[Date]],Mileage[Date],Mileage[Total Time])</f>
        <v>2.9</v>
      </c>
      <c r="N682" s="4">
        <f>_xlfn.XLOOKUP(EarningsPerDay[[#This Row],[Date]],Mileage[Date],Mileage[Mileage])</f>
        <v>32</v>
      </c>
      <c r="O682" s="4">
        <f>SUMIF(Combined[Date],EarningsPerDay[[#This Row],[Date]],Combined[Trips])</f>
        <v>10</v>
      </c>
      <c r="P682">
        <f>COUNTIF(Combined[Date],EarningsPerDay[[#This Row],[Date]])</f>
        <v>2</v>
      </c>
      <c r="Q6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2" s="11">
        <f>SUMIF(Combined[Date],EarningsPerDay[[#This Row],[Date]],Combined[Earnings])</f>
        <v>65.55</v>
      </c>
      <c r="S682" s="11">
        <f ca="1">EarningsPerDay[[#This Row],[Gross Earnings]]-(EarningsPerDay[[#This Row],[Miles]]*CpM!$D$11)</f>
        <v>58.414861035894916</v>
      </c>
      <c r="T682" s="11">
        <f t="shared" si="78"/>
        <v>22.603448275862068</v>
      </c>
      <c r="U682" s="11">
        <f t="shared" ca="1" si="79"/>
        <v>20.143055529618938</v>
      </c>
      <c r="V682" s="11">
        <f>EarningsPerDay[[#This Row],[Gross Earnings]]/EarningsPerDay[[#This Row],[Deliveries]]</f>
        <v>6.5549999999999997</v>
      </c>
      <c r="W682" s="11">
        <f>EarningsPerDay[[#This Row],[Gross Earnings]]/EarningsPerDay[[#This Row],[Miles]]</f>
        <v>2.0484374999999999</v>
      </c>
      <c r="X682" s="71">
        <f>EarningsPerDay[[#This Row],[Deliveries]]/EarningsPerDay[[#This Row],[Hours]]</f>
        <v>3.4482758620689657</v>
      </c>
      <c r="Y682" s="71">
        <f>EarningsPerDay[[#This Row],[Miles]]/EarningsPerDay[[#This Row],[Deliveries]]</f>
        <v>3.2</v>
      </c>
      <c r="Z682" s="81">
        <f>(EarningsPerDay[[#This Row],[Hours]]/EarningsPerDay[[#This Row],[Deliveries]])/24</f>
        <v>1.2083333333333333E-2</v>
      </c>
      <c r="AA6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2.7147969483654499</v>
      </c>
      <c r="AB682" s="11">
        <f>AVERAGEIFS(EarningsPerDay[Gross $/Hour],EarningsPerDay[Week '#], EarningsPerDay[[#This Row],[Week '#]], EarningsPerDay[DOW], EarningsPerDay[[#This Row],[DOW]])</f>
        <v>21.037978186413866</v>
      </c>
      <c r="AC682" s="11">
        <f>EarningsPerDay[[#This Row],[Gross $/Hour]] - EarningsPerDay[[#This Row],[Weekly Average Earnings]]</f>
        <v>1.5654700894482012</v>
      </c>
      <c r="AD682" s="11">
        <f>(SUMIFS(EarningsPerDay[Gross Earnings], EarningsPerDay[Date],"&gt;="&amp;EarningsPerDay[[#This Row],[Date]]-89, EarningsPerDay[Date], "&lt;="&amp;EarningsPerDay[[#This Row],[Date]]))/90</f>
        <v>44.38633333333334</v>
      </c>
    </row>
    <row r="683" spans="2:30" x14ac:dyDescent="0.35">
      <c r="B683" s="40">
        <v>45739</v>
      </c>
      <c r="C683" s="40">
        <f t="shared" si="75"/>
        <v>45739</v>
      </c>
      <c r="D683" s="4">
        <f>IF(EarningsPerDay[[#This Row],[Week '#]]&gt;=52,YEAR(EarningsPerDay[[#This Row],[Date]])-1,YEAR(EarningsPerDay[[#This Row],[Date]]))</f>
        <v>2025</v>
      </c>
      <c r="E683" s="4" t="str">
        <f>"QTR"&amp;IF(EarningsPerDay[[#This Row],[Week '#]] &lt;= 13, 1, IF(EarningsPerDay[[#This Row],[Week '#]] &lt;= 26, 2, IF(EarningsPerDay[[#This Row],[Week '#]] &lt;= 39, 3, 4)))</f>
        <v>QTR1</v>
      </c>
      <c r="F6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683" s="4">
        <f>IF(WEEKNUM(EarningsPerDay[[#This Row],[Date]], 2) = 53, 1, WEEKNUM(EarningsPerDay[[#This Row],[Date]],2))</f>
        <v>12</v>
      </c>
      <c r="H683" s="40" t="str">
        <f t="shared" si="89"/>
        <v>Sunday</v>
      </c>
      <c r="I68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83" s="40" t="str" cm="1">
        <f t="array" ref="J683">IFERROR(VLOOKUP(MODE(IF(Combined[Date]=EarningsPerDay[[#This Row],[Date]],Combined[Area '#])),KPIs!$B$4:$C$7,2,FALSE),VLOOKUP(EarningsPerDay[[#This Row],[Date]],Combined[[Date]:[Primary Area]],8,FALSE))</f>
        <v>Brunswick/Bath/Freeport</v>
      </c>
      <c r="K683" s="40" t="str">
        <f>_xlfn.XLOOKUP(EarningsPerDay[[#This Row],[Date]],Mileage[Date],Mileage[Weather])</f>
        <v>Clear</v>
      </c>
      <c r="L683" s="4">
        <f>_xlfn.XLOOKUP(EarningsPerDay[[#This Row],[Date]],Mileage[Date],Mileage[Hi Temp])</f>
        <v>30</v>
      </c>
      <c r="M683" s="12">
        <f>_xlfn.XLOOKUP(EarningsPerDay[[#This Row],[Date]],Mileage[Date],Mileage[Total Time])</f>
        <v>4.43</v>
      </c>
      <c r="N683" s="4">
        <f>_xlfn.XLOOKUP(EarningsPerDay[[#This Row],[Date]],Mileage[Date],Mileage[Mileage])</f>
        <v>130</v>
      </c>
      <c r="O683" s="4">
        <f>SUMIF(Combined[Date],EarningsPerDay[[#This Row],[Date]],Combined[Trips])</f>
        <v>8</v>
      </c>
      <c r="P683">
        <f>COUNTIF(Combined[Date],EarningsPerDay[[#This Row],[Date]])</f>
        <v>2</v>
      </c>
      <c r="Q6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3" s="11">
        <f>SUMIF(Combined[Date],EarningsPerDay[[#This Row],[Date]],Combined[Earnings])</f>
        <v>81.539999999999992</v>
      </c>
      <c r="S683" s="11">
        <f ca="1">EarningsPerDay[[#This Row],[Gross Earnings]]-(EarningsPerDay[[#This Row],[Miles]]*CpM!$D$11)</f>
        <v>52.553497958323092</v>
      </c>
      <c r="T683" s="11">
        <f t="shared" si="78"/>
        <v>18.406320541760721</v>
      </c>
      <c r="U683" s="11">
        <f t="shared" ca="1" si="79"/>
        <v>11.86309208991492</v>
      </c>
      <c r="V683" s="11">
        <f>EarningsPerDay[[#This Row],[Gross Earnings]]/EarningsPerDay[[#This Row],[Deliveries]]</f>
        <v>10.192499999999999</v>
      </c>
      <c r="W683" s="11">
        <f>EarningsPerDay[[#This Row],[Gross Earnings]]/EarningsPerDay[[#This Row],[Miles]]</f>
        <v>0.62723076923076915</v>
      </c>
      <c r="X683" s="71">
        <f>EarningsPerDay[[#This Row],[Deliveries]]/EarningsPerDay[[#This Row],[Hours]]</f>
        <v>1.8058690744920995</v>
      </c>
      <c r="Y683" s="71">
        <f>EarningsPerDay[[#This Row],[Miles]]/EarningsPerDay[[#This Row],[Deliveries]]</f>
        <v>16.25</v>
      </c>
      <c r="Z683" s="81">
        <f>(EarningsPerDay[[#This Row],[Hours]]/EarningsPerDay[[#This Row],[Deliveries]])/24</f>
        <v>2.3072916666666665E-2</v>
      </c>
      <c r="AA6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-5.7382771611662697</v>
      </c>
      <c r="AB683" s="11">
        <f>AVERAGEIFS(EarningsPerDay[Gross $/Hour],EarningsPerDay[Week '#], EarningsPerDay[[#This Row],[Week '#]], EarningsPerDay[DOW], EarningsPerDay[[#This Row],[DOW]])</f>
        <v>23.040660270880359</v>
      </c>
      <c r="AC683" s="11">
        <f>EarningsPerDay[[#This Row],[Gross $/Hour]] - EarningsPerDay[[#This Row],[Weekly Average Earnings]]</f>
        <v>-4.6343397291196382</v>
      </c>
      <c r="AD683" s="11">
        <f>(SUMIFS(EarningsPerDay[Gross Earnings], EarningsPerDay[Date],"&gt;="&amp;EarningsPerDay[[#This Row],[Date]]-89, EarningsPerDay[Date], "&lt;="&amp;EarningsPerDay[[#This Row],[Date]]))/90</f>
        <v>45.292333333333339</v>
      </c>
    </row>
    <row r="684" spans="2:30" x14ac:dyDescent="0.35">
      <c r="B684" s="40">
        <v>45740</v>
      </c>
      <c r="C684" s="40">
        <f t="shared" si="75"/>
        <v>45740</v>
      </c>
      <c r="D684" s="4">
        <f>IF(EarningsPerDay[[#This Row],[Week '#]]&gt;=52,YEAR(EarningsPerDay[[#This Row],[Date]])-1,YEAR(EarningsPerDay[[#This Row],[Date]]))</f>
        <v>2025</v>
      </c>
      <c r="E684" s="4" t="str">
        <f>"QTR"&amp;IF(EarningsPerDay[[#This Row],[Week '#]] &lt;= 13, 1, IF(EarningsPerDay[[#This Row],[Week '#]] &lt;= 26, 2, IF(EarningsPerDay[[#This Row],[Week '#]] &lt;= 39, 3, 4)))</f>
        <v>QTR1</v>
      </c>
      <c r="F6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684" s="4">
        <f>IF(WEEKNUM(EarningsPerDay[[#This Row],[Date]], 2) = 53, 1, WEEKNUM(EarningsPerDay[[#This Row],[Date]],2))</f>
        <v>13</v>
      </c>
      <c r="H684" s="40" t="str">
        <f t="shared" si="89"/>
        <v>Monday</v>
      </c>
      <c r="I68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84" s="40" t="str" cm="1">
        <f t="array" ref="J684">IFERROR(VLOOKUP(MODE(IF(Combined[Date]=EarningsPerDay[[#This Row],[Date]],Combined[Area '#])),KPIs!$B$4:$C$7,2,FALSE),VLOOKUP(EarningsPerDay[[#This Row],[Date]],Combined[[Date]:[Primary Area]],8,FALSE))</f>
        <v>Lewiston</v>
      </c>
      <c r="K684" s="40" t="str">
        <f>_xlfn.XLOOKUP(EarningsPerDay[[#This Row],[Date]],Mileage[Date],Mileage[Weather])</f>
        <v>Light Snow</v>
      </c>
      <c r="L684" s="4">
        <f>_xlfn.XLOOKUP(EarningsPerDay[[#This Row],[Date]],Mileage[Date],Mileage[Hi Temp])</f>
        <v>30</v>
      </c>
      <c r="M684" s="12">
        <f>_xlfn.XLOOKUP(EarningsPerDay[[#This Row],[Date]],Mileage[Date],Mileage[Total Time])</f>
        <v>5.08</v>
      </c>
      <c r="N684" s="4">
        <f>_xlfn.XLOOKUP(EarningsPerDay[[#This Row],[Date]],Mileage[Date],Mileage[Mileage])</f>
        <v>73</v>
      </c>
      <c r="O684" s="4">
        <f>SUMIF(Combined[Date],EarningsPerDay[[#This Row],[Date]],Combined[Trips])</f>
        <v>11</v>
      </c>
      <c r="P684">
        <f>COUNTIF(Combined[Date],EarningsPerDay[[#This Row],[Date]])</f>
        <v>3</v>
      </c>
      <c r="Q68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84" s="11">
        <f>SUMIF(Combined[Date],EarningsPerDay[[#This Row],[Date]],Combined[Earnings])</f>
        <v>108.54</v>
      </c>
      <c r="S684" s="11">
        <f ca="1">EarningsPerDay[[#This Row],[Gross Earnings]]-(EarningsPerDay[[#This Row],[Miles]]*CpM!$D$11)</f>
        <v>92.262964238135282</v>
      </c>
      <c r="T684" s="11">
        <f t="shared" si="78"/>
        <v>21.366141732283467</v>
      </c>
      <c r="U684" s="11">
        <f t="shared" ca="1" si="79"/>
        <v>18.162000834278597</v>
      </c>
      <c r="V684" s="11">
        <f>EarningsPerDay[[#This Row],[Gross Earnings]]/EarningsPerDay[[#This Row],[Deliveries]]</f>
        <v>9.8672727272727272</v>
      </c>
      <c r="W684" s="11">
        <f>EarningsPerDay[[#This Row],[Gross Earnings]]/EarningsPerDay[[#This Row],[Miles]]</f>
        <v>1.4868493150684932</v>
      </c>
      <c r="X684" s="71">
        <f>EarningsPerDay[[#This Row],[Deliveries]]/EarningsPerDay[[#This Row],[Hours]]</f>
        <v>2.1653543307086616</v>
      </c>
      <c r="Y684" s="71">
        <f>EarningsPerDay[[#This Row],[Miles]]/EarningsPerDay[[#This Row],[Deliveries]]</f>
        <v>6.6363636363636367</v>
      </c>
      <c r="Z684" s="81">
        <f>(EarningsPerDay[[#This Row],[Hours]]/EarningsPerDay[[#This Row],[Deliveries]])/24</f>
        <v>1.9242424242424245E-2</v>
      </c>
      <c r="AA6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3.6303990267131745</v>
      </c>
      <c r="AB684" s="11">
        <f>AVERAGEIFS(EarningsPerDay[Gross $/Hour],EarningsPerDay[Week '#], EarningsPerDay[[#This Row],[Week '#]], EarningsPerDay[DOW], EarningsPerDay[[#This Row],[DOW]])</f>
        <v>28.889867756914999</v>
      </c>
      <c r="AC684" s="11">
        <f>EarningsPerDay[[#This Row],[Gross $/Hour]] - EarningsPerDay[[#This Row],[Weekly Average Earnings]]</f>
        <v>-7.5237260246315323</v>
      </c>
      <c r="AD684" s="11">
        <f>(SUMIFS(EarningsPerDay[Gross Earnings], EarningsPerDay[Date],"&gt;="&amp;EarningsPerDay[[#This Row],[Date]]-89, EarningsPerDay[Date], "&lt;="&amp;EarningsPerDay[[#This Row],[Date]]))/90</f>
        <v>46.498333333333335</v>
      </c>
    </row>
    <row r="685" spans="2:30" x14ac:dyDescent="0.35">
      <c r="B685" s="40">
        <v>45741</v>
      </c>
      <c r="C685" s="40">
        <f t="shared" si="75"/>
        <v>45741</v>
      </c>
      <c r="D685" s="4">
        <f>IF(EarningsPerDay[[#This Row],[Week '#]]&gt;=52,YEAR(EarningsPerDay[[#This Row],[Date]])-1,YEAR(EarningsPerDay[[#This Row],[Date]]))</f>
        <v>2025</v>
      </c>
      <c r="E685" s="4" t="str">
        <f>"QTR"&amp;IF(EarningsPerDay[[#This Row],[Week '#]] &lt;= 13, 1, IF(EarningsPerDay[[#This Row],[Week '#]] &lt;= 26, 2, IF(EarningsPerDay[[#This Row],[Week '#]] &lt;= 39, 3, 4)))</f>
        <v>QTR1</v>
      </c>
      <c r="F6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685" s="4">
        <f>IF(WEEKNUM(EarningsPerDay[[#This Row],[Date]], 2) = 53, 1, WEEKNUM(EarningsPerDay[[#This Row],[Date]],2))</f>
        <v>13</v>
      </c>
      <c r="H685" s="40" t="str">
        <f t="shared" si="89"/>
        <v>Tuesday</v>
      </c>
      <c r="I68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85" s="40" t="str" cm="1">
        <f t="array" ref="J685">IFERROR(VLOOKUP(MODE(IF(Combined[Date]=EarningsPerDay[[#This Row],[Date]],Combined[Area '#])),KPIs!$B$4:$C$7,2,FALSE),VLOOKUP(EarningsPerDay[[#This Row],[Date]],Combined[[Date]:[Primary Area]],8,FALSE))</f>
        <v>Lewiston</v>
      </c>
      <c r="K685" s="40" t="str">
        <f>_xlfn.XLOOKUP(EarningsPerDay[[#This Row],[Date]],Mileage[Date],Mileage[Weather])</f>
        <v>Overcast</v>
      </c>
      <c r="L685" s="4">
        <f>_xlfn.XLOOKUP(EarningsPerDay[[#This Row],[Date]],Mileage[Date],Mileage[Hi Temp])</f>
        <v>43</v>
      </c>
      <c r="M685" s="12">
        <f>_xlfn.XLOOKUP(EarningsPerDay[[#This Row],[Date]],Mileage[Date],Mileage[Total Time])</f>
        <v>2.4500000000000002</v>
      </c>
      <c r="N685" s="4">
        <f>_xlfn.XLOOKUP(EarningsPerDay[[#This Row],[Date]],Mileage[Date],Mileage[Mileage])</f>
        <v>59</v>
      </c>
      <c r="O685" s="4">
        <f>SUMIF(Combined[Date],EarningsPerDay[[#This Row],[Date]],Combined[Trips])</f>
        <v>4</v>
      </c>
      <c r="P685">
        <f>COUNTIF(Combined[Date],EarningsPerDay[[#This Row],[Date]])</f>
        <v>3</v>
      </c>
      <c r="Q6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5" s="11">
        <f>SUMIF(Combined[Date],EarningsPerDay[[#This Row],[Date]],Combined[Earnings])</f>
        <v>51.32</v>
      </c>
      <c r="S685" s="11">
        <f ca="1">EarningsPerDay[[#This Row],[Gross Earnings]]-(EarningsPerDay[[#This Row],[Miles]]*CpM!$D$11)</f>
        <v>38.164587534931258</v>
      </c>
      <c r="T685" s="11">
        <f t="shared" si="78"/>
        <v>20.946938775510201</v>
      </c>
      <c r="U685" s="11">
        <f t="shared" ca="1" si="79"/>
        <v>15.577382667318879</v>
      </c>
      <c r="V685" s="11">
        <f>EarningsPerDay[[#This Row],[Gross Earnings]]/EarningsPerDay[[#This Row],[Deliveries]]</f>
        <v>12.83</v>
      </c>
      <c r="W685" s="11">
        <f>EarningsPerDay[[#This Row],[Gross Earnings]]/EarningsPerDay[[#This Row],[Miles]]</f>
        <v>0.86983050847457632</v>
      </c>
      <c r="X685" s="71">
        <f>EarningsPerDay[[#This Row],[Deliveries]]/EarningsPerDay[[#This Row],[Hours]]</f>
        <v>1.6326530612244896</v>
      </c>
      <c r="Y685" s="71">
        <f>EarningsPerDay[[#This Row],[Miles]]/EarningsPerDay[[#This Row],[Deliveries]]</f>
        <v>14.75</v>
      </c>
      <c r="Z685" s="81">
        <f>(EarningsPerDay[[#This Row],[Hours]]/EarningsPerDay[[#This Row],[Deliveries]])/24</f>
        <v>2.5520833333333336E-2</v>
      </c>
      <c r="AA6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1.2282165406435155</v>
      </c>
      <c r="AB685" s="11">
        <f>AVERAGEIFS(EarningsPerDay[Gross $/Hour],EarningsPerDay[Week '#], EarningsPerDay[[#This Row],[Week '#]], EarningsPerDay[DOW], EarningsPerDay[[#This Row],[DOW]])</f>
        <v>23.049833024118737</v>
      </c>
      <c r="AC685" s="11">
        <f>EarningsPerDay[[#This Row],[Gross $/Hour]] - EarningsPerDay[[#This Row],[Weekly Average Earnings]]</f>
        <v>-2.1028942486085356</v>
      </c>
      <c r="AD685" s="11">
        <f>(SUMIFS(EarningsPerDay[Gross Earnings], EarningsPerDay[Date],"&gt;="&amp;EarningsPerDay[[#This Row],[Date]]-89, EarningsPerDay[Date], "&lt;="&amp;EarningsPerDay[[#This Row],[Date]]))/90</f>
        <v>47.068555555555555</v>
      </c>
    </row>
    <row r="686" spans="2:30" x14ac:dyDescent="0.35">
      <c r="B686" s="40">
        <v>45744</v>
      </c>
      <c r="C686" s="40">
        <f t="shared" si="75"/>
        <v>45744</v>
      </c>
      <c r="D686" s="4">
        <f>IF(EarningsPerDay[[#This Row],[Week '#]]&gt;=52,YEAR(EarningsPerDay[[#This Row],[Date]])-1,YEAR(EarningsPerDay[[#This Row],[Date]]))</f>
        <v>2025</v>
      </c>
      <c r="E686" s="4" t="str">
        <f>"QTR"&amp;IF(EarningsPerDay[[#This Row],[Week '#]] &lt;= 13, 1, IF(EarningsPerDay[[#This Row],[Week '#]] &lt;= 26, 2, IF(EarningsPerDay[[#This Row],[Week '#]] &lt;= 39, 3, 4)))</f>
        <v>QTR1</v>
      </c>
      <c r="F6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686" s="4">
        <f>IF(WEEKNUM(EarningsPerDay[[#This Row],[Date]], 2) = 53, 1, WEEKNUM(EarningsPerDay[[#This Row],[Date]],2))</f>
        <v>13</v>
      </c>
      <c r="H686" s="40" t="str">
        <f t="shared" si="89"/>
        <v>Friday</v>
      </c>
      <c r="I68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86" s="40" t="str" cm="1">
        <f t="array" ref="J686">IFERROR(VLOOKUP(MODE(IF(Combined[Date]=EarningsPerDay[[#This Row],[Date]],Combined[Area '#])),KPIs!$B$4:$C$7,2,FALSE),VLOOKUP(EarningsPerDay[[#This Row],[Date]],Combined[[Date]:[Primary Area]],8,FALSE))</f>
        <v>Lewiston</v>
      </c>
      <c r="K686" s="40" t="str">
        <f>_xlfn.XLOOKUP(EarningsPerDay[[#This Row],[Date]],Mileage[Date],Mileage[Weather])</f>
        <v>Partially Cloudy</v>
      </c>
      <c r="L686" s="4">
        <f>_xlfn.XLOOKUP(EarningsPerDay[[#This Row],[Date]],Mileage[Date],Mileage[Hi Temp])</f>
        <v>46</v>
      </c>
      <c r="M686" s="12">
        <f>_xlfn.XLOOKUP(EarningsPerDay[[#This Row],[Date]],Mileage[Date],Mileage[Total Time])</f>
        <v>3.98</v>
      </c>
      <c r="N686" s="4">
        <f>_xlfn.XLOOKUP(EarningsPerDay[[#This Row],[Date]],Mileage[Date],Mileage[Mileage])</f>
        <v>68</v>
      </c>
      <c r="O686" s="4">
        <f>SUMIF(Combined[Date],EarningsPerDay[[#This Row],[Date]],Combined[Trips])</f>
        <v>9</v>
      </c>
      <c r="P686">
        <f>COUNTIF(Combined[Date],EarningsPerDay[[#This Row],[Date]])</f>
        <v>2</v>
      </c>
      <c r="Q6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6" s="11">
        <f>SUMIF(Combined[Date],EarningsPerDay[[#This Row],[Date]],Combined[Earnings])</f>
        <v>68.489999999999995</v>
      </c>
      <c r="S686" s="11">
        <f ca="1">EarningsPerDay[[#This Row],[Gross Earnings]]-(EarningsPerDay[[#This Row],[Miles]]*CpM!$D$11)</f>
        <v>53.327829701276698</v>
      </c>
      <c r="T686" s="11">
        <f t="shared" si="78"/>
        <v>17.208542713567837</v>
      </c>
      <c r="U686" s="11">
        <f t="shared" ca="1" si="79"/>
        <v>13.398952186250426</v>
      </c>
      <c r="V686" s="11">
        <f>EarningsPerDay[[#This Row],[Gross Earnings]]/EarningsPerDay[[#This Row],[Deliveries]]</f>
        <v>7.6099999999999994</v>
      </c>
      <c r="W686" s="11">
        <f>EarningsPerDay[[#This Row],[Gross Earnings]]/EarningsPerDay[[#This Row],[Miles]]</f>
        <v>1.0072058823529411</v>
      </c>
      <c r="X686" s="71">
        <f>EarningsPerDay[[#This Row],[Deliveries]]/EarningsPerDay[[#This Row],[Hours]]</f>
        <v>2.2613065326633164</v>
      </c>
      <c r="Y686" s="71">
        <f>EarningsPerDay[[#This Row],[Miles]]/EarningsPerDay[[#This Row],[Deliveries]]</f>
        <v>7.5555555555555554</v>
      </c>
      <c r="Z686" s="81">
        <f>(EarningsPerDay[[#This Row],[Hours]]/EarningsPerDay[[#This Row],[Deliveries]])/24</f>
        <v>1.8425925925925925E-2</v>
      </c>
      <c r="AA6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-1.8955082957483107</v>
      </c>
      <c r="AB686" s="11">
        <f>AVERAGEIFS(EarningsPerDay[Gross $/Hour],EarningsPerDay[Week '#], EarningsPerDay[[#This Row],[Week '#]], EarningsPerDay[DOW], EarningsPerDay[[#This Row],[DOW]])</f>
        <v>21.587544461558959</v>
      </c>
      <c r="AC686" s="11">
        <f>EarningsPerDay[[#This Row],[Gross $/Hour]] - EarningsPerDay[[#This Row],[Weekly Average Earnings]]</f>
        <v>-4.3790017479911221</v>
      </c>
      <c r="AD686" s="11">
        <f>(SUMIFS(EarningsPerDay[Gross Earnings], EarningsPerDay[Date],"&gt;="&amp;EarningsPerDay[[#This Row],[Date]]-89, EarningsPerDay[Date], "&lt;="&amp;EarningsPerDay[[#This Row],[Date]]))/90</f>
        <v>47.829555555555551</v>
      </c>
    </row>
    <row r="687" spans="2:30" x14ac:dyDescent="0.35">
      <c r="B687" s="40">
        <v>45746</v>
      </c>
      <c r="C687" s="40">
        <f t="shared" si="75"/>
        <v>45746</v>
      </c>
      <c r="D687" s="4">
        <f>IF(EarningsPerDay[[#This Row],[Week '#]]&gt;=52,YEAR(EarningsPerDay[[#This Row],[Date]])-1,YEAR(EarningsPerDay[[#This Row],[Date]]))</f>
        <v>2025</v>
      </c>
      <c r="E687" s="4" t="str">
        <f>"QTR"&amp;IF(EarningsPerDay[[#This Row],[Week '#]] &lt;= 13, 1, IF(EarningsPerDay[[#This Row],[Week '#]] &lt;= 26, 2, IF(EarningsPerDay[[#This Row],[Week '#]] &lt;= 39, 3, 4)))</f>
        <v>QTR1</v>
      </c>
      <c r="F6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687" s="4">
        <f>IF(WEEKNUM(EarningsPerDay[[#This Row],[Date]], 2) = 53, 1, WEEKNUM(EarningsPerDay[[#This Row],[Date]],2))</f>
        <v>13</v>
      </c>
      <c r="H687" s="40" t="str">
        <f t="shared" ref="H687:H694" si="90">TEXT(B687,"DDDD")</f>
        <v>Sunday</v>
      </c>
      <c r="I687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87" s="40" t="str" cm="1">
        <f t="array" ref="J687">IFERROR(VLOOKUP(MODE(IF(Combined[Date]=EarningsPerDay[[#This Row],[Date]],Combined[Area '#])),KPIs!$B$4:$C$7,2,FALSE),VLOOKUP(EarningsPerDay[[#This Row],[Date]],Combined[[Date]:[Primary Area]],8,FALSE))</f>
        <v>Brunswick/Bath/Freeport</v>
      </c>
      <c r="K687" s="40" t="str">
        <f>_xlfn.XLOOKUP(EarningsPerDay[[#This Row],[Date]],Mileage[Date],Mileage[Weather])</f>
        <v>Freezing Rain / Ice</v>
      </c>
      <c r="L687" s="4">
        <f>_xlfn.XLOOKUP(EarningsPerDay[[#This Row],[Date]],Mileage[Date],Mileage[Hi Temp])</f>
        <v>34</v>
      </c>
      <c r="M687" s="12">
        <f>_xlfn.XLOOKUP(EarningsPerDay[[#This Row],[Date]],Mileage[Date],Mileage[Total Time])</f>
        <v>6.28</v>
      </c>
      <c r="N687" s="4">
        <f>_xlfn.XLOOKUP(EarningsPerDay[[#This Row],[Date]],Mileage[Date],Mileage[Mileage])</f>
        <v>115</v>
      </c>
      <c r="O687" s="4">
        <f>SUMIF(Combined[Date],EarningsPerDay[[#This Row],[Date]],Combined[Trips])</f>
        <v>11</v>
      </c>
      <c r="P687">
        <f>COUNTIF(Combined[Date],EarningsPerDay[[#This Row],[Date]])</f>
        <v>3</v>
      </c>
      <c r="Q6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7" s="11">
        <f>SUMIF(Combined[Date],EarningsPerDay[[#This Row],[Date]],Combined[Earnings])</f>
        <v>153.68</v>
      </c>
      <c r="S687" s="11">
        <f ca="1">EarningsPerDay[[#This Row],[Gross Earnings]]-(EarningsPerDay[[#This Row],[Miles]]*CpM!$D$11)</f>
        <v>128.03809434774737</v>
      </c>
      <c r="T687" s="11">
        <f t="shared" si="78"/>
        <v>24.471337579617835</v>
      </c>
      <c r="U687" s="11">
        <f t="shared" ca="1" si="79"/>
        <v>20.388231584036205</v>
      </c>
      <c r="V687" s="11">
        <f>EarningsPerDay[[#This Row],[Gross Earnings]]/EarningsPerDay[[#This Row],[Deliveries]]</f>
        <v>13.970909090909091</v>
      </c>
      <c r="W687" s="11">
        <f>EarningsPerDay[[#This Row],[Gross Earnings]]/EarningsPerDay[[#This Row],[Miles]]</f>
        <v>1.3363478260869566</v>
      </c>
      <c r="X687" s="71">
        <f>EarningsPerDay[[#This Row],[Deliveries]]/EarningsPerDay[[#This Row],[Hours]]</f>
        <v>1.7515923566878979</v>
      </c>
      <c r="Y687" s="71">
        <f>EarningsPerDay[[#This Row],[Miles]]/EarningsPerDay[[#This Row],[Deliveries]]</f>
        <v>10.454545454545455</v>
      </c>
      <c r="Z687" s="81">
        <f>(EarningsPerDay[[#This Row],[Hours]]/EarningsPerDay[[#This Row],[Deliveries]])/24</f>
        <v>2.3787878787878788E-2</v>
      </c>
      <c r="AA6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0.80492964012136525</v>
      </c>
      <c r="AB687" s="11">
        <f>AVERAGEIFS(EarningsPerDay[Gross $/Hour],EarningsPerDay[Week '#], EarningsPerDay[[#This Row],[Week '#]], EarningsPerDay[DOW], EarningsPerDay[[#This Row],[DOW]])</f>
        <v>24.684581833287179</v>
      </c>
      <c r="AC687" s="11">
        <f>EarningsPerDay[[#This Row],[Gross $/Hour]] - EarningsPerDay[[#This Row],[Weekly Average Earnings]]</f>
        <v>-0.21324425366934463</v>
      </c>
      <c r="AD687" s="11">
        <f>(SUMIFS(EarningsPerDay[Gross Earnings], EarningsPerDay[Date],"&gt;="&amp;EarningsPerDay[[#This Row],[Date]]-89, EarningsPerDay[Date], "&lt;="&amp;EarningsPerDay[[#This Row],[Date]]))/90</f>
        <v>49.537111111111116</v>
      </c>
    </row>
    <row r="688" spans="2:30" x14ac:dyDescent="0.35">
      <c r="B688" s="40">
        <v>45754</v>
      </c>
      <c r="C688" s="40">
        <f t="shared" si="75"/>
        <v>45754</v>
      </c>
      <c r="D688" s="4">
        <f>IF(EarningsPerDay[[#This Row],[Week '#]]&gt;=52,YEAR(EarningsPerDay[[#This Row],[Date]])-1,YEAR(EarningsPerDay[[#This Row],[Date]]))</f>
        <v>2025</v>
      </c>
      <c r="E688" s="4" t="str">
        <f>"QTR"&amp;IF(EarningsPerDay[[#This Row],[Week '#]] &lt;= 13, 1, IF(EarningsPerDay[[#This Row],[Week '#]] &lt;= 26, 2, IF(EarningsPerDay[[#This Row],[Week '#]] &lt;= 39, 3, 4)))</f>
        <v>QTR2</v>
      </c>
      <c r="F6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88" s="4">
        <f>IF(WEEKNUM(EarningsPerDay[[#This Row],[Date]], 2) = 53, 1, WEEKNUM(EarningsPerDay[[#This Row],[Date]],2))</f>
        <v>15</v>
      </c>
      <c r="H688" s="40" t="str">
        <f t="shared" si="90"/>
        <v>Monday</v>
      </c>
      <c r="I688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688" s="40" t="str" cm="1">
        <f t="array" ref="J688">IFERROR(VLOOKUP(MODE(IF(Combined[Date]=EarningsPerDay[[#This Row],[Date]],Combined[Area '#])),KPIs!$B$4:$C$7,2,FALSE),VLOOKUP(EarningsPerDay[[#This Row],[Date]],Combined[[Date]:[Primary Area]],8,FALSE))</f>
        <v>Brunswick/Bath/Freeport</v>
      </c>
      <c r="K688" s="40" t="str">
        <f>_xlfn.XLOOKUP(EarningsPerDay[[#This Row],[Date]],Mileage[Date],Mileage[Weather])</f>
        <v>Mostly Cloudy</v>
      </c>
      <c r="L688" s="4">
        <f>_xlfn.XLOOKUP(EarningsPerDay[[#This Row],[Date]],Mileage[Date],Mileage[Hi Temp])</f>
        <v>39</v>
      </c>
      <c r="M688" s="12">
        <f>_xlfn.XLOOKUP(EarningsPerDay[[#This Row],[Date]],Mileage[Date],Mileage[Total Time])</f>
        <v>4.92</v>
      </c>
      <c r="N688" s="4">
        <f>_xlfn.XLOOKUP(EarningsPerDay[[#This Row],[Date]],Mileage[Date],Mileage[Mileage])</f>
        <v>105</v>
      </c>
      <c r="O688" s="4">
        <f>SUMIF(Combined[Date],EarningsPerDay[[#This Row],[Date]],Combined[Trips])</f>
        <v>9</v>
      </c>
      <c r="P688">
        <f>COUNTIF(Combined[Date],EarningsPerDay[[#This Row],[Date]])</f>
        <v>2</v>
      </c>
      <c r="Q6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8" s="11">
        <f>SUMIF(Combined[Date],EarningsPerDay[[#This Row],[Date]],Combined[Earnings])</f>
        <v>116.99</v>
      </c>
      <c r="S688" s="11">
        <f ca="1">EarningsPerDay[[#This Row],[Gross Earnings]]-(EarningsPerDay[[#This Row],[Miles]]*CpM!$D$11)</f>
        <v>93.577825274030189</v>
      </c>
      <c r="T688" s="11">
        <f t="shared" si="78"/>
        <v>23.778455284552845</v>
      </c>
      <c r="U688" s="11">
        <f t="shared" ca="1" si="79"/>
        <v>19.019883185778493</v>
      </c>
      <c r="V688" s="11">
        <f>EarningsPerDay[[#This Row],[Gross Earnings]]/EarningsPerDay[[#This Row],[Deliveries]]</f>
        <v>12.998888888888889</v>
      </c>
      <c r="W688" s="11">
        <f>EarningsPerDay[[#This Row],[Gross Earnings]]/EarningsPerDay[[#This Row],[Miles]]</f>
        <v>1.1141904761904762</v>
      </c>
      <c r="X688" s="71">
        <f>EarningsPerDay[[#This Row],[Deliveries]]/EarningsPerDay[[#This Row],[Hours]]</f>
        <v>1.8292682926829269</v>
      </c>
      <c r="Y688" s="71">
        <f>EarningsPerDay[[#This Row],[Miles]]/EarningsPerDay[[#This Row],[Deliveries]]</f>
        <v>11.666666666666666</v>
      </c>
      <c r="Z688" s="81">
        <f>(EarningsPerDay[[#This Row],[Hours]]/EarningsPerDay[[#This Row],[Deliveries]])/24</f>
        <v>2.2777777777777775E-2</v>
      </c>
      <c r="AA6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3.8120205703011223</v>
      </c>
      <c r="AB688" s="11">
        <f>AVERAGEIFS(EarningsPerDay[Gross $/Hour],EarningsPerDay[Week '#], EarningsPerDay[[#This Row],[Week '#]], EarningsPerDay[DOW], EarningsPerDay[[#This Row],[DOW]])</f>
        <v>22.041942574403119</v>
      </c>
      <c r="AC688" s="11">
        <f>EarningsPerDay[[#This Row],[Gross $/Hour]] - EarningsPerDay[[#This Row],[Weekly Average Earnings]]</f>
        <v>1.7365127101497251</v>
      </c>
      <c r="AD688" s="11">
        <f>(SUMIFS(EarningsPerDay[Gross Earnings], EarningsPerDay[Date],"&gt;="&amp;EarningsPerDay[[#This Row],[Date]]-89, EarningsPerDay[Date], "&lt;="&amp;EarningsPerDay[[#This Row],[Date]]))/90</f>
        <v>48.988111111111124</v>
      </c>
    </row>
    <row r="689" spans="2:30" x14ac:dyDescent="0.35">
      <c r="B689" s="40">
        <v>45755</v>
      </c>
      <c r="C689" s="40">
        <f t="shared" si="75"/>
        <v>45755</v>
      </c>
      <c r="D689" s="4">
        <f>IF(EarningsPerDay[[#This Row],[Week '#]]&gt;=52,YEAR(EarningsPerDay[[#This Row],[Date]])-1,YEAR(EarningsPerDay[[#This Row],[Date]]))</f>
        <v>2025</v>
      </c>
      <c r="E689" s="4" t="str">
        <f>"QTR"&amp;IF(EarningsPerDay[[#This Row],[Week '#]] &lt;= 13, 1, IF(EarningsPerDay[[#This Row],[Week '#]] &lt;= 26, 2, IF(EarningsPerDay[[#This Row],[Week '#]] &lt;= 39, 3, 4)))</f>
        <v>QTR2</v>
      </c>
      <c r="F6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89" s="4">
        <f>IF(WEEKNUM(EarningsPerDay[[#This Row],[Date]], 2) = 53, 1, WEEKNUM(EarningsPerDay[[#This Row],[Date]],2))</f>
        <v>15</v>
      </c>
      <c r="H689" s="40" t="str">
        <f t="shared" si="90"/>
        <v>Tuesday</v>
      </c>
      <c r="I68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89" s="40" t="str" cm="1">
        <f t="array" ref="J689">IFERROR(VLOOKUP(MODE(IF(Combined[Date]=EarningsPerDay[[#This Row],[Date]],Combined[Area '#])),KPIs!$B$4:$C$7,2,FALSE),VLOOKUP(EarningsPerDay[[#This Row],[Date]],Combined[[Date]:[Primary Area]],8,FALSE))</f>
        <v>Augusta</v>
      </c>
      <c r="K689" s="40" t="str">
        <f>_xlfn.XLOOKUP(EarningsPerDay[[#This Row],[Date]],Mileage[Date],Mileage[Weather])</f>
        <v>Snow Storm</v>
      </c>
      <c r="L689" s="4">
        <f>_xlfn.XLOOKUP(EarningsPerDay[[#This Row],[Date]],Mileage[Date],Mileage[Hi Temp])</f>
        <v>34</v>
      </c>
      <c r="M689" s="12">
        <f>_xlfn.XLOOKUP(EarningsPerDay[[#This Row],[Date]],Mileage[Date],Mileage[Total Time])</f>
        <v>5.57</v>
      </c>
      <c r="N689" s="4">
        <f>_xlfn.XLOOKUP(EarningsPerDay[[#This Row],[Date]],Mileage[Date],Mileage[Mileage])</f>
        <v>119</v>
      </c>
      <c r="O689" s="4">
        <f>SUMIF(Combined[Date],EarningsPerDay[[#This Row],[Date]],Combined[Trips])</f>
        <v>11</v>
      </c>
      <c r="P689">
        <f>COUNTIF(Combined[Date],EarningsPerDay[[#This Row],[Date]])</f>
        <v>1</v>
      </c>
      <c r="Q6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89" s="11">
        <f>SUMIF(Combined[Date],EarningsPerDay[[#This Row],[Date]],Combined[Earnings])</f>
        <v>130.44</v>
      </c>
      <c r="S689" s="11">
        <f ca="1">EarningsPerDay[[#This Row],[Gross Earnings]]-(EarningsPerDay[[#This Row],[Miles]]*CpM!$D$11)</f>
        <v>103.90620197723422</v>
      </c>
      <c r="T689" s="11">
        <f t="shared" si="78"/>
        <v>23.41831238779174</v>
      </c>
      <c r="U689" s="11">
        <f t="shared" ca="1" si="79"/>
        <v>18.654614358569876</v>
      </c>
      <c r="V689" s="11">
        <f>EarningsPerDay[[#This Row],[Gross Earnings]]/EarningsPerDay[[#This Row],[Deliveries]]</f>
        <v>11.858181818181817</v>
      </c>
      <c r="W689" s="11">
        <f>EarningsPerDay[[#This Row],[Gross Earnings]]/EarningsPerDay[[#This Row],[Miles]]</f>
        <v>1.0961344537815125</v>
      </c>
      <c r="X689" s="71">
        <f>EarningsPerDay[[#This Row],[Deliveries]]/EarningsPerDay[[#This Row],[Hours]]</f>
        <v>1.9748653500897666</v>
      </c>
      <c r="Y689" s="71">
        <f>EarningsPerDay[[#This Row],[Miles]]/EarningsPerDay[[#This Row],[Deliveries]]</f>
        <v>10.818181818181818</v>
      </c>
      <c r="Z689" s="81">
        <f>(EarningsPerDay[[#This Row],[Hours]]/EarningsPerDay[[#This Row],[Deliveries]])/24</f>
        <v>2.1098484848484849E-2</v>
      </c>
      <c r="AA6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6.1025179757817334</v>
      </c>
      <c r="AB689" s="11">
        <f>AVERAGEIFS(EarningsPerDay[Gross $/Hour],EarningsPerDay[Week '#], EarningsPerDay[[#This Row],[Week '#]], EarningsPerDay[DOW], EarningsPerDay[[#This Row],[DOW]])</f>
        <v>21.082970919354722</v>
      </c>
      <c r="AC689" s="11">
        <f>EarningsPerDay[[#This Row],[Gross $/Hour]] - EarningsPerDay[[#This Row],[Weekly Average Earnings]]</f>
        <v>2.3353414684370186</v>
      </c>
      <c r="AD689" s="11">
        <f>(SUMIFS(EarningsPerDay[Gross Earnings], EarningsPerDay[Date],"&gt;="&amp;EarningsPerDay[[#This Row],[Date]]-89, EarningsPerDay[Date], "&lt;="&amp;EarningsPerDay[[#This Row],[Date]]))/90</f>
        <v>50.192888888888888</v>
      </c>
    </row>
    <row r="690" spans="2:30" x14ac:dyDescent="0.35">
      <c r="B690" s="40">
        <v>45758</v>
      </c>
      <c r="C690" s="40">
        <f t="shared" si="75"/>
        <v>45758</v>
      </c>
      <c r="D690" s="4">
        <f>IF(EarningsPerDay[[#This Row],[Week '#]]&gt;=52,YEAR(EarningsPerDay[[#This Row],[Date]])-1,YEAR(EarningsPerDay[[#This Row],[Date]]))</f>
        <v>2025</v>
      </c>
      <c r="E690" s="4" t="str">
        <f>"QTR"&amp;IF(EarningsPerDay[[#This Row],[Week '#]] &lt;= 13, 1, IF(EarningsPerDay[[#This Row],[Week '#]] &lt;= 26, 2, IF(EarningsPerDay[[#This Row],[Week '#]] &lt;= 39, 3, 4)))</f>
        <v>QTR2</v>
      </c>
      <c r="F6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90" s="4">
        <f>IF(WEEKNUM(EarningsPerDay[[#This Row],[Date]], 2) = 53, 1, WEEKNUM(EarningsPerDay[[#This Row],[Date]],2))</f>
        <v>15</v>
      </c>
      <c r="H690" s="40" t="str">
        <f t="shared" si="90"/>
        <v>Friday</v>
      </c>
      <c r="I69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90" s="40" t="str" cm="1">
        <f t="array" ref="J690">IFERROR(VLOOKUP(MODE(IF(Combined[Date]=EarningsPerDay[[#This Row],[Date]],Combined[Area '#])),KPIs!$B$4:$C$7,2,FALSE),VLOOKUP(EarningsPerDay[[#This Row],[Date]],Combined[[Date]:[Primary Area]],8,FALSE))</f>
        <v>Augusta</v>
      </c>
      <c r="K690" s="40" t="str">
        <f>_xlfn.XLOOKUP(EarningsPerDay[[#This Row],[Date]],Mileage[Date],Mileage[Weather])</f>
        <v>Overcast</v>
      </c>
      <c r="L690" s="4">
        <f>_xlfn.XLOOKUP(EarningsPerDay[[#This Row],[Date]],Mileage[Date],Mileage[Hi Temp])</f>
        <v>43</v>
      </c>
      <c r="M690" s="12">
        <f>_xlfn.XLOOKUP(EarningsPerDay[[#This Row],[Date]],Mileage[Date],Mileage[Total Time])</f>
        <v>3.5</v>
      </c>
      <c r="N690" s="4">
        <f>_xlfn.XLOOKUP(EarningsPerDay[[#This Row],[Date]],Mileage[Date],Mileage[Mileage])</f>
        <v>104</v>
      </c>
      <c r="O690" s="4">
        <f>SUMIF(Combined[Date],EarningsPerDay[[#This Row],[Date]],Combined[Trips])</f>
        <v>6</v>
      </c>
      <c r="P690">
        <f>COUNTIF(Combined[Date],EarningsPerDay[[#This Row],[Date]])</f>
        <v>1</v>
      </c>
      <c r="Q69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90" s="11">
        <f>SUMIF(Combined[Date],EarningsPerDay[[#This Row],[Date]],Combined[Earnings])</f>
        <v>57.27</v>
      </c>
      <c r="S690" s="11">
        <f ca="1">EarningsPerDay[[#This Row],[Gross Earnings]]-(EarningsPerDay[[#This Row],[Miles]]*CpM!$D$11)</f>
        <v>34.080798366658485</v>
      </c>
      <c r="T690" s="11">
        <f t="shared" si="78"/>
        <v>16.362857142857145</v>
      </c>
      <c r="U690" s="11">
        <f t="shared" ca="1" si="79"/>
        <v>9.7373709619024247</v>
      </c>
      <c r="V690" s="11">
        <f>EarningsPerDay[[#This Row],[Gross Earnings]]/EarningsPerDay[[#This Row],[Deliveries]]</f>
        <v>9.5449999999999999</v>
      </c>
      <c r="W690" s="11">
        <f>EarningsPerDay[[#This Row],[Gross Earnings]]/EarningsPerDay[[#This Row],[Miles]]</f>
        <v>0.55067307692307699</v>
      </c>
      <c r="X690" s="71">
        <f>EarningsPerDay[[#This Row],[Deliveries]]/EarningsPerDay[[#This Row],[Hours]]</f>
        <v>1.7142857142857142</v>
      </c>
      <c r="Y690" s="71">
        <f>EarningsPerDay[[#This Row],[Miles]]/EarningsPerDay[[#This Row],[Deliveries]]</f>
        <v>17.333333333333332</v>
      </c>
      <c r="Z690" s="81">
        <f>(EarningsPerDay[[#This Row],[Hours]]/EarningsPerDay[[#This Row],[Deliveries]])/24</f>
        <v>2.4305555555555556E-2</v>
      </c>
      <c r="AA6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-5.2268864468864464</v>
      </c>
      <c r="AB690" s="11">
        <f>AVERAGEIFS(EarningsPerDay[Gross $/Hour],EarningsPerDay[Week '#], EarningsPerDay[[#This Row],[Week '#]], EarningsPerDay[DOW], EarningsPerDay[[#This Row],[DOW]])</f>
        <v>19.73987012987013</v>
      </c>
      <c r="AC690" s="11">
        <f>EarningsPerDay[[#This Row],[Gross $/Hour]] - EarningsPerDay[[#This Row],[Weekly Average Earnings]]</f>
        <v>-3.3770129870129857</v>
      </c>
      <c r="AD690" s="11">
        <f>(SUMIFS(EarningsPerDay[Gross Earnings], EarningsPerDay[Date],"&gt;="&amp;EarningsPerDay[[#This Row],[Date]]-89, EarningsPerDay[Date], "&lt;="&amp;EarningsPerDay[[#This Row],[Date]]))/90</f>
        <v>49.023888888888884</v>
      </c>
    </row>
    <row r="691" spans="2:30" x14ac:dyDescent="0.35">
      <c r="B691" s="40">
        <v>45759</v>
      </c>
      <c r="C691" s="40">
        <f t="shared" si="75"/>
        <v>45759</v>
      </c>
      <c r="D691" s="4">
        <f>IF(EarningsPerDay[[#This Row],[Week '#]]&gt;=52,YEAR(EarningsPerDay[[#This Row],[Date]])-1,YEAR(EarningsPerDay[[#This Row],[Date]]))</f>
        <v>2025</v>
      </c>
      <c r="E691" s="4" t="str">
        <f>"QTR"&amp;IF(EarningsPerDay[[#This Row],[Week '#]] &lt;= 13, 1, IF(EarningsPerDay[[#This Row],[Week '#]] &lt;= 26, 2, IF(EarningsPerDay[[#This Row],[Week '#]] &lt;= 39, 3, 4)))</f>
        <v>QTR2</v>
      </c>
      <c r="F6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691" s="4">
        <f>IF(WEEKNUM(EarningsPerDay[[#This Row],[Date]], 2) = 53, 1, WEEKNUM(EarningsPerDay[[#This Row],[Date]],2))</f>
        <v>15</v>
      </c>
      <c r="H691" s="40" t="str">
        <f t="shared" si="90"/>
        <v>Saturday</v>
      </c>
      <c r="I69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691" s="40" t="str" cm="1">
        <f t="array" ref="J691">IFERROR(VLOOKUP(MODE(IF(Combined[Date]=EarningsPerDay[[#This Row],[Date]],Combined[Area '#])),KPIs!$B$4:$C$7,2,FALSE),VLOOKUP(EarningsPerDay[[#This Row],[Date]],Combined[[Date]:[Primary Area]],8,FALSE))</f>
        <v>Augusta</v>
      </c>
      <c r="K691" s="40" t="str">
        <f>_xlfn.XLOOKUP(EarningsPerDay[[#This Row],[Date]],Mileage[Date],Mileage[Weather])</f>
        <v>Partially Cloudy</v>
      </c>
      <c r="L691" s="4">
        <f>_xlfn.XLOOKUP(EarningsPerDay[[#This Row],[Date]],Mileage[Date],Mileage[Hi Temp])</f>
        <v>37</v>
      </c>
      <c r="M691" s="12">
        <f>_xlfn.XLOOKUP(EarningsPerDay[[#This Row],[Date]],Mileage[Date],Mileage[Total Time])</f>
        <v>5.0199999999999996</v>
      </c>
      <c r="N691" s="4">
        <f>_xlfn.XLOOKUP(EarningsPerDay[[#This Row],[Date]],Mileage[Date],Mileage[Mileage])</f>
        <v>101</v>
      </c>
      <c r="O691" s="4">
        <f>SUMIF(Combined[Date],EarningsPerDay[[#This Row],[Date]],Combined[Trips])</f>
        <v>11</v>
      </c>
      <c r="P691">
        <f>COUNTIF(Combined[Date],EarningsPerDay[[#This Row],[Date]])</f>
        <v>2</v>
      </c>
      <c r="Q69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91" s="11">
        <f>SUMIF(Combined[Date],EarningsPerDay[[#This Row],[Date]],Combined[Earnings])</f>
        <v>113.41</v>
      </c>
      <c r="S691" s="11">
        <f ca="1">EarningsPerDay[[#This Row],[Gross Earnings]]-(EarningsPerDay[[#This Row],[Miles]]*CpM!$D$11)</f>
        <v>90.889717644543339</v>
      </c>
      <c r="T691" s="11">
        <f t="shared" si="78"/>
        <v>22.591633466135459</v>
      </c>
      <c r="U691" s="11">
        <f t="shared" ca="1" si="79"/>
        <v>18.105521443136126</v>
      </c>
      <c r="V691" s="11">
        <f>EarningsPerDay[[#This Row],[Gross Earnings]]/EarningsPerDay[[#This Row],[Deliveries]]</f>
        <v>10.31</v>
      </c>
      <c r="W691" s="11">
        <f>EarningsPerDay[[#This Row],[Gross Earnings]]/EarningsPerDay[[#This Row],[Miles]]</f>
        <v>1.1228712871287128</v>
      </c>
      <c r="X691" s="71">
        <f>EarningsPerDay[[#This Row],[Deliveries]]/EarningsPerDay[[#This Row],[Hours]]</f>
        <v>2.1912350597609564</v>
      </c>
      <c r="Y691" s="71">
        <f>EarningsPerDay[[#This Row],[Miles]]/EarningsPerDay[[#This Row],[Deliveries]]</f>
        <v>9.1818181818181817</v>
      </c>
      <c r="Z691" s="81">
        <f>(EarningsPerDay[[#This Row],[Hours]]/EarningsPerDay[[#This Row],[Deliveries]])/24</f>
        <v>1.9015151515151513E-2</v>
      </c>
      <c r="AA6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0.73490831993662908</v>
      </c>
      <c r="AB691" s="11">
        <f>AVERAGEIFS(EarningsPerDay[Gross $/Hour],EarningsPerDay[Week '#], EarningsPerDay[[#This Row],[Week '#]], EarningsPerDay[DOW], EarningsPerDay[[#This Row],[DOW]])</f>
        <v>27.152961642707922</v>
      </c>
      <c r="AC691" s="11">
        <f>EarningsPerDay[[#This Row],[Gross $/Hour]] - EarningsPerDay[[#This Row],[Weekly Average Earnings]]</f>
        <v>-4.5613281765724629</v>
      </c>
      <c r="AD691" s="11">
        <f>(SUMIFS(EarningsPerDay[Gross Earnings], EarningsPerDay[Date],"&gt;="&amp;EarningsPerDay[[#This Row],[Date]]-89, EarningsPerDay[Date], "&lt;="&amp;EarningsPerDay[[#This Row],[Date]]))/90</f>
        <v>50.283999999999992</v>
      </c>
    </row>
    <row r="692" spans="2:30" x14ac:dyDescent="0.35">
      <c r="B692" s="40">
        <v>45761</v>
      </c>
      <c r="C692" s="40">
        <f t="shared" si="75"/>
        <v>45761</v>
      </c>
      <c r="D692" s="4">
        <f>IF(EarningsPerDay[[#This Row],[Week '#]]&gt;=52,YEAR(EarningsPerDay[[#This Row],[Date]])-1,YEAR(EarningsPerDay[[#This Row],[Date]]))</f>
        <v>2025</v>
      </c>
      <c r="E692" s="4" t="str">
        <f>"QTR"&amp;IF(EarningsPerDay[[#This Row],[Week '#]] &lt;= 13, 1, IF(EarningsPerDay[[#This Row],[Week '#]] &lt;= 26, 2, IF(EarningsPerDay[[#This Row],[Week '#]] &lt;= 39, 3, 4)))</f>
        <v>QTR2</v>
      </c>
      <c r="F6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92" s="4">
        <f>IF(WEEKNUM(EarningsPerDay[[#This Row],[Date]], 2) = 53, 1, WEEKNUM(EarningsPerDay[[#This Row],[Date]],2))</f>
        <v>16</v>
      </c>
      <c r="H692" s="40" t="str">
        <f t="shared" si="90"/>
        <v>Monday</v>
      </c>
      <c r="I69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92" s="40" t="str" cm="1">
        <f t="array" ref="J692">IFERROR(VLOOKUP(MODE(IF(Combined[Date]=EarningsPerDay[[#This Row],[Date]],Combined[Area '#])),KPIs!$B$4:$C$7,2,FALSE),VLOOKUP(EarningsPerDay[[#This Row],[Date]],Combined[[Date]:[Primary Area]],8,FALSE))</f>
        <v>Brunswick/Bath/Freeport</v>
      </c>
      <c r="K692" s="40" t="str">
        <f>_xlfn.XLOOKUP(EarningsPerDay[[#This Row],[Date]],Mileage[Date],Mileage[Weather])</f>
        <v>Clear</v>
      </c>
      <c r="L692" s="4">
        <f>_xlfn.XLOOKUP(EarningsPerDay[[#This Row],[Date]],Mileage[Date],Mileage[Hi Temp])</f>
        <v>57</v>
      </c>
      <c r="M692" s="12">
        <f>_xlfn.XLOOKUP(EarningsPerDay[[#This Row],[Date]],Mileage[Date],Mileage[Total Time])</f>
        <v>4.9800000000000004</v>
      </c>
      <c r="N692" s="4">
        <f>_xlfn.XLOOKUP(EarningsPerDay[[#This Row],[Date]],Mileage[Date],Mileage[Mileage])</f>
        <v>135</v>
      </c>
      <c r="O692" s="4">
        <f>SUMIF(Combined[Date],EarningsPerDay[[#This Row],[Date]],Combined[Trips])</f>
        <v>10</v>
      </c>
      <c r="P692">
        <f>COUNTIF(Combined[Date],EarningsPerDay[[#This Row],[Date]])</f>
        <v>3</v>
      </c>
      <c r="Q6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2" s="11">
        <f>SUMIF(Combined[Date],EarningsPerDay[[#This Row],[Date]],Combined[Earnings])</f>
        <v>148.73000000000002</v>
      </c>
      <c r="S692" s="11">
        <f ca="1">EarningsPerDay[[#This Row],[Gross Earnings]]-(EarningsPerDay[[#This Row],[Miles]]*CpM!$D$11)</f>
        <v>118.62863249518171</v>
      </c>
      <c r="T692" s="11">
        <f t="shared" si="78"/>
        <v>29.865461847389561</v>
      </c>
      <c r="U692" s="11">
        <f t="shared" ca="1" si="79"/>
        <v>23.821010541201144</v>
      </c>
      <c r="V692" s="11">
        <f>EarningsPerDay[[#This Row],[Gross Earnings]]/EarningsPerDay[[#This Row],[Deliveries]]</f>
        <v>14.873000000000001</v>
      </c>
      <c r="W692" s="11">
        <f>EarningsPerDay[[#This Row],[Gross Earnings]]/EarningsPerDay[[#This Row],[Miles]]</f>
        <v>1.1017037037037039</v>
      </c>
      <c r="X692" s="71">
        <f>EarningsPerDay[[#This Row],[Deliveries]]/EarningsPerDay[[#This Row],[Hours]]</f>
        <v>2.0080321285140559</v>
      </c>
      <c r="Y692" s="71">
        <f>EarningsPerDay[[#This Row],[Miles]]/EarningsPerDay[[#This Row],[Deliveries]]</f>
        <v>13.5</v>
      </c>
      <c r="Z692" s="81">
        <f>(EarningsPerDay[[#This Row],[Hours]]/EarningsPerDay[[#This Row],[Deliveries]])/24</f>
        <v>2.0750000000000001E-2</v>
      </c>
      <c r="AA6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9.5178250761077265</v>
      </c>
      <c r="AB692" s="11">
        <f>AVERAGEIFS(EarningsPerDay[Gross $/Hour],EarningsPerDay[Week '#], EarningsPerDay[[#This Row],[Week '#]], EarningsPerDay[DOW], EarningsPerDay[[#This Row],[DOW]])</f>
        <v>29.865461847389561</v>
      </c>
      <c r="AC692" s="11">
        <f>EarningsPerDay[[#This Row],[Gross $/Hour]] - EarningsPerDay[[#This Row],[Weekly Average Earnings]]</f>
        <v>0</v>
      </c>
      <c r="AD692" s="11">
        <f>(SUMIFS(EarningsPerDay[Gross Earnings], EarningsPerDay[Date],"&gt;="&amp;EarningsPerDay[[#This Row],[Date]]-89, EarningsPerDay[Date], "&lt;="&amp;EarningsPerDay[[#This Row],[Date]]))/90</f>
        <v>51.013777777777776</v>
      </c>
    </row>
    <row r="693" spans="2:30" x14ac:dyDescent="0.35">
      <c r="B693" s="40">
        <v>45763</v>
      </c>
      <c r="C693" s="40">
        <f t="shared" si="75"/>
        <v>45763</v>
      </c>
      <c r="D693" s="4">
        <f>IF(EarningsPerDay[[#This Row],[Week '#]]&gt;=52,YEAR(EarningsPerDay[[#This Row],[Date]])-1,YEAR(EarningsPerDay[[#This Row],[Date]]))</f>
        <v>2025</v>
      </c>
      <c r="E693" s="4" t="str">
        <f>"QTR"&amp;IF(EarningsPerDay[[#This Row],[Week '#]] &lt;= 13, 1, IF(EarningsPerDay[[#This Row],[Week '#]] &lt;= 26, 2, IF(EarningsPerDay[[#This Row],[Week '#]] &lt;= 39, 3, 4)))</f>
        <v>QTR2</v>
      </c>
      <c r="F6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93" s="4">
        <f>IF(WEEKNUM(EarningsPerDay[[#This Row],[Date]], 2) = 53, 1, WEEKNUM(EarningsPerDay[[#This Row],[Date]],2))</f>
        <v>16</v>
      </c>
      <c r="H693" s="40" t="str">
        <f t="shared" si="90"/>
        <v>Wednesday</v>
      </c>
      <c r="I69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693" s="40" t="str" cm="1">
        <f t="array" ref="J693">IFERROR(VLOOKUP(MODE(IF(Combined[Date]=EarningsPerDay[[#This Row],[Date]],Combined[Area '#])),KPIs!$B$4:$C$7,2,FALSE),VLOOKUP(EarningsPerDay[[#This Row],[Date]],Combined[[Date]:[Primary Area]],8,FALSE))</f>
        <v>Lewiston</v>
      </c>
      <c r="K693" s="40" t="str">
        <f>_xlfn.XLOOKUP(EarningsPerDay[[#This Row],[Date]],Mileage[Date],Mileage[Weather])</f>
        <v>Partially Cloudy</v>
      </c>
      <c r="L693" s="4">
        <f>_xlfn.XLOOKUP(EarningsPerDay[[#This Row],[Date]],Mileage[Date],Mileage[Hi Temp])</f>
        <v>43</v>
      </c>
      <c r="M693" s="12">
        <f>_xlfn.XLOOKUP(EarningsPerDay[[#This Row],[Date]],Mileage[Date],Mileage[Total Time])</f>
        <v>5.28</v>
      </c>
      <c r="N693" s="4">
        <f>_xlfn.XLOOKUP(EarningsPerDay[[#This Row],[Date]],Mileage[Date],Mileage[Mileage])</f>
        <v>108</v>
      </c>
      <c r="O693" s="4">
        <f>SUMIF(Combined[Date],EarningsPerDay[[#This Row],[Date]],Combined[Trips])</f>
        <v>12</v>
      </c>
      <c r="P693">
        <f>COUNTIF(Combined[Date],EarningsPerDay[[#This Row],[Date]])</f>
        <v>3</v>
      </c>
      <c r="Q69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93" s="11">
        <f>SUMIF(Combined[Date],EarningsPerDay[[#This Row],[Date]],Combined[Earnings])</f>
        <v>119.21</v>
      </c>
      <c r="S693" s="11">
        <f ca="1">EarningsPerDay[[#This Row],[Gross Earnings]]-(EarningsPerDay[[#This Row],[Miles]]*CpM!$D$11)</f>
        <v>95.128905996145335</v>
      </c>
      <c r="T693" s="11">
        <f t="shared" si="78"/>
        <v>22.577651515151512</v>
      </c>
      <c r="U693" s="11">
        <f t="shared" ca="1" si="79"/>
        <v>18.016838256845706</v>
      </c>
      <c r="V693" s="11">
        <f>EarningsPerDay[[#This Row],[Gross Earnings]]/EarningsPerDay[[#This Row],[Deliveries]]</f>
        <v>9.9341666666666661</v>
      </c>
      <c r="W693" s="11">
        <f>EarningsPerDay[[#This Row],[Gross Earnings]]/EarningsPerDay[[#This Row],[Miles]]</f>
        <v>1.1037962962962962</v>
      </c>
      <c r="X693" s="71">
        <f>EarningsPerDay[[#This Row],[Deliveries]]/EarningsPerDay[[#This Row],[Hours]]</f>
        <v>2.2727272727272725</v>
      </c>
      <c r="Y693" s="71">
        <f>EarningsPerDay[[#This Row],[Miles]]/EarningsPerDay[[#This Row],[Deliveries]]</f>
        <v>9</v>
      </c>
      <c r="Z693" s="81">
        <f>(EarningsPerDay[[#This Row],[Hours]]/EarningsPerDay[[#This Row],[Deliveries]])/24</f>
        <v>1.8333333333333333E-2</v>
      </c>
      <c r="AA6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5.5018785314465184</v>
      </c>
      <c r="AB693" s="11">
        <f>AVERAGEIFS(EarningsPerDay[Gross $/Hour],EarningsPerDay[Week '#], EarningsPerDay[[#This Row],[Week '#]], EarningsPerDay[DOW], EarningsPerDay[[#This Row],[DOW]])</f>
        <v>18.663094763423707</v>
      </c>
      <c r="AC693" s="11">
        <f>EarningsPerDay[[#This Row],[Gross $/Hour]] - EarningsPerDay[[#This Row],[Weekly Average Earnings]]</f>
        <v>3.9145567517278046</v>
      </c>
      <c r="AD693" s="11">
        <f>(SUMIFS(EarningsPerDay[Gross Earnings], EarningsPerDay[Date],"&gt;="&amp;EarningsPerDay[[#This Row],[Date]]-89, EarningsPerDay[Date], "&lt;="&amp;EarningsPerDay[[#This Row],[Date]]))/90</f>
        <v>51.361444444444444</v>
      </c>
    </row>
    <row r="694" spans="2:30" x14ac:dyDescent="0.35">
      <c r="B694" s="40">
        <v>45764</v>
      </c>
      <c r="C694" s="40">
        <f t="shared" si="75"/>
        <v>45764</v>
      </c>
      <c r="D694" s="4">
        <f>IF(EarningsPerDay[[#This Row],[Week '#]]&gt;=52,YEAR(EarningsPerDay[[#This Row],[Date]])-1,YEAR(EarningsPerDay[[#This Row],[Date]]))</f>
        <v>2025</v>
      </c>
      <c r="E694" s="4" t="str">
        <f>"QTR"&amp;IF(EarningsPerDay[[#This Row],[Week '#]] &lt;= 13, 1, IF(EarningsPerDay[[#This Row],[Week '#]] &lt;= 26, 2, IF(EarningsPerDay[[#This Row],[Week '#]] &lt;= 39, 3, 4)))</f>
        <v>QTR2</v>
      </c>
      <c r="F6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694" s="4">
        <f>IF(WEEKNUM(EarningsPerDay[[#This Row],[Date]], 2) = 53, 1, WEEKNUM(EarningsPerDay[[#This Row],[Date]],2))</f>
        <v>16</v>
      </c>
      <c r="H694" s="40" t="str">
        <f t="shared" si="90"/>
        <v>Thursday</v>
      </c>
      <c r="I694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694" s="40" t="str" cm="1">
        <f t="array" ref="J694">IFERROR(VLOOKUP(MODE(IF(Combined[Date]=EarningsPerDay[[#This Row],[Date]],Combined[Area '#])),KPIs!$B$4:$C$7,2,FALSE),VLOOKUP(EarningsPerDay[[#This Row],[Date]],Combined[[Date]:[Primary Area]],8,FALSE))</f>
        <v>Lewiston</v>
      </c>
      <c r="K694" s="40" t="str">
        <f>_xlfn.XLOOKUP(EarningsPerDay[[#This Row],[Date]],Mileage[Date],Mileage[Weather])</f>
        <v>Clear</v>
      </c>
      <c r="L694" s="4">
        <f>_xlfn.XLOOKUP(EarningsPerDay[[#This Row],[Date]],Mileage[Date],Mileage[Hi Temp])</f>
        <v>52</v>
      </c>
      <c r="M694" s="12">
        <f>_xlfn.XLOOKUP(EarningsPerDay[[#This Row],[Date]],Mileage[Date],Mileage[Total Time])</f>
        <v>3.93</v>
      </c>
      <c r="N694" s="4">
        <f>_xlfn.XLOOKUP(EarningsPerDay[[#This Row],[Date]],Mileage[Date],Mileage[Mileage])</f>
        <v>81</v>
      </c>
      <c r="O694" s="4">
        <f>SUMIF(Combined[Date],EarningsPerDay[[#This Row],[Date]],Combined[Trips])</f>
        <v>10</v>
      </c>
      <c r="P694">
        <f>COUNTIF(Combined[Date],EarningsPerDay[[#This Row],[Date]])</f>
        <v>2</v>
      </c>
      <c r="Q6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4" s="11">
        <f>SUMIF(Combined[Date],EarningsPerDay[[#This Row],[Date]],Combined[Earnings])</f>
        <v>68.38</v>
      </c>
      <c r="S694" s="11">
        <f ca="1">EarningsPerDay[[#This Row],[Gross Earnings]]-(EarningsPerDay[[#This Row],[Miles]]*CpM!$D$11)</f>
        <v>50.319179497109005</v>
      </c>
      <c r="T694" s="11">
        <f t="shared" si="78"/>
        <v>17.399491094147582</v>
      </c>
      <c r="U694" s="11">
        <f t="shared" ca="1" si="79"/>
        <v>12.803862467457762</v>
      </c>
      <c r="V694" s="11">
        <f>EarningsPerDay[[#This Row],[Gross Earnings]]/EarningsPerDay[[#This Row],[Deliveries]]</f>
        <v>6.8379999999999992</v>
      </c>
      <c r="W694" s="11">
        <f>EarningsPerDay[[#This Row],[Gross Earnings]]/EarningsPerDay[[#This Row],[Miles]]</f>
        <v>0.84419753086419747</v>
      </c>
      <c r="X694" s="71">
        <f>EarningsPerDay[[#This Row],[Deliveries]]/EarningsPerDay[[#This Row],[Hours]]</f>
        <v>2.5445292620865141</v>
      </c>
      <c r="Y694" s="71">
        <f>EarningsPerDay[[#This Row],[Miles]]/EarningsPerDay[[#This Row],[Deliveries]]</f>
        <v>8.1</v>
      </c>
      <c r="Z694" s="81">
        <f>(EarningsPerDay[[#This Row],[Hours]]/EarningsPerDay[[#This Row],[Deliveries]])/24</f>
        <v>1.6375000000000001E-2</v>
      </c>
      <c r="AA6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-1.2171407310630187</v>
      </c>
      <c r="AB694" s="11">
        <f>AVERAGEIFS(EarningsPerDay[Gross $/Hour],EarningsPerDay[Week '#], EarningsPerDay[[#This Row],[Week '#]], EarningsPerDay[DOW], EarningsPerDay[[#This Row],[DOW]])</f>
        <v>20.870675779631931</v>
      </c>
      <c r="AC694" s="11">
        <f>EarningsPerDay[[#This Row],[Gross $/Hour]] - EarningsPerDay[[#This Row],[Weekly Average Earnings]]</f>
        <v>-3.4711846854843493</v>
      </c>
      <c r="AD694" s="11">
        <f>(SUMIFS(EarningsPerDay[Gross Earnings], EarningsPerDay[Date],"&gt;="&amp;EarningsPerDay[[#This Row],[Date]]-89, EarningsPerDay[Date], "&lt;="&amp;EarningsPerDay[[#This Row],[Date]]))/90</f>
        <v>51.011777777777773</v>
      </c>
    </row>
    <row r="695" spans="2:30" x14ac:dyDescent="0.35">
      <c r="B695" s="40">
        <v>45768</v>
      </c>
      <c r="C695" s="40">
        <f t="shared" si="75"/>
        <v>45768</v>
      </c>
      <c r="D695" s="4">
        <f>IF(EarningsPerDay[[#This Row],[Week '#]]&gt;=52,YEAR(EarningsPerDay[[#This Row],[Date]])-1,YEAR(EarningsPerDay[[#This Row],[Date]]))</f>
        <v>2025</v>
      </c>
      <c r="E695" s="4" t="str">
        <f>"QTR"&amp;IF(EarningsPerDay[[#This Row],[Week '#]] &lt;= 13, 1, IF(EarningsPerDay[[#This Row],[Week '#]] &lt;= 26, 2, IF(EarningsPerDay[[#This Row],[Week '#]] &lt;= 39, 3, 4)))</f>
        <v>QTR2</v>
      </c>
      <c r="F6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95" s="4">
        <f>IF(WEEKNUM(EarningsPerDay[[#This Row],[Date]], 2) = 53, 1, WEEKNUM(EarningsPerDay[[#This Row],[Date]],2))</f>
        <v>17</v>
      </c>
      <c r="H695" s="40" t="str">
        <f t="shared" ref="H695:H700" si="91">TEXT(B695,"DDDD")</f>
        <v>Monday</v>
      </c>
      <c r="I69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95" s="40" t="str" cm="1">
        <f t="array" ref="J695">IFERROR(VLOOKUP(MODE(IF(Combined[Date]=EarningsPerDay[[#This Row],[Date]],Combined[Area '#])),KPIs!$B$4:$C$7,2,FALSE),VLOOKUP(EarningsPerDay[[#This Row],[Date]],Combined[[Date]:[Primary Area]],8,FALSE))</f>
        <v>Brunswick/Bath/Freeport</v>
      </c>
      <c r="K695" s="40" t="str">
        <f>_xlfn.XLOOKUP(EarningsPerDay[[#This Row],[Date]],Mileage[Date],Mileage[Weather])</f>
        <v>Light Rain</v>
      </c>
      <c r="L695" s="4">
        <f>_xlfn.XLOOKUP(EarningsPerDay[[#This Row],[Date]],Mileage[Date],Mileage[Hi Temp])</f>
        <v>48</v>
      </c>
      <c r="M695" s="12">
        <f>_xlfn.XLOOKUP(EarningsPerDay[[#This Row],[Date]],Mileage[Date],Mileage[Total Time])</f>
        <v>4.7</v>
      </c>
      <c r="N695" s="4">
        <f>_xlfn.XLOOKUP(EarningsPerDay[[#This Row],[Date]],Mileage[Date],Mileage[Mileage])</f>
        <v>137</v>
      </c>
      <c r="O695" s="4">
        <f>SUMIF(Combined[Date],EarningsPerDay[[#This Row],[Date]],Combined[Trips])</f>
        <v>11</v>
      </c>
      <c r="P695">
        <f>COUNTIF(Combined[Date],EarningsPerDay[[#This Row],[Date]])</f>
        <v>3</v>
      </c>
      <c r="Q69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95" s="11">
        <f>SUMIF(Combined[Date],EarningsPerDay[[#This Row],[Date]],Combined[Earnings])</f>
        <v>103.03</v>
      </c>
      <c r="S695" s="11">
        <f ca="1">EarningsPerDay[[#This Row],[Gross Earnings]]-(EarningsPerDay[[#This Row],[Miles]]*CpM!$D$11)</f>
        <v>72.482686309925114</v>
      </c>
      <c r="T695" s="11">
        <f t="shared" si="78"/>
        <v>21.921276595744679</v>
      </c>
      <c r="U695" s="11">
        <f t="shared" ca="1" si="79"/>
        <v>15.421848151047897</v>
      </c>
      <c r="V695" s="11">
        <f>EarningsPerDay[[#This Row],[Gross Earnings]]/EarningsPerDay[[#This Row],[Deliveries]]</f>
        <v>9.3663636363636371</v>
      </c>
      <c r="W695" s="11">
        <f>EarningsPerDay[[#This Row],[Gross Earnings]]/EarningsPerDay[[#This Row],[Miles]]</f>
        <v>0.75204379562043799</v>
      </c>
      <c r="X695" s="71">
        <f>EarningsPerDay[[#This Row],[Deliveries]]/EarningsPerDay[[#This Row],[Hours]]</f>
        <v>2.3404255319148937</v>
      </c>
      <c r="Y695" s="71">
        <f>EarningsPerDay[[#This Row],[Miles]]/EarningsPerDay[[#This Row],[Deliveries]]</f>
        <v>12.454545454545455</v>
      </c>
      <c r="Z695" s="81">
        <f>(EarningsPerDay[[#This Row],[Hours]]/EarningsPerDay[[#This Row],[Deliveries]])/24</f>
        <v>1.7803030303030303E-2</v>
      </c>
      <c r="AA6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0.70838299936214</v>
      </c>
      <c r="AB695" s="11">
        <f>AVERAGEIFS(EarningsPerDay[Gross $/Hour],EarningsPerDay[Week '#], EarningsPerDay[[#This Row],[Week '#]], EarningsPerDay[DOW], EarningsPerDay[[#This Row],[DOW]])</f>
        <v>19.811569974890972</v>
      </c>
      <c r="AC695" s="11">
        <f>EarningsPerDay[[#This Row],[Gross $/Hour]] - EarningsPerDay[[#This Row],[Weekly Average Earnings]]</f>
        <v>2.1097066208537072</v>
      </c>
      <c r="AD695" s="11">
        <f>(SUMIFS(EarningsPerDay[Gross Earnings], EarningsPerDay[Date],"&gt;="&amp;EarningsPerDay[[#This Row],[Date]]-89, EarningsPerDay[Date], "&lt;="&amp;EarningsPerDay[[#This Row],[Date]]))/90</f>
        <v>49.834777777777781</v>
      </c>
    </row>
    <row r="696" spans="2:30" x14ac:dyDescent="0.35">
      <c r="B696" s="40">
        <v>45769</v>
      </c>
      <c r="C696" s="40">
        <f t="shared" si="75"/>
        <v>45769</v>
      </c>
      <c r="D696" s="4">
        <f>IF(EarningsPerDay[[#This Row],[Week '#]]&gt;=52,YEAR(EarningsPerDay[[#This Row],[Date]])-1,YEAR(EarningsPerDay[[#This Row],[Date]]))</f>
        <v>2025</v>
      </c>
      <c r="E696" s="4" t="str">
        <f>"QTR"&amp;IF(EarningsPerDay[[#This Row],[Week '#]] &lt;= 13, 1, IF(EarningsPerDay[[#This Row],[Week '#]] &lt;= 26, 2, IF(EarningsPerDay[[#This Row],[Week '#]] &lt;= 39, 3, 4)))</f>
        <v>QTR2</v>
      </c>
      <c r="F6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96" s="4">
        <f>IF(WEEKNUM(EarningsPerDay[[#This Row],[Date]], 2) = 53, 1, WEEKNUM(EarningsPerDay[[#This Row],[Date]],2))</f>
        <v>17</v>
      </c>
      <c r="H696" s="40" t="str">
        <f t="shared" si="91"/>
        <v>Tuesday</v>
      </c>
      <c r="I696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696" s="40" t="str" cm="1">
        <f t="array" ref="J696">IFERROR(VLOOKUP(MODE(IF(Combined[Date]=EarningsPerDay[[#This Row],[Date]],Combined[Area '#])),KPIs!$B$4:$C$7,2,FALSE),VLOOKUP(EarningsPerDay[[#This Row],[Date]],Combined[[Date]:[Primary Area]],8,FALSE))</f>
        <v>Lewiston</v>
      </c>
      <c r="K696" s="40" t="str">
        <f>_xlfn.XLOOKUP(EarningsPerDay[[#This Row],[Date]],Mileage[Date],Mileage[Weather])</f>
        <v>Overcast</v>
      </c>
      <c r="L696" s="4">
        <f>_xlfn.XLOOKUP(EarningsPerDay[[#This Row],[Date]],Mileage[Date],Mileage[Hi Temp])</f>
        <v>61</v>
      </c>
      <c r="M696" s="12">
        <f>_xlfn.XLOOKUP(EarningsPerDay[[#This Row],[Date]],Mileage[Date],Mileage[Total Time])</f>
        <v>4.0999999999999996</v>
      </c>
      <c r="N696" s="4">
        <f>_xlfn.XLOOKUP(EarningsPerDay[[#This Row],[Date]],Mileage[Date],Mileage[Mileage])</f>
        <v>94</v>
      </c>
      <c r="O696" s="4">
        <f>SUMIF(Combined[Date],EarningsPerDay[[#This Row],[Date]],Combined[Trips])</f>
        <v>7</v>
      </c>
      <c r="P696">
        <f>COUNTIF(Combined[Date],EarningsPerDay[[#This Row],[Date]])</f>
        <v>1</v>
      </c>
      <c r="Q69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6" s="11">
        <f>SUMIF(Combined[Date],EarningsPerDay[[#This Row],[Date]],Combined[Earnings])</f>
        <v>62.21</v>
      </c>
      <c r="S696" s="11">
        <f ca="1">EarningsPerDay[[#This Row],[Gross Earnings]]-(EarningsPerDay[[#This Row],[Miles]]*CpM!$D$11)</f>
        <v>41.250529292941323</v>
      </c>
      <c r="T696" s="11">
        <f t="shared" si="78"/>
        <v>15.173170731707319</v>
      </c>
      <c r="U696" s="11">
        <f t="shared" ca="1" si="79"/>
        <v>10.061104705595445</v>
      </c>
      <c r="V696" s="11">
        <f>EarningsPerDay[[#This Row],[Gross Earnings]]/EarningsPerDay[[#This Row],[Deliveries]]</f>
        <v>8.887142857142857</v>
      </c>
      <c r="W696" s="11">
        <f>EarningsPerDay[[#This Row],[Gross Earnings]]/EarningsPerDay[[#This Row],[Miles]]</f>
        <v>0.66180851063829793</v>
      </c>
      <c r="X696" s="71">
        <f>EarningsPerDay[[#This Row],[Deliveries]]/EarningsPerDay[[#This Row],[Hours]]</f>
        <v>1.7073170731707319</v>
      </c>
      <c r="Y696" s="71">
        <f>EarningsPerDay[[#This Row],[Miles]]/EarningsPerDay[[#This Row],[Deliveries]]</f>
        <v>13.428571428571429</v>
      </c>
      <c r="Z696" s="81">
        <f>(EarningsPerDay[[#This Row],[Hours]]/EarningsPerDay[[#This Row],[Deliveries]])/24</f>
        <v>2.4404761904761901E-2</v>
      </c>
      <c r="AA6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-1.4122459349593477</v>
      </c>
      <c r="AB696" s="11">
        <f>AVERAGEIFS(EarningsPerDay[Gross $/Hour],EarningsPerDay[Week '#], EarningsPerDay[[#This Row],[Week '#]], EarningsPerDay[DOW], EarningsPerDay[[#This Row],[DOW]])</f>
        <v>16.253252032520326</v>
      </c>
      <c r="AC696" s="11">
        <f>EarningsPerDay[[#This Row],[Gross $/Hour]] - EarningsPerDay[[#This Row],[Weekly Average Earnings]]</f>
        <v>-1.0800813008130064</v>
      </c>
      <c r="AD696" s="11">
        <f>(SUMIFS(EarningsPerDay[Gross Earnings], EarningsPerDay[Date],"&gt;="&amp;EarningsPerDay[[#This Row],[Date]]-89, EarningsPerDay[Date], "&lt;="&amp;EarningsPerDay[[#This Row],[Date]]))/90</f>
        <v>50.011444444444429</v>
      </c>
    </row>
    <row r="697" spans="2:30" x14ac:dyDescent="0.35">
      <c r="B697" s="40">
        <v>45770</v>
      </c>
      <c r="C697" s="40">
        <f t="shared" ref="C697:C760" si="92">B697</f>
        <v>45770</v>
      </c>
      <c r="D697" s="4">
        <f>IF(EarningsPerDay[[#This Row],[Week '#]]&gt;=52,YEAR(EarningsPerDay[[#This Row],[Date]])-1,YEAR(EarningsPerDay[[#This Row],[Date]]))</f>
        <v>2025</v>
      </c>
      <c r="E697" s="4" t="str">
        <f>"QTR"&amp;IF(EarningsPerDay[[#This Row],[Week '#]] &lt;= 13, 1, IF(EarningsPerDay[[#This Row],[Week '#]] &lt;= 26, 2, IF(EarningsPerDay[[#This Row],[Week '#]] &lt;= 39, 3, 4)))</f>
        <v>QTR2</v>
      </c>
      <c r="F6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97" s="4">
        <f>IF(WEEKNUM(EarningsPerDay[[#This Row],[Date]], 2) = 53, 1, WEEKNUM(EarningsPerDay[[#This Row],[Date]],2))</f>
        <v>17</v>
      </c>
      <c r="H697" s="40" t="str">
        <f t="shared" si="91"/>
        <v>Wednesday</v>
      </c>
      <c r="I69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97" s="40" t="str" cm="1">
        <f t="array" ref="J697">IFERROR(VLOOKUP(MODE(IF(Combined[Date]=EarningsPerDay[[#This Row],[Date]],Combined[Area '#])),KPIs!$B$4:$C$7,2,FALSE),VLOOKUP(EarningsPerDay[[#This Row],[Date]],Combined[[Date]:[Primary Area]],8,FALSE))</f>
        <v>Brunswick/Bath/Freeport</v>
      </c>
      <c r="K697" s="40" t="str">
        <f>_xlfn.XLOOKUP(EarningsPerDay[[#This Row],[Date]],Mileage[Date],Mileage[Weather])</f>
        <v>Clear</v>
      </c>
      <c r="L697" s="4">
        <f>_xlfn.XLOOKUP(EarningsPerDay[[#This Row],[Date]],Mileage[Date],Mileage[Hi Temp])</f>
        <v>61</v>
      </c>
      <c r="M697" s="12">
        <f>_xlfn.XLOOKUP(EarningsPerDay[[#This Row],[Date]],Mileage[Date],Mileage[Total Time])</f>
        <v>5.33</v>
      </c>
      <c r="N697" s="4">
        <f>_xlfn.XLOOKUP(EarningsPerDay[[#This Row],[Date]],Mileage[Date],Mileage[Mileage])</f>
        <v>144</v>
      </c>
      <c r="O697" s="4">
        <f>SUMIF(Combined[Date],EarningsPerDay[[#This Row],[Date]],Combined[Trips])</f>
        <v>11</v>
      </c>
      <c r="P697">
        <f>COUNTIF(Combined[Date],EarningsPerDay[[#This Row],[Date]])</f>
        <v>3</v>
      </c>
      <c r="Q6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7" s="11">
        <f>SUMIF(Combined[Date],EarningsPerDay[[#This Row],[Date]],Combined[Earnings])</f>
        <v>147.32999999999998</v>
      </c>
      <c r="S697" s="11">
        <f ca="1">EarningsPerDay[[#This Row],[Gross Earnings]]-(EarningsPerDay[[#This Row],[Miles]]*CpM!$D$11)</f>
        <v>115.22187466152711</v>
      </c>
      <c r="T697" s="11">
        <f t="shared" si="78"/>
        <v>27.641651031894931</v>
      </c>
      <c r="U697" s="11">
        <f t="shared" ca="1" si="79"/>
        <v>21.617612506853117</v>
      </c>
      <c r="V697" s="11">
        <f>EarningsPerDay[[#This Row],[Gross Earnings]]/EarningsPerDay[[#This Row],[Deliveries]]</f>
        <v>13.393636363636363</v>
      </c>
      <c r="W697" s="11">
        <f>EarningsPerDay[[#This Row],[Gross Earnings]]/EarningsPerDay[[#This Row],[Miles]]</f>
        <v>1.0231249999999998</v>
      </c>
      <c r="X697" s="71">
        <f>EarningsPerDay[[#This Row],[Deliveries]]/EarningsPerDay[[#This Row],[Hours]]</f>
        <v>2.0637898686679175</v>
      </c>
      <c r="Y697" s="71">
        <f>EarningsPerDay[[#This Row],[Miles]]/EarningsPerDay[[#This Row],[Deliveries]]</f>
        <v>13.090909090909092</v>
      </c>
      <c r="Z697" s="81">
        <f>(EarningsPerDay[[#This Row],[Hours]]/EarningsPerDay[[#This Row],[Deliveries]])/24</f>
        <v>2.0189393939393941E-2</v>
      </c>
      <c r="AA6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4.6018713458500216</v>
      </c>
      <c r="AB697" s="11">
        <f>AVERAGEIFS(EarningsPerDay[Gross $/Hour],EarningsPerDay[Week '#], EarningsPerDay[[#This Row],[Week '#]], EarningsPerDay[DOW], EarningsPerDay[[#This Row],[DOW]])</f>
        <v>29.968200278941691</v>
      </c>
      <c r="AC697" s="11">
        <f>EarningsPerDay[[#This Row],[Gross $/Hour]] - EarningsPerDay[[#This Row],[Weekly Average Earnings]]</f>
        <v>-2.3265492470467599</v>
      </c>
      <c r="AD697" s="11">
        <f>(SUMIFS(EarningsPerDay[Gross Earnings], EarningsPerDay[Date],"&gt;="&amp;EarningsPerDay[[#This Row],[Date]]-89, EarningsPerDay[Date], "&lt;="&amp;EarningsPerDay[[#This Row],[Date]]))/90</f>
        <v>51.648444444444429</v>
      </c>
    </row>
    <row r="698" spans="2:30" x14ac:dyDescent="0.35">
      <c r="B698" s="40">
        <v>45772</v>
      </c>
      <c r="C698" s="40">
        <f t="shared" si="92"/>
        <v>45772</v>
      </c>
      <c r="D698" s="4">
        <f>IF(EarningsPerDay[[#This Row],[Week '#]]&gt;=52,YEAR(EarningsPerDay[[#This Row],[Date]])-1,YEAR(EarningsPerDay[[#This Row],[Date]]))</f>
        <v>2025</v>
      </c>
      <c r="E698" s="4" t="str">
        <f>"QTR"&amp;IF(EarningsPerDay[[#This Row],[Week '#]] &lt;= 13, 1, IF(EarningsPerDay[[#This Row],[Week '#]] &lt;= 26, 2, IF(EarningsPerDay[[#This Row],[Week '#]] &lt;= 39, 3, 4)))</f>
        <v>QTR2</v>
      </c>
      <c r="F6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98" s="4">
        <f>IF(WEEKNUM(EarningsPerDay[[#This Row],[Date]], 2) = 53, 1, WEEKNUM(EarningsPerDay[[#This Row],[Date]],2))</f>
        <v>17</v>
      </c>
      <c r="H698" s="40" t="str">
        <f t="shared" si="91"/>
        <v>Friday</v>
      </c>
      <c r="I69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698" s="40" t="str" cm="1">
        <f t="array" ref="J698">IFERROR(VLOOKUP(MODE(IF(Combined[Date]=EarningsPerDay[[#This Row],[Date]],Combined[Area '#])),KPIs!$B$4:$C$7,2,FALSE),VLOOKUP(EarningsPerDay[[#This Row],[Date]],Combined[[Date]:[Primary Area]],8,FALSE))</f>
        <v>Lewiston</v>
      </c>
      <c r="K698" s="40" t="str">
        <f>_xlfn.XLOOKUP(EarningsPerDay[[#This Row],[Date]],Mileage[Date],Mileage[Weather])</f>
        <v>Light Rain</v>
      </c>
      <c r="L698" s="4">
        <f>_xlfn.XLOOKUP(EarningsPerDay[[#This Row],[Date]],Mileage[Date],Mileage[Hi Temp])</f>
        <v>57</v>
      </c>
      <c r="M698" s="12">
        <f>_xlfn.XLOOKUP(EarningsPerDay[[#This Row],[Date]],Mileage[Date],Mileage[Total Time])</f>
        <v>4.5199999999999996</v>
      </c>
      <c r="N698" s="4">
        <f>_xlfn.XLOOKUP(EarningsPerDay[[#This Row],[Date]],Mileage[Date],Mileage[Mileage])</f>
        <v>59</v>
      </c>
      <c r="O698" s="4">
        <f>SUMIF(Combined[Date],EarningsPerDay[[#This Row],[Date]],Combined[Trips])</f>
        <v>9</v>
      </c>
      <c r="P698">
        <f>COUNTIF(Combined[Date],EarningsPerDay[[#This Row],[Date]])</f>
        <v>2</v>
      </c>
      <c r="Q6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698" s="11">
        <f>SUMIF(Combined[Date],EarningsPerDay[[#This Row],[Date]],Combined[Earnings])</f>
        <v>70.13</v>
      </c>
      <c r="S698" s="11">
        <f ca="1">EarningsPerDay[[#This Row],[Gross Earnings]]-(EarningsPerDay[[#This Row],[Miles]]*CpM!$D$11)</f>
        <v>56.974587534931246</v>
      </c>
      <c r="T698" s="11">
        <f t="shared" si="78"/>
        <v>15.515486725663717</v>
      </c>
      <c r="U698" s="11">
        <f t="shared" ca="1" si="79"/>
        <v>12.604997242241428</v>
      </c>
      <c r="V698" s="11">
        <f>EarningsPerDay[[#This Row],[Gross Earnings]]/EarningsPerDay[[#This Row],[Deliveries]]</f>
        <v>7.7922222222222217</v>
      </c>
      <c r="W698" s="11">
        <f>EarningsPerDay[[#This Row],[Gross Earnings]]/EarningsPerDay[[#This Row],[Miles]]</f>
        <v>1.1886440677966101</v>
      </c>
      <c r="X698" s="71">
        <f>EarningsPerDay[[#This Row],[Deliveries]]/EarningsPerDay[[#This Row],[Hours]]</f>
        <v>1.9911504424778763</v>
      </c>
      <c r="Y698" s="71">
        <f>EarningsPerDay[[#This Row],[Miles]]/EarningsPerDay[[#This Row],[Deliveries]]</f>
        <v>6.5555555555555554</v>
      </c>
      <c r="Z698" s="81">
        <f>(EarningsPerDay[[#This Row],[Hours]]/EarningsPerDay[[#This Row],[Deliveries]])/24</f>
        <v>2.0925925925925921E-2</v>
      </c>
      <c r="AA6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-3.868532132644134</v>
      </c>
      <c r="AB698" s="11">
        <f>AVERAGEIFS(EarningsPerDay[Gross $/Hour],EarningsPerDay[Week '#], EarningsPerDay[[#This Row],[Week '#]], EarningsPerDay[DOW], EarningsPerDay[[#This Row],[DOW]])</f>
        <v>27.058394201331158</v>
      </c>
      <c r="AC698" s="11">
        <f>EarningsPerDay[[#This Row],[Gross $/Hour]] - EarningsPerDay[[#This Row],[Weekly Average Earnings]]</f>
        <v>-11.542907475667441</v>
      </c>
      <c r="AD698" s="11">
        <f>(SUMIFS(EarningsPerDay[Gross Earnings], EarningsPerDay[Date],"&gt;="&amp;EarningsPerDay[[#This Row],[Date]]-89, EarningsPerDay[Date], "&lt;="&amp;EarningsPerDay[[#This Row],[Date]]))/90</f>
        <v>51.549777777777763</v>
      </c>
    </row>
    <row r="699" spans="2:30" x14ac:dyDescent="0.35">
      <c r="B699" s="40">
        <v>45773</v>
      </c>
      <c r="C699" s="40">
        <f t="shared" si="92"/>
        <v>45773</v>
      </c>
      <c r="D699" s="4">
        <f>IF(EarningsPerDay[[#This Row],[Week '#]]&gt;=52,YEAR(EarningsPerDay[[#This Row],[Date]])-1,YEAR(EarningsPerDay[[#This Row],[Date]]))</f>
        <v>2025</v>
      </c>
      <c r="E699" s="4" t="str">
        <f>"QTR"&amp;IF(EarningsPerDay[[#This Row],[Week '#]] &lt;= 13, 1, IF(EarningsPerDay[[#This Row],[Week '#]] &lt;= 26, 2, IF(EarningsPerDay[[#This Row],[Week '#]] &lt;= 39, 3, 4)))</f>
        <v>QTR2</v>
      </c>
      <c r="F6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699" s="4">
        <f>IF(WEEKNUM(EarningsPerDay[[#This Row],[Date]], 2) = 53, 1, WEEKNUM(EarningsPerDay[[#This Row],[Date]],2))</f>
        <v>17</v>
      </c>
      <c r="H699" s="40" t="str">
        <f t="shared" si="91"/>
        <v>Saturday</v>
      </c>
      <c r="I699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699" s="40" t="str" cm="1">
        <f t="array" ref="J699">IFERROR(VLOOKUP(MODE(IF(Combined[Date]=EarningsPerDay[[#This Row],[Date]],Combined[Area '#])),KPIs!$B$4:$C$7,2,FALSE),VLOOKUP(EarningsPerDay[[#This Row],[Date]],Combined[[Date]:[Primary Area]],8,FALSE))</f>
        <v>Augusta</v>
      </c>
      <c r="K699" s="40" t="str">
        <f>_xlfn.XLOOKUP(EarningsPerDay[[#This Row],[Date]],Mileage[Date],Mileage[Weather])</f>
        <v>Light Rain</v>
      </c>
      <c r="L699" s="4">
        <f>_xlfn.XLOOKUP(EarningsPerDay[[#This Row],[Date]],Mileage[Date],Mileage[Hi Temp])</f>
        <v>55</v>
      </c>
      <c r="M699" s="12">
        <f>_xlfn.XLOOKUP(EarningsPerDay[[#This Row],[Date]],Mileage[Date],Mileage[Total Time])</f>
        <v>4.5999999999999996</v>
      </c>
      <c r="N699" s="4">
        <f>_xlfn.XLOOKUP(EarningsPerDay[[#This Row],[Date]],Mileage[Date],Mileage[Mileage])</f>
        <v>115</v>
      </c>
      <c r="O699" s="4">
        <f>SUMIF(Combined[Date],EarningsPerDay[[#This Row],[Date]],Combined[Trips])</f>
        <v>7</v>
      </c>
      <c r="P699">
        <f>COUNTIF(Combined[Date],EarningsPerDay[[#This Row],[Date]])</f>
        <v>3</v>
      </c>
      <c r="Q69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699" s="11">
        <f>SUMIF(Combined[Date],EarningsPerDay[[#This Row],[Date]],Combined[Earnings])</f>
        <v>91.289999999999992</v>
      </c>
      <c r="S699" s="11">
        <f ca="1">EarningsPerDay[[#This Row],[Gross Earnings]]-(EarningsPerDay[[#This Row],[Miles]]*CpM!$D$11)</f>
        <v>65.64809434774736</v>
      </c>
      <c r="T699" s="11">
        <f t="shared" si="78"/>
        <v>19.845652173913042</v>
      </c>
      <c r="U699" s="11">
        <f t="shared" ca="1" si="79"/>
        <v>14.271324858205949</v>
      </c>
      <c r="V699" s="11">
        <f>EarningsPerDay[[#This Row],[Gross Earnings]]/EarningsPerDay[[#This Row],[Deliveries]]</f>
        <v>13.04142857142857</v>
      </c>
      <c r="W699" s="11">
        <f>EarningsPerDay[[#This Row],[Gross Earnings]]/EarningsPerDay[[#This Row],[Miles]]</f>
        <v>0.79382608695652168</v>
      </c>
      <c r="X699" s="71">
        <f>EarningsPerDay[[#This Row],[Deliveries]]/EarningsPerDay[[#This Row],[Hours]]</f>
        <v>1.5217391304347827</v>
      </c>
      <c r="Y699" s="71">
        <f>EarningsPerDay[[#This Row],[Miles]]/EarningsPerDay[[#This Row],[Deliveries]]</f>
        <v>16.428571428571427</v>
      </c>
      <c r="Z699" s="81">
        <f>(EarningsPerDay[[#This Row],[Hours]]/EarningsPerDay[[#This Row],[Deliveries]])/24</f>
        <v>2.7380952380952381E-2</v>
      </c>
      <c r="AA6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-2.3785271322541028</v>
      </c>
      <c r="AB699" s="11">
        <f>AVERAGEIFS(EarningsPerDay[Gross $/Hour],EarningsPerDay[Week '#], EarningsPerDay[[#This Row],[Week '#]], EarningsPerDay[DOW], EarningsPerDay[[#This Row],[DOW]])</f>
        <v>23.513308240547271</v>
      </c>
      <c r="AC699" s="11">
        <f>EarningsPerDay[[#This Row],[Gross $/Hour]] - EarningsPerDay[[#This Row],[Weekly Average Earnings]]</f>
        <v>-3.6676560666342297</v>
      </c>
      <c r="AD699" s="11">
        <f>(SUMIFS(EarningsPerDay[Gross Earnings], EarningsPerDay[Date],"&gt;="&amp;EarningsPerDay[[#This Row],[Date]]-89, EarningsPerDay[Date], "&lt;="&amp;EarningsPerDay[[#This Row],[Date]]))/90</f>
        <v>52.058999999999983</v>
      </c>
    </row>
    <row r="700" spans="2:30" x14ac:dyDescent="0.35">
      <c r="B700" s="40">
        <v>45774</v>
      </c>
      <c r="C700" s="40">
        <f t="shared" si="92"/>
        <v>45774</v>
      </c>
      <c r="D700" s="4">
        <f>IF(EarningsPerDay[[#This Row],[Week '#]]&gt;=52,YEAR(EarningsPerDay[[#This Row],[Date]])-1,YEAR(EarningsPerDay[[#This Row],[Date]]))</f>
        <v>2025</v>
      </c>
      <c r="E700" s="4" t="str">
        <f>"QTR"&amp;IF(EarningsPerDay[[#This Row],[Week '#]] &lt;= 13, 1, IF(EarningsPerDay[[#This Row],[Week '#]] &lt;= 26, 2, IF(EarningsPerDay[[#This Row],[Week '#]] &lt;= 39, 3, 4)))</f>
        <v>QTR2</v>
      </c>
      <c r="F7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700" s="4">
        <f>IF(WEEKNUM(EarningsPerDay[[#This Row],[Date]], 2) = 53, 1, WEEKNUM(EarningsPerDay[[#This Row],[Date]],2))</f>
        <v>17</v>
      </c>
      <c r="H700" s="40" t="str">
        <f t="shared" si="91"/>
        <v>Sunday</v>
      </c>
      <c r="I700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700" s="40" t="str" cm="1">
        <f t="array" ref="J700">IFERROR(VLOOKUP(MODE(IF(Combined[Date]=EarningsPerDay[[#This Row],[Date]],Combined[Area '#])),KPIs!$B$4:$C$7,2,FALSE),VLOOKUP(EarningsPerDay[[#This Row],[Date]],Combined[[Date]:[Primary Area]],8,FALSE))</f>
        <v>Augusta</v>
      </c>
      <c r="K700" s="40" t="str">
        <f>_xlfn.XLOOKUP(EarningsPerDay[[#This Row],[Date]],Mileage[Date],Mileage[Weather])</f>
        <v>Light Rain</v>
      </c>
      <c r="L700" s="4">
        <f>_xlfn.XLOOKUP(EarningsPerDay[[#This Row],[Date]],Mileage[Date],Mileage[Hi Temp])</f>
        <v>43</v>
      </c>
      <c r="M700" s="12">
        <f>_xlfn.XLOOKUP(EarningsPerDay[[#This Row],[Date]],Mileage[Date],Mileage[Total Time])</f>
        <v>4.5999999999999996</v>
      </c>
      <c r="N700" s="4">
        <f>_xlfn.XLOOKUP(EarningsPerDay[[#This Row],[Date]],Mileage[Date],Mileage[Mileage])</f>
        <v>108</v>
      </c>
      <c r="O700" s="4">
        <f>SUMIF(Combined[Date],EarningsPerDay[[#This Row],[Date]],Combined[Trips])</f>
        <v>9</v>
      </c>
      <c r="P700">
        <f>COUNTIF(Combined[Date],EarningsPerDay[[#This Row],[Date]])</f>
        <v>2</v>
      </c>
      <c r="Q7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0" s="11">
        <f>SUMIF(Combined[Date],EarningsPerDay[[#This Row],[Date]],Combined[Earnings])</f>
        <v>80.69</v>
      </c>
      <c r="S700" s="11">
        <f ca="1">EarningsPerDay[[#This Row],[Gross Earnings]]-(EarningsPerDay[[#This Row],[Miles]]*CpM!$D$11)</f>
        <v>56.608905996145346</v>
      </c>
      <c r="T700" s="11">
        <f t="shared" si="78"/>
        <v>17.541304347826088</v>
      </c>
      <c r="U700" s="11">
        <f t="shared" ca="1" si="79"/>
        <v>12.306283912205512</v>
      </c>
      <c r="V700" s="11">
        <f>EarningsPerDay[[#This Row],[Gross Earnings]]/EarningsPerDay[[#This Row],[Deliveries]]</f>
        <v>8.9655555555555555</v>
      </c>
      <c r="W700" s="11">
        <f>EarningsPerDay[[#This Row],[Gross Earnings]]/EarningsPerDay[[#This Row],[Miles]]</f>
        <v>0.74712962962962959</v>
      </c>
      <c r="X700" s="71">
        <f>EarningsPerDay[[#This Row],[Deliveries]]/EarningsPerDay[[#This Row],[Hours]]</f>
        <v>1.956521739130435</v>
      </c>
      <c r="Y700" s="71">
        <f>EarningsPerDay[[#This Row],[Miles]]/EarningsPerDay[[#This Row],[Deliveries]]</f>
        <v>12</v>
      </c>
      <c r="Z700" s="81">
        <f>(EarningsPerDay[[#This Row],[Hours]]/EarningsPerDay[[#This Row],[Deliveries]])/24</f>
        <v>2.1296296296296296E-2</v>
      </c>
      <c r="AA7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7.341258784905591E-2</v>
      </c>
      <c r="AB700" s="11">
        <f>AVERAGEIFS(EarningsPerDay[Gross $/Hour],EarningsPerDay[Week '#], EarningsPerDay[[#This Row],[Week '#]], EarningsPerDay[DOW], EarningsPerDay[[#This Row],[DOW]])</f>
        <v>18.958528045340856</v>
      </c>
      <c r="AC700" s="11">
        <f>EarningsPerDay[[#This Row],[Gross $/Hour]] - EarningsPerDay[[#This Row],[Weekly Average Earnings]]</f>
        <v>-1.4172236975147676</v>
      </c>
      <c r="AD700" s="11">
        <f>(SUMIFS(EarningsPerDay[Gross Earnings], EarningsPerDay[Date],"&gt;="&amp;EarningsPerDay[[#This Row],[Date]]-89, EarningsPerDay[Date], "&lt;="&amp;EarningsPerDay[[#This Row],[Date]]))/90</f>
        <v>52.955555555555534</v>
      </c>
    </row>
    <row r="701" spans="2:30" x14ac:dyDescent="0.35">
      <c r="B701" s="40">
        <v>45775</v>
      </c>
      <c r="C701" s="40">
        <f t="shared" si="92"/>
        <v>45775</v>
      </c>
      <c r="D701" s="4">
        <f>IF(EarningsPerDay[[#This Row],[Week '#]]&gt;=52,YEAR(EarningsPerDay[[#This Row],[Date]])-1,YEAR(EarningsPerDay[[#This Row],[Date]]))</f>
        <v>2025</v>
      </c>
      <c r="E701" s="4" t="str">
        <f>"QTR"&amp;IF(EarningsPerDay[[#This Row],[Week '#]] &lt;= 13, 1, IF(EarningsPerDay[[#This Row],[Week '#]] &lt;= 26, 2, IF(EarningsPerDay[[#This Row],[Week '#]] &lt;= 39, 3, 4)))</f>
        <v>QTR2</v>
      </c>
      <c r="F7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1" s="4">
        <f>IF(WEEKNUM(EarningsPerDay[[#This Row],[Date]], 2) = 53, 1, WEEKNUM(EarningsPerDay[[#This Row],[Date]],2))</f>
        <v>18</v>
      </c>
      <c r="H701" s="40" t="str">
        <f>TEXT(B701,"DDDD")</f>
        <v>Monday</v>
      </c>
      <c r="I70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01" s="40" t="str" cm="1">
        <f t="array" ref="J701">IFERROR(VLOOKUP(MODE(IF(Combined[Date]=EarningsPerDay[[#This Row],[Date]],Combined[Area '#])),KPIs!$B$4:$C$7,2,FALSE),VLOOKUP(EarningsPerDay[[#This Row],[Date]],Combined[[Date]:[Primary Area]],8,FALSE))</f>
        <v>Portland</v>
      </c>
      <c r="K701" s="40" t="str">
        <f>_xlfn.XLOOKUP(EarningsPerDay[[#This Row],[Date]],Mileage[Date],Mileage[Weather])</f>
        <v>Clear</v>
      </c>
      <c r="L701" s="4">
        <f>_xlfn.XLOOKUP(EarningsPerDay[[#This Row],[Date]],Mileage[Date],Mileage[Hi Temp])</f>
        <v>64</v>
      </c>
      <c r="M701" s="12">
        <f>_xlfn.XLOOKUP(EarningsPerDay[[#This Row],[Date]],Mileage[Date],Mileage[Total Time])</f>
        <v>7.02</v>
      </c>
      <c r="N701" s="4">
        <f>_xlfn.XLOOKUP(EarningsPerDay[[#This Row],[Date]],Mileage[Date],Mileage[Mileage])</f>
        <v>172</v>
      </c>
      <c r="O701" s="4">
        <f>SUMIF(Combined[Date],EarningsPerDay[[#This Row],[Date]],Combined[Trips])</f>
        <v>13</v>
      </c>
      <c r="P701">
        <f>COUNTIF(Combined[Date],EarningsPerDay[[#This Row],[Date]])</f>
        <v>4</v>
      </c>
      <c r="Q7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1" s="11">
        <f>SUMIF(Combined[Date],EarningsPerDay[[#This Row],[Date]],Combined[Earnings])</f>
        <v>148.66</v>
      </c>
      <c r="S701" s="11">
        <f ca="1">EarningsPerDay[[#This Row],[Gross Earnings]]-(EarningsPerDay[[#This Row],[Miles]]*CpM!$D$11)</f>
        <v>110.30862806793519</v>
      </c>
      <c r="T701" s="11">
        <f t="shared" si="78"/>
        <v>21.176638176638178</v>
      </c>
      <c r="U701" s="11">
        <f t="shared" ca="1" si="79"/>
        <v>15.713479781757151</v>
      </c>
      <c r="V701" s="11">
        <f>EarningsPerDay[[#This Row],[Gross Earnings]]/EarningsPerDay[[#This Row],[Deliveries]]</f>
        <v>11.435384615384615</v>
      </c>
      <c r="W701" s="11">
        <f>EarningsPerDay[[#This Row],[Gross Earnings]]/EarningsPerDay[[#This Row],[Miles]]</f>
        <v>0.8643023255813953</v>
      </c>
      <c r="X701" s="71">
        <f>EarningsPerDay[[#This Row],[Deliveries]]/EarningsPerDay[[#This Row],[Hours]]</f>
        <v>1.8518518518518519</v>
      </c>
      <c r="Y701" s="71">
        <f>EarningsPerDay[[#This Row],[Miles]]/EarningsPerDay[[#This Row],[Deliveries]]</f>
        <v>13.23076923076923</v>
      </c>
      <c r="Z701" s="81">
        <f>(EarningsPerDay[[#This Row],[Hours]]/EarningsPerDay[[#This Row],[Deliveries]])/24</f>
        <v>2.2499999999999996E-2</v>
      </c>
      <c r="AA7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-0.50909246462564539</v>
      </c>
      <c r="AB701" s="11">
        <f>AVERAGEIFS(EarningsPerDay[Gross $/Hour],EarningsPerDay[Week '#], EarningsPerDay[[#This Row],[Week '#]], EarningsPerDay[DOW], EarningsPerDay[[#This Row],[DOW]])</f>
        <v>21.176638176638178</v>
      </c>
      <c r="AC701" s="11">
        <f>EarningsPerDay[[#This Row],[Gross $/Hour]] - EarningsPerDay[[#This Row],[Weekly Average Earnings]]</f>
        <v>0</v>
      </c>
      <c r="AD701" s="11">
        <f>(SUMIFS(EarningsPerDay[Gross Earnings], EarningsPerDay[Date],"&gt;="&amp;EarningsPerDay[[#This Row],[Date]]-89, EarningsPerDay[Date], "&lt;="&amp;EarningsPerDay[[#This Row],[Date]]))/90</f>
        <v>53.772777777777762</v>
      </c>
    </row>
    <row r="702" spans="2:30" x14ac:dyDescent="0.35">
      <c r="B702" s="40">
        <v>45776</v>
      </c>
      <c r="C702" s="40">
        <f t="shared" si="92"/>
        <v>45776</v>
      </c>
      <c r="D702" s="4">
        <f>IF(EarningsPerDay[[#This Row],[Week '#]]&gt;=52,YEAR(EarningsPerDay[[#This Row],[Date]])-1,YEAR(EarningsPerDay[[#This Row],[Date]]))</f>
        <v>2025</v>
      </c>
      <c r="E702" s="4" t="str">
        <f>"QTR"&amp;IF(EarningsPerDay[[#This Row],[Week '#]] &lt;= 13, 1, IF(EarningsPerDay[[#This Row],[Week '#]] &lt;= 26, 2, IF(EarningsPerDay[[#This Row],[Week '#]] &lt;= 39, 3, 4)))</f>
        <v>QTR2</v>
      </c>
      <c r="F7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2" s="4">
        <f>IF(WEEKNUM(EarningsPerDay[[#This Row],[Date]], 2) = 53, 1, WEEKNUM(EarningsPerDay[[#This Row],[Date]],2))</f>
        <v>18</v>
      </c>
      <c r="H702" s="40" t="str">
        <f>TEXT(B702,"DDDD")</f>
        <v>Tuesday</v>
      </c>
      <c r="I70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02" s="40" t="str" cm="1">
        <f t="array" ref="J702">IFERROR(VLOOKUP(MODE(IF(Combined[Date]=EarningsPerDay[[#This Row],[Date]],Combined[Area '#])),KPIs!$B$4:$C$7,2,FALSE),VLOOKUP(EarningsPerDay[[#This Row],[Date]],Combined[[Date]:[Primary Area]],8,FALSE))</f>
        <v>Brunswick/Bath/Freeport</v>
      </c>
      <c r="K702" s="40" t="str">
        <f>_xlfn.XLOOKUP(EarningsPerDay[[#This Row],[Date]],Mileage[Date],Mileage[Weather])</f>
        <v>Clear</v>
      </c>
      <c r="L702" s="4">
        <f>_xlfn.XLOOKUP(EarningsPerDay[[#This Row],[Date]],Mileage[Date],Mileage[Hi Temp])</f>
        <v>66</v>
      </c>
      <c r="M702" s="12">
        <f>_xlfn.XLOOKUP(EarningsPerDay[[#This Row],[Date]],Mileage[Date],Mileage[Total Time])</f>
        <v>5.52</v>
      </c>
      <c r="N702" s="4">
        <f>_xlfn.XLOOKUP(EarningsPerDay[[#This Row],[Date]],Mileage[Date],Mileage[Mileage])</f>
        <v>134</v>
      </c>
      <c r="O702" s="4">
        <f>SUMIF(Combined[Date],EarningsPerDay[[#This Row],[Date]],Combined[Trips])</f>
        <v>11</v>
      </c>
      <c r="P702">
        <f>COUNTIF(Combined[Date],EarningsPerDay[[#This Row],[Date]])</f>
        <v>2</v>
      </c>
      <c r="Q70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2" s="11">
        <f>SUMIF(Combined[Date],EarningsPerDay[[#This Row],[Date]],Combined[Earnings])</f>
        <v>116.97</v>
      </c>
      <c r="S702" s="11">
        <f ca="1">EarningsPerDay[[#This Row],[Gross Earnings]]-(EarningsPerDay[[#This Row],[Miles]]*CpM!$D$11)</f>
        <v>87.091605587809966</v>
      </c>
      <c r="T702" s="11">
        <f t="shared" si="78"/>
        <v>21.190217391304348</v>
      </c>
      <c r="U702" s="11">
        <f t="shared" ca="1" si="79"/>
        <v>15.777464780400358</v>
      </c>
      <c r="V702" s="11">
        <f>EarningsPerDay[[#This Row],[Gross Earnings]]/EarningsPerDay[[#This Row],[Deliveries]]</f>
        <v>10.633636363636363</v>
      </c>
      <c r="W702" s="11">
        <f>EarningsPerDay[[#This Row],[Gross Earnings]]/EarningsPerDay[[#This Row],[Miles]]</f>
        <v>0.87291044776119397</v>
      </c>
      <c r="X702" s="71">
        <f>EarningsPerDay[[#This Row],[Deliveries]]/EarningsPerDay[[#This Row],[Hours]]</f>
        <v>1.992753623188406</v>
      </c>
      <c r="Y702" s="71">
        <f>EarningsPerDay[[#This Row],[Miles]]/EarningsPerDay[[#This Row],[Deliveries]]</f>
        <v>12.181818181818182</v>
      </c>
      <c r="Z702" s="81">
        <f>(EarningsPerDay[[#This Row],[Hours]]/EarningsPerDay[[#This Row],[Deliveries]])/24</f>
        <v>2.0909090909090908E-2</v>
      </c>
      <c r="AA7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-8.7146010781907535E-2</v>
      </c>
      <c r="AB702" s="11">
        <f>AVERAGEIFS(EarningsPerDay[Gross $/Hour],EarningsPerDay[Week '#], EarningsPerDay[[#This Row],[Week '#]], EarningsPerDay[DOW], EarningsPerDay[[#This Row],[DOW]])</f>
        <v>21.091386611284925</v>
      </c>
      <c r="AC702" s="11">
        <f>EarningsPerDay[[#This Row],[Gross $/Hour]] - EarningsPerDay[[#This Row],[Weekly Average Earnings]]</f>
        <v>9.8830780019422804E-2</v>
      </c>
      <c r="AD702" s="11">
        <f>(SUMIFS(EarningsPerDay[Gross Earnings], EarningsPerDay[Date],"&gt;="&amp;EarningsPerDay[[#This Row],[Date]]-89, EarningsPerDay[Date], "&lt;="&amp;EarningsPerDay[[#This Row],[Date]]))/90</f>
        <v>55.072444444444429</v>
      </c>
    </row>
    <row r="703" spans="2:30" x14ac:dyDescent="0.35">
      <c r="B703" s="40">
        <v>45777</v>
      </c>
      <c r="C703" s="40">
        <f t="shared" si="92"/>
        <v>45777</v>
      </c>
      <c r="D703" s="4">
        <f>IF(EarningsPerDay[[#This Row],[Week '#]]&gt;=52,YEAR(EarningsPerDay[[#This Row],[Date]])-1,YEAR(EarningsPerDay[[#This Row],[Date]]))</f>
        <v>2025</v>
      </c>
      <c r="E703" s="4" t="str">
        <f>"QTR"&amp;IF(EarningsPerDay[[#This Row],[Week '#]] &lt;= 13, 1, IF(EarningsPerDay[[#This Row],[Week '#]] &lt;= 26, 2, IF(EarningsPerDay[[#This Row],[Week '#]] &lt;= 39, 3, 4)))</f>
        <v>QTR2</v>
      </c>
      <c r="F7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3" s="4">
        <f>IF(WEEKNUM(EarningsPerDay[[#This Row],[Date]], 2) = 53, 1, WEEKNUM(EarningsPerDay[[#This Row],[Date]],2))</f>
        <v>18</v>
      </c>
      <c r="H703" s="40" t="str">
        <f>TEXT(B703,"DDDD")</f>
        <v>Wednesday</v>
      </c>
      <c r="I703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703" s="40" t="str" cm="1">
        <f t="array" ref="J703">IFERROR(VLOOKUP(MODE(IF(Combined[Date]=EarningsPerDay[[#This Row],[Date]],Combined[Area '#])),KPIs!$B$4:$C$7,2,FALSE),VLOOKUP(EarningsPerDay[[#This Row],[Date]],Combined[[Date]:[Primary Area]],8,FALSE))</f>
        <v>Brunswick/Bath/Freeport</v>
      </c>
      <c r="K703" s="40" t="str">
        <f>_xlfn.XLOOKUP(EarningsPerDay[[#This Row],[Date]],Mileage[Date],Mileage[Weather])</f>
        <v>Clear</v>
      </c>
      <c r="L703" s="4">
        <f>_xlfn.XLOOKUP(EarningsPerDay[[#This Row],[Date]],Mileage[Date],Mileage[Hi Temp])</f>
        <v>54</v>
      </c>
      <c r="M703" s="12">
        <f>_xlfn.XLOOKUP(EarningsPerDay[[#This Row],[Date]],Mileage[Date],Mileage[Total Time])</f>
        <v>4.08</v>
      </c>
      <c r="N703" s="4">
        <f>_xlfn.XLOOKUP(EarningsPerDay[[#This Row],[Date]],Mileage[Date],Mileage[Mileage])</f>
        <v>94</v>
      </c>
      <c r="O703" s="4">
        <f>SUMIF(Combined[Date],EarningsPerDay[[#This Row],[Date]],Combined[Trips])</f>
        <v>8</v>
      </c>
      <c r="P703">
        <f>COUNTIF(Combined[Date],EarningsPerDay[[#This Row],[Date]])</f>
        <v>2</v>
      </c>
      <c r="Q70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03" s="11">
        <f>SUMIF(Combined[Date],EarningsPerDay[[#This Row],[Date]],Combined[Earnings])</f>
        <v>85.16</v>
      </c>
      <c r="S703" s="11">
        <f ca="1">EarningsPerDay[[#This Row],[Gross Earnings]]-(EarningsPerDay[[#This Row],[Miles]]*CpM!$D$11)</f>
        <v>64.200529292941326</v>
      </c>
      <c r="T703" s="11">
        <f t="shared" si="78"/>
        <v>20.872549019607842</v>
      </c>
      <c r="U703" s="11">
        <f t="shared" ca="1" si="79"/>
        <v>15.735423846309148</v>
      </c>
      <c r="V703" s="11">
        <f>EarningsPerDay[[#This Row],[Gross Earnings]]/EarningsPerDay[[#This Row],[Deliveries]]</f>
        <v>10.645</v>
      </c>
      <c r="W703" s="11">
        <f>EarningsPerDay[[#This Row],[Gross Earnings]]/EarningsPerDay[[#This Row],[Miles]]</f>
        <v>0.90595744680851065</v>
      </c>
      <c r="X703" s="71">
        <f>EarningsPerDay[[#This Row],[Deliveries]]/EarningsPerDay[[#This Row],[Hours]]</f>
        <v>1.9607843137254901</v>
      </c>
      <c r="Y703" s="71">
        <f>EarningsPerDay[[#This Row],[Miles]]/EarningsPerDay[[#This Row],[Deliveries]]</f>
        <v>11.75</v>
      </c>
      <c r="Z703" s="81">
        <f>(EarningsPerDay[[#This Row],[Hours]]/EarningsPerDay[[#This Row],[Deliveries]])/24</f>
        <v>2.1250000000000002E-2</v>
      </c>
      <c r="AA7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-2.550719945257903</v>
      </c>
      <c r="AB703" s="11">
        <f>AVERAGEIFS(EarningsPerDay[Gross $/Hour],EarningsPerDay[Week '#], EarningsPerDay[[#This Row],[Week '#]], EarningsPerDay[DOW], EarningsPerDay[[#This Row],[DOW]])</f>
        <v>22.36763015414142</v>
      </c>
      <c r="AC703" s="11">
        <f>EarningsPerDay[[#This Row],[Gross $/Hour]] - EarningsPerDay[[#This Row],[Weekly Average Earnings]]</f>
        <v>-1.4950811345335779</v>
      </c>
      <c r="AD703" s="11">
        <f>(SUMIFS(EarningsPerDay[Gross Earnings], EarningsPerDay[Date],"&gt;="&amp;EarningsPerDay[[#This Row],[Date]]-89, EarningsPerDay[Date], "&lt;="&amp;EarningsPerDay[[#This Row],[Date]]))/90</f>
        <v>56.018666666666647</v>
      </c>
    </row>
    <row r="704" spans="2:30" x14ac:dyDescent="0.35">
      <c r="B704" s="40">
        <v>45778</v>
      </c>
      <c r="C704" s="40">
        <f t="shared" si="92"/>
        <v>45778</v>
      </c>
      <c r="D704" s="4">
        <f>IF(EarningsPerDay[[#This Row],[Week '#]]&gt;=52,YEAR(EarningsPerDay[[#This Row],[Date]])-1,YEAR(EarningsPerDay[[#This Row],[Date]]))</f>
        <v>2025</v>
      </c>
      <c r="E704" s="4" t="str">
        <f>"QTR"&amp;IF(EarningsPerDay[[#This Row],[Week '#]] &lt;= 13, 1, IF(EarningsPerDay[[#This Row],[Week '#]] &lt;= 26, 2, IF(EarningsPerDay[[#This Row],[Week '#]] &lt;= 39, 3, 4)))</f>
        <v>QTR2</v>
      </c>
      <c r="F7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4" s="4">
        <f>IF(WEEKNUM(EarningsPerDay[[#This Row],[Date]], 2) = 53, 1, WEEKNUM(EarningsPerDay[[#This Row],[Date]],2))</f>
        <v>18</v>
      </c>
      <c r="H704" s="40" t="str">
        <f>TEXT(B704,"DDDD")</f>
        <v>Thursday</v>
      </c>
      <c r="I704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04" s="40" t="str" cm="1">
        <f t="array" ref="J704">IFERROR(VLOOKUP(MODE(IF(Combined[Date]=EarningsPerDay[[#This Row],[Date]],Combined[Area '#])),KPIs!$B$4:$C$7,2,FALSE),VLOOKUP(EarningsPerDay[[#This Row],[Date]],Combined[[Date]:[Primary Area]],8,FALSE))</f>
        <v>Brunswick/Bath/Freeport</v>
      </c>
      <c r="K704" s="40" t="str">
        <f>_xlfn.XLOOKUP(EarningsPerDay[[#This Row],[Date]],Mileage[Date],Mileage[Weather])</f>
        <v>Clear</v>
      </c>
      <c r="L704" s="4">
        <f>_xlfn.XLOOKUP(EarningsPerDay[[#This Row],[Date]],Mileage[Date],Mileage[Hi Temp])</f>
        <v>54</v>
      </c>
      <c r="M704" s="12">
        <f>_xlfn.XLOOKUP(EarningsPerDay[[#This Row],[Date]],Mileage[Date],Mileage[Total Time])</f>
        <v>4.67</v>
      </c>
      <c r="N704" s="4">
        <f>_xlfn.XLOOKUP(EarningsPerDay[[#This Row],[Date]],Mileage[Date],Mileage[Mileage])</f>
        <v>97</v>
      </c>
      <c r="O704" s="4">
        <f>SUMIF(Combined[Date],EarningsPerDay[[#This Row],[Date]],Combined[Trips])</f>
        <v>9</v>
      </c>
      <c r="P704">
        <f>COUNTIF(Combined[Date],EarningsPerDay[[#This Row],[Date]])</f>
        <v>3</v>
      </c>
      <c r="Q7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4" s="11">
        <f>SUMIF(Combined[Date],EarningsPerDay[[#This Row],[Date]],Combined[Earnings])</f>
        <v>108.47</v>
      </c>
      <c r="S704" s="11">
        <f ca="1">EarningsPerDay[[#This Row],[Gross Earnings]]-(EarningsPerDay[[#This Row],[Miles]]*CpM!$D$11)</f>
        <v>86.84161001505646</v>
      </c>
      <c r="T704" s="11">
        <f t="shared" si="78"/>
        <v>23.226980728051391</v>
      </c>
      <c r="U704" s="11">
        <f t="shared" ca="1" si="79"/>
        <v>18.595633836200527</v>
      </c>
      <c r="V704" s="11">
        <f>EarningsPerDay[[#This Row],[Gross Earnings]]/EarningsPerDay[[#This Row],[Deliveries]]</f>
        <v>12.052222222222222</v>
      </c>
      <c r="W704" s="11">
        <f>EarningsPerDay[[#This Row],[Gross Earnings]]/EarningsPerDay[[#This Row],[Miles]]</f>
        <v>1.1182474226804124</v>
      </c>
      <c r="X704" s="71">
        <f>EarningsPerDay[[#This Row],[Deliveries]]/EarningsPerDay[[#This Row],[Hours]]</f>
        <v>1.9271948608137046</v>
      </c>
      <c r="Y704" s="71">
        <f>EarningsPerDay[[#This Row],[Miles]]/EarningsPerDay[[#This Row],[Deliveries]]</f>
        <v>10.777777777777779</v>
      </c>
      <c r="Z704" s="81">
        <f>(EarningsPerDay[[#This Row],[Hours]]/EarningsPerDay[[#This Row],[Deliveries]])/24</f>
        <v>2.162037037037037E-2</v>
      </c>
      <c r="AA7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-0.39512370062517732</v>
      </c>
      <c r="AB704" s="11">
        <f>AVERAGEIFS(EarningsPerDay[Gross $/Hour],EarningsPerDay[Week '#], EarningsPerDay[[#This Row],[Week '#]], EarningsPerDay[DOW], EarningsPerDay[[#This Row],[DOW]])</f>
        <v>19.452916652940207</v>
      </c>
      <c r="AC704" s="11">
        <f>EarningsPerDay[[#This Row],[Gross $/Hour]] - EarningsPerDay[[#This Row],[Weekly Average Earnings]]</f>
        <v>3.774064075111184</v>
      </c>
      <c r="AD704" s="11">
        <f>(SUMIFS(EarningsPerDay[Gross Earnings], EarningsPerDay[Date],"&gt;="&amp;EarningsPerDay[[#This Row],[Date]]-89, EarningsPerDay[Date], "&lt;="&amp;EarningsPerDay[[#This Row],[Date]]))/90</f>
        <v>57.223888888888872</v>
      </c>
    </row>
    <row r="705" spans="2:30" x14ac:dyDescent="0.35">
      <c r="B705" s="40">
        <v>45780</v>
      </c>
      <c r="C705" s="40">
        <f t="shared" si="92"/>
        <v>45780</v>
      </c>
      <c r="D705" s="4">
        <f>IF(EarningsPerDay[[#This Row],[Week '#]]&gt;=52,YEAR(EarningsPerDay[[#This Row],[Date]])-1,YEAR(EarningsPerDay[[#This Row],[Date]]))</f>
        <v>2025</v>
      </c>
      <c r="E705" s="4" t="str">
        <f>"QTR"&amp;IF(EarningsPerDay[[#This Row],[Week '#]] &lt;= 13, 1, IF(EarningsPerDay[[#This Row],[Week '#]] &lt;= 26, 2, IF(EarningsPerDay[[#This Row],[Week '#]] &lt;= 39, 3, 4)))</f>
        <v>QTR2</v>
      </c>
      <c r="F7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5" s="4">
        <f>IF(WEEKNUM(EarningsPerDay[[#This Row],[Date]], 2) = 53, 1, WEEKNUM(EarningsPerDay[[#This Row],[Date]],2))</f>
        <v>18</v>
      </c>
      <c r="H705" s="40" t="str">
        <f t="shared" ref="H705:H706" si="93">TEXT(B705,"DDDD")</f>
        <v>Saturday</v>
      </c>
      <c r="I705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705" s="40" t="str" cm="1">
        <f t="array" ref="J705">IFERROR(VLOOKUP(MODE(IF(Combined[Date]=EarningsPerDay[[#This Row],[Date]],Combined[Area '#])),KPIs!$B$4:$C$7,2,FALSE),VLOOKUP(EarningsPerDay[[#This Row],[Date]],Combined[[Date]:[Primary Area]],8,FALSE))</f>
        <v>Brunswick/Bath/Freeport</v>
      </c>
      <c r="K705" s="40" t="str">
        <f>_xlfn.XLOOKUP(EarningsPerDay[[#This Row],[Date]],Mileage[Date],Mileage[Weather])</f>
        <v>Mostly Cloudy</v>
      </c>
      <c r="L705" s="4">
        <f>_xlfn.XLOOKUP(EarningsPerDay[[#This Row],[Date]],Mileage[Date],Mileage[Hi Temp])</f>
        <v>72</v>
      </c>
      <c r="M705" s="12">
        <f>_xlfn.XLOOKUP(EarningsPerDay[[#This Row],[Date]],Mileage[Date],Mileage[Total Time])</f>
        <v>3.42</v>
      </c>
      <c r="N705" s="4">
        <f>_xlfn.XLOOKUP(EarningsPerDay[[#This Row],[Date]],Mileage[Date],Mileage[Mileage])</f>
        <v>67</v>
      </c>
      <c r="O705" s="4">
        <f>SUMIF(Combined[Date],EarningsPerDay[[#This Row],[Date]],Combined[Trips])</f>
        <v>5</v>
      </c>
      <c r="P705">
        <f>COUNTIF(Combined[Date],EarningsPerDay[[#This Row],[Date]])</f>
        <v>2</v>
      </c>
      <c r="Q7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5" s="11">
        <f>SUMIF(Combined[Date],EarningsPerDay[[#This Row],[Date]],Combined[Earnings])</f>
        <v>75.36</v>
      </c>
      <c r="S705" s="11">
        <f ca="1">EarningsPerDay[[#This Row],[Gross Earnings]]-(EarningsPerDay[[#This Row],[Miles]]*CpM!$D$11)</f>
        <v>60.420802793904983</v>
      </c>
      <c r="T705" s="11">
        <f t="shared" si="78"/>
        <v>22.035087719298247</v>
      </c>
      <c r="U705" s="11">
        <f t="shared" ca="1" si="79"/>
        <v>17.666901401726605</v>
      </c>
      <c r="V705" s="11">
        <f>EarningsPerDay[[#This Row],[Gross Earnings]]/EarningsPerDay[[#This Row],[Deliveries]]</f>
        <v>15.071999999999999</v>
      </c>
      <c r="W705" s="11">
        <f>EarningsPerDay[[#This Row],[Gross Earnings]]/EarningsPerDay[[#This Row],[Miles]]</f>
        <v>1.1247761194029851</v>
      </c>
      <c r="X705" s="71">
        <f>EarningsPerDay[[#This Row],[Deliveries]]/EarningsPerDay[[#This Row],[Hours]]</f>
        <v>1.4619883040935673</v>
      </c>
      <c r="Y705" s="71">
        <f>EarningsPerDay[[#This Row],[Miles]]/EarningsPerDay[[#This Row],[Deliveries]]</f>
        <v>13.4</v>
      </c>
      <c r="Z705" s="81">
        <f>(EarningsPerDay[[#This Row],[Hours]]/EarningsPerDay[[#This Row],[Deliveries]])/24</f>
        <v>2.8499999999999998E-2</v>
      </c>
      <c r="AA7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-3.5192652372613757</v>
      </c>
      <c r="AB705" s="11">
        <f>AVERAGEIFS(EarningsPerDay[Gross $/Hour],EarningsPerDay[Week '#], EarningsPerDay[[#This Row],[Week '#]], EarningsPerDay[DOW], EarningsPerDay[[#This Row],[DOW]])</f>
        <v>25.165112615762578</v>
      </c>
      <c r="AC705" s="11">
        <f>EarningsPerDay[[#This Row],[Gross $/Hour]] - EarningsPerDay[[#This Row],[Weekly Average Earnings]]</f>
        <v>-3.1300248964643309</v>
      </c>
      <c r="AD705" s="11">
        <f>(SUMIFS(EarningsPerDay[Gross Earnings], EarningsPerDay[Date],"&gt;="&amp;EarningsPerDay[[#This Row],[Date]]-89, EarningsPerDay[Date], "&lt;="&amp;EarningsPerDay[[#This Row],[Date]]))/90</f>
        <v>57.508444444444436</v>
      </c>
    </row>
    <row r="706" spans="2:30" x14ac:dyDescent="0.35">
      <c r="B706" s="40">
        <v>45781</v>
      </c>
      <c r="C706" s="40">
        <f t="shared" si="92"/>
        <v>45781</v>
      </c>
      <c r="D706" s="4">
        <f>IF(EarningsPerDay[[#This Row],[Week '#]]&gt;=52,YEAR(EarningsPerDay[[#This Row],[Date]])-1,YEAR(EarningsPerDay[[#This Row],[Date]]))</f>
        <v>2025</v>
      </c>
      <c r="E706" s="4" t="str">
        <f>"QTR"&amp;IF(EarningsPerDay[[#This Row],[Week '#]] &lt;= 13, 1, IF(EarningsPerDay[[#This Row],[Week '#]] &lt;= 26, 2, IF(EarningsPerDay[[#This Row],[Week '#]] &lt;= 39, 3, 4)))</f>
        <v>QTR2</v>
      </c>
      <c r="F7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06" s="4">
        <f>IF(WEEKNUM(EarningsPerDay[[#This Row],[Date]], 2) = 53, 1, WEEKNUM(EarningsPerDay[[#This Row],[Date]],2))</f>
        <v>18</v>
      </c>
      <c r="H706" s="40" t="str">
        <f t="shared" si="93"/>
        <v>Sunday</v>
      </c>
      <c r="I706" s="106">
        <f>IF(_xlfn.XLOOKUP(EarningsPerDay[[#This Row],[Date]],Mileage[Date],Mileage[Start Time])="","",MROUND(_xlfn.XLOOKUP(EarningsPerDay[[#This Row],[Date]],Mileage[Date],Mileage[Start Time]),0.0208333333333333))</f>
        <v>0.45833333333333259</v>
      </c>
      <c r="J706" s="40" t="str" cm="1">
        <f t="array" ref="J706">IFERROR(VLOOKUP(MODE(IF(Combined[Date]=EarningsPerDay[[#This Row],[Date]],Combined[Area '#])),KPIs!$B$4:$C$7,2,FALSE),VLOOKUP(EarningsPerDay[[#This Row],[Date]],Combined[[Date]:[Primary Area]],8,FALSE))</f>
        <v>Brunswick/Bath/Freeport</v>
      </c>
      <c r="K706" s="40" t="str">
        <f>_xlfn.XLOOKUP(EarningsPerDay[[#This Row],[Date]],Mileage[Date],Mileage[Weather])</f>
        <v>Light Rain</v>
      </c>
      <c r="L706" s="4">
        <f>_xlfn.XLOOKUP(EarningsPerDay[[#This Row],[Date]],Mileage[Date],Mileage[Hi Temp])</f>
        <v>57</v>
      </c>
      <c r="M706" s="12">
        <f>_xlfn.XLOOKUP(EarningsPerDay[[#This Row],[Date]],Mileage[Date],Mileage[Total Time])</f>
        <v>4.22</v>
      </c>
      <c r="N706" s="4">
        <f>_xlfn.XLOOKUP(EarningsPerDay[[#This Row],[Date]],Mileage[Date],Mileage[Mileage])</f>
        <v>94</v>
      </c>
      <c r="O706" s="4">
        <f>SUMIF(Combined[Date],EarningsPerDay[[#This Row],[Date]],Combined[Trips])</f>
        <v>9</v>
      </c>
      <c r="P706">
        <f>COUNTIF(Combined[Date],EarningsPerDay[[#This Row],[Date]])</f>
        <v>2</v>
      </c>
      <c r="Q7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6" s="11">
        <f>SUMIF(Combined[Date],EarningsPerDay[[#This Row],[Date]],Combined[Earnings])</f>
        <v>88.98</v>
      </c>
      <c r="S706" s="11">
        <f ca="1">EarningsPerDay[[#This Row],[Gross Earnings]]-(EarningsPerDay[[#This Row],[Miles]]*CpM!$D$11)</f>
        <v>68.020529292941319</v>
      </c>
      <c r="T706" s="11">
        <f t="shared" si="78"/>
        <v>21.085308056872041</v>
      </c>
      <c r="U706" s="11">
        <f t="shared" ca="1" si="79"/>
        <v>16.118608837189885</v>
      </c>
      <c r="V706" s="11">
        <f>EarningsPerDay[[#This Row],[Gross Earnings]]/EarningsPerDay[[#This Row],[Deliveries]]</f>
        <v>9.8866666666666667</v>
      </c>
      <c r="W706" s="11">
        <f>EarningsPerDay[[#This Row],[Gross Earnings]]/EarningsPerDay[[#This Row],[Miles]]</f>
        <v>0.94659574468085106</v>
      </c>
      <c r="X706" s="71">
        <f>EarningsPerDay[[#This Row],[Deliveries]]/EarningsPerDay[[#This Row],[Hours]]</f>
        <v>2.1327014218009479</v>
      </c>
      <c r="Y706" s="71">
        <f>EarningsPerDay[[#This Row],[Miles]]/EarningsPerDay[[#This Row],[Deliveries]]</f>
        <v>10.444444444444445</v>
      </c>
      <c r="Z706" s="81">
        <f>(EarningsPerDay[[#This Row],[Hours]]/EarningsPerDay[[#This Row],[Deliveries]])/24</f>
        <v>1.9537037037037037E-2</v>
      </c>
      <c r="AA7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-0.99420444952827225</v>
      </c>
      <c r="AB706" s="11">
        <f>AVERAGEIFS(EarningsPerDay[Gross $/Hour],EarningsPerDay[Week '#], EarningsPerDay[[#This Row],[Week '#]], EarningsPerDay[DOW], EarningsPerDay[[#This Row],[DOW]])</f>
        <v>19.246597619330164</v>
      </c>
      <c r="AC706" s="11">
        <f>EarningsPerDay[[#This Row],[Gross $/Hour]] - EarningsPerDay[[#This Row],[Weekly Average Earnings]]</f>
        <v>1.8387104375418772</v>
      </c>
      <c r="AD706" s="11">
        <f>(SUMIFS(EarningsPerDay[Gross Earnings], EarningsPerDay[Date],"&gt;="&amp;EarningsPerDay[[#This Row],[Date]]-89, EarningsPerDay[Date], "&lt;="&amp;EarningsPerDay[[#This Row],[Date]]))/90</f>
        <v>57.85822222222221</v>
      </c>
    </row>
    <row r="707" spans="2:30" x14ac:dyDescent="0.35">
      <c r="B707" s="40">
        <v>45782</v>
      </c>
      <c r="C707" s="40">
        <f t="shared" si="92"/>
        <v>45782</v>
      </c>
      <c r="D707" s="4">
        <f>IF(EarningsPerDay[[#This Row],[Week '#]]&gt;=52,YEAR(EarningsPerDay[[#This Row],[Date]])-1,YEAR(EarningsPerDay[[#This Row],[Date]]))</f>
        <v>2025</v>
      </c>
      <c r="E707" s="4" t="str">
        <f>"QTR"&amp;IF(EarningsPerDay[[#This Row],[Week '#]] &lt;= 13, 1, IF(EarningsPerDay[[#This Row],[Week '#]] &lt;= 26, 2, IF(EarningsPerDay[[#This Row],[Week '#]] &lt;= 39, 3, 4)))</f>
        <v>QTR2</v>
      </c>
      <c r="F7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07" s="4">
        <f>IF(WEEKNUM(EarningsPerDay[[#This Row],[Date]], 2) = 53, 1, WEEKNUM(EarningsPerDay[[#This Row],[Date]],2))</f>
        <v>19</v>
      </c>
      <c r="H707" s="40" t="str">
        <f t="shared" ref="H707:H712" si="94">TEXT(B707,"DDDD")</f>
        <v>Monday</v>
      </c>
      <c r="I70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07" s="40" t="str" cm="1">
        <f t="array" ref="J707">IFERROR(VLOOKUP(MODE(IF(Combined[Date]=EarningsPerDay[[#This Row],[Date]],Combined[Area '#])),KPIs!$B$4:$C$7,2,FALSE),VLOOKUP(EarningsPerDay[[#This Row],[Date]],Combined[[Date]:[Primary Area]],8,FALSE))</f>
        <v>Portland</v>
      </c>
      <c r="K707" s="40" t="str">
        <f>_xlfn.XLOOKUP(EarningsPerDay[[#This Row],[Date]],Mileage[Date],Mileage[Weather])</f>
        <v>Fog</v>
      </c>
      <c r="L707" s="4">
        <f>_xlfn.XLOOKUP(EarningsPerDay[[#This Row],[Date]],Mileage[Date],Mileage[Hi Temp])</f>
        <v>50</v>
      </c>
      <c r="M707" s="12">
        <f>_xlfn.XLOOKUP(EarningsPerDay[[#This Row],[Date]],Mileage[Date],Mileage[Total Time])</f>
        <v>6.85</v>
      </c>
      <c r="N707" s="4">
        <f>_xlfn.XLOOKUP(EarningsPerDay[[#This Row],[Date]],Mileage[Date],Mileage[Mileage])</f>
        <v>211</v>
      </c>
      <c r="O707" s="4">
        <f>SUMIF(Combined[Date],EarningsPerDay[[#This Row],[Date]],Combined[Trips])</f>
        <v>12</v>
      </c>
      <c r="P707">
        <f>COUNTIF(Combined[Date],EarningsPerDay[[#This Row],[Date]])</f>
        <v>1</v>
      </c>
      <c r="Q7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7" s="11">
        <f>SUMIF(Combined[Date],EarningsPerDay[[#This Row],[Date]],Combined[Earnings])</f>
        <v>119.77</v>
      </c>
      <c r="S707" s="11">
        <f ca="1">EarningsPerDay[[#This Row],[Gross Earnings]]-(EarningsPerDay[[#This Row],[Miles]]*CpM!$D$11)</f>
        <v>72.722677455432105</v>
      </c>
      <c r="T707" s="11">
        <f t="shared" ref="T707:T770" si="95">R707/M707</f>
        <v>17.484671532846715</v>
      </c>
      <c r="U707" s="11">
        <f t="shared" ref="U707:U770" ca="1" si="96">S707/M707</f>
        <v>10.61644926356673</v>
      </c>
      <c r="V707" s="11">
        <f>EarningsPerDay[[#This Row],[Gross Earnings]]/EarningsPerDay[[#This Row],[Deliveries]]</f>
        <v>9.980833333333333</v>
      </c>
      <c r="W707" s="11">
        <f>EarningsPerDay[[#This Row],[Gross Earnings]]/EarningsPerDay[[#This Row],[Miles]]</f>
        <v>0.56763033175355448</v>
      </c>
      <c r="X707" s="71">
        <f>EarningsPerDay[[#This Row],[Deliveries]]/EarningsPerDay[[#This Row],[Hours]]</f>
        <v>1.7518248175182483</v>
      </c>
      <c r="Y707" s="71">
        <f>EarningsPerDay[[#This Row],[Miles]]/EarningsPerDay[[#This Row],[Deliveries]]</f>
        <v>17.583333333333332</v>
      </c>
      <c r="Z707" s="81">
        <f>(EarningsPerDay[[#This Row],[Hours]]/EarningsPerDay[[#This Row],[Deliveries]])/24</f>
        <v>2.3784722222222221E-2</v>
      </c>
      <c r="AA7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-4.0992406154919792</v>
      </c>
      <c r="AB707" s="11">
        <f>AVERAGEIFS(EarningsPerDay[Gross $/Hour],EarningsPerDay[Week '#], EarningsPerDay[[#This Row],[Week '#]], EarningsPerDay[DOW], EarningsPerDay[[#This Row],[DOW]])</f>
        <v>20.570186793111567</v>
      </c>
      <c r="AC707" s="11">
        <f>EarningsPerDay[[#This Row],[Gross $/Hour]] - EarningsPerDay[[#This Row],[Weekly Average Earnings]]</f>
        <v>-3.0855152602648523</v>
      </c>
      <c r="AD707" s="11">
        <f>(SUMIFS(EarningsPerDay[Gross Earnings], EarningsPerDay[Date],"&gt;="&amp;EarningsPerDay[[#This Row],[Date]]-89, EarningsPerDay[Date], "&lt;="&amp;EarningsPerDay[[#This Row],[Date]]))/90</f>
        <v>59.188999999999993</v>
      </c>
    </row>
    <row r="708" spans="2:30" x14ac:dyDescent="0.35">
      <c r="B708" s="40">
        <v>45783</v>
      </c>
      <c r="C708" s="40">
        <f t="shared" si="92"/>
        <v>45783</v>
      </c>
      <c r="D708" s="4">
        <f>IF(EarningsPerDay[[#This Row],[Week '#]]&gt;=52,YEAR(EarningsPerDay[[#This Row],[Date]])-1,YEAR(EarningsPerDay[[#This Row],[Date]]))</f>
        <v>2025</v>
      </c>
      <c r="E708" s="4" t="str">
        <f>"QTR"&amp;IF(EarningsPerDay[[#This Row],[Week '#]] &lt;= 13, 1, IF(EarningsPerDay[[#This Row],[Week '#]] &lt;= 26, 2, IF(EarningsPerDay[[#This Row],[Week '#]] &lt;= 39, 3, 4)))</f>
        <v>QTR2</v>
      </c>
      <c r="F7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08" s="4">
        <f>IF(WEEKNUM(EarningsPerDay[[#This Row],[Date]], 2) = 53, 1, WEEKNUM(EarningsPerDay[[#This Row],[Date]],2))</f>
        <v>19</v>
      </c>
      <c r="H708" s="40" t="str">
        <f t="shared" si="94"/>
        <v>Tuesday</v>
      </c>
      <c r="I70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08" s="40" t="str" cm="1">
        <f t="array" ref="J708">IFERROR(VLOOKUP(MODE(IF(Combined[Date]=EarningsPerDay[[#This Row],[Date]],Combined[Area '#])),KPIs!$B$4:$C$7,2,FALSE),VLOOKUP(EarningsPerDay[[#This Row],[Date]],Combined[[Date]:[Primary Area]],8,FALSE))</f>
        <v>Brunswick/Bath/Freeport</v>
      </c>
      <c r="K708" s="40" t="str">
        <f>_xlfn.XLOOKUP(EarningsPerDay[[#This Row],[Date]],Mileage[Date],Mileage[Weather])</f>
        <v>Rain</v>
      </c>
      <c r="L708" s="4">
        <f>_xlfn.XLOOKUP(EarningsPerDay[[#This Row],[Date]],Mileage[Date],Mileage[Hi Temp])</f>
        <v>55</v>
      </c>
      <c r="M708" s="12">
        <f>_xlfn.XLOOKUP(EarningsPerDay[[#This Row],[Date]],Mileage[Date],Mileage[Total Time])</f>
        <v>4.7699999999999996</v>
      </c>
      <c r="N708" s="4">
        <f>_xlfn.XLOOKUP(EarningsPerDay[[#This Row],[Date]],Mileage[Date],Mileage[Mileage])</f>
        <v>103</v>
      </c>
      <c r="O708" s="4">
        <f>SUMIF(Combined[Date],EarningsPerDay[[#This Row],[Date]],Combined[Trips])</f>
        <v>10</v>
      </c>
      <c r="P708">
        <f>COUNTIF(Combined[Date],EarningsPerDay[[#This Row],[Date]])</f>
        <v>2</v>
      </c>
      <c r="Q70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08" s="11">
        <f>SUMIF(Combined[Date],EarningsPerDay[[#This Row],[Date]],Combined[Earnings])</f>
        <v>100.12</v>
      </c>
      <c r="S708" s="11">
        <f ca="1">EarningsPerDay[[#This Row],[Gross Earnings]]-(EarningsPerDay[[#This Row],[Miles]]*CpM!$D$11)</f>
        <v>77.153771459286773</v>
      </c>
      <c r="T708" s="11">
        <f t="shared" si="95"/>
        <v>20.989517819706503</v>
      </c>
      <c r="U708" s="11">
        <f t="shared" ca="1" si="96"/>
        <v>16.174794855196389</v>
      </c>
      <c r="V708" s="11">
        <f>EarningsPerDay[[#This Row],[Gross Earnings]]/EarningsPerDay[[#This Row],[Deliveries]]</f>
        <v>10.012</v>
      </c>
      <c r="W708" s="11">
        <f>EarningsPerDay[[#This Row],[Gross Earnings]]/EarningsPerDay[[#This Row],[Miles]]</f>
        <v>0.97203883495145638</v>
      </c>
      <c r="X708" s="71">
        <f>EarningsPerDay[[#This Row],[Deliveries]]/EarningsPerDay[[#This Row],[Hours]]</f>
        <v>2.0964360587002098</v>
      </c>
      <c r="Y708" s="71">
        <f>EarningsPerDay[[#This Row],[Miles]]/EarningsPerDay[[#This Row],[Deliveries]]</f>
        <v>10.3</v>
      </c>
      <c r="Z708" s="81">
        <f>(EarningsPerDay[[#This Row],[Hours]]/EarningsPerDay[[#This Row],[Deliveries]])/24</f>
        <v>1.9875E-2</v>
      </c>
      <c r="AA7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-0.28162086732390179</v>
      </c>
      <c r="AB708" s="11">
        <f>AVERAGEIFS(EarningsPerDay[Gross $/Hour],EarningsPerDay[Week '#], EarningsPerDay[[#This Row],[Week '#]], EarningsPerDay[DOW], EarningsPerDay[[#This Row],[DOW]])</f>
        <v>18.163573021829258</v>
      </c>
      <c r="AC708" s="11">
        <f>EarningsPerDay[[#This Row],[Gross $/Hour]] - EarningsPerDay[[#This Row],[Weekly Average Earnings]]</f>
        <v>2.825944797877245</v>
      </c>
      <c r="AD708" s="11">
        <f>(SUMIFS(EarningsPerDay[Gross Earnings], EarningsPerDay[Date],"&gt;="&amp;EarningsPerDay[[#This Row],[Date]]-89, EarningsPerDay[Date], "&lt;="&amp;EarningsPerDay[[#This Row],[Date]]))/90</f>
        <v>59.731444444444435</v>
      </c>
    </row>
    <row r="709" spans="2:30" x14ac:dyDescent="0.35">
      <c r="B709" s="40">
        <v>45784</v>
      </c>
      <c r="C709" s="40">
        <f t="shared" si="92"/>
        <v>45784</v>
      </c>
      <c r="D709" s="4">
        <f>IF(EarningsPerDay[[#This Row],[Week '#]]&gt;=52,YEAR(EarningsPerDay[[#This Row],[Date]])-1,YEAR(EarningsPerDay[[#This Row],[Date]]))</f>
        <v>2025</v>
      </c>
      <c r="E709" s="4" t="str">
        <f>"QTR"&amp;IF(EarningsPerDay[[#This Row],[Week '#]] &lt;= 13, 1, IF(EarningsPerDay[[#This Row],[Week '#]] &lt;= 26, 2, IF(EarningsPerDay[[#This Row],[Week '#]] &lt;= 39, 3, 4)))</f>
        <v>QTR2</v>
      </c>
      <c r="F7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09" s="4">
        <f>IF(WEEKNUM(EarningsPerDay[[#This Row],[Date]], 2) = 53, 1, WEEKNUM(EarningsPerDay[[#This Row],[Date]],2))</f>
        <v>19</v>
      </c>
      <c r="H709" s="40" t="str">
        <f t="shared" si="94"/>
        <v>Wednesday</v>
      </c>
      <c r="I70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09" s="40" t="str" cm="1">
        <f t="array" ref="J709">IFERROR(VLOOKUP(MODE(IF(Combined[Date]=EarningsPerDay[[#This Row],[Date]],Combined[Area '#])),KPIs!$B$4:$C$7,2,FALSE),VLOOKUP(EarningsPerDay[[#This Row],[Date]],Combined[[Date]:[Primary Area]],8,FALSE))</f>
        <v>Brunswick/Bath/Freeport</v>
      </c>
      <c r="K709" s="40" t="str">
        <f>_xlfn.XLOOKUP(EarningsPerDay[[#This Row],[Date]],Mileage[Date],Mileage[Weather])</f>
        <v>Light Rain</v>
      </c>
      <c r="L709" s="4">
        <f>_xlfn.XLOOKUP(EarningsPerDay[[#This Row],[Date]],Mileage[Date],Mileage[Hi Temp])</f>
        <v>57</v>
      </c>
      <c r="M709" s="12">
        <f>_xlfn.XLOOKUP(EarningsPerDay[[#This Row],[Date]],Mileage[Date],Mileage[Total Time])</f>
        <v>5.55</v>
      </c>
      <c r="N709" s="4">
        <f>_xlfn.XLOOKUP(EarningsPerDay[[#This Row],[Date]],Mileage[Date],Mileage[Mileage])</f>
        <v>134</v>
      </c>
      <c r="O709" s="4">
        <f>SUMIF(Combined[Date],EarningsPerDay[[#This Row],[Date]],Combined[Trips])</f>
        <v>11</v>
      </c>
      <c r="P709">
        <f>COUNTIF(Combined[Date],EarningsPerDay[[#This Row],[Date]])</f>
        <v>4</v>
      </c>
      <c r="Q7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09" s="11">
        <f>SUMIF(Combined[Date],EarningsPerDay[[#This Row],[Date]],Combined[Earnings])</f>
        <v>106.02000000000001</v>
      </c>
      <c r="S709" s="11">
        <f ca="1">EarningsPerDay[[#This Row],[Gross Earnings]]-(EarningsPerDay[[#This Row],[Miles]]*CpM!$D$11)</f>
        <v>76.141605587809977</v>
      </c>
      <c r="T709" s="11">
        <f t="shared" si="95"/>
        <v>19.102702702702704</v>
      </c>
      <c r="U709" s="11">
        <f t="shared" ca="1" si="96"/>
        <v>13.719208214019815</v>
      </c>
      <c r="V709" s="11">
        <f>EarningsPerDay[[#This Row],[Gross Earnings]]/EarningsPerDay[[#This Row],[Deliveries]]</f>
        <v>9.6381818181818186</v>
      </c>
      <c r="W709" s="11">
        <f>EarningsPerDay[[#This Row],[Gross Earnings]]/EarningsPerDay[[#This Row],[Miles]]</f>
        <v>0.79119402985074638</v>
      </c>
      <c r="X709" s="71">
        <f>EarningsPerDay[[#This Row],[Deliveries]]/EarningsPerDay[[#This Row],[Hours]]</f>
        <v>1.9819819819819819</v>
      </c>
      <c r="Y709" s="71">
        <f>EarningsPerDay[[#This Row],[Miles]]/EarningsPerDay[[#This Row],[Deliveries]]</f>
        <v>12.181818181818182</v>
      </c>
      <c r="Z709" s="81">
        <f>(EarningsPerDay[[#This Row],[Hours]]/EarningsPerDay[[#This Row],[Deliveries]])/24</f>
        <v>2.1022727272727273E-2</v>
      </c>
      <c r="AA7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-4.1243570356047421</v>
      </c>
      <c r="AB709" s="11">
        <f>AVERAGEIFS(EarningsPerDay[Gross $/Hour],EarningsPerDay[Week '#], EarningsPerDay[[#This Row],[Week '#]], EarningsPerDay[DOW], EarningsPerDay[[#This Row],[DOW]])</f>
        <v>24.426643904418047</v>
      </c>
      <c r="AC709" s="11">
        <f>EarningsPerDay[[#This Row],[Gross $/Hour]] - EarningsPerDay[[#This Row],[Weekly Average Earnings]]</f>
        <v>-5.3239412017153427</v>
      </c>
      <c r="AD709" s="11">
        <f>(SUMIFS(EarningsPerDay[Gross Earnings], EarningsPerDay[Date],"&gt;="&amp;EarningsPerDay[[#This Row],[Date]]-89, EarningsPerDay[Date], "&lt;="&amp;EarningsPerDay[[#This Row],[Date]]))/90</f>
        <v>60.697888888888883</v>
      </c>
    </row>
    <row r="710" spans="2:30" x14ac:dyDescent="0.35">
      <c r="B710" s="40">
        <v>45785</v>
      </c>
      <c r="C710" s="40">
        <f t="shared" si="92"/>
        <v>45785</v>
      </c>
      <c r="D710" s="4">
        <f>IF(EarningsPerDay[[#This Row],[Week '#]]&gt;=52,YEAR(EarningsPerDay[[#This Row],[Date]])-1,YEAR(EarningsPerDay[[#This Row],[Date]]))</f>
        <v>2025</v>
      </c>
      <c r="E710" s="4" t="str">
        <f>"QTR"&amp;IF(EarningsPerDay[[#This Row],[Week '#]] &lt;= 13, 1, IF(EarningsPerDay[[#This Row],[Week '#]] &lt;= 26, 2, IF(EarningsPerDay[[#This Row],[Week '#]] &lt;= 39, 3, 4)))</f>
        <v>QTR2</v>
      </c>
      <c r="F7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10" s="4">
        <f>IF(WEEKNUM(EarningsPerDay[[#This Row],[Date]], 2) = 53, 1, WEEKNUM(EarningsPerDay[[#This Row],[Date]],2))</f>
        <v>19</v>
      </c>
      <c r="H710" s="40" t="str">
        <f t="shared" si="94"/>
        <v>Thursday</v>
      </c>
      <c r="I710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10" s="40" t="str" cm="1">
        <f t="array" ref="J710">IFERROR(VLOOKUP(MODE(IF(Combined[Date]=EarningsPerDay[[#This Row],[Date]],Combined[Area '#])),KPIs!$B$4:$C$7,2,FALSE),VLOOKUP(EarningsPerDay[[#This Row],[Date]],Combined[[Date]:[Primary Area]],8,FALSE))</f>
        <v>Brunswick/Bath/Freeport</v>
      </c>
      <c r="K710" s="40" t="str">
        <f>_xlfn.XLOOKUP(EarningsPerDay[[#This Row],[Date]],Mileage[Date],Mileage[Weather])</f>
        <v>Mostly Cloudy</v>
      </c>
      <c r="L710" s="4">
        <f>_xlfn.XLOOKUP(EarningsPerDay[[#This Row],[Date]],Mileage[Date],Mileage[Hi Temp])</f>
        <v>61</v>
      </c>
      <c r="M710" s="12">
        <f>_xlfn.XLOOKUP(EarningsPerDay[[#This Row],[Date]],Mileage[Date],Mileage[Total Time])</f>
        <v>5.8</v>
      </c>
      <c r="N710" s="4">
        <f>_xlfn.XLOOKUP(EarningsPerDay[[#This Row],[Date]],Mileage[Date],Mileage[Mileage])</f>
        <v>155</v>
      </c>
      <c r="O710" s="4">
        <f>SUMIF(Combined[Date],EarningsPerDay[[#This Row],[Date]],Combined[Trips])</f>
        <v>13</v>
      </c>
      <c r="P710">
        <f>COUNTIF(Combined[Date],EarningsPerDay[[#This Row],[Date]])</f>
        <v>2</v>
      </c>
      <c r="Q7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0" s="11">
        <f>SUMIF(Combined[Date],EarningsPerDay[[#This Row],[Date]],Combined[Earnings])</f>
        <v>149.07</v>
      </c>
      <c r="S710" s="11">
        <f ca="1">EarningsPerDay[[#This Row],[Gross Earnings]]-(EarningsPerDay[[#This Row],[Miles]]*CpM!$D$11)</f>
        <v>114.509170642616</v>
      </c>
      <c r="T710" s="11">
        <f t="shared" si="95"/>
        <v>25.701724137931034</v>
      </c>
      <c r="U710" s="11">
        <f t="shared" ca="1" si="96"/>
        <v>19.74296045562345</v>
      </c>
      <c r="V710" s="11">
        <f>EarningsPerDay[[#This Row],[Gross Earnings]]/EarningsPerDay[[#This Row],[Deliveries]]</f>
        <v>11.466923076923077</v>
      </c>
      <c r="W710" s="11">
        <f>EarningsPerDay[[#This Row],[Gross Earnings]]/EarningsPerDay[[#This Row],[Miles]]</f>
        <v>0.96174193548387088</v>
      </c>
      <c r="X710" s="71">
        <f>EarningsPerDay[[#This Row],[Deliveries]]/EarningsPerDay[[#This Row],[Hours]]</f>
        <v>2.2413793103448278</v>
      </c>
      <c r="Y710" s="71">
        <f>EarningsPerDay[[#This Row],[Miles]]/EarningsPerDay[[#This Row],[Deliveries]]</f>
        <v>11.923076923076923</v>
      </c>
      <c r="Z710" s="81">
        <f>(EarningsPerDay[[#This Row],[Hours]]/EarningsPerDay[[#This Row],[Deliveries]])/24</f>
        <v>1.858974358974359E-2</v>
      </c>
      <c r="AA7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2.1028622798794778</v>
      </c>
      <c r="AB710" s="11">
        <f>AVERAGEIFS(EarningsPerDay[Gross $/Hour],EarningsPerDay[Week '#], EarningsPerDay[[#This Row],[Week '#]], EarningsPerDay[DOW], EarningsPerDay[[#This Row],[DOW]])</f>
        <v>21.385404996263951</v>
      </c>
      <c r="AC710" s="11">
        <f>EarningsPerDay[[#This Row],[Gross $/Hour]] - EarningsPerDay[[#This Row],[Weekly Average Earnings]]</f>
        <v>4.3163191416670834</v>
      </c>
      <c r="AD710" s="11">
        <f>(SUMIFS(EarningsPerDay[Gross Earnings], EarningsPerDay[Date],"&gt;="&amp;EarningsPerDay[[#This Row],[Date]]-89, EarningsPerDay[Date], "&lt;="&amp;EarningsPerDay[[#This Row],[Date]]))/90</f>
        <v>61.895333333333319</v>
      </c>
    </row>
    <row r="711" spans="2:30" x14ac:dyDescent="0.35">
      <c r="B711" s="40">
        <v>45787</v>
      </c>
      <c r="C711" s="40">
        <f t="shared" si="92"/>
        <v>45787</v>
      </c>
      <c r="D711" s="4">
        <f>IF(EarningsPerDay[[#This Row],[Week '#]]&gt;=52,YEAR(EarningsPerDay[[#This Row],[Date]])-1,YEAR(EarningsPerDay[[#This Row],[Date]]))</f>
        <v>2025</v>
      </c>
      <c r="E711" s="4" t="str">
        <f>"QTR"&amp;IF(EarningsPerDay[[#This Row],[Week '#]] &lt;= 13, 1, IF(EarningsPerDay[[#This Row],[Week '#]] &lt;= 26, 2, IF(EarningsPerDay[[#This Row],[Week '#]] &lt;= 39, 3, 4)))</f>
        <v>QTR2</v>
      </c>
      <c r="F7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11" s="4">
        <f>IF(WEEKNUM(EarningsPerDay[[#This Row],[Date]], 2) = 53, 1, WEEKNUM(EarningsPerDay[[#This Row],[Date]],2))</f>
        <v>19</v>
      </c>
      <c r="H711" s="40" t="str">
        <f t="shared" si="94"/>
        <v>Saturday</v>
      </c>
      <c r="I71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11" s="40" t="str" cm="1">
        <f t="array" ref="J711">IFERROR(VLOOKUP(MODE(IF(Combined[Date]=EarningsPerDay[[#This Row],[Date]],Combined[Area '#])),KPIs!$B$4:$C$7,2,FALSE),VLOOKUP(EarningsPerDay[[#This Row],[Date]],Combined[[Date]:[Primary Area]],8,FALSE))</f>
        <v>Lewiston</v>
      </c>
      <c r="K711" s="40" t="str">
        <f>_xlfn.XLOOKUP(EarningsPerDay[[#This Row],[Date]],Mileage[Date],Mileage[Weather])</f>
        <v>Clear</v>
      </c>
      <c r="L711" s="4">
        <f>_xlfn.XLOOKUP(EarningsPerDay[[#This Row],[Date]],Mileage[Date],Mileage[Hi Temp])</f>
        <v>59</v>
      </c>
      <c r="M711" s="12">
        <f>_xlfn.XLOOKUP(EarningsPerDay[[#This Row],[Date]],Mileage[Date],Mileage[Total Time])</f>
        <v>4.68</v>
      </c>
      <c r="N711" s="4">
        <f>_xlfn.XLOOKUP(EarningsPerDay[[#This Row],[Date]],Mileage[Date],Mileage[Mileage])</f>
        <v>106</v>
      </c>
      <c r="O711" s="4">
        <f>SUMIF(Combined[Date],EarningsPerDay[[#This Row],[Date]],Combined[Trips])</f>
        <v>6</v>
      </c>
      <c r="P711">
        <f>COUNTIF(Combined[Date],EarningsPerDay[[#This Row],[Date]])</f>
        <v>2</v>
      </c>
      <c r="Q71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1" s="11">
        <f>SUMIF(Combined[Date],EarningsPerDay[[#This Row],[Date]],Combined[Earnings])</f>
        <v>96.08</v>
      </c>
      <c r="S711" s="11">
        <f ca="1">EarningsPerDay[[#This Row],[Gross Earnings]]-(EarningsPerDay[[#This Row],[Miles]]*CpM!$D$11)</f>
        <v>72.444852181401913</v>
      </c>
      <c r="T711" s="11">
        <f t="shared" si="95"/>
        <v>20.529914529914532</v>
      </c>
      <c r="U711" s="11">
        <f t="shared" ca="1" si="96"/>
        <v>15.479669269530325</v>
      </c>
      <c r="V711" s="11">
        <f>EarningsPerDay[[#This Row],[Gross Earnings]]/EarningsPerDay[[#This Row],[Deliveries]]</f>
        <v>16.013333333333332</v>
      </c>
      <c r="W711" s="11">
        <f>EarningsPerDay[[#This Row],[Gross Earnings]]/EarningsPerDay[[#This Row],[Miles]]</f>
        <v>0.90641509433962264</v>
      </c>
      <c r="X711" s="71">
        <f>EarningsPerDay[[#This Row],[Deliveries]]/EarningsPerDay[[#This Row],[Hours]]</f>
        <v>1.2820512820512822</v>
      </c>
      <c r="Y711" s="71">
        <f>EarningsPerDay[[#This Row],[Miles]]/EarningsPerDay[[#This Row],[Deliveries]]</f>
        <v>17.666666666666668</v>
      </c>
      <c r="Z711" s="81">
        <f>(EarningsPerDay[[#This Row],[Hours]]/EarningsPerDay[[#This Row],[Deliveries]])/24</f>
        <v>3.2499999999999994E-2</v>
      </c>
      <c r="AA7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8.6143006968434577E-2</v>
      </c>
      <c r="AB711" s="11">
        <f>AVERAGEIFS(EarningsPerDay[Gross $/Hour],EarningsPerDay[Week '#], EarningsPerDay[[#This Row],[Week '#]], EarningsPerDay[DOW], EarningsPerDay[[#This Row],[DOW]])</f>
        <v>21.645085470085469</v>
      </c>
      <c r="AC711" s="11">
        <f>EarningsPerDay[[#This Row],[Gross $/Hour]] - EarningsPerDay[[#This Row],[Weekly Average Earnings]]</f>
        <v>-1.1151709401709375</v>
      </c>
      <c r="AD711" s="11">
        <f>(SUMIFS(EarningsPerDay[Gross Earnings], EarningsPerDay[Date],"&gt;="&amp;EarningsPerDay[[#This Row],[Date]]-89, EarningsPerDay[Date], "&lt;="&amp;EarningsPerDay[[#This Row],[Date]]))/90</f>
        <v>61.905999999999992</v>
      </c>
    </row>
    <row r="712" spans="2:30" x14ac:dyDescent="0.35">
      <c r="B712" s="40">
        <v>45788</v>
      </c>
      <c r="C712" s="40">
        <f t="shared" si="92"/>
        <v>45788</v>
      </c>
      <c r="D712" s="4">
        <f>IF(EarningsPerDay[[#This Row],[Week '#]]&gt;=52,YEAR(EarningsPerDay[[#This Row],[Date]])-1,YEAR(EarningsPerDay[[#This Row],[Date]]))</f>
        <v>2025</v>
      </c>
      <c r="E712" s="4" t="str">
        <f>"QTR"&amp;IF(EarningsPerDay[[#This Row],[Week '#]] &lt;= 13, 1, IF(EarningsPerDay[[#This Row],[Week '#]] &lt;= 26, 2, IF(EarningsPerDay[[#This Row],[Week '#]] &lt;= 39, 3, 4)))</f>
        <v>QTR2</v>
      </c>
      <c r="F7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12" s="4">
        <f>IF(WEEKNUM(EarningsPerDay[[#This Row],[Date]], 2) = 53, 1, WEEKNUM(EarningsPerDay[[#This Row],[Date]],2))</f>
        <v>19</v>
      </c>
      <c r="H712" s="40" t="str">
        <f t="shared" si="94"/>
        <v>Sunday</v>
      </c>
      <c r="I71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712" s="40" t="str" cm="1">
        <f t="array" ref="J712">IFERROR(VLOOKUP(MODE(IF(Combined[Date]=EarningsPerDay[[#This Row],[Date]],Combined[Area '#])),KPIs!$B$4:$C$7,2,FALSE),VLOOKUP(EarningsPerDay[[#This Row],[Date]],Combined[[Date]:[Primary Area]],8,FALSE))</f>
        <v>Brunswick/Bath/Freeport</v>
      </c>
      <c r="K712" s="40" t="str">
        <f>_xlfn.XLOOKUP(EarningsPerDay[[#This Row],[Date]],Mileage[Date],Mileage[Weather])</f>
        <v>Clear</v>
      </c>
      <c r="L712" s="4">
        <f>_xlfn.XLOOKUP(EarningsPerDay[[#This Row],[Date]],Mileage[Date],Mileage[Hi Temp])</f>
        <v>59</v>
      </c>
      <c r="M712" s="12">
        <f>_xlfn.XLOOKUP(EarningsPerDay[[#This Row],[Date]],Mileage[Date],Mileage[Total Time])</f>
        <v>4.88</v>
      </c>
      <c r="N712" s="4">
        <f>_xlfn.XLOOKUP(EarningsPerDay[[#This Row],[Date]],Mileage[Date],Mileage[Mileage])</f>
        <v>76</v>
      </c>
      <c r="O712" s="4">
        <f>SUMIF(Combined[Date],EarningsPerDay[[#This Row],[Date]],Combined[Trips])</f>
        <v>10</v>
      </c>
      <c r="P712">
        <f>COUNTIF(Combined[Date],EarningsPerDay[[#This Row],[Date]])</f>
        <v>2</v>
      </c>
      <c r="Q7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2" s="11">
        <f>SUMIF(Combined[Date],EarningsPerDay[[#This Row],[Date]],Combined[Earnings])</f>
        <v>126.55</v>
      </c>
      <c r="S712" s="11">
        <f ca="1">EarningsPerDay[[#This Row],[Gross Earnings]]-(EarningsPerDay[[#This Row],[Miles]]*CpM!$D$11)</f>
        <v>109.60404496025043</v>
      </c>
      <c r="T712" s="11">
        <f t="shared" si="95"/>
        <v>25.932377049180328</v>
      </c>
      <c r="U712" s="11">
        <f t="shared" ca="1" si="96"/>
        <v>22.459845278739845</v>
      </c>
      <c r="V712" s="11">
        <f>EarningsPerDay[[#This Row],[Gross Earnings]]/EarningsPerDay[[#This Row],[Deliveries]]</f>
        <v>12.654999999999999</v>
      </c>
      <c r="W712" s="11">
        <f>EarningsPerDay[[#This Row],[Gross Earnings]]/EarningsPerDay[[#This Row],[Miles]]</f>
        <v>1.6651315789473684</v>
      </c>
      <c r="X712" s="71">
        <f>EarningsPerDay[[#This Row],[Deliveries]]/EarningsPerDay[[#This Row],[Hours]]</f>
        <v>2.0491803278688523</v>
      </c>
      <c r="Y712" s="71">
        <f>EarningsPerDay[[#This Row],[Miles]]/EarningsPerDay[[#This Row],[Deliveries]]</f>
        <v>7.6</v>
      </c>
      <c r="Z712" s="81">
        <f>(EarningsPerDay[[#This Row],[Hours]]/EarningsPerDay[[#This Row],[Deliveries]])/24</f>
        <v>2.0333333333333332E-2</v>
      </c>
      <c r="AA7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4.0517054326856687</v>
      </c>
      <c r="AB712" s="11">
        <f>AVERAGEIFS(EarningsPerDay[Gross $/Hour],EarningsPerDay[Week '#], EarningsPerDay[[#This Row],[Week '#]], EarningsPerDay[DOW], EarningsPerDay[[#This Row],[DOW]])</f>
        <v>22.364407354106703</v>
      </c>
      <c r="AC712" s="11">
        <f>EarningsPerDay[[#This Row],[Gross $/Hour]] - EarningsPerDay[[#This Row],[Weekly Average Earnings]]</f>
        <v>3.567969695073625</v>
      </c>
      <c r="AD712" s="11">
        <f>(SUMIFS(EarningsPerDay[Gross Earnings], EarningsPerDay[Date],"&gt;="&amp;EarningsPerDay[[#This Row],[Date]]-89, EarningsPerDay[Date], "&lt;="&amp;EarningsPerDay[[#This Row],[Date]]))/90</f>
        <v>62.129555555555555</v>
      </c>
    </row>
    <row r="713" spans="2:30" x14ac:dyDescent="0.35">
      <c r="B713" s="40">
        <v>45789</v>
      </c>
      <c r="C713" s="40">
        <f t="shared" si="92"/>
        <v>45789</v>
      </c>
      <c r="D713" s="4">
        <f>IF(EarningsPerDay[[#This Row],[Week '#]]&gt;=52,YEAR(EarningsPerDay[[#This Row],[Date]])-1,YEAR(EarningsPerDay[[#This Row],[Date]]))</f>
        <v>2025</v>
      </c>
      <c r="E713" s="4" t="str">
        <f>"QTR"&amp;IF(EarningsPerDay[[#This Row],[Week '#]] &lt;= 13, 1, IF(EarningsPerDay[[#This Row],[Week '#]] &lt;= 26, 2, IF(EarningsPerDay[[#This Row],[Week '#]] &lt;= 39, 3, 4)))</f>
        <v>QTR2</v>
      </c>
      <c r="F7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13" s="4">
        <f>IF(WEEKNUM(EarningsPerDay[[#This Row],[Date]], 2) = 53, 1, WEEKNUM(EarningsPerDay[[#This Row],[Date]],2))</f>
        <v>20</v>
      </c>
      <c r="H713" s="40" t="str">
        <f t="shared" ref="H713:H718" si="97">TEXT(B713,"DDDD")</f>
        <v>Monday</v>
      </c>
      <c r="I71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13" s="40" t="str" cm="1">
        <f t="array" ref="J713">IFERROR(VLOOKUP(MODE(IF(Combined[Date]=EarningsPerDay[[#This Row],[Date]],Combined[Area '#])),KPIs!$B$4:$C$7,2,FALSE),VLOOKUP(EarningsPerDay[[#This Row],[Date]],Combined[[Date]:[Primary Area]],8,FALSE))</f>
        <v>Brunswick/Bath/Freeport</v>
      </c>
      <c r="K713" s="40" t="str">
        <f>_xlfn.XLOOKUP(EarningsPerDay[[#This Row],[Date]],Mileage[Date],Mileage[Weather])</f>
        <v>Clear</v>
      </c>
      <c r="L713" s="4">
        <f>_xlfn.XLOOKUP(EarningsPerDay[[#This Row],[Date]],Mileage[Date],Mileage[Hi Temp])</f>
        <v>61</v>
      </c>
      <c r="M713" s="12">
        <f>_xlfn.XLOOKUP(EarningsPerDay[[#This Row],[Date]],Mileage[Date],Mileage[Total Time])</f>
        <v>3.2</v>
      </c>
      <c r="N713" s="4">
        <f>_xlfn.XLOOKUP(EarningsPerDay[[#This Row],[Date]],Mileage[Date],Mileage[Mileage])</f>
        <v>54</v>
      </c>
      <c r="O713" s="4">
        <f>SUMIF(Combined[Date],EarningsPerDay[[#This Row],[Date]],Combined[Trips])</f>
        <v>6</v>
      </c>
      <c r="P713">
        <f>COUNTIF(Combined[Date],EarningsPerDay[[#This Row],[Date]])</f>
        <v>1</v>
      </c>
      <c r="Q7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3" s="11">
        <f>SUMIF(Combined[Date],EarningsPerDay[[#This Row],[Date]],Combined[Earnings])</f>
        <v>71.73</v>
      </c>
      <c r="S713" s="11">
        <f ca="1">EarningsPerDay[[#This Row],[Gross Earnings]]-(EarningsPerDay[[#This Row],[Miles]]*CpM!$D$11)</f>
        <v>59.689452998072682</v>
      </c>
      <c r="T713" s="11">
        <f t="shared" si="95"/>
        <v>22.415624999999999</v>
      </c>
      <c r="U713" s="11">
        <f t="shared" ca="1" si="96"/>
        <v>18.652954061897713</v>
      </c>
      <c r="V713" s="11">
        <f>EarningsPerDay[[#This Row],[Gross Earnings]]/EarningsPerDay[[#This Row],[Deliveries]]</f>
        <v>11.955</v>
      </c>
      <c r="W713" s="11">
        <f>EarningsPerDay[[#This Row],[Gross Earnings]]/EarningsPerDay[[#This Row],[Miles]]</f>
        <v>1.3283333333333334</v>
      </c>
      <c r="X713" s="71">
        <f>EarningsPerDay[[#This Row],[Deliveries]]/EarningsPerDay[[#This Row],[Hours]]</f>
        <v>1.875</v>
      </c>
      <c r="Y713" s="71">
        <f>EarningsPerDay[[#This Row],[Miles]]/EarningsPerDay[[#This Row],[Deliveries]]</f>
        <v>9</v>
      </c>
      <c r="Z713" s="81">
        <f>(EarningsPerDay[[#This Row],[Hours]]/EarningsPerDay[[#This Row],[Deliveries]])/24</f>
        <v>2.2222222222222223E-2</v>
      </c>
      <c r="AA7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1.1436994870039499</v>
      </c>
      <c r="AB713" s="11">
        <f>AVERAGEIFS(EarningsPerDay[Gross $/Hour],EarningsPerDay[Week '#], EarningsPerDay[[#This Row],[Week '#]], EarningsPerDay[DOW], EarningsPerDay[[#This Row],[DOW]])</f>
        <v>25.030869708994711</v>
      </c>
      <c r="AC713" s="11">
        <f>EarningsPerDay[[#This Row],[Gross $/Hour]] - EarningsPerDay[[#This Row],[Weekly Average Earnings]]</f>
        <v>-2.6152447089947124</v>
      </c>
      <c r="AD713" s="11">
        <f>(SUMIFS(EarningsPerDay[Gross Earnings], EarningsPerDay[Date],"&gt;="&amp;EarningsPerDay[[#This Row],[Date]]-89, EarningsPerDay[Date], "&lt;="&amp;EarningsPerDay[[#This Row],[Date]]))/90</f>
        <v>62.926555555555552</v>
      </c>
    </row>
    <row r="714" spans="2:30" x14ac:dyDescent="0.35">
      <c r="B714" s="40">
        <v>45790</v>
      </c>
      <c r="C714" s="40">
        <f t="shared" si="92"/>
        <v>45790</v>
      </c>
      <c r="D714" s="4">
        <f>IF(EarningsPerDay[[#This Row],[Week '#]]&gt;=52,YEAR(EarningsPerDay[[#This Row],[Date]])-1,YEAR(EarningsPerDay[[#This Row],[Date]]))</f>
        <v>2025</v>
      </c>
      <c r="E714" s="4" t="str">
        <f>"QTR"&amp;IF(EarningsPerDay[[#This Row],[Week '#]] &lt;= 13, 1, IF(EarningsPerDay[[#This Row],[Week '#]] &lt;= 26, 2, IF(EarningsPerDay[[#This Row],[Week '#]] &lt;= 39, 3, 4)))</f>
        <v>QTR2</v>
      </c>
      <c r="F7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14" s="4">
        <f>IF(WEEKNUM(EarningsPerDay[[#This Row],[Date]], 2) = 53, 1, WEEKNUM(EarningsPerDay[[#This Row],[Date]],2))</f>
        <v>20</v>
      </c>
      <c r="H714" s="40" t="str">
        <f t="shared" si="97"/>
        <v>Tuesday</v>
      </c>
      <c r="I71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14" s="40" t="str" cm="1">
        <f t="array" ref="J714">IFERROR(VLOOKUP(MODE(IF(Combined[Date]=EarningsPerDay[[#This Row],[Date]],Combined[Area '#])),KPIs!$B$4:$C$7,2,FALSE),VLOOKUP(EarningsPerDay[[#This Row],[Date]],Combined[[Date]:[Primary Area]],8,FALSE))</f>
        <v>Brunswick/Bath/Freeport</v>
      </c>
      <c r="K714" s="40" t="str">
        <f>_xlfn.XLOOKUP(EarningsPerDay[[#This Row],[Date]],Mileage[Date],Mileage[Weather])</f>
        <v>Clear</v>
      </c>
      <c r="L714" s="4">
        <f>_xlfn.XLOOKUP(EarningsPerDay[[#This Row],[Date]],Mileage[Date],Mileage[Hi Temp])</f>
        <v>61</v>
      </c>
      <c r="M714" s="12">
        <f>_xlfn.XLOOKUP(EarningsPerDay[[#This Row],[Date]],Mileage[Date],Mileage[Total Time])</f>
        <v>4.53</v>
      </c>
      <c r="N714" s="4">
        <f>_xlfn.XLOOKUP(EarningsPerDay[[#This Row],[Date]],Mileage[Date],Mileage[Mileage])</f>
        <v>96</v>
      </c>
      <c r="O714" s="4">
        <f>SUMIF(Combined[Date],EarningsPerDay[[#This Row],[Date]],Combined[Trips])</f>
        <v>12</v>
      </c>
      <c r="P714">
        <f>COUNTIF(Combined[Date],EarningsPerDay[[#This Row],[Date]])</f>
        <v>3</v>
      </c>
      <c r="Q7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4" s="11">
        <f>SUMIF(Combined[Date],EarningsPerDay[[#This Row],[Date]],Combined[Earnings])</f>
        <v>120.34</v>
      </c>
      <c r="S714" s="11">
        <f ca="1">EarningsPerDay[[#This Row],[Gross Earnings]]-(EarningsPerDay[[#This Row],[Miles]]*CpM!$D$11)</f>
        <v>98.934583107684759</v>
      </c>
      <c r="T714" s="11">
        <f t="shared" si="95"/>
        <v>26.565121412803531</v>
      </c>
      <c r="U714" s="11">
        <f t="shared" ca="1" si="96"/>
        <v>21.839863820680961</v>
      </c>
      <c r="V714" s="11">
        <f>EarningsPerDay[[#This Row],[Gross Earnings]]/EarningsPerDay[[#This Row],[Deliveries]]</f>
        <v>10.028333333333334</v>
      </c>
      <c r="W714" s="11">
        <f>EarningsPerDay[[#This Row],[Gross Earnings]]/EarningsPerDay[[#This Row],[Miles]]</f>
        <v>1.2535416666666668</v>
      </c>
      <c r="X714" s="71">
        <f>EarningsPerDay[[#This Row],[Deliveries]]/EarningsPerDay[[#This Row],[Hours]]</f>
        <v>2.6490066225165561</v>
      </c>
      <c r="Y714" s="71">
        <f>EarningsPerDay[[#This Row],[Miles]]/EarningsPerDay[[#This Row],[Deliveries]]</f>
        <v>8</v>
      </c>
      <c r="Z714" s="81">
        <f>(EarningsPerDay[[#This Row],[Hours]]/EarningsPerDay[[#This Row],[Deliveries]])/24</f>
        <v>1.5729166666666666E-2</v>
      </c>
      <c r="AA7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5.3127574502613868</v>
      </c>
      <c r="AB714" s="11">
        <f>AVERAGEIFS(EarningsPerDay[Gross $/Hour],EarningsPerDay[Week '#], EarningsPerDay[[#This Row],[Week '#]], EarningsPerDay[DOW], EarningsPerDay[[#This Row],[DOW]])</f>
        <v>25.982298093143498</v>
      </c>
      <c r="AC714" s="11">
        <f>EarningsPerDay[[#This Row],[Gross $/Hour]] - EarningsPerDay[[#This Row],[Weekly Average Earnings]]</f>
        <v>0.58282331966003298</v>
      </c>
      <c r="AD714" s="11">
        <f>(SUMIFS(EarningsPerDay[Gross Earnings], EarningsPerDay[Date],"&gt;="&amp;EarningsPerDay[[#This Row],[Date]]-89, EarningsPerDay[Date], "&lt;="&amp;EarningsPerDay[[#This Row],[Date]]))/90</f>
        <v>64.263666666666666</v>
      </c>
    </row>
    <row r="715" spans="2:30" x14ac:dyDescent="0.35">
      <c r="B715" s="40">
        <v>45791</v>
      </c>
      <c r="C715" s="40">
        <f t="shared" si="92"/>
        <v>45791</v>
      </c>
      <c r="D715" s="4">
        <f>IF(EarningsPerDay[[#This Row],[Week '#]]&gt;=52,YEAR(EarningsPerDay[[#This Row],[Date]])-1,YEAR(EarningsPerDay[[#This Row],[Date]]))</f>
        <v>2025</v>
      </c>
      <c r="E715" s="4" t="str">
        <f>"QTR"&amp;IF(EarningsPerDay[[#This Row],[Week '#]] &lt;= 13, 1, IF(EarningsPerDay[[#This Row],[Week '#]] &lt;= 26, 2, IF(EarningsPerDay[[#This Row],[Week '#]] &lt;= 39, 3, 4)))</f>
        <v>QTR2</v>
      </c>
      <c r="F7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15" s="4">
        <f>IF(WEEKNUM(EarningsPerDay[[#This Row],[Date]], 2) = 53, 1, WEEKNUM(EarningsPerDay[[#This Row],[Date]],2))</f>
        <v>20</v>
      </c>
      <c r="H715" s="40" t="str">
        <f t="shared" si="97"/>
        <v>Wednesday</v>
      </c>
      <c r="I71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15" s="40" t="str" cm="1">
        <f t="array" ref="J715">IFERROR(VLOOKUP(MODE(IF(Combined[Date]=EarningsPerDay[[#This Row],[Date]],Combined[Area '#])),KPIs!$B$4:$C$7,2,FALSE),VLOOKUP(EarningsPerDay[[#This Row],[Date]],Combined[[Date]:[Primary Area]],8,FALSE))</f>
        <v>Brunswick/Bath/Freeport</v>
      </c>
      <c r="K715" s="40" t="str">
        <f>_xlfn.XLOOKUP(EarningsPerDay[[#This Row],[Date]],Mileage[Date],Mileage[Weather])</f>
        <v>Clear</v>
      </c>
      <c r="L715" s="4">
        <f>_xlfn.XLOOKUP(EarningsPerDay[[#This Row],[Date]],Mileage[Date],Mileage[Hi Temp])</f>
        <v>66</v>
      </c>
      <c r="M715" s="12">
        <f>_xlfn.XLOOKUP(EarningsPerDay[[#This Row],[Date]],Mileage[Date],Mileage[Total Time])</f>
        <v>4.78</v>
      </c>
      <c r="N715" s="4">
        <f>_xlfn.XLOOKUP(EarningsPerDay[[#This Row],[Date]],Mileage[Date],Mileage[Mileage])</f>
        <v>101</v>
      </c>
      <c r="O715" s="4">
        <f>SUMIF(Combined[Date],EarningsPerDay[[#This Row],[Date]],Combined[Trips])</f>
        <v>12</v>
      </c>
      <c r="P715">
        <f>COUNTIF(Combined[Date],EarningsPerDay[[#This Row],[Date]])</f>
        <v>2</v>
      </c>
      <c r="Q7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5" s="11">
        <f>SUMIF(Combined[Date],EarningsPerDay[[#This Row],[Date]],Combined[Earnings])</f>
        <v>117.02</v>
      </c>
      <c r="S715" s="11">
        <f ca="1">EarningsPerDay[[#This Row],[Gross Earnings]]-(EarningsPerDay[[#This Row],[Miles]]*CpM!$D$11)</f>
        <v>94.499717644543324</v>
      </c>
      <c r="T715" s="11">
        <f t="shared" si="95"/>
        <v>24.481171548117153</v>
      </c>
      <c r="U715" s="11">
        <f t="shared" ca="1" si="96"/>
        <v>19.769815406808227</v>
      </c>
      <c r="V715" s="11">
        <f>EarningsPerDay[[#This Row],[Gross Earnings]]/EarningsPerDay[[#This Row],[Deliveries]]</f>
        <v>9.7516666666666669</v>
      </c>
      <c r="W715" s="11">
        <f>EarningsPerDay[[#This Row],[Gross Earnings]]/EarningsPerDay[[#This Row],[Miles]]</f>
        <v>1.1586138613861385</v>
      </c>
      <c r="X715" s="71">
        <f>EarningsPerDay[[#This Row],[Deliveries]]/EarningsPerDay[[#This Row],[Hours]]</f>
        <v>2.510460251046025</v>
      </c>
      <c r="Y715" s="71">
        <f>EarningsPerDay[[#This Row],[Miles]]/EarningsPerDay[[#This Row],[Deliveries]]</f>
        <v>8.4166666666666661</v>
      </c>
      <c r="Z715" s="81">
        <f>(EarningsPerDay[[#This Row],[Hours]]/EarningsPerDay[[#This Row],[Deliveries]])/24</f>
        <v>1.6597222222222225E-2</v>
      </c>
      <c r="AA7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1.548708740924333</v>
      </c>
      <c r="AB715" s="11">
        <f>AVERAGEIFS(EarningsPerDay[Gross $/Hour],EarningsPerDay[Week '#], EarningsPerDay[[#This Row],[Week '#]], EarningsPerDay[DOW], EarningsPerDay[[#This Row],[DOW]])</f>
        <v>24.268423200414826</v>
      </c>
      <c r="AC715" s="11">
        <f>EarningsPerDay[[#This Row],[Gross $/Hour]] - EarningsPerDay[[#This Row],[Weekly Average Earnings]]</f>
        <v>0.21274834770232687</v>
      </c>
      <c r="AD715" s="11">
        <f>(SUMIFS(EarningsPerDay[Gross Earnings], EarningsPerDay[Date],"&gt;="&amp;EarningsPerDay[[#This Row],[Date]]-89, EarningsPerDay[Date], "&lt;="&amp;EarningsPerDay[[#This Row],[Date]]))/90</f>
        <v>64.551111111111112</v>
      </c>
    </row>
    <row r="716" spans="2:30" x14ac:dyDescent="0.35">
      <c r="B716" s="40">
        <v>45793</v>
      </c>
      <c r="C716" s="40">
        <f t="shared" si="92"/>
        <v>45793</v>
      </c>
      <c r="D716" s="4">
        <f>IF(EarningsPerDay[[#This Row],[Week '#]]&gt;=52,YEAR(EarningsPerDay[[#This Row],[Date]])-1,YEAR(EarningsPerDay[[#This Row],[Date]]))</f>
        <v>2025</v>
      </c>
      <c r="E716" s="4" t="str">
        <f>"QTR"&amp;IF(EarningsPerDay[[#This Row],[Week '#]] &lt;= 13, 1, IF(EarningsPerDay[[#This Row],[Week '#]] &lt;= 26, 2, IF(EarningsPerDay[[#This Row],[Week '#]] &lt;= 39, 3, 4)))</f>
        <v>QTR2</v>
      </c>
      <c r="F7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16" s="4">
        <f>IF(WEEKNUM(EarningsPerDay[[#This Row],[Date]], 2) = 53, 1, WEEKNUM(EarningsPerDay[[#This Row],[Date]],2))</f>
        <v>20</v>
      </c>
      <c r="H716" s="40" t="str">
        <f t="shared" si="97"/>
        <v>Friday</v>
      </c>
      <c r="I71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16" s="40" t="str" cm="1">
        <f t="array" ref="J716">IFERROR(VLOOKUP(MODE(IF(Combined[Date]=EarningsPerDay[[#This Row],[Date]],Combined[Area '#])),KPIs!$B$4:$C$7,2,FALSE),VLOOKUP(EarningsPerDay[[#This Row],[Date]],Combined[[Date]:[Primary Area]],8,FALSE))</f>
        <v>Brunswick/Bath/Freeport</v>
      </c>
      <c r="K716" s="40" t="str">
        <f>_xlfn.XLOOKUP(EarningsPerDay[[#This Row],[Date]],Mileage[Date],Mileage[Weather])</f>
        <v>Partially Cloudy</v>
      </c>
      <c r="L716" s="4">
        <f>_xlfn.XLOOKUP(EarningsPerDay[[#This Row],[Date]],Mileage[Date],Mileage[Hi Temp])</f>
        <v>68</v>
      </c>
      <c r="M716" s="12">
        <f>_xlfn.XLOOKUP(EarningsPerDay[[#This Row],[Date]],Mileage[Date],Mileage[Total Time])</f>
        <v>7.08</v>
      </c>
      <c r="N716" s="4">
        <f>_xlfn.XLOOKUP(EarningsPerDay[[#This Row],[Date]],Mileage[Date],Mileage[Mileage])</f>
        <v>159</v>
      </c>
      <c r="O716" s="4">
        <f>SUMIF(Combined[Date],EarningsPerDay[[#This Row],[Date]],Combined[Trips])</f>
        <v>17</v>
      </c>
      <c r="P716">
        <f>COUNTIF(Combined[Date],EarningsPerDay[[#This Row],[Date]])</f>
        <v>1</v>
      </c>
      <c r="Q7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6" s="11">
        <f>SUMIF(Combined[Date],EarningsPerDay[[#This Row],[Date]],Combined[Earnings])</f>
        <v>151.47</v>
      </c>
      <c r="S716" s="11">
        <f ca="1">EarningsPerDay[[#This Row],[Gross Earnings]]-(EarningsPerDay[[#This Row],[Miles]]*CpM!$D$11)</f>
        <v>116.01727827210287</v>
      </c>
      <c r="T716" s="11">
        <f t="shared" si="95"/>
        <v>21.39406779661017</v>
      </c>
      <c r="U716" s="11">
        <f t="shared" ca="1" si="96"/>
        <v>16.386621224873288</v>
      </c>
      <c r="V716" s="11">
        <f>EarningsPerDay[[#This Row],[Gross Earnings]]/EarningsPerDay[[#This Row],[Deliveries]]</f>
        <v>8.91</v>
      </c>
      <c r="W716" s="11">
        <f>EarningsPerDay[[#This Row],[Gross Earnings]]/EarningsPerDay[[#This Row],[Miles]]</f>
        <v>0.95264150943396231</v>
      </c>
      <c r="X716" s="71">
        <f>EarningsPerDay[[#This Row],[Deliveries]]/EarningsPerDay[[#This Row],[Hours]]</f>
        <v>2.4011299435028248</v>
      </c>
      <c r="Y716" s="71">
        <f>EarningsPerDay[[#This Row],[Miles]]/EarningsPerDay[[#This Row],[Deliveries]]</f>
        <v>9.3529411764705888</v>
      </c>
      <c r="Z716" s="81">
        <f>(EarningsPerDay[[#This Row],[Hours]]/EarningsPerDay[[#This Row],[Deliveries]])/24</f>
        <v>1.7352941176470588E-2</v>
      </c>
      <c r="AA7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-3.2355157718090908</v>
      </c>
      <c r="AB716" s="11">
        <f>AVERAGEIFS(EarningsPerDay[Gross $/Hour],EarningsPerDay[Week '#], EarningsPerDay[[#This Row],[Week '#]], EarningsPerDay[DOW], EarningsPerDay[[#This Row],[DOW]])</f>
        <v>26.162300455424486</v>
      </c>
      <c r="AC716" s="11">
        <f>EarningsPerDay[[#This Row],[Gross $/Hour]] - EarningsPerDay[[#This Row],[Weekly Average Earnings]]</f>
        <v>-4.7682326588143162</v>
      </c>
      <c r="AD716" s="11">
        <f>(SUMIFS(EarningsPerDay[Gross Earnings], EarningsPerDay[Date],"&gt;="&amp;EarningsPerDay[[#This Row],[Date]]-89, EarningsPerDay[Date], "&lt;="&amp;EarningsPerDay[[#This Row],[Date]]))/90</f>
        <v>65.52011111111112</v>
      </c>
    </row>
    <row r="717" spans="2:30" x14ac:dyDescent="0.35">
      <c r="B717" s="40">
        <v>45794</v>
      </c>
      <c r="C717" s="40">
        <f t="shared" si="92"/>
        <v>45794</v>
      </c>
      <c r="D717" s="4">
        <f>IF(EarningsPerDay[[#This Row],[Week '#]]&gt;=52,YEAR(EarningsPerDay[[#This Row],[Date]])-1,YEAR(EarningsPerDay[[#This Row],[Date]]))</f>
        <v>2025</v>
      </c>
      <c r="E717" s="4" t="str">
        <f>"QTR"&amp;IF(EarningsPerDay[[#This Row],[Week '#]] &lt;= 13, 1, IF(EarningsPerDay[[#This Row],[Week '#]] &lt;= 26, 2, IF(EarningsPerDay[[#This Row],[Week '#]] &lt;= 39, 3, 4)))</f>
        <v>QTR2</v>
      </c>
      <c r="F7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17" s="4">
        <f>IF(WEEKNUM(EarningsPerDay[[#This Row],[Date]], 2) = 53, 1, WEEKNUM(EarningsPerDay[[#This Row],[Date]],2))</f>
        <v>20</v>
      </c>
      <c r="H717" s="40" t="str">
        <f t="shared" si="97"/>
        <v>Saturday</v>
      </c>
      <c r="I717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17" s="40" t="str" cm="1">
        <f t="array" ref="J717">IFERROR(VLOOKUP(MODE(IF(Combined[Date]=EarningsPerDay[[#This Row],[Date]],Combined[Area '#])),KPIs!$B$4:$C$7,2,FALSE),VLOOKUP(EarningsPerDay[[#This Row],[Date]],Combined[[Date]:[Primary Area]],8,FALSE))</f>
        <v>Lewiston</v>
      </c>
      <c r="K717" s="40" t="str">
        <f>_xlfn.XLOOKUP(EarningsPerDay[[#This Row],[Date]],Mileage[Date],Mileage[Weather])</f>
        <v>Light Rain</v>
      </c>
      <c r="L717" s="4">
        <f>_xlfn.XLOOKUP(EarningsPerDay[[#This Row],[Date]],Mileage[Date],Mileage[Hi Temp])</f>
        <v>55</v>
      </c>
      <c r="M717" s="12">
        <f>_xlfn.XLOOKUP(EarningsPerDay[[#This Row],[Date]],Mileage[Date],Mileage[Total Time])</f>
        <v>5.53</v>
      </c>
      <c r="N717" s="4">
        <f>_xlfn.XLOOKUP(EarningsPerDay[[#This Row],[Date]],Mileage[Date],Mileage[Mileage])</f>
        <v>91</v>
      </c>
      <c r="O717" s="4">
        <f>SUMIF(Combined[Date],EarningsPerDay[[#This Row],[Date]],Combined[Trips])</f>
        <v>15</v>
      </c>
      <c r="P717">
        <f>COUNTIF(Combined[Date],EarningsPerDay[[#This Row],[Date]])</f>
        <v>2</v>
      </c>
      <c r="Q71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7" s="11">
        <f>SUMIF(Combined[Date],EarningsPerDay[[#This Row],[Date]],Combined[Earnings])</f>
        <v>134.81</v>
      </c>
      <c r="S717" s="11">
        <f ca="1">EarningsPerDay[[#This Row],[Gross Earnings]]-(EarningsPerDay[[#This Row],[Miles]]*CpM!$D$11)</f>
        <v>114.51944857082617</v>
      </c>
      <c r="T717" s="11">
        <f t="shared" si="95"/>
        <v>24.377938517179022</v>
      </c>
      <c r="U717" s="11">
        <f t="shared" ca="1" si="96"/>
        <v>20.708761043549035</v>
      </c>
      <c r="V717" s="11">
        <f>EarningsPerDay[[#This Row],[Gross Earnings]]/EarningsPerDay[[#This Row],[Deliveries]]</f>
        <v>8.9873333333333338</v>
      </c>
      <c r="W717" s="11">
        <f>EarningsPerDay[[#This Row],[Gross Earnings]]/EarningsPerDay[[#This Row],[Miles]]</f>
        <v>1.4814285714285715</v>
      </c>
      <c r="X717" s="71">
        <f>EarningsPerDay[[#This Row],[Deliveries]]/EarningsPerDay[[#This Row],[Hours]]</f>
        <v>2.7124773960216997</v>
      </c>
      <c r="Y717" s="71">
        <f>EarningsPerDay[[#This Row],[Miles]]/EarningsPerDay[[#This Row],[Deliveries]]</f>
        <v>6.0666666666666664</v>
      </c>
      <c r="Z717" s="81">
        <f>(EarningsPerDay[[#This Row],[Hours]]/EarningsPerDay[[#This Row],[Deliveries]])/24</f>
        <v>1.5361111111111112E-2</v>
      </c>
      <c r="AA7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3.9126312424908143</v>
      </c>
      <c r="AB717" s="11">
        <f>AVERAGEIFS(EarningsPerDay[Gross $/Hour],EarningsPerDay[Week '#], EarningsPerDay[[#This Row],[Week '#]], EarningsPerDay[DOW], EarningsPerDay[[#This Row],[DOW]])</f>
        <v>24.377938517179022</v>
      </c>
      <c r="AC717" s="11">
        <f>EarningsPerDay[[#This Row],[Gross $/Hour]] - EarningsPerDay[[#This Row],[Weekly Average Earnings]]</f>
        <v>0</v>
      </c>
      <c r="AD717" s="11">
        <f>(SUMIFS(EarningsPerDay[Gross Earnings], EarningsPerDay[Date],"&gt;="&amp;EarningsPerDay[[#This Row],[Date]]-89, EarningsPerDay[Date], "&lt;="&amp;EarningsPerDay[[#This Row],[Date]]))/90</f>
        <v>67.018000000000015</v>
      </c>
    </row>
    <row r="718" spans="2:30" x14ac:dyDescent="0.35">
      <c r="B718" s="40">
        <v>45797</v>
      </c>
      <c r="C718" s="40">
        <f t="shared" si="92"/>
        <v>45797</v>
      </c>
      <c r="D718" s="4">
        <f>IF(EarningsPerDay[[#This Row],[Week '#]]&gt;=52,YEAR(EarningsPerDay[[#This Row],[Date]])-1,YEAR(EarningsPerDay[[#This Row],[Date]]))</f>
        <v>2025</v>
      </c>
      <c r="E718" s="4" t="str">
        <f>"QTR"&amp;IF(EarningsPerDay[[#This Row],[Week '#]] &lt;= 13, 1, IF(EarningsPerDay[[#This Row],[Week '#]] &lt;= 26, 2, IF(EarningsPerDay[[#This Row],[Week '#]] &lt;= 39, 3, 4)))</f>
        <v>QTR2</v>
      </c>
      <c r="F7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18" s="4">
        <f>IF(WEEKNUM(EarningsPerDay[[#This Row],[Date]], 2) = 53, 1, WEEKNUM(EarningsPerDay[[#This Row],[Date]],2))</f>
        <v>21</v>
      </c>
      <c r="H718" s="40" t="str">
        <f t="shared" si="97"/>
        <v>Tuesday</v>
      </c>
      <c r="I71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18" s="40" t="str" cm="1">
        <f t="array" ref="J718">IFERROR(VLOOKUP(MODE(IF(Combined[Date]=EarningsPerDay[[#This Row],[Date]],Combined[Area '#])),KPIs!$B$4:$C$7,2,FALSE),VLOOKUP(EarningsPerDay[[#This Row],[Date]],Combined[[Date]:[Primary Area]],8,FALSE))</f>
        <v>Brunswick/Bath/Freeport</v>
      </c>
      <c r="K718" s="40" t="str">
        <f>_xlfn.XLOOKUP(EarningsPerDay[[#This Row],[Date]],Mileage[Date],Mileage[Weather])</f>
        <v>Overcast</v>
      </c>
      <c r="L718" s="4">
        <f>_xlfn.XLOOKUP(EarningsPerDay[[#This Row],[Date]],Mileage[Date],Mileage[Hi Temp])</f>
        <v>54</v>
      </c>
      <c r="M718" s="12">
        <f>_xlfn.XLOOKUP(EarningsPerDay[[#This Row],[Date]],Mileage[Date],Mileage[Total Time])</f>
        <v>5.0999999999999996</v>
      </c>
      <c r="N718" s="4">
        <f>_xlfn.XLOOKUP(EarningsPerDay[[#This Row],[Date]],Mileage[Date],Mileage[Mileage])</f>
        <v>104</v>
      </c>
      <c r="O718" s="4">
        <f>SUMIF(Combined[Date],EarningsPerDay[[#This Row],[Date]],Combined[Trips])</f>
        <v>9</v>
      </c>
      <c r="P718">
        <f>COUNTIF(Combined[Date],EarningsPerDay[[#This Row],[Date]])</f>
        <v>2</v>
      </c>
      <c r="Q7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18" s="11">
        <f>SUMIF(Combined[Date],EarningsPerDay[[#This Row],[Date]],Combined[Earnings])</f>
        <v>109.16</v>
      </c>
      <c r="S718" s="11">
        <f ca="1">EarningsPerDay[[#This Row],[Gross Earnings]]-(EarningsPerDay[[#This Row],[Miles]]*CpM!$D$11)</f>
        <v>85.970798366658471</v>
      </c>
      <c r="T718" s="11">
        <f t="shared" si="95"/>
        <v>21.403921568627453</v>
      </c>
      <c r="U718" s="11">
        <f t="shared" ca="1" si="96"/>
        <v>16.857019287580094</v>
      </c>
      <c r="V718" s="11">
        <f>EarningsPerDay[[#This Row],[Gross Earnings]]/EarningsPerDay[[#This Row],[Deliveries]]</f>
        <v>12.128888888888888</v>
      </c>
      <c r="W718" s="11">
        <f>EarningsPerDay[[#This Row],[Gross Earnings]]/EarningsPerDay[[#This Row],[Miles]]</f>
        <v>1.0496153846153846</v>
      </c>
      <c r="X718" s="71">
        <f>EarningsPerDay[[#This Row],[Deliveries]]/EarningsPerDay[[#This Row],[Hours]]</f>
        <v>1.7647058823529413</v>
      </c>
      <c r="Y718" s="71">
        <f>EarningsPerDay[[#This Row],[Miles]]/EarningsPerDay[[#This Row],[Deliveries]]</f>
        <v>11.555555555555555</v>
      </c>
      <c r="Z718" s="81">
        <f>(EarningsPerDay[[#This Row],[Hours]]/EarningsPerDay[[#This Row],[Deliveries]])/24</f>
        <v>2.361111111111111E-2</v>
      </c>
      <c r="AA7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-0.1804897345560299</v>
      </c>
      <c r="AB718" s="11">
        <f>AVERAGEIFS(EarningsPerDay[Gross $/Hour],EarningsPerDay[Week '#], EarningsPerDay[[#This Row],[Week '#]], EarningsPerDay[DOW], EarningsPerDay[[#This Row],[DOW]])</f>
        <v>21.403921568627453</v>
      </c>
      <c r="AC718" s="11">
        <f>EarningsPerDay[[#This Row],[Gross $/Hour]] - EarningsPerDay[[#This Row],[Weekly Average Earnings]]</f>
        <v>0</v>
      </c>
      <c r="AD718" s="11">
        <f>(SUMIFS(EarningsPerDay[Gross Earnings], EarningsPerDay[Date],"&gt;="&amp;EarningsPerDay[[#This Row],[Date]]-89, EarningsPerDay[Date], "&lt;="&amp;EarningsPerDay[[#This Row],[Date]]))/90</f>
        <v>67.041777777777796</v>
      </c>
    </row>
    <row r="719" spans="2:30" x14ac:dyDescent="0.35">
      <c r="B719" s="40">
        <v>45798</v>
      </c>
      <c r="C719" s="40">
        <f t="shared" si="92"/>
        <v>45798</v>
      </c>
      <c r="D719" s="4">
        <f>IF(EarningsPerDay[[#This Row],[Week '#]]&gt;=52,YEAR(EarningsPerDay[[#This Row],[Date]])-1,YEAR(EarningsPerDay[[#This Row],[Date]]))</f>
        <v>2025</v>
      </c>
      <c r="E719" s="4" t="str">
        <f>"QTR"&amp;IF(EarningsPerDay[[#This Row],[Week '#]] &lt;= 13, 1, IF(EarningsPerDay[[#This Row],[Week '#]] &lt;= 26, 2, IF(EarningsPerDay[[#This Row],[Week '#]] &lt;= 39, 3, 4)))</f>
        <v>QTR2</v>
      </c>
      <c r="F7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19" s="4">
        <f>IF(WEEKNUM(EarningsPerDay[[#This Row],[Date]], 2) = 53, 1, WEEKNUM(EarningsPerDay[[#This Row],[Date]],2))</f>
        <v>21</v>
      </c>
      <c r="H719" s="40" t="str">
        <f t="shared" ref="H719:H725" si="98">TEXT(B719,"DDDD")</f>
        <v>Wednesday</v>
      </c>
      <c r="I71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19" s="40" t="str" cm="1">
        <f t="array" ref="J719">IFERROR(VLOOKUP(MODE(IF(Combined[Date]=EarningsPerDay[[#This Row],[Date]],Combined[Area '#])),KPIs!$B$4:$C$7,2,FALSE),VLOOKUP(EarningsPerDay[[#This Row],[Date]],Combined[[Date]:[Primary Area]],8,FALSE))</f>
        <v>Augusta</v>
      </c>
      <c r="K719" s="40" t="str">
        <f>_xlfn.XLOOKUP(EarningsPerDay[[#This Row],[Date]],Mileage[Date],Mileage[Weather])</f>
        <v>Overcast</v>
      </c>
      <c r="L719" s="4">
        <f>_xlfn.XLOOKUP(EarningsPerDay[[#This Row],[Date]],Mileage[Date],Mileage[Hi Temp])</f>
        <v>52</v>
      </c>
      <c r="M719" s="12">
        <f>_xlfn.XLOOKUP(EarningsPerDay[[#This Row],[Date]],Mileage[Date],Mileage[Total Time])</f>
        <v>5.0199999999999996</v>
      </c>
      <c r="N719" s="4">
        <f>_xlfn.XLOOKUP(EarningsPerDay[[#This Row],[Date]],Mileage[Date],Mileage[Mileage])</f>
        <v>142</v>
      </c>
      <c r="O719" s="4">
        <f>SUMIF(Combined[Date],EarningsPerDay[[#This Row],[Date]],Combined[Trips])</f>
        <v>8</v>
      </c>
      <c r="P719">
        <f>COUNTIF(Combined[Date],EarningsPerDay[[#This Row],[Date]])</f>
        <v>2</v>
      </c>
      <c r="Q71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19" s="11">
        <f>SUMIF(Combined[Date],EarningsPerDay[[#This Row],[Date]],Combined[Earnings])</f>
        <v>85.78</v>
      </c>
      <c r="S719" s="11">
        <f ca="1">EarningsPerDay[[#This Row],[Gross Earnings]]-(EarningsPerDay[[#This Row],[Miles]]*CpM!$D$11)</f>
        <v>54.117820846783701</v>
      </c>
      <c r="T719" s="11">
        <f t="shared" si="95"/>
        <v>17.08764940239044</v>
      </c>
      <c r="U719" s="11">
        <f t="shared" ca="1" si="96"/>
        <v>10.78044239975771</v>
      </c>
      <c r="V719" s="11">
        <f>EarningsPerDay[[#This Row],[Gross Earnings]]/EarningsPerDay[[#This Row],[Deliveries]]</f>
        <v>10.7225</v>
      </c>
      <c r="W719" s="11">
        <f>EarningsPerDay[[#This Row],[Gross Earnings]]/EarningsPerDay[[#This Row],[Miles]]</f>
        <v>0.60408450704225358</v>
      </c>
      <c r="X719" s="71">
        <f>EarningsPerDay[[#This Row],[Deliveries]]/EarningsPerDay[[#This Row],[Hours]]</f>
        <v>1.5936254980079683</v>
      </c>
      <c r="Y719" s="71">
        <f>EarningsPerDay[[#This Row],[Miles]]/EarningsPerDay[[#This Row],[Deliveries]]</f>
        <v>17.75</v>
      </c>
      <c r="Z719" s="81">
        <f>(EarningsPerDay[[#This Row],[Hours]]/EarningsPerDay[[#This Row],[Deliveries]])/24</f>
        <v>2.614583333333333E-2</v>
      </c>
      <c r="AA7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2.3391113906945336</v>
      </c>
      <c r="AB719" s="11">
        <f>AVERAGEIFS(EarningsPerDay[Gross $/Hour],EarningsPerDay[Week '#], EarningsPerDay[[#This Row],[Week '#]], EarningsPerDay[DOW], EarningsPerDay[[#This Row],[DOW]])</f>
        <v>19.565184981657026</v>
      </c>
      <c r="AC719" s="11">
        <f>EarningsPerDay[[#This Row],[Gross $/Hour]] - EarningsPerDay[[#This Row],[Weekly Average Earnings]]</f>
        <v>-2.4775355792665863</v>
      </c>
      <c r="AD719" s="11">
        <f>(SUMIFS(EarningsPerDay[Gross Earnings], EarningsPerDay[Date],"&gt;="&amp;EarningsPerDay[[#This Row],[Date]]-89, EarningsPerDay[Date], "&lt;="&amp;EarningsPerDay[[#This Row],[Date]]))/90</f>
        <v>66.893333333333345</v>
      </c>
    </row>
    <row r="720" spans="2:30" x14ac:dyDescent="0.35">
      <c r="B720" s="40">
        <v>45799</v>
      </c>
      <c r="C720" s="40">
        <f t="shared" si="92"/>
        <v>45799</v>
      </c>
      <c r="D720" s="4">
        <f>IF(EarningsPerDay[[#This Row],[Week '#]]&gt;=52,YEAR(EarningsPerDay[[#This Row],[Date]])-1,YEAR(EarningsPerDay[[#This Row],[Date]]))</f>
        <v>2025</v>
      </c>
      <c r="E720" s="4" t="str">
        <f>"QTR"&amp;IF(EarningsPerDay[[#This Row],[Week '#]] &lt;= 13, 1, IF(EarningsPerDay[[#This Row],[Week '#]] &lt;= 26, 2, IF(EarningsPerDay[[#This Row],[Week '#]] &lt;= 39, 3, 4)))</f>
        <v>QTR2</v>
      </c>
      <c r="F7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20" s="4">
        <f>IF(WEEKNUM(EarningsPerDay[[#This Row],[Date]], 2) = 53, 1, WEEKNUM(EarningsPerDay[[#This Row],[Date]],2))</f>
        <v>21</v>
      </c>
      <c r="H720" s="40" t="str">
        <f t="shared" si="98"/>
        <v>Thursday</v>
      </c>
      <c r="I720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20" s="40" t="str" cm="1">
        <f t="array" ref="J720">IFERROR(VLOOKUP(MODE(IF(Combined[Date]=EarningsPerDay[[#This Row],[Date]],Combined[Area '#])),KPIs!$B$4:$C$7,2,FALSE),VLOOKUP(EarningsPerDay[[#This Row],[Date]],Combined[[Date]:[Primary Area]],8,FALSE))</f>
        <v>Brunswick/Bath/Freeport</v>
      </c>
      <c r="K720" s="40" t="str">
        <f>_xlfn.XLOOKUP(EarningsPerDay[[#This Row],[Date]],Mileage[Date],Mileage[Weather])</f>
        <v>Overcast</v>
      </c>
      <c r="L720" s="4">
        <f>_xlfn.XLOOKUP(EarningsPerDay[[#This Row],[Date]],Mileage[Date],Mileage[Hi Temp])</f>
        <v>50</v>
      </c>
      <c r="M720" s="12">
        <f>_xlfn.XLOOKUP(EarningsPerDay[[#This Row],[Date]],Mileage[Date],Mileage[Total Time])</f>
        <v>5.53</v>
      </c>
      <c r="N720" s="4">
        <f>_xlfn.XLOOKUP(EarningsPerDay[[#This Row],[Date]],Mileage[Date],Mileage[Mileage])</f>
        <v>162</v>
      </c>
      <c r="O720" s="4">
        <f>SUMIF(Combined[Date],EarningsPerDay[[#This Row],[Date]],Combined[Trips])</f>
        <v>7</v>
      </c>
      <c r="P720">
        <f>COUNTIF(Combined[Date],EarningsPerDay[[#This Row],[Date]])</f>
        <v>2</v>
      </c>
      <c r="Q7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0" s="11">
        <f>SUMIF(Combined[Date],EarningsPerDay[[#This Row],[Date]],Combined[Earnings])</f>
        <v>119.87</v>
      </c>
      <c r="S720" s="11">
        <f ca="1">EarningsPerDay[[#This Row],[Gross Earnings]]-(EarningsPerDay[[#This Row],[Miles]]*CpM!$D$11)</f>
        <v>83.748358994218023</v>
      </c>
      <c r="T720" s="11">
        <f t="shared" si="95"/>
        <v>21.67631103074141</v>
      </c>
      <c r="U720" s="11">
        <f t="shared" ca="1" si="96"/>
        <v>15.144368715048467</v>
      </c>
      <c r="V720" s="11">
        <f>EarningsPerDay[[#This Row],[Gross Earnings]]/EarningsPerDay[[#This Row],[Deliveries]]</f>
        <v>17.124285714285715</v>
      </c>
      <c r="W720" s="11">
        <f>EarningsPerDay[[#This Row],[Gross Earnings]]/EarningsPerDay[[#This Row],[Miles]]</f>
        <v>0.7399382716049383</v>
      </c>
      <c r="X720" s="71">
        <f>EarningsPerDay[[#This Row],[Deliveries]]/EarningsPerDay[[#This Row],[Hours]]</f>
        <v>1.2658227848101264</v>
      </c>
      <c r="Y720" s="71">
        <f>EarningsPerDay[[#This Row],[Miles]]/EarningsPerDay[[#This Row],[Deliveries]]</f>
        <v>23.142857142857142</v>
      </c>
      <c r="Z720" s="81">
        <f>(EarningsPerDay[[#This Row],[Hours]]/EarningsPerDay[[#This Row],[Deliveries]])/24</f>
        <v>3.291666666666667E-2</v>
      </c>
      <c r="AA7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-2.039376509525674</v>
      </c>
      <c r="AB720" s="11">
        <f>AVERAGEIFS(EarningsPerDay[Gross $/Hour],EarningsPerDay[Week '#], EarningsPerDay[[#This Row],[Week '#]], EarningsPerDay[DOW], EarningsPerDay[[#This Row],[DOW]])</f>
        <v>19.770465325238188</v>
      </c>
      <c r="AC720" s="11">
        <f>EarningsPerDay[[#This Row],[Gross $/Hour]] - EarningsPerDay[[#This Row],[Weekly Average Earnings]]</f>
        <v>1.9058457055032214</v>
      </c>
      <c r="AD720" s="11">
        <f>(SUMIFS(EarningsPerDay[Gross Earnings], EarningsPerDay[Date],"&gt;="&amp;EarningsPerDay[[#This Row],[Date]]-89, EarningsPerDay[Date], "&lt;="&amp;EarningsPerDay[[#This Row],[Date]]))/90</f>
        <v>65.904555555555561</v>
      </c>
    </row>
    <row r="721" spans="2:30" x14ac:dyDescent="0.35">
      <c r="B721" s="40">
        <v>45803</v>
      </c>
      <c r="C721" s="40">
        <f t="shared" si="92"/>
        <v>45803</v>
      </c>
      <c r="D721" s="4">
        <f>IF(EarningsPerDay[[#This Row],[Week '#]]&gt;=52,YEAR(EarningsPerDay[[#This Row],[Date]])-1,YEAR(EarningsPerDay[[#This Row],[Date]]))</f>
        <v>2025</v>
      </c>
      <c r="E721" s="4" t="str">
        <f>"QTR"&amp;IF(EarningsPerDay[[#This Row],[Week '#]] &lt;= 13, 1, IF(EarningsPerDay[[#This Row],[Week '#]] &lt;= 26, 2, IF(EarningsPerDay[[#This Row],[Week '#]] &lt;= 39, 3, 4)))</f>
        <v>QTR2</v>
      </c>
      <c r="F7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1" s="4">
        <f>IF(WEEKNUM(EarningsPerDay[[#This Row],[Date]], 2) = 53, 1, WEEKNUM(EarningsPerDay[[#This Row],[Date]],2))</f>
        <v>22</v>
      </c>
      <c r="H721" s="40" t="str">
        <f t="shared" si="98"/>
        <v>Monday</v>
      </c>
      <c r="I721" s="106">
        <f>IF(_xlfn.XLOOKUP(EarningsPerDay[[#This Row],[Date]],Mileage[Date],Mileage[Start Time])="","",MROUND(_xlfn.XLOOKUP(EarningsPerDay[[#This Row],[Date]],Mileage[Date],Mileage[Start Time]),0.0208333333333333))</f>
        <v>0.49999999999999922</v>
      </c>
      <c r="J721" s="40" t="str" cm="1">
        <f t="array" ref="J721">IFERROR(VLOOKUP(MODE(IF(Combined[Date]=EarningsPerDay[[#This Row],[Date]],Combined[Area '#])),KPIs!$B$4:$C$7,2,FALSE),VLOOKUP(EarningsPerDay[[#This Row],[Date]],Combined[[Date]:[Primary Area]],8,FALSE))</f>
        <v>Brunswick/Bath/Freeport</v>
      </c>
      <c r="K721" s="40" t="str">
        <f>_xlfn.XLOOKUP(EarningsPerDay[[#This Row],[Date]],Mileage[Date],Mileage[Weather])</f>
        <v>Partially Cloudy</v>
      </c>
      <c r="L721" s="4">
        <f>_xlfn.XLOOKUP(EarningsPerDay[[#This Row],[Date]],Mileage[Date],Mileage[Hi Temp])</f>
        <v>72</v>
      </c>
      <c r="M721" s="12">
        <f>_xlfn.XLOOKUP(EarningsPerDay[[#This Row],[Date]],Mileage[Date],Mileage[Total Time])</f>
        <v>5.75</v>
      </c>
      <c r="N721" s="4">
        <f>_xlfn.XLOOKUP(EarningsPerDay[[#This Row],[Date]],Mileage[Date],Mileage[Mileage])</f>
        <v>143</v>
      </c>
      <c r="O721" s="4">
        <f>SUMIF(Combined[Date],EarningsPerDay[[#This Row],[Date]],Combined[Trips])</f>
        <v>10</v>
      </c>
      <c r="P721">
        <f>COUNTIF(Combined[Date],EarningsPerDay[[#This Row],[Date]])</f>
        <v>3</v>
      </c>
      <c r="Q72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1" s="11">
        <f>SUMIF(Combined[Date],EarningsPerDay[[#This Row],[Date]],Combined[Earnings])</f>
        <v>118.05</v>
      </c>
      <c r="S721" s="11">
        <f ca="1">EarningsPerDay[[#This Row],[Gross Earnings]]-(EarningsPerDay[[#This Row],[Miles]]*CpM!$D$11)</f>
        <v>86.164847754155403</v>
      </c>
      <c r="T721" s="11">
        <f t="shared" si="95"/>
        <v>20.530434782608694</v>
      </c>
      <c r="U721" s="11">
        <f t="shared" ca="1" si="96"/>
        <v>14.985190913766157</v>
      </c>
      <c r="V721" s="11">
        <f>EarningsPerDay[[#This Row],[Gross Earnings]]/EarningsPerDay[[#This Row],[Deliveries]]</f>
        <v>11.805</v>
      </c>
      <c r="W721" s="11">
        <f>EarningsPerDay[[#This Row],[Gross Earnings]]/EarningsPerDay[[#This Row],[Miles]]</f>
        <v>0.8255244755244755</v>
      </c>
      <c r="X721" s="71">
        <f>EarningsPerDay[[#This Row],[Deliveries]]/EarningsPerDay[[#This Row],[Hours]]</f>
        <v>1.7391304347826086</v>
      </c>
      <c r="Y721" s="71">
        <f>EarningsPerDay[[#This Row],[Miles]]/EarningsPerDay[[#This Row],[Deliveries]]</f>
        <v>14.3</v>
      </c>
      <c r="Z721" s="81">
        <f>(EarningsPerDay[[#This Row],[Hours]]/EarningsPerDay[[#This Row],[Deliveries]])/24</f>
        <v>2.3958333333333331E-2</v>
      </c>
      <c r="AA7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-0.82946761400304325</v>
      </c>
      <c r="AB721" s="11">
        <f>AVERAGEIFS(EarningsPerDay[Gross $/Hour],EarningsPerDay[Week '#], EarningsPerDay[[#This Row],[Week '#]], EarningsPerDay[DOW], EarningsPerDay[[#This Row],[DOW]])</f>
        <v>18.734097495073303</v>
      </c>
      <c r="AC721" s="11">
        <f>EarningsPerDay[[#This Row],[Gross $/Hour]] - EarningsPerDay[[#This Row],[Weekly Average Earnings]]</f>
        <v>1.7963372875353905</v>
      </c>
      <c r="AD721" s="11">
        <f>(SUMIFS(EarningsPerDay[Gross Earnings], EarningsPerDay[Date],"&gt;="&amp;EarningsPerDay[[#This Row],[Date]]-89, EarningsPerDay[Date], "&lt;="&amp;EarningsPerDay[[#This Row],[Date]]))/90</f>
        <v>64.528555555555556</v>
      </c>
    </row>
    <row r="722" spans="2:30" x14ac:dyDescent="0.35">
      <c r="B722" s="40">
        <v>45804</v>
      </c>
      <c r="C722" s="40">
        <f t="shared" si="92"/>
        <v>45804</v>
      </c>
      <c r="D722" s="4">
        <f>IF(EarningsPerDay[[#This Row],[Week '#]]&gt;=52,YEAR(EarningsPerDay[[#This Row],[Date]])-1,YEAR(EarningsPerDay[[#This Row],[Date]]))</f>
        <v>2025</v>
      </c>
      <c r="E722" s="4" t="str">
        <f>"QTR"&amp;IF(EarningsPerDay[[#This Row],[Week '#]] &lt;= 13, 1, IF(EarningsPerDay[[#This Row],[Week '#]] &lt;= 26, 2, IF(EarningsPerDay[[#This Row],[Week '#]] &lt;= 39, 3, 4)))</f>
        <v>QTR2</v>
      </c>
      <c r="F7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2" s="4">
        <f>IF(WEEKNUM(EarningsPerDay[[#This Row],[Date]], 2) = 53, 1, WEEKNUM(EarningsPerDay[[#This Row],[Date]],2))</f>
        <v>22</v>
      </c>
      <c r="H722" s="40" t="str">
        <f t="shared" si="98"/>
        <v>Tuesday</v>
      </c>
      <c r="I72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22" s="40" t="str" cm="1">
        <f t="array" ref="J722">IFERROR(VLOOKUP(MODE(IF(Combined[Date]=EarningsPerDay[[#This Row],[Date]],Combined[Area '#])),KPIs!$B$4:$C$7,2,FALSE),VLOOKUP(EarningsPerDay[[#This Row],[Date]],Combined[[Date]:[Primary Area]],8,FALSE))</f>
        <v>Brunswick/Bath/Freeport</v>
      </c>
      <c r="K722" s="40" t="str">
        <f>_xlfn.XLOOKUP(EarningsPerDay[[#This Row],[Date]],Mileage[Date],Mileage[Weather])</f>
        <v>Partially Cloudy</v>
      </c>
      <c r="L722" s="4">
        <f>_xlfn.XLOOKUP(EarningsPerDay[[#This Row],[Date]],Mileage[Date],Mileage[Hi Temp])</f>
        <v>73</v>
      </c>
      <c r="M722" s="12">
        <f>_xlfn.XLOOKUP(EarningsPerDay[[#This Row],[Date]],Mileage[Date],Mileage[Total Time])</f>
        <v>5.0199999999999996</v>
      </c>
      <c r="N722" s="4">
        <f>_xlfn.XLOOKUP(EarningsPerDay[[#This Row],[Date]],Mileage[Date],Mileage[Mileage])</f>
        <v>120</v>
      </c>
      <c r="O722" s="4">
        <f>SUMIF(Combined[Date],EarningsPerDay[[#This Row],[Date]],Combined[Trips])</f>
        <v>7</v>
      </c>
      <c r="P722">
        <f>COUNTIF(Combined[Date],EarningsPerDay[[#This Row],[Date]])</f>
        <v>2</v>
      </c>
      <c r="Q7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2" s="11">
        <f>SUMIF(Combined[Date],EarningsPerDay[[#This Row],[Date]],Combined[Earnings])</f>
        <v>102.93</v>
      </c>
      <c r="S722" s="11">
        <f ca="1">EarningsPerDay[[#This Row],[Gross Earnings]]-(EarningsPerDay[[#This Row],[Miles]]*CpM!$D$11)</f>
        <v>76.173228884605948</v>
      </c>
      <c r="T722" s="11">
        <f t="shared" si="95"/>
        <v>20.503984063745023</v>
      </c>
      <c r="U722" s="11">
        <f t="shared" ca="1" si="96"/>
        <v>15.173949977013137</v>
      </c>
      <c r="V722" s="11">
        <f>EarningsPerDay[[#This Row],[Gross Earnings]]/EarningsPerDay[[#This Row],[Deliveries]]</f>
        <v>14.704285714285716</v>
      </c>
      <c r="W722" s="11">
        <f>EarningsPerDay[[#This Row],[Gross Earnings]]/EarningsPerDay[[#This Row],[Miles]]</f>
        <v>0.85775000000000001</v>
      </c>
      <c r="X722" s="71">
        <f>EarningsPerDay[[#This Row],[Deliveries]]/EarningsPerDay[[#This Row],[Hours]]</f>
        <v>1.3944223107569722</v>
      </c>
      <c r="Y722" s="71">
        <f>EarningsPerDay[[#This Row],[Miles]]/EarningsPerDay[[#This Row],[Deliveries]]</f>
        <v>17.142857142857142</v>
      </c>
      <c r="Z722" s="81">
        <f>(EarningsPerDay[[#This Row],[Hours]]/EarningsPerDay[[#This Row],[Deliveries]])/24</f>
        <v>2.988095238095238E-2</v>
      </c>
      <c r="AA7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-1.0698101962292839</v>
      </c>
      <c r="AB722" s="11">
        <f>AVERAGEIFS(EarningsPerDay[Gross $/Hour],EarningsPerDay[Week '#], EarningsPerDay[[#This Row],[Week '#]], EarningsPerDay[DOW], EarningsPerDay[[#This Row],[DOW]])</f>
        <v>20.188057605643003</v>
      </c>
      <c r="AC722" s="11">
        <f>EarningsPerDay[[#This Row],[Gross $/Hour]] - EarningsPerDay[[#This Row],[Weekly Average Earnings]]</f>
        <v>0.31592645810201958</v>
      </c>
      <c r="AD722" s="11">
        <f>(SUMIFS(EarningsPerDay[Gross Earnings], EarningsPerDay[Date],"&gt;="&amp;EarningsPerDay[[#This Row],[Date]]-89, EarningsPerDay[Date], "&lt;="&amp;EarningsPerDay[[#This Row],[Date]]))/90</f>
        <v>64.23533333333333</v>
      </c>
    </row>
    <row r="723" spans="2:30" x14ac:dyDescent="0.35">
      <c r="B723" s="40">
        <v>45805</v>
      </c>
      <c r="C723" s="40">
        <f t="shared" si="92"/>
        <v>45805</v>
      </c>
      <c r="D723" s="4">
        <f>IF(EarningsPerDay[[#This Row],[Week '#]]&gt;=52,YEAR(EarningsPerDay[[#This Row],[Date]])-1,YEAR(EarningsPerDay[[#This Row],[Date]]))</f>
        <v>2025</v>
      </c>
      <c r="E723" s="4" t="str">
        <f>"QTR"&amp;IF(EarningsPerDay[[#This Row],[Week '#]] &lt;= 13, 1, IF(EarningsPerDay[[#This Row],[Week '#]] &lt;= 26, 2, IF(EarningsPerDay[[#This Row],[Week '#]] &lt;= 39, 3, 4)))</f>
        <v>QTR2</v>
      </c>
      <c r="F7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3" s="4">
        <f>IF(WEEKNUM(EarningsPerDay[[#This Row],[Date]], 2) = 53, 1, WEEKNUM(EarningsPerDay[[#This Row],[Date]],2))</f>
        <v>22</v>
      </c>
      <c r="H723" s="40" t="str">
        <f t="shared" si="98"/>
        <v>Wednesday</v>
      </c>
      <c r="I723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23" s="40" t="str" cm="1">
        <f t="array" ref="J723">IFERROR(VLOOKUP(MODE(IF(Combined[Date]=EarningsPerDay[[#This Row],[Date]],Combined[Area '#])),KPIs!$B$4:$C$7,2,FALSE),VLOOKUP(EarningsPerDay[[#This Row],[Date]],Combined[[Date]:[Primary Area]],8,FALSE))</f>
        <v>Portland</v>
      </c>
      <c r="K723" s="40" t="str">
        <f>_xlfn.XLOOKUP(EarningsPerDay[[#This Row],[Date]],Mileage[Date],Mileage[Weather])</f>
        <v>Clear</v>
      </c>
      <c r="L723" s="4">
        <f>_xlfn.XLOOKUP(EarningsPerDay[[#This Row],[Date]],Mileage[Date],Mileage[Hi Temp])</f>
        <v>72</v>
      </c>
      <c r="M723" s="12">
        <f>_xlfn.XLOOKUP(EarningsPerDay[[#This Row],[Date]],Mileage[Date],Mileage[Total Time])</f>
        <v>5.77</v>
      </c>
      <c r="N723" s="4">
        <f>_xlfn.XLOOKUP(EarningsPerDay[[#This Row],[Date]],Mileage[Date],Mileage[Mileage])</f>
        <v>147</v>
      </c>
      <c r="O723" s="4">
        <f>SUMIF(Combined[Date],EarningsPerDay[[#This Row],[Date]],Combined[Trips])</f>
        <v>11</v>
      </c>
      <c r="P723">
        <f>COUNTIF(Combined[Date],EarningsPerDay[[#This Row],[Date]])</f>
        <v>2</v>
      </c>
      <c r="Q72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3" s="11">
        <f>SUMIF(Combined[Date],EarningsPerDay[[#This Row],[Date]],Combined[Earnings])</f>
        <v>134.23000000000002</v>
      </c>
      <c r="S723" s="11">
        <f ca="1">EarningsPerDay[[#This Row],[Gross Earnings]]-(EarningsPerDay[[#This Row],[Miles]]*CpM!$D$11)</f>
        <v>101.45295538364229</v>
      </c>
      <c r="T723" s="11">
        <f t="shared" si="95"/>
        <v>23.26343154246101</v>
      </c>
      <c r="U723" s="11">
        <f t="shared" ca="1" si="96"/>
        <v>17.582834555223968</v>
      </c>
      <c r="V723" s="11">
        <f>EarningsPerDay[[#This Row],[Gross Earnings]]/EarningsPerDay[[#This Row],[Deliveries]]</f>
        <v>12.202727272727275</v>
      </c>
      <c r="W723" s="11">
        <f>EarningsPerDay[[#This Row],[Gross Earnings]]/EarningsPerDay[[#This Row],[Miles]]</f>
        <v>0.91312925170068038</v>
      </c>
      <c r="X723" s="71">
        <f>EarningsPerDay[[#This Row],[Deliveries]]/EarningsPerDay[[#This Row],[Hours]]</f>
        <v>1.906412478336222</v>
      </c>
      <c r="Y723" s="71">
        <f>EarningsPerDay[[#This Row],[Miles]]/EarningsPerDay[[#This Row],[Deliveries]]</f>
        <v>13.363636363636363</v>
      </c>
      <c r="Z723" s="81">
        <f>(EarningsPerDay[[#This Row],[Hours]]/EarningsPerDay[[#This Row],[Deliveries]])/24</f>
        <v>2.1856060606060605E-2</v>
      </c>
      <c r="AA7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4.5485449040423056</v>
      </c>
      <c r="AB723" s="11">
        <f>AVERAGEIFS(EarningsPerDay[Gross $/Hour],EarningsPerDay[Week '#], EarningsPerDay[[#This Row],[Week '#]], EarningsPerDay[DOW], EarningsPerDay[[#This Row],[DOW]])</f>
        <v>21.882177824775361</v>
      </c>
      <c r="AC723" s="11">
        <f>EarningsPerDay[[#This Row],[Gross $/Hour]] - EarningsPerDay[[#This Row],[Weekly Average Earnings]]</f>
        <v>1.3812537176856488</v>
      </c>
      <c r="AD723" s="11">
        <f>(SUMIFS(EarningsPerDay[Gross Earnings], EarningsPerDay[Date],"&gt;="&amp;EarningsPerDay[[#This Row],[Date]]-89, EarningsPerDay[Date], "&lt;="&amp;EarningsPerDay[[#This Row],[Date]]))/90</f>
        <v>65.72677777777777</v>
      </c>
    </row>
    <row r="724" spans="2:30" x14ac:dyDescent="0.35">
      <c r="B724" s="40">
        <v>45806</v>
      </c>
      <c r="C724" s="40">
        <f t="shared" si="92"/>
        <v>45806</v>
      </c>
      <c r="D724" s="4">
        <f>IF(EarningsPerDay[[#This Row],[Week '#]]&gt;=52,YEAR(EarningsPerDay[[#This Row],[Date]])-1,YEAR(EarningsPerDay[[#This Row],[Date]]))</f>
        <v>2025</v>
      </c>
      <c r="E724" s="4" t="str">
        <f>"QTR"&amp;IF(EarningsPerDay[[#This Row],[Week '#]] &lt;= 13, 1, IF(EarningsPerDay[[#This Row],[Week '#]] &lt;= 26, 2, IF(EarningsPerDay[[#This Row],[Week '#]] &lt;= 39, 3, 4)))</f>
        <v>QTR2</v>
      </c>
      <c r="F7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4" s="4">
        <f>IF(WEEKNUM(EarningsPerDay[[#This Row],[Date]], 2) = 53, 1, WEEKNUM(EarningsPerDay[[#This Row],[Date]],2))</f>
        <v>22</v>
      </c>
      <c r="H724" s="40" t="str">
        <f t="shared" si="98"/>
        <v>Thursday</v>
      </c>
      <c r="I72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24" s="40" t="str" cm="1">
        <f t="array" ref="J724">IFERROR(VLOOKUP(MODE(IF(Combined[Date]=EarningsPerDay[[#This Row],[Date]],Combined[Area '#])),KPIs!$B$4:$C$7,2,FALSE),VLOOKUP(EarningsPerDay[[#This Row],[Date]],Combined[[Date]:[Primary Area]],8,FALSE))</f>
        <v>Brunswick/Bath/Freeport</v>
      </c>
      <c r="K724" s="40" t="str">
        <f>_xlfn.XLOOKUP(EarningsPerDay[[#This Row],[Date]],Mileage[Date],Mileage[Weather])</f>
        <v>Partially Cloudy</v>
      </c>
      <c r="L724" s="4">
        <f>_xlfn.XLOOKUP(EarningsPerDay[[#This Row],[Date]],Mileage[Date],Mileage[Hi Temp])</f>
        <v>73</v>
      </c>
      <c r="M724" s="12">
        <f>_xlfn.XLOOKUP(EarningsPerDay[[#This Row],[Date]],Mileage[Date],Mileage[Total Time])</f>
        <v>4.82</v>
      </c>
      <c r="N724" s="4">
        <f>_xlfn.XLOOKUP(EarningsPerDay[[#This Row],[Date]],Mileage[Date],Mileage[Mileage])</f>
        <v>108</v>
      </c>
      <c r="O724" s="4">
        <f>SUMIF(Combined[Date],EarningsPerDay[[#This Row],[Date]],Combined[Trips])</f>
        <v>7</v>
      </c>
      <c r="P724">
        <f>COUNTIF(Combined[Date],EarningsPerDay[[#This Row],[Date]])</f>
        <v>1</v>
      </c>
      <c r="Q7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4" s="11">
        <f>SUMIF(Combined[Date],EarningsPerDay[[#This Row],[Date]],Combined[Earnings])</f>
        <v>94.79</v>
      </c>
      <c r="S724" s="11">
        <f ca="1">EarningsPerDay[[#This Row],[Gross Earnings]]-(EarningsPerDay[[#This Row],[Miles]]*CpM!$D$11)</f>
        <v>70.708905996145347</v>
      </c>
      <c r="T724" s="11">
        <f t="shared" si="95"/>
        <v>19.665975103734439</v>
      </c>
      <c r="U724" s="11">
        <f t="shared" ca="1" si="96"/>
        <v>14.669897509573723</v>
      </c>
      <c r="V724" s="11">
        <f>EarningsPerDay[[#This Row],[Gross Earnings]]/EarningsPerDay[[#This Row],[Deliveries]]</f>
        <v>13.541428571428572</v>
      </c>
      <c r="W724" s="11">
        <f>EarningsPerDay[[#This Row],[Gross Earnings]]/EarningsPerDay[[#This Row],[Miles]]</f>
        <v>0.87768518518518523</v>
      </c>
      <c r="X724" s="71">
        <f>EarningsPerDay[[#This Row],[Deliveries]]/EarningsPerDay[[#This Row],[Hours]]</f>
        <v>1.4522821576763485</v>
      </c>
      <c r="Y724" s="71">
        <f>EarningsPerDay[[#This Row],[Miles]]/EarningsPerDay[[#This Row],[Deliveries]]</f>
        <v>15.428571428571429</v>
      </c>
      <c r="Z724" s="81">
        <f>(EarningsPerDay[[#This Row],[Hours]]/EarningsPerDay[[#This Row],[Deliveries]])/24</f>
        <v>2.8690476190476193E-2</v>
      </c>
      <c r="AA7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-3.9423768307681364</v>
      </c>
      <c r="AB724" s="11">
        <f>AVERAGEIFS(EarningsPerDay[Gross $/Hour],EarningsPerDay[Week '#], EarningsPerDay[[#This Row],[Week '#]], EarningsPerDay[DOW], EarningsPerDay[[#This Row],[DOW]])</f>
        <v>23.93154089725601</v>
      </c>
      <c r="AC724" s="11">
        <f>EarningsPerDay[[#This Row],[Gross $/Hour]] - EarningsPerDay[[#This Row],[Weekly Average Earnings]]</f>
        <v>-4.2655657935215707</v>
      </c>
      <c r="AD724" s="11">
        <f>(SUMIFS(EarningsPerDay[Gross Earnings], EarningsPerDay[Date],"&gt;="&amp;EarningsPerDay[[#This Row],[Date]]-89, EarningsPerDay[Date], "&lt;="&amp;EarningsPerDay[[#This Row],[Date]]))/90</f>
        <v>66.78</v>
      </c>
    </row>
    <row r="725" spans="2:30" x14ac:dyDescent="0.35">
      <c r="B725" s="40">
        <v>45807</v>
      </c>
      <c r="C725" s="40">
        <f t="shared" si="92"/>
        <v>45807</v>
      </c>
      <c r="D725" s="4">
        <f>IF(EarningsPerDay[[#This Row],[Week '#]]&gt;=52,YEAR(EarningsPerDay[[#This Row],[Date]])-1,YEAR(EarningsPerDay[[#This Row],[Date]]))</f>
        <v>2025</v>
      </c>
      <c r="E725" s="4" t="str">
        <f>"QTR"&amp;IF(EarningsPerDay[[#This Row],[Week '#]] &lt;= 13, 1, IF(EarningsPerDay[[#This Row],[Week '#]] &lt;= 26, 2, IF(EarningsPerDay[[#This Row],[Week '#]] &lt;= 39, 3, 4)))</f>
        <v>QTR2</v>
      </c>
      <c r="F7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5" s="4">
        <f>IF(WEEKNUM(EarningsPerDay[[#This Row],[Date]], 2) = 53, 1, WEEKNUM(EarningsPerDay[[#This Row],[Date]],2))</f>
        <v>22</v>
      </c>
      <c r="H725" s="40" t="str">
        <f t="shared" si="98"/>
        <v>Friday</v>
      </c>
      <c r="I72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25" s="40" t="str" cm="1">
        <f t="array" ref="J725">IFERROR(VLOOKUP(MODE(IF(Combined[Date]=EarningsPerDay[[#This Row],[Date]],Combined[Area '#])),KPIs!$B$4:$C$7,2,FALSE),VLOOKUP(EarningsPerDay[[#This Row],[Date]],Combined[[Date]:[Primary Area]],8,FALSE))</f>
        <v>Brunswick/Bath/Freeport</v>
      </c>
      <c r="K725" s="40" t="str">
        <f>_xlfn.XLOOKUP(EarningsPerDay[[#This Row],[Date]],Mileage[Date],Mileage[Weather])</f>
        <v>Partially Cloudy</v>
      </c>
      <c r="L725" s="4">
        <f>_xlfn.XLOOKUP(EarningsPerDay[[#This Row],[Date]],Mileage[Date],Mileage[Hi Temp])</f>
        <v>70</v>
      </c>
      <c r="M725" s="12">
        <f>_xlfn.XLOOKUP(EarningsPerDay[[#This Row],[Date]],Mileage[Date],Mileage[Total Time])</f>
        <v>6.73</v>
      </c>
      <c r="N725" s="4">
        <f>_xlfn.XLOOKUP(EarningsPerDay[[#This Row],[Date]],Mileage[Date],Mileage[Mileage])</f>
        <v>127</v>
      </c>
      <c r="O725" s="4">
        <f>SUMIF(Combined[Date],EarningsPerDay[[#This Row],[Date]],Combined[Trips])</f>
        <v>14</v>
      </c>
      <c r="P725">
        <f>COUNTIF(Combined[Date],EarningsPerDay[[#This Row],[Date]])</f>
        <v>2</v>
      </c>
      <c r="Q72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5" s="11">
        <f>SUMIF(Combined[Date],EarningsPerDay[[#This Row],[Date]],Combined[Earnings])</f>
        <v>144.34</v>
      </c>
      <c r="S725" s="11">
        <f ca="1">EarningsPerDay[[#This Row],[Gross Earnings]]-(EarningsPerDay[[#This Row],[Miles]]*CpM!$D$11)</f>
        <v>116.02241723620796</v>
      </c>
      <c r="T725" s="11">
        <f t="shared" si="95"/>
        <v>21.447251114413074</v>
      </c>
      <c r="U725" s="11">
        <f t="shared" ca="1" si="96"/>
        <v>17.239586513552446</v>
      </c>
      <c r="V725" s="11">
        <f>EarningsPerDay[[#This Row],[Gross Earnings]]/EarningsPerDay[[#This Row],[Deliveries]]</f>
        <v>10.31</v>
      </c>
      <c r="W725" s="11">
        <f>EarningsPerDay[[#This Row],[Gross Earnings]]/EarningsPerDay[[#This Row],[Miles]]</f>
        <v>1.1365354330708661</v>
      </c>
      <c r="X725" s="71">
        <f>EarningsPerDay[[#This Row],[Deliveries]]/EarningsPerDay[[#This Row],[Hours]]</f>
        <v>2.0802377414561661</v>
      </c>
      <c r="Y725" s="71">
        <f>EarningsPerDay[[#This Row],[Miles]]/EarningsPerDay[[#This Row],[Deliveries]]</f>
        <v>9.0714285714285712</v>
      </c>
      <c r="Z725" s="81">
        <f>(EarningsPerDay[[#This Row],[Hours]]/EarningsPerDay[[#This Row],[Deliveries]])/24</f>
        <v>2.0029761904761908E-2</v>
      </c>
      <c r="AA7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-3.0025815777945688</v>
      </c>
      <c r="AB725" s="11">
        <f>AVERAGEIFS(EarningsPerDay[Gross $/Hour],EarningsPerDay[Week '#], EarningsPerDay[[#This Row],[Week '#]], EarningsPerDay[DOW], EarningsPerDay[[#This Row],[DOW]])</f>
        <v>22.313396922264502</v>
      </c>
      <c r="AC725" s="11">
        <f>EarningsPerDay[[#This Row],[Gross $/Hour]] - EarningsPerDay[[#This Row],[Weekly Average Earnings]]</f>
        <v>-0.86614580785142792</v>
      </c>
      <c r="AD725" s="11">
        <f>(SUMIFS(EarningsPerDay[Gross Earnings], EarningsPerDay[Date],"&gt;="&amp;EarningsPerDay[[#This Row],[Date]]-89, EarningsPerDay[Date], "&lt;="&amp;EarningsPerDay[[#This Row],[Date]]))/90</f>
        <v>66.789333333333332</v>
      </c>
    </row>
    <row r="726" spans="2:30" x14ac:dyDescent="0.35">
      <c r="B726" s="40">
        <v>45809</v>
      </c>
      <c r="C726" s="40">
        <f t="shared" si="92"/>
        <v>45809</v>
      </c>
      <c r="D726" s="4">
        <f>IF(EarningsPerDay[[#This Row],[Week '#]]&gt;=52,YEAR(EarningsPerDay[[#This Row],[Date]])-1,YEAR(EarningsPerDay[[#This Row],[Date]]))</f>
        <v>2025</v>
      </c>
      <c r="E726" s="4" t="str">
        <f>"QTR"&amp;IF(EarningsPerDay[[#This Row],[Week '#]] &lt;= 13, 1, IF(EarningsPerDay[[#This Row],[Week '#]] &lt;= 26, 2, IF(EarningsPerDay[[#This Row],[Week '#]] &lt;= 39, 3, 4)))</f>
        <v>QTR2</v>
      </c>
      <c r="F7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26" s="4">
        <f>IF(WEEKNUM(EarningsPerDay[[#This Row],[Date]], 2) = 53, 1, WEEKNUM(EarningsPerDay[[#This Row],[Date]],2))</f>
        <v>22</v>
      </c>
      <c r="H726" s="40" t="str">
        <f t="shared" ref="H726:H731" si="99">TEXT(B726,"DDDD")</f>
        <v>Sunday</v>
      </c>
      <c r="I72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26" s="40" t="str" cm="1">
        <f t="array" ref="J726">IFERROR(VLOOKUP(MODE(IF(Combined[Date]=EarningsPerDay[[#This Row],[Date]],Combined[Area '#])),KPIs!$B$4:$C$7,2,FALSE),VLOOKUP(EarningsPerDay[[#This Row],[Date]],Combined[[Date]:[Primary Area]],8,FALSE))</f>
        <v>Brunswick/Bath/Freeport</v>
      </c>
      <c r="K726" s="40" t="str">
        <f>_xlfn.XLOOKUP(EarningsPerDay[[#This Row],[Date]],Mileage[Date],Mileage[Weather])</f>
        <v>Partially Cloudy</v>
      </c>
      <c r="L726" s="4">
        <f>_xlfn.XLOOKUP(EarningsPerDay[[#This Row],[Date]],Mileage[Date],Mileage[Hi Temp])</f>
        <v>61</v>
      </c>
      <c r="M726" s="12">
        <f>_xlfn.XLOOKUP(EarningsPerDay[[#This Row],[Date]],Mileage[Date],Mileage[Total Time])</f>
        <v>3.6</v>
      </c>
      <c r="N726" s="4">
        <f>_xlfn.XLOOKUP(EarningsPerDay[[#This Row],[Date]],Mileage[Date],Mileage[Mileage])</f>
        <v>64</v>
      </c>
      <c r="O726" s="4">
        <f>SUMIF(Combined[Date],EarningsPerDay[[#This Row],[Date]],Combined[Trips])</f>
        <v>9</v>
      </c>
      <c r="P726">
        <f>COUNTIF(Combined[Date],EarningsPerDay[[#This Row],[Date]])</f>
        <v>3</v>
      </c>
      <c r="Q72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26" s="11">
        <f>SUMIF(Combined[Date],EarningsPerDay[[#This Row],[Date]],Combined[Earnings])</f>
        <v>67.169999999999987</v>
      </c>
      <c r="S726" s="11">
        <f ca="1">EarningsPerDay[[#This Row],[Gross Earnings]]-(EarningsPerDay[[#This Row],[Miles]]*CpM!$D$11)</f>
        <v>52.899722071789824</v>
      </c>
      <c r="T726" s="11">
        <f t="shared" si="95"/>
        <v>18.658333333333328</v>
      </c>
      <c r="U726" s="11">
        <f t="shared" ca="1" si="96"/>
        <v>14.694367242163839</v>
      </c>
      <c r="V726" s="11">
        <f>EarningsPerDay[[#This Row],[Gross Earnings]]/EarningsPerDay[[#This Row],[Deliveries]]</f>
        <v>7.463333333333332</v>
      </c>
      <c r="W726" s="11">
        <f>EarningsPerDay[[#This Row],[Gross Earnings]]/EarningsPerDay[[#This Row],[Miles]]</f>
        <v>1.0495312499999998</v>
      </c>
      <c r="X726" s="71">
        <f>EarningsPerDay[[#This Row],[Deliveries]]/EarningsPerDay[[#This Row],[Hours]]</f>
        <v>2.5</v>
      </c>
      <c r="Y726" s="71">
        <f>EarningsPerDay[[#This Row],[Miles]]/EarningsPerDay[[#This Row],[Deliveries]]</f>
        <v>7.1111111111111107</v>
      </c>
      <c r="Z726" s="81">
        <f>(EarningsPerDay[[#This Row],[Hours]]/EarningsPerDay[[#This Row],[Deliveries]])/24</f>
        <v>1.6666666666666666E-2</v>
      </c>
      <c r="AA7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-3.8976225219422744</v>
      </c>
      <c r="AB726" s="11">
        <f>AVERAGEIFS(EarningsPerDay[Gross $/Hour],EarningsPerDay[Week '#], EarningsPerDay[[#This Row],[Week '#]], EarningsPerDay[DOW], EarningsPerDay[[#This Row],[DOW]])</f>
        <v>18.334880952380949</v>
      </c>
      <c r="AC726" s="11">
        <f>EarningsPerDay[[#This Row],[Gross $/Hour]] - EarningsPerDay[[#This Row],[Weekly Average Earnings]]</f>
        <v>0.3234523809523786</v>
      </c>
      <c r="AD726" s="11">
        <f>(SUMIFS(EarningsPerDay[Gross Earnings], EarningsPerDay[Date],"&gt;="&amp;EarningsPerDay[[#This Row],[Date]]-89, EarningsPerDay[Date], "&lt;="&amp;EarningsPerDay[[#This Row],[Date]]))/90</f>
        <v>65.937111111111122</v>
      </c>
    </row>
    <row r="727" spans="2:30" x14ac:dyDescent="0.35">
      <c r="B727" s="40">
        <v>45810</v>
      </c>
      <c r="C727" s="40">
        <f t="shared" si="92"/>
        <v>45810</v>
      </c>
      <c r="D727" s="4">
        <f>IF(EarningsPerDay[[#This Row],[Week '#]]&gt;=52,YEAR(EarningsPerDay[[#This Row],[Date]])-1,YEAR(EarningsPerDay[[#This Row],[Date]]))</f>
        <v>2025</v>
      </c>
      <c r="E727" s="4" t="str">
        <f>"QTR"&amp;IF(EarningsPerDay[[#This Row],[Week '#]] &lt;= 13, 1, IF(EarningsPerDay[[#This Row],[Week '#]] &lt;= 26, 2, IF(EarningsPerDay[[#This Row],[Week '#]] &lt;= 39, 3, 4)))</f>
        <v>QTR2</v>
      </c>
      <c r="F7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27" s="4">
        <f>IF(WEEKNUM(EarningsPerDay[[#This Row],[Date]], 2) = 53, 1, WEEKNUM(EarningsPerDay[[#This Row],[Date]],2))</f>
        <v>23</v>
      </c>
      <c r="H727" s="40" t="str">
        <f t="shared" si="99"/>
        <v>Monday</v>
      </c>
      <c r="I72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27" s="40" t="str" cm="1">
        <f t="array" ref="J727">IFERROR(VLOOKUP(MODE(IF(Combined[Date]=EarningsPerDay[[#This Row],[Date]],Combined[Area '#])),KPIs!$B$4:$C$7,2,FALSE),VLOOKUP(EarningsPerDay[[#This Row],[Date]],Combined[[Date]:[Primary Area]],8,FALSE))</f>
        <v>Brunswick/Bath/Freeport</v>
      </c>
      <c r="K727" s="40" t="str">
        <f>_xlfn.XLOOKUP(EarningsPerDay[[#This Row],[Date]],Mileage[Date],Mileage[Weather])</f>
        <v>Partially Cloudy</v>
      </c>
      <c r="L727" s="4">
        <f>_xlfn.XLOOKUP(EarningsPerDay[[#This Row],[Date]],Mileage[Date],Mileage[Hi Temp])</f>
        <v>63</v>
      </c>
      <c r="M727" s="12">
        <f>_xlfn.XLOOKUP(EarningsPerDay[[#This Row],[Date]],Mileage[Date],Mileage[Total Time])</f>
        <v>4.03</v>
      </c>
      <c r="N727" s="4">
        <f>_xlfn.XLOOKUP(EarningsPerDay[[#This Row],[Date]],Mileage[Date],Mileage[Mileage])</f>
        <v>101</v>
      </c>
      <c r="O727" s="4">
        <f>SUMIF(Combined[Date],EarningsPerDay[[#This Row],[Date]],Combined[Trips])</f>
        <v>7</v>
      </c>
      <c r="P727">
        <f>COUNTIF(Combined[Date],EarningsPerDay[[#This Row],[Date]])</f>
        <v>1</v>
      </c>
      <c r="Q72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27" s="11">
        <f>SUMIF(Combined[Date],EarningsPerDay[[#This Row],[Date]],Combined[Earnings])</f>
        <v>101.22</v>
      </c>
      <c r="S727" s="11">
        <f ca="1">EarningsPerDay[[#This Row],[Gross Earnings]]-(EarningsPerDay[[#This Row],[Miles]]*CpM!$D$11)</f>
        <v>78.699717644543341</v>
      </c>
      <c r="T727" s="11">
        <f t="shared" si="95"/>
        <v>25.116625310173696</v>
      </c>
      <c r="U727" s="11">
        <f t="shared" ca="1" si="96"/>
        <v>19.528465916760133</v>
      </c>
      <c r="V727" s="11">
        <f>EarningsPerDay[[#This Row],[Gross Earnings]]/EarningsPerDay[[#This Row],[Deliveries]]</f>
        <v>14.459999999999999</v>
      </c>
      <c r="W727" s="11">
        <f>EarningsPerDay[[#This Row],[Gross Earnings]]/EarningsPerDay[[#This Row],[Miles]]</f>
        <v>1.0021782178217822</v>
      </c>
      <c r="X727" s="71">
        <f>EarningsPerDay[[#This Row],[Deliveries]]/EarningsPerDay[[#This Row],[Hours]]</f>
        <v>1.7369727047146402</v>
      </c>
      <c r="Y727" s="71">
        <f>EarningsPerDay[[#This Row],[Miles]]/EarningsPerDay[[#This Row],[Deliveries]]</f>
        <v>14.428571428571429</v>
      </c>
      <c r="Z727" s="81">
        <f>(EarningsPerDay[[#This Row],[Hours]]/EarningsPerDay[[#This Row],[Deliveries]])/24</f>
        <v>2.3988095238095239E-2</v>
      </c>
      <c r="AA7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3.8159706002764651</v>
      </c>
      <c r="AB727" s="11">
        <f>AVERAGEIFS(EarningsPerDay[Gross $/Hour],EarningsPerDay[Week '#], EarningsPerDay[[#This Row],[Week '#]], EarningsPerDay[DOW], EarningsPerDay[[#This Row],[DOW]])</f>
        <v>22.182309988289532</v>
      </c>
      <c r="AC727" s="11">
        <f>EarningsPerDay[[#This Row],[Gross $/Hour]] - EarningsPerDay[[#This Row],[Weekly Average Earnings]]</f>
        <v>2.9343153218841636</v>
      </c>
      <c r="AD727" s="11">
        <f>(SUMIFS(EarningsPerDay[Gross Earnings], EarningsPerDay[Date],"&gt;="&amp;EarningsPerDay[[#This Row],[Date]]-89, EarningsPerDay[Date], "&lt;="&amp;EarningsPerDay[[#This Row],[Date]]))/90</f>
        <v>66.070111111111132</v>
      </c>
    </row>
    <row r="728" spans="2:30" x14ac:dyDescent="0.35">
      <c r="B728" s="40">
        <v>45811</v>
      </c>
      <c r="C728" s="40">
        <f t="shared" si="92"/>
        <v>45811</v>
      </c>
      <c r="D728" s="4">
        <f>IF(EarningsPerDay[[#This Row],[Week '#]]&gt;=52,YEAR(EarningsPerDay[[#This Row],[Date]])-1,YEAR(EarningsPerDay[[#This Row],[Date]]))</f>
        <v>2025</v>
      </c>
      <c r="E728" s="4" t="str">
        <f>"QTR"&amp;IF(EarningsPerDay[[#This Row],[Week '#]] &lt;= 13, 1, IF(EarningsPerDay[[#This Row],[Week '#]] &lt;= 26, 2, IF(EarningsPerDay[[#This Row],[Week '#]] &lt;= 39, 3, 4)))</f>
        <v>QTR2</v>
      </c>
      <c r="F7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28" s="4">
        <f>IF(WEEKNUM(EarningsPerDay[[#This Row],[Date]], 2) = 53, 1, WEEKNUM(EarningsPerDay[[#This Row],[Date]],2))</f>
        <v>23</v>
      </c>
      <c r="H728" s="40" t="str">
        <f t="shared" si="99"/>
        <v>Tuesday</v>
      </c>
      <c r="I72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28" s="40" t="str" cm="1">
        <f t="array" ref="J728">IFERROR(VLOOKUP(MODE(IF(Combined[Date]=EarningsPerDay[[#This Row],[Date]],Combined[Area '#])),KPIs!$B$4:$C$7,2,FALSE),VLOOKUP(EarningsPerDay[[#This Row],[Date]],Combined[[Date]:[Primary Area]],8,FALSE))</f>
        <v>Brunswick/Bath/Freeport</v>
      </c>
      <c r="K728" s="40" t="str">
        <f>_xlfn.XLOOKUP(EarningsPerDay[[#This Row],[Date]],Mileage[Date],Mileage[Weather])</f>
        <v>Sunny</v>
      </c>
      <c r="L728" s="4">
        <f>_xlfn.XLOOKUP(EarningsPerDay[[#This Row],[Date]],Mileage[Date],Mileage[Hi Temp])</f>
        <v>70</v>
      </c>
      <c r="M728" s="12">
        <f>_xlfn.XLOOKUP(EarningsPerDay[[#This Row],[Date]],Mileage[Date],Mileage[Total Time])</f>
        <v>4.47</v>
      </c>
      <c r="N728" s="4">
        <f>_xlfn.XLOOKUP(EarningsPerDay[[#This Row],[Date]],Mileage[Date],Mileage[Mileage])</f>
        <v>110</v>
      </c>
      <c r="O728" s="4">
        <f>SUMIF(Combined[Date],EarningsPerDay[[#This Row],[Date]],Combined[Trips])</f>
        <v>7</v>
      </c>
      <c r="P728">
        <f>COUNTIF(Combined[Date],EarningsPerDay[[#This Row],[Date]])</f>
        <v>2</v>
      </c>
      <c r="Q72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28" s="11">
        <f>SUMIF(Combined[Date],EarningsPerDay[[#This Row],[Date]],Combined[Earnings])</f>
        <v>114.21000000000001</v>
      </c>
      <c r="S728" s="11">
        <f ca="1">EarningsPerDay[[#This Row],[Gross Earnings]]-(EarningsPerDay[[#This Row],[Miles]]*CpM!$D$11)</f>
        <v>89.682959810888789</v>
      </c>
      <c r="T728" s="11">
        <f t="shared" si="95"/>
        <v>25.550335570469802</v>
      </c>
      <c r="U728" s="11">
        <f t="shared" ca="1" si="96"/>
        <v>20.063301971116061</v>
      </c>
      <c r="V728" s="11">
        <f>EarningsPerDay[[#This Row],[Gross Earnings]]/EarningsPerDay[[#This Row],[Deliveries]]</f>
        <v>16.315714285714286</v>
      </c>
      <c r="W728" s="11">
        <f>EarningsPerDay[[#This Row],[Gross Earnings]]/EarningsPerDay[[#This Row],[Miles]]</f>
        <v>1.0382727272727272</v>
      </c>
      <c r="X728" s="71">
        <f>EarningsPerDay[[#This Row],[Deliveries]]/EarningsPerDay[[#This Row],[Hours]]</f>
        <v>1.5659955257270695</v>
      </c>
      <c r="Y728" s="71">
        <f>EarningsPerDay[[#This Row],[Miles]]/EarningsPerDay[[#This Row],[Deliveries]]</f>
        <v>15.714285714285714</v>
      </c>
      <c r="Z728" s="81">
        <f>(EarningsPerDay[[#This Row],[Hours]]/EarningsPerDay[[#This Row],[Deliveries]])/24</f>
        <v>2.6607142857142857E-2</v>
      </c>
      <c r="AA7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4.0359752102860114</v>
      </c>
      <c r="AB728" s="11">
        <f>AVERAGEIFS(EarningsPerDay[Gross $/Hour],EarningsPerDay[Week '#], EarningsPerDay[[#This Row],[Week '#]], EarningsPerDay[DOW], EarningsPerDay[[#This Row],[DOW]])</f>
        <v>25.132141780506764</v>
      </c>
      <c r="AC728" s="11">
        <f>EarningsPerDay[[#This Row],[Gross $/Hour]] - EarningsPerDay[[#This Row],[Weekly Average Earnings]]</f>
        <v>0.41819378996303769</v>
      </c>
      <c r="AD728" s="11">
        <f>(SUMIFS(EarningsPerDay[Gross Earnings], EarningsPerDay[Date],"&gt;="&amp;EarningsPerDay[[#This Row],[Date]]-89, EarningsPerDay[Date], "&lt;="&amp;EarningsPerDay[[#This Row],[Date]]))/90</f>
        <v>67.339111111111123</v>
      </c>
    </row>
    <row r="729" spans="2:30" x14ac:dyDescent="0.35">
      <c r="B729" s="40">
        <v>45812</v>
      </c>
      <c r="C729" s="40">
        <f t="shared" si="92"/>
        <v>45812</v>
      </c>
      <c r="D729" s="4">
        <f>IF(EarningsPerDay[[#This Row],[Week '#]]&gt;=52,YEAR(EarningsPerDay[[#This Row],[Date]])-1,YEAR(EarningsPerDay[[#This Row],[Date]]))</f>
        <v>2025</v>
      </c>
      <c r="E729" s="4" t="str">
        <f>"QTR"&amp;IF(EarningsPerDay[[#This Row],[Week '#]] &lt;= 13, 1, IF(EarningsPerDay[[#This Row],[Week '#]] &lt;= 26, 2, IF(EarningsPerDay[[#This Row],[Week '#]] &lt;= 39, 3, 4)))</f>
        <v>QTR2</v>
      </c>
      <c r="F7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29" s="4">
        <f>IF(WEEKNUM(EarningsPerDay[[#This Row],[Date]], 2) = 53, 1, WEEKNUM(EarningsPerDay[[#This Row],[Date]],2))</f>
        <v>23</v>
      </c>
      <c r="H729" s="40" t="str">
        <f t="shared" si="99"/>
        <v>Wednesday</v>
      </c>
      <c r="I72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29" s="40" t="str" cm="1">
        <f t="array" ref="J729">IFERROR(VLOOKUP(MODE(IF(Combined[Date]=EarningsPerDay[[#This Row],[Date]],Combined[Area '#])),KPIs!$B$4:$C$7,2,FALSE),VLOOKUP(EarningsPerDay[[#This Row],[Date]],Combined[[Date]:[Primary Area]],8,FALSE))</f>
        <v>Lewiston</v>
      </c>
      <c r="K729" s="40" t="str">
        <f>_xlfn.XLOOKUP(EarningsPerDay[[#This Row],[Date]],Mileage[Date],Mileage[Weather])</f>
        <v>Sunny</v>
      </c>
      <c r="L729" s="4">
        <f>_xlfn.XLOOKUP(EarningsPerDay[[#This Row],[Date]],Mileage[Date],Mileage[Hi Temp])</f>
        <v>75</v>
      </c>
      <c r="M729" s="12">
        <f>_xlfn.XLOOKUP(EarningsPerDay[[#This Row],[Date]],Mileage[Date],Mileage[Total Time])</f>
        <v>4.83</v>
      </c>
      <c r="N729" s="4">
        <f>_xlfn.XLOOKUP(EarningsPerDay[[#This Row],[Date]],Mileage[Date],Mileage[Mileage])</f>
        <v>76</v>
      </c>
      <c r="O729" s="4">
        <f>SUMIF(Combined[Date],EarningsPerDay[[#This Row],[Date]],Combined[Trips])</f>
        <v>12</v>
      </c>
      <c r="P729">
        <f>COUNTIF(Combined[Date],EarningsPerDay[[#This Row],[Date]])</f>
        <v>2</v>
      </c>
      <c r="Q72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29" s="11">
        <f>SUMIF(Combined[Date],EarningsPerDay[[#This Row],[Date]],Combined[Earnings])</f>
        <v>109.59</v>
      </c>
      <c r="S729" s="11">
        <f ca="1">EarningsPerDay[[#This Row],[Gross Earnings]]-(EarningsPerDay[[#This Row],[Miles]]*CpM!$D$11)</f>
        <v>92.644044960250426</v>
      </c>
      <c r="T729" s="11">
        <f t="shared" si="95"/>
        <v>22.689440993788821</v>
      </c>
      <c r="U729" s="11">
        <f t="shared" ca="1" si="96"/>
        <v>19.180961689492843</v>
      </c>
      <c r="V729" s="11">
        <f>EarningsPerDay[[#This Row],[Gross Earnings]]/EarningsPerDay[[#This Row],[Deliveries]]</f>
        <v>9.1325000000000003</v>
      </c>
      <c r="W729" s="11">
        <f>EarningsPerDay[[#This Row],[Gross Earnings]]/EarningsPerDay[[#This Row],[Miles]]</f>
        <v>1.4419736842105264</v>
      </c>
      <c r="X729" s="71">
        <f>EarningsPerDay[[#This Row],[Deliveries]]/EarningsPerDay[[#This Row],[Hours]]</f>
        <v>2.4844720496894408</v>
      </c>
      <c r="Y729" s="71">
        <f>EarningsPerDay[[#This Row],[Miles]]/EarningsPerDay[[#This Row],[Deliveries]]</f>
        <v>6.333333333333333</v>
      </c>
      <c r="Z729" s="81">
        <f>(EarningsPerDay[[#This Row],[Hours]]/EarningsPerDay[[#This Row],[Deliveries]])/24</f>
        <v>1.6770833333333336E-2</v>
      </c>
      <c r="AA7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4.2381983772221972</v>
      </c>
      <c r="AB729" s="11">
        <f>AVERAGEIFS(EarningsPerDay[Gross $/Hour],EarningsPerDay[Week '#], EarningsPerDay[[#This Row],[Week '#]], EarningsPerDay[DOW], EarningsPerDay[[#This Row],[DOW]])</f>
        <v>18.692679503627101</v>
      </c>
      <c r="AC729" s="11">
        <f>EarningsPerDay[[#This Row],[Gross $/Hour]] - EarningsPerDay[[#This Row],[Weekly Average Earnings]]</f>
        <v>3.9967614901617203</v>
      </c>
      <c r="AD729" s="11">
        <f>(SUMIFS(EarningsPerDay[Gross Earnings], EarningsPerDay[Date],"&gt;="&amp;EarningsPerDay[[#This Row],[Date]]-89, EarningsPerDay[Date], "&lt;="&amp;EarningsPerDay[[#This Row],[Date]]))/90</f>
        <v>68.556777777777796</v>
      </c>
    </row>
    <row r="730" spans="2:30" x14ac:dyDescent="0.35">
      <c r="B730" s="40">
        <v>45814</v>
      </c>
      <c r="C730" s="40">
        <f t="shared" si="92"/>
        <v>45814</v>
      </c>
      <c r="D730" s="4">
        <f>IF(EarningsPerDay[[#This Row],[Week '#]]&gt;=52,YEAR(EarningsPerDay[[#This Row],[Date]])-1,YEAR(EarningsPerDay[[#This Row],[Date]]))</f>
        <v>2025</v>
      </c>
      <c r="E730" s="4" t="str">
        <f>"QTR"&amp;IF(EarningsPerDay[[#This Row],[Week '#]] &lt;= 13, 1, IF(EarningsPerDay[[#This Row],[Week '#]] &lt;= 26, 2, IF(EarningsPerDay[[#This Row],[Week '#]] &lt;= 39, 3, 4)))</f>
        <v>QTR2</v>
      </c>
      <c r="F7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30" s="4">
        <f>IF(WEEKNUM(EarningsPerDay[[#This Row],[Date]], 2) = 53, 1, WEEKNUM(EarningsPerDay[[#This Row],[Date]],2))</f>
        <v>23</v>
      </c>
      <c r="H730" s="40" t="str">
        <f t="shared" si="99"/>
        <v>Friday</v>
      </c>
      <c r="I73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30" s="40" t="str" cm="1">
        <f t="array" ref="J730">IFERROR(VLOOKUP(MODE(IF(Combined[Date]=EarningsPerDay[[#This Row],[Date]],Combined[Area '#])),KPIs!$B$4:$C$7,2,FALSE),VLOOKUP(EarningsPerDay[[#This Row],[Date]],Combined[[Date]:[Primary Area]],8,FALSE))</f>
        <v>Lewiston</v>
      </c>
      <c r="K730" s="40" t="str">
        <f>_xlfn.XLOOKUP(EarningsPerDay[[#This Row],[Date]],Mileage[Date],Mileage[Weather])</f>
        <v>Light Rain</v>
      </c>
      <c r="L730" s="4">
        <f>_xlfn.XLOOKUP(EarningsPerDay[[#This Row],[Date]],Mileage[Date],Mileage[Hi Temp])</f>
        <v>68</v>
      </c>
      <c r="M730" s="12">
        <f>_xlfn.XLOOKUP(EarningsPerDay[[#This Row],[Date]],Mileage[Date],Mileage[Total Time])</f>
        <v>4.97</v>
      </c>
      <c r="N730" s="4">
        <f>_xlfn.XLOOKUP(EarningsPerDay[[#This Row],[Date]],Mileage[Date],Mileage[Mileage])</f>
        <v>74</v>
      </c>
      <c r="O730" s="4">
        <f>SUMIF(Combined[Date],EarningsPerDay[[#This Row],[Date]],Combined[Trips])</f>
        <v>14</v>
      </c>
      <c r="P730">
        <f>COUNTIF(Combined[Date],EarningsPerDay[[#This Row],[Date]])</f>
        <v>2</v>
      </c>
      <c r="Q73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0" s="11">
        <f>SUMIF(Combined[Date],EarningsPerDay[[#This Row],[Date]],Combined[Earnings])</f>
        <v>90.32</v>
      </c>
      <c r="S730" s="11">
        <f ca="1">EarningsPerDay[[#This Row],[Gross Earnings]]-(EarningsPerDay[[#This Row],[Miles]]*CpM!$D$11)</f>
        <v>73.819991145506989</v>
      </c>
      <c r="T730" s="11">
        <f t="shared" si="95"/>
        <v>18.173038229376257</v>
      </c>
      <c r="U730" s="11">
        <f t="shared" ca="1" si="96"/>
        <v>14.853116930685511</v>
      </c>
      <c r="V730" s="11">
        <f>EarningsPerDay[[#This Row],[Gross Earnings]]/EarningsPerDay[[#This Row],[Deliveries]]</f>
        <v>6.4514285714285711</v>
      </c>
      <c r="W730" s="11">
        <f>EarningsPerDay[[#This Row],[Gross Earnings]]/EarningsPerDay[[#This Row],[Miles]]</f>
        <v>1.2205405405405405</v>
      </c>
      <c r="X730" s="71">
        <f>EarningsPerDay[[#This Row],[Deliveries]]/EarningsPerDay[[#This Row],[Hours]]</f>
        <v>2.8169014084507045</v>
      </c>
      <c r="Y730" s="71">
        <f>EarningsPerDay[[#This Row],[Miles]]/EarningsPerDay[[#This Row],[Deliveries]]</f>
        <v>5.2857142857142856</v>
      </c>
      <c r="Z730" s="81">
        <f>(EarningsPerDay[[#This Row],[Hours]]/EarningsPerDay[[#This Row],[Deliveries]])/24</f>
        <v>1.4791666666666667E-2</v>
      </c>
      <c r="AA7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-0.24384759577056059</v>
      </c>
      <c r="AB730" s="11">
        <f>AVERAGEIFS(EarningsPerDay[Gross $/Hour],EarningsPerDay[Week '#], EarningsPerDay[[#This Row],[Week '#]], EarningsPerDay[DOW], EarningsPerDay[[#This Row],[DOW]])</f>
        <v>20.101809097414456</v>
      </c>
      <c r="AC730" s="11">
        <f>EarningsPerDay[[#This Row],[Gross $/Hour]] - EarningsPerDay[[#This Row],[Weekly Average Earnings]]</f>
        <v>-1.9287708680381996</v>
      </c>
      <c r="AD730" s="11">
        <f>(SUMIFS(EarningsPerDay[Gross Earnings], EarningsPerDay[Date],"&gt;="&amp;EarningsPerDay[[#This Row],[Date]]-89, EarningsPerDay[Date], "&lt;="&amp;EarningsPerDay[[#This Row],[Date]]))/90</f>
        <v>67.918333333333337</v>
      </c>
    </row>
    <row r="731" spans="2:30" x14ac:dyDescent="0.35">
      <c r="B731" s="40">
        <v>45815</v>
      </c>
      <c r="C731" s="40">
        <f t="shared" si="92"/>
        <v>45815</v>
      </c>
      <c r="D731" s="4">
        <f>IF(EarningsPerDay[[#This Row],[Week '#]]&gt;=52,YEAR(EarningsPerDay[[#This Row],[Date]])-1,YEAR(EarningsPerDay[[#This Row],[Date]]))</f>
        <v>2025</v>
      </c>
      <c r="E731" s="4" t="str">
        <f>"QTR"&amp;IF(EarningsPerDay[[#This Row],[Week '#]] &lt;= 13, 1, IF(EarningsPerDay[[#This Row],[Week '#]] &lt;= 26, 2, IF(EarningsPerDay[[#This Row],[Week '#]] &lt;= 39, 3, 4)))</f>
        <v>QTR2</v>
      </c>
      <c r="F7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31" s="4">
        <f>IF(WEEKNUM(EarningsPerDay[[#This Row],[Date]], 2) = 53, 1, WEEKNUM(EarningsPerDay[[#This Row],[Date]],2))</f>
        <v>23</v>
      </c>
      <c r="H731" s="40" t="str">
        <f t="shared" si="99"/>
        <v>Saturday</v>
      </c>
      <c r="I731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731" s="40" t="str" cm="1">
        <f t="array" ref="J731">IFERROR(VLOOKUP(MODE(IF(Combined[Date]=EarningsPerDay[[#This Row],[Date]],Combined[Area '#])),KPIs!$B$4:$C$7,2,FALSE),VLOOKUP(EarningsPerDay[[#This Row],[Date]],Combined[[Date]:[Primary Area]],8,FALSE))</f>
        <v>Brunswick/Bath/Freeport</v>
      </c>
      <c r="K731" s="40" t="str">
        <f>_xlfn.XLOOKUP(EarningsPerDay[[#This Row],[Date]],Mileage[Date],Mileage[Weather])</f>
        <v>Clear</v>
      </c>
      <c r="L731" s="4">
        <f>_xlfn.XLOOKUP(EarningsPerDay[[#This Row],[Date]],Mileage[Date],Mileage[Hi Temp])</f>
        <v>68</v>
      </c>
      <c r="M731" s="12">
        <f>_xlfn.XLOOKUP(EarningsPerDay[[#This Row],[Date]],Mileage[Date],Mileage[Total Time])</f>
        <v>5.97</v>
      </c>
      <c r="N731" s="4">
        <f>_xlfn.XLOOKUP(EarningsPerDay[[#This Row],[Date]],Mileage[Date],Mileage[Mileage])</f>
        <v>146</v>
      </c>
      <c r="O731" s="4">
        <f>SUMIF(Combined[Date],EarningsPerDay[[#This Row],[Date]],Combined[Trips])</f>
        <v>13</v>
      </c>
      <c r="P731">
        <f>COUNTIF(Combined[Date],EarningsPerDay[[#This Row],[Date]])</f>
        <v>2</v>
      </c>
      <c r="Q7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1" s="11">
        <f>SUMIF(Combined[Date],EarningsPerDay[[#This Row],[Date]],Combined[Earnings])</f>
        <v>137.93</v>
      </c>
      <c r="S731" s="11">
        <f ca="1">EarningsPerDay[[#This Row],[Gross Earnings]]-(EarningsPerDay[[#This Row],[Miles]]*CpM!$D$11)</f>
        <v>105.37592847627056</v>
      </c>
      <c r="T731" s="11">
        <f t="shared" si="95"/>
        <v>23.103852596314908</v>
      </c>
      <c r="U731" s="11">
        <f t="shared" ca="1" si="96"/>
        <v>17.650909292507631</v>
      </c>
      <c r="V731" s="11">
        <f>EarningsPerDay[[#This Row],[Gross Earnings]]/EarningsPerDay[[#This Row],[Deliveries]]</f>
        <v>10.610000000000001</v>
      </c>
      <c r="W731" s="11">
        <f>EarningsPerDay[[#This Row],[Gross Earnings]]/EarningsPerDay[[#This Row],[Miles]]</f>
        <v>0.9447260273972603</v>
      </c>
      <c r="X731" s="71">
        <f>EarningsPerDay[[#This Row],[Deliveries]]/EarningsPerDay[[#This Row],[Hours]]</f>
        <v>2.1775544388609718</v>
      </c>
      <c r="Y731" s="71">
        <f>EarningsPerDay[[#This Row],[Miles]]/EarningsPerDay[[#This Row],[Deliveries]]</f>
        <v>11.23076923076923</v>
      </c>
      <c r="Z731" s="81">
        <f>(EarningsPerDay[[#This Row],[Hours]]/EarningsPerDay[[#This Row],[Deliveries]])/24</f>
        <v>1.9134615384615385E-2</v>
      </c>
      <c r="AA7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-2.2305462829158778</v>
      </c>
      <c r="AB731" s="11">
        <f>AVERAGEIFS(EarningsPerDay[Gross $/Hour],EarningsPerDay[Week '#], EarningsPerDay[[#This Row],[Week '#]], EarningsPerDay[DOW], EarningsPerDay[[#This Row],[DOW]])</f>
        <v>20.809749427409155</v>
      </c>
      <c r="AC731" s="11">
        <f>EarningsPerDay[[#This Row],[Gross $/Hour]] - EarningsPerDay[[#This Row],[Weekly Average Earnings]]</f>
        <v>2.2941031689057532</v>
      </c>
      <c r="AD731" s="11">
        <f>(SUMIFS(EarningsPerDay[Gross Earnings], EarningsPerDay[Date],"&gt;="&amp;EarningsPerDay[[#This Row],[Date]]-89, EarningsPerDay[Date], "&lt;="&amp;EarningsPerDay[[#This Row],[Date]]))/90</f>
        <v>69.299111111111117</v>
      </c>
    </row>
    <row r="732" spans="2:30" x14ac:dyDescent="0.35">
      <c r="B732" s="40">
        <v>45817</v>
      </c>
      <c r="C732" s="40">
        <f t="shared" si="92"/>
        <v>45817</v>
      </c>
      <c r="D732" s="4">
        <f>IF(EarningsPerDay[[#This Row],[Week '#]]&gt;=52,YEAR(EarningsPerDay[[#This Row],[Date]])-1,YEAR(EarningsPerDay[[#This Row],[Date]]))</f>
        <v>2025</v>
      </c>
      <c r="E732" s="4" t="str">
        <f>"QTR"&amp;IF(EarningsPerDay[[#This Row],[Week '#]] &lt;= 13, 1, IF(EarningsPerDay[[#This Row],[Week '#]] &lt;= 26, 2, IF(EarningsPerDay[[#This Row],[Week '#]] &lt;= 39, 3, 4)))</f>
        <v>QTR2</v>
      </c>
      <c r="F7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32" s="4">
        <f>IF(WEEKNUM(EarningsPerDay[[#This Row],[Date]], 2) = 53, 1, WEEKNUM(EarningsPerDay[[#This Row],[Date]],2))</f>
        <v>24</v>
      </c>
      <c r="H732" s="40" t="str">
        <f t="shared" ref="H732:H740" si="100">TEXT(B732,"DDDD")</f>
        <v>Monday</v>
      </c>
      <c r="I73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32" s="40" t="str" cm="1">
        <f t="array" ref="J732">IFERROR(VLOOKUP(MODE(IF(Combined[Date]=EarningsPerDay[[#This Row],[Date]],Combined[Area '#])),KPIs!$B$4:$C$7,2,FALSE),VLOOKUP(EarningsPerDay[[#This Row],[Date]],Combined[[Date]:[Primary Area]],8,FALSE))</f>
        <v>Lewiston</v>
      </c>
      <c r="K732" s="40" t="str">
        <f>_xlfn.XLOOKUP(EarningsPerDay[[#This Row],[Date]],Mileage[Date],Mileage[Weather])</f>
        <v>Overcast</v>
      </c>
      <c r="L732" s="4">
        <f>_xlfn.XLOOKUP(EarningsPerDay[[#This Row],[Date]],Mileage[Date],Mileage[Hi Temp])</f>
        <v>63</v>
      </c>
      <c r="M732" s="12">
        <f>_xlfn.XLOOKUP(EarningsPerDay[[#This Row],[Date]],Mileage[Date],Mileage[Total Time])</f>
        <v>5.8</v>
      </c>
      <c r="N732" s="4">
        <f>_xlfn.XLOOKUP(EarningsPerDay[[#This Row],[Date]],Mileage[Date],Mileage[Mileage])</f>
        <v>92</v>
      </c>
      <c r="O732" s="4">
        <f>SUMIF(Combined[Date],EarningsPerDay[[#This Row],[Date]],Combined[Trips])</f>
        <v>15</v>
      </c>
      <c r="P732">
        <f>COUNTIF(Combined[Date],EarningsPerDay[[#This Row],[Date]])</f>
        <v>1</v>
      </c>
      <c r="Q7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2" s="11">
        <f>SUMIF(Combined[Date],EarningsPerDay[[#This Row],[Date]],Combined[Earnings])</f>
        <v>122.51</v>
      </c>
      <c r="S732" s="11">
        <f ca="1">EarningsPerDay[[#This Row],[Gross Earnings]]-(EarningsPerDay[[#This Row],[Miles]]*CpM!$D$11)</f>
        <v>101.99647547819789</v>
      </c>
      <c r="T732" s="11">
        <f t="shared" si="95"/>
        <v>21.122413793103451</v>
      </c>
      <c r="U732" s="11">
        <f t="shared" ca="1" si="96"/>
        <v>17.585599220378949</v>
      </c>
      <c r="V732" s="11">
        <f>EarningsPerDay[[#This Row],[Gross Earnings]]/EarningsPerDay[[#This Row],[Deliveries]]</f>
        <v>8.1673333333333336</v>
      </c>
      <c r="W732" s="11">
        <f>EarningsPerDay[[#This Row],[Gross Earnings]]/EarningsPerDay[[#This Row],[Miles]]</f>
        <v>1.3316304347826087</v>
      </c>
      <c r="X732" s="71">
        <f>EarningsPerDay[[#This Row],[Deliveries]]/EarningsPerDay[[#This Row],[Hours]]</f>
        <v>2.5862068965517242</v>
      </c>
      <c r="Y732" s="71">
        <f>EarningsPerDay[[#This Row],[Miles]]/EarningsPerDay[[#This Row],[Deliveries]]</f>
        <v>6.1333333333333337</v>
      </c>
      <c r="Z732" s="81">
        <f>(EarningsPerDay[[#This Row],[Hours]]/EarningsPerDay[[#This Row],[Deliveries]])/24</f>
        <v>1.6111111111111111E-2</v>
      </c>
      <c r="AA7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8.5752835502778453</v>
      </c>
      <c r="AB732" s="11">
        <f>AVERAGEIFS(EarningsPerDay[Gross $/Hour],EarningsPerDay[Week '#], EarningsPerDay[[#This Row],[Week '#]], EarningsPerDay[DOW], EarningsPerDay[[#This Row],[DOW]])</f>
        <v>18.7884790163058</v>
      </c>
      <c r="AC732" s="11">
        <f>EarningsPerDay[[#This Row],[Gross $/Hour]] - EarningsPerDay[[#This Row],[Weekly Average Earnings]]</f>
        <v>2.3339347767976513</v>
      </c>
      <c r="AD732" s="11">
        <f>(SUMIFS(EarningsPerDay[Gross Earnings], EarningsPerDay[Date],"&gt;="&amp;EarningsPerDay[[#This Row],[Date]]-89, EarningsPerDay[Date], "&lt;="&amp;EarningsPerDay[[#This Row],[Date]]))/90</f>
        <v>69.488000000000014</v>
      </c>
    </row>
    <row r="733" spans="2:30" x14ac:dyDescent="0.35">
      <c r="B733" s="40">
        <v>45818</v>
      </c>
      <c r="C733" s="40">
        <f t="shared" si="92"/>
        <v>45818</v>
      </c>
      <c r="D733" s="4">
        <f>IF(EarningsPerDay[[#This Row],[Week '#]]&gt;=52,YEAR(EarningsPerDay[[#This Row],[Date]])-1,YEAR(EarningsPerDay[[#This Row],[Date]]))</f>
        <v>2025</v>
      </c>
      <c r="E733" s="4" t="str">
        <f>"QTR"&amp;IF(EarningsPerDay[[#This Row],[Week '#]] &lt;= 13, 1, IF(EarningsPerDay[[#This Row],[Week '#]] &lt;= 26, 2, IF(EarningsPerDay[[#This Row],[Week '#]] &lt;= 39, 3, 4)))</f>
        <v>QTR2</v>
      </c>
      <c r="F7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33" s="4">
        <f>IF(WEEKNUM(EarningsPerDay[[#This Row],[Date]], 2) = 53, 1, WEEKNUM(EarningsPerDay[[#This Row],[Date]],2))</f>
        <v>24</v>
      </c>
      <c r="H733" s="40" t="str">
        <f t="shared" si="100"/>
        <v>Tuesday</v>
      </c>
      <c r="I73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33" s="40" t="str" cm="1">
        <f t="array" ref="J733">IFERROR(VLOOKUP(MODE(IF(Combined[Date]=EarningsPerDay[[#This Row],[Date]],Combined[Area '#])),KPIs!$B$4:$C$7,2,FALSE),VLOOKUP(EarningsPerDay[[#This Row],[Date]],Combined[[Date]:[Primary Area]],8,FALSE))</f>
        <v>Brunswick/Bath/Freeport</v>
      </c>
      <c r="K733" s="40" t="str">
        <f>_xlfn.XLOOKUP(EarningsPerDay[[#This Row],[Date]],Mileage[Date],Mileage[Weather])</f>
        <v>Fog</v>
      </c>
      <c r="L733" s="4">
        <f>_xlfn.XLOOKUP(EarningsPerDay[[#This Row],[Date]],Mileage[Date],Mileage[Hi Temp])</f>
        <v>61</v>
      </c>
      <c r="M733" s="12">
        <f>_xlfn.XLOOKUP(EarningsPerDay[[#This Row],[Date]],Mileage[Date],Mileage[Total Time])</f>
        <v>3.67</v>
      </c>
      <c r="N733" s="4">
        <f>_xlfn.XLOOKUP(EarningsPerDay[[#This Row],[Date]],Mileage[Date],Mileage[Mileage])</f>
        <v>80</v>
      </c>
      <c r="O733" s="4">
        <f>SUMIF(Combined[Date],EarningsPerDay[[#This Row],[Date]],Combined[Trips])</f>
        <v>8</v>
      </c>
      <c r="P733">
        <f>COUNTIF(Combined[Date],EarningsPerDay[[#This Row],[Date]])</f>
        <v>2</v>
      </c>
      <c r="Q7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3" s="11">
        <f>SUMIF(Combined[Date],EarningsPerDay[[#This Row],[Date]],Combined[Earnings])</f>
        <v>93.06</v>
      </c>
      <c r="S733" s="11">
        <f ca="1">EarningsPerDay[[#This Row],[Gross Earnings]]-(EarningsPerDay[[#This Row],[Miles]]*CpM!$D$11)</f>
        <v>75.222152589737291</v>
      </c>
      <c r="T733" s="11">
        <f t="shared" si="95"/>
        <v>25.356948228882835</v>
      </c>
      <c r="U733" s="11">
        <f t="shared" ca="1" si="96"/>
        <v>20.496499343252669</v>
      </c>
      <c r="V733" s="11">
        <f>EarningsPerDay[[#This Row],[Gross Earnings]]/EarningsPerDay[[#This Row],[Deliveries]]</f>
        <v>11.6325</v>
      </c>
      <c r="W733" s="11">
        <f>EarningsPerDay[[#This Row],[Gross Earnings]]/EarningsPerDay[[#This Row],[Miles]]</f>
        <v>1.1632500000000001</v>
      </c>
      <c r="X733" s="71">
        <f>EarningsPerDay[[#This Row],[Deliveries]]/EarningsPerDay[[#This Row],[Hours]]</f>
        <v>2.1798365122615806</v>
      </c>
      <c r="Y733" s="71">
        <f>EarningsPerDay[[#This Row],[Miles]]/EarningsPerDay[[#This Row],[Deliveries]]</f>
        <v>10</v>
      </c>
      <c r="Z733" s="81">
        <f>(EarningsPerDay[[#This Row],[Hours]]/EarningsPerDay[[#This Row],[Deliveries]])/24</f>
        <v>1.9114583333333334E-2</v>
      </c>
      <c r="AA7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3.6301681207892535</v>
      </c>
      <c r="AB733" s="11">
        <f>AVERAGEIFS(EarningsPerDay[Gross $/Hour],EarningsPerDay[Week '#], EarningsPerDay[[#This Row],[Week '#]], EarningsPerDay[DOW], EarningsPerDay[[#This Row],[DOW]])</f>
        <v>22.483161614441418</v>
      </c>
      <c r="AC733" s="11">
        <f>EarningsPerDay[[#This Row],[Gross $/Hour]] - EarningsPerDay[[#This Row],[Weekly Average Earnings]]</f>
        <v>2.8737866144414177</v>
      </c>
      <c r="AD733" s="11">
        <f>(SUMIFS(EarningsPerDay[Gross Earnings], EarningsPerDay[Date],"&gt;="&amp;EarningsPerDay[[#This Row],[Date]]-89, EarningsPerDay[Date], "&lt;="&amp;EarningsPerDay[[#This Row],[Date]]))/90</f>
        <v>69.914000000000016</v>
      </c>
    </row>
    <row r="734" spans="2:30" x14ac:dyDescent="0.35">
      <c r="B734" s="40">
        <v>45820</v>
      </c>
      <c r="C734" s="40">
        <f t="shared" si="92"/>
        <v>45820</v>
      </c>
      <c r="D734" s="4">
        <f>IF(EarningsPerDay[[#This Row],[Week '#]]&gt;=52,YEAR(EarningsPerDay[[#This Row],[Date]])-1,YEAR(EarningsPerDay[[#This Row],[Date]]))</f>
        <v>2025</v>
      </c>
      <c r="E734" s="4" t="str">
        <f>"QTR"&amp;IF(EarningsPerDay[[#This Row],[Week '#]] &lt;= 13, 1, IF(EarningsPerDay[[#This Row],[Week '#]] &lt;= 26, 2, IF(EarningsPerDay[[#This Row],[Week '#]] &lt;= 39, 3, 4)))</f>
        <v>QTR2</v>
      </c>
      <c r="F7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34" s="4">
        <f>IF(WEEKNUM(EarningsPerDay[[#This Row],[Date]], 2) = 53, 1, WEEKNUM(EarningsPerDay[[#This Row],[Date]],2))</f>
        <v>24</v>
      </c>
      <c r="H734" s="40" t="str">
        <f t="shared" si="100"/>
        <v>Thursday</v>
      </c>
      <c r="I73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34" s="40" t="str" cm="1">
        <f t="array" ref="J734">IFERROR(VLOOKUP(MODE(IF(Combined[Date]=EarningsPerDay[[#This Row],[Date]],Combined[Area '#])),KPIs!$B$4:$C$7,2,FALSE),VLOOKUP(EarningsPerDay[[#This Row],[Date]],Combined[[Date]:[Primary Area]],8,FALSE))</f>
        <v>Brunswick/Bath/Freeport</v>
      </c>
      <c r="K734" s="40" t="str">
        <f>_xlfn.XLOOKUP(EarningsPerDay[[#This Row],[Date]],Mileage[Date],Mileage[Weather])</f>
        <v>Clear</v>
      </c>
      <c r="L734" s="4">
        <f>_xlfn.XLOOKUP(EarningsPerDay[[#This Row],[Date]],Mileage[Date],Mileage[Hi Temp])</f>
        <v>73</v>
      </c>
      <c r="M734" s="12">
        <f>_xlfn.XLOOKUP(EarningsPerDay[[#This Row],[Date]],Mileage[Date],Mileage[Total Time])</f>
        <v>6.82</v>
      </c>
      <c r="N734" s="4">
        <f>_xlfn.XLOOKUP(EarningsPerDay[[#This Row],[Date]],Mileage[Date],Mileage[Mileage])</f>
        <v>167</v>
      </c>
      <c r="O734" s="4">
        <f>SUMIF(Combined[Date],EarningsPerDay[[#This Row],[Date]],Combined[Trips])</f>
        <v>12</v>
      </c>
      <c r="P734">
        <f>COUNTIF(Combined[Date],EarningsPerDay[[#This Row],[Date]])</f>
        <v>2</v>
      </c>
      <c r="Q73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34" s="11">
        <f>SUMIF(Combined[Date],EarningsPerDay[[#This Row],[Date]],Combined[Earnings])</f>
        <v>160.48000000000002</v>
      </c>
      <c r="S734" s="11">
        <f ca="1">EarningsPerDay[[#This Row],[Gross Earnings]]-(EarningsPerDay[[#This Row],[Miles]]*CpM!$D$11)</f>
        <v>123.24349353107661</v>
      </c>
      <c r="T734" s="11">
        <f t="shared" si="95"/>
        <v>23.530791788856305</v>
      </c>
      <c r="U734" s="11">
        <f t="shared" ca="1" si="96"/>
        <v>18.070893479630001</v>
      </c>
      <c r="V734" s="11">
        <f>EarningsPerDay[[#This Row],[Gross Earnings]]/EarningsPerDay[[#This Row],[Deliveries]]</f>
        <v>13.373333333333335</v>
      </c>
      <c r="W734" s="11">
        <f>EarningsPerDay[[#This Row],[Gross Earnings]]/EarningsPerDay[[#This Row],[Miles]]</f>
        <v>0.96095808383233539</v>
      </c>
      <c r="X734" s="71">
        <f>EarningsPerDay[[#This Row],[Deliveries]]/EarningsPerDay[[#This Row],[Hours]]</f>
        <v>1.7595307917888563</v>
      </c>
      <c r="Y734" s="71">
        <f>EarningsPerDay[[#This Row],[Miles]]/EarningsPerDay[[#This Row],[Deliveries]]</f>
        <v>13.916666666666666</v>
      </c>
      <c r="Z734" s="81">
        <f>(EarningsPerDay[[#This Row],[Hours]]/EarningsPerDay[[#This Row],[Deliveries]])/24</f>
        <v>2.3680555555555555E-2</v>
      </c>
      <c r="AA7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0.11955869589213464</v>
      </c>
      <c r="AB734" s="11">
        <f>AVERAGEIFS(EarningsPerDay[Gross $/Hour],EarningsPerDay[Week '#], EarningsPerDay[[#This Row],[Week '#]], EarningsPerDay[DOW], EarningsPerDay[[#This Row],[DOW]])</f>
        <v>20.552091321007818</v>
      </c>
      <c r="AC734" s="11">
        <f>EarningsPerDay[[#This Row],[Gross $/Hour]] - EarningsPerDay[[#This Row],[Weekly Average Earnings]]</f>
        <v>2.978700467848487</v>
      </c>
      <c r="AD734" s="11">
        <f>(SUMIFS(EarningsPerDay[Gross Earnings], EarningsPerDay[Date],"&gt;="&amp;EarningsPerDay[[#This Row],[Date]]-89, EarningsPerDay[Date], "&lt;="&amp;EarningsPerDay[[#This Row],[Date]]))/90</f>
        <v>70.495777777777803</v>
      </c>
    </row>
    <row r="735" spans="2:30" x14ac:dyDescent="0.35">
      <c r="B735" s="40">
        <v>45821</v>
      </c>
      <c r="C735" s="40">
        <f t="shared" si="92"/>
        <v>45821</v>
      </c>
      <c r="D735" s="4">
        <f>IF(EarningsPerDay[[#This Row],[Week '#]]&gt;=52,YEAR(EarningsPerDay[[#This Row],[Date]])-1,YEAR(EarningsPerDay[[#This Row],[Date]]))</f>
        <v>2025</v>
      </c>
      <c r="E735" s="4" t="str">
        <f>"QTR"&amp;IF(EarningsPerDay[[#This Row],[Week '#]] &lt;= 13, 1, IF(EarningsPerDay[[#This Row],[Week '#]] &lt;= 26, 2, IF(EarningsPerDay[[#This Row],[Week '#]] &lt;= 39, 3, 4)))</f>
        <v>QTR2</v>
      </c>
      <c r="F7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35" s="4">
        <f>IF(WEEKNUM(EarningsPerDay[[#This Row],[Date]], 2) = 53, 1, WEEKNUM(EarningsPerDay[[#This Row],[Date]],2))</f>
        <v>24</v>
      </c>
      <c r="H735" s="40" t="str">
        <f t="shared" si="100"/>
        <v>Friday</v>
      </c>
      <c r="I73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35" s="40" t="str" cm="1">
        <f t="array" ref="J735">IFERROR(VLOOKUP(MODE(IF(Combined[Date]=EarningsPerDay[[#This Row],[Date]],Combined[Area '#])),KPIs!$B$4:$C$7,2,FALSE),VLOOKUP(EarningsPerDay[[#This Row],[Date]],Combined[[Date]:[Primary Area]],8,FALSE))</f>
        <v>Lewiston</v>
      </c>
      <c r="K735" s="40" t="str">
        <f>_xlfn.XLOOKUP(EarningsPerDay[[#This Row],[Date]],Mileage[Date],Mileage[Weather])</f>
        <v>Clear</v>
      </c>
      <c r="L735" s="4">
        <f>_xlfn.XLOOKUP(EarningsPerDay[[#This Row],[Date]],Mileage[Date],Mileage[Hi Temp])</f>
        <v>68</v>
      </c>
      <c r="M735" s="12">
        <f>_xlfn.XLOOKUP(EarningsPerDay[[#This Row],[Date]],Mileage[Date],Mileage[Total Time])</f>
        <v>3.93</v>
      </c>
      <c r="N735" s="4">
        <f>_xlfn.XLOOKUP(EarningsPerDay[[#This Row],[Date]],Mileage[Date],Mileage[Mileage])</f>
        <v>64</v>
      </c>
      <c r="O735" s="4">
        <f>SUMIF(Combined[Date],EarningsPerDay[[#This Row],[Date]],Combined[Trips])</f>
        <v>6</v>
      </c>
      <c r="P735">
        <f>COUNTIF(Combined[Date],EarningsPerDay[[#This Row],[Date]])</f>
        <v>2</v>
      </c>
      <c r="Q73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35" s="11">
        <f>SUMIF(Combined[Date],EarningsPerDay[[#This Row],[Date]],Combined[Earnings])</f>
        <v>108.13000000000001</v>
      </c>
      <c r="S735" s="11">
        <f ca="1">EarningsPerDay[[#This Row],[Gross Earnings]]-(EarningsPerDay[[#This Row],[Miles]]*CpM!$D$11)</f>
        <v>93.859722071789847</v>
      </c>
      <c r="T735" s="11">
        <f t="shared" si="95"/>
        <v>27.513994910941477</v>
      </c>
      <c r="U735" s="11">
        <f t="shared" ca="1" si="96"/>
        <v>23.88288093429767</v>
      </c>
      <c r="V735" s="11">
        <f>EarningsPerDay[[#This Row],[Gross Earnings]]/EarningsPerDay[[#This Row],[Deliveries]]</f>
        <v>18.021666666666668</v>
      </c>
      <c r="W735" s="11">
        <f>EarningsPerDay[[#This Row],[Gross Earnings]]/EarningsPerDay[[#This Row],[Miles]]</f>
        <v>1.6895312500000002</v>
      </c>
      <c r="X735" s="71">
        <f>EarningsPerDay[[#This Row],[Deliveries]]/EarningsPerDay[[#This Row],[Hours]]</f>
        <v>1.5267175572519083</v>
      </c>
      <c r="Y735" s="71">
        <f>EarningsPerDay[[#This Row],[Miles]]/EarningsPerDay[[#This Row],[Deliveries]]</f>
        <v>10.666666666666666</v>
      </c>
      <c r="Z735" s="81">
        <f>(EarningsPerDay[[#This Row],[Hours]]/EarningsPerDay[[#This Row],[Deliveries]])/24</f>
        <v>2.7291666666666669E-2</v>
      </c>
      <c r="AA7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9.1458786049487699</v>
      </c>
      <c r="AB735" s="11">
        <f>AVERAGEIFS(EarningsPerDay[Gross $/Hour],EarningsPerDay[Week '#], EarningsPerDay[[#This Row],[Week '#]], EarningsPerDay[DOW], EarningsPerDay[[#This Row],[DOW]])</f>
        <v>23.104506448136657</v>
      </c>
      <c r="AC735" s="11">
        <f>EarningsPerDay[[#This Row],[Gross $/Hour]] - EarningsPerDay[[#This Row],[Weekly Average Earnings]]</f>
        <v>4.4094884628048199</v>
      </c>
      <c r="AD735" s="11">
        <f>(SUMIFS(EarningsPerDay[Gross Earnings], EarningsPerDay[Date],"&gt;="&amp;EarningsPerDay[[#This Row],[Date]]-89, EarningsPerDay[Date], "&lt;="&amp;EarningsPerDay[[#This Row],[Date]]))/90</f>
        <v>71.697222222222251</v>
      </c>
    </row>
    <row r="736" spans="2:30" x14ac:dyDescent="0.35">
      <c r="B736" s="40">
        <v>45824</v>
      </c>
      <c r="C736" s="40">
        <f t="shared" si="92"/>
        <v>45824</v>
      </c>
      <c r="D736" s="4">
        <f>IF(EarningsPerDay[[#This Row],[Week '#]]&gt;=52,YEAR(EarningsPerDay[[#This Row],[Date]])-1,YEAR(EarningsPerDay[[#This Row],[Date]]))</f>
        <v>2025</v>
      </c>
      <c r="E736" s="4" t="str">
        <f>"QTR"&amp;IF(EarningsPerDay[[#This Row],[Week '#]] &lt;= 13, 1, IF(EarningsPerDay[[#This Row],[Week '#]] &lt;= 26, 2, IF(EarningsPerDay[[#This Row],[Week '#]] &lt;= 39, 3, 4)))</f>
        <v>QTR2</v>
      </c>
      <c r="F7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36" s="4">
        <f>IF(WEEKNUM(EarningsPerDay[[#This Row],[Date]], 2) = 53, 1, WEEKNUM(EarningsPerDay[[#This Row],[Date]],2))</f>
        <v>25</v>
      </c>
      <c r="H736" s="40" t="str">
        <f t="shared" si="100"/>
        <v>Monday</v>
      </c>
      <c r="I736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36" s="40" t="str" cm="1">
        <f t="array" ref="J736">IFERROR(VLOOKUP(MODE(IF(Combined[Date]=EarningsPerDay[[#This Row],[Date]],Combined[Area '#])),KPIs!$B$4:$C$7,2,FALSE),VLOOKUP(EarningsPerDay[[#This Row],[Date]],Combined[[Date]:[Primary Area]],8,FALSE))</f>
        <v>Brunswick/Bath/Freeport</v>
      </c>
      <c r="K736" s="40" t="str">
        <f>_xlfn.XLOOKUP(EarningsPerDay[[#This Row],[Date]],Mileage[Date],Mileage[Weather])</f>
        <v>Sunny</v>
      </c>
      <c r="L736" s="4">
        <f>_xlfn.XLOOKUP(EarningsPerDay[[#This Row],[Date]],Mileage[Date],Mileage[Hi Temp])</f>
        <v>66</v>
      </c>
      <c r="M736" s="12">
        <f>_xlfn.XLOOKUP(EarningsPerDay[[#This Row],[Date]],Mileage[Date],Mileage[Total Time])</f>
        <v>5.23</v>
      </c>
      <c r="N736" s="4">
        <f>_xlfn.XLOOKUP(EarningsPerDay[[#This Row],[Date]],Mileage[Date],Mileage[Mileage])</f>
        <v>131</v>
      </c>
      <c r="O736" s="4">
        <f>SUMIF(Combined[Date],EarningsPerDay[[#This Row],[Date]],Combined[Trips])</f>
        <v>9</v>
      </c>
      <c r="P736">
        <f>COUNTIF(Combined[Date],EarningsPerDay[[#This Row],[Date]])</f>
        <v>3</v>
      </c>
      <c r="Q7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6" s="11">
        <f>SUMIF(Combined[Date],EarningsPerDay[[#This Row],[Date]],Combined[Earnings])</f>
        <v>118.6</v>
      </c>
      <c r="S736" s="11">
        <f ca="1">EarningsPerDay[[#This Row],[Gross Earnings]]-(EarningsPerDay[[#This Row],[Miles]]*CpM!$D$11)</f>
        <v>89.390524865694815</v>
      </c>
      <c r="T736" s="11">
        <f t="shared" si="95"/>
        <v>22.676864244741871</v>
      </c>
      <c r="U736" s="11">
        <f t="shared" ca="1" si="96"/>
        <v>17.091878559406272</v>
      </c>
      <c r="V736" s="11">
        <f>EarningsPerDay[[#This Row],[Gross Earnings]]/EarningsPerDay[[#This Row],[Deliveries]]</f>
        <v>13.177777777777777</v>
      </c>
      <c r="W736" s="11">
        <f>EarningsPerDay[[#This Row],[Gross Earnings]]/EarningsPerDay[[#This Row],[Miles]]</f>
        <v>0.90534351145038161</v>
      </c>
      <c r="X736" s="71">
        <f>EarningsPerDay[[#This Row],[Deliveries]]/EarningsPerDay[[#This Row],[Hours]]</f>
        <v>1.7208413001912044</v>
      </c>
      <c r="Y736" s="71">
        <f>EarningsPerDay[[#This Row],[Miles]]/EarningsPerDay[[#This Row],[Deliveries]]</f>
        <v>14.555555555555555</v>
      </c>
      <c r="Z736" s="81">
        <f>(EarningsPerDay[[#This Row],[Hours]]/EarningsPerDay[[#This Row],[Deliveries]])/24</f>
        <v>2.4212962962962964E-2</v>
      </c>
      <c r="AA7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1.1218114948262112</v>
      </c>
      <c r="AB736" s="11">
        <f>AVERAGEIFS(EarningsPerDay[Gross $/Hour],EarningsPerDay[Week '#], EarningsPerDay[[#This Row],[Week '#]], EarningsPerDay[DOW], EarningsPerDay[[#This Row],[DOW]])</f>
        <v>19.273030658110066</v>
      </c>
      <c r="AC736" s="11">
        <f>EarningsPerDay[[#This Row],[Gross $/Hour]] - EarningsPerDay[[#This Row],[Weekly Average Earnings]]</f>
        <v>3.403833586631805</v>
      </c>
      <c r="AD736" s="11">
        <f>(SUMIFS(EarningsPerDay[Gross Earnings], EarningsPerDay[Date],"&gt;="&amp;EarningsPerDay[[#This Row],[Date]]-89, EarningsPerDay[Date], "&lt;="&amp;EarningsPerDay[[#This Row],[Date]]))/90</f>
        <v>68.13822222222224</v>
      </c>
    </row>
    <row r="737" spans="2:30" x14ac:dyDescent="0.35">
      <c r="B737" s="40">
        <v>45827</v>
      </c>
      <c r="C737" s="40">
        <f t="shared" si="92"/>
        <v>45827</v>
      </c>
      <c r="D737" s="4">
        <f>IF(EarningsPerDay[[#This Row],[Week '#]]&gt;=52,YEAR(EarningsPerDay[[#This Row],[Date]])-1,YEAR(EarningsPerDay[[#This Row],[Date]]))</f>
        <v>2025</v>
      </c>
      <c r="E737" s="4" t="str">
        <f>"QTR"&amp;IF(EarningsPerDay[[#This Row],[Week '#]] &lt;= 13, 1, IF(EarningsPerDay[[#This Row],[Week '#]] &lt;= 26, 2, IF(EarningsPerDay[[#This Row],[Week '#]] &lt;= 39, 3, 4)))</f>
        <v>QTR2</v>
      </c>
      <c r="F7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37" s="4">
        <f>IF(WEEKNUM(EarningsPerDay[[#This Row],[Date]], 2) = 53, 1, WEEKNUM(EarningsPerDay[[#This Row],[Date]],2))</f>
        <v>25</v>
      </c>
      <c r="H737" s="40" t="str">
        <f t="shared" si="100"/>
        <v>Thursday</v>
      </c>
      <c r="I73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37" s="40" t="str" cm="1">
        <f t="array" ref="J737">IFERROR(VLOOKUP(MODE(IF(Combined[Date]=EarningsPerDay[[#This Row],[Date]],Combined[Area '#])),KPIs!$B$4:$C$7,2,FALSE),VLOOKUP(EarningsPerDay[[#This Row],[Date]],Combined[[Date]:[Primary Area]],8,FALSE))</f>
        <v>Augusta</v>
      </c>
      <c r="K737" s="40" t="str">
        <f>_xlfn.XLOOKUP(EarningsPerDay[[#This Row],[Date]],Mileage[Date],Mileage[Weather])</f>
        <v>Sunny</v>
      </c>
      <c r="L737" s="4">
        <f>_xlfn.XLOOKUP(EarningsPerDay[[#This Row],[Date]],Mileage[Date],Mileage[Hi Temp])</f>
        <v>73</v>
      </c>
      <c r="M737" s="12">
        <f>_xlfn.XLOOKUP(EarningsPerDay[[#This Row],[Date]],Mileage[Date],Mileage[Total Time])</f>
        <v>3.12</v>
      </c>
      <c r="N737" s="4">
        <f>_xlfn.XLOOKUP(EarningsPerDay[[#This Row],[Date]],Mileage[Date],Mileage[Mileage])</f>
        <v>86</v>
      </c>
      <c r="O737" s="4">
        <f>SUMIF(Combined[Date],EarningsPerDay[[#This Row],[Date]],Combined[Trips])</f>
        <v>5</v>
      </c>
      <c r="P737">
        <f>COUNTIF(Combined[Date],EarningsPerDay[[#This Row],[Date]])</f>
        <v>2</v>
      </c>
      <c r="Q7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7" s="11">
        <f>SUMIF(Combined[Date],EarningsPerDay[[#This Row],[Date]],Combined[Earnings])</f>
        <v>42.34</v>
      </c>
      <c r="S737" s="11">
        <f ca="1">EarningsPerDay[[#This Row],[Gross Earnings]]-(EarningsPerDay[[#This Row],[Miles]]*CpM!$D$11)</f>
        <v>23.164314033967596</v>
      </c>
      <c r="T737" s="11">
        <f t="shared" si="95"/>
        <v>13.570512820512821</v>
      </c>
      <c r="U737" s="11">
        <f t="shared" ca="1" si="96"/>
        <v>7.4244596262716653</v>
      </c>
      <c r="V737" s="11">
        <f>EarningsPerDay[[#This Row],[Gross Earnings]]/EarningsPerDay[[#This Row],[Deliveries]]</f>
        <v>8.468</v>
      </c>
      <c r="W737" s="11">
        <f>EarningsPerDay[[#This Row],[Gross Earnings]]/EarningsPerDay[[#This Row],[Miles]]</f>
        <v>0.49232558139534888</v>
      </c>
      <c r="X737" s="71">
        <f>EarningsPerDay[[#This Row],[Deliveries]]/EarningsPerDay[[#This Row],[Hours]]</f>
        <v>1.6025641025641024</v>
      </c>
      <c r="Y737" s="71">
        <f>EarningsPerDay[[#This Row],[Miles]]/EarningsPerDay[[#This Row],[Deliveries]]</f>
        <v>17.2</v>
      </c>
      <c r="Z737" s="81">
        <f>(EarningsPerDay[[#This Row],[Hours]]/EarningsPerDay[[#This Row],[Deliveries]])/24</f>
        <v>2.5999999999999999E-2</v>
      </c>
      <c r="AA7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-3.9953717948717937</v>
      </c>
      <c r="AB737" s="11">
        <f>AVERAGEIFS(EarningsPerDay[Gross $/Hour],EarningsPerDay[Week '#], EarningsPerDay[[#This Row],[Week '#]], EarningsPerDay[DOW], EarningsPerDay[[#This Row],[DOW]])</f>
        <v>19.1731951408422</v>
      </c>
      <c r="AC737" s="11">
        <f>EarningsPerDay[[#This Row],[Gross $/Hour]] - EarningsPerDay[[#This Row],[Weekly Average Earnings]]</f>
        <v>-5.6026823203293787</v>
      </c>
      <c r="AD737" s="11">
        <f>(SUMIFS(EarningsPerDay[Gross Earnings], EarningsPerDay[Date],"&gt;="&amp;EarningsPerDay[[#This Row],[Date]]-89, EarningsPerDay[Date], "&lt;="&amp;EarningsPerDay[[#This Row],[Date]]))/90</f>
        <v>65.883555555555574</v>
      </c>
    </row>
    <row r="738" spans="2:30" x14ac:dyDescent="0.35">
      <c r="B738" s="40">
        <v>45829</v>
      </c>
      <c r="C738" s="40">
        <f t="shared" si="92"/>
        <v>45829</v>
      </c>
      <c r="D738" s="4">
        <f>IF(EarningsPerDay[[#This Row],[Week '#]]&gt;=52,YEAR(EarningsPerDay[[#This Row],[Date]])-1,YEAR(EarningsPerDay[[#This Row],[Date]]))</f>
        <v>2025</v>
      </c>
      <c r="E738" s="4" t="str">
        <f>"QTR"&amp;IF(EarningsPerDay[[#This Row],[Week '#]] &lt;= 13, 1, IF(EarningsPerDay[[#This Row],[Week '#]] &lt;= 26, 2, IF(EarningsPerDay[[#This Row],[Week '#]] &lt;= 39, 3, 4)))</f>
        <v>QTR2</v>
      </c>
      <c r="F7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38" s="4">
        <f>IF(WEEKNUM(EarningsPerDay[[#This Row],[Date]], 2) = 53, 1, WEEKNUM(EarningsPerDay[[#This Row],[Date]],2))</f>
        <v>25</v>
      </c>
      <c r="H738" s="40" t="str">
        <f t="shared" si="100"/>
        <v>Saturday</v>
      </c>
      <c r="I738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738" s="40" t="str" cm="1">
        <f t="array" ref="J738">IFERROR(VLOOKUP(MODE(IF(Combined[Date]=EarningsPerDay[[#This Row],[Date]],Combined[Area '#])),KPIs!$B$4:$C$7,2,FALSE),VLOOKUP(EarningsPerDay[[#This Row],[Date]],Combined[[Date]:[Primary Area]],8,FALSE))</f>
        <v>Brunswick/Bath/Freeport</v>
      </c>
      <c r="K738" s="40" t="str">
        <f>_xlfn.XLOOKUP(EarningsPerDay[[#This Row],[Date]],Mileage[Date],Mileage[Weather])</f>
        <v>Clear</v>
      </c>
      <c r="L738" s="4">
        <f>_xlfn.XLOOKUP(EarningsPerDay[[#This Row],[Date]],Mileage[Date],Mileage[Hi Temp])</f>
        <v>81</v>
      </c>
      <c r="M738" s="12">
        <f>_xlfn.XLOOKUP(EarningsPerDay[[#This Row],[Date]],Mileage[Date],Mileage[Total Time])</f>
        <v>7.63</v>
      </c>
      <c r="N738" s="4">
        <f>_xlfn.XLOOKUP(EarningsPerDay[[#This Row],[Date]],Mileage[Date],Mileage[Mileage])</f>
        <v>174</v>
      </c>
      <c r="O738" s="4">
        <f>SUMIF(Combined[Date],EarningsPerDay[[#This Row],[Date]],Combined[Trips])</f>
        <v>13</v>
      </c>
      <c r="P738">
        <f>COUNTIF(Combined[Date],EarningsPerDay[[#This Row],[Date]])</f>
        <v>2</v>
      </c>
      <c r="Q7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8" s="11">
        <f>SUMIF(Combined[Date],EarningsPerDay[[#This Row],[Date]],Combined[Earnings])</f>
        <v>185.62</v>
      </c>
      <c r="S738" s="11">
        <f ca="1">EarningsPerDay[[#This Row],[Gross Earnings]]-(EarningsPerDay[[#This Row],[Miles]]*CpM!$D$11)</f>
        <v>146.82268188267861</v>
      </c>
      <c r="T738" s="11">
        <f t="shared" si="95"/>
        <v>24.327653997378768</v>
      </c>
      <c r="U738" s="11">
        <f t="shared" ca="1" si="96"/>
        <v>19.242815449892348</v>
      </c>
      <c r="V738" s="11">
        <f>EarningsPerDay[[#This Row],[Gross Earnings]]/EarningsPerDay[[#This Row],[Deliveries]]</f>
        <v>14.278461538461539</v>
      </c>
      <c r="W738" s="11">
        <f>EarningsPerDay[[#This Row],[Gross Earnings]]/EarningsPerDay[[#This Row],[Miles]]</f>
        <v>1.0667816091954023</v>
      </c>
      <c r="X738" s="71">
        <f>EarningsPerDay[[#This Row],[Deliveries]]/EarningsPerDay[[#This Row],[Hours]]</f>
        <v>1.7038007863695936</v>
      </c>
      <c r="Y738" s="71">
        <f>EarningsPerDay[[#This Row],[Miles]]/EarningsPerDay[[#This Row],[Deliveries]]</f>
        <v>13.384615384615385</v>
      </c>
      <c r="Z738" s="81">
        <f>(EarningsPerDay[[#This Row],[Hours]]/EarningsPerDay[[#This Row],[Deliveries]])/24</f>
        <v>2.4455128205128202E-2</v>
      </c>
      <c r="AA7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-0.87553627697461067</v>
      </c>
      <c r="AB738" s="11">
        <f>AVERAGEIFS(EarningsPerDay[Gross $/Hour],EarningsPerDay[Week '#], EarningsPerDay[[#This Row],[Week '#]], EarningsPerDay[DOW], EarningsPerDay[[#This Row],[DOW]])</f>
        <v>22.879063937501609</v>
      </c>
      <c r="AC738" s="11">
        <f>EarningsPerDay[[#This Row],[Gross $/Hour]] - EarningsPerDay[[#This Row],[Weekly Average Earnings]]</f>
        <v>1.4485900598771586</v>
      </c>
      <c r="AD738" s="11">
        <f>(SUMIFS(EarningsPerDay[Gross Earnings], EarningsPerDay[Date],"&gt;="&amp;EarningsPerDay[[#This Row],[Date]]-89, EarningsPerDay[Date], "&lt;="&amp;EarningsPerDay[[#This Row],[Date]]))/90</f>
        <v>66.311666666666682</v>
      </c>
    </row>
    <row r="739" spans="2:30" x14ac:dyDescent="0.35">
      <c r="B739" s="40">
        <v>45830</v>
      </c>
      <c r="C739" s="40">
        <f t="shared" si="92"/>
        <v>45830</v>
      </c>
      <c r="D739" s="4">
        <f>IF(EarningsPerDay[[#This Row],[Week '#]]&gt;=52,YEAR(EarningsPerDay[[#This Row],[Date]])-1,YEAR(EarningsPerDay[[#This Row],[Date]]))</f>
        <v>2025</v>
      </c>
      <c r="E739" s="4" t="str">
        <f>"QTR"&amp;IF(EarningsPerDay[[#This Row],[Week '#]] &lt;= 13, 1, IF(EarningsPerDay[[#This Row],[Week '#]] &lt;= 26, 2, IF(EarningsPerDay[[#This Row],[Week '#]] &lt;= 39, 3, 4)))</f>
        <v>QTR2</v>
      </c>
      <c r="F7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39" s="4">
        <f>IF(WEEKNUM(EarningsPerDay[[#This Row],[Date]], 2) = 53, 1, WEEKNUM(EarningsPerDay[[#This Row],[Date]],2))</f>
        <v>25</v>
      </c>
      <c r="H739" s="40" t="str">
        <f t="shared" si="100"/>
        <v>Sunday</v>
      </c>
      <c r="I739" s="106">
        <f>IF(_xlfn.XLOOKUP(EarningsPerDay[[#This Row],[Date]],Mileage[Date],Mileage[Start Time])="","",MROUND(_xlfn.XLOOKUP(EarningsPerDay[[#This Row],[Date]],Mileage[Date],Mileage[Start Time]),0.0208333333333333))</f>
        <v>0.49999999999999922</v>
      </c>
      <c r="J739" s="40" t="str" cm="1">
        <f t="array" ref="J739">IFERROR(VLOOKUP(MODE(IF(Combined[Date]=EarningsPerDay[[#This Row],[Date]],Combined[Area '#])),KPIs!$B$4:$C$7,2,FALSE),VLOOKUP(EarningsPerDay[[#This Row],[Date]],Combined[[Date]:[Primary Area]],8,FALSE))</f>
        <v>Brunswick/Bath/Freeport</v>
      </c>
      <c r="K739" s="40" t="str">
        <f>_xlfn.XLOOKUP(EarningsPerDay[[#This Row],[Date]],Mileage[Date],Mileage[Weather])</f>
        <v>Overcast</v>
      </c>
      <c r="L739" s="4">
        <f>_xlfn.XLOOKUP(EarningsPerDay[[#This Row],[Date]],Mileage[Date],Mileage[Hi Temp])</f>
        <v>84</v>
      </c>
      <c r="M739" s="12">
        <f>_xlfn.XLOOKUP(EarningsPerDay[[#This Row],[Date]],Mileage[Date],Mileage[Total Time])</f>
        <v>5.0199999999999996</v>
      </c>
      <c r="N739" s="4">
        <f>_xlfn.XLOOKUP(EarningsPerDay[[#This Row],[Date]],Mileage[Date],Mileage[Mileage])</f>
        <v>148</v>
      </c>
      <c r="O739" s="4">
        <f>SUMIF(Combined[Date],EarningsPerDay[[#This Row],[Date]],Combined[Trips])</f>
        <v>9</v>
      </c>
      <c r="P739">
        <f>COUNTIF(Combined[Date],EarningsPerDay[[#This Row],[Date]])</f>
        <v>2</v>
      </c>
      <c r="Q73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39" s="11">
        <f>SUMIF(Combined[Date],EarningsPerDay[[#This Row],[Date]],Combined[Earnings])</f>
        <v>85.88</v>
      </c>
      <c r="S739" s="11">
        <f ca="1">EarningsPerDay[[#This Row],[Gross Earnings]]-(EarningsPerDay[[#This Row],[Miles]]*CpM!$D$11)</f>
        <v>52.879982291013988</v>
      </c>
      <c r="T739" s="11">
        <f t="shared" si="95"/>
        <v>17.107569721115539</v>
      </c>
      <c r="U739" s="11">
        <f t="shared" ca="1" si="96"/>
        <v>10.533861014146213</v>
      </c>
      <c r="V739" s="11">
        <f>EarningsPerDay[[#This Row],[Gross Earnings]]/EarningsPerDay[[#This Row],[Deliveries]]</f>
        <v>9.5422222222222217</v>
      </c>
      <c r="W739" s="11">
        <f>EarningsPerDay[[#This Row],[Gross Earnings]]/EarningsPerDay[[#This Row],[Miles]]</f>
        <v>0.58027027027027023</v>
      </c>
      <c r="X739" s="71">
        <f>EarningsPerDay[[#This Row],[Deliveries]]/EarningsPerDay[[#This Row],[Hours]]</f>
        <v>1.7928286852589643</v>
      </c>
      <c r="Y739" s="71">
        <f>EarningsPerDay[[#This Row],[Miles]]/EarningsPerDay[[#This Row],[Deliveries]]</f>
        <v>16.444444444444443</v>
      </c>
      <c r="Z739" s="81">
        <f>(EarningsPerDay[[#This Row],[Hours]]/EarningsPerDay[[#This Row],[Deliveries]])/24</f>
        <v>2.3240740740740739E-2</v>
      </c>
      <c r="AA7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-4.8915829167397398</v>
      </c>
      <c r="AB739" s="11">
        <f>AVERAGEIFS(EarningsPerDay[Gross $/Hour],EarningsPerDay[Week '#], EarningsPerDay[[#This Row],[Week '#]], EarningsPerDay[DOW], EarningsPerDay[[#This Row],[DOW]])</f>
        <v>24.167933971299817</v>
      </c>
      <c r="AC739" s="11">
        <f>EarningsPerDay[[#This Row],[Gross $/Hour]] - EarningsPerDay[[#This Row],[Weekly Average Earnings]]</f>
        <v>-7.0603642501842785</v>
      </c>
      <c r="AD739" s="11">
        <f>(SUMIFS(EarningsPerDay[Gross Earnings], EarningsPerDay[Date],"&gt;="&amp;EarningsPerDay[[#This Row],[Date]]-89, EarningsPerDay[Date], "&lt;="&amp;EarningsPerDay[[#This Row],[Date]]))/90</f>
        <v>66.059888888888906</v>
      </c>
    </row>
    <row r="740" spans="2:30" x14ac:dyDescent="0.35">
      <c r="B740" s="40">
        <v>45831</v>
      </c>
      <c r="C740" s="40">
        <f t="shared" si="92"/>
        <v>45831</v>
      </c>
      <c r="D740" s="4">
        <f>IF(EarningsPerDay[[#This Row],[Week '#]]&gt;=52,YEAR(EarningsPerDay[[#This Row],[Date]])-1,YEAR(EarningsPerDay[[#This Row],[Date]]))</f>
        <v>2025</v>
      </c>
      <c r="E740" s="4" t="str">
        <f>"QTR"&amp;IF(EarningsPerDay[[#This Row],[Week '#]] &lt;= 13, 1, IF(EarningsPerDay[[#This Row],[Week '#]] &lt;= 26, 2, IF(EarningsPerDay[[#This Row],[Week '#]] &lt;= 39, 3, 4)))</f>
        <v>QTR2</v>
      </c>
      <c r="F7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0" s="4">
        <f>IF(WEEKNUM(EarningsPerDay[[#This Row],[Date]], 2) = 53, 1, WEEKNUM(EarningsPerDay[[#This Row],[Date]],2))</f>
        <v>26</v>
      </c>
      <c r="H740" s="40" t="str">
        <f t="shared" si="100"/>
        <v>Monday</v>
      </c>
      <c r="I740" s="106">
        <f>IF(_xlfn.XLOOKUP(EarningsPerDay[[#This Row],[Date]],Mileage[Date],Mileage[Start Time])="","",MROUND(_xlfn.XLOOKUP(EarningsPerDay[[#This Row],[Date]],Mileage[Date],Mileage[Start Time]),0.0208333333333333))</f>
        <v>0.8541666666666653</v>
      </c>
      <c r="J740" s="40" t="str" cm="1">
        <f t="array" ref="J740">IFERROR(VLOOKUP(MODE(IF(Combined[Date]=EarningsPerDay[[#This Row],[Date]],Combined[Area '#])),KPIs!$B$4:$C$7,2,FALSE),VLOOKUP(EarningsPerDay[[#This Row],[Date]],Combined[[Date]:[Primary Area]],8,FALSE))</f>
        <v>Brunswick/Bath/Freeport</v>
      </c>
      <c r="K740" s="40" t="str">
        <f>_xlfn.XLOOKUP(EarningsPerDay[[#This Row],[Date]],Mileage[Date],Mileage[Weather])</f>
        <v>Clear</v>
      </c>
      <c r="L740" s="4">
        <f>_xlfn.XLOOKUP(EarningsPerDay[[#This Row],[Date]],Mileage[Date],Mileage[Hi Temp])</f>
        <v>81</v>
      </c>
      <c r="M740" s="12">
        <f>_xlfn.XLOOKUP(EarningsPerDay[[#This Row],[Date]],Mileage[Date],Mileage[Total Time])</f>
        <v>4.63</v>
      </c>
      <c r="N740" s="4">
        <f>_xlfn.XLOOKUP(EarningsPerDay[[#This Row],[Date]],Mileage[Date],Mileage[Mileage])</f>
        <v>129</v>
      </c>
      <c r="O740" s="4">
        <f>SUMIF(Combined[Date],EarningsPerDay[[#This Row],[Date]],Combined[Trips])</f>
        <v>7</v>
      </c>
      <c r="P740">
        <f>COUNTIF(Combined[Date],EarningsPerDay[[#This Row],[Date]])</f>
        <v>2</v>
      </c>
      <c r="Q7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40" s="11">
        <f>SUMIF(Combined[Date],EarningsPerDay[[#This Row],[Date]],Combined[Earnings])</f>
        <v>77.539999999999992</v>
      </c>
      <c r="S740" s="11">
        <f ca="1">EarningsPerDay[[#This Row],[Gross Earnings]]-(EarningsPerDay[[#This Row],[Miles]]*CpM!$D$11)</f>
        <v>48.776471050951379</v>
      </c>
      <c r="T740" s="11">
        <f t="shared" si="95"/>
        <v>16.747300215982719</v>
      </c>
      <c r="U740" s="11">
        <f t="shared" ca="1" si="96"/>
        <v>10.534874957008938</v>
      </c>
      <c r="V740" s="11">
        <f>EarningsPerDay[[#This Row],[Gross Earnings]]/EarningsPerDay[[#This Row],[Deliveries]]</f>
        <v>11.077142857142857</v>
      </c>
      <c r="W740" s="11">
        <f>EarningsPerDay[[#This Row],[Gross Earnings]]/EarningsPerDay[[#This Row],[Miles]]</f>
        <v>0.60108527131782941</v>
      </c>
      <c r="X740" s="71">
        <f>EarningsPerDay[[#This Row],[Deliveries]]/EarningsPerDay[[#This Row],[Hours]]</f>
        <v>1.5118790496760259</v>
      </c>
      <c r="Y740" s="71">
        <f>EarningsPerDay[[#This Row],[Miles]]/EarningsPerDay[[#This Row],[Deliveries]]</f>
        <v>18.428571428571427</v>
      </c>
      <c r="Z740" s="81">
        <f>(EarningsPerDay[[#This Row],[Hours]]/EarningsPerDay[[#This Row],[Deliveries]])/24</f>
        <v>2.7559523809523808E-2</v>
      </c>
      <c r="AA7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-4.877865752359579</v>
      </c>
      <c r="AB740" s="11">
        <f>AVERAGEIFS(EarningsPerDay[Gross $/Hour],EarningsPerDay[Week '#], EarningsPerDay[[#This Row],[Week '#]], EarningsPerDay[DOW], EarningsPerDay[[#This Row],[DOW]])</f>
        <v>16.747300215982719</v>
      </c>
      <c r="AC740" s="11">
        <f>EarningsPerDay[[#This Row],[Gross $/Hour]] - EarningsPerDay[[#This Row],[Weekly Average Earnings]]</f>
        <v>0</v>
      </c>
      <c r="AD740" s="11">
        <f>(SUMIFS(EarningsPerDay[Gross Earnings], EarningsPerDay[Date],"&gt;="&amp;EarningsPerDay[[#This Row],[Date]]-89, EarningsPerDay[Date], "&lt;="&amp;EarningsPerDay[[#This Row],[Date]]))/90</f>
        <v>66.351222222222248</v>
      </c>
    </row>
    <row r="741" spans="2:30" x14ac:dyDescent="0.35">
      <c r="B741" s="40">
        <v>45832</v>
      </c>
      <c r="C741" s="40">
        <f t="shared" si="92"/>
        <v>45832</v>
      </c>
      <c r="D741" s="4">
        <f>IF(EarningsPerDay[[#This Row],[Week '#]]&gt;=52,YEAR(EarningsPerDay[[#This Row],[Date]])-1,YEAR(EarningsPerDay[[#This Row],[Date]]))</f>
        <v>2025</v>
      </c>
      <c r="E741" s="4" t="str">
        <f>"QTR"&amp;IF(EarningsPerDay[[#This Row],[Week '#]] &lt;= 13, 1, IF(EarningsPerDay[[#This Row],[Week '#]] &lt;= 26, 2, IF(EarningsPerDay[[#This Row],[Week '#]] &lt;= 39, 3, 4)))</f>
        <v>QTR2</v>
      </c>
      <c r="F7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1" s="4">
        <f>IF(WEEKNUM(EarningsPerDay[[#This Row],[Date]], 2) = 53, 1, WEEKNUM(EarningsPerDay[[#This Row],[Date]],2))</f>
        <v>26</v>
      </c>
      <c r="H741" s="40" t="str">
        <f>TEXT(B741,"DDDD")</f>
        <v>Tuesday</v>
      </c>
      <c r="I741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41" s="40" t="str" cm="1">
        <f t="array" ref="J741">IFERROR(VLOOKUP(MODE(IF(Combined[Date]=EarningsPerDay[[#This Row],[Date]],Combined[Area '#])),KPIs!$B$4:$C$7,2,FALSE),VLOOKUP(EarningsPerDay[[#This Row],[Date]],Combined[[Date]:[Primary Area]],8,FALSE))</f>
        <v>Portland</v>
      </c>
      <c r="K741" s="40" t="str">
        <f>_xlfn.XLOOKUP(EarningsPerDay[[#This Row],[Date]],Mileage[Date],Mileage[Weather])</f>
        <v>Clear</v>
      </c>
      <c r="L741" s="4">
        <f>_xlfn.XLOOKUP(EarningsPerDay[[#This Row],[Date]],Mileage[Date],Mileage[Hi Temp])</f>
        <v>79</v>
      </c>
      <c r="M741" s="12">
        <f>_xlfn.XLOOKUP(EarningsPerDay[[#This Row],[Date]],Mileage[Date],Mileage[Total Time])</f>
        <v>5.53</v>
      </c>
      <c r="N741" s="4">
        <f>_xlfn.XLOOKUP(EarningsPerDay[[#This Row],[Date]],Mileage[Date],Mileage[Mileage])</f>
        <v>147</v>
      </c>
      <c r="O741" s="4">
        <f>SUMIF(Combined[Date],EarningsPerDay[[#This Row],[Date]],Combined[Trips])</f>
        <v>9</v>
      </c>
      <c r="P741">
        <f>COUNTIF(Combined[Date],EarningsPerDay[[#This Row],[Date]])</f>
        <v>1</v>
      </c>
      <c r="Q74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1" s="11">
        <f>SUMIF(Combined[Date],EarningsPerDay[[#This Row],[Date]],Combined[Earnings])</f>
        <v>132</v>
      </c>
      <c r="S741" s="11">
        <f ca="1">EarningsPerDay[[#This Row],[Gross Earnings]]-(EarningsPerDay[[#This Row],[Miles]]*CpM!$D$11)</f>
        <v>99.222955383642272</v>
      </c>
      <c r="T741" s="11">
        <f t="shared" si="95"/>
        <v>23.869801084990957</v>
      </c>
      <c r="U741" s="11">
        <f t="shared" ca="1" si="96"/>
        <v>17.942668242973287</v>
      </c>
      <c r="V741" s="11">
        <f>EarningsPerDay[[#This Row],[Gross Earnings]]/EarningsPerDay[[#This Row],[Deliveries]]</f>
        <v>14.666666666666666</v>
      </c>
      <c r="W741" s="11">
        <f>EarningsPerDay[[#This Row],[Gross Earnings]]/EarningsPerDay[[#This Row],[Miles]]</f>
        <v>0.89795918367346939</v>
      </c>
      <c r="X741" s="71">
        <f>EarningsPerDay[[#This Row],[Deliveries]]/EarningsPerDay[[#This Row],[Hours]]</f>
        <v>1.6274864376130198</v>
      </c>
      <c r="Y741" s="71">
        <f>EarningsPerDay[[#This Row],[Miles]]/EarningsPerDay[[#This Row],[Deliveries]]</f>
        <v>16.333333333333332</v>
      </c>
      <c r="Z741" s="81">
        <f>(EarningsPerDay[[#This Row],[Hours]]/EarningsPerDay[[#This Row],[Deliveries]])/24</f>
        <v>2.5601851851851851E-2</v>
      </c>
      <c r="AA7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3.757200548797929</v>
      </c>
      <c r="AB741" s="11">
        <f>AVERAGEIFS(EarningsPerDay[Gross $/Hour],EarningsPerDay[Week '#], EarningsPerDay[[#This Row],[Week '#]], EarningsPerDay[DOW], EarningsPerDay[[#This Row],[DOW]])</f>
        <v>20.492635020175374</v>
      </c>
      <c r="AC741" s="11">
        <f>EarningsPerDay[[#This Row],[Gross $/Hour]] - EarningsPerDay[[#This Row],[Weekly Average Earnings]]</f>
        <v>3.377166064815583</v>
      </c>
      <c r="AD741" s="11">
        <f>(SUMIFS(EarningsPerDay[Gross Earnings], EarningsPerDay[Date],"&gt;="&amp;EarningsPerDay[[#This Row],[Date]]-89, EarningsPerDay[Date], "&lt;="&amp;EarningsPerDay[[#This Row],[Date]]))/90</f>
        <v>67.817888888888916</v>
      </c>
    </row>
    <row r="742" spans="2:30" x14ac:dyDescent="0.35">
      <c r="B742" s="40">
        <v>45833</v>
      </c>
      <c r="C742" s="40">
        <f t="shared" si="92"/>
        <v>45833</v>
      </c>
      <c r="D742" s="4">
        <f>IF(EarningsPerDay[[#This Row],[Week '#]]&gt;=52,YEAR(EarningsPerDay[[#This Row],[Date]])-1,YEAR(EarningsPerDay[[#This Row],[Date]]))</f>
        <v>2025</v>
      </c>
      <c r="E742" s="4" t="str">
        <f>"QTR"&amp;IF(EarningsPerDay[[#This Row],[Week '#]] &lt;= 13, 1, IF(EarningsPerDay[[#This Row],[Week '#]] &lt;= 26, 2, IF(EarningsPerDay[[#This Row],[Week '#]] &lt;= 39, 3, 4)))</f>
        <v>QTR2</v>
      </c>
      <c r="F7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2" s="4">
        <f>IF(WEEKNUM(EarningsPerDay[[#This Row],[Date]], 2) = 53, 1, WEEKNUM(EarningsPerDay[[#This Row],[Date]],2))</f>
        <v>26</v>
      </c>
      <c r="H742" s="40" t="str">
        <f>TEXT(B742,"DDDD")</f>
        <v>Wednesday</v>
      </c>
      <c r="I742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742" s="40" t="str" cm="1">
        <f t="array" ref="J742">IFERROR(VLOOKUP(MODE(IF(Combined[Date]=EarningsPerDay[[#This Row],[Date]],Combined[Area '#])),KPIs!$B$4:$C$7,2,FALSE),VLOOKUP(EarningsPerDay[[#This Row],[Date]],Combined[[Date]:[Primary Area]],8,FALSE))</f>
        <v>Lewiston</v>
      </c>
      <c r="K742" s="40" t="str">
        <f>_xlfn.XLOOKUP(EarningsPerDay[[#This Row],[Date]],Mileage[Date],Mileage[Weather])</f>
        <v>Clear</v>
      </c>
      <c r="L742" s="4">
        <f>_xlfn.XLOOKUP(EarningsPerDay[[#This Row],[Date]],Mileage[Date],Mileage[Hi Temp])</f>
        <v>86</v>
      </c>
      <c r="M742" s="12">
        <f>_xlfn.XLOOKUP(EarningsPerDay[[#This Row],[Date]],Mileage[Date],Mileage[Total Time])</f>
        <v>3.52</v>
      </c>
      <c r="N742" s="4">
        <f>_xlfn.XLOOKUP(EarningsPerDay[[#This Row],[Date]],Mileage[Date],Mileage[Mileage])</f>
        <v>75</v>
      </c>
      <c r="O742" s="4">
        <f>SUMIF(Combined[Date],EarningsPerDay[[#This Row],[Date]],Combined[Trips])</f>
        <v>9</v>
      </c>
      <c r="P742">
        <f>COUNTIF(Combined[Date],EarningsPerDay[[#This Row],[Date]])</f>
        <v>2</v>
      </c>
      <c r="Q74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2" s="11">
        <f>SUMIF(Combined[Date],EarningsPerDay[[#This Row],[Date]],Combined[Earnings])</f>
        <v>76.5</v>
      </c>
      <c r="S742" s="11">
        <f ca="1">EarningsPerDay[[#This Row],[Gross Earnings]]-(EarningsPerDay[[#This Row],[Miles]]*CpM!$D$11)</f>
        <v>59.777018052878717</v>
      </c>
      <c r="T742" s="11">
        <f t="shared" si="95"/>
        <v>21.732954545454547</v>
      </c>
      <c r="U742" s="11">
        <f t="shared" ca="1" si="96"/>
        <v>16.982107401385999</v>
      </c>
      <c r="V742" s="11">
        <f>EarningsPerDay[[#This Row],[Gross Earnings]]/EarningsPerDay[[#This Row],[Deliveries]]</f>
        <v>8.5</v>
      </c>
      <c r="W742" s="11">
        <f>EarningsPerDay[[#This Row],[Gross Earnings]]/EarningsPerDay[[#This Row],[Miles]]</f>
        <v>1.02</v>
      </c>
      <c r="X742" s="71">
        <f>EarningsPerDay[[#This Row],[Deliveries]]/EarningsPerDay[[#This Row],[Hours]]</f>
        <v>2.5568181818181817</v>
      </c>
      <c r="Y742" s="71">
        <f>EarningsPerDay[[#This Row],[Miles]]/EarningsPerDay[[#This Row],[Deliveries]]</f>
        <v>8.3333333333333339</v>
      </c>
      <c r="Z742" s="81">
        <f>(EarningsPerDay[[#This Row],[Hours]]/EarningsPerDay[[#This Row],[Deliveries]])/24</f>
        <v>1.6296296296296298E-2</v>
      </c>
      <c r="AA7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2.4340722534434818</v>
      </c>
      <c r="AB742" s="11">
        <f>AVERAGEIFS(EarningsPerDay[Gross $/Hour],EarningsPerDay[Week '#], EarningsPerDay[[#This Row],[Week '#]], EarningsPerDay[DOW], EarningsPerDay[[#This Row],[DOW]])</f>
        <v>14.873473218905231</v>
      </c>
      <c r="AC742" s="11">
        <f>EarningsPerDay[[#This Row],[Gross $/Hour]] - EarningsPerDay[[#This Row],[Weekly Average Earnings]]</f>
        <v>6.8594813265493162</v>
      </c>
      <c r="AD742" s="11">
        <f>(SUMIFS(EarningsPerDay[Gross Earnings], EarningsPerDay[Date],"&gt;="&amp;EarningsPerDay[[#This Row],[Date]]-89, EarningsPerDay[Date], "&lt;="&amp;EarningsPerDay[[#This Row],[Date]]))/90</f>
        <v>68.667888888888911</v>
      </c>
    </row>
    <row r="743" spans="2:30" x14ac:dyDescent="0.35">
      <c r="B743" s="40">
        <v>45835</v>
      </c>
      <c r="C743" s="40">
        <f t="shared" si="92"/>
        <v>45835</v>
      </c>
      <c r="D743" s="4">
        <f>IF(EarningsPerDay[[#This Row],[Week '#]]&gt;=52,YEAR(EarningsPerDay[[#This Row],[Date]])-1,YEAR(EarningsPerDay[[#This Row],[Date]]))</f>
        <v>2025</v>
      </c>
      <c r="E743" s="4" t="str">
        <f>"QTR"&amp;IF(EarningsPerDay[[#This Row],[Week '#]] &lt;= 13, 1, IF(EarningsPerDay[[#This Row],[Week '#]] &lt;= 26, 2, IF(EarningsPerDay[[#This Row],[Week '#]] &lt;= 39, 3, 4)))</f>
        <v>QTR2</v>
      </c>
      <c r="F7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3" s="4">
        <f>IF(WEEKNUM(EarningsPerDay[[#This Row],[Date]], 2) = 53, 1, WEEKNUM(EarningsPerDay[[#This Row],[Date]],2))</f>
        <v>26</v>
      </c>
      <c r="H743" s="40" t="str">
        <f>TEXT(B743,"DDDD")</f>
        <v>Friday</v>
      </c>
      <c r="I743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43" s="40" t="str" cm="1">
        <f t="array" ref="J743">IFERROR(VLOOKUP(MODE(IF(Combined[Date]=EarningsPerDay[[#This Row],[Date]],Combined[Area '#])),KPIs!$B$4:$C$7,2,FALSE),VLOOKUP(EarningsPerDay[[#This Row],[Date]],Combined[[Date]:[Primary Area]],8,FALSE))</f>
        <v>Portland</v>
      </c>
      <c r="K743" s="40" t="str">
        <f>_xlfn.XLOOKUP(EarningsPerDay[[#This Row],[Date]],Mileage[Date],Mileage[Weather])</f>
        <v>Partially Cloudy</v>
      </c>
      <c r="L743" s="4">
        <f>_xlfn.XLOOKUP(EarningsPerDay[[#This Row],[Date]],Mileage[Date],Mileage[Hi Temp])</f>
        <v>66</v>
      </c>
      <c r="M743" s="12">
        <f>_xlfn.XLOOKUP(EarningsPerDay[[#This Row],[Date]],Mileage[Date],Mileage[Total Time])</f>
        <v>9.07</v>
      </c>
      <c r="N743" s="4">
        <f>_xlfn.XLOOKUP(EarningsPerDay[[#This Row],[Date]],Mileage[Date],Mileage[Mileage])</f>
        <v>196</v>
      </c>
      <c r="O743" s="4">
        <f>SUMIF(Combined[Date],EarningsPerDay[[#This Row],[Date]],Combined[Trips])</f>
        <v>17</v>
      </c>
      <c r="P743">
        <f>COUNTIF(Combined[Date],EarningsPerDay[[#This Row],[Date]])</f>
        <v>2</v>
      </c>
      <c r="Q74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3" s="11">
        <f>SUMIF(Combined[Date],EarningsPerDay[[#This Row],[Date]],Combined[Earnings])</f>
        <v>216.81</v>
      </c>
      <c r="S743" s="11">
        <f ca="1">EarningsPerDay[[#This Row],[Gross Earnings]]-(EarningsPerDay[[#This Row],[Miles]]*CpM!$D$11)</f>
        <v>173.10727384485637</v>
      </c>
      <c r="T743" s="11">
        <f t="shared" si="95"/>
        <v>23.904079382579933</v>
      </c>
      <c r="U743" s="11">
        <f t="shared" ca="1" si="96"/>
        <v>19.085697226555276</v>
      </c>
      <c r="V743" s="11">
        <f>EarningsPerDay[[#This Row],[Gross Earnings]]/EarningsPerDay[[#This Row],[Deliveries]]</f>
        <v>12.753529411764706</v>
      </c>
      <c r="W743" s="11">
        <f>EarningsPerDay[[#This Row],[Gross Earnings]]/EarningsPerDay[[#This Row],[Miles]]</f>
        <v>1.1061734693877552</v>
      </c>
      <c r="X743" s="71">
        <f>EarningsPerDay[[#This Row],[Deliveries]]/EarningsPerDay[[#This Row],[Hours]]</f>
        <v>1.8743109151047408</v>
      </c>
      <c r="Y743" s="71">
        <f>EarningsPerDay[[#This Row],[Miles]]/EarningsPerDay[[#This Row],[Deliveries]]</f>
        <v>11.529411764705882</v>
      </c>
      <c r="Z743" s="81">
        <f>(EarningsPerDay[[#This Row],[Hours]]/EarningsPerDay[[#This Row],[Deliveries]])/24</f>
        <v>2.2230392156862747E-2</v>
      </c>
      <c r="AA7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1.6672596251462259</v>
      </c>
      <c r="AB743" s="11">
        <f>AVERAGEIFS(EarningsPerDay[Gross $/Hour],EarningsPerDay[Week '#], EarningsPerDay[[#This Row],[Week '#]], EarningsPerDay[DOW], EarningsPerDay[[#This Row],[DOW]])</f>
        <v>26.982702895536416</v>
      </c>
      <c r="AC743" s="11">
        <f>EarningsPerDay[[#This Row],[Gross $/Hour]] - EarningsPerDay[[#This Row],[Weekly Average Earnings]]</f>
        <v>-3.078623512956483</v>
      </c>
      <c r="AD743" s="11">
        <f>(SUMIFS(EarningsPerDay[Gross Earnings], EarningsPerDay[Date],"&gt;="&amp;EarningsPerDay[[#This Row],[Date]]-89, EarningsPerDay[Date], "&lt;="&amp;EarningsPerDay[[#This Row],[Date]]))/90</f>
        <v>70.315888888888921</v>
      </c>
    </row>
    <row r="744" spans="2:30" x14ac:dyDescent="0.35">
      <c r="B744" s="40">
        <v>45836</v>
      </c>
      <c r="C744" s="40">
        <f t="shared" si="92"/>
        <v>45836</v>
      </c>
      <c r="D744" s="4">
        <f>IF(EarningsPerDay[[#This Row],[Week '#]]&gt;=52,YEAR(EarningsPerDay[[#This Row],[Date]])-1,YEAR(EarningsPerDay[[#This Row],[Date]]))</f>
        <v>2025</v>
      </c>
      <c r="E744" s="4" t="str">
        <f>"QTR"&amp;IF(EarningsPerDay[[#This Row],[Week '#]] &lt;= 13, 1, IF(EarningsPerDay[[#This Row],[Week '#]] &lt;= 26, 2, IF(EarningsPerDay[[#This Row],[Week '#]] &lt;= 39, 3, 4)))</f>
        <v>QTR2</v>
      </c>
      <c r="F7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4" s="4">
        <f>IF(WEEKNUM(EarningsPerDay[[#This Row],[Date]], 2) = 53, 1, WEEKNUM(EarningsPerDay[[#This Row],[Date]],2))</f>
        <v>26</v>
      </c>
      <c r="H744" s="40" t="str">
        <f t="shared" ref="H744:H745" si="101">TEXT(B744,"DDDD")</f>
        <v>Saturday</v>
      </c>
      <c r="I74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44" s="40" t="str" cm="1">
        <f t="array" ref="J744">IFERROR(VLOOKUP(MODE(IF(Combined[Date]=EarningsPerDay[[#This Row],[Date]],Combined[Area '#])),KPIs!$B$4:$C$7,2,FALSE),VLOOKUP(EarningsPerDay[[#This Row],[Date]],Combined[[Date]:[Primary Area]],8,FALSE))</f>
        <v>Portland</v>
      </c>
      <c r="K744" s="40" t="str">
        <f>_xlfn.XLOOKUP(EarningsPerDay[[#This Row],[Date]],Mileage[Date],Mileage[Weather])</f>
        <v>Fog</v>
      </c>
      <c r="L744" s="4">
        <f>_xlfn.XLOOKUP(EarningsPerDay[[#This Row],[Date]],Mileage[Date],Mileage[Hi Temp])</f>
        <v>61</v>
      </c>
      <c r="M744" s="12">
        <f>_xlfn.XLOOKUP(EarningsPerDay[[#This Row],[Date]],Mileage[Date],Mileage[Total Time])</f>
        <v>1.28</v>
      </c>
      <c r="N744" s="4">
        <f>_xlfn.XLOOKUP(EarningsPerDay[[#This Row],[Date]],Mileage[Date],Mileage[Mileage])</f>
        <v>36</v>
      </c>
      <c r="O744" s="4">
        <f>SUMIF(Combined[Date],EarningsPerDay[[#This Row],[Date]],Combined[Trips])</f>
        <v>2</v>
      </c>
      <c r="P744">
        <f>COUNTIF(Combined[Date],EarningsPerDay[[#This Row],[Date]])</f>
        <v>1</v>
      </c>
      <c r="Q74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4" s="11">
        <f>SUMIF(Combined[Date],EarningsPerDay[[#This Row],[Date]],Combined[Earnings])</f>
        <v>25.87</v>
      </c>
      <c r="S744" s="11">
        <f ca="1">EarningsPerDay[[#This Row],[Gross Earnings]]-(EarningsPerDay[[#This Row],[Miles]]*CpM!$D$11)</f>
        <v>17.842968665381783</v>
      </c>
      <c r="T744" s="11">
        <f t="shared" si="95"/>
        <v>20.2109375</v>
      </c>
      <c r="U744" s="11">
        <f t="shared" ca="1" si="96"/>
        <v>13.939819269829517</v>
      </c>
      <c r="V744" s="11">
        <f>EarningsPerDay[[#This Row],[Gross Earnings]]/EarningsPerDay[[#This Row],[Deliveries]]</f>
        <v>12.935</v>
      </c>
      <c r="W744" s="11">
        <f>EarningsPerDay[[#This Row],[Gross Earnings]]/EarningsPerDay[[#This Row],[Miles]]</f>
        <v>0.71861111111111109</v>
      </c>
      <c r="X744" s="71">
        <f>EarningsPerDay[[#This Row],[Deliveries]]/EarningsPerDay[[#This Row],[Hours]]</f>
        <v>1.5625</v>
      </c>
      <c r="Y744" s="71">
        <f>EarningsPerDay[[#This Row],[Miles]]/EarningsPerDay[[#This Row],[Deliveries]]</f>
        <v>18</v>
      </c>
      <c r="Z744" s="81">
        <f>(EarningsPerDay[[#This Row],[Hours]]/EarningsPerDay[[#This Row],[Deliveries]])/24</f>
        <v>2.6666666666666668E-2</v>
      </c>
      <c r="AA7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-0.49335370265426093</v>
      </c>
      <c r="AB744" s="11">
        <f>AVERAGEIFS(EarningsPerDay[Gross $/Hour],EarningsPerDay[Week '#], EarningsPerDay[[#This Row],[Week '#]], EarningsPerDay[DOW], EarningsPerDay[[#This Row],[DOW]])</f>
        <v>20.115540994623654</v>
      </c>
      <c r="AC744" s="11">
        <f>EarningsPerDay[[#This Row],[Gross $/Hour]] - EarningsPerDay[[#This Row],[Weekly Average Earnings]]</f>
        <v>9.5396505376346141E-2</v>
      </c>
      <c r="AD744" s="11">
        <f>(SUMIFS(EarningsPerDay[Gross Earnings], EarningsPerDay[Date],"&gt;="&amp;EarningsPerDay[[#This Row],[Date]]-89, EarningsPerDay[Date], "&lt;="&amp;EarningsPerDay[[#This Row],[Date]]))/90</f>
        <v>68.895777777777809</v>
      </c>
    </row>
    <row r="745" spans="2:30" x14ac:dyDescent="0.35">
      <c r="B745" s="40">
        <v>45837</v>
      </c>
      <c r="C745" s="40">
        <f t="shared" si="92"/>
        <v>45837</v>
      </c>
      <c r="D745" s="4">
        <f>IF(EarningsPerDay[[#This Row],[Week '#]]&gt;=52,YEAR(EarningsPerDay[[#This Row],[Date]])-1,YEAR(EarningsPerDay[[#This Row],[Date]]))</f>
        <v>2025</v>
      </c>
      <c r="E745" s="4" t="str">
        <f>"QTR"&amp;IF(EarningsPerDay[[#This Row],[Week '#]] &lt;= 13, 1, IF(EarningsPerDay[[#This Row],[Week '#]] &lt;= 26, 2, IF(EarningsPerDay[[#This Row],[Week '#]] &lt;= 39, 3, 4)))</f>
        <v>QTR2</v>
      </c>
      <c r="F7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45" s="4">
        <f>IF(WEEKNUM(EarningsPerDay[[#This Row],[Date]], 2) = 53, 1, WEEKNUM(EarningsPerDay[[#This Row],[Date]],2))</f>
        <v>26</v>
      </c>
      <c r="H745" s="40" t="str">
        <f t="shared" si="101"/>
        <v>Sunday</v>
      </c>
      <c r="I745" s="106">
        <f>IF(_xlfn.XLOOKUP(EarningsPerDay[[#This Row],[Date]],Mileage[Date],Mileage[Start Time])="","",MROUND(_xlfn.XLOOKUP(EarningsPerDay[[#This Row],[Date]],Mileage[Date],Mileage[Start Time]),0.0208333333333333))</f>
        <v>0.43749999999999933</v>
      </c>
      <c r="J745" s="40" t="str" cm="1">
        <f t="array" ref="J745">IFERROR(VLOOKUP(MODE(IF(Combined[Date]=EarningsPerDay[[#This Row],[Date]],Combined[Area '#])),KPIs!$B$4:$C$7,2,FALSE),VLOOKUP(EarningsPerDay[[#This Row],[Date]],Combined[[Date]:[Primary Area]],8,FALSE))</f>
        <v>Brunswick/Bath/Freeport</v>
      </c>
      <c r="K745" s="40" t="str">
        <f>_xlfn.XLOOKUP(EarningsPerDay[[#This Row],[Date]],Mileage[Date],Mileage[Weather])</f>
        <v>Overcast</v>
      </c>
      <c r="L745" s="4">
        <f>_xlfn.XLOOKUP(EarningsPerDay[[#This Row],[Date]],Mileage[Date],Mileage[Hi Temp])</f>
        <v>75</v>
      </c>
      <c r="M745" s="12">
        <f>_xlfn.XLOOKUP(EarningsPerDay[[#This Row],[Date]],Mileage[Date],Mileage[Total Time])</f>
        <v>3.68</v>
      </c>
      <c r="N745" s="4">
        <f>_xlfn.XLOOKUP(EarningsPerDay[[#This Row],[Date]],Mileage[Date],Mileage[Mileage])</f>
        <v>89</v>
      </c>
      <c r="O745" s="4">
        <f>SUMIF(Combined[Date],EarningsPerDay[[#This Row],[Date]],Combined[Trips])</f>
        <v>7</v>
      </c>
      <c r="P745">
        <f>COUNTIF(Combined[Date],EarningsPerDay[[#This Row],[Date]])</f>
        <v>3</v>
      </c>
      <c r="Q7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45" s="11">
        <f>SUMIF(Combined[Date],EarningsPerDay[[#This Row],[Date]],Combined[Earnings])</f>
        <v>79.17</v>
      </c>
      <c r="S745" s="11">
        <f ca="1">EarningsPerDay[[#This Row],[Gross Earnings]]-(EarningsPerDay[[#This Row],[Miles]]*CpM!$D$11)</f>
        <v>59.325394756082744</v>
      </c>
      <c r="T745" s="11">
        <f t="shared" si="95"/>
        <v>21.513586956521738</v>
      </c>
      <c r="U745" s="11">
        <f t="shared" ca="1" si="96"/>
        <v>16.121031183718138</v>
      </c>
      <c r="V745" s="11">
        <f>EarningsPerDay[[#This Row],[Gross Earnings]]/EarningsPerDay[[#This Row],[Deliveries]]</f>
        <v>11.31</v>
      </c>
      <c r="W745" s="11">
        <f>EarningsPerDay[[#This Row],[Gross Earnings]]/EarningsPerDay[[#This Row],[Miles]]</f>
        <v>0.88955056179775283</v>
      </c>
      <c r="X745" s="71">
        <f>EarningsPerDay[[#This Row],[Deliveries]]/EarningsPerDay[[#This Row],[Hours]]</f>
        <v>1.9021739130434783</v>
      </c>
      <c r="Y745" s="71">
        <f>EarningsPerDay[[#This Row],[Miles]]/EarningsPerDay[[#This Row],[Deliveries]]</f>
        <v>12.714285714285714</v>
      </c>
      <c r="Z745" s="81">
        <f>(EarningsPerDay[[#This Row],[Hours]]/EarningsPerDay[[#This Row],[Deliveries]])/24</f>
        <v>2.1904761904761903E-2</v>
      </c>
      <c r="AA7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0.12588218325892697</v>
      </c>
      <c r="AB745" s="11">
        <f>AVERAGEIFS(EarningsPerDay[Gross $/Hour],EarningsPerDay[Week '#], EarningsPerDay[[#This Row],[Week '#]], EarningsPerDay[DOW], EarningsPerDay[[#This Row],[DOW]])</f>
        <v>18.887056636155606</v>
      </c>
      <c r="AC745" s="11">
        <f>EarningsPerDay[[#This Row],[Gross $/Hour]] - EarningsPerDay[[#This Row],[Weekly Average Earnings]]</f>
        <v>2.6265303203661325</v>
      </c>
      <c r="AD745" s="11">
        <f>(SUMIFS(EarningsPerDay[Gross Earnings], EarningsPerDay[Date],"&gt;="&amp;EarningsPerDay[[#This Row],[Date]]-89, EarningsPerDay[Date], "&lt;="&amp;EarningsPerDay[[#This Row],[Date]]))/90</f>
        <v>69.775444444444474</v>
      </c>
    </row>
    <row r="746" spans="2:30" x14ac:dyDescent="0.35">
      <c r="B746" s="40">
        <v>45838</v>
      </c>
      <c r="C746" s="40">
        <f t="shared" si="92"/>
        <v>45838</v>
      </c>
      <c r="D746" s="4">
        <f>IF(EarningsPerDay[[#This Row],[Week '#]]&gt;=52,YEAR(EarningsPerDay[[#This Row],[Date]])-1,YEAR(EarningsPerDay[[#This Row],[Date]]))</f>
        <v>2025</v>
      </c>
      <c r="E746" s="4" t="str">
        <f>"QTR"&amp;IF(EarningsPerDay[[#This Row],[Week '#]] &lt;= 13, 1, IF(EarningsPerDay[[#This Row],[Week '#]] &lt;= 26, 2, IF(EarningsPerDay[[#This Row],[Week '#]] &lt;= 39, 3, 4)))</f>
        <v>QTR3</v>
      </c>
      <c r="F7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746" s="4">
        <f>IF(WEEKNUM(EarningsPerDay[[#This Row],[Date]], 2) = 53, 1, WEEKNUM(EarningsPerDay[[#This Row],[Date]],2))</f>
        <v>27</v>
      </c>
      <c r="H746" s="40" t="str">
        <f t="shared" ref="H746:H747" si="102">TEXT(B746,"DDDD")</f>
        <v>Monday</v>
      </c>
      <c r="I74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46" s="40" t="str" cm="1">
        <f t="array" ref="J746">IFERROR(VLOOKUP(MODE(IF(Combined[Date]=EarningsPerDay[[#This Row],[Date]],Combined[Area '#])),KPIs!$B$4:$C$7,2,FALSE),VLOOKUP(EarningsPerDay[[#This Row],[Date]],Combined[[Date]:[Primary Area]],8,FALSE))</f>
        <v>Portland</v>
      </c>
      <c r="K746" s="40" t="str">
        <f>_xlfn.XLOOKUP(EarningsPerDay[[#This Row],[Date]],Mileage[Date],Mileage[Weather])</f>
        <v>Clear</v>
      </c>
      <c r="L746" s="4">
        <f>_xlfn.XLOOKUP(EarningsPerDay[[#This Row],[Date]],Mileage[Date],Mileage[Hi Temp])</f>
        <v>73</v>
      </c>
      <c r="M746" s="12">
        <f>_xlfn.XLOOKUP(EarningsPerDay[[#This Row],[Date]],Mileage[Date],Mileage[Total Time])</f>
        <v>4.72</v>
      </c>
      <c r="N746" s="4">
        <f>_xlfn.XLOOKUP(EarningsPerDay[[#This Row],[Date]],Mileage[Date],Mileage[Mileage])</f>
        <v>108</v>
      </c>
      <c r="O746" s="4">
        <f>SUMIF(Combined[Date],EarningsPerDay[[#This Row],[Date]],Combined[Trips])</f>
        <v>11</v>
      </c>
      <c r="P746">
        <f>COUNTIF(Combined[Date],EarningsPerDay[[#This Row],[Date]])</f>
        <v>3</v>
      </c>
      <c r="Q74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6" s="11">
        <f>SUMIF(Combined[Date],EarningsPerDay[[#This Row],[Date]],Combined[Earnings])</f>
        <v>172.47</v>
      </c>
      <c r="S746" s="11">
        <f ca="1">EarningsPerDay[[#This Row],[Gross Earnings]]-(EarningsPerDay[[#This Row],[Miles]]*CpM!$D$11)</f>
        <v>148.38890599614535</v>
      </c>
      <c r="T746" s="11">
        <f t="shared" si="95"/>
        <v>36.540254237288138</v>
      </c>
      <c r="U746" s="11">
        <f t="shared" ca="1" si="96"/>
        <v>31.43832754155622</v>
      </c>
      <c r="V746" s="11">
        <f>EarningsPerDay[[#This Row],[Gross Earnings]]/EarningsPerDay[[#This Row],[Deliveries]]</f>
        <v>15.67909090909091</v>
      </c>
      <c r="W746" s="11">
        <f>EarningsPerDay[[#This Row],[Gross Earnings]]/EarningsPerDay[[#This Row],[Miles]]</f>
        <v>1.5969444444444445</v>
      </c>
      <c r="X746" s="71">
        <f>EarningsPerDay[[#This Row],[Deliveries]]/EarningsPerDay[[#This Row],[Hours]]</f>
        <v>2.3305084745762712</v>
      </c>
      <c r="Y746" s="71">
        <f>EarningsPerDay[[#This Row],[Miles]]/EarningsPerDay[[#This Row],[Deliveries]]</f>
        <v>9.8181818181818183</v>
      </c>
      <c r="Z746" s="81">
        <f>(EarningsPerDay[[#This Row],[Hours]]/EarningsPerDay[[#This Row],[Deliveries]])/24</f>
        <v>1.7878787878787879E-2</v>
      </c>
      <c r="AA7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14.017613597627687</v>
      </c>
      <c r="AB746" s="11">
        <f>AVERAGEIFS(EarningsPerDay[Gross $/Hour],EarningsPerDay[Week '#], EarningsPerDay[[#This Row],[Week '#]], EarningsPerDay[DOW], EarningsPerDay[[#This Row],[DOW]])</f>
        <v>29.873712776014589</v>
      </c>
      <c r="AC746" s="11">
        <f>EarningsPerDay[[#This Row],[Gross $/Hour]] - EarningsPerDay[[#This Row],[Weekly Average Earnings]]</f>
        <v>6.6665414612735496</v>
      </c>
      <c r="AD746" s="11">
        <f>(SUMIFS(EarningsPerDay[Gross Earnings], EarningsPerDay[Date],"&gt;="&amp;EarningsPerDay[[#This Row],[Date]]-89, EarningsPerDay[Date], "&lt;="&amp;EarningsPerDay[[#This Row],[Date]]))/90</f>
        <v>71.691777777777816</v>
      </c>
    </row>
    <row r="747" spans="2:30" x14ac:dyDescent="0.35">
      <c r="B747" s="40">
        <v>45839</v>
      </c>
      <c r="C747" s="40">
        <f t="shared" si="92"/>
        <v>45839</v>
      </c>
      <c r="D747" s="4">
        <f>IF(EarningsPerDay[[#This Row],[Week '#]]&gt;=52,YEAR(EarningsPerDay[[#This Row],[Date]])-1,YEAR(EarningsPerDay[[#This Row],[Date]]))</f>
        <v>2025</v>
      </c>
      <c r="E747" s="4" t="str">
        <f>"QTR"&amp;IF(EarningsPerDay[[#This Row],[Week '#]] &lt;= 13, 1, IF(EarningsPerDay[[#This Row],[Week '#]] &lt;= 26, 2, IF(EarningsPerDay[[#This Row],[Week '#]] &lt;= 39, 3, 4)))</f>
        <v>QTR3</v>
      </c>
      <c r="F7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747" s="4">
        <f>IF(WEEKNUM(EarningsPerDay[[#This Row],[Date]], 2) = 53, 1, WEEKNUM(EarningsPerDay[[#This Row],[Date]],2))</f>
        <v>27</v>
      </c>
      <c r="H747" s="40" t="str">
        <f t="shared" si="102"/>
        <v>Tuesday</v>
      </c>
      <c r="I74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47" s="40" t="str" cm="1">
        <f t="array" ref="J747">IFERROR(VLOOKUP(MODE(IF(Combined[Date]=EarningsPerDay[[#This Row],[Date]],Combined[Area '#])),KPIs!$B$4:$C$7,2,FALSE),VLOOKUP(EarningsPerDay[[#This Row],[Date]],Combined[[Date]:[Primary Area]],8,FALSE))</f>
        <v>Brunswick/Bath/Freeport</v>
      </c>
      <c r="K747" s="40" t="str">
        <f>_xlfn.XLOOKUP(EarningsPerDay[[#This Row],[Date]],Mileage[Date],Mileage[Weather])</f>
        <v>Partially Cloudy</v>
      </c>
      <c r="L747" s="4">
        <f>_xlfn.XLOOKUP(EarningsPerDay[[#This Row],[Date]],Mileage[Date],Mileage[Hi Temp])</f>
        <v>81</v>
      </c>
      <c r="M747" s="12">
        <f>_xlfn.XLOOKUP(EarningsPerDay[[#This Row],[Date]],Mileage[Date],Mileage[Total Time])</f>
        <v>5.13</v>
      </c>
      <c r="N747" s="4">
        <f>_xlfn.XLOOKUP(EarningsPerDay[[#This Row],[Date]],Mileage[Date],Mileage[Mileage])</f>
        <v>150</v>
      </c>
      <c r="O747" s="4">
        <f>SUMIF(Combined[Date],EarningsPerDay[[#This Row],[Date]],Combined[Trips])</f>
        <v>8</v>
      </c>
      <c r="P747">
        <f>COUNTIF(Combined[Date],EarningsPerDay[[#This Row],[Date]])</f>
        <v>3</v>
      </c>
      <c r="Q74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7" s="11">
        <f>SUMIF(Combined[Date],EarningsPerDay[[#This Row],[Date]],Combined[Earnings])</f>
        <v>98.33</v>
      </c>
      <c r="S747" s="11">
        <f ca="1">EarningsPerDay[[#This Row],[Gross Earnings]]-(EarningsPerDay[[#This Row],[Miles]]*CpM!$D$11)</f>
        <v>64.884036105757417</v>
      </c>
      <c r="T747" s="11">
        <f t="shared" si="95"/>
        <v>19.167641325536064</v>
      </c>
      <c r="U747" s="11">
        <f t="shared" ca="1" si="96"/>
        <v>12.64796025453361</v>
      </c>
      <c r="V747" s="11">
        <f>EarningsPerDay[[#This Row],[Gross Earnings]]/EarningsPerDay[[#This Row],[Deliveries]]</f>
        <v>12.29125</v>
      </c>
      <c r="W747" s="11">
        <f>EarningsPerDay[[#This Row],[Gross Earnings]]/EarningsPerDay[[#This Row],[Miles]]</f>
        <v>0.6555333333333333</v>
      </c>
      <c r="X747" s="71">
        <f>EarningsPerDay[[#This Row],[Deliveries]]/EarningsPerDay[[#This Row],[Hours]]</f>
        <v>1.5594541910331385</v>
      </c>
      <c r="Y747" s="71">
        <f>EarningsPerDay[[#This Row],[Miles]]/EarningsPerDay[[#This Row],[Deliveries]]</f>
        <v>18.75</v>
      </c>
      <c r="Z747" s="81">
        <f>(EarningsPerDay[[#This Row],[Hours]]/EarningsPerDay[[#This Row],[Deliveries]])/24</f>
        <v>2.6718749999999999E-2</v>
      </c>
      <c r="AA7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-3.615757243521486</v>
      </c>
      <c r="AB747" s="11">
        <f>AVERAGEIFS(EarningsPerDay[Gross $/Hour],EarningsPerDay[Week '#], EarningsPerDay[[#This Row],[Week '#]], EarningsPerDay[DOW], EarningsPerDay[[#This Row],[DOW]])</f>
        <v>20.191072811871479</v>
      </c>
      <c r="AC747" s="11">
        <f>EarningsPerDay[[#This Row],[Gross $/Hour]] - EarningsPerDay[[#This Row],[Weekly Average Earnings]]</f>
        <v>-1.023431486335415</v>
      </c>
      <c r="AD747" s="11">
        <f>(SUMIFS(EarningsPerDay[Gross Earnings], EarningsPerDay[Date],"&gt;="&amp;EarningsPerDay[[#This Row],[Date]]-89, EarningsPerDay[Date], "&lt;="&amp;EarningsPerDay[[#This Row],[Date]]))/90</f>
        <v>72.784333333333365</v>
      </c>
    </row>
    <row r="748" spans="2:30" x14ac:dyDescent="0.35">
      <c r="B748" s="40">
        <v>45840</v>
      </c>
      <c r="C748" s="40">
        <f t="shared" si="92"/>
        <v>45840</v>
      </c>
      <c r="D748" s="4">
        <f>IF(EarningsPerDay[[#This Row],[Week '#]]&gt;=52,YEAR(EarningsPerDay[[#This Row],[Date]])-1,YEAR(EarningsPerDay[[#This Row],[Date]]))</f>
        <v>2025</v>
      </c>
      <c r="E748" s="4" t="str">
        <f>"QTR"&amp;IF(EarningsPerDay[[#This Row],[Week '#]] &lt;= 13, 1, IF(EarningsPerDay[[#This Row],[Week '#]] &lt;= 26, 2, IF(EarningsPerDay[[#This Row],[Week '#]] &lt;= 39, 3, 4)))</f>
        <v>QTR3</v>
      </c>
      <c r="F7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748" s="4">
        <f>IF(WEEKNUM(EarningsPerDay[[#This Row],[Date]], 2) = 53, 1, WEEKNUM(EarningsPerDay[[#This Row],[Date]],2))</f>
        <v>27</v>
      </c>
      <c r="H748" s="40" t="str">
        <f>TEXT(B748,"DDDD")</f>
        <v>Wednesday</v>
      </c>
      <c r="I748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48" s="40" t="str" cm="1">
        <f t="array" ref="J748">IFERROR(VLOOKUP(MODE(IF(Combined[Date]=EarningsPerDay[[#This Row],[Date]],Combined[Area '#])),KPIs!$B$4:$C$7,2,FALSE),VLOOKUP(EarningsPerDay[[#This Row],[Date]],Combined[[Date]:[Primary Area]],8,FALSE))</f>
        <v>Brunswick/Bath/Freeport</v>
      </c>
      <c r="K748" s="40" t="str">
        <f>_xlfn.XLOOKUP(EarningsPerDay[[#This Row],[Date]],Mileage[Date],Mileage[Weather])</f>
        <v>Clear</v>
      </c>
      <c r="L748" s="4">
        <f>_xlfn.XLOOKUP(EarningsPerDay[[#This Row],[Date]],Mileage[Date],Mileage[Hi Temp])</f>
        <v>82</v>
      </c>
      <c r="M748" s="12">
        <f>_xlfn.XLOOKUP(EarningsPerDay[[#This Row],[Date]],Mileage[Date],Mileage[Total Time])</f>
        <v>2.98</v>
      </c>
      <c r="N748" s="4">
        <f>_xlfn.XLOOKUP(EarningsPerDay[[#This Row],[Date]],Mileage[Date],Mileage[Mileage])</f>
        <v>61</v>
      </c>
      <c r="O748" s="4">
        <f>SUMIF(Combined[Date],EarningsPerDay[[#This Row],[Date]],Combined[Trips])</f>
        <v>9</v>
      </c>
      <c r="P748">
        <f>COUNTIF(Combined[Date],EarningsPerDay[[#This Row],[Date]])</f>
        <v>3</v>
      </c>
      <c r="Q7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48" s="11">
        <f>SUMIF(Combined[Date],EarningsPerDay[[#This Row],[Date]],Combined[Earnings])</f>
        <v>99.11</v>
      </c>
      <c r="S748" s="11">
        <f ca="1">EarningsPerDay[[#This Row],[Gross Earnings]]-(EarningsPerDay[[#This Row],[Miles]]*CpM!$D$11)</f>
        <v>85.50864134967469</v>
      </c>
      <c r="T748" s="11">
        <f t="shared" si="95"/>
        <v>33.258389261744966</v>
      </c>
      <c r="U748" s="11">
        <f t="shared" ca="1" si="96"/>
        <v>28.694174949555265</v>
      </c>
      <c r="V748" s="11">
        <f>EarningsPerDay[[#This Row],[Gross Earnings]]/EarningsPerDay[[#This Row],[Deliveries]]</f>
        <v>11.012222222222222</v>
      </c>
      <c r="W748" s="11">
        <f>EarningsPerDay[[#This Row],[Gross Earnings]]/EarningsPerDay[[#This Row],[Miles]]</f>
        <v>1.6247540983606557</v>
      </c>
      <c r="X748" s="71">
        <f>EarningsPerDay[[#This Row],[Deliveries]]/EarningsPerDay[[#This Row],[Hours]]</f>
        <v>3.0201342281879193</v>
      </c>
      <c r="Y748" s="71">
        <f>EarningsPerDay[[#This Row],[Miles]]/EarningsPerDay[[#This Row],[Deliveries]]</f>
        <v>6.7777777777777777</v>
      </c>
      <c r="Z748" s="81">
        <f>(EarningsPerDay[[#This Row],[Hours]]/EarningsPerDay[[#This Row],[Deliveries]])/24</f>
        <v>1.3796296296296298E-2</v>
      </c>
      <c r="AA7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10.823366906097743</v>
      </c>
      <c r="AB748" s="11">
        <f>AVERAGEIFS(EarningsPerDay[Gross $/Hour],EarningsPerDay[Week '#], EarningsPerDay[[#This Row],[Week '#]], EarningsPerDay[DOW], EarningsPerDay[[#This Row],[DOW]])</f>
        <v>28.967873876155501</v>
      </c>
      <c r="AC748" s="11">
        <f>EarningsPerDay[[#This Row],[Gross $/Hour]] - EarningsPerDay[[#This Row],[Weekly Average Earnings]]</f>
        <v>4.2905153855894653</v>
      </c>
      <c r="AD748" s="11">
        <f>(SUMIFS(EarningsPerDay[Gross Earnings], EarningsPerDay[Date],"&gt;="&amp;EarningsPerDay[[#This Row],[Date]]-89, EarningsPerDay[Date], "&lt;="&amp;EarningsPerDay[[#This Row],[Date]]))/90</f>
        <v>73.885555555555584</v>
      </c>
    </row>
    <row r="749" spans="2:30" x14ac:dyDescent="0.35">
      <c r="B749" s="40">
        <v>45841</v>
      </c>
      <c r="C749" s="40">
        <f t="shared" si="92"/>
        <v>45841</v>
      </c>
      <c r="D749" s="4">
        <f>IF(EarningsPerDay[[#This Row],[Week '#]]&gt;=52,YEAR(EarningsPerDay[[#This Row],[Date]])-1,YEAR(EarningsPerDay[[#This Row],[Date]]))</f>
        <v>2025</v>
      </c>
      <c r="E749" s="4" t="str">
        <f>"QTR"&amp;IF(EarningsPerDay[[#This Row],[Week '#]] &lt;= 13, 1, IF(EarningsPerDay[[#This Row],[Week '#]] &lt;= 26, 2, IF(EarningsPerDay[[#This Row],[Week '#]] &lt;= 39, 3, 4)))</f>
        <v>QTR3</v>
      </c>
      <c r="F7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749" s="4">
        <f>IF(WEEKNUM(EarningsPerDay[[#This Row],[Date]], 2) = 53, 1, WEEKNUM(EarningsPerDay[[#This Row],[Date]],2))</f>
        <v>27</v>
      </c>
      <c r="H749" s="40" t="str">
        <f t="shared" ref="H749:H751" si="103">TEXT(B749,"DDDD")</f>
        <v>Thursday</v>
      </c>
      <c r="I749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749" s="40" t="str" cm="1">
        <f t="array" ref="J749">IFERROR(VLOOKUP(MODE(IF(Combined[Date]=EarningsPerDay[[#This Row],[Date]],Combined[Area '#])),KPIs!$B$4:$C$7,2,FALSE),VLOOKUP(EarningsPerDay[[#This Row],[Date]],Combined[[Date]:[Primary Area]],8,FALSE))</f>
        <v>Lewiston</v>
      </c>
      <c r="K749" s="40" t="str">
        <f>_xlfn.XLOOKUP(EarningsPerDay[[#This Row],[Date]],Mileage[Date],Mileage[Weather])</f>
        <v>Clear</v>
      </c>
      <c r="L749" s="4">
        <f>_xlfn.XLOOKUP(EarningsPerDay[[#This Row],[Date]],Mileage[Date],Mileage[Hi Temp])</f>
        <v>70</v>
      </c>
      <c r="M749" s="12">
        <f>_xlfn.XLOOKUP(EarningsPerDay[[#This Row],[Date]],Mileage[Date],Mileage[Total Time])</f>
        <v>2.17</v>
      </c>
      <c r="N749" s="4">
        <f>_xlfn.XLOOKUP(EarningsPerDay[[#This Row],[Date]],Mileage[Date],Mileage[Mileage])</f>
        <v>57</v>
      </c>
      <c r="O749" s="4">
        <f>SUMIF(Combined[Date],EarningsPerDay[[#This Row],[Date]],Combined[Trips])</f>
        <v>3</v>
      </c>
      <c r="P749">
        <f>COUNTIF(Combined[Date],EarningsPerDay[[#This Row],[Date]])</f>
        <v>2</v>
      </c>
      <c r="Q74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49" s="11">
        <f>SUMIF(Combined[Date],EarningsPerDay[[#This Row],[Date]],Combined[Earnings])</f>
        <v>50.33</v>
      </c>
      <c r="S749" s="11">
        <f ca="1">EarningsPerDay[[#This Row],[Gross Earnings]]-(EarningsPerDay[[#This Row],[Miles]]*CpM!$D$11)</f>
        <v>37.620533720187822</v>
      </c>
      <c r="T749" s="11">
        <f t="shared" si="95"/>
        <v>23.193548387096776</v>
      </c>
      <c r="U749" s="11">
        <f t="shared" ca="1" si="96"/>
        <v>17.336651483957521</v>
      </c>
      <c r="V749" s="11">
        <f>EarningsPerDay[[#This Row],[Gross Earnings]]/EarningsPerDay[[#This Row],[Deliveries]]</f>
        <v>16.776666666666667</v>
      </c>
      <c r="W749" s="11">
        <f>EarningsPerDay[[#This Row],[Gross Earnings]]/EarningsPerDay[[#This Row],[Miles]]</f>
        <v>0.88298245614035087</v>
      </c>
      <c r="X749" s="71">
        <f>EarningsPerDay[[#This Row],[Deliveries]]/EarningsPerDay[[#This Row],[Hours]]</f>
        <v>1.3824884792626728</v>
      </c>
      <c r="Y749" s="71">
        <f>EarningsPerDay[[#This Row],[Miles]]/EarningsPerDay[[#This Row],[Deliveries]]</f>
        <v>19</v>
      </c>
      <c r="Z749" s="81">
        <f>(EarningsPerDay[[#This Row],[Hours]]/EarningsPerDay[[#This Row],[Deliveries]])/24</f>
        <v>3.0138888888888885E-2</v>
      </c>
      <c r="AA7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3.768768187073622</v>
      </c>
      <c r="AB749" s="11">
        <f>AVERAGEIFS(EarningsPerDay[Gross $/Hour],EarningsPerDay[Week '#], EarningsPerDay[[#This Row],[Week '#]], EarningsPerDay[DOW], EarningsPerDay[[#This Row],[DOW]])</f>
        <v>25.47052001294638</v>
      </c>
      <c r="AC749" s="11">
        <f>EarningsPerDay[[#This Row],[Gross $/Hour]] - EarningsPerDay[[#This Row],[Weekly Average Earnings]]</f>
        <v>-2.2769716258496047</v>
      </c>
      <c r="AD749" s="11">
        <f>(SUMIFS(EarningsPerDay[Gross Earnings], EarningsPerDay[Date],"&gt;="&amp;EarningsPerDay[[#This Row],[Date]]-89, EarningsPerDay[Date], "&lt;="&amp;EarningsPerDay[[#This Row],[Date]]))/90</f>
        <v>74.444777777777801</v>
      </c>
    </row>
    <row r="750" spans="2:30" x14ac:dyDescent="0.35">
      <c r="B750" s="40">
        <v>45845</v>
      </c>
      <c r="C750" s="40">
        <f t="shared" si="92"/>
        <v>45845</v>
      </c>
      <c r="D750" s="4">
        <f>IF(EarningsPerDay[[#This Row],[Week '#]]&gt;=52,YEAR(EarningsPerDay[[#This Row],[Date]])-1,YEAR(EarningsPerDay[[#This Row],[Date]]))</f>
        <v>2025</v>
      </c>
      <c r="E750" s="4" t="str">
        <f>"QTR"&amp;IF(EarningsPerDay[[#This Row],[Week '#]] &lt;= 13, 1, IF(EarningsPerDay[[#This Row],[Week '#]] &lt;= 26, 2, IF(EarningsPerDay[[#This Row],[Week '#]] &lt;= 39, 3, 4)))</f>
        <v>QTR3</v>
      </c>
      <c r="F7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750" s="4">
        <f>IF(WEEKNUM(EarningsPerDay[[#This Row],[Date]], 2) = 53, 1, WEEKNUM(EarningsPerDay[[#This Row],[Date]],2))</f>
        <v>28</v>
      </c>
      <c r="H750" s="40" t="str">
        <f t="shared" si="103"/>
        <v>Monday</v>
      </c>
      <c r="I750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750" s="40" t="str" cm="1">
        <f t="array" ref="J750">IFERROR(VLOOKUP(MODE(IF(Combined[Date]=EarningsPerDay[[#This Row],[Date]],Combined[Area '#])),KPIs!$B$4:$C$7,2,FALSE),VLOOKUP(EarningsPerDay[[#This Row],[Date]],Combined[[Date]:[Primary Area]],8,FALSE))</f>
        <v>Portland</v>
      </c>
      <c r="K750" s="40" t="str">
        <f>_xlfn.XLOOKUP(EarningsPerDay[[#This Row],[Date]],Mileage[Date],Mileage[Weather])</f>
        <v>Partially Cloudy</v>
      </c>
      <c r="L750" s="4">
        <f>_xlfn.XLOOKUP(EarningsPerDay[[#This Row],[Date]],Mileage[Date],Mileage[Hi Temp])</f>
        <v>84</v>
      </c>
      <c r="M750" s="12">
        <f>_xlfn.XLOOKUP(EarningsPerDay[[#This Row],[Date]],Mileage[Date],Mileage[Total Time])</f>
        <v>4.93</v>
      </c>
      <c r="N750" s="4">
        <f>_xlfn.XLOOKUP(EarningsPerDay[[#This Row],[Date]],Mileage[Date],Mileage[Mileage])</f>
        <v>84</v>
      </c>
      <c r="O750" s="4">
        <f>SUMIF(Combined[Date],EarningsPerDay[[#This Row],[Date]],Combined[Trips])</f>
        <v>10</v>
      </c>
      <c r="P750">
        <f>COUNTIF(Combined[Date],EarningsPerDay[[#This Row],[Date]])</f>
        <v>2</v>
      </c>
      <c r="Q7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0" s="11">
        <f>SUMIF(Combined[Date],EarningsPerDay[[#This Row],[Date]],Combined[Earnings])</f>
        <v>126.22</v>
      </c>
      <c r="S750" s="11">
        <f ca="1">EarningsPerDay[[#This Row],[Gross Earnings]]-(EarningsPerDay[[#This Row],[Miles]]*CpM!$D$11)</f>
        <v>107.49026021922415</v>
      </c>
      <c r="T750" s="11">
        <f t="shared" si="95"/>
        <v>25.60243407707911</v>
      </c>
      <c r="U750" s="11">
        <f t="shared" ca="1" si="96"/>
        <v>21.803298218909568</v>
      </c>
      <c r="V750" s="11">
        <f>EarningsPerDay[[#This Row],[Gross Earnings]]/EarningsPerDay[[#This Row],[Deliveries]]</f>
        <v>12.622</v>
      </c>
      <c r="W750" s="11">
        <f>EarningsPerDay[[#This Row],[Gross Earnings]]/EarningsPerDay[[#This Row],[Miles]]</f>
        <v>1.5026190476190475</v>
      </c>
      <c r="X750" s="71">
        <f>EarningsPerDay[[#This Row],[Deliveries]]/EarningsPerDay[[#This Row],[Hours]]</f>
        <v>2.028397565922921</v>
      </c>
      <c r="Y750" s="71">
        <f>EarningsPerDay[[#This Row],[Miles]]/EarningsPerDay[[#This Row],[Deliveries]]</f>
        <v>8.4</v>
      </c>
      <c r="Z750" s="81">
        <f>(EarningsPerDay[[#This Row],[Hours]]/EarningsPerDay[[#This Row],[Deliveries]])/24</f>
        <v>2.0541666666666666E-2</v>
      </c>
      <c r="AA7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2.2036925875669269</v>
      </c>
      <c r="AB750" s="11">
        <f>AVERAGEIFS(EarningsPerDay[Gross $/Hour],EarningsPerDay[Week '#], EarningsPerDay[[#This Row],[Week '#]], EarningsPerDay[DOW], EarningsPerDay[[#This Row],[DOW]])</f>
        <v>25.60243407707911</v>
      </c>
      <c r="AC750" s="11">
        <f>EarningsPerDay[[#This Row],[Gross $/Hour]] - EarningsPerDay[[#This Row],[Weekly Average Earnings]]</f>
        <v>0</v>
      </c>
      <c r="AD750" s="11">
        <f>(SUMIFS(EarningsPerDay[Gross Earnings], EarningsPerDay[Date],"&gt;="&amp;EarningsPerDay[[#This Row],[Date]]-89, EarningsPerDay[Date], "&lt;="&amp;EarningsPerDay[[#This Row],[Date]]))/90</f>
        <v>73.098000000000027</v>
      </c>
    </row>
    <row r="751" spans="2:30" x14ac:dyDescent="0.35">
      <c r="B751" s="40">
        <v>45856</v>
      </c>
      <c r="C751" s="40">
        <f t="shared" si="92"/>
        <v>45856</v>
      </c>
      <c r="D751" s="4">
        <f>IF(EarningsPerDay[[#This Row],[Week '#]]&gt;=52,YEAR(EarningsPerDay[[#This Row],[Date]])-1,YEAR(EarningsPerDay[[#This Row],[Date]]))</f>
        <v>2025</v>
      </c>
      <c r="E751" s="4" t="str">
        <f>"QTR"&amp;IF(EarningsPerDay[[#This Row],[Week '#]] &lt;= 13, 1, IF(EarningsPerDay[[#This Row],[Week '#]] &lt;= 26, 2, IF(EarningsPerDay[[#This Row],[Week '#]] &lt;= 39, 3, 4)))</f>
        <v>QTR3</v>
      </c>
      <c r="F7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751" s="4">
        <f>IF(WEEKNUM(EarningsPerDay[[#This Row],[Date]], 2) = 53, 1, WEEKNUM(EarningsPerDay[[#This Row],[Date]],2))</f>
        <v>29</v>
      </c>
      <c r="H751" s="40" t="str">
        <f t="shared" si="103"/>
        <v>Friday</v>
      </c>
      <c r="I75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51" s="40" t="str" cm="1">
        <f t="array" ref="J751">IFERROR(VLOOKUP(MODE(IF(Combined[Date]=EarningsPerDay[[#This Row],[Date]],Combined[Area '#])),KPIs!$B$4:$C$7,2,FALSE),VLOOKUP(EarningsPerDay[[#This Row],[Date]],Combined[[Date]:[Primary Area]],8,FALSE))</f>
        <v>Portland</v>
      </c>
      <c r="K751" s="40" t="str">
        <f>_xlfn.XLOOKUP(EarningsPerDay[[#This Row],[Date]],Mileage[Date],Mileage[Weather])</f>
        <v>Clear</v>
      </c>
      <c r="L751" s="4">
        <f>_xlfn.XLOOKUP(EarningsPerDay[[#This Row],[Date]],Mileage[Date],Mileage[Hi Temp])</f>
        <v>77</v>
      </c>
      <c r="M751" s="12">
        <f>_xlfn.XLOOKUP(EarningsPerDay[[#This Row],[Date]],Mileage[Date],Mileage[Total Time])</f>
        <v>5.37</v>
      </c>
      <c r="N751" s="4">
        <f>_xlfn.XLOOKUP(EarningsPerDay[[#This Row],[Date]],Mileage[Date],Mileage[Mileage])</f>
        <v>131</v>
      </c>
      <c r="O751" s="4">
        <f>SUMIF(Combined[Date],EarningsPerDay[[#This Row],[Date]],Combined[Trips])</f>
        <v>10</v>
      </c>
      <c r="P751">
        <f>COUNTIF(Combined[Date],EarningsPerDay[[#This Row],[Date]])</f>
        <v>2</v>
      </c>
      <c r="Q7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1" s="11">
        <f>SUMIF(Combined[Date],EarningsPerDay[[#This Row],[Date]],Combined[Earnings])</f>
        <v>114.08</v>
      </c>
      <c r="S751" s="11">
        <f ca="1">EarningsPerDay[[#This Row],[Gross Earnings]]-(EarningsPerDay[[#This Row],[Miles]]*CpM!$D$11)</f>
        <v>84.870524865694819</v>
      </c>
      <c r="T751" s="11">
        <f t="shared" si="95"/>
        <v>21.243947858472996</v>
      </c>
      <c r="U751" s="11">
        <f t="shared" ca="1" si="96"/>
        <v>15.80456701409587</v>
      </c>
      <c r="V751" s="11">
        <f>EarningsPerDay[[#This Row],[Gross Earnings]]/EarningsPerDay[[#This Row],[Deliveries]]</f>
        <v>11.407999999999999</v>
      </c>
      <c r="W751" s="11">
        <f>EarningsPerDay[[#This Row],[Gross Earnings]]/EarningsPerDay[[#This Row],[Miles]]</f>
        <v>0.87083969465648858</v>
      </c>
      <c r="X751" s="71">
        <f>EarningsPerDay[[#This Row],[Deliveries]]/EarningsPerDay[[#This Row],[Hours]]</f>
        <v>1.8621973929236499</v>
      </c>
      <c r="Y751" s="71">
        <f>EarningsPerDay[[#This Row],[Miles]]/EarningsPerDay[[#This Row],[Deliveries]]</f>
        <v>13.1</v>
      </c>
      <c r="Z751" s="81">
        <f>(EarningsPerDay[[#This Row],[Hours]]/EarningsPerDay[[#This Row],[Deliveries]])/24</f>
        <v>2.2375000000000003E-2</v>
      </c>
      <c r="AA7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-1.6782334296833632</v>
      </c>
      <c r="AB751" s="11">
        <f>AVERAGEIFS(EarningsPerDay[Gross $/Hour],EarningsPerDay[Week '#], EarningsPerDay[[#This Row],[Week '#]], EarningsPerDay[DOW], EarningsPerDay[[#This Row],[DOW]])</f>
        <v>19.277372919603788</v>
      </c>
      <c r="AC751" s="11">
        <f>EarningsPerDay[[#This Row],[Gross $/Hour]] - EarningsPerDay[[#This Row],[Weekly Average Earnings]]</f>
        <v>1.9665749388692078</v>
      </c>
      <c r="AD751" s="11">
        <f>(SUMIFS(EarningsPerDay[Gross Earnings], EarningsPerDay[Date],"&gt;="&amp;EarningsPerDay[[#This Row],[Date]]-89, EarningsPerDay[Date], "&lt;="&amp;EarningsPerDay[[#This Row],[Date]]))/90</f>
        <v>68.732222222222234</v>
      </c>
    </row>
    <row r="752" spans="2:30" x14ac:dyDescent="0.35">
      <c r="B752" s="40">
        <v>45857</v>
      </c>
      <c r="C752" s="40">
        <f t="shared" si="92"/>
        <v>45857</v>
      </c>
      <c r="D752" s="4">
        <f>IF(EarningsPerDay[[#This Row],[Week '#]]&gt;=52,YEAR(EarningsPerDay[[#This Row],[Date]])-1,YEAR(EarningsPerDay[[#This Row],[Date]]))</f>
        <v>2025</v>
      </c>
      <c r="E752" s="4" t="str">
        <f>"QTR"&amp;IF(EarningsPerDay[[#This Row],[Week '#]] &lt;= 13, 1, IF(EarningsPerDay[[#This Row],[Week '#]] &lt;= 26, 2, IF(EarningsPerDay[[#This Row],[Week '#]] &lt;= 39, 3, 4)))</f>
        <v>QTR3</v>
      </c>
      <c r="F7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752" s="4">
        <f>IF(WEEKNUM(EarningsPerDay[[#This Row],[Date]], 2) = 53, 1, WEEKNUM(EarningsPerDay[[#This Row],[Date]],2))</f>
        <v>29</v>
      </c>
      <c r="H752" s="40" t="str">
        <f t="shared" ref="H752:H758" si="104">TEXT(B752,"DDDD")</f>
        <v>Saturday</v>
      </c>
      <c r="I752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52" s="40" t="str" cm="1">
        <f t="array" ref="J752">IFERROR(VLOOKUP(MODE(IF(Combined[Date]=EarningsPerDay[[#This Row],[Date]],Combined[Area '#])),KPIs!$B$4:$C$7,2,FALSE),VLOOKUP(EarningsPerDay[[#This Row],[Date]],Combined[[Date]:[Primary Area]],8,FALSE))</f>
        <v>Lewiston</v>
      </c>
      <c r="K752" s="40" t="str">
        <f>_xlfn.XLOOKUP(EarningsPerDay[[#This Row],[Date]],Mileage[Date],Mileage[Weather])</f>
        <v>Clear</v>
      </c>
      <c r="L752" s="4">
        <f>_xlfn.XLOOKUP(EarningsPerDay[[#This Row],[Date]],Mileage[Date],Mileage[Hi Temp])</f>
        <v>75</v>
      </c>
      <c r="M752" s="12">
        <f>_xlfn.XLOOKUP(EarningsPerDay[[#This Row],[Date]],Mileage[Date],Mileage[Total Time])</f>
        <v>8.2200000000000006</v>
      </c>
      <c r="N752" s="4">
        <f>_xlfn.XLOOKUP(EarningsPerDay[[#This Row],[Date]],Mileage[Date],Mileage[Mileage])</f>
        <v>198</v>
      </c>
      <c r="O752" s="4">
        <f>SUMIF(Combined[Date],EarningsPerDay[[#This Row],[Date]],Combined[Trips])</f>
        <v>9</v>
      </c>
      <c r="P752">
        <f>COUNTIF(Combined[Date],EarningsPerDay[[#This Row],[Date]])</f>
        <v>3</v>
      </c>
      <c r="Q7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2" s="11">
        <f>SUMIF(Combined[Date],EarningsPerDay[[#This Row],[Date]],Combined[Earnings])</f>
        <v>154.04</v>
      </c>
      <c r="S752" s="11">
        <f ca="1">EarningsPerDay[[#This Row],[Gross Earnings]]-(EarningsPerDay[[#This Row],[Miles]]*CpM!$D$11)</f>
        <v>109.8913276595998</v>
      </c>
      <c r="T752" s="11">
        <f t="shared" si="95"/>
        <v>18.739659367396591</v>
      </c>
      <c r="U752" s="11">
        <f t="shared" ca="1" si="96"/>
        <v>13.36877465445253</v>
      </c>
      <c r="V752" s="11">
        <f>EarningsPerDay[[#This Row],[Gross Earnings]]/EarningsPerDay[[#This Row],[Deliveries]]</f>
        <v>17.115555555555556</v>
      </c>
      <c r="W752" s="11">
        <f>EarningsPerDay[[#This Row],[Gross Earnings]]/EarningsPerDay[[#This Row],[Miles]]</f>
        <v>0.77797979797979799</v>
      </c>
      <c r="X752" s="71">
        <f>EarningsPerDay[[#This Row],[Deliveries]]/EarningsPerDay[[#This Row],[Hours]]</f>
        <v>1.0948905109489051</v>
      </c>
      <c r="Y752" s="71">
        <f>EarningsPerDay[[#This Row],[Miles]]/EarningsPerDay[[#This Row],[Deliveries]]</f>
        <v>22</v>
      </c>
      <c r="Z752" s="81">
        <f>(EarningsPerDay[[#This Row],[Hours]]/EarningsPerDay[[#This Row],[Deliveries]])/24</f>
        <v>3.8055555555555558E-2</v>
      </c>
      <c r="AA7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-2.4646891694910629</v>
      </c>
      <c r="AB752" s="11">
        <f>AVERAGEIFS(EarningsPerDay[Gross $/Hour],EarningsPerDay[Week '#], EarningsPerDay[[#This Row],[Week '#]], EarningsPerDay[DOW], EarningsPerDay[[#This Row],[DOW]])</f>
        <v>20.038561698743642</v>
      </c>
      <c r="AC752" s="11">
        <f>EarningsPerDay[[#This Row],[Gross $/Hour]] - EarningsPerDay[[#This Row],[Weekly Average Earnings]]</f>
        <v>-1.2989023313470511</v>
      </c>
      <c r="AD752" s="11">
        <f>(SUMIFS(EarningsPerDay[Gross Earnings], EarningsPerDay[Date],"&gt;="&amp;EarningsPerDay[[#This Row],[Date]]-89, EarningsPerDay[Date], "&lt;="&amp;EarningsPerDay[[#This Row],[Date]]))/90</f>
        <v>70.443777777777782</v>
      </c>
    </row>
    <row r="753" spans="2:30" x14ac:dyDescent="0.35">
      <c r="B753" s="40">
        <v>45860</v>
      </c>
      <c r="C753" s="40">
        <f t="shared" si="92"/>
        <v>45860</v>
      </c>
      <c r="D753" s="4">
        <f>IF(EarningsPerDay[[#This Row],[Week '#]]&gt;=52,YEAR(EarningsPerDay[[#This Row],[Date]])-1,YEAR(EarningsPerDay[[#This Row],[Date]]))</f>
        <v>2025</v>
      </c>
      <c r="E753" s="4" t="str">
        <f>"QTR"&amp;IF(EarningsPerDay[[#This Row],[Week '#]] &lt;= 13, 1, IF(EarningsPerDay[[#This Row],[Week '#]] &lt;= 26, 2, IF(EarningsPerDay[[#This Row],[Week '#]] &lt;= 39, 3, 4)))</f>
        <v>QTR3</v>
      </c>
      <c r="F7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753" s="4">
        <f>IF(WEEKNUM(EarningsPerDay[[#This Row],[Date]], 2) = 53, 1, WEEKNUM(EarningsPerDay[[#This Row],[Date]],2))</f>
        <v>30</v>
      </c>
      <c r="H753" s="40" t="str">
        <f t="shared" si="104"/>
        <v>Tuesday</v>
      </c>
      <c r="I753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53" s="40" t="str" cm="1">
        <f t="array" ref="J753">IFERROR(VLOOKUP(MODE(IF(Combined[Date]=EarningsPerDay[[#This Row],[Date]],Combined[Area '#])),KPIs!$B$4:$C$7,2,FALSE),VLOOKUP(EarningsPerDay[[#This Row],[Date]],Combined[[Date]:[Primary Area]],8,FALSE))</f>
        <v>Brunswick/Bath/Freeport</v>
      </c>
      <c r="K753" s="40" t="str">
        <f>_xlfn.XLOOKUP(EarningsPerDay[[#This Row],[Date]],Mileage[Date],Mileage[Weather])</f>
        <v>Partially Cloudy</v>
      </c>
      <c r="L753" s="4">
        <f>_xlfn.XLOOKUP(EarningsPerDay[[#This Row],[Date]],Mileage[Date],Mileage[Hi Temp])</f>
        <v>73</v>
      </c>
      <c r="M753" s="12">
        <f>_xlfn.XLOOKUP(EarningsPerDay[[#This Row],[Date]],Mileage[Date],Mileage[Total Time])</f>
        <v>5</v>
      </c>
      <c r="N753" s="4">
        <f>_xlfn.XLOOKUP(EarningsPerDay[[#This Row],[Date]],Mileage[Date],Mileage[Mileage])</f>
        <v>96</v>
      </c>
      <c r="O753" s="4">
        <f>SUMIF(Combined[Date],EarningsPerDay[[#This Row],[Date]],Combined[Trips])</f>
        <v>9</v>
      </c>
      <c r="P753">
        <f>COUNTIF(Combined[Date],EarningsPerDay[[#This Row],[Date]])</f>
        <v>2</v>
      </c>
      <c r="Q7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3" s="11">
        <f>SUMIF(Combined[Date],EarningsPerDay[[#This Row],[Date]],Combined[Earnings])</f>
        <v>95.64</v>
      </c>
      <c r="S753" s="11">
        <f ca="1">EarningsPerDay[[#This Row],[Gross Earnings]]-(EarningsPerDay[[#This Row],[Miles]]*CpM!$D$11)</f>
        <v>74.234583107684756</v>
      </c>
      <c r="T753" s="11">
        <f t="shared" si="95"/>
        <v>19.128</v>
      </c>
      <c r="U753" s="11">
        <f t="shared" ca="1" si="96"/>
        <v>14.846916621536952</v>
      </c>
      <c r="V753" s="11">
        <f>EarningsPerDay[[#This Row],[Gross Earnings]]/EarningsPerDay[[#This Row],[Deliveries]]</f>
        <v>10.626666666666667</v>
      </c>
      <c r="W753" s="11">
        <f>EarningsPerDay[[#This Row],[Gross Earnings]]/EarningsPerDay[[#This Row],[Miles]]</f>
        <v>0.99624999999999997</v>
      </c>
      <c r="X753" s="71">
        <f>EarningsPerDay[[#This Row],[Deliveries]]/EarningsPerDay[[#This Row],[Hours]]</f>
        <v>1.8</v>
      </c>
      <c r="Y753" s="71">
        <f>EarningsPerDay[[#This Row],[Miles]]/EarningsPerDay[[#This Row],[Deliveries]]</f>
        <v>10.666666666666666</v>
      </c>
      <c r="Z753" s="81">
        <f>(EarningsPerDay[[#This Row],[Hours]]/EarningsPerDay[[#This Row],[Deliveries]])/24</f>
        <v>2.314814814814815E-2</v>
      </c>
      <c r="AA7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-3.3266933651010504</v>
      </c>
      <c r="AB753" s="11">
        <f>AVERAGEIFS(EarningsPerDay[Gross $/Hour],EarningsPerDay[Week '#], EarningsPerDay[[#This Row],[Week '#]], EarningsPerDay[DOW], EarningsPerDay[[#This Row],[DOW]])</f>
        <v>19.176198587306246</v>
      </c>
      <c r="AC753" s="11">
        <f>EarningsPerDay[[#This Row],[Gross $/Hour]] - EarningsPerDay[[#This Row],[Weekly Average Earnings]]</f>
        <v>-4.8198587306245599E-2</v>
      </c>
      <c r="AD753" s="11">
        <f>(SUMIFS(EarningsPerDay[Gross Earnings], EarningsPerDay[Date],"&gt;="&amp;EarningsPerDay[[#This Row],[Date]]-89, EarningsPerDay[Date], "&lt;="&amp;EarningsPerDay[[#This Row],[Date]]))/90</f>
        <v>68.033444444444456</v>
      </c>
    </row>
    <row r="754" spans="2:30" x14ac:dyDescent="0.35">
      <c r="B754" s="40">
        <v>45862</v>
      </c>
      <c r="C754" s="40">
        <f t="shared" si="92"/>
        <v>45862</v>
      </c>
      <c r="D754" s="4">
        <f>IF(EarningsPerDay[[#This Row],[Week '#]]&gt;=52,YEAR(EarningsPerDay[[#This Row],[Date]])-1,YEAR(EarningsPerDay[[#This Row],[Date]]))</f>
        <v>2025</v>
      </c>
      <c r="E754" s="4" t="str">
        <f>"QTR"&amp;IF(EarningsPerDay[[#This Row],[Week '#]] &lt;= 13, 1, IF(EarningsPerDay[[#This Row],[Week '#]] &lt;= 26, 2, IF(EarningsPerDay[[#This Row],[Week '#]] &lt;= 39, 3, 4)))</f>
        <v>QTR3</v>
      </c>
      <c r="F7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754" s="4">
        <f>IF(WEEKNUM(EarningsPerDay[[#This Row],[Date]], 2) = 53, 1, WEEKNUM(EarningsPerDay[[#This Row],[Date]],2))</f>
        <v>30</v>
      </c>
      <c r="H754" s="40" t="str">
        <f t="shared" si="104"/>
        <v>Thursday</v>
      </c>
      <c r="I75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54" s="40" t="str" cm="1">
        <f t="array" ref="J754">IFERROR(VLOOKUP(MODE(IF(Combined[Date]=EarningsPerDay[[#This Row],[Date]],Combined[Area '#])),KPIs!$B$4:$C$7,2,FALSE),VLOOKUP(EarningsPerDay[[#This Row],[Date]],Combined[[Date]:[Primary Area]],8,FALSE))</f>
        <v>Portland</v>
      </c>
      <c r="K754" s="40" t="str">
        <f>_xlfn.XLOOKUP(EarningsPerDay[[#This Row],[Date]],Mileage[Date],Mileage[Weather])</f>
        <v>Clear</v>
      </c>
      <c r="L754" s="4">
        <f>_xlfn.XLOOKUP(EarningsPerDay[[#This Row],[Date]],Mileage[Date],Mileage[Hi Temp])</f>
        <v>74</v>
      </c>
      <c r="M754" s="12">
        <f>_xlfn.XLOOKUP(EarningsPerDay[[#This Row],[Date]],Mileage[Date],Mileage[Total Time])</f>
        <v>9.92</v>
      </c>
      <c r="N754" s="4">
        <f>_xlfn.XLOOKUP(EarningsPerDay[[#This Row],[Date]],Mileage[Date],Mileage[Mileage])</f>
        <v>256</v>
      </c>
      <c r="O754" s="4">
        <f>SUMIF(Combined[Date],EarningsPerDay[[#This Row],[Date]],Combined[Trips])</f>
        <v>21</v>
      </c>
      <c r="P754">
        <f>COUNTIF(Combined[Date],EarningsPerDay[[#This Row],[Date]])</f>
        <v>2</v>
      </c>
      <c r="Q75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54" s="11">
        <f>SUMIF(Combined[Date],EarningsPerDay[[#This Row],[Date]],Combined[Earnings])</f>
        <v>215.68</v>
      </c>
      <c r="S754" s="11">
        <f ca="1">EarningsPerDay[[#This Row],[Gross Earnings]]-(EarningsPerDay[[#This Row],[Miles]]*CpM!$D$11)</f>
        <v>158.59888828715935</v>
      </c>
      <c r="T754" s="11">
        <f t="shared" si="95"/>
        <v>21.741935483870968</v>
      </c>
      <c r="U754" s="11">
        <f t="shared" ca="1" si="96"/>
        <v>15.987791157979773</v>
      </c>
      <c r="V754" s="11">
        <f>EarningsPerDay[[#This Row],[Gross Earnings]]/EarningsPerDay[[#This Row],[Deliveries]]</f>
        <v>10.270476190476192</v>
      </c>
      <c r="W754" s="11">
        <f>EarningsPerDay[[#This Row],[Gross Earnings]]/EarningsPerDay[[#This Row],[Miles]]</f>
        <v>0.84250000000000003</v>
      </c>
      <c r="X754" s="71">
        <f>EarningsPerDay[[#This Row],[Deliveries]]/EarningsPerDay[[#This Row],[Hours]]</f>
        <v>2.116935483870968</v>
      </c>
      <c r="Y754" s="71">
        <f>EarningsPerDay[[#This Row],[Miles]]/EarningsPerDay[[#This Row],[Deliveries]]</f>
        <v>12.19047619047619</v>
      </c>
      <c r="Z754" s="81">
        <f>(EarningsPerDay[[#This Row],[Hours]]/EarningsPerDay[[#This Row],[Deliveries]])/24</f>
        <v>1.9682539682539683E-2</v>
      </c>
      <c r="AA7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-0.25104398959602392</v>
      </c>
      <c r="AB754" s="11">
        <f>AVERAGEIFS(EarningsPerDay[Gross $/Hour],EarningsPerDay[Week '#], EarningsPerDay[[#This Row],[Week '#]], EarningsPerDay[DOW], EarningsPerDay[[#This Row],[DOW]])</f>
        <v>20.938868976503386</v>
      </c>
      <c r="AC754" s="11">
        <f>EarningsPerDay[[#This Row],[Gross $/Hour]] - EarningsPerDay[[#This Row],[Weekly Average Earnings]]</f>
        <v>0.80306650736758201</v>
      </c>
      <c r="AD754" s="11">
        <f>(SUMIFS(EarningsPerDay[Gross Earnings], EarningsPerDay[Date],"&gt;="&amp;EarningsPerDay[[#This Row],[Date]]-89, EarningsPerDay[Date], "&lt;="&amp;EarningsPerDay[[#This Row],[Date]]))/90</f>
        <v>69.65066666666668</v>
      </c>
    </row>
    <row r="755" spans="2:30" x14ac:dyDescent="0.35">
      <c r="B755" s="40">
        <v>45866</v>
      </c>
      <c r="C755" s="40">
        <f t="shared" si="92"/>
        <v>45866</v>
      </c>
      <c r="D755" s="4">
        <f>IF(EarningsPerDay[[#This Row],[Week '#]]&gt;=52,YEAR(EarningsPerDay[[#This Row],[Date]])-1,YEAR(EarningsPerDay[[#This Row],[Date]]))</f>
        <v>2025</v>
      </c>
      <c r="E755" s="4" t="str">
        <f>"QTR"&amp;IF(EarningsPerDay[[#This Row],[Week '#]] &lt;= 13, 1, IF(EarningsPerDay[[#This Row],[Week '#]] &lt;= 26, 2, IF(EarningsPerDay[[#This Row],[Week '#]] &lt;= 39, 3, 4)))</f>
        <v>QTR3</v>
      </c>
      <c r="F7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55" s="4">
        <f>IF(WEEKNUM(EarningsPerDay[[#This Row],[Date]], 2) = 53, 1, WEEKNUM(EarningsPerDay[[#This Row],[Date]],2))</f>
        <v>31</v>
      </c>
      <c r="H755" s="40" t="str">
        <f t="shared" si="104"/>
        <v>Monday</v>
      </c>
      <c r="I755" s="106">
        <f>IF(_xlfn.XLOOKUP(EarningsPerDay[[#This Row],[Date]],Mileage[Date],Mileage[Start Time])="","",MROUND(_xlfn.XLOOKUP(EarningsPerDay[[#This Row],[Date]],Mileage[Date],Mileage[Start Time]),0.0208333333333333))</f>
        <v>0.56249999999999911</v>
      </c>
      <c r="J755" s="40" t="str" cm="1">
        <f t="array" ref="J755">IFERROR(VLOOKUP(MODE(IF(Combined[Date]=EarningsPerDay[[#This Row],[Date]],Combined[Area '#])),KPIs!$B$4:$C$7,2,FALSE),VLOOKUP(EarningsPerDay[[#This Row],[Date]],Combined[[Date]:[Primary Area]],8,FALSE))</f>
        <v>Portland</v>
      </c>
      <c r="K755" s="40" t="str">
        <f>_xlfn.XLOOKUP(EarningsPerDay[[#This Row],[Date]],Mileage[Date],Mileage[Weather])</f>
        <v>Partially Cloudy</v>
      </c>
      <c r="L755" s="4">
        <f>_xlfn.XLOOKUP(EarningsPerDay[[#This Row],[Date]],Mileage[Date],Mileage[Hi Temp])</f>
        <v>82</v>
      </c>
      <c r="M755" s="12">
        <f>_xlfn.XLOOKUP(EarningsPerDay[[#This Row],[Date]],Mileage[Date],Mileage[Total Time])</f>
        <v>6.18</v>
      </c>
      <c r="N755" s="4">
        <f>_xlfn.XLOOKUP(EarningsPerDay[[#This Row],[Date]],Mileage[Date],Mileage[Mileage])</f>
        <v>119</v>
      </c>
      <c r="O755" s="4">
        <f>SUMIF(Combined[Date],EarningsPerDay[[#This Row],[Date]],Combined[Trips])</f>
        <v>13</v>
      </c>
      <c r="P755">
        <f>COUNTIF(Combined[Date],EarningsPerDay[[#This Row],[Date]])</f>
        <v>2</v>
      </c>
      <c r="Q7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5" s="11">
        <f>SUMIF(Combined[Date],EarningsPerDay[[#This Row],[Date]],Combined[Earnings])</f>
        <v>115.44</v>
      </c>
      <c r="S755" s="11">
        <f ca="1">EarningsPerDay[[#This Row],[Gross Earnings]]-(EarningsPerDay[[#This Row],[Miles]]*CpM!$D$11)</f>
        <v>88.906201977234218</v>
      </c>
      <c r="T755" s="11">
        <f t="shared" si="95"/>
        <v>18.679611650485437</v>
      </c>
      <c r="U755" s="11">
        <f t="shared" ca="1" si="96"/>
        <v>14.386116824795181</v>
      </c>
      <c r="V755" s="11">
        <f>EarningsPerDay[[#This Row],[Gross Earnings]]/EarningsPerDay[[#This Row],[Deliveries]]</f>
        <v>8.879999999999999</v>
      </c>
      <c r="W755" s="11">
        <f>EarningsPerDay[[#This Row],[Gross Earnings]]/EarningsPerDay[[#This Row],[Miles]]</f>
        <v>0.97008403361344531</v>
      </c>
      <c r="X755" s="71">
        <f>EarningsPerDay[[#This Row],[Deliveries]]/EarningsPerDay[[#This Row],[Hours]]</f>
        <v>2.1035598705501619</v>
      </c>
      <c r="Y755" s="71">
        <f>EarningsPerDay[[#This Row],[Miles]]/EarningsPerDay[[#This Row],[Deliveries]]</f>
        <v>9.1538461538461533</v>
      </c>
      <c r="Z755" s="81">
        <f>(EarningsPerDay[[#This Row],[Hours]]/EarningsPerDay[[#This Row],[Deliveries]])/24</f>
        <v>1.9807692307692307E-2</v>
      </c>
      <c r="AA7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-4.8487588147659757</v>
      </c>
      <c r="AB755" s="11">
        <f>AVERAGEIFS(EarningsPerDay[Gross $/Hour],EarningsPerDay[Week '#], EarningsPerDay[[#This Row],[Week '#]], EarningsPerDay[DOW], EarningsPerDay[[#This Row],[DOW]])</f>
        <v>21.130380645893315</v>
      </c>
      <c r="AC755" s="11">
        <f>EarningsPerDay[[#This Row],[Gross $/Hour]] - EarningsPerDay[[#This Row],[Weekly Average Earnings]]</f>
        <v>-2.4507689954078771</v>
      </c>
      <c r="AD755" s="11">
        <f>(SUMIFS(EarningsPerDay[Gross Earnings], EarningsPerDay[Date],"&gt;="&amp;EarningsPerDay[[#This Row],[Date]]-89, EarningsPerDay[Date], "&lt;="&amp;EarningsPerDay[[#This Row],[Date]]))/90</f>
        <v>66.071000000000012</v>
      </c>
    </row>
    <row r="756" spans="2:30" x14ac:dyDescent="0.35">
      <c r="B756" s="40">
        <v>45868</v>
      </c>
      <c r="C756" s="40">
        <f t="shared" si="92"/>
        <v>45868</v>
      </c>
      <c r="D756" s="4">
        <f>IF(EarningsPerDay[[#This Row],[Week '#]]&gt;=52,YEAR(EarningsPerDay[[#This Row],[Date]])-1,YEAR(EarningsPerDay[[#This Row],[Date]]))</f>
        <v>2025</v>
      </c>
      <c r="E756" s="4" t="str">
        <f>"QTR"&amp;IF(EarningsPerDay[[#This Row],[Week '#]] &lt;= 13, 1, IF(EarningsPerDay[[#This Row],[Week '#]] &lt;= 26, 2, IF(EarningsPerDay[[#This Row],[Week '#]] &lt;= 39, 3, 4)))</f>
        <v>QTR3</v>
      </c>
      <c r="F7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56" s="4">
        <f>IF(WEEKNUM(EarningsPerDay[[#This Row],[Date]], 2) = 53, 1, WEEKNUM(EarningsPerDay[[#This Row],[Date]],2))</f>
        <v>31</v>
      </c>
      <c r="H756" s="40" t="str">
        <f t="shared" si="104"/>
        <v>Wednesday</v>
      </c>
      <c r="I75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56" s="40" t="str" cm="1">
        <f t="array" ref="J756">IFERROR(VLOOKUP(MODE(IF(Combined[Date]=EarningsPerDay[[#This Row],[Date]],Combined[Area '#])),KPIs!$B$4:$C$7,2,FALSE),VLOOKUP(EarningsPerDay[[#This Row],[Date]],Combined[[Date]:[Primary Area]],8,FALSE))</f>
        <v>Brunswick/Bath/Freeport</v>
      </c>
      <c r="K756" s="40" t="str">
        <f>_xlfn.XLOOKUP(EarningsPerDay[[#This Row],[Date]],Mileage[Date],Mileage[Weather])</f>
        <v>Partially Cloudy</v>
      </c>
      <c r="L756" s="4">
        <f>_xlfn.XLOOKUP(EarningsPerDay[[#This Row],[Date]],Mileage[Date],Mileage[Hi Temp])</f>
        <v>82</v>
      </c>
      <c r="M756" s="12">
        <f>_xlfn.XLOOKUP(EarningsPerDay[[#This Row],[Date]],Mileage[Date],Mileage[Total Time])</f>
        <v>5.42</v>
      </c>
      <c r="N756" s="4">
        <f>_xlfn.XLOOKUP(EarningsPerDay[[#This Row],[Date]],Mileage[Date],Mileage[Mileage])</f>
        <v>134</v>
      </c>
      <c r="O756" s="4">
        <f>SUMIF(Combined[Date],EarningsPerDay[[#This Row],[Date]],Combined[Trips])</f>
        <v>10</v>
      </c>
      <c r="P756">
        <f>COUNTIF(Combined[Date],EarningsPerDay[[#This Row],[Date]])</f>
        <v>3</v>
      </c>
      <c r="Q75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6" s="11">
        <f>SUMIF(Combined[Date],EarningsPerDay[[#This Row],[Date]],Combined[Earnings])</f>
        <v>111.37</v>
      </c>
      <c r="S756" s="11">
        <f ca="1">EarningsPerDay[[#This Row],[Gross Earnings]]-(EarningsPerDay[[#This Row],[Miles]]*CpM!$D$11)</f>
        <v>81.491605587809971</v>
      </c>
      <c r="T756" s="11">
        <f t="shared" si="95"/>
        <v>20.547970479704798</v>
      </c>
      <c r="U756" s="11">
        <f t="shared" ca="1" si="96"/>
        <v>15.035351584466785</v>
      </c>
      <c r="V756" s="11">
        <f>EarningsPerDay[[#This Row],[Gross Earnings]]/EarningsPerDay[[#This Row],[Deliveries]]</f>
        <v>11.137</v>
      </c>
      <c r="W756" s="11">
        <f>EarningsPerDay[[#This Row],[Gross Earnings]]/EarningsPerDay[[#This Row],[Miles]]</f>
        <v>0.8311194029850747</v>
      </c>
      <c r="X756" s="71">
        <f>EarningsPerDay[[#This Row],[Deliveries]]/EarningsPerDay[[#This Row],[Hours]]</f>
        <v>1.8450184501845019</v>
      </c>
      <c r="Y756" s="71">
        <f>EarningsPerDay[[#This Row],[Miles]]/EarningsPerDay[[#This Row],[Deliveries]]</f>
        <v>13.4</v>
      </c>
      <c r="Z756" s="81">
        <f>(EarningsPerDay[[#This Row],[Hours]]/EarningsPerDay[[#This Row],[Deliveries]])/24</f>
        <v>2.2583333333333334E-2</v>
      </c>
      <c r="AA7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-2.8709943219513079</v>
      </c>
      <c r="AB756" s="11">
        <f>AVERAGEIFS(EarningsPerDay[Gross $/Hour],EarningsPerDay[Week '#], EarningsPerDay[[#This Row],[Week '#]], EarningsPerDay[DOW], EarningsPerDay[[#This Row],[DOW]])</f>
        <v>17.567500598214174</v>
      </c>
      <c r="AC756" s="11">
        <f>EarningsPerDay[[#This Row],[Gross $/Hour]] - EarningsPerDay[[#This Row],[Weekly Average Earnings]]</f>
        <v>2.9804698814906239</v>
      </c>
      <c r="AD756" s="11">
        <f>(SUMIFS(EarningsPerDay[Gross Earnings], EarningsPerDay[Date],"&gt;="&amp;EarningsPerDay[[#This Row],[Date]]-89, EarningsPerDay[Date], "&lt;="&amp;EarningsPerDay[[#This Row],[Date]]))/90</f>
        <v>65.157000000000011</v>
      </c>
    </row>
    <row r="757" spans="2:30" x14ac:dyDescent="0.35">
      <c r="B757" s="40">
        <v>45869</v>
      </c>
      <c r="C757" s="40">
        <f t="shared" si="92"/>
        <v>45869</v>
      </c>
      <c r="D757" s="4">
        <f>IF(EarningsPerDay[[#This Row],[Week '#]]&gt;=52,YEAR(EarningsPerDay[[#This Row],[Date]])-1,YEAR(EarningsPerDay[[#This Row],[Date]]))</f>
        <v>2025</v>
      </c>
      <c r="E757" s="4" t="str">
        <f>"QTR"&amp;IF(EarningsPerDay[[#This Row],[Week '#]] &lt;= 13, 1, IF(EarningsPerDay[[#This Row],[Week '#]] &lt;= 26, 2, IF(EarningsPerDay[[#This Row],[Week '#]] &lt;= 39, 3, 4)))</f>
        <v>QTR3</v>
      </c>
      <c r="F7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57" s="4">
        <f>IF(WEEKNUM(EarningsPerDay[[#This Row],[Date]], 2) = 53, 1, WEEKNUM(EarningsPerDay[[#This Row],[Date]],2))</f>
        <v>31</v>
      </c>
      <c r="H757" s="40" t="str">
        <f t="shared" si="104"/>
        <v>Thursday</v>
      </c>
      <c r="I757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57" s="40" t="str" cm="1">
        <f t="array" ref="J757">IFERROR(VLOOKUP(MODE(IF(Combined[Date]=EarningsPerDay[[#This Row],[Date]],Combined[Area '#])),KPIs!$B$4:$C$7,2,FALSE),VLOOKUP(EarningsPerDay[[#This Row],[Date]],Combined[[Date]:[Primary Area]],8,FALSE))</f>
        <v>Lewiston</v>
      </c>
      <c r="K757" s="40" t="str">
        <f>_xlfn.XLOOKUP(EarningsPerDay[[#This Row],[Date]],Mileage[Date],Mileage[Weather])</f>
        <v>Light Rain</v>
      </c>
      <c r="L757" s="4">
        <f>_xlfn.XLOOKUP(EarningsPerDay[[#This Row],[Date]],Mileage[Date],Mileage[Hi Temp])</f>
        <v>64</v>
      </c>
      <c r="M757" s="12">
        <f>_xlfn.XLOOKUP(EarningsPerDay[[#This Row],[Date]],Mileage[Date],Mileage[Total Time])</f>
        <v>5.97</v>
      </c>
      <c r="N757" s="4">
        <f>_xlfn.XLOOKUP(EarningsPerDay[[#This Row],[Date]],Mileage[Date],Mileage[Mileage])</f>
        <v>142</v>
      </c>
      <c r="O757" s="4">
        <f>SUMIF(Combined[Date],EarningsPerDay[[#This Row],[Date]],Combined[Trips])</f>
        <v>12</v>
      </c>
      <c r="P757">
        <f>COUNTIF(Combined[Date],EarningsPerDay[[#This Row],[Date]])</f>
        <v>3</v>
      </c>
      <c r="Q75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7" s="11">
        <f>SUMIF(Combined[Date],EarningsPerDay[[#This Row],[Date]],Combined[Earnings])</f>
        <v>114.44</v>
      </c>
      <c r="S757" s="11">
        <f ca="1">EarningsPerDay[[#This Row],[Gross Earnings]]-(EarningsPerDay[[#This Row],[Miles]]*CpM!$D$11)</f>
        <v>82.777820846783698</v>
      </c>
      <c r="T757" s="11">
        <f t="shared" si="95"/>
        <v>19.169179229480736</v>
      </c>
      <c r="U757" s="11">
        <f t="shared" ca="1" si="96"/>
        <v>13.865631632627085</v>
      </c>
      <c r="V757" s="11">
        <f>EarningsPerDay[[#This Row],[Gross Earnings]]/EarningsPerDay[[#This Row],[Deliveries]]</f>
        <v>9.5366666666666671</v>
      </c>
      <c r="W757" s="11">
        <f>EarningsPerDay[[#This Row],[Gross Earnings]]/EarningsPerDay[[#This Row],[Miles]]</f>
        <v>0.80591549295774645</v>
      </c>
      <c r="X757" s="71">
        <f>EarningsPerDay[[#This Row],[Deliveries]]/EarningsPerDay[[#This Row],[Hours]]</f>
        <v>2.0100502512562817</v>
      </c>
      <c r="Y757" s="71">
        <f>EarningsPerDay[[#This Row],[Miles]]/EarningsPerDay[[#This Row],[Deliveries]]</f>
        <v>11.833333333333334</v>
      </c>
      <c r="Z757" s="81">
        <f>(EarningsPerDay[[#This Row],[Hours]]/EarningsPerDay[[#This Row],[Deliveries]])/24</f>
        <v>2.0729166666666667E-2</v>
      </c>
      <c r="AA7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-0.7939964258386496</v>
      </c>
      <c r="AB757" s="11">
        <f>AVERAGEIFS(EarningsPerDay[Gross $/Hour],EarningsPerDay[Week '#], EarningsPerDay[[#This Row],[Week '#]], EarningsPerDay[DOW], EarningsPerDay[[#This Row],[DOW]])</f>
        <v>18.58249317868167</v>
      </c>
      <c r="AC757" s="11">
        <f>EarningsPerDay[[#This Row],[Gross $/Hour]] - EarningsPerDay[[#This Row],[Weekly Average Earnings]]</f>
        <v>0.58668605079906655</v>
      </c>
      <c r="AD757" s="11">
        <f>(SUMIFS(EarningsPerDay[Gross Earnings], EarningsPerDay[Date],"&gt;="&amp;EarningsPerDay[[#This Row],[Date]]-89, EarningsPerDay[Date], "&lt;="&amp;EarningsPerDay[[#This Row],[Date]]))/90</f>
        <v>66.428555555555562</v>
      </c>
    </row>
    <row r="758" spans="2:30" x14ac:dyDescent="0.35">
      <c r="B758" s="40">
        <v>45870</v>
      </c>
      <c r="C758" s="40">
        <f t="shared" si="92"/>
        <v>45870</v>
      </c>
      <c r="D758" s="4">
        <f>IF(EarningsPerDay[[#This Row],[Week '#]]&gt;=52,YEAR(EarningsPerDay[[#This Row],[Date]])-1,YEAR(EarningsPerDay[[#This Row],[Date]]))</f>
        <v>2025</v>
      </c>
      <c r="E758" s="4" t="str">
        <f>"QTR"&amp;IF(EarningsPerDay[[#This Row],[Week '#]] &lt;= 13, 1, IF(EarningsPerDay[[#This Row],[Week '#]] &lt;= 26, 2, IF(EarningsPerDay[[#This Row],[Week '#]] &lt;= 39, 3, 4)))</f>
        <v>QTR3</v>
      </c>
      <c r="F7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758" s="4">
        <f>IF(WEEKNUM(EarningsPerDay[[#This Row],[Date]], 2) = 53, 1, WEEKNUM(EarningsPerDay[[#This Row],[Date]],2))</f>
        <v>31</v>
      </c>
      <c r="H758" s="40" t="str">
        <f t="shared" si="104"/>
        <v>Friday</v>
      </c>
      <c r="I75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58" s="40" t="str" cm="1">
        <f t="array" ref="J758">IFERROR(VLOOKUP(MODE(IF(Combined[Date]=EarningsPerDay[[#This Row],[Date]],Combined[Area '#])),KPIs!$B$4:$C$7,2,FALSE),VLOOKUP(EarningsPerDay[[#This Row],[Date]],Combined[[Date]:[Primary Area]],8,FALSE))</f>
        <v>Brunswick/Bath/Freeport</v>
      </c>
      <c r="K758" s="40" t="str">
        <f>_xlfn.XLOOKUP(EarningsPerDay[[#This Row],[Date]],Mileage[Date],Mileage[Weather])</f>
        <v>Partially Cloudy</v>
      </c>
      <c r="L758" s="4">
        <f>_xlfn.XLOOKUP(EarningsPerDay[[#This Row],[Date]],Mileage[Date],Mileage[Hi Temp])</f>
        <v>73</v>
      </c>
      <c r="M758" s="12">
        <f>_xlfn.XLOOKUP(EarningsPerDay[[#This Row],[Date]],Mileage[Date],Mileage[Total Time])</f>
        <v>6.45</v>
      </c>
      <c r="N758" s="4">
        <f>_xlfn.XLOOKUP(EarningsPerDay[[#This Row],[Date]],Mileage[Date],Mileage[Mileage])</f>
        <v>153</v>
      </c>
      <c r="O758" s="4">
        <f>SUMIF(Combined[Date],EarningsPerDay[[#This Row],[Date]],Combined[Trips])</f>
        <v>13</v>
      </c>
      <c r="P758">
        <f>COUNTIF(Combined[Date],EarningsPerDay[[#This Row],[Date]])</f>
        <v>4</v>
      </c>
      <c r="Q75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8" s="11">
        <f>SUMIF(Combined[Date],EarningsPerDay[[#This Row],[Date]],Combined[Earnings])</f>
        <v>152.66</v>
      </c>
      <c r="S758" s="11">
        <f ca="1">EarningsPerDay[[#This Row],[Gross Earnings]]-(EarningsPerDay[[#This Row],[Miles]]*CpM!$D$11)</f>
        <v>118.54511682787256</v>
      </c>
      <c r="T758" s="11">
        <f t="shared" si="95"/>
        <v>23.668217054263565</v>
      </c>
      <c r="U758" s="11">
        <f t="shared" ca="1" si="96"/>
        <v>18.379087880290321</v>
      </c>
      <c r="V758" s="11">
        <f>EarningsPerDay[[#This Row],[Gross Earnings]]/EarningsPerDay[[#This Row],[Deliveries]]</f>
        <v>11.743076923076924</v>
      </c>
      <c r="W758" s="11">
        <f>EarningsPerDay[[#This Row],[Gross Earnings]]/EarningsPerDay[[#This Row],[Miles]]</f>
        <v>0.99777777777777776</v>
      </c>
      <c r="X758" s="71">
        <f>EarningsPerDay[[#This Row],[Deliveries]]/EarningsPerDay[[#This Row],[Hours]]</f>
        <v>2.0155038759689923</v>
      </c>
      <c r="Y758" s="71">
        <f>EarningsPerDay[[#This Row],[Miles]]/EarningsPerDay[[#This Row],[Deliveries]]</f>
        <v>11.76923076923077</v>
      </c>
      <c r="Z758" s="81">
        <f>(EarningsPerDay[[#This Row],[Hours]]/EarningsPerDay[[#This Row],[Deliveries]])/24</f>
        <v>2.0673076923076922E-2</v>
      </c>
      <c r="AA7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1.3546363345778509</v>
      </c>
      <c r="AB758" s="11">
        <f>AVERAGEIFS(EarningsPerDay[Gross $/Hour],EarningsPerDay[Week '#], EarningsPerDay[[#This Row],[Week '#]], EarningsPerDay[DOW], EarningsPerDay[[#This Row],[DOW]])</f>
        <v>23.668217054263565</v>
      </c>
      <c r="AC758" s="11">
        <f>EarningsPerDay[[#This Row],[Gross $/Hour]] - EarningsPerDay[[#This Row],[Weekly Average Earnings]]</f>
        <v>0</v>
      </c>
      <c r="AD758" s="11">
        <f>(SUMIFS(EarningsPerDay[Gross Earnings], EarningsPerDay[Date],"&gt;="&amp;EarningsPerDay[[#This Row],[Date]]-89, EarningsPerDay[Date], "&lt;="&amp;EarningsPerDay[[#This Row],[Date]]))/90</f>
        <v>67.287444444444446</v>
      </c>
    </row>
    <row r="759" spans="2:30" x14ac:dyDescent="0.35">
      <c r="B759" s="40">
        <v>45873</v>
      </c>
      <c r="C759" s="40">
        <f t="shared" si="92"/>
        <v>45873</v>
      </c>
      <c r="D759" s="4">
        <f>IF(EarningsPerDay[[#This Row],[Week '#]]&gt;=52,YEAR(EarningsPerDay[[#This Row],[Date]])-1,YEAR(EarningsPerDay[[#This Row],[Date]]))</f>
        <v>2025</v>
      </c>
      <c r="E759" s="4" t="str">
        <f>"QTR"&amp;IF(EarningsPerDay[[#This Row],[Week '#]] &lt;= 13, 1, IF(EarningsPerDay[[#This Row],[Week '#]] &lt;= 26, 2, IF(EarningsPerDay[[#This Row],[Week '#]] &lt;= 39, 3, 4)))</f>
        <v>QTR3</v>
      </c>
      <c r="F7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59" s="4">
        <f>IF(WEEKNUM(EarningsPerDay[[#This Row],[Date]], 2) = 53, 1, WEEKNUM(EarningsPerDay[[#This Row],[Date]],2))</f>
        <v>32</v>
      </c>
      <c r="H759" s="40" t="str">
        <f t="shared" ref="H759:H769" si="105">TEXT(B759,"DDDD")</f>
        <v>Monday</v>
      </c>
      <c r="I75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59" s="40" t="str" cm="1">
        <f t="array" ref="J759">IFERROR(VLOOKUP(MODE(IF(Combined[Date]=EarningsPerDay[[#This Row],[Date]],Combined[Area '#])),KPIs!$B$4:$C$7,2,FALSE),VLOOKUP(EarningsPerDay[[#This Row],[Date]],Combined[[Date]:[Primary Area]],8,FALSE))</f>
        <v>Brunswick/Bath/Freeport</v>
      </c>
      <c r="K759" s="40" t="str">
        <f>_xlfn.XLOOKUP(EarningsPerDay[[#This Row],[Date]],Mileage[Date],Mileage[Weather])</f>
        <v>Partially Cloudy</v>
      </c>
      <c r="L759" s="4">
        <f>_xlfn.XLOOKUP(EarningsPerDay[[#This Row],[Date]],Mileage[Date],Mileage[Hi Temp])</f>
        <v>81</v>
      </c>
      <c r="M759" s="12">
        <f>_xlfn.XLOOKUP(EarningsPerDay[[#This Row],[Date]],Mileage[Date],Mileage[Total Time])</f>
        <v>5.85</v>
      </c>
      <c r="N759" s="4">
        <f>_xlfn.XLOOKUP(EarningsPerDay[[#This Row],[Date]],Mileage[Date],Mileage[Mileage])</f>
        <v>138</v>
      </c>
      <c r="O759" s="4">
        <f>SUMIF(Combined[Date],EarningsPerDay[[#This Row],[Date]],Combined[Trips])</f>
        <v>11</v>
      </c>
      <c r="P759">
        <f>COUNTIF(Combined[Date],EarningsPerDay[[#This Row],[Date]])</f>
        <v>2</v>
      </c>
      <c r="Q7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59" s="11">
        <f>SUMIF(Combined[Date],EarningsPerDay[[#This Row],[Date]],Combined[Earnings])</f>
        <v>141.94</v>
      </c>
      <c r="S759" s="11">
        <f ca="1">EarningsPerDay[[#This Row],[Gross Earnings]]-(EarningsPerDay[[#This Row],[Miles]]*CpM!$D$11)</f>
        <v>111.16971321729683</v>
      </c>
      <c r="T759" s="11">
        <f t="shared" si="95"/>
        <v>24.263247863247866</v>
      </c>
      <c r="U759" s="11">
        <f t="shared" ca="1" si="96"/>
        <v>19.003369780734502</v>
      </c>
      <c r="V759" s="11">
        <f>EarningsPerDay[[#This Row],[Gross Earnings]]/EarningsPerDay[[#This Row],[Deliveries]]</f>
        <v>12.903636363636364</v>
      </c>
      <c r="W759" s="11">
        <f>EarningsPerDay[[#This Row],[Gross Earnings]]/EarningsPerDay[[#This Row],[Miles]]</f>
        <v>1.028550724637681</v>
      </c>
      <c r="X759" s="71">
        <f>EarningsPerDay[[#This Row],[Deliveries]]/EarningsPerDay[[#This Row],[Hours]]</f>
        <v>1.8803418803418805</v>
      </c>
      <c r="Y759" s="71">
        <f>EarningsPerDay[[#This Row],[Miles]]/EarningsPerDay[[#This Row],[Deliveries]]</f>
        <v>12.545454545454545</v>
      </c>
      <c r="Z759" s="81">
        <f>(EarningsPerDay[[#This Row],[Hours]]/EarningsPerDay[[#This Row],[Deliveries]])/24</f>
        <v>2.2159090909090906E-2</v>
      </c>
      <c r="AA7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2.5053034543427835</v>
      </c>
      <c r="AB759" s="11">
        <f>AVERAGEIFS(EarningsPerDay[Gross $/Hour],EarningsPerDay[Week '#], EarningsPerDay[[#This Row],[Week '#]], EarningsPerDay[DOW], EarningsPerDay[[#This Row],[DOW]])</f>
        <v>21.616253226379811</v>
      </c>
      <c r="AC759" s="11">
        <f>EarningsPerDay[[#This Row],[Gross $/Hour]] - EarningsPerDay[[#This Row],[Weekly Average Earnings]]</f>
        <v>2.6469946368680546</v>
      </c>
      <c r="AD759" s="11">
        <f>(SUMIFS(EarningsPerDay[Gross Earnings], EarningsPerDay[Date],"&gt;="&amp;EarningsPerDay[[#This Row],[Date]]-89, EarningsPerDay[Date], "&lt;="&amp;EarningsPerDay[[#This Row],[Date]]))/90</f>
        <v>65.432666666666648</v>
      </c>
    </row>
    <row r="760" spans="2:30" x14ac:dyDescent="0.35">
      <c r="B760" s="40">
        <v>45875</v>
      </c>
      <c r="C760" s="40">
        <f t="shared" si="92"/>
        <v>45875</v>
      </c>
      <c r="D760" s="4">
        <f>IF(EarningsPerDay[[#This Row],[Week '#]]&gt;=52,YEAR(EarningsPerDay[[#This Row],[Date]])-1,YEAR(EarningsPerDay[[#This Row],[Date]]))</f>
        <v>2025</v>
      </c>
      <c r="E760" s="4" t="str">
        <f>"QTR"&amp;IF(EarningsPerDay[[#This Row],[Week '#]] &lt;= 13, 1, IF(EarningsPerDay[[#This Row],[Week '#]] &lt;= 26, 2, IF(EarningsPerDay[[#This Row],[Week '#]] &lt;= 39, 3, 4)))</f>
        <v>QTR3</v>
      </c>
      <c r="F7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60" s="4">
        <f>IF(WEEKNUM(EarningsPerDay[[#This Row],[Date]], 2) = 53, 1, WEEKNUM(EarningsPerDay[[#This Row],[Date]],2))</f>
        <v>32</v>
      </c>
      <c r="H760" s="40" t="str">
        <f t="shared" si="105"/>
        <v>Wednesday</v>
      </c>
      <c r="I760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60" s="40" t="str" cm="1">
        <f t="array" ref="J760">IFERROR(VLOOKUP(MODE(IF(Combined[Date]=EarningsPerDay[[#This Row],[Date]],Combined[Area '#])),KPIs!$B$4:$C$7,2,FALSE),VLOOKUP(EarningsPerDay[[#This Row],[Date]],Combined[[Date]:[Primary Area]],8,FALSE))</f>
        <v>Lewiston</v>
      </c>
      <c r="K760" s="40" t="str">
        <f>_xlfn.XLOOKUP(EarningsPerDay[[#This Row],[Date]],Mileage[Date],Mileage[Weather])</f>
        <v>Clear</v>
      </c>
      <c r="L760" s="4">
        <f>_xlfn.XLOOKUP(EarningsPerDay[[#This Row],[Date]],Mileage[Date],Mileage[Hi Temp])</f>
        <v>73</v>
      </c>
      <c r="M760" s="12">
        <f>_xlfn.XLOOKUP(EarningsPerDay[[#This Row],[Date]],Mileage[Date],Mileage[Total Time])</f>
        <v>4.3</v>
      </c>
      <c r="N760" s="4">
        <f>_xlfn.XLOOKUP(EarningsPerDay[[#This Row],[Date]],Mileage[Date],Mileage[Mileage])</f>
        <v>88</v>
      </c>
      <c r="O760" s="4">
        <f>SUMIF(Combined[Date],EarningsPerDay[[#This Row],[Date]],Combined[Trips])</f>
        <v>6</v>
      </c>
      <c r="P760">
        <f>COUNTIF(Combined[Date],EarningsPerDay[[#This Row],[Date]])</f>
        <v>3</v>
      </c>
      <c r="Q7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0" s="11">
        <f>SUMIF(Combined[Date],EarningsPerDay[[#This Row],[Date]],Combined[Earnings])</f>
        <v>71.12</v>
      </c>
      <c r="S760" s="11">
        <f ca="1">EarningsPerDay[[#This Row],[Gross Earnings]]-(EarningsPerDay[[#This Row],[Miles]]*CpM!$D$11)</f>
        <v>51.498367848711027</v>
      </c>
      <c r="T760" s="11">
        <f t="shared" si="95"/>
        <v>16.539534883720933</v>
      </c>
      <c r="U760" s="11">
        <f t="shared" ca="1" si="96"/>
        <v>11.976364615979309</v>
      </c>
      <c r="V760" s="11">
        <f>EarningsPerDay[[#This Row],[Gross Earnings]]/EarningsPerDay[[#This Row],[Deliveries]]</f>
        <v>11.853333333333333</v>
      </c>
      <c r="W760" s="11">
        <f>EarningsPerDay[[#This Row],[Gross Earnings]]/EarningsPerDay[[#This Row],[Miles]]</f>
        <v>0.80818181818181822</v>
      </c>
      <c r="X760" s="71">
        <f>EarningsPerDay[[#This Row],[Deliveries]]/EarningsPerDay[[#This Row],[Hours]]</f>
        <v>1.3953488372093024</v>
      </c>
      <c r="Y760" s="71">
        <f>EarningsPerDay[[#This Row],[Miles]]/EarningsPerDay[[#This Row],[Deliveries]]</f>
        <v>14.666666666666666</v>
      </c>
      <c r="Z760" s="81">
        <f>(EarningsPerDay[[#This Row],[Hours]]/EarningsPerDay[[#This Row],[Deliveries]])/24</f>
        <v>2.9861111111111113E-2</v>
      </c>
      <c r="AA7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-0.24607278591820503</v>
      </c>
      <c r="AB760" s="11">
        <f>AVERAGEIFS(EarningsPerDay[Gross $/Hour],EarningsPerDay[Week '#], EarningsPerDay[[#This Row],[Week '#]], EarningsPerDay[DOW], EarningsPerDay[[#This Row],[DOW]])</f>
        <v>15.763025868826759</v>
      </c>
      <c r="AC760" s="11">
        <f>EarningsPerDay[[#This Row],[Gross $/Hour]] - EarningsPerDay[[#This Row],[Weekly Average Earnings]]</f>
        <v>0.77650901489417379</v>
      </c>
      <c r="AD760" s="11">
        <f>(SUMIFS(EarningsPerDay[Gross Earnings], EarningsPerDay[Date],"&gt;="&amp;EarningsPerDay[[#This Row],[Date]]-89, EarningsPerDay[Date], "&lt;="&amp;EarningsPerDay[[#This Row],[Date]]))/90</f>
        <v>63.388555555555548</v>
      </c>
    </row>
    <row r="761" spans="2:30" x14ac:dyDescent="0.35">
      <c r="B761" s="40">
        <v>45877</v>
      </c>
      <c r="C761" s="40">
        <f t="shared" ref="C761:C824" si="106">B761</f>
        <v>45877</v>
      </c>
      <c r="D761" s="4">
        <f>IF(EarningsPerDay[[#This Row],[Week '#]]&gt;=52,YEAR(EarningsPerDay[[#This Row],[Date]])-1,YEAR(EarningsPerDay[[#This Row],[Date]]))</f>
        <v>2025</v>
      </c>
      <c r="E761" s="4" t="str">
        <f>"QTR"&amp;IF(EarningsPerDay[[#This Row],[Week '#]] &lt;= 13, 1, IF(EarningsPerDay[[#This Row],[Week '#]] &lt;= 26, 2, IF(EarningsPerDay[[#This Row],[Week '#]] &lt;= 39, 3, 4)))</f>
        <v>QTR3</v>
      </c>
      <c r="F7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61" s="4">
        <f>IF(WEEKNUM(EarningsPerDay[[#This Row],[Date]], 2) = 53, 1, WEEKNUM(EarningsPerDay[[#This Row],[Date]],2))</f>
        <v>32</v>
      </c>
      <c r="H761" s="40" t="str">
        <f t="shared" si="105"/>
        <v>Friday</v>
      </c>
      <c r="I761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761" s="40" t="str" cm="1">
        <f t="array" ref="J761">IFERROR(VLOOKUP(MODE(IF(Combined[Date]=EarningsPerDay[[#This Row],[Date]],Combined[Area '#])),KPIs!$B$4:$C$7,2,FALSE),VLOOKUP(EarningsPerDay[[#This Row],[Date]],Combined[[Date]:[Primary Area]],8,FALSE))</f>
        <v>Brunswick/Bath/Freeport</v>
      </c>
      <c r="K761" s="40" t="str">
        <f>_xlfn.XLOOKUP(EarningsPerDay[[#This Row],[Date]],Mileage[Date],Mileage[Weather])</f>
        <v>Sunny</v>
      </c>
      <c r="L761" s="4">
        <f>_xlfn.XLOOKUP(EarningsPerDay[[#This Row],[Date]],Mileage[Date],Mileage[Hi Temp])</f>
        <v>73</v>
      </c>
      <c r="M761" s="12">
        <f>_xlfn.XLOOKUP(EarningsPerDay[[#This Row],[Date]],Mileage[Date],Mileage[Total Time])</f>
        <v>3.18</v>
      </c>
      <c r="N761" s="4">
        <f>_xlfn.XLOOKUP(EarningsPerDay[[#This Row],[Date]],Mileage[Date],Mileage[Mileage])</f>
        <v>45.8</v>
      </c>
      <c r="O761" s="4">
        <f>SUMIF(Combined[Date],EarningsPerDay[[#This Row],[Date]],Combined[Trips])</f>
        <v>6</v>
      </c>
      <c r="P761">
        <f>COUNTIF(Combined[Date],EarningsPerDay[[#This Row],[Date]])</f>
        <v>2</v>
      </c>
      <c r="Q7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1" s="11">
        <f>SUMIF(Combined[Date],EarningsPerDay[[#This Row],[Date]],Combined[Earnings])</f>
        <v>52.25</v>
      </c>
      <c r="S761" s="11">
        <f ca="1">EarningsPerDay[[#This Row],[Gross Earnings]]-(EarningsPerDay[[#This Row],[Miles]]*CpM!$D$11)</f>
        <v>42.037832357624602</v>
      </c>
      <c r="T761" s="11">
        <f t="shared" si="95"/>
        <v>16.430817610062892</v>
      </c>
      <c r="U761" s="11">
        <f t="shared" ca="1" si="96"/>
        <v>13.219444137617799</v>
      </c>
      <c r="V761" s="11">
        <f>EarningsPerDay[[#This Row],[Gross Earnings]]/EarningsPerDay[[#This Row],[Deliveries]]</f>
        <v>8.7083333333333339</v>
      </c>
      <c r="W761" s="11">
        <f>EarningsPerDay[[#This Row],[Gross Earnings]]/EarningsPerDay[[#This Row],[Miles]]</f>
        <v>1.1408296943231442</v>
      </c>
      <c r="X761" s="71">
        <f>EarningsPerDay[[#This Row],[Deliveries]]/EarningsPerDay[[#This Row],[Hours]]</f>
        <v>1.8867924528301885</v>
      </c>
      <c r="Y761" s="71">
        <f>EarningsPerDay[[#This Row],[Miles]]/EarningsPerDay[[#This Row],[Deliveries]]</f>
        <v>7.6333333333333329</v>
      </c>
      <c r="Z761" s="81">
        <f>(EarningsPerDay[[#This Row],[Hours]]/EarningsPerDay[[#This Row],[Deliveries]])/24</f>
        <v>2.2083333333333333E-2</v>
      </c>
      <c r="AA7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-5.9956494708376411</v>
      </c>
      <c r="AB761" s="11">
        <f>AVERAGEIFS(EarningsPerDay[Gross $/Hour],EarningsPerDay[Week '#], EarningsPerDay[[#This Row],[Week '#]], EarningsPerDay[DOW], EarningsPerDay[[#This Row],[DOW]])</f>
        <v>17.967106899099438</v>
      </c>
      <c r="AC761" s="11">
        <f>EarningsPerDay[[#This Row],[Gross $/Hour]] - EarningsPerDay[[#This Row],[Weekly Average Earnings]]</f>
        <v>-1.5362892890365458</v>
      </c>
      <c r="AD761" s="11">
        <f>(SUMIFS(EarningsPerDay[Gross Earnings], EarningsPerDay[Date],"&gt;="&amp;EarningsPerDay[[#This Row],[Date]]-89, EarningsPerDay[Date], "&lt;="&amp;EarningsPerDay[[#This Row],[Date]]))/90</f>
        <v>62.901555555555539</v>
      </c>
    </row>
    <row r="762" spans="2:30" x14ac:dyDescent="0.35">
      <c r="B762" s="40">
        <v>45878</v>
      </c>
      <c r="C762" s="40">
        <f t="shared" si="106"/>
        <v>45878</v>
      </c>
      <c r="D762" s="4">
        <f>IF(EarningsPerDay[[#This Row],[Week '#]]&gt;=52,YEAR(EarningsPerDay[[#This Row],[Date]])-1,YEAR(EarningsPerDay[[#This Row],[Date]]))</f>
        <v>2025</v>
      </c>
      <c r="E762" s="4" t="str">
        <f>"QTR"&amp;IF(EarningsPerDay[[#This Row],[Week '#]] &lt;= 13, 1, IF(EarningsPerDay[[#This Row],[Week '#]] &lt;= 26, 2, IF(EarningsPerDay[[#This Row],[Week '#]] &lt;= 39, 3, 4)))</f>
        <v>QTR3</v>
      </c>
      <c r="F7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62" s="4">
        <f>IF(WEEKNUM(EarningsPerDay[[#This Row],[Date]], 2) = 53, 1, WEEKNUM(EarningsPerDay[[#This Row],[Date]],2))</f>
        <v>32</v>
      </c>
      <c r="H762" s="40" t="str">
        <f t="shared" si="105"/>
        <v>Saturday</v>
      </c>
      <c r="I762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62" s="40" t="str" cm="1">
        <f t="array" ref="J762">IFERROR(VLOOKUP(MODE(IF(Combined[Date]=EarningsPerDay[[#This Row],[Date]],Combined[Area '#])),KPIs!$B$4:$C$7,2,FALSE),VLOOKUP(EarningsPerDay[[#This Row],[Date]],Combined[[Date]:[Primary Area]],8,FALSE))</f>
        <v>Brunswick/Bath/Freeport</v>
      </c>
      <c r="K762" s="40" t="str">
        <f>_xlfn.XLOOKUP(EarningsPerDay[[#This Row],[Date]],Mileage[Date],Mileage[Weather])</f>
        <v>Clear</v>
      </c>
      <c r="L762" s="4">
        <f>_xlfn.XLOOKUP(EarningsPerDay[[#This Row],[Date]],Mileage[Date],Mileage[Hi Temp])</f>
        <v>75</v>
      </c>
      <c r="M762" s="12">
        <f>_xlfn.XLOOKUP(EarningsPerDay[[#This Row],[Date]],Mileage[Date],Mileage[Total Time])</f>
        <v>6.57</v>
      </c>
      <c r="N762" s="4">
        <f>_xlfn.XLOOKUP(EarningsPerDay[[#This Row],[Date]],Mileage[Date],Mileage[Mileage])</f>
        <v>128</v>
      </c>
      <c r="O762" s="4">
        <f>SUMIF(Combined[Date],EarningsPerDay[[#This Row],[Date]],Combined[Trips])</f>
        <v>13</v>
      </c>
      <c r="P762">
        <f>COUNTIF(Combined[Date],EarningsPerDay[[#This Row],[Date]])</f>
        <v>3</v>
      </c>
      <c r="Q76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62" s="11">
        <f>SUMIF(Combined[Date],EarningsPerDay[[#This Row],[Date]],Combined[Earnings])</f>
        <v>135.98000000000002</v>
      </c>
      <c r="S762" s="11">
        <f ca="1">EarningsPerDay[[#This Row],[Gross Earnings]]-(EarningsPerDay[[#This Row],[Miles]]*CpM!$D$11)</f>
        <v>107.43944414357969</v>
      </c>
      <c r="T762" s="11">
        <f t="shared" si="95"/>
        <v>20.697108066971083</v>
      </c>
      <c r="U762" s="11">
        <f t="shared" ca="1" si="96"/>
        <v>16.353035638292191</v>
      </c>
      <c r="V762" s="11">
        <f>EarningsPerDay[[#This Row],[Gross Earnings]]/EarningsPerDay[[#This Row],[Deliveries]]</f>
        <v>10.46</v>
      </c>
      <c r="W762" s="11">
        <f>EarningsPerDay[[#This Row],[Gross Earnings]]/EarningsPerDay[[#This Row],[Miles]]</f>
        <v>1.0623437500000001</v>
      </c>
      <c r="X762" s="71">
        <f>EarningsPerDay[[#This Row],[Deliveries]]/EarningsPerDay[[#This Row],[Hours]]</f>
        <v>1.9786910197869101</v>
      </c>
      <c r="Y762" s="71">
        <f>EarningsPerDay[[#This Row],[Miles]]/EarningsPerDay[[#This Row],[Deliveries]]</f>
        <v>9.8461538461538467</v>
      </c>
      <c r="Z762" s="81">
        <f>(EarningsPerDay[[#This Row],[Hours]]/EarningsPerDay[[#This Row],[Deliveries]])/24</f>
        <v>2.1057692307692309E-2</v>
      </c>
      <c r="AA7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1.5048789158020242</v>
      </c>
      <c r="AB762" s="11">
        <f>AVERAGEIFS(EarningsPerDay[Gross $/Hour],EarningsPerDay[Week '#], EarningsPerDay[[#This Row],[Week '#]], EarningsPerDay[DOW], EarningsPerDay[[#This Row],[DOW]])</f>
        <v>19.537625371175935</v>
      </c>
      <c r="AC762" s="11">
        <f>EarningsPerDay[[#This Row],[Gross $/Hour]] - EarningsPerDay[[#This Row],[Weekly Average Earnings]]</f>
        <v>1.1594826957951483</v>
      </c>
      <c r="AD762" s="11">
        <f>(SUMIFS(EarningsPerDay[Gross Earnings], EarningsPerDay[Date],"&gt;="&amp;EarningsPerDay[[#This Row],[Date]]-89, EarningsPerDay[Date], "&lt;="&amp;EarningsPerDay[[#This Row],[Date]]))/90</f>
        <v>63.006333333333309</v>
      </c>
    </row>
    <row r="763" spans="2:30" x14ac:dyDescent="0.35">
      <c r="B763" s="40">
        <v>45879</v>
      </c>
      <c r="C763" s="40">
        <f t="shared" si="106"/>
        <v>45879</v>
      </c>
      <c r="D763" s="4">
        <f>IF(EarningsPerDay[[#This Row],[Week '#]]&gt;=52,YEAR(EarningsPerDay[[#This Row],[Date]])-1,YEAR(EarningsPerDay[[#This Row],[Date]]))</f>
        <v>2025</v>
      </c>
      <c r="E763" s="4" t="str">
        <f>"QTR"&amp;IF(EarningsPerDay[[#This Row],[Week '#]] &lt;= 13, 1, IF(EarningsPerDay[[#This Row],[Week '#]] &lt;= 26, 2, IF(EarningsPerDay[[#This Row],[Week '#]] &lt;= 39, 3, 4)))</f>
        <v>QTR3</v>
      </c>
      <c r="F7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763" s="4">
        <f>IF(WEEKNUM(EarningsPerDay[[#This Row],[Date]], 2) = 53, 1, WEEKNUM(EarningsPerDay[[#This Row],[Date]],2))</f>
        <v>32</v>
      </c>
      <c r="H763" s="40" t="str">
        <f t="shared" si="105"/>
        <v>Sunday</v>
      </c>
      <c r="I763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63" s="40" t="str" cm="1">
        <f t="array" ref="J763">IFERROR(VLOOKUP(MODE(IF(Combined[Date]=EarningsPerDay[[#This Row],[Date]],Combined[Area '#])),KPIs!$B$4:$C$7,2,FALSE),VLOOKUP(EarningsPerDay[[#This Row],[Date]],Combined[[Date]:[Primary Area]],8,FALSE))</f>
        <v>Lewiston</v>
      </c>
      <c r="K763" s="40" t="str">
        <f>_xlfn.XLOOKUP(EarningsPerDay[[#This Row],[Date]],Mileage[Date],Mileage[Weather])</f>
        <v>Clear</v>
      </c>
      <c r="L763" s="4">
        <f>_xlfn.XLOOKUP(EarningsPerDay[[#This Row],[Date]],Mileage[Date],Mileage[Hi Temp])</f>
        <v>82</v>
      </c>
      <c r="M763" s="12">
        <f>_xlfn.XLOOKUP(EarningsPerDay[[#This Row],[Date]],Mileage[Date],Mileage[Total Time])</f>
        <v>6.22</v>
      </c>
      <c r="N763" s="4">
        <f>_xlfn.XLOOKUP(EarningsPerDay[[#This Row],[Date]],Mileage[Date],Mileage[Mileage])</f>
        <v>112</v>
      </c>
      <c r="O763" s="4">
        <f>SUMIF(Combined[Date],EarningsPerDay[[#This Row],[Date]],Combined[Trips])</f>
        <v>11</v>
      </c>
      <c r="P763">
        <f>COUNTIF(Combined[Date],EarningsPerDay[[#This Row],[Date]])</f>
        <v>3</v>
      </c>
      <c r="Q7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3" s="11">
        <f>SUMIF(Combined[Date],EarningsPerDay[[#This Row],[Date]],Combined[Earnings])</f>
        <v>141.4</v>
      </c>
      <c r="S763" s="11">
        <f ca="1">EarningsPerDay[[#This Row],[Gross Earnings]]-(EarningsPerDay[[#This Row],[Miles]]*CpM!$D$11)</f>
        <v>116.42701362563221</v>
      </c>
      <c r="T763" s="11">
        <f t="shared" si="95"/>
        <v>22.733118971061096</v>
      </c>
      <c r="U763" s="11">
        <f t="shared" ca="1" si="96"/>
        <v>18.718169393188461</v>
      </c>
      <c r="V763" s="11">
        <f>EarningsPerDay[[#This Row],[Gross Earnings]]/EarningsPerDay[[#This Row],[Deliveries]]</f>
        <v>12.854545454545455</v>
      </c>
      <c r="W763" s="11">
        <f>EarningsPerDay[[#This Row],[Gross Earnings]]/EarningsPerDay[[#This Row],[Miles]]</f>
        <v>1.2625</v>
      </c>
      <c r="X763" s="71">
        <f>EarningsPerDay[[#This Row],[Deliveries]]/EarningsPerDay[[#This Row],[Hours]]</f>
        <v>1.7684887459807075</v>
      </c>
      <c r="Y763" s="71">
        <f>EarningsPerDay[[#This Row],[Miles]]/EarningsPerDay[[#This Row],[Deliveries]]</f>
        <v>10.181818181818182</v>
      </c>
      <c r="Z763" s="81">
        <f>(EarningsPerDay[[#This Row],[Hours]]/EarningsPerDay[[#This Row],[Deliveries]])/24</f>
        <v>2.356060606060606E-2</v>
      </c>
      <c r="AA7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3.7379112250644262</v>
      </c>
      <c r="AB763" s="11">
        <f>AVERAGEIFS(EarningsPerDay[Gross $/Hour],EarningsPerDay[Week '#], EarningsPerDay[[#This Row],[Week '#]], EarningsPerDay[DOW], EarningsPerDay[[#This Row],[DOW]])</f>
        <v>22.915748241573912</v>
      </c>
      <c r="AC763" s="11">
        <f>EarningsPerDay[[#This Row],[Gross $/Hour]] - EarningsPerDay[[#This Row],[Weekly Average Earnings]]</f>
        <v>-0.18262927051281608</v>
      </c>
      <c r="AD763" s="11">
        <f>(SUMIFS(EarningsPerDay[Gross Earnings], EarningsPerDay[Date],"&gt;="&amp;EarningsPerDay[[#This Row],[Date]]-89, EarningsPerDay[Date], "&lt;="&amp;EarningsPerDay[[#This Row],[Date]]))/90</f>
        <v>63.78044444444442</v>
      </c>
    </row>
    <row r="764" spans="2:30" x14ac:dyDescent="0.35">
      <c r="B764" s="40">
        <v>45880</v>
      </c>
      <c r="C764" s="40">
        <f t="shared" si="106"/>
        <v>45880</v>
      </c>
      <c r="D764" s="4">
        <f>IF(EarningsPerDay[[#This Row],[Week '#]]&gt;=52,YEAR(EarningsPerDay[[#This Row],[Date]])-1,YEAR(EarningsPerDay[[#This Row],[Date]]))</f>
        <v>2025</v>
      </c>
      <c r="E764" s="4" t="str">
        <f>"QTR"&amp;IF(EarningsPerDay[[#This Row],[Week '#]] &lt;= 13, 1, IF(EarningsPerDay[[#This Row],[Week '#]] &lt;= 26, 2, IF(EarningsPerDay[[#This Row],[Week '#]] &lt;= 39, 3, 4)))</f>
        <v>QTR3</v>
      </c>
      <c r="F7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4" s="4">
        <f>IF(WEEKNUM(EarningsPerDay[[#This Row],[Date]], 2) = 53, 1, WEEKNUM(EarningsPerDay[[#This Row],[Date]],2))</f>
        <v>33</v>
      </c>
      <c r="H764" s="40" t="str">
        <f t="shared" si="105"/>
        <v>Monday</v>
      </c>
      <c r="I76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64" s="40" t="str" cm="1">
        <f t="array" ref="J764">IFERROR(VLOOKUP(MODE(IF(Combined[Date]=EarningsPerDay[[#This Row],[Date]],Combined[Area '#])),KPIs!$B$4:$C$7,2,FALSE),VLOOKUP(EarningsPerDay[[#This Row],[Date]],Combined[[Date]:[Primary Area]],8,FALSE))</f>
        <v>Lewiston</v>
      </c>
      <c r="K764" s="40" t="str">
        <f>_xlfn.XLOOKUP(EarningsPerDay[[#This Row],[Date]],Mileage[Date],Mileage[Weather])</f>
        <v>Clear</v>
      </c>
      <c r="L764" s="4">
        <f>_xlfn.XLOOKUP(EarningsPerDay[[#This Row],[Date]],Mileage[Date],Mileage[Hi Temp])</f>
        <v>88</v>
      </c>
      <c r="M764" s="12">
        <f>_xlfn.XLOOKUP(EarningsPerDay[[#This Row],[Date]],Mileage[Date],Mileage[Total Time])</f>
        <v>5.08</v>
      </c>
      <c r="N764" s="4">
        <f>_xlfn.XLOOKUP(EarningsPerDay[[#This Row],[Date]],Mileage[Date],Mileage[Mileage])</f>
        <v>96</v>
      </c>
      <c r="O764" s="4">
        <f>SUMIF(Combined[Date],EarningsPerDay[[#This Row],[Date]],Combined[Trips])</f>
        <v>10</v>
      </c>
      <c r="P764">
        <f>COUNTIF(Combined[Date],EarningsPerDay[[#This Row],[Date]])</f>
        <v>3</v>
      </c>
      <c r="Q7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4" s="11">
        <f>SUMIF(Combined[Date],EarningsPerDay[[#This Row],[Date]],Combined[Earnings])</f>
        <v>83.75</v>
      </c>
      <c r="S764" s="11">
        <f ca="1">EarningsPerDay[[#This Row],[Gross Earnings]]-(EarningsPerDay[[#This Row],[Miles]]*CpM!$D$11)</f>
        <v>62.344583107684755</v>
      </c>
      <c r="T764" s="11">
        <f t="shared" si="95"/>
        <v>16.486220472440944</v>
      </c>
      <c r="U764" s="11">
        <f t="shared" ca="1" si="96"/>
        <v>12.272555729859203</v>
      </c>
      <c r="V764" s="11">
        <f>EarningsPerDay[[#This Row],[Gross Earnings]]/EarningsPerDay[[#This Row],[Deliveries]]</f>
        <v>8.375</v>
      </c>
      <c r="W764" s="11">
        <f>EarningsPerDay[[#This Row],[Gross Earnings]]/EarningsPerDay[[#This Row],[Miles]]</f>
        <v>0.87239583333333337</v>
      </c>
      <c r="X764" s="71">
        <f>EarningsPerDay[[#This Row],[Deliveries]]/EarningsPerDay[[#This Row],[Hours]]</f>
        <v>1.9685039370078741</v>
      </c>
      <c r="Y764" s="71">
        <f>EarningsPerDay[[#This Row],[Miles]]/EarningsPerDay[[#This Row],[Deliveries]]</f>
        <v>9.6</v>
      </c>
      <c r="Z764" s="81">
        <f>(EarningsPerDay[[#This Row],[Hours]]/EarningsPerDay[[#This Row],[Deliveries]])/24</f>
        <v>2.1166666666666667E-2</v>
      </c>
      <c r="AA7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5.0486081738725375E-3</v>
      </c>
      <c r="AB764" s="11">
        <f>AVERAGEIFS(EarningsPerDay[Gross $/Hour],EarningsPerDay[Week '#], EarningsPerDay[[#This Row],[Week '#]], EarningsPerDay[DOW], EarningsPerDay[[#This Row],[DOW]])</f>
        <v>15.658282216918668</v>
      </c>
      <c r="AC764" s="11">
        <f>EarningsPerDay[[#This Row],[Gross $/Hour]] - EarningsPerDay[[#This Row],[Weekly Average Earnings]]</f>
        <v>0.82793825552227673</v>
      </c>
      <c r="AD764" s="11">
        <f>(SUMIFS(EarningsPerDay[Gross Earnings], EarningsPerDay[Date],"&gt;="&amp;EarningsPerDay[[#This Row],[Date]]-89, EarningsPerDay[Date], "&lt;="&amp;EarningsPerDay[[#This Row],[Date]]))/90</f>
        <v>63.373888888888864</v>
      </c>
    </row>
    <row r="765" spans="2:30" x14ac:dyDescent="0.35">
      <c r="B765" s="40">
        <v>45881</v>
      </c>
      <c r="C765" s="40">
        <f t="shared" si="106"/>
        <v>45881</v>
      </c>
      <c r="D765" s="4">
        <f>IF(EarningsPerDay[[#This Row],[Week '#]]&gt;=52,YEAR(EarningsPerDay[[#This Row],[Date]])-1,YEAR(EarningsPerDay[[#This Row],[Date]]))</f>
        <v>2025</v>
      </c>
      <c r="E765" s="4" t="str">
        <f>"QTR"&amp;IF(EarningsPerDay[[#This Row],[Week '#]] &lt;= 13, 1, IF(EarningsPerDay[[#This Row],[Week '#]] &lt;= 26, 2, IF(EarningsPerDay[[#This Row],[Week '#]] &lt;= 39, 3, 4)))</f>
        <v>QTR3</v>
      </c>
      <c r="F7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5" s="4">
        <f>IF(WEEKNUM(EarningsPerDay[[#This Row],[Date]], 2) = 53, 1, WEEKNUM(EarningsPerDay[[#This Row],[Date]],2))</f>
        <v>33</v>
      </c>
      <c r="H765" s="40" t="str">
        <f t="shared" si="105"/>
        <v>Tuesday</v>
      </c>
      <c r="I76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65" s="40" t="str" cm="1">
        <f t="array" ref="J765">IFERROR(VLOOKUP(MODE(IF(Combined[Date]=EarningsPerDay[[#This Row],[Date]],Combined[Area '#])),KPIs!$B$4:$C$7,2,FALSE),VLOOKUP(EarningsPerDay[[#This Row],[Date]],Combined[[Date]:[Primary Area]],8,FALSE))</f>
        <v>Lewiston</v>
      </c>
      <c r="K765" s="40" t="str">
        <f>_xlfn.XLOOKUP(EarningsPerDay[[#This Row],[Date]],Mileage[Date],Mileage[Weather])</f>
        <v>Clear</v>
      </c>
      <c r="L765" s="4">
        <f>_xlfn.XLOOKUP(EarningsPerDay[[#This Row],[Date]],Mileage[Date],Mileage[Hi Temp])</f>
        <v>90</v>
      </c>
      <c r="M765" s="12">
        <f>_xlfn.XLOOKUP(EarningsPerDay[[#This Row],[Date]],Mileage[Date],Mileage[Total Time])</f>
        <v>5.85</v>
      </c>
      <c r="N765" s="4">
        <f>_xlfn.XLOOKUP(EarningsPerDay[[#This Row],[Date]],Mileage[Date],Mileage[Mileage])</f>
        <v>140</v>
      </c>
      <c r="O765" s="4">
        <f>SUMIF(Combined[Date],EarningsPerDay[[#This Row],[Date]],Combined[Trips])</f>
        <v>8</v>
      </c>
      <c r="P765">
        <f>COUNTIF(Combined[Date],EarningsPerDay[[#This Row],[Date]])</f>
        <v>2</v>
      </c>
      <c r="Q7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5" s="11">
        <f>SUMIF(Combined[Date],EarningsPerDay[[#This Row],[Date]],Combined[Earnings])</f>
        <v>96.26</v>
      </c>
      <c r="S765" s="11">
        <f ca="1">EarningsPerDay[[#This Row],[Gross Earnings]]-(EarningsPerDay[[#This Row],[Miles]]*CpM!$D$11)</f>
        <v>65.043767032040265</v>
      </c>
      <c r="T765" s="11">
        <f t="shared" si="95"/>
        <v>16.454700854700857</v>
      </c>
      <c r="U765" s="11">
        <f t="shared" ca="1" si="96"/>
        <v>11.118592655049618</v>
      </c>
      <c r="V765" s="11">
        <f>EarningsPerDay[[#This Row],[Gross Earnings]]/EarningsPerDay[[#This Row],[Deliveries]]</f>
        <v>12.032500000000001</v>
      </c>
      <c r="W765" s="11">
        <f>EarningsPerDay[[#This Row],[Gross Earnings]]/EarningsPerDay[[#This Row],[Miles]]</f>
        <v>0.68757142857142861</v>
      </c>
      <c r="X765" s="71">
        <f>EarningsPerDay[[#This Row],[Deliveries]]/EarningsPerDay[[#This Row],[Hours]]</f>
        <v>1.3675213675213675</v>
      </c>
      <c r="Y765" s="71">
        <f>EarningsPerDay[[#This Row],[Miles]]/EarningsPerDay[[#This Row],[Deliveries]]</f>
        <v>17.5</v>
      </c>
      <c r="Z765" s="81">
        <f>(EarningsPerDay[[#This Row],[Hours]]/EarningsPerDay[[#This Row],[Deliveries]])/24</f>
        <v>3.0468749999999999E-2</v>
      </c>
      <c r="AA7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2.0110967306419685</v>
      </c>
      <c r="AB765" s="11">
        <f>AVERAGEIFS(EarningsPerDay[Gross $/Hour],EarningsPerDay[Week '#], EarningsPerDay[[#This Row],[Week '#]], EarningsPerDay[DOW], EarningsPerDay[[#This Row],[DOW]])</f>
        <v>17.127735570511192</v>
      </c>
      <c r="AC765" s="11">
        <f>EarningsPerDay[[#This Row],[Gross $/Hour]] - EarningsPerDay[[#This Row],[Weekly Average Earnings]]</f>
        <v>-0.67303471581033492</v>
      </c>
      <c r="AD765" s="11">
        <f>(SUMIFS(EarningsPerDay[Gross Earnings], EarningsPerDay[Date],"&gt;="&amp;EarningsPerDay[[#This Row],[Date]]-89, EarningsPerDay[Date], "&lt;="&amp;EarningsPerDay[[#This Row],[Date]]))/90</f>
        <v>63.143222222222214</v>
      </c>
    </row>
    <row r="766" spans="2:30" x14ac:dyDescent="0.35">
      <c r="B766" s="40">
        <v>45882</v>
      </c>
      <c r="C766" s="40">
        <f t="shared" si="106"/>
        <v>45882</v>
      </c>
      <c r="D766" s="4">
        <f>IF(EarningsPerDay[[#This Row],[Week '#]]&gt;=52,YEAR(EarningsPerDay[[#This Row],[Date]])-1,YEAR(EarningsPerDay[[#This Row],[Date]]))</f>
        <v>2025</v>
      </c>
      <c r="E766" s="4" t="str">
        <f>"QTR"&amp;IF(EarningsPerDay[[#This Row],[Week '#]] &lt;= 13, 1, IF(EarningsPerDay[[#This Row],[Week '#]] &lt;= 26, 2, IF(EarningsPerDay[[#This Row],[Week '#]] &lt;= 39, 3, 4)))</f>
        <v>QTR3</v>
      </c>
      <c r="F7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6" s="4">
        <f>IF(WEEKNUM(EarningsPerDay[[#This Row],[Date]], 2) = 53, 1, WEEKNUM(EarningsPerDay[[#This Row],[Date]],2))</f>
        <v>33</v>
      </c>
      <c r="H766" s="40" t="str">
        <f t="shared" si="105"/>
        <v>Wednesday</v>
      </c>
      <c r="I766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766" s="40" t="str" cm="1">
        <f t="array" ref="J766">IFERROR(VLOOKUP(MODE(IF(Combined[Date]=EarningsPerDay[[#This Row],[Date]],Combined[Area '#])),KPIs!$B$4:$C$7,2,FALSE),VLOOKUP(EarningsPerDay[[#This Row],[Date]],Combined[[Date]:[Primary Area]],8,FALSE))</f>
        <v>Brunswick/Bath/Freeport</v>
      </c>
      <c r="K766" s="40" t="str">
        <f>_xlfn.XLOOKUP(EarningsPerDay[[#This Row],[Date]],Mileage[Date],Mileage[Weather])</f>
        <v>Partially Cloudy</v>
      </c>
      <c r="L766" s="4">
        <f>_xlfn.XLOOKUP(EarningsPerDay[[#This Row],[Date]],Mileage[Date],Mileage[Hi Temp])</f>
        <v>79</v>
      </c>
      <c r="M766" s="12">
        <f>_xlfn.XLOOKUP(EarningsPerDay[[#This Row],[Date]],Mileage[Date],Mileage[Total Time])</f>
        <v>3.13</v>
      </c>
      <c r="N766" s="4">
        <f>_xlfn.XLOOKUP(EarningsPerDay[[#This Row],[Date]],Mileage[Date],Mileage[Mileage])</f>
        <v>54</v>
      </c>
      <c r="O766" s="4">
        <f>SUMIF(Combined[Date],EarningsPerDay[[#This Row],[Date]],Combined[Trips])</f>
        <v>6</v>
      </c>
      <c r="P766">
        <f>COUNTIF(Combined[Date],EarningsPerDay[[#This Row],[Date]])</f>
        <v>2</v>
      </c>
      <c r="Q7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6" s="11">
        <f>SUMIF(Combined[Date],EarningsPerDay[[#This Row],[Date]],Combined[Earnings])</f>
        <v>65.989999999999995</v>
      </c>
      <c r="S766" s="11">
        <f ca="1">EarningsPerDay[[#This Row],[Gross Earnings]]-(EarningsPerDay[[#This Row],[Miles]]*CpM!$D$11)</f>
        <v>53.949452998072672</v>
      </c>
      <c r="T766" s="11">
        <f t="shared" si="95"/>
        <v>21.083067092651756</v>
      </c>
      <c r="U766" s="11">
        <f t="shared" ca="1" si="96"/>
        <v>17.236246964240472</v>
      </c>
      <c r="V766" s="11">
        <f>EarningsPerDay[[#This Row],[Gross Earnings]]/EarningsPerDay[[#This Row],[Deliveries]]</f>
        <v>10.998333333333333</v>
      </c>
      <c r="W766" s="11">
        <f>EarningsPerDay[[#This Row],[Gross Earnings]]/EarningsPerDay[[#This Row],[Miles]]</f>
        <v>1.222037037037037</v>
      </c>
      <c r="X766" s="71">
        <f>EarningsPerDay[[#This Row],[Deliveries]]/EarningsPerDay[[#This Row],[Hours]]</f>
        <v>1.9169329073482428</v>
      </c>
      <c r="Y766" s="71">
        <f>EarningsPerDay[[#This Row],[Miles]]/EarningsPerDay[[#This Row],[Deliveries]]</f>
        <v>9</v>
      </c>
      <c r="Z766" s="81">
        <f>(EarningsPerDay[[#This Row],[Hours]]/EarningsPerDay[[#This Row],[Deliveries]])/24</f>
        <v>2.1736111111111109E-2</v>
      </c>
      <c r="AA7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-2.0966481821750769</v>
      </c>
      <c r="AB766" s="11">
        <f>AVERAGEIFS(EarningsPerDay[Gross $/Hour],EarningsPerDay[Week '#], EarningsPerDay[[#This Row],[Week '#]], EarningsPerDay[DOW], EarningsPerDay[[#This Row],[DOW]])</f>
        <v>21.900354654253771</v>
      </c>
      <c r="AC766" s="11">
        <f>EarningsPerDay[[#This Row],[Gross $/Hour]] - EarningsPerDay[[#This Row],[Weekly Average Earnings]]</f>
        <v>-0.81728756160201499</v>
      </c>
      <c r="AD766" s="11">
        <f>(SUMIFS(EarningsPerDay[Gross Earnings], EarningsPerDay[Date],"&gt;="&amp;EarningsPerDay[[#This Row],[Date]]-89, EarningsPerDay[Date], "&lt;="&amp;EarningsPerDay[[#This Row],[Date]]))/90</f>
        <v>63.876444444444438</v>
      </c>
    </row>
    <row r="767" spans="2:30" x14ac:dyDescent="0.35">
      <c r="B767" s="40">
        <v>45883</v>
      </c>
      <c r="C767" s="40">
        <f t="shared" si="106"/>
        <v>45883</v>
      </c>
      <c r="D767" s="4">
        <f>IF(EarningsPerDay[[#This Row],[Week '#]]&gt;=52,YEAR(EarningsPerDay[[#This Row],[Date]])-1,YEAR(EarningsPerDay[[#This Row],[Date]]))</f>
        <v>2025</v>
      </c>
      <c r="E767" s="4" t="str">
        <f>"QTR"&amp;IF(EarningsPerDay[[#This Row],[Week '#]] &lt;= 13, 1, IF(EarningsPerDay[[#This Row],[Week '#]] &lt;= 26, 2, IF(EarningsPerDay[[#This Row],[Week '#]] &lt;= 39, 3, 4)))</f>
        <v>QTR3</v>
      </c>
      <c r="F7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7" s="4">
        <f>IF(WEEKNUM(EarningsPerDay[[#This Row],[Date]], 2) = 53, 1, WEEKNUM(EarningsPerDay[[#This Row],[Date]],2))</f>
        <v>33</v>
      </c>
      <c r="H767" s="40" t="str">
        <f t="shared" si="105"/>
        <v>Thursday</v>
      </c>
      <c r="I767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767" s="40" t="str" cm="1">
        <f t="array" ref="J767">IFERROR(VLOOKUP(MODE(IF(Combined[Date]=EarningsPerDay[[#This Row],[Date]],Combined[Area '#])),KPIs!$B$4:$C$7,2,FALSE),VLOOKUP(EarningsPerDay[[#This Row],[Date]],Combined[[Date]:[Primary Area]],8,FALSE))</f>
        <v>Lewiston</v>
      </c>
      <c r="K767" s="40" t="str">
        <f>_xlfn.XLOOKUP(EarningsPerDay[[#This Row],[Date]],Mileage[Date],Mileage[Weather])</f>
        <v>Partially Cloudy</v>
      </c>
      <c r="L767" s="4">
        <f>_xlfn.XLOOKUP(EarningsPerDay[[#This Row],[Date]],Mileage[Date],Mileage[Hi Temp])</f>
        <v>84</v>
      </c>
      <c r="M767" s="12">
        <f>_xlfn.XLOOKUP(EarningsPerDay[[#This Row],[Date]],Mileage[Date],Mileage[Total Time])</f>
        <v>4.07</v>
      </c>
      <c r="N767" s="4">
        <f>_xlfn.XLOOKUP(EarningsPerDay[[#This Row],[Date]],Mileage[Date],Mileage[Mileage])</f>
        <v>82</v>
      </c>
      <c r="O767" s="4">
        <f>SUMIF(Combined[Date],EarningsPerDay[[#This Row],[Date]],Combined[Trips])</f>
        <v>9</v>
      </c>
      <c r="P767">
        <f>COUNTIF(Combined[Date],EarningsPerDay[[#This Row],[Date]])</f>
        <v>4</v>
      </c>
      <c r="Q7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7" s="11">
        <f>SUMIF(Combined[Date],EarningsPerDay[[#This Row],[Date]],Combined[Earnings])</f>
        <v>61.97</v>
      </c>
      <c r="S767" s="11">
        <f ca="1">EarningsPerDay[[#This Row],[Gross Earnings]]-(EarningsPerDay[[#This Row],[Miles]]*CpM!$D$11)</f>
        <v>43.686206404480728</v>
      </c>
      <c r="T767" s="11">
        <f t="shared" si="95"/>
        <v>15.226044226044225</v>
      </c>
      <c r="U767" s="11">
        <f t="shared" ca="1" si="96"/>
        <v>10.733711647292562</v>
      </c>
      <c r="V767" s="11">
        <f>EarningsPerDay[[#This Row],[Gross Earnings]]/EarningsPerDay[[#This Row],[Deliveries]]</f>
        <v>6.8855555555555554</v>
      </c>
      <c r="W767" s="11">
        <f>EarningsPerDay[[#This Row],[Gross Earnings]]/EarningsPerDay[[#This Row],[Miles]]</f>
        <v>0.75573170731707318</v>
      </c>
      <c r="X767" s="71">
        <f>EarningsPerDay[[#This Row],[Deliveries]]/EarningsPerDay[[#This Row],[Hours]]</f>
        <v>2.2113022113022112</v>
      </c>
      <c r="Y767" s="71">
        <f>EarningsPerDay[[#This Row],[Miles]]/EarningsPerDay[[#This Row],[Deliveries]]</f>
        <v>9.1111111111111107</v>
      </c>
      <c r="Z767" s="81">
        <f>(EarningsPerDay[[#This Row],[Hours]]/EarningsPerDay[[#This Row],[Deliveries]])/24</f>
        <v>1.8842592592592595E-2</v>
      </c>
      <c r="AA7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-4.6378818760453289</v>
      </c>
      <c r="AB767" s="11">
        <f>AVERAGEIFS(EarningsPerDay[Gross $/Hour],EarningsPerDay[Week '#], EarningsPerDay[[#This Row],[Week '#]], EarningsPerDay[DOW], EarningsPerDay[[#This Row],[DOW]])</f>
        <v>17.47428262633742</v>
      </c>
      <c r="AC767" s="11">
        <f>EarningsPerDay[[#This Row],[Gross $/Hour]] - EarningsPerDay[[#This Row],[Weekly Average Earnings]]</f>
        <v>-2.2482384002931948</v>
      </c>
      <c r="AD767" s="11">
        <f>(SUMIFS(EarningsPerDay[Gross Earnings], EarningsPerDay[Date],"&gt;="&amp;EarningsPerDay[[#This Row],[Date]]-89, EarningsPerDay[Date], "&lt;="&amp;EarningsPerDay[[#This Row],[Date]]))/90</f>
        <v>62.881999999999984</v>
      </c>
    </row>
    <row r="768" spans="2:30" x14ac:dyDescent="0.35">
      <c r="B768" s="40">
        <v>45884</v>
      </c>
      <c r="C768" s="40">
        <f t="shared" si="106"/>
        <v>45884</v>
      </c>
      <c r="D768" s="4">
        <f>IF(EarningsPerDay[[#This Row],[Week '#]]&gt;=52,YEAR(EarningsPerDay[[#This Row],[Date]])-1,YEAR(EarningsPerDay[[#This Row],[Date]]))</f>
        <v>2025</v>
      </c>
      <c r="E768" s="4" t="str">
        <f>"QTR"&amp;IF(EarningsPerDay[[#This Row],[Week '#]] &lt;= 13, 1, IF(EarningsPerDay[[#This Row],[Week '#]] &lt;= 26, 2, IF(EarningsPerDay[[#This Row],[Week '#]] &lt;= 39, 3, 4)))</f>
        <v>QTR3</v>
      </c>
      <c r="F7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8" s="4">
        <f>IF(WEEKNUM(EarningsPerDay[[#This Row],[Date]], 2) = 53, 1, WEEKNUM(EarningsPerDay[[#This Row],[Date]],2))</f>
        <v>33</v>
      </c>
      <c r="H768" s="40" t="str">
        <f t="shared" si="105"/>
        <v>Friday</v>
      </c>
      <c r="I768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68" s="40" t="str" cm="1">
        <f t="array" ref="J768">IFERROR(VLOOKUP(MODE(IF(Combined[Date]=EarningsPerDay[[#This Row],[Date]],Combined[Area '#])),KPIs!$B$4:$C$7,2,FALSE),VLOOKUP(EarningsPerDay[[#This Row],[Date]],Combined[[Date]:[Primary Area]],8,FALSE))</f>
        <v>Brunswick/Bath/Freeport</v>
      </c>
      <c r="K768" s="40" t="str">
        <f>_xlfn.XLOOKUP(EarningsPerDay[[#This Row],[Date]],Mileage[Date],Mileage[Weather])</f>
        <v>Clear</v>
      </c>
      <c r="L768" s="4">
        <f>_xlfn.XLOOKUP(EarningsPerDay[[#This Row],[Date]],Mileage[Date],Mileage[Hi Temp])</f>
        <v>81</v>
      </c>
      <c r="M768" s="12">
        <f>_xlfn.XLOOKUP(EarningsPerDay[[#This Row],[Date]],Mileage[Date],Mileage[Total Time])</f>
        <v>6.38</v>
      </c>
      <c r="N768" s="4">
        <f>_xlfn.XLOOKUP(EarningsPerDay[[#This Row],[Date]],Mileage[Date],Mileage[Mileage])</f>
        <v>145</v>
      </c>
      <c r="O768" s="4">
        <f>SUMIF(Combined[Date],EarningsPerDay[[#This Row],[Date]],Combined[Trips])</f>
        <v>13</v>
      </c>
      <c r="P768">
        <f>COUNTIF(Combined[Date],EarningsPerDay[[#This Row],[Date]])</f>
        <v>1</v>
      </c>
      <c r="Q76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8" s="11">
        <f>SUMIF(Combined[Date],EarningsPerDay[[#This Row],[Date]],Combined[Earnings])</f>
        <v>131.12</v>
      </c>
      <c r="S768" s="11">
        <f ca="1">EarningsPerDay[[#This Row],[Gross Earnings]]-(EarningsPerDay[[#This Row],[Miles]]*CpM!$D$11)</f>
        <v>98.788901568898851</v>
      </c>
      <c r="T768" s="11">
        <f t="shared" si="95"/>
        <v>20.551724137931036</v>
      </c>
      <c r="U768" s="11">
        <f t="shared" ca="1" si="96"/>
        <v>15.484153850924585</v>
      </c>
      <c r="V768" s="11">
        <f>EarningsPerDay[[#This Row],[Gross Earnings]]/EarningsPerDay[[#This Row],[Deliveries]]</f>
        <v>10.086153846153847</v>
      </c>
      <c r="W768" s="11">
        <f>EarningsPerDay[[#This Row],[Gross Earnings]]/EarningsPerDay[[#This Row],[Miles]]</f>
        <v>0.9042758620689656</v>
      </c>
      <c r="X768" s="71">
        <f>EarningsPerDay[[#This Row],[Deliveries]]/EarningsPerDay[[#This Row],[Hours]]</f>
        <v>2.0376175548589344</v>
      </c>
      <c r="Y768" s="71">
        <f>EarningsPerDay[[#This Row],[Miles]]/EarningsPerDay[[#This Row],[Deliveries]]</f>
        <v>11.153846153846153</v>
      </c>
      <c r="Z768" s="81">
        <f>(EarningsPerDay[[#This Row],[Hours]]/EarningsPerDay[[#This Row],[Deliveries]])/24</f>
        <v>2.0448717948717946E-2</v>
      </c>
      <c r="AA7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-1.4135391375204485</v>
      </c>
      <c r="AB768" s="11">
        <f>AVERAGEIFS(EarningsPerDay[Gross $/Hour],EarningsPerDay[Week '#], EarningsPerDay[[#This Row],[Week '#]], EarningsPerDay[DOW], EarningsPerDay[[#This Row],[DOW]])</f>
        <v>19.306427700229733</v>
      </c>
      <c r="AC768" s="11">
        <f>EarningsPerDay[[#This Row],[Gross $/Hour]] - EarningsPerDay[[#This Row],[Weekly Average Earnings]]</f>
        <v>1.2452964377013025</v>
      </c>
      <c r="AD768" s="11">
        <f>(SUMIFS(EarningsPerDay[Gross Earnings], EarningsPerDay[Date],"&gt;="&amp;EarningsPerDay[[#This Row],[Date]]-89, EarningsPerDay[Date], "&lt;="&amp;EarningsPerDay[[#This Row],[Date]]))/90</f>
        <v>62.840999999999966</v>
      </c>
    </row>
    <row r="769" spans="2:30" x14ac:dyDescent="0.35">
      <c r="B769" s="40">
        <v>45885</v>
      </c>
      <c r="C769" s="40">
        <f t="shared" si="106"/>
        <v>45885</v>
      </c>
      <c r="D769" s="4">
        <f>IF(EarningsPerDay[[#This Row],[Week '#]]&gt;=52,YEAR(EarningsPerDay[[#This Row],[Date]])-1,YEAR(EarningsPerDay[[#This Row],[Date]]))</f>
        <v>2025</v>
      </c>
      <c r="E769" s="4" t="str">
        <f>"QTR"&amp;IF(EarningsPerDay[[#This Row],[Week '#]] &lt;= 13, 1, IF(EarningsPerDay[[#This Row],[Week '#]] &lt;= 26, 2, IF(EarningsPerDay[[#This Row],[Week '#]] &lt;= 39, 3, 4)))</f>
        <v>QTR3</v>
      </c>
      <c r="F7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69" s="4">
        <f>IF(WEEKNUM(EarningsPerDay[[#This Row],[Date]], 2) = 53, 1, WEEKNUM(EarningsPerDay[[#This Row],[Date]],2))</f>
        <v>33</v>
      </c>
      <c r="H769" s="40" t="str">
        <f t="shared" si="105"/>
        <v>Saturday</v>
      </c>
      <c r="I769" s="106">
        <f>IF(_xlfn.XLOOKUP(EarningsPerDay[[#This Row],[Date]],Mileage[Date],Mileage[Start Time])="","",MROUND(_xlfn.XLOOKUP(EarningsPerDay[[#This Row],[Date]],Mileage[Date],Mileage[Start Time]),0.0208333333333333))</f>
        <v>0.43749999999999933</v>
      </c>
      <c r="J769" s="40" t="str" cm="1">
        <f t="array" ref="J769">IFERROR(VLOOKUP(MODE(IF(Combined[Date]=EarningsPerDay[[#This Row],[Date]],Combined[Area '#])),KPIs!$B$4:$C$7,2,FALSE),VLOOKUP(EarningsPerDay[[#This Row],[Date]],Combined[[Date]:[Primary Area]],8,FALSE))</f>
        <v>Portland</v>
      </c>
      <c r="K769" s="40" t="str">
        <f>_xlfn.XLOOKUP(EarningsPerDay[[#This Row],[Date]],Mileage[Date],Mileage[Weather])</f>
        <v>Partially Cloudy</v>
      </c>
      <c r="L769" s="4">
        <f>_xlfn.XLOOKUP(EarningsPerDay[[#This Row],[Date]],Mileage[Date],Mileage[Hi Temp])</f>
        <v>81</v>
      </c>
      <c r="M769" s="12">
        <f>_xlfn.XLOOKUP(EarningsPerDay[[#This Row],[Date]],Mileage[Date],Mileage[Total Time])</f>
        <v>7.33</v>
      </c>
      <c r="N769" s="4">
        <f>_xlfn.XLOOKUP(EarningsPerDay[[#This Row],[Date]],Mileage[Date],Mileage[Mileage])</f>
        <v>172</v>
      </c>
      <c r="O769" s="4">
        <f>SUMIF(Combined[Date],EarningsPerDay[[#This Row],[Date]],Combined[Trips])</f>
        <v>15</v>
      </c>
      <c r="P769">
        <f>COUNTIF(Combined[Date],EarningsPerDay[[#This Row],[Date]])</f>
        <v>1</v>
      </c>
      <c r="Q7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69" s="11">
        <f>SUMIF(Combined[Date],EarningsPerDay[[#This Row],[Date]],Combined[Earnings])</f>
        <v>121.64</v>
      </c>
      <c r="S769" s="11">
        <f ca="1">EarningsPerDay[[#This Row],[Gross Earnings]]-(EarningsPerDay[[#This Row],[Miles]]*CpM!$D$11)</f>
        <v>83.288628067935178</v>
      </c>
      <c r="T769" s="11">
        <f t="shared" si="95"/>
        <v>16.594815825375171</v>
      </c>
      <c r="U769" s="11">
        <f t="shared" ca="1" si="96"/>
        <v>11.362705057017077</v>
      </c>
      <c r="V769" s="11">
        <f>EarningsPerDay[[#This Row],[Gross Earnings]]/EarningsPerDay[[#This Row],[Deliveries]]</f>
        <v>8.1093333333333337</v>
      </c>
      <c r="W769" s="11">
        <f>EarningsPerDay[[#This Row],[Gross Earnings]]/EarningsPerDay[[#This Row],[Miles]]</f>
        <v>0.70720930232558143</v>
      </c>
      <c r="X769" s="71">
        <f>EarningsPerDay[[#This Row],[Deliveries]]/EarningsPerDay[[#This Row],[Hours]]</f>
        <v>2.0463847203274215</v>
      </c>
      <c r="Y769" s="71">
        <f>EarningsPerDay[[#This Row],[Miles]]/EarningsPerDay[[#This Row],[Deliveries]]</f>
        <v>11.466666666666667</v>
      </c>
      <c r="Z769" s="81">
        <f>(EarningsPerDay[[#This Row],[Hours]]/EarningsPerDay[[#This Row],[Deliveries]])/24</f>
        <v>2.0361111111111111E-2</v>
      </c>
      <c r="AA7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-4.8176450126944417</v>
      </c>
      <c r="AB769" s="11">
        <f>AVERAGEIFS(EarningsPerDay[Gross $/Hour],EarningsPerDay[Week '#], EarningsPerDay[[#This Row],[Week '#]], EarningsPerDay[DOW], EarningsPerDay[[#This Row],[DOW]])</f>
        <v>21.324966967805693</v>
      </c>
      <c r="AC769" s="11">
        <f>EarningsPerDay[[#This Row],[Gross $/Hour]] - EarningsPerDay[[#This Row],[Weekly Average Earnings]]</f>
        <v>-4.7301511424305218</v>
      </c>
      <c r="AD769" s="11">
        <f>(SUMIFS(EarningsPerDay[Gross Earnings], EarningsPerDay[Date],"&gt;="&amp;EarningsPerDay[[#This Row],[Date]]-89, EarningsPerDay[Date], "&lt;="&amp;EarningsPerDay[[#This Row],[Date]]))/90</f>
        <v>64.192555555555529</v>
      </c>
    </row>
    <row r="770" spans="2:30" x14ac:dyDescent="0.35">
      <c r="B770" s="40">
        <v>45886</v>
      </c>
      <c r="C770" s="40">
        <f t="shared" si="106"/>
        <v>45886</v>
      </c>
      <c r="D770" s="4">
        <f>IF(EarningsPerDay[[#This Row],[Week '#]]&gt;=52,YEAR(EarningsPerDay[[#This Row],[Date]])-1,YEAR(EarningsPerDay[[#This Row],[Date]]))</f>
        <v>2025</v>
      </c>
      <c r="E770" s="4" t="str">
        <f>"QTR"&amp;IF(EarningsPerDay[[#This Row],[Week '#]] &lt;= 13, 1, IF(EarningsPerDay[[#This Row],[Week '#]] &lt;= 26, 2, IF(EarningsPerDay[[#This Row],[Week '#]] &lt;= 39, 3, 4)))</f>
        <v>QTR3</v>
      </c>
      <c r="F7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770" s="4">
        <f>IF(WEEKNUM(EarningsPerDay[[#This Row],[Date]], 2) = 53, 1, WEEKNUM(EarningsPerDay[[#This Row],[Date]],2))</f>
        <v>33</v>
      </c>
      <c r="H770" s="40" t="str">
        <f t="shared" ref="H770:H775" si="107">TEXT(B770,"DDDD")</f>
        <v>Sunday</v>
      </c>
      <c r="I770" s="106">
        <f>IF(_xlfn.XLOOKUP(EarningsPerDay[[#This Row],[Date]],Mileage[Date],Mileage[Start Time])="","",MROUND(_xlfn.XLOOKUP(EarningsPerDay[[#This Row],[Date]],Mileage[Date],Mileage[Start Time]),0.0208333333333333))</f>
        <v>0.52083333333333248</v>
      </c>
      <c r="J770" s="40" t="str" cm="1">
        <f t="array" ref="J770">IFERROR(VLOOKUP(MODE(IF(Combined[Date]=EarningsPerDay[[#This Row],[Date]],Combined[Area '#])),KPIs!$B$4:$C$7,2,FALSE),VLOOKUP(EarningsPerDay[[#This Row],[Date]],Combined[[Date]:[Primary Area]],8,FALSE))</f>
        <v>Portland</v>
      </c>
      <c r="K770" s="40" t="str">
        <f>_xlfn.XLOOKUP(EarningsPerDay[[#This Row],[Date]],Mileage[Date],Mileage[Weather])</f>
        <v>Partially Cloudy</v>
      </c>
      <c r="L770" s="4">
        <f>_xlfn.XLOOKUP(EarningsPerDay[[#This Row],[Date]],Mileage[Date],Mileage[Hi Temp])</f>
        <v>84</v>
      </c>
      <c r="M770" s="12">
        <f>_xlfn.XLOOKUP(EarningsPerDay[[#This Row],[Date]],Mileage[Date],Mileage[Total Time])</f>
        <v>3.02</v>
      </c>
      <c r="N770" s="4">
        <f>_xlfn.XLOOKUP(EarningsPerDay[[#This Row],[Date]],Mileage[Date],Mileage[Mileage])</f>
        <v>56</v>
      </c>
      <c r="O770" s="4">
        <f>SUMIF(Combined[Date],EarningsPerDay[[#This Row],[Date]],Combined[Trips])</f>
        <v>6</v>
      </c>
      <c r="P770">
        <f>COUNTIF(Combined[Date],EarningsPerDay[[#This Row],[Date]])</f>
        <v>3</v>
      </c>
      <c r="Q77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0" s="11">
        <f>SUMIF(Combined[Date],EarningsPerDay[[#This Row],[Date]],Combined[Earnings])</f>
        <v>71</v>
      </c>
      <c r="S770" s="11">
        <f ca="1">EarningsPerDay[[#This Row],[Gross Earnings]]-(EarningsPerDay[[#This Row],[Miles]]*CpM!$D$11)</f>
        <v>58.513506812816104</v>
      </c>
      <c r="T770" s="11">
        <f t="shared" si="95"/>
        <v>23.509933774834437</v>
      </c>
      <c r="U770" s="11">
        <f t="shared" ca="1" si="96"/>
        <v>19.375333381727188</v>
      </c>
      <c r="V770" s="11">
        <f>EarningsPerDay[[#This Row],[Gross Earnings]]/EarningsPerDay[[#This Row],[Deliveries]]</f>
        <v>11.833333333333334</v>
      </c>
      <c r="W770" s="11">
        <f>EarningsPerDay[[#This Row],[Gross Earnings]]/EarningsPerDay[[#This Row],[Miles]]</f>
        <v>1.2678571428571428</v>
      </c>
      <c r="X770" s="71">
        <f>EarningsPerDay[[#This Row],[Deliveries]]/EarningsPerDay[[#This Row],[Hours]]</f>
        <v>1.9867549668874172</v>
      </c>
      <c r="Y770" s="71">
        <f>EarningsPerDay[[#This Row],[Miles]]/EarningsPerDay[[#This Row],[Deliveries]]</f>
        <v>9.3333333333333339</v>
      </c>
      <c r="Z770" s="81">
        <f>(EarningsPerDay[[#This Row],[Hours]]/EarningsPerDay[[#This Row],[Deliveries]])/24</f>
        <v>2.0972222222222222E-2</v>
      </c>
      <c r="AA7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-0.61170567880542848</v>
      </c>
      <c r="AB770" s="11">
        <f>AVERAGEIFS(EarningsPerDay[Gross $/Hour],EarningsPerDay[Week '#], EarningsPerDay[[#This Row],[Week '#]], EarningsPerDay[DOW], EarningsPerDay[[#This Row],[DOW]])</f>
        <v>20.923641586212398</v>
      </c>
      <c r="AC770" s="11">
        <f>EarningsPerDay[[#This Row],[Gross $/Hour]] - EarningsPerDay[[#This Row],[Weekly Average Earnings]]</f>
        <v>2.5862921886220391</v>
      </c>
      <c r="AD770" s="11">
        <f>(SUMIFS(EarningsPerDay[Gross Earnings], EarningsPerDay[Date],"&gt;="&amp;EarningsPerDay[[#This Row],[Date]]-89, EarningsPerDay[Date], "&lt;="&amp;EarningsPerDay[[#This Row],[Date]]))/90</f>
        <v>64.981444444444406</v>
      </c>
    </row>
    <row r="771" spans="2:30" x14ac:dyDescent="0.35">
      <c r="B771" s="40">
        <v>45887</v>
      </c>
      <c r="C771" s="40">
        <f t="shared" si="106"/>
        <v>45887</v>
      </c>
      <c r="D771" s="4">
        <f>IF(EarningsPerDay[[#This Row],[Week '#]]&gt;=52,YEAR(EarningsPerDay[[#This Row],[Date]])-1,YEAR(EarningsPerDay[[#This Row],[Date]]))</f>
        <v>2025</v>
      </c>
      <c r="E771" s="4" t="str">
        <f>"QTR"&amp;IF(EarningsPerDay[[#This Row],[Week '#]] &lt;= 13, 1, IF(EarningsPerDay[[#This Row],[Week '#]] &lt;= 26, 2, IF(EarningsPerDay[[#This Row],[Week '#]] &lt;= 39, 3, 4)))</f>
        <v>QTR3</v>
      </c>
      <c r="F7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71" s="4">
        <f>IF(WEEKNUM(EarningsPerDay[[#This Row],[Date]], 2) = 53, 1, WEEKNUM(EarningsPerDay[[#This Row],[Date]],2))</f>
        <v>34</v>
      </c>
      <c r="H771" s="40" t="str">
        <f t="shared" si="107"/>
        <v>Monday</v>
      </c>
      <c r="I771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71" s="40" t="str" cm="1">
        <f t="array" ref="J771">IFERROR(VLOOKUP(MODE(IF(Combined[Date]=EarningsPerDay[[#This Row],[Date]],Combined[Area '#])),KPIs!$B$4:$C$7,2,FALSE),VLOOKUP(EarningsPerDay[[#This Row],[Date]],Combined[[Date]:[Primary Area]],8,FALSE))</f>
        <v>Portland</v>
      </c>
      <c r="K771" s="40" t="str">
        <f>_xlfn.XLOOKUP(EarningsPerDay[[#This Row],[Date]],Mileage[Date],Mileage[Weather])</f>
        <v>Clear</v>
      </c>
      <c r="L771" s="4">
        <f>_xlfn.XLOOKUP(EarningsPerDay[[#This Row],[Date]],Mileage[Date],Mileage[Hi Temp])</f>
        <v>68</v>
      </c>
      <c r="M771" s="12">
        <f>_xlfn.XLOOKUP(EarningsPerDay[[#This Row],[Date]],Mileage[Date],Mileage[Total Time])</f>
        <v>5.13</v>
      </c>
      <c r="N771" s="4">
        <f>_xlfn.XLOOKUP(EarningsPerDay[[#This Row],[Date]],Mileage[Date],Mileage[Mileage])</f>
        <v>114</v>
      </c>
      <c r="O771" s="4">
        <f>SUMIF(Combined[Date],EarningsPerDay[[#This Row],[Date]],Combined[Trips])</f>
        <v>10</v>
      </c>
      <c r="P771">
        <f>COUNTIF(Combined[Date],EarningsPerDay[[#This Row],[Date]])</f>
        <v>3</v>
      </c>
      <c r="Q77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71" s="11">
        <f>SUMIF(Combined[Date],EarningsPerDay[[#This Row],[Date]],Combined[Earnings])</f>
        <v>133.47</v>
      </c>
      <c r="S771" s="11">
        <f ca="1">EarningsPerDay[[#This Row],[Gross Earnings]]-(EarningsPerDay[[#This Row],[Miles]]*CpM!$D$11)</f>
        <v>108.05106744037565</v>
      </c>
      <c r="T771" s="11">
        <f t="shared" ref="T771:T834" si="108">R771/M771</f>
        <v>26.017543859649123</v>
      </c>
      <c r="U771" s="11">
        <f t="shared" ref="U771:U834" ca="1" si="109">S771/M771</f>
        <v>21.06258624568726</v>
      </c>
      <c r="V771" s="11">
        <f>EarningsPerDay[[#This Row],[Gross Earnings]]/EarningsPerDay[[#This Row],[Deliveries]]</f>
        <v>13.347</v>
      </c>
      <c r="W771" s="11">
        <f>EarningsPerDay[[#This Row],[Gross Earnings]]/EarningsPerDay[[#This Row],[Miles]]</f>
        <v>1.1707894736842106</v>
      </c>
      <c r="X771" s="71">
        <f>EarningsPerDay[[#This Row],[Deliveries]]/EarningsPerDay[[#This Row],[Hours]]</f>
        <v>1.9493177387914231</v>
      </c>
      <c r="Y771" s="71">
        <f>EarningsPerDay[[#This Row],[Miles]]/EarningsPerDay[[#This Row],[Deliveries]]</f>
        <v>11.4</v>
      </c>
      <c r="Z771" s="81">
        <f>(EarningsPerDay[[#This Row],[Hours]]/EarningsPerDay[[#This Row],[Deliveries]])/24</f>
        <v>2.1375000000000002E-2</v>
      </c>
      <c r="AA7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2.7585488841069292</v>
      </c>
      <c r="AB771" s="11">
        <f>AVERAGEIFS(EarningsPerDay[Gross $/Hour],EarningsPerDay[Week '#], EarningsPerDay[[#This Row],[Week '#]], EarningsPerDay[DOW], EarningsPerDay[[#This Row],[DOW]])</f>
        <v>26.017543859649123</v>
      </c>
      <c r="AC771" s="11">
        <f>EarningsPerDay[[#This Row],[Gross $/Hour]] - EarningsPerDay[[#This Row],[Weekly Average Earnings]]</f>
        <v>0</v>
      </c>
      <c r="AD771" s="11">
        <f>(SUMIFS(EarningsPerDay[Gross Earnings], EarningsPerDay[Date],"&gt;="&amp;EarningsPerDay[[#This Row],[Date]]-89, EarningsPerDay[Date], "&lt;="&amp;EarningsPerDay[[#This Row],[Date]]))/90</f>
        <v>65.251555555555527</v>
      </c>
    </row>
    <row r="772" spans="2:30" x14ac:dyDescent="0.35">
      <c r="B772" s="40">
        <v>45889</v>
      </c>
      <c r="C772" s="40">
        <f t="shared" si="106"/>
        <v>45889</v>
      </c>
      <c r="D772" s="4">
        <f>IF(EarningsPerDay[[#This Row],[Week '#]]&gt;=52,YEAR(EarningsPerDay[[#This Row],[Date]])-1,YEAR(EarningsPerDay[[#This Row],[Date]]))</f>
        <v>2025</v>
      </c>
      <c r="E772" s="4" t="str">
        <f>"QTR"&amp;IF(EarningsPerDay[[#This Row],[Week '#]] &lt;= 13, 1, IF(EarningsPerDay[[#This Row],[Week '#]] &lt;= 26, 2, IF(EarningsPerDay[[#This Row],[Week '#]] &lt;= 39, 3, 4)))</f>
        <v>QTR3</v>
      </c>
      <c r="F7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72" s="4">
        <f>IF(WEEKNUM(EarningsPerDay[[#This Row],[Date]], 2) = 53, 1, WEEKNUM(EarningsPerDay[[#This Row],[Date]],2))</f>
        <v>34</v>
      </c>
      <c r="H772" s="40" t="str">
        <f t="shared" si="107"/>
        <v>Wednesday</v>
      </c>
      <c r="I77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72" s="40" t="str" cm="1">
        <f t="array" ref="J772">IFERROR(VLOOKUP(MODE(IF(Combined[Date]=EarningsPerDay[[#This Row],[Date]],Combined[Area '#])),KPIs!$B$4:$C$7,2,FALSE),VLOOKUP(EarningsPerDay[[#This Row],[Date]],Combined[[Date]:[Primary Area]],8,FALSE))</f>
        <v>Portland</v>
      </c>
      <c r="K772" s="40" t="str">
        <f>_xlfn.XLOOKUP(EarningsPerDay[[#This Row],[Date]],Mileage[Date],Mileage[Weather])</f>
        <v>Clear</v>
      </c>
      <c r="L772" s="4">
        <f>_xlfn.XLOOKUP(EarningsPerDay[[#This Row],[Date]],Mileage[Date],Mileage[Hi Temp])</f>
        <v>64</v>
      </c>
      <c r="M772" s="12">
        <f>_xlfn.XLOOKUP(EarningsPerDay[[#This Row],[Date]],Mileage[Date],Mileage[Total Time])</f>
        <v>7.05</v>
      </c>
      <c r="N772" s="4">
        <f>_xlfn.XLOOKUP(EarningsPerDay[[#This Row],[Date]],Mileage[Date],Mileage[Mileage])</f>
        <v>155</v>
      </c>
      <c r="O772" s="4">
        <f>SUMIF(Combined[Date],EarningsPerDay[[#This Row],[Date]],Combined[Trips])</f>
        <v>15</v>
      </c>
      <c r="P772">
        <f>COUNTIF(Combined[Date],EarningsPerDay[[#This Row],[Date]])</f>
        <v>2</v>
      </c>
      <c r="Q7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2" s="11">
        <f>SUMIF(Combined[Date],EarningsPerDay[[#This Row],[Date]],Combined[Earnings])</f>
        <v>122.98</v>
      </c>
      <c r="S772" s="11">
        <f ca="1">EarningsPerDay[[#This Row],[Gross Earnings]]-(EarningsPerDay[[#This Row],[Miles]]*CpM!$D$11)</f>
        <v>88.41917064261601</v>
      </c>
      <c r="T772" s="11">
        <f t="shared" si="108"/>
        <v>17.443971631205674</v>
      </c>
      <c r="U772" s="11">
        <f t="shared" ca="1" si="109"/>
        <v>12.541726332285959</v>
      </c>
      <c r="V772" s="11">
        <f>EarningsPerDay[[#This Row],[Gross Earnings]]/EarningsPerDay[[#This Row],[Deliveries]]</f>
        <v>8.1986666666666661</v>
      </c>
      <c r="W772" s="11">
        <f>EarningsPerDay[[#This Row],[Gross Earnings]]/EarningsPerDay[[#This Row],[Miles]]</f>
        <v>0.79341935483870973</v>
      </c>
      <c r="X772" s="71">
        <f>EarningsPerDay[[#This Row],[Deliveries]]/EarningsPerDay[[#This Row],[Hours]]</f>
        <v>2.1276595744680851</v>
      </c>
      <c r="Y772" s="71">
        <f>EarningsPerDay[[#This Row],[Miles]]/EarningsPerDay[[#This Row],[Deliveries]]</f>
        <v>10.333333333333334</v>
      </c>
      <c r="Z772" s="81">
        <f>(EarningsPerDay[[#This Row],[Hours]]/EarningsPerDay[[#This Row],[Deliveries]])/24</f>
        <v>1.9583333333333331E-2</v>
      </c>
      <c r="AA7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-5.1171693376148966</v>
      </c>
      <c r="AB772" s="11">
        <f>AVERAGEIFS(EarningsPerDay[Gross $/Hour],EarningsPerDay[Week '#], EarningsPerDay[[#This Row],[Week '#]], EarningsPerDay[DOW], EarningsPerDay[[#This Row],[DOW]])</f>
        <v>23.323781261793304</v>
      </c>
      <c r="AC772" s="11">
        <f>EarningsPerDay[[#This Row],[Gross $/Hour]] - EarningsPerDay[[#This Row],[Weekly Average Earnings]]</f>
        <v>-5.87980963058763</v>
      </c>
      <c r="AD772" s="11">
        <f>(SUMIFS(EarningsPerDay[Gross Earnings], EarningsPerDay[Date],"&gt;="&amp;EarningsPerDay[[#This Row],[Date]]-89, EarningsPerDay[Date], "&lt;="&amp;EarningsPerDay[[#This Row],[Date]]))/90</f>
        <v>64.33299999999997</v>
      </c>
    </row>
    <row r="773" spans="2:30" x14ac:dyDescent="0.35">
      <c r="B773" s="40">
        <v>45890</v>
      </c>
      <c r="C773" s="40">
        <f t="shared" si="106"/>
        <v>45890</v>
      </c>
      <c r="D773" s="4">
        <f>IF(EarningsPerDay[[#This Row],[Week '#]]&gt;=52,YEAR(EarningsPerDay[[#This Row],[Date]])-1,YEAR(EarningsPerDay[[#This Row],[Date]]))</f>
        <v>2025</v>
      </c>
      <c r="E773" s="4" t="str">
        <f>"QTR"&amp;IF(EarningsPerDay[[#This Row],[Week '#]] &lt;= 13, 1, IF(EarningsPerDay[[#This Row],[Week '#]] &lt;= 26, 2, IF(EarningsPerDay[[#This Row],[Week '#]] &lt;= 39, 3, 4)))</f>
        <v>QTR3</v>
      </c>
      <c r="F7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73" s="4">
        <f>IF(WEEKNUM(EarningsPerDay[[#This Row],[Date]], 2) = 53, 1, WEEKNUM(EarningsPerDay[[#This Row],[Date]],2))</f>
        <v>34</v>
      </c>
      <c r="H773" s="40" t="str">
        <f t="shared" si="107"/>
        <v>Thursday</v>
      </c>
      <c r="I773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73" s="40" t="str" cm="1">
        <f t="array" ref="J773">IFERROR(VLOOKUP(MODE(IF(Combined[Date]=EarningsPerDay[[#This Row],[Date]],Combined[Area '#])),KPIs!$B$4:$C$7,2,FALSE),VLOOKUP(EarningsPerDay[[#This Row],[Date]],Combined[[Date]:[Primary Area]],8,FALSE))</f>
        <v>Lewiston</v>
      </c>
      <c r="K773" s="40" t="str">
        <f>_xlfn.XLOOKUP(EarningsPerDay[[#This Row],[Date]],Mileage[Date],Mileage[Weather])</f>
        <v>Clear</v>
      </c>
      <c r="L773" s="4">
        <f>_xlfn.XLOOKUP(EarningsPerDay[[#This Row],[Date]],Mileage[Date],Mileage[Hi Temp])</f>
        <v>72</v>
      </c>
      <c r="M773" s="12">
        <f>_xlfn.XLOOKUP(EarningsPerDay[[#This Row],[Date]],Mileage[Date],Mileage[Total Time])</f>
        <v>6.88</v>
      </c>
      <c r="N773" s="4">
        <f>_xlfn.XLOOKUP(EarningsPerDay[[#This Row],[Date]],Mileage[Date],Mileage[Mileage])</f>
        <v>168</v>
      </c>
      <c r="O773" s="4">
        <f>SUMIF(Combined[Date],EarningsPerDay[[#This Row],[Date]],Combined[Trips])</f>
        <v>11</v>
      </c>
      <c r="P773">
        <f>COUNTIF(Combined[Date],EarningsPerDay[[#This Row],[Date]])</f>
        <v>2</v>
      </c>
      <c r="Q77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3" s="11">
        <f>SUMIF(Combined[Date],EarningsPerDay[[#This Row],[Date]],Combined[Earnings])</f>
        <v>124.34</v>
      </c>
      <c r="S773" s="11">
        <f ca="1">EarningsPerDay[[#This Row],[Gross Earnings]]-(EarningsPerDay[[#This Row],[Miles]]*CpM!$D$11)</f>
        <v>86.880520438448315</v>
      </c>
      <c r="T773" s="11">
        <f t="shared" si="108"/>
        <v>18.072674418604652</v>
      </c>
      <c r="U773" s="11">
        <f t="shared" ca="1" si="109"/>
        <v>12.627982621867488</v>
      </c>
      <c r="V773" s="11">
        <f>EarningsPerDay[[#This Row],[Gross Earnings]]/EarningsPerDay[[#This Row],[Deliveries]]</f>
        <v>11.303636363636365</v>
      </c>
      <c r="W773" s="11">
        <f>EarningsPerDay[[#This Row],[Gross Earnings]]/EarningsPerDay[[#This Row],[Miles]]</f>
        <v>0.74011904761904768</v>
      </c>
      <c r="X773" s="71">
        <f>EarningsPerDay[[#This Row],[Deliveries]]/EarningsPerDay[[#This Row],[Hours]]</f>
        <v>1.5988372093023255</v>
      </c>
      <c r="Y773" s="71">
        <f>EarningsPerDay[[#This Row],[Miles]]/EarningsPerDay[[#This Row],[Deliveries]]</f>
        <v>15.272727272727273</v>
      </c>
      <c r="Z773" s="81">
        <f>(EarningsPerDay[[#This Row],[Hours]]/EarningsPerDay[[#This Row],[Deliveries]])/24</f>
        <v>2.6060606060606062E-2</v>
      </c>
      <c r="AA7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-1.2759314750354207</v>
      </c>
      <c r="AB773" s="11">
        <f>AVERAGEIFS(EarningsPerDay[Gross $/Hour],EarningsPerDay[Week '#], EarningsPerDay[[#This Row],[Week '#]], EarningsPerDay[DOW], EarningsPerDay[[#This Row],[DOW]])</f>
        <v>20.801092160105405</v>
      </c>
      <c r="AC773" s="11">
        <f>EarningsPerDay[[#This Row],[Gross $/Hour]] - EarningsPerDay[[#This Row],[Weekly Average Earnings]]</f>
        <v>-2.7284177415007527</v>
      </c>
      <c r="AD773" s="11">
        <f>(SUMIFS(EarningsPerDay[Gross Earnings], EarningsPerDay[Date],"&gt;="&amp;EarningsPerDay[[#This Row],[Date]]-89, EarningsPerDay[Date], "&lt;="&amp;EarningsPerDay[[#This Row],[Date]]))/90</f>
        <v>65.714555555555535</v>
      </c>
    </row>
    <row r="774" spans="2:30" x14ac:dyDescent="0.35">
      <c r="B774" s="40">
        <v>45891</v>
      </c>
      <c r="C774" s="40">
        <f t="shared" si="106"/>
        <v>45891</v>
      </c>
      <c r="D774" s="4">
        <f>IF(EarningsPerDay[[#This Row],[Week '#]]&gt;=52,YEAR(EarningsPerDay[[#This Row],[Date]])-1,YEAR(EarningsPerDay[[#This Row],[Date]]))</f>
        <v>2025</v>
      </c>
      <c r="E774" s="4" t="str">
        <f>"QTR"&amp;IF(EarningsPerDay[[#This Row],[Week '#]] &lt;= 13, 1, IF(EarningsPerDay[[#This Row],[Week '#]] &lt;= 26, 2, IF(EarningsPerDay[[#This Row],[Week '#]] &lt;= 39, 3, 4)))</f>
        <v>QTR3</v>
      </c>
      <c r="F7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774" s="4">
        <f>IF(WEEKNUM(EarningsPerDay[[#This Row],[Date]], 2) = 53, 1, WEEKNUM(EarningsPerDay[[#This Row],[Date]],2))</f>
        <v>34</v>
      </c>
      <c r="H774" s="40" t="str">
        <f t="shared" si="107"/>
        <v>Friday</v>
      </c>
      <c r="I774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74" s="40" t="str" cm="1">
        <f t="array" ref="J774">IFERROR(VLOOKUP(MODE(IF(Combined[Date]=EarningsPerDay[[#This Row],[Date]],Combined[Area '#])),KPIs!$B$4:$C$7,2,FALSE),VLOOKUP(EarningsPerDay[[#This Row],[Date]],Combined[[Date]:[Primary Area]],8,FALSE))</f>
        <v>Brunswick/Bath/Freeport</v>
      </c>
      <c r="K774" s="40" t="str">
        <f>_xlfn.XLOOKUP(EarningsPerDay[[#This Row],[Date]],Mileage[Date],Mileage[Weather])</f>
        <v>Clear</v>
      </c>
      <c r="L774" s="4">
        <f>_xlfn.XLOOKUP(EarningsPerDay[[#This Row],[Date]],Mileage[Date],Mileage[Hi Temp])</f>
        <v>81</v>
      </c>
      <c r="M774" s="12">
        <f>_xlfn.XLOOKUP(EarningsPerDay[[#This Row],[Date]],Mileage[Date],Mileage[Total Time])</f>
        <v>6.55</v>
      </c>
      <c r="N774" s="4">
        <f>_xlfn.XLOOKUP(EarningsPerDay[[#This Row],[Date]],Mileage[Date],Mileage[Mileage])</f>
        <v>177</v>
      </c>
      <c r="O774" s="4">
        <f>SUMIF(Combined[Date],EarningsPerDay[[#This Row],[Date]],Combined[Trips])</f>
        <v>13</v>
      </c>
      <c r="P774">
        <f>COUNTIF(Combined[Date],EarningsPerDay[[#This Row],[Date]])</f>
        <v>3</v>
      </c>
      <c r="Q77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4" s="11">
        <f>SUMIF(Combined[Date],EarningsPerDay[[#This Row],[Date]],Combined[Earnings])</f>
        <v>177.68</v>
      </c>
      <c r="S774" s="11">
        <f ca="1">EarningsPerDay[[#This Row],[Gross Earnings]]-(EarningsPerDay[[#This Row],[Miles]]*CpM!$D$11)</f>
        <v>138.21376260479377</v>
      </c>
      <c r="T774" s="11">
        <f t="shared" si="108"/>
        <v>27.126717557251911</v>
      </c>
      <c r="U774" s="11">
        <f t="shared" ca="1" si="109"/>
        <v>21.101337802258591</v>
      </c>
      <c r="V774" s="11">
        <f>EarningsPerDay[[#This Row],[Gross Earnings]]/EarningsPerDay[[#This Row],[Deliveries]]</f>
        <v>13.667692307692308</v>
      </c>
      <c r="W774" s="11">
        <f>EarningsPerDay[[#This Row],[Gross Earnings]]/EarningsPerDay[[#This Row],[Miles]]</f>
        <v>1.0038418079096045</v>
      </c>
      <c r="X774" s="71">
        <f>EarningsPerDay[[#This Row],[Deliveries]]/EarningsPerDay[[#This Row],[Hours]]</f>
        <v>1.9847328244274809</v>
      </c>
      <c r="Y774" s="71">
        <f>EarningsPerDay[[#This Row],[Miles]]/EarningsPerDay[[#This Row],[Deliveries]]</f>
        <v>13.615384615384615</v>
      </c>
      <c r="Z774" s="81">
        <f>(EarningsPerDay[[#This Row],[Hours]]/EarningsPerDay[[#This Row],[Deliveries]])/24</f>
        <v>2.0993589743589742E-2</v>
      </c>
      <c r="AA7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5.2624213630518888</v>
      </c>
      <c r="AB774" s="11">
        <f>AVERAGEIFS(EarningsPerDay[Gross $/Hour],EarningsPerDay[Week '#], EarningsPerDay[[#This Row],[Week '#]], EarningsPerDay[DOW], EarningsPerDay[[#This Row],[DOW]])</f>
        <v>25.991327331647295</v>
      </c>
      <c r="AC774" s="11">
        <f>EarningsPerDay[[#This Row],[Gross $/Hour]] - EarningsPerDay[[#This Row],[Weekly Average Earnings]]</f>
        <v>1.1353902256046169</v>
      </c>
      <c r="AD774" s="11">
        <f>(SUMIFS(EarningsPerDay[Gross Earnings], EarningsPerDay[Date],"&gt;="&amp;EarningsPerDay[[#This Row],[Date]]-89, EarningsPerDay[Date], "&lt;="&amp;EarningsPerDay[[#This Row],[Date]]))/90</f>
        <v>67.688777777777759</v>
      </c>
    </row>
    <row r="775" spans="2:30" x14ac:dyDescent="0.35">
      <c r="B775" s="40">
        <v>45894</v>
      </c>
      <c r="C775" s="40">
        <f t="shared" si="106"/>
        <v>45894</v>
      </c>
      <c r="D775" s="4">
        <f>IF(EarningsPerDay[[#This Row],[Week '#]]&gt;=52,YEAR(EarningsPerDay[[#This Row],[Date]])-1,YEAR(EarningsPerDay[[#This Row],[Date]]))</f>
        <v>2025</v>
      </c>
      <c r="E775" s="4" t="str">
        <f>"QTR"&amp;IF(EarningsPerDay[[#This Row],[Week '#]] &lt;= 13, 1, IF(EarningsPerDay[[#This Row],[Week '#]] &lt;= 26, 2, IF(EarningsPerDay[[#This Row],[Week '#]] &lt;= 39, 3, 4)))</f>
        <v>QTR3</v>
      </c>
      <c r="F7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75" s="4">
        <f>IF(WEEKNUM(EarningsPerDay[[#This Row],[Date]], 2) = 53, 1, WEEKNUM(EarningsPerDay[[#This Row],[Date]],2))</f>
        <v>35</v>
      </c>
      <c r="H775" s="40" t="str">
        <f t="shared" si="107"/>
        <v>Monday</v>
      </c>
      <c r="I775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775" s="40" t="str" cm="1">
        <f t="array" ref="J775">IFERROR(VLOOKUP(MODE(IF(Combined[Date]=EarningsPerDay[[#This Row],[Date]],Combined[Area '#])),KPIs!$B$4:$C$7,2,FALSE),VLOOKUP(EarningsPerDay[[#This Row],[Date]],Combined[[Date]:[Primary Area]],8,FALSE))</f>
        <v>Portland</v>
      </c>
      <c r="K775" s="40" t="str">
        <f>_xlfn.XLOOKUP(EarningsPerDay[[#This Row],[Date]],Mileage[Date],Mileage[Weather])</f>
        <v>Partially Cloudy</v>
      </c>
      <c r="L775" s="4">
        <f>_xlfn.XLOOKUP(EarningsPerDay[[#This Row],[Date]],Mileage[Date],Mileage[Hi Temp])</f>
        <v>66</v>
      </c>
      <c r="M775" s="12">
        <f>_xlfn.XLOOKUP(EarningsPerDay[[#This Row],[Date]],Mileage[Date],Mileage[Total Time])</f>
        <v>6.42</v>
      </c>
      <c r="N775" s="4">
        <f>_xlfn.XLOOKUP(EarningsPerDay[[#This Row],[Date]],Mileage[Date],Mileage[Mileage])</f>
        <v>129</v>
      </c>
      <c r="O775" s="4">
        <f>SUMIF(Combined[Date],EarningsPerDay[[#This Row],[Date]],Combined[Trips])</f>
        <v>14</v>
      </c>
      <c r="P775">
        <f>COUNTIF(Combined[Date],EarningsPerDay[[#This Row],[Date]])</f>
        <v>3</v>
      </c>
      <c r="Q7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5" s="11">
        <f>SUMIF(Combined[Date],EarningsPerDay[[#This Row],[Date]],Combined[Earnings])</f>
        <v>141.60999999999999</v>
      </c>
      <c r="S775" s="11">
        <f ca="1">EarningsPerDay[[#This Row],[Gross Earnings]]-(EarningsPerDay[[#This Row],[Miles]]*CpM!$D$11)</f>
        <v>112.84647105095138</v>
      </c>
      <c r="T775" s="11">
        <f t="shared" si="108"/>
        <v>22.057632398753892</v>
      </c>
      <c r="U775" s="11">
        <f t="shared" ca="1" si="109"/>
        <v>17.577331939400526</v>
      </c>
      <c r="V775" s="11">
        <f>EarningsPerDay[[#This Row],[Gross Earnings]]/EarningsPerDay[[#This Row],[Deliveries]]</f>
        <v>10.114999999999998</v>
      </c>
      <c r="W775" s="11">
        <f>EarningsPerDay[[#This Row],[Gross Earnings]]/EarningsPerDay[[#This Row],[Miles]]</f>
        <v>1.097751937984496</v>
      </c>
      <c r="X775" s="71">
        <f>EarningsPerDay[[#This Row],[Deliveries]]/EarningsPerDay[[#This Row],[Hours]]</f>
        <v>2.180685358255452</v>
      </c>
      <c r="Y775" s="71">
        <f>EarningsPerDay[[#This Row],[Miles]]/EarningsPerDay[[#This Row],[Deliveries]]</f>
        <v>9.2142857142857135</v>
      </c>
      <c r="Z775" s="81">
        <f>(EarningsPerDay[[#This Row],[Hours]]/EarningsPerDay[[#This Row],[Deliveries]])/24</f>
        <v>1.9107142857142857E-2</v>
      </c>
      <c r="AA7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-1.3465493601623493</v>
      </c>
      <c r="AB775" s="11">
        <f>AVERAGEIFS(EarningsPerDay[Gross $/Hour],EarningsPerDay[Week '#], EarningsPerDay[[#This Row],[Week '#]], EarningsPerDay[DOW], EarningsPerDay[[#This Row],[DOW]])</f>
        <v>22.565375230269186</v>
      </c>
      <c r="AC775" s="11">
        <f>EarningsPerDay[[#This Row],[Gross $/Hour]] - EarningsPerDay[[#This Row],[Weekly Average Earnings]]</f>
        <v>-0.50774283151529431</v>
      </c>
      <c r="AD775" s="11">
        <f>(SUMIFS(EarningsPerDay[Gross Earnings], EarningsPerDay[Date],"&gt;="&amp;EarningsPerDay[[#This Row],[Date]]-89, EarningsPerDay[Date], "&lt;="&amp;EarningsPerDay[[#This Row],[Date]]))/90</f>
        <v>66.806888888888864</v>
      </c>
    </row>
    <row r="776" spans="2:30" x14ac:dyDescent="0.35">
      <c r="B776" s="40">
        <v>45896</v>
      </c>
      <c r="C776" s="40">
        <f t="shared" si="106"/>
        <v>45896</v>
      </c>
      <c r="D776" s="4">
        <f>IF(EarningsPerDay[[#This Row],[Week '#]]&gt;=52,YEAR(EarningsPerDay[[#This Row],[Date]])-1,YEAR(EarningsPerDay[[#This Row],[Date]]))</f>
        <v>2025</v>
      </c>
      <c r="E776" s="4" t="str">
        <f>"QTR"&amp;IF(EarningsPerDay[[#This Row],[Week '#]] &lt;= 13, 1, IF(EarningsPerDay[[#This Row],[Week '#]] &lt;= 26, 2, IF(EarningsPerDay[[#This Row],[Week '#]] &lt;= 39, 3, 4)))</f>
        <v>QTR3</v>
      </c>
      <c r="F7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76" s="4">
        <f>IF(WEEKNUM(EarningsPerDay[[#This Row],[Date]], 2) = 53, 1, WEEKNUM(EarningsPerDay[[#This Row],[Date]],2))</f>
        <v>35</v>
      </c>
      <c r="H776" s="40" t="str">
        <f t="shared" ref="H776:H779" si="110">TEXT(B776,"DDDD")</f>
        <v>Wednesday</v>
      </c>
      <c r="I776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76" s="40" t="str" cm="1">
        <f t="array" ref="J776">IFERROR(VLOOKUP(MODE(IF(Combined[Date]=EarningsPerDay[[#This Row],[Date]],Combined[Area '#])),KPIs!$B$4:$C$7,2,FALSE),VLOOKUP(EarningsPerDay[[#This Row],[Date]],Combined[[Date]:[Primary Area]],8,FALSE))</f>
        <v>Brunswick/Bath/Freeport</v>
      </c>
      <c r="K776" s="40" t="str">
        <f>_xlfn.XLOOKUP(EarningsPerDay[[#This Row],[Date]],Mileage[Date],Mileage[Weather])</f>
        <v>Mostly Cloudy</v>
      </c>
      <c r="L776" s="4">
        <f>_xlfn.XLOOKUP(EarningsPerDay[[#This Row],[Date]],Mileage[Date],Mileage[Hi Temp])</f>
        <v>63</v>
      </c>
      <c r="M776" s="12">
        <f>_xlfn.XLOOKUP(EarningsPerDay[[#This Row],[Date]],Mileage[Date],Mileage[Total Time])</f>
        <v>6.45</v>
      </c>
      <c r="N776" s="4">
        <f>_xlfn.XLOOKUP(EarningsPerDay[[#This Row],[Date]],Mileage[Date],Mileage[Mileage])</f>
        <v>150</v>
      </c>
      <c r="O776" s="4">
        <f>SUMIF(Combined[Date],EarningsPerDay[[#This Row],[Date]],Combined[Trips])</f>
        <v>14</v>
      </c>
      <c r="P776">
        <f>COUNTIF(Combined[Date],EarningsPerDay[[#This Row],[Date]])</f>
        <v>2</v>
      </c>
      <c r="Q7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6" s="11">
        <f>SUMIF(Combined[Date],EarningsPerDay[[#This Row],[Date]],Combined[Earnings])</f>
        <v>201.32999999999998</v>
      </c>
      <c r="S776" s="11">
        <f ca="1">EarningsPerDay[[#This Row],[Gross Earnings]]-(EarningsPerDay[[#This Row],[Miles]]*CpM!$D$11)</f>
        <v>167.88403610575742</v>
      </c>
      <c r="T776" s="11">
        <f t="shared" si="108"/>
        <v>31.213953488372091</v>
      </c>
      <c r="U776" s="11">
        <f t="shared" ca="1" si="109"/>
        <v>26.028532729574792</v>
      </c>
      <c r="V776" s="11">
        <f>EarningsPerDay[[#This Row],[Gross Earnings]]/EarningsPerDay[[#This Row],[Deliveries]]</f>
        <v>14.380714285714285</v>
      </c>
      <c r="W776" s="11">
        <f>EarningsPerDay[[#This Row],[Gross Earnings]]/EarningsPerDay[[#This Row],[Miles]]</f>
        <v>1.3421999999999998</v>
      </c>
      <c r="X776" s="71">
        <f>EarningsPerDay[[#This Row],[Deliveries]]/EarningsPerDay[[#This Row],[Hours]]</f>
        <v>2.1705426356589146</v>
      </c>
      <c r="Y776" s="71">
        <f>EarningsPerDay[[#This Row],[Miles]]/EarningsPerDay[[#This Row],[Deliveries]]</f>
        <v>10.714285714285714</v>
      </c>
      <c r="Z776" s="81">
        <f>(EarningsPerDay[[#This Row],[Hours]]/EarningsPerDay[[#This Row],[Deliveries]])/24</f>
        <v>1.9196428571428573E-2</v>
      </c>
      <c r="AA7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8.1955188429433434</v>
      </c>
      <c r="AB776" s="11">
        <f>AVERAGEIFS(EarningsPerDay[Gross $/Hour],EarningsPerDay[Week '#], EarningsPerDay[[#This Row],[Week '#]], EarningsPerDay[DOW], EarningsPerDay[[#This Row],[DOW]])</f>
        <v>24.84553283501565</v>
      </c>
      <c r="AC776" s="11">
        <f>EarningsPerDay[[#This Row],[Gross $/Hour]] - EarningsPerDay[[#This Row],[Weekly Average Earnings]]</f>
        <v>6.3684206533564414</v>
      </c>
      <c r="AD776" s="11">
        <f>(SUMIFS(EarningsPerDay[Gross Earnings], EarningsPerDay[Date],"&gt;="&amp;EarningsPerDay[[#This Row],[Date]]-89, EarningsPerDay[Date], "&lt;="&amp;EarningsPerDay[[#This Row],[Date]]))/90</f>
        <v>66.499222222222215</v>
      </c>
    </row>
    <row r="777" spans="2:30" x14ac:dyDescent="0.35">
      <c r="B777" s="40">
        <v>45897</v>
      </c>
      <c r="C777" s="40">
        <f t="shared" si="106"/>
        <v>45897</v>
      </c>
      <c r="D777" s="4">
        <f>IF(EarningsPerDay[[#This Row],[Week '#]]&gt;=52,YEAR(EarningsPerDay[[#This Row],[Date]])-1,YEAR(EarningsPerDay[[#This Row],[Date]]))</f>
        <v>2025</v>
      </c>
      <c r="E777" s="4" t="str">
        <f>"QTR"&amp;IF(EarningsPerDay[[#This Row],[Week '#]] &lt;= 13, 1, IF(EarningsPerDay[[#This Row],[Week '#]] &lt;= 26, 2, IF(EarningsPerDay[[#This Row],[Week '#]] &lt;= 39, 3, 4)))</f>
        <v>QTR3</v>
      </c>
      <c r="F7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77" s="4">
        <f>IF(WEEKNUM(EarningsPerDay[[#This Row],[Date]], 2) = 53, 1, WEEKNUM(EarningsPerDay[[#This Row],[Date]],2))</f>
        <v>35</v>
      </c>
      <c r="H777" s="40" t="str">
        <f t="shared" si="110"/>
        <v>Thursday</v>
      </c>
      <c r="I77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77" s="40" t="str" cm="1">
        <f t="array" ref="J777">IFERROR(VLOOKUP(MODE(IF(Combined[Date]=EarningsPerDay[[#This Row],[Date]],Combined[Area '#])),KPIs!$B$4:$C$7,2,FALSE),VLOOKUP(EarningsPerDay[[#This Row],[Date]],Combined[[Date]:[Primary Area]],8,FALSE))</f>
        <v>Brunswick/Bath/Freeport</v>
      </c>
      <c r="K777" s="40" t="str">
        <f>_xlfn.XLOOKUP(EarningsPerDay[[#This Row],[Date]],Mileage[Date],Mileage[Weather])</f>
        <v>Clear</v>
      </c>
      <c r="L777" s="4">
        <f>_xlfn.XLOOKUP(EarningsPerDay[[#This Row],[Date]],Mileage[Date],Mileage[Hi Temp])</f>
        <v>66</v>
      </c>
      <c r="M777" s="12">
        <f>_xlfn.XLOOKUP(EarningsPerDay[[#This Row],[Date]],Mileage[Date],Mileage[Total Time])</f>
        <v>6.13</v>
      </c>
      <c r="N777" s="4">
        <f>_xlfn.XLOOKUP(EarningsPerDay[[#This Row],[Date]],Mileage[Date],Mileage[Mileage])</f>
        <v>154</v>
      </c>
      <c r="O777" s="4">
        <f>SUMIF(Combined[Date],EarningsPerDay[[#This Row],[Date]],Combined[Trips])</f>
        <v>12</v>
      </c>
      <c r="P777">
        <f>COUNTIF(Combined[Date],EarningsPerDay[[#This Row],[Date]])</f>
        <v>2</v>
      </c>
      <c r="Q7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7" s="11">
        <f>SUMIF(Combined[Date],EarningsPerDay[[#This Row],[Date]],Combined[Earnings])</f>
        <v>124.21000000000001</v>
      </c>
      <c r="S777" s="11">
        <f ca="1">EarningsPerDay[[#This Row],[Gross Earnings]]-(EarningsPerDay[[#This Row],[Miles]]*CpM!$D$11)</f>
        <v>89.872143735244293</v>
      </c>
      <c r="T777" s="11">
        <f t="shared" si="108"/>
        <v>20.262642740619903</v>
      </c>
      <c r="U777" s="11">
        <f t="shared" ca="1" si="109"/>
        <v>14.66103486708716</v>
      </c>
      <c r="V777" s="11">
        <f>EarningsPerDay[[#This Row],[Gross Earnings]]/EarningsPerDay[[#This Row],[Deliveries]]</f>
        <v>10.350833333333334</v>
      </c>
      <c r="W777" s="11">
        <f>EarningsPerDay[[#This Row],[Gross Earnings]]/EarningsPerDay[[#This Row],[Miles]]</f>
        <v>0.80655844155844159</v>
      </c>
      <c r="X777" s="71">
        <f>EarningsPerDay[[#This Row],[Deliveries]]/EarningsPerDay[[#This Row],[Hours]]</f>
        <v>1.9575856443719413</v>
      </c>
      <c r="Y777" s="71">
        <f>EarningsPerDay[[#This Row],[Miles]]/EarningsPerDay[[#This Row],[Deliveries]]</f>
        <v>12.833333333333334</v>
      </c>
      <c r="Z777" s="81">
        <f>(EarningsPerDay[[#This Row],[Hours]]/EarningsPerDay[[#This Row],[Deliveries]])/24</f>
        <v>2.1284722222222222E-2</v>
      </c>
      <c r="AA7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0.35848603014598979</v>
      </c>
      <c r="AB777" s="11">
        <f>AVERAGEIFS(EarningsPerDay[Gross $/Hour],EarningsPerDay[Week '#], EarningsPerDay[[#This Row],[Week '#]], EarningsPerDay[DOW], EarningsPerDay[[#This Row],[DOW]])</f>
        <v>18.697475216463797</v>
      </c>
      <c r="AC777" s="11">
        <f>EarningsPerDay[[#This Row],[Gross $/Hour]] - EarningsPerDay[[#This Row],[Weekly Average Earnings]]</f>
        <v>1.5651675241561058</v>
      </c>
      <c r="AD777" s="11">
        <f>(SUMIFS(EarningsPerDay[Gross Earnings], EarningsPerDay[Date],"&gt;="&amp;EarningsPerDay[[#This Row],[Date]]-89, EarningsPerDay[Date], "&lt;="&amp;EarningsPerDay[[#This Row],[Date]]))/90</f>
        <v>66.275555555555542</v>
      </c>
    </row>
    <row r="778" spans="2:30" x14ac:dyDescent="0.35">
      <c r="B778" s="40">
        <v>45898</v>
      </c>
      <c r="C778" s="40">
        <f t="shared" si="106"/>
        <v>45898</v>
      </c>
      <c r="D778" s="4">
        <f>IF(EarningsPerDay[[#This Row],[Week '#]]&gt;=52,YEAR(EarningsPerDay[[#This Row],[Date]])-1,YEAR(EarningsPerDay[[#This Row],[Date]]))</f>
        <v>2025</v>
      </c>
      <c r="E778" s="4" t="str">
        <f>"QTR"&amp;IF(EarningsPerDay[[#This Row],[Week '#]] &lt;= 13, 1, IF(EarningsPerDay[[#This Row],[Week '#]] &lt;= 26, 2, IF(EarningsPerDay[[#This Row],[Week '#]] &lt;= 39, 3, 4)))</f>
        <v>QTR3</v>
      </c>
      <c r="F7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78" s="4">
        <f>IF(WEEKNUM(EarningsPerDay[[#This Row],[Date]], 2) = 53, 1, WEEKNUM(EarningsPerDay[[#This Row],[Date]],2))</f>
        <v>35</v>
      </c>
      <c r="H778" s="40" t="str">
        <f t="shared" si="110"/>
        <v>Friday</v>
      </c>
      <c r="I77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78" s="40" t="str" cm="1">
        <f t="array" ref="J778">IFERROR(VLOOKUP(MODE(IF(Combined[Date]=EarningsPerDay[[#This Row],[Date]],Combined[Area '#])),KPIs!$B$4:$C$7,2,FALSE),VLOOKUP(EarningsPerDay[[#This Row],[Date]],Combined[[Date]:[Primary Area]],8,FALSE))</f>
        <v>Brunswick/Bath/Freeport</v>
      </c>
      <c r="K778" s="40" t="str">
        <f>_xlfn.XLOOKUP(EarningsPerDay[[#This Row],[Date]],Mileage[Date],Mileage[Weather])</f>
        <v>Overcast</v>
      </c>
      <c r="L778" s="4">
        <f>_xlfn.XLOOKUP(EarningsPerDay[[#This Row],[Date]],Mileage[Date],Mileage[Hi Temp])</f>
        <v>63</v>
      </c>
      <c r="M778" s="12">
        <f>_xlfn.XLOOKUP(EarningsPerDay[[#This Row],[Date]],Mileage[Date],Mileage[Total Time])</f>
        <v>6.98</v>
      </c>
      <c r="N778" s="4">
        <f>_xlfn.XLOOKUP(EarningsPerDay[[#This Row],[Date]],Mileage[Date],Mileage[Mileage])</f>
        <v>208</v>
      </c>
      <c r="O778" s="4">
        <f>SUMIF(Combined[Date],EarningsPerDay[[#This Row],[Date]],Combined[Trips])</f>
        <v>12</v>
      </c>
      <c r="P778">
        <f>COUNTIF(Combined[Date],EarningsPerDay[[#This Row],[Date]])</f>
        <v>2</v>
      </c>
      <c r="Q7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8" s="11">
        <f>SUMIF(Combined[Date],EarningsPerDay[[#This Row],[Date]],Combined[Earnings])</f>
        <v>150.69</v>
      </c>
      <c r="S778" s="11">
        <f ca="1">EarningsPerDay[[#This Row],[Gross Earnings]]-(EarningsPerDay[[#This Row],[Miles]]*CpM!$D$11)</f>
        <v>104.31159673331696</v>
      </c>
      <c r="T778" s="11">
        <f t="shared" si="108"/>
        <v>21.58882521489971</v>
      </c>
      <c r="U778" s="11">
        <f t="shared" ca="1" si="109"/>
        <v>14.944354832853431</v>
      </c>
      <c r="V778" s="11">
        <f>EarningsPerDay[[#This Row],[Gross Earnings]]/EarningsPerDay[[#This Row],[Deliveries]]</f>
        <v>12.557499999999999</v>
      </c>
      <c r="W778" s="11">
        <f>EarningsPerDay[[#This Row],[Gross Earnings]]/EarningsPerDay[[#This Row],[Miles]]</f>
        <v>0.72447115384615379</v>
      </c>
      <c r="X778" s="71">
        <f>EarningsPerDay[[#This Row],[Deliveries]]/EarningsPerDay[[#This Row],[Hours]]</f>
        <v>1.7191977077363896</v>
      </c>
      <c r="Y778" s="71">
        <f>EarningsPerDay[[#This Row],[Miles]]/EarningsPerDay[[#This Row],[Deliveries]]</f>
        <v>17.333333333333332</v>
      </c>
      <c r="Z778" s="81">
        <f>(EarningsPerDay[[#This Row],[Hours]]/EarningsPerDay[[#This Row],[Deliveries]])/24</f>
        <v>2.4236111111111111E-2</v>
      </c>
      <c r="AA7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-0.62629907017043962</v>
      </c>
      <c r="AB778" s="11">
        <f>AVERAGEIFS(EarningsPerDay[Gross $/Hour],EarningsPerDay[Week '#], EarningsPerDay[[#This Row],[Week '#]], EarningsPerDay[DOW], EarningsPerDay[[#This Row],[DOW]])</f>
        <v>23.151453859227949</v>
      </c>
      <c r="AC778" s="11">
        <f>EarningsPerDay[[#This Row],[Gross $/Hour]] - EarningsPerDay[[#This Row],[Weekly Average Earnings]]</f>
        <v>-1.5626286443282389</v>
      </c>
      <c r="AD778" s="11">
        <f>(SUMIFS(EarningsPerDay[Gross Earnings], EarningsPerDay[Date],"&gt;="&amp;EarningsPerDay[[#This Row],[Date]]-89, EarningsPerDay[Date], "&lt;="&amp;EarningsPerDay[[#This Row],[Date]]))/90</f>
        <v>67.949888888888879</v>
      </c>
    </row>
    <row r="779" spans="2:30" x14ac:dyDescent="0.35">
      <c r="B779" s="40">
        <v>45900</v>
      </c>
      <c r="C779" s="40">
        <f t="shared" si="106"/>
        <v>45900</v>
      </c>
      <c r="D779" s="4">
        <f>IF(EarningsPerDay[[#This Row],[Week '#]]&gt;=52,YEAR(EarningsPerDay[[#This Row],[Date]])-1,YEAR(EarningsPerDay[[#This Row],[Date]]))</f>
        <v>2025</v>
      </c>
      <c r="E779" s="4" t="str">
        <f>"QTR"&amp;IF(EarningsPerDay[[#This Row],[Week '#]] &lt;= 13, 1, IF(EarningsPerDay[[#This Row],[Week '#]] &lt;= 26, 2, IF(EarningsPerDay[[#This Row],[Week '#]] &lt;= 39, 3, 4)))</f>
        <v>QTR3</v>
      </c>
      <c r="F7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779" s="4">
        <f>IF(WEEKNUM(EarningsPerDay[[#This Row],[Date]], 2) = 53, 1, WEEKNUM(EarningsPerDay[[#This Row],[Date]],2))</f>
        <v>35</v>
      </c>
      <c r="H779" s="40" t="str">
        <f t="shared" si="110"/>
        <v>Sunday</v>
      </c>
      <c r="I779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79" s="40" t="str" cm="1">
        <f t="array" ref="J779">IFERROR(VLOOKUP(MODE(IF(Combined[Date]=EarningsPerDay[[#This Row],[Date]],Combined[Area '#])),KPIs!$B$4:$C$7,2,FALSE),VLOOKUP(EarningsPerDay[[#This Row],[Date]],Combined[[Date]:[Primary Area]],8,FALSE))</f>
        <v>Brunswick/Bath/Freeport</v>
      </c>
      <c r="K779" s="40" t="str">
        <f>_xlfn.XLOOKUP(EarningsPerDay[[#This Row],[Date]],Mileage[Date],Mileage[Weather])</f>
        <v>Clear</v>
      </c>
      <c r="L779" s="4">
        <f>_xlfn.XLOOKUP(EarningsPerDay[[#This Row],[Date]],Mileage[Date],Mileage[Hi Temp])</f>
        <v>73</v>
      </c>
      <c r="M779" s="12">
        <f>_xlfn.XLOOKUP(EarningsPerDay[[#This Row],[Date]],Mileage[Date],Mileage[Total Time])</f>
        <v>0.97</v>
      </c>
      <c r="N779" s="4">
        <f>_xlfn.XLOOKUP(EarningsPerDay[[#This Row],[Date]],Mileage[Date],Mileage[Mileage])</f>
        <v>28</v>
      </c>
      <c r="O779" s="4">
        <f>SUMIF(Combined[Date],EarningsPerDay[[#This Row],[Date]],Combined[Trips])</f>
        <v>1</v>
      </c>
      <c r="P779">
        <f>COUNTIF(Combined[Date],EarningsPerDay[[#This Row],[Date]])</f>
        <v>1</v>
      </c>
      <c r="Q7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79" s="11">
        <f>SUMIF(Combined[Date],EarningsPerDay[[#This Row],[Date]],Combined[Earnings])</f>
        <v>21.04</v>
      </c>
      <c r="S779" s="11">
        <f ca="1">EarningsPerDay[[#This Row],[Gross Earnings]]-(EarningsPerDay[[#This Row],[Miles]]*CpM!$D$11)</f>
        <v>14.796753406408051</v>
      </c>
      <c r="T779" s="11">
        <f t="shared" si="108"/>
        <v>21.690721649484537</v>
      </c>
      <c r="U779" s="11">
        <f t="shared" ca="1" si="109"/>
        <v>15.254384955059846</v>
      </c>
      <c r="V779" s="11">
        <f>EarningsPerDay[[#This Row],[Gross Earnings]]/EarningsPerDay[[#This Row],[Deliveries]]</f>
        <v>21.04</v>
      </c>
      <c r="W779" s="11">
        <f>EarningsPerDay[[#This Row],[Gross Earnings]]/EarningsPerDay[[#This Row],[Miles]]</f>
        <v>0.75142857142857145</v>
      </c>
      <c r="X779" s="71">
        <f>EarningsPerDay[[#This Row],[Deliveries]]/EarningsPerDay[[#This Row],[Hours]]</f>
        <v>1.0309278350515465</v>
      </c>
      <c r="Y779" s="71">
        <f>EarningsPerDay[[#This Row],[Miles]]/EarningsPerDay[[#This Row],[Deliveries]]</f>
        <v>28</v>
      </c>
      <c r="Z779" s="81">
        <f>(EarningsPerDay[[#This Row],[Hours]]/EarningsPerDay[[#This Row],[Deliveries]])/24</f>
        <v>4.0416666666666663E-2</v>
      </c>
      <c r="AA7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-1.8969465512972299</v>
      </c>
      <c r="AB779" s="11">
        <f>AVERAGEIFS(EarningsPerDay[Gross $/Hour],EarningsPerDay[Week '#], EarningsPerDay[[#This Row],[Week '#]], EarningsPerDay[DOW], EarningsPerDay[[#This Row],[DOW]])</f>
        <v>21.690721649484537</v>
      </c>
      <c r="AC779" s="11">
        <f>EarningsPerDay[[#This Row],[Gross $/Hour]] - EarningsPerDay[[#This Row],[Weekly Average Earnings]]</f>
        <v>0</v>
      </c>
      <c r="AD779" s="11">
        <f>(SUMIFS(EarningsPerDay[Gross Earnings], EarningsPerDay[Date],"&gt;="&amp;EarningsPerDay[[#This Row],[Date]]-89, EarningsPerDay[Date], "&lt;="&amp;EarningsPerDay[[#This Row],[Date]]))/90</f>
        <v>66.312666666666644</v>
      </c>
    </row>
    <row r="780" spans="2:30" x14ac:dyDescent="0.35">
      <c r="B780" s="40">
        <v>45901</v>
      </c>
      <c r="C780" s="40">
        <f t="shared" si="106"/>
        <v>45901</v>
      </c>
      <c r="D780" s="4">
        <f>IF(EarningsPerDay[[#This Row],[Week '#]]&gt;=52,YEAR(EarningsPerDay[[#This Row],[Date]])-1,YEAR(EarningsPerDay[[#This Row],[Date]]))</f>
        <v>2025</v>
      </c>
      <c r="E780" s="4" t="str">
        <f>"QTR"&amp;IF(EarningsPerDay[[#This Row],[Week '#]] &lt;= 13, 1, IF(EarningsPerDay[[#This Row],[Week '#]] &lt;= 26, 2, IF(EarningsPerDay[[#This Row],[Week '#]] &lt;= 39, 3, 4)))</f>
        <v>QTR3</v>
      </c>
      <c r="F7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80" s="4">
        <f>IF(WEEKNUM(EarningsPerDay[[#This Row],[Date]], 2) = 53, 1, WEEKNUM(EarningsPerDay[[#This Row],[Date]],2))</f>
        <v>36</v>
      </c>
      <c r="H780" s="40" t="str">
        <f>TEXT(B780,"DDDD")</f>
        <v>Monday</v>
      </c>
      <c r="I78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80" s="40" t="str" cm="1">
        <f t="array" ref="J780">IFERROR(VLOOKUP(MODE(IF(Combined[Date]=EarningsPerDay[[#This Row],[Date]],Combined[Area '#])),KPIs!$B$4:$C$7,2,FALSE),VLOOKUP(EarningsPerDay[[#This Row],[Date]],Combined[[Date]:[Primary Area]],8,FALSE))</f>
        <v>Brunswick/Bath/Freeport</v>
      </c>
      <c r="K780" s="40" t="str">
        <f>_xlfn.XLOOKUP(EarningsPerDay[[#This Row],[Date]],Mileage[Date],Mileage[Weather])</f>
        <v>Clear</v>
      </c>
      <c r="L780" s="4">
        <f>_xlfn.XLOOKUP(EarningsPerDay[[#This Row],[Date]],Mileage[Date],Mileage[Hi Temp])</f>
        <v>73</v>
      </c>
      <c r="M780" s="12">
        <f>_xlfn.XLOOKUP(EarningsPerDay[[#This Row],[Date]],Mileage[Date],Mileage[Total Time])</f>
        <v>6.28</v>
      </c>
      <c r="N780" s="4">
        <f>_xlfn.XLOOKUP(EarningsPerDay[[#This Row],[Date]],Mileage[Date],Mileage[Mileage])</f>
        <v>175</v>
      </c>
      <c r="O780" s="4">
        <f>SUMIF(Combined[Date],EarningsPerDay[[#This Row],[Date]],Combined[Trips])</f>
        <v>10</v>
      </c>
      <c r="P780">
        <f>COUNTIF(Combined[Date],EarningsPerDay[[#This Row],[Date]])</f>
        <v>2</v>
      </c>
      <c r="Q78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80" s="11">
        <f>SUMIF(Combined[Date],EarningsPerDay[[#This Row],[Date]],Combined[Earnings])</f>
        <v>200.47</v>
      </c>
      <c r="S780" s="11">
        <f ca="1">EarningsPerDay[[#This Row],[Gross Earnings]]-(EarningsPerDay[[#This Row],[Miles]]*CpM!$D$11)</f>
        <v>161.44970879005032</v>
      </c>
      <c r="T780" s="11">
        <f t="shared" si="108"/>
        <v>31.921974522292992</v>
      </c>
      <c r="U780" s="11">
        <f t="shared" ca="1" si="109"/>
        <v>25.708552355103553</v>
      </c>
      <c r="V780" s="11">
        <f>EarningsPerDay[[#This Row],[Gross Earnings]]/EarningsPerDay[[#This Row],[Deliveries]]</f>
        <v>20.047000000000001</v>
      </c>
      <c r="W780" s="11">
        <f>EarningsPerDay[[#This Row],[Gross Earnings]]/EarningsPerDay[[#This Row],[Miles]]</f>
        <v>1.1455428571428572</v>
      </c>
      <c r="X780" s="71">
        <f>EarningsPerDay[[#This Row],[Deliveries]]/EarningsPerDay[[#This Row],[Hours]]</f>
        <v>1.592356687898089</v>
      </c>
      <c r="Y780" s="71">
        <f>EarningsPerDay[[#This Row],[Miles]]/EarningsPerDay[[#This Row],[Deliveries]]</f>
        <v>17.5</v>
      </c>
      <c r="Z780" s="81">
        <f>(EarningsPerDay[[#This Row],[Hours]]/EarningsPerDay[[#This Row],[Deliveries]])/24</f>
        <v>2.6166666666666668E-2</v>
      </c>
      <c r="AA7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9.6629694225193532</v>
      </c>
      <c r="AB780" s="11">
        <f>AVERAGEIFS(EarningsPerDay[Gross $/Hour],EarningsPerDay[Week '#], EarningsPerDay[[#This Row],[Week '#]], EarningsPerDay[DOW], EarningsPerDay[[#This Row],[DOW]])</f>
        <v>21.854789288246266</v>
      </c>
      <c r="AC780" s="11">
        <f>EarningsPerDay[[#This Row],[Gross $/Hour]] - EarningsPerDay[[#This Row],[Weekly Average Earnings]]</f>
        <v>10.067185234046725</v>
      </c>
      <c r="AD780" s="11">
        <f>(SUMIFS(EarningsPerDay[Gross Earnings], EarningsPerDay[Date],"&gt;="&amp;EarningsPerDay[[#This Row],[Date]]-89, EarningsPerDay[Date], "&lt;="&amp;EarningsPerDay[[#This Row],[Date]]))/90</f>
        <v>67.271111111111111</v>
      </c>
    </row>
    <row r="781" spans="2:30" x14ac:dyDescent="0.35">
      <c r="B781" s="40">
        <v>45902</v>
      </c>
      <c r="C781" s="40">
        <f t="shared" si="106"/>
        <v>45902</v>
      </c>
      <c r="D781" s="4">
        <f>IF(EarningsPerDay[[#This Row],[Week '#]]&gt;=52,YEAR(EarningsPerDay[[#This Row],[Date]])-1,YEAR(EarningsPerDay[[#This Row],[Date]]))</f>
        <v>2025</v>
      </c>
      <c r="E781" s="4" t="str">
        <f>"QTR"&amp;IF(EarningsPerDay[[#This Row],[Week '#]] &lt;= 13, 1, IF(EarningsPerDay[[#This Row],[Week '#]] &lt;= 26, 2, IF(EarningsPerDay[[#This Row],[Week '#]] &lt;= 39, 3, 4)))</f>
        <v>QTR3</v>
      </c>
      <c r="F7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81" s="4">
        <f>IF(WEEKNUM(EarningsPerDay[[#This Row],[Date]], 2) = 53, 1, WEEKNUM(EarningsPerDay[[#This Row],[Date]],2))</f>
        <v>36</v>
      </c>
      <c r="H781" s="40" t="str">
        <f>TEXT(B781,"DDDD")</f>
        <v>Tuesday</v>
      </c>
      <c r="I781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781" s="40" t="str" cm="1">
        <f t="array" ref="J781">IFERROR(VLOOKUP(MODE(IF(Combined[Date]=EarningsPerDay[[#This Row],[Date]],Combined[Area '#])),KPIs!$B$4:$C$7,2,FALSE),VLOOKUP(EarningsPerDay[[#This Row],[Date]],Combined[[Date]:[Primary Area]],8,FALSE))</f>
        <v>Portland</v>
      </c>
      <c r="K781" s="40" t="str">
        <f>_xlfn.XLOOKUP(EarningsPerDay[[#This Row],[Date]],Mileage[Date],Mileage[Weather])</f>
        <v>Clear</v>
      </c>
      <c r="L781" s="4">
        <f>_xlfn.XLOOKUP(EarningsPerDay[[#This Row],[Date]],Mileage[Date],Mileage[Hi Temp])</f>
        <v>66</v>
      </c>
      <c r="M781" s="12">
        <f>_xlfn.XLOOKUP(EarningsPerDay[[#This Row],[Date]],Mileage[Date],Mileage[Total Time])</f>
        <v>4.5199999999999996</v>
      </c>
      <c r="N781" s="4">
        <f>_xlfn.XLOOKUP(EarningsPerDay[[#This Row],[Date]],Mileage[Date],Mileage[Mileage])</f>
        <v>101</v>
      </c>
      <c r="O781" s="4">
        <f>SUMIF(Combined[Date],EarningsPerDay[[#This Row],[Date]],Combined[Trips])</f>
        <v>9</v>
      </c>
      <c r="P781">
        <f>COUNTIF(Combined[Date],EarningsPerDay[[#This Row],[Date]])</f>
        <v>2</v>
      </c>
      <c r="Q7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1" s="11">
        <f>SUMIF(Combined[Date],EarningsPerDay[[#This Row],[Date]],Combined[Earnings])</f>
        <v>105.39</v>
      </c>
      <c r="S781" s="11">
        <f ca="1">EarningsPerDay[[#This Row],[Gross Earnings]]-(EarningsPerDay[[#This Row],[Miles]]*CpM!$D$11)</f>
        <v>82.869717644543329</v>
      </c>
      <c r="T781" s="11">
        <f t="shared" si="108"/>
        <v>23.31637168141593</v>
      </c>
      <c r="U781" s="11">
        <f t="shared" ca="1" si="109"/>
        <v>18.334008328438792</v>
      </c>
      <c r="V781" s="11">
        <f>EarningsPerDay[[#This Row],[Gross Earnings]]/EarningsPerDay[[#This Row],[Deliveries]]</f>
        <v>11.71</v>
      </c>
      <c r="W781" s="11">
        <f>EarningsPerDay[[#This Row],[Gross Earnings]]/EarningsPerDay[[#This Row],[Miles]]</f>
        <v>1.0434653465346535</v>
      </c>
      <c r="X781" s="71">
        <f>EarningsPerDay[[#This Row],[Deliveries]]/EarningsPerDay[[#This Row],[Hours]]</f>
        <v>1.9911504424778763</v>
      </c>
      <c r="Y781" s="71">
        <f>EarningsPerDay[[#This Row],[Miles]]/EarningsPerDay[[#This Row],[Deliveries]]</f>
        <v>11.222222222222221</v>
      </c>
      <c r="Z781" s="81">
        <f>(EarningsPerDay[[#This Row],[Hours]]/EarningsPerDay[[#This Row],[Deliveries]])/24</f>
        <v>2.0925925925925921E-2</v>
      </c>
      <c r="AA7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1.9493663851493217</v>
      </c>
      <c r="AB781" s="11">
        <f>AVERAGEIFS(EarningsPerDay[Gross $/Hour],EarningsPerDay[Week '#], EarningsPerDay[[#This Row],[Week '#]], EarningsPerDay[DOW], EarningsPerDay[[#This Row],[DOW]])</f>
        <v>21.806363018460878</v>
      </c>
      <c r="AC781" s="11">
        <f>EarningsPerDay[[#This Row],[Gross $/Hour]] - EarningsPerDay[[#This Row],[Weekly Average Earnings]]</f>
        <v>1.5100086629550518</v>
      </c>
      <c r="AD781" s="11">
        <f>(SUMIFS(EarningsPerDay[Gross Earnings], EarningsPerDay[Date],"&gt;="&amp;EarningsPerDay[[#This Row],[Date]]-89, EarningsPerDay[Date], "&lt;="&amp;EarningsPerDay[[#This Row],[Date]]))/90</f>
        <v>67.224444444444444</v>
      </c>
    </row>
    <row r="782" spans="2:30" x14ac:dyDescent="0.35">
      <c r="B782" s="40">
        <v>45904</v>
      </c>
      <c r="C782" s="40">
        <f t="shared" si="106"/>
        <v>45904</v>
      </c>
      <c r="D782" s="4">
        <f>IF(EarningsPerDay[[#This Row],[Week '#]]&gt;=52,YEAR(EarningsPerDay[[#This Row],[Date]])-1,YEAR(EarningsPerDay[[#This Row],[Date]]))</f>
        <v>2025</v>
      </c>
      <c r="E782" s="4" t="str">
        <f>"QTR"&amp;IF(EarningsPerDay[[#This Row],[Week '#]] &lt;= 13, 1, IF(EarningsPerDay[[#This Row],[Week '#]] &lt;= 26, 2, IF(EarningsPerDay[[#This Row],[Week '#]] &lt;= 39, 3, 4)))</f>
        <v>QTR3</v>
      </c>
      <c r="F7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82" s="4">
        <f>IF(WEEKNUM(EarningsPerDay[[#This Row],[Date]], 2) = 53, 1, WEEKNUM(EarningsPerDay[[#This Row],[Date]],2))</f>
        <v>36</v>
      </c>
      <c r="H782" s="40" t="str">
        <f t="shared" ref="H782:H783" si="111">TEXT(B782,"DDDD")</f>
        <v>Thursday</v>
      </c>
      <c r="I78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82" s="40" t="str" cm="1">
        <f t="array" ref="J782">IFERROR(VLOOKUP(MODE(IF(Combined[Date]=EarningsPerDay[[#This Row],[Date]],Combined[Area '#])),KPIs!$B$4:$C$7,2,FALSE),VLOOKUP(EarningsPerDay[[#This Row],[Date]],Combined[[Date]:[Primary Area]],8,FALSE))</f>
        <v>Lewiston</v>
      </c>
      <c r="K782" s="40" t="str">
        <f>_xlfn.XLOOKUP(EarningsPerDay[[#This Row],[Date]],Mileage[Date],Mileage[Weather])</f>
        <v>Overcast</v>
      </c>
      <c r="L782" s="4">
        <f>_xlfn.XLOOKUP(EarningsPerDay[[#This Row],[Date]],Mileage[Date],Mileage[Hi Temp])</f>
        <v>70</v>
      </c>
      <c r="M782" s="12">
        <f>_xlfn.XLOOKUP(EarningsPerDay[[#This Row],[Date]],Mileage[Date],Mileage[Total Time])</f>
        <v>1.37</v>
      </c>
      <c r="N782" s="4">
        <f>_xlfn.XLOOKUP(EarningsPerDay[[#This Row],[Date]],Mileage[Date],Mileage[Mileage])</f>
        <v>49</v>
      </c>
      <c r="O782" s="4">
        <f>SUMIF(Combined[Date],EarningsPerDay[[#This Row],[Date]],Combined[Trips])</f>
        <v>2</v>
      </c>
      <c r="P782">
        <f>COUNTIF(Combined[Date],EarningsPerDay[[#This Row],[Date]])</f>
        <v>2</v>
      </c>
      <c r="Q7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2" s="11">
        <f>SUMIF(Combined[Date],EarningsPerDay[[#This Row],[Date]],Combined[Earnings])</f>
        <v>25.78</v>
      </c>
      <c r="S782" s="11">
        <f ca="1">EarningsPerDay[[#This Row],[Gross Earnings]]-(EarningsPerDay[[#This Row],[Miles]]*CpM!$D$11)</f>
        <v>14.854318461214094</v>
      </c>
      <c r="T782" s="11">
        <f t="shared" si="108"/>
        <v>18.817518248175183</v>
      </c>
      <c r="U782" s="11">
        <f t="shared" ca="1" si="109"/>
        <v>10.842568219864301</v>
      </c>
      <c r="V782" s="11">
        <f>EarningsPerDay[[#This Row],[Gross Earnings]]/EarningsPerDay[[#This Row],[Deliveries]]</f>
        <v>12.89</v>
      </c>
      <c r="W782" s="11">
        <f>EarningsPerDay[[#This Row],[Gross Earnings]]/EarningsPerDay[[#This Row],[Miles]]</f>
        <v>0.52612244897959182</v>
      </c>
      <c r="X782" s="71">
        <f>EarningsPerDay[[#This Row],[Deliveries]]/EarningsPerDay[[#This Row],[Hours]]</f>
        <v>1.4598540145985401</v>
      </c>
      <c r="Y782" s="71">
        <f>EarningsPerDay[[#This Row],[Miles]]/EarningsPerDay[[#This Row],[Deliveries]]</f>
        <v>24.5</v>
      </c>
      <c r="Z782" s="81">
        <f>(EarningsPerDay[[#This Row],[Hours]]/EarningsPerDay[[#This Row],[Deliveries]])/24</f>
        <v>2.854166666666667E-2</v>
      </c>
      <c r="AA7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-0.40349449796134707</v>
      </c>
      <c r="AB782" s="11">
        <f>AVERAGEIFS(EarningsPerDay[Gross $/Hour],EarningsPerDay[Week '#], EarningsPerDay[[#This Row],[Week '#]], EarningsPerDay[DOW], EarningsPerDay[[#This Row],[DOW]])</f>
        <v>19.339270454773725</v>
      </c>
      <c r="AC782" s="11">
        <f>EarningsPerDay[[#This Row],[Gross $/Hour]] - EarningsPerDay[[#This Row],[Weekly Average Earnings]]</f>
        <v>-0.52175220659854205</v>
      </c>
      <c r="AD782" s="11">
        <f>(SUMIFS(EarningsPerDay[Gross Earnings], EarningsPerDay[Date],"&gt;="&amp;EarningsPerDay[[#This Row],[Date]]-89, EarningsPerDay[Date], "&lt;="&amp;EarningsPerDay[[#This Row],[Date]]))/90</f>
        <v>66.507333333333321</v>
      </c>
    </row>
    <row r="783" spans="2:30" x14ac:dyDescent="0.35">
      <c r="B783" s="40">
        <v>45906</v>
      </c>
      <c r="C783" s="40">
        <f t="shared" si="106"/>
        <v>45906</v>
      </c>
      <c r="D783" s="4">
        <f>IF(EarningsPerDay[[#This Row],[Week '#]]&gt;=52,YEAR(EarningsPerDay[[#This Row],[Date]])-1,YEAR(EarningsPerDay[[#This Row],[Date]]))</f>
        <v>2025</v>
      </c>
      <c r="E783" s="4" t="str">
        <f>"QTR"&amp;IF(EarningsPerDay[[#This Row],[Week '#]] &lt;= 13, 1, IF(EarningsPerDay[[#This Row],[Week '#]] &lt;= 26, 2, IF(EarningsPerDay[[#This Row],[Week '#]] &lt;= 39, 3, 4)))</f>
        <v>QTR3</v>
      </c>
      <c r="F7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83" s="4">
        <f>IF(WEEKNUM(EarningsPerDay[[#This Row],[Date]], 2) = 53, 1, WEEKNUM(EarningsPerDay[[#This Row],[Date]],2))</f>
        <v>36</v>
      </c>
      <c r="H783" s="40" t="str">
        <f t="shared" si="111"/>
        <v>Saturday</v>
      </c>
      <c r="I783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83" s="40" t="str" cm="1">
        <f t="array" ref="J783">IFERROR(VLOOKUP(MODE(IF(Combined[Date]=EarningsPerDay[[#This Row],[Date]],Combined[Area '#])),KPIs!$B$4:$C$7,2,FALSE),VLOOKUP(EarningsPerDay[[#This Row],[Date]],Combined[[Date]:[Primary Area]],8,FALSE))</f>
        <v>Lewiston</v>
      </c>
      <c r="K783" s="40" t="str">
        <f>_xlfn.XLOOKUP(EarningsPerDay[[#This Row],[Date]],Mileage[Date],Mileage[Weather])</f>
        <v>Overcast</v>
      </c>
      <c r="L783" s="4">
        <f>_xlfn.XLOOKUP(EarningsPerDay[[#This Row],[Date]],Mileage[Date],Mileage[Hi Temp])</f>
        <v>63</v>
      </c>
      <c r="M783" s="12">
        <f>_xlfn.XLOOKUP(EarningsPerDay[[#This Row],[Date]],Mileage[Date],Mileage[Total Time])</f>
        <v>6.92</v>
      </c>
      <c r="N783" s="4">
        <f>_xlfn.XLOOKUP(EarningsPerDay[[#This Row],[Date]],Mileage[Date],Mileage[Mileage])</f>
        <v>130</v>
      </c>
      <c r="O783" s="4">
        <f>SUMIF(Combined[Date],EarningsPerDay[[#This Row],[Date]],Combined[Trips])</f>
        <v>18</v>
      </c>
      <c r="P783">
        <f>COUNTIF(Combined[Date],EarningsPerDay[[#This Row],[Date]])</f>
        <v>2</v>
      </c>
      <c r="Q78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83" s="11">
        <f>SUMIF(Combined[Date],EarningsPerDay[[#This Row],[Date]],Combined[Earnings])</f>
        <v>157.45000000000002</v>
      </c>
      <c r="S783" s="11">
        <f ca="1">EarningsPerDay[[#This Row],[Gross Earnings]]-(EarningsPerDay[[#This Row],[Miles]]*CpM!$D$11)</f>
        <v>128.46349795832313</v>
      </c>
      <c r="T783" s="11">
        <f t="shared" si="108"/>
        <v>22.752890173410407</v>
      </c>
      <c r="U783" s="11">
        <f t="shared" ca="1" si="109"/>
        <v>18.564089300335713</v>
      </c>
      <c r="V783" s="11">
        <f>EarningsPerDay[[#This Row],[Gross Earnings]]/EarningsPerDay[[#This Row],[Deliveries]]</f>
        <v>8.7472222222222236</v>
      </c>
      <c r="W783" s="11">
        <f>EarningsPerDay[[#This Row],[Gross Earnings]]/EarningsPerDay[[#This Row],[Miles]]</f>
        <v>1.2111538461538462</v>
      </c>
      <c r="X783" s="71">
        <f>EarningsPerDay[[#This Row],[Deliveries]]/EarningsPerDay[[#This Row],[Hours]]</f>
        <v>2.601156069364162</v>
      </c>
      <c r="Y783" s="71">
        <f>EarningsPerDay[[#This Row],[Miles]]/EarningsPerDay[[#This Row],[Deliveries]]</f>
        <v>7.2222222222222223</v>
      </c>
      <c r="Z783" s="81">
        <f>(EarningsPerDay[[#This Row],[Hours]]/EarningsPerDay[[#This Row],[Deliveries]])/24</f>
        <v>1.6018518518518519E-2</v>
      </c>
      <c r="AA7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1.7381331110989926</v>
      </c>
      <c r="AB783" s="11">
        <f>AVERAGEIFS(EarningsPerDay[Gross $/Hour],EarningsPerDay[Week '#], EarningsPerDay[[#This Row],[Week '#]], EarningsPerDay[DOW], EarningsPerDay[[#This Row],[DOW]])</f>
        <v>22.045530235932333</v>
      </c>
      <c r="AC783" s="11">
        <f>EarningsPerDay[[#This Row],[Gross $/Hour]] - EarningsPerDay[[#This Row],[Weekly Average Earnings]]</f>
        <v>0.70735993747807413</v>
      </c>
      <c r="AD783" s="11">
        <f>(SUMIFS(EarningsPerDay[Gross Earnings], EarningsPerDay[Date],"&gt;="&amp;EarningsPerDay[[#This Row],[Date]]-89, EarningsPerDay[Date], "&lt;="&amp;EarningsPerDay[[#This Row],[Date]]))/90</f>
        <v>66.72422222222221</v>
      </c>
    </row>
    <row r="784" spans="2:30" x14ac:dyDescent="0.35">
      <c r="B784" s="40">
        <v>45907</v>
      </c>
      <c r="C784" s="40">
        <f t="shared" si="106"/>
        <v>45907</v>
      </c>
      <c r="D784" s="4">
        <f>IF(EarningsPerDay[[#This Row],[Week '#]]&gt;=52,YEAR(EarningsPerDay[[#This Row],[Date]])-1,YEAR(EarningsPerDay[[#This Row],[Date]]))</f>
        <v>2025</v>
      </c>
      <c r="E784" s="4" t="str">
        <f>"QTR"&amp;IF(EarningsPerDay[[#This Row],[Week '#]] &lt;= 13, 1, IF(EarningsPerDay[[#This Row],[Week '#]] &lt;= 26, 2, IF(EarningsPerDay[[#This Row],[Week '#]] &lt;= 39, 3, 4)))</f>
        <v>QTR3</v>
      </c>
      <c r="F7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784" s="4">
        <f>IF(WEEKNUM(EarningsPerDay[[#This Row],[Date]], 2) = 53, 1, WEEKNUM(EarningsPerDay[[#This Row],[Date]],2))</f>
        <v>36</v>
      </c>
      <c r="H784" s="40" t="str">
        <f t="shared" ref="H784:H790" si="112">TEXT(B784,"DDDD")</f>
        <v>Sunday</v>
      </c>
      <c r="I784" s="106">
        <f>IF(_xlfn.XLOOKUP(EarningsPerDay[[#This Row],[Date]],Mileage[Date],Mileage[Start Time])="","",MROUND(_xlfn.XLOOKUP(EarningsPerDay[[#This Row],[Date]],Mileage[Date],Mileage[Start Time]),0.0208333333333333))</f>
        <v>0.60416666666666574</v>
      </c>
      <c r="J784" s="40" t="str" cm="1">
        <f t="array" ref="J784">IFERROR(VLOOKUP(MODE(IF(Combined[Date]=EarningsPerDay[[#This Row],[Date]],Combined[Area '#])),KPIs!$B$4:$C$7,2,FALSE),VLOOKUP(EarningsPerDay[[#This Row],[Date]],Combined[[Date]:[Primary Area]],8,FALSE))</f>
        <v>Brunswick/Bath/Freeport</v>
      </c>
      <c r="K784" s="40" t="str">
        <f>_xlfn.XLOOKUP(EarningsPerDay[[#This Row],[Date]],Mileage[Date],Mileage[Weather])</f>
        <v>Partially Cloudy</v>
      </c>
      <c r="L784" s="4">
        <f>_xlfn.XLOOKUP(EarningsPerDay[[#This Row],[Date]],Mileage[Date],Mileage[Hi Temp])</f>
        <v>63</v>
      </c>
      <c r="M784" s="12">
        <f>_xlfn.XLOOKUP(EarningsPerDay[[#This Row],[Date]],Mileage[Date],Mileage[Total Time])</f>
        <v>2.27</v>
      </c>
      <c r="N784" s="4">
        <f>_xlfn.XLOOKUP(EarningsPerDay[[#This Row],[Date]],Mileage[Date],Mileage[Mileage])</f>
        <v>37</v>
      </c>
      <c r="O784" s="4">
        <f>SUMIF(Combined[Date],EarningsPerDay[[#This Row],[Date]],Combined[Trips])</f>
        <v>7</v>
      </c>
      <c r="P784">
        <f>COUNTIF(Combined[Date],EarningsPerDay[[#This Row],[Date]])</f>
        <v>1</v>
      </c>
      <c r="Q7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4" s="11">
        <f>SUMIF(Combined[Date],EarningsPerDay[[#This Row],[Date]],Combined[Earnings])</f>
        <v>48.61</v>
      </c>
      <c r="S784" s="11">
        <f ca="1">EarningsPerDay[[#This Row],[Gross Earnings]]-(EarningsPerDay[[#This Row],[Miles]]*CpM!$D$11)</f>
        <v>40.359995572753498</v>
      </c>
      <c r="T784" s="11">
        <f t="shared" si="108"/>
        <v>21.41409691629956</v>
      </c>
      <c r="U784" s="11">
        <f t="shared" ca="1" si="109"/>
        <v>17.779733732490527</v>
      </c>
      <c r="V784" s="11">
        <f>EarningsPerDay[[#This Row],[Gross Earnings]]/EarningsPerDay[[#This Row],[Deliveries]]</f>
        <v>6.944285714285714</v>
      </c>
      <c r="W784" s="11">
        <f>EarningsPerDay[[#This Row],[Gross Earnings]]/EarningsPerDay[[#This Row],[Miles]]</f>
        <v>1.3137837837837838</v>
      </c>
      <c r="X784" s="71">
        <f>EarningsPerDay[[#This Row],[Deliveries]]/EarningsPerDay[[#This Row],[Hours]]</f>
        <v>3.0837004405286343</v>
      </c>
      <c r="Y784" s="71">
        <f>EarningsPerDay[[#This Row],[Miles]]/EarningsPerDay[[#This Row],[Deliveries]]</f>
        <v>5.2857142857142856</v>
      </c>
      <c r="Z784" s="81">
        <f>(EarningsPerDay[[#This Row],[Hours]]/EarningsPerDay[[#This Row],[Deliveries]])/24</f>
        <v>1.3511904761904761E-2</v>
      </c>
      <c r="AA7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-1.9364529655700551</v>
      </c>
      <c r="AB784" s="11">
        <f>AVERAGEIFS(EarningsPerDay[Gross $/Hour],EarningsPerDay[Week '#], EarningsPerDay[[#This Row],[Week '#]], EarningsPerDay[DOW], EarningsPerDay[[#This Row],[DOW]])</f>
        <v>21.41409691629956</v>
      </c>
      <c r="AC784" s="11">
        <f>EarningsPerDay[[#This Row],[Gross $/Hour]] - EarningsPerDay[[#This Row],[Weekly Average Earnings]]</f>
        <v>0</v>
      </c>
      <c r="AD784" s="11">
        <f>(SUMIFS(EarningsPerDay[Gross Earnings], EarningsPerDay[Date],"&gt;="&amp;EarningsPerDay[[#This Row],[Date]]-89, EarningsPerDay[Date], "&lt;="&amp;EarningsPerDay[[#This Row],[Date]]))/90</f>
        <v>65.903111111111102</v>
      </c>
    </row>
    <row r="785" spans="2:30" x14ac:dyDescent="0.35">
      <c r="B785" s="40">
        <v>45908</v>
      </c>
      <c r="C785" s="40">
        <f t="shared" si="106"/>
        <v>45908</v>
      </c>
      <c r="D785" s="4">
        <f>IF(EarningsPerDay[[#This Row],[Week '#]]&gt;=52,YEAR(EarningsPerDay[[#This Row],[Date]])-1,YEAR(EarningsPerDay[[#This Row],[Date]]))</f>
        <v>2025</v>
      </c>
      <c r="E785" s="4" t="str">
        <f>"QTR"&amp;IF(EarningsPerDay[[#This Row],[Week '#]] &lt;= 13, 1, IF(EarningsPerDay[[#This Row],[Week '#]] &lt;= 26, 2, IF(EarningsPerDay[[#This Row],[Week '#]] &lt;= 39, 3, 4)))</f>
        <v>QTR3</v>
      </c>
      <c r="F78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85" s="4">
        <f>IF(WEEKNUM(EarningsPerDay[[#This Row],[Date]], 2) = 53, 1, WEEKNUM(EarningsPerDay[[#This Row],[Date]],2))</f>
        <v>37</v>
      </c>
      <c r="H785" s="40" t="str">
        <f t="shared" si="112"/>
        <v>Monday</v>
      </c>
      <c r="I78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85" s="40" t="str" cm="1">
        <f t="array" ref="J785">IFERROR(VLOOKUP(MODE(IF(Combined[Date]=EarningsPerDay[[#This Row],[Date]],Combined[Area '#])),KPIs!$B$4:$C$7,2,FALSE),VLOOKUP(EarningsPerDay[[#This Row],[Date]],Combined[[Date]:[Primary Area]],8,FALSE))</f>
        <v>Portland</v>
      </c>
      <c r="K785" s="40" t="str">
        <f>_xlfn.XLOOKUP(EarningsPerDay[[#This Row],[Date]],Mileage[Date],Mileage[Weather])</f>
        <v>Clear</v>
      </c>
      <c r="L785" s="4">
        <f>_xlfn.XLOOKUP(EarningsPerDay[[#This Row],[Date]],Mileage[Date],Mileage[Hi Temp])</f>
        <v>63</v>
      </c>
      <c r="M785" s="12">
        <f>_xlfn.XLOOKUP(EarningsPerDay[[#This Row],[Date]],Mileage[Date],Mileage[Total Time])</f>
        <v>5.53</v>
      </c>
      <c r="N785" s="4">
        <f>_xlfn.XLOOKUP(EarningsPerDay[[#This Row],[Date]],Mileage[Date],Mileage[Mileage])</f>
        <v>119</v>
      </c>
      <c r="O785" s="4">
        <f>SUMIF(Combined[Date],EarningsPerDay[[#This Row],[Date]],Combined[Trips])</f>
        <v>10</v>
      </c>
      <c r="P785">
        <f>COUNTIF(Combined[Date],EarningsPerDay[[#This Row],[Date]])</f>
        <v>4</v>
      </c>
      <c r="Q78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5" s="11">
        <f>SUMIF(Combined[Date],EarningsPerDay[[#This Row],[Date]],Combined[Earnings])</f>
        <v>115.72999999999999</v>
      </c>
      <c r="S785" s="11">
        <f ca="1">EarningsPerDay[[#This Row],[Gross Earnings]]-(EarningsPerDay[[#This Row],[Miles]]*CpM!$D$11)</f>
        <v>89.19620197723421</v>
      </c>
      <c r="T785" s="11">
        <f t="shared" si="108"/>
        <v>20.927667269439418</v>
      </c>
      <c r="U785" s="11">
        <f t="shared" ca="1" si="109"/>
        <v>16.12951211161559</v>
      </c>
      <c r="V785" s="11">
        <f>EarningsPerDay[[#This Row],[Gross Earnings]]/EarningsPerDay[[#This Row],[Deliveries]]</f>
        <v>11.572999999999999</v>
      </c>
      <c r="W785" s="11">
        <f>EarningsPerDay[[#This Row],[Gross Earnings]]/EarningsPerDay[[#This Row],[Miles]]</f>
        <v>0.97252100840336131</v>
      </c>
      <c r="X785" s="71">
        <f>EarningsPerDay[[#This Row],[Deliveries]]/EarningsPerDay[[#This Row],[Hours]]</f>
        <v>1.8083182640144664</v>
      </c>
      <c r="Y785" s="71">
        <f>EarningsPerDay[[#This Row],[Miles]]/EarningsPerDay[[#This Row],[Deliveries]]</f>
        <v>11.9</v>
      </c>
      <c r="Z785" s="81">
        <f>(EarningsPerDay[[#This Row],[Hours]]/EarningsPerDay[[#This Row],[Deliveries]])/24</f>
        <v>2.3041666666666669E-2</v>
      </c>
      <c r="AA78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-2.4091870214687034</v>
      </c>
      <c r="AB785" s="11">
        <f>AVERAGEIFS(EarningsPerDay[Gross $/Hour],EarningsPerDay[Week '#], EarningsPerDay[[#This Row],[Week '#]], EarningsPerDay[DOW], EarningsPerDay[[#This Row],[DOW]])</f>
        <v>27.752792825445322</v>
      </c>
      <c r="AC785" s="11">
        <f>EarningsPerDay[[#This Row],[Gross $/Hour]] - EarningsPerDay[[#This Row],[Weekly Average Earnings]]</f>
        <v>-6.8251255560059043</v>
      </c>
      <c r="AD785" s="11">
        <f>(SUMIFS(EarningsPerDay[Gross Earnings], EarningsPerDay[Date],"&gt;="&amp;EarningsPerDay[[#This Row],[Date]]-89, EarningsPerDay[Date], "&lt;="&amp;EarningsPerDay[[#This Row],[Date]]))/90</f>
        <v>66.154999999999973</v>
      </c>
    </row>
    <row r="786" spans="2:30" x14ac:dyDescent="0.35">
      <c r="B786" s="40">
        <v>45909</v>
      </c>
      <c r="C786" s="40">
        <f t="shared" si="106"/>
        <v>45909</v>
      </c>
      <c r="D786" s="4">
        <f>IF(EarningsPerDay[[#This Row],[Week '#]]&gt;=52,YEAR(EarningsPerDay[[#This Row],[Date]])-1,YEAR(EarningsPerDay[[#This Row],[Date]]))</f>
        <v>2025</v>
      </c>
      <c r="E786" s="4" t="str">
        <f>"QTR"&amp;IF(EarningsPerDay[[#This Row],[Week '#]] &lt;= 13, 1, IF(EarningsPerDay[[#This Row],[Week '#]] &lt;= 26, 2, IF(EarningsPerDay[[#This Row],[Week '#]] &lt;= 39, 3, 4)))</f>
        <v>QTR3</v>
      </c>
      <c r="F78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86" s="4">
        <f>IF(WEEKNUM(EarningsPerDay[[#This Row],[Date]], 2) = 53, 1, WEEKNUM(EarningsPerDay[[#This Row],[Date]],2))</f>
        <v>37</v>
      </c>
      <c r="H786" s="40" t="str">
        <f t="shared" si="112"/>
        <v>Tuesday</v>
      </c>
      <c r="I78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786" s="40" t="str" cm="1">
        <f t="array" ref="J786">IFERROR(VLOOKUP(MODE(IF(Combined[Date]=EarningsPerDay[[#This Row],[Date]],Combined[Area '#])),KPIs!$B$4:$C$7,2,FALSE),VLOOKUP(EarningsPerDay[[#This Row],[Date]],Combined[[Date]:[Primary Area]],8,FALSE))</f>
        <v>Brunswick/Bath/Freeport</v>
      </c>
      <c r="K786" s="40" t="str">
        <f>_xlfn.XLOOKUP(EarningsPerDay[[#This Row],[Date]],Mileage[Date],Mileage[Weather])</f>
        <v>Clear</v>
      </c>
      <c r="L786" s="4">
        <f>_xlfn.XLOOKUP(EarningsPerDay[[#This Row],[Date]],Mileage[Date],Mileage[Hi Temp])</f>
        <v>64</v>
      </c>
      <c r="M786" s="12">
        <f>_xlfn.XLOOKUP(EarningsPerDay[[#This Row],[Date]],Mileage[Date],Mileage[Total Time])</f>
        <v>5.08</v>
      </c>
      <c r="N786" s="4">
        <f>_xlfn.XLOOKUP(EarningsPerDay[[#This Row],[Date]],Mileage[Date],Mileage[Mileage])</f>
        <v>135</v>
      </c>
      <c r="O786" s="4">
        <f>SUMIF(Combined[Date],EarningsPerDay[[#This Row],[Date]],Combined[Trips])</f>
        <v>7</v>
      </c>
      <c r="P786">
        <f>COUNTIF(Combined[Date],EarningsPerDay[[#This Row],[Date]])</f>
        <v>1</v>
      </c>
      <c r="Q78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6" s="11">
        <f>SUMIF(Combined[Date],EarningsPerDay[[#This Row],[Date]],Combined[Earnings])</f>
        <v>97.44</v>
      </c>
      <c r="S786" s="11">
        <f ca="1">EarningsPerDay[[#This Row],[Gross Earnings]]-(EarningsPerDay[[#This Row],[Miles]]*CpM!$D$11)</f>
        <v>67.338632495181685</v>
      </c>
      <c r="T786" s="11">
        <f t="shared" si="108"/>
        <v>19.181102362204722</v>
      </c>
      <c r="U786" s="11">
        <f t="shared" ca="1" si="109"/>
        <v>13.255636317949151</v>
      </c>
      <c r="V786" s="11">
        <f>EarningsPerDay[[#This Row],[Gross Earnings]]/EarningsPerDay[[#This Row],[Deliveries]]</f>
        <v>13.92</v>
      </c>
      <c r="W786" s="11">
        <f>EarningsPerDay[[#This Row],[Gross Earnings]]/EarningsPerDay[[#This Row],[Miles]]</f>
        <v>0.72177777777777774</v>
      </c>
      <c r="X786" s="71">
        <f>EarningsPerDay[[#This Row],[Deliveries]]/EarningsPerDay[[#This Row],[Hours]]</f>
        <v>1.3779527559055118</v>
      </c>
      <c r="Y786" s="71">
        <f>EarningsPerDay[[#This Row],[Miles]]/EarningsPerDay[[#This Row],[Deliveries]]</f>
        <v>19.285714285714285</v>
      </c>
      <c r="Z786" s="81">
        <f>(EarningsPerDay[[#This Row],[Hours]]/EarningsPerDay[[#This Row],[Deliveries]])/24</f>
        <v>3.0238095238095241E-2</v>
      </c>
      <c r="AA78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-2.996366555804574</v>
      </c>
      <c r="AB786" s="11">
        <f>AVERAGEIFS(EarningsPerDay[Gross $/Hour],EarningsPerDay[Week '#], EarningsPerDay[[#This Row],[Week '#]], EarningsPerDay[DOW], EarningsPerDay[[#This Row],[DOW]])</f>
        <v>27.742049844005351</v>
      </c>
      <c r="AC786" s="11">
        <f>EarningsPerDay[[#This Row],[Gross $/Hour]] - EarningsPerDay[[#This Row],[Weekly Average Earnings]]</f>
        <v>-8.5609474818006284</v>
      </c>
      <c r="AD786" s="11">
        <f>(SUMIFS(EarningsPerDay[Gross Earnings], EarningsPerDay[Date],"&gt;="&amp;EarningsPerDay[[#This Row],[Date]]-89, EarningsPerDay[Date], "&lt;="&amp;EarningsPerDay[[#This Row],[Date]]))/90</f>
        <v>67.237666666666641</v>
      </c>
    </row>
    <row r="787" spans="2:30" x14ac:dyDescent="0.35">
      <c r="B787" s="40">
        <v>45911</v>
      </c>
      <c r="C787" s="40">
        <f t="shared" si="106"/>
        <v>45911</v>
      </c>
      <c r="D787" s="4">
        <f>IF(EarningsPerDay[[#This Row],[Week '#]]&gt;=52,YEAR(EarningsPerDay[[#This Row],[Date]])-1,YEAR(EarningsPerDay[[#This Row],[Date]]))</f>
        <v>2025</v>
      </c>
      <c r="E787" s="4" t="str">
        <f>"QTR"&amp;IF(EarningsPerDay[[#This Row],[Week '#]] &lt;= 13, 1, IF(EarningsPerDay[[#This Row],[Week '#]] &lt;= 26, 2, IF(EarningsPerDay[[#This Row],[Week '#]] &lt;= 39, 3, 4)))</f>
        <v>QTR3</v>
      </c>
      <c r="F78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87" s="4">
        <f>IF(WEEKNUM(EarningsPerDay[[#This Row],[Date]], 2) = 53, 1, WEEKNUM(EarningsPerDay[[#This Row],[Date]],2))</f>
        <v>37</v>
      </c>
      <c r="H787" s="40" t="str">
        <f t="shared" si="112"/>
        <v>Thursday</v>
      </c>
      <c r="I78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87" s="40" t="str" cm="1">
        <f t="array" ref="J787">IFERROR(VLOOKUP(MODE(IF(Combined[Date]=EarningsPerDay[[#This Row],[Date]],Combined[Area '#])),KPIs!$B$4:$C$7,2,FALSE),VLOOKUP(EarningsPerDay[[#This Row],[Date]],Combined[[Date]:[Primary Area]],8,FALSE))</f>
        <v>Portland</v>
      </c>
      <c r="K787" s="40" t="str">
        <f>_xlfn.XLOOKUP(EarningsPerDay[[#This Row],[Date]],Mileage[Date],Mileage[Weather])</f>
        <v>Partially Cloudy</v>
      </c>
      <c r="L787" s="4">
        <f>_xlfn.XLOOKUP(EarningsPerDay[[#This Row],[Date]],Mileage[Date],Mileage[Hi Temp])</f>
        <v>72</v>
      </c>
      <c r="M787" s="12">
        <f>_xlfn.XLOOKUP(EarningsPerDay[[#This Row],[Date]],Mileage[Date],Mileage[Total Time])</f>
        <v>5.43</v>
      </c>
      <c r="N787" s="4">
        <f>_xlfn.XLOOKUP(EarningsPerDay[[#This Row],[Date]],Mileage[Date],Mileage[Mileage])</f>
        <v>138</v>
      </c>
      <c r="O787" s="4">
        <f>SUMIF(Combined[Date],EarningsPerDay[[#This Row],[Date]],Combined[Trips])</f>
        <v>11</v>
      </c>
      <c r="P787">
        <f>COUNTIF(Combined[Date],EarningsPerDay[[#This Row],[Date]])</f>
        <v>3</v>
      </c>
      <c r="Q78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7" s="11">
        <f>SUMIF(Combined[Date],EarningsPerDay[[#This Row],[Date]],Combined[Earnings])</f>
        <v>153.36000000000001</v>
      </c>
      <c r="S787" s="11">
        <f ca="1">EarningsPerDay[[#This Row],[Gross Earnings]]-(EarningsPerDay[[#This Row],[Miles]]*CpM!$D$11)</f>
        <v>122.58971321729685</v>
      </c>
      <c r="T787" s="11">
        <f t="shared" si="108"/>
        <v>28.243093922651937</v>
      </c>
      <c r="U787" s="11">
        <f t="shared" ca="1" si="109"/>
        <v>22.576374441491133</v>
      </c>
      <c r="V787" s="11">
        <f>EarningsPerDay[[#This Row],[Gross Earnings]]/EarningsPerDay[[#This Row],[Deliveries]]</f>
        <v>13.941818181818183</v>
      </c>
      <c r="W787" s="11">
        <f>EarningsPerDay[[#This Row],[Gross Earnings]]/EarningsPerDay[[#This Row],[Miles]]</f>
        <v>1.1113043478260871</v>
      </c>
      <c r="X787" s="71">
        <f>EarningsPerDay[[#This Row],[Deliveries]]/EarningsPerDay[[#This Row],[Hours]]</f>
        <v>2.0257826887661143</v>
      </c>
      <c r="Y787" s="71">
        <f>EarningsPerDay[[#This Row],[Miles]]/EarningsPerDay[[#This Row],[Deliveries]]</f>
        <v>12.545454545454545</v>
      </c>
      <c r="Z787" s="81">
        <f>(EarningsPerDay[[#This Row],[Hours]]/EarningsPerDay[[#This Row],[Deliveries]])/24</f>
        <v>2.0568181818181815E-2</v>
      </c>
      <c r="AA78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6.2694255253077138</v>
      </c>
      <c r="AB787" s="11">
        <f>AVERAGEIFS(EarningsPerDay[Gross $/Hour],EarningsPerDay[Week '#], EarningsPerDay[[#This Row],[Week '#]], EarningsPerDay[DOW], EarningsPerDay[[#This Row],[DOW]])</f>
        <v>24.77561450694693</v>
      </c>
      <c r="AC787" s="11">
        <f>EarningsPerDay[[#This Row],[Gross $/Hour]] - EarningsPerDay[[#This Row],[Weekly Average Earnings]]</f>
        <v>3.4674794157050073</v>
      </c>
      <c r="AD787" s="11">
        <f>(SUMIFS(EarningsPerDay[Gross Earnings], EarningsPerDay[Date],"&gt;="&amp;EarningsPerDay[[#This Row],[Date]]-89, EarningsPerDay[Date], "&lt;="&amp;EarningsPerDay[[#This Row],[Date]]))/90</f>
        <v>65.957111111111075</v>
      </c>
    </row>
    <row r="788" spans="2:30" x14ac:dyDescent="0.35">
      <c r="B788" s="40">
        <v>45912</v>
      </c>
      <c r="C788" s="40">
        <f t="shared" si="106"/>
        <v>45912</v>
      </c>
      <c r="D788" s="4">
        <f>IF(EarningsPerDay[[#This Row],[Week '#]]&gt;=52,YEAR(EarningsPerDay[[#This Row],[Date]])-1,YEAR(EarningsPerDay[[#This Row],[Date]]))</f>
        <v>2025</v>
      </c>
      <c r="E788" s="4" t="str">
        <f>"QTR"&amp;IF(EarningsPerDay[[#This Row],[Week '#]] &lt;= 13, 1, IF(EarningsPerDay[[#This Row],[Week '#]] &lt;= 26, 2, IF(EarningsPerDay[[#This Row],[Week '#]] &lt;= 39, 3, 4)))</f>
        <v>QTR3</v>
      </c>
      <c r="F78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88" s="4">
        <f>IF(WEEKNUM(EarningsPerDay[[#This Row],[Date]], 2) = 53, 1, WEEKNUM(EarningsPerDay[[#This Row],[Date]],2))</f>
        <v>37</v>
      </c>
      <c r="H788" s="40" t="str">
        <f t="shared" si="112"/>
        <v>Friday</v>
      </c>
      <c r="I788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88" s="40" t="str" cm="1">
        <f t="array" ref="J788">IFERROR(VLOOKUP(MODE(IF(Combined[Date]=EarningsPerDay[[#This Row],[Date]],Combined[Area '#])),KPIs!$B$4:$C$7,2,FALSE),VLOOKUP(EarningsPerDay[[#This Row],[Date]],Combined[[Date]:[Primary Area]],8,FALSE))</f>
        <v>Lewiston</v>
      </c>
      <c r="K788" s="40" t="str">
        <f>_xlfn.XLOOKUP(EarningsPerDay[[#This Row],[Date]],Mileage[Date],Mileage[Weather])</f>
        <v>Clear</v>
      </c>
      <c r="L788" s="4">
        <f>_xlfn.XLOOKUP(EarningsPerDay[[#This Row],[Date]],Mileage[Date],Mileage[Hi Temp])</f>
        <v>70</v>
      </c>
      <c r="M788" s="12">
        <f>_xlfn.XLOOKUP(EarningsPerDay[[#This Row],[Date]],Mileage[Date],Mileage[Total Time])</f>
        <v>8.33</v>
      </c>
      <c r="N788" s="4">
        <f>_xlfn.XLOOKUP(EarningsPerDay[[#This Row],[Date]],Mileage[Date],Mileage[Mileage])</f>
        <v>168</v>
      </c>
      <c r="O788" s="4">
        <f>SUMIF(Combined[Date],EarningsPerDay[[#This Row],[Date]],Combined[Trips])</f>
        <v>16</v>
      </c>
      <c r="P788">
        <f>COUNTIF(Combined[Date],EarningsPerDay[[#This Row],[Date]])</f>
        <v>3</v>
      </c>
      <c r="Q78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8" s="11">
        <f>SUMIF(Combined[Date],EarningsPerDay[[#This Row],[Date]],Combined[Earnings])</f>
        <v>184.43</v>
      </c>
      <c r="S788" s="11">
        <f ca="1">EarningsPerDay[[#This Row],[Gross Earnings]]-(EarningsPerDay[[#This Row],[Miles]]*CpM!$D$11)</f>
        <v>146.97052043844832</v>
      </c>
      <c r="T788" s="11">
        <f t="shared" si="108"/>
        <v>22.140456182472988</v>
      </c>
      <c r="U788" s="11">
        <f t="shared" ca="1" si="109"/>
        <v>17.643519860558023</v>
      </c>
      <c r="V788" s="11">
        <f>EarningsPerDay[[#This Row],[Gross Earnings]]/EarningsPerDay[[#This Row],[Deliveries]]</f>
        <v>11.526875</v>
      </c>
      <c r="W788" s="11">
        <f>EarningsPerDay[[#This Row],[Gross Earnings]]/EarningsPerDay[[#This Row],[Miles]]</f>
        <v>1.0977976190476191</v>
      </c>
      <c r="X788" s="71">
        <f>EarningsPerDay[[#This Row],[Deliveries]]/EarningsPerDay[[#This Row],[Hours]]</f>
        <v>1.9207683073229291</v>
      </c>
      <c r="Y788" s="71">
        <f>EarningsPerDay[[#This Row],[Miles]]/EarningsPerDay[[#This Row],[Deliveries]]</f>
        <v>10.5</v>
      </c>
      <c r="Z788" s="81">
        <f>(EarningsPerDay[[#This Row],[Hours]]/EarningsPerDay[[#This Row],[Deliveries]])/24</f>
        <v>2.1692708333333335E-2</v>
      </c>
      <c r="AA78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0.3808067787292515</v>
      </c>
      <c r="AB788" s="11">
        <f>AVERAGEIFS(EarningsPerDay[Gross $/Hour],EarningsPerDay[Week '#], EarningsPerDay[[#This Row],[Week '#]], EarningsPerDay[DOW], EarningsPerDay[[#This Row],[DOW]])</f>
        <v>27.690267905647875</v>
      </c>
      <c r="AC788" s="11">
        <f>EarningsPerDay[[#This Row],[Gross $/Hour]] - EarningsPerDay[[#This Row],[Weekly Average Earnings]]</f>
        <v>-5.5498117231748871</v>
      </c>
      <c r="AD788" s="11">
        <f>(SUMIFS(EarningsPerDay[Gross Earnings], EarningsPerDay[Date],"&gt;="&amp;EarningsPerDay[[#This Row],[Date]]-89, EarningsPerDay[Date], "&lt;="&amp;EarningsPerDay[[#This Row],[Date]]))/90</f>
        <v>68.006333333333302</v>
      </c>
    </row>
    <row r="789" spans="2:30" x14ac:dyDescent="0.35">
      <c r="B789" s="40">
        <v>45914</v>
      </c>
      <c r="C789" s="40">
        <f t="shared" si="106"/>
        <v>45914</v>
      </c>
      <c r="D789" s="4">
        <f>IF(EarningsPerDay[[#This Row],[Week '#]]&gt;=52,YEAR(EarningsPerDay[[#This Row],[Date]])-1,YEAR(EarningsPerDay[[#This Row],[Date]]))</f>
        <v>2025</v>
      </c>
      <c r="E789" s="4" t="str">
        <f>"QTR"&amp;IF(EarningsPerDay[[#This Row],[Week '#]] &lt;= 13, 1, IF(EarningsPerDay[[#This Row],[Week '#]] &lt;= 26, 2, IF(EarningsPerDay[[#This Row],[Week '#]] &lt;= 39, 3, 4)))</f>
        <v>QTR3</v>
      </c>
      <c r="F78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789" s="4">
        <f>IF(WEEKNUM(EarningsPerDay[[#This Row],[Date]], 2) = 53, 1, WEEKNUM(EarningsPerDay[[#This Row],[Date]],2))</f>
        <v>37</v>
      </c>
      <c r="H789" s="40" t="str">
        <f t="shared" si="112"/>
        <v>Sunday</v>
      </c>
      <c r="I789" s="106">
        <f>IF(_xlfn.XLOOKUP(EarningsPerDay[[#This Row],[Date]],Mileage[Date],Mileage[Start Time])="","",MROUND(_xlfn.XLOOKUP(EarningsPerDay[[#This Row],[Date]],Mileage[Date],Mileage[Start Time]),0.0208333333333333))</f>
        <v>0.70833333333333226</v>
      </c>
      <c r="J789" s="40" t="str" cm="1">
        <f t="array" ref="J789">IFERROR(VLOOKUP(MODE(IF(Combined[Date]=EarningsPerDay[[#This Row],[Date]],Combined[Area '#])),KPIs!$B$4:$C$7,2,FALSE),VLOOKUP(EarningsPerDay[[#This Row],[Date]],Combined[[Date]:[Primary Area]],8,FALSE))</f>
        <v>Portland</v>
      </c>
      <c r="K789" s="40" t="str">
        <f>_xlfn.XLOOKUP(EarningsPerDay[[#This Row],[Date]],Mileage[Date],Mileage[Weather])</f>
        <v>Clear</v>
      </c>
      <c r="L789" s="4">
        <f>_xlfn.XLOOKUP(EarningsPerDay[[#This Row],[Date]],Mileage[Date],Mileage[Hi Temp])</f>
        <v>66</v>
      </c>
      <c r="M789" s="12">
        <f>_xlfn.XLOOKUP(EarningsPerDay[[#This Row],[Date]],Mileage[Date],Mileage[Total Time])</f>
        <v>5.12</v>
      </c>
      <c r="N789" s="4">
        <f>_xlfn.XLOOKUP(EarningsPerDay[[#This Row],[Date]],Mileage[Date],Mileage[Mileage])</f>
        <v>149</v>
      </c>
      <c r="O789" s="4">
        <f>SUMIF(Combined[Date],EarningsPerDay[[#This Row],[Date]],Combined[Trips])</f>
        <v>6</v>
      </c>
      <c r="P789">
        <f>COUNTIF(Combined[Date],EarningsPerDay[[#This Row],[Date]])</f>
        <v>3</v>
      </c>
      <c r="Q78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89" s="11">
        <f>SUMIF(Combined[Date],EarningsPerDay[[#This Row],[Date]],Combined[Earnings])</f>
        <v>95.47999999999999</v>
      </c>
      <c r="S789" s="11">
        <f ca="1">EarningsPerDay[[#This Row],[Gross Earnings]]-(EarningsPerDay[[#This Row],[Miles]]*CpM!$D$11)</f>
        <v>62.257009198385703</v>
      </c>
      <c r="T789" s="11">
        <f t="shared" si="108"/>
        <v>18.648437499999996</v>
      </c>
      <c r="U789" s="11">
        <f t="shared" ca="1" si="109"/>
        <v>12.159572109059708</v>
      </c>
      <c r="V789" s="11">
        <f>EarningsPerDay[[#This Row],[Gross Earnings]]/EarningsPerDay[[#This Row],[Deliveries]]</f>
        <v>15.913333333333332</v>
      </c>
      <c r="W789" s="11">
        <f>EarningsPerDay[[#This Row],[Gross Earnings]]/EarningsPerDay[[#This Row],[Miles]]</f>
        <v>0.64080536912751673</v>
      </c>
      <c r="X789" s="71">
        <f>EarningsPerDay[[#This Row],[Deliveries]]/EarningsPerDay[[#This Row],[Hours]]</f>
        <v>1.171875</v>
      </c>
      <c r="Y789" s="71">
        <f>EarningsPerDay[[#This Row],[Miles]]/EarningsPerDay[[#This Row],[Deliveries]]</f>
        <v>24.833333333333332</v>
      </c>
      <c r="Z789" s="81">
        <f>(EarningsPerDay[[#This Row],[Hours]]/EarningsPerDay[[#This Row],[Deliveries]])/24</f>
        <v>3.5555555555555556E-2</v>
      </c>
      <c r="AA78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-5.3508608178787824</v>
      </c>
      <c r="AB789" s="11">
        <f>AVERAGEIFS(EarningsPerDay[Gross $/Hour],EarningsPerDay[Week '#], EarningsPerDay[[#This Row],[Week '#]], EarningsPerDay[DOW], EarningsPerDay[[#This Row],[DOW]])</f>
        <v>25.652020692468419</v>
      </c>
      <c r="AC789" s="11">
        <f>EarningsPerDay[[#This Row],[Gross $/Hour]] - EarningsPerDay[[#This Row],[Weekly Average Earnings]]</f>
        <v>-7.0035831924684224</v>
      </c>
      <c r="AD789" s="11">
        <f>(SUMIFS(EarningsPerDay[Gross Earnings], EarningsPerDay[Date],"&gt;="&amp;EarningsPerDay[[#This Row],[Date]]-89, EarningsPerDay[Date], "&lt;="&amp;EarningsPerDay[[#This Row],[Date]]))/90</f>
        <v>67.749444444444407</v>
      </c>
    </row>
    <row r="790" spans="2:30" x14ac:dyDescent="0.35">
      <c r="B790" s="40">
        <v>45915</v>
      </c>
      <c r="C790" s="40">
        <f t="shared" si="106"/>
        <v>45915</v>
      </c>
      <c r="D790" s="4">
        <f>IF(EarningsPerDay[[#This Row],[Week '#]]&gt;=52,YEAR(EarningsPerDay[[#This Row],[Date]])-1,YEAR(EarningsPerDay[[#This Row],[Date]]))</f>
        <v>2025</v>
      </c>
      <c r="E790" s="4" t="str">
        <f>"QTR"&amp;IF(EarningsPerDay[[#This Row],[Week '#]] &lt;= 13, 1, IF(EarningsPerDay[[#This Row],[Week '#]] &lt;= 26, 2, IF(EarningsPerDay[[#This Row],[Week '#]] &lt;= 39, 3, 4)))</f>
        <v>QTR3</v>
      </c>
      <c r="F79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90" s="4">
        <f>IF(WEEKNUM(EarningsPerDay[[#This Row],[Date]], 2) = 53, 1, WEEKNUM(EarningsPerDay[[#This Row],[Date]],2))</f>
        <v>38</v>
      </c>
      <c r="H790" s="40" t="str">
        <f t="shared" si="112"/>
        <v>Monday</v>
      </c>
      <c r="I790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90" s="40" t="str" cm="1">
        <f t="array" ref="J790">IFERROR(VLOOKUP(MODE(IF(Combined[Date]=EarningsPerDay[[#This Row],[Date]],Combined[Area '#])),KPIs!$B$4:$C$7,2,FALSE),VLOOKUP(EarningsPerDay[[#This Row],[Date]],Combined[[Date]:[Primary Area]],8,FALSE))</f>
        <v>Portland</v>
      </c>
      <c r="K790" s="40" t="str">
        <f>_xlfn.XLOOKUP(EarningsPerDay[[#This Row],[Date]],Mileage[Date],Mileage[Weather])</f>
        <v>Clear</v>
      </c>
      <c r="L790" s="4">
        <f>_xlfn.XLOOKUP(EarningsPerDay[[#This Row],[Date]],Mileage[Date],Mileage[Hi Temp])</f>
        <v>63</v>
      </c>
      <c r="M790" s="12">
        <f>_xlfn.XLOOKUP(EarningsPerDay[[#This Row],[Date]],Mileage[Date],Mileage[Total Time])</f>
        <v>5.73</v>
      </c>
      <c r="N790" s="4">
        <f>_xlfn.XLOOKUP(EarningsPerDay[[#This Row],[Date]],Mileage[Date],Mileage[Mileage])</f>
        <v>97</v>
      </c>
      <c r="O790" s="4">
        <f>SUMIF(Combined[Date],EarningsPerDay[[#This Row],[Date]],Combined[Trips])</f>
        <v>14</v>
      </c>
      <c r="P790">
        <f>COUNTIF(Combined[Date],EarningsPerDay[[#This Row],[Date]])</f>
        <v>3</v>
      </c>
      <c r="Q79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90" s="11">
        <f>SUMIF(Combined[Date],EarningsPerDay[[#This Row],[Date]],Combined[Earnings])</f>
        <v>144.07</v>
      </c>
      <c r="S790" s="11">
        <f ca="1">EarningsPerDay[[#This Row],[Gross Earnings]]-(EarningsPerDay[[#This Row],[Miles]]*CpM!$D$11)</f>
        <v>122.44161001505645</v>
      </c>
      <c r="T790" s="11">
        <f t="shared" si="108"/>
        <v>25.143106457242581</v>
      </c>
      <c r="U790" s="11">
        <f t="shared" ca="1" si="109"/>
        <v>21.36851832723498</v>
      </c>
      <c r="V790" s="11">
        <f>EarningsPerDay[[#This Row],[Gross Earnings]]/EarningsPerDay[[#This Row],[Deliveries]]</f>
        <v>10.290714285714285</v>
      </c>
      <c r="W790" s="11">
        <f>EarningsPerDay[[#This Row],[Gross Earnings]]/EarningsPerDay[[#This Row],[Miles]]</f>
        <v>1.4852577319587628</v>
      </c>
      <c r="X790" s="71">
        <f>EarningsPerDay[[#This Row],[Deliveries]]/EarningsPerDay[[#This Row],[Hours]]</f>
        <v>2.4432809773123907</v>
      </c>
      <c r="Y790" s="71">
        <f>EarningsPerDay[[#This Row],[Miles]]/EarningsPerDay[[#This Row],[Deliveries]]</f>
        <v>6.9285714285714288</v>
      </c>
      <c r="Z790" s="81">
        <f>(EarningsPerDay[[#This Row],[Hours]]/EarningsPerDay[[#This Row],[Deliveries]])/24</f>
        <v>1.7053571428571428E-2</v>
      </c>
      <c r="AA79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1.9209753578329689</v>
      </c>
      <c r="AB790" s="11">
        <f>AVERAGEIFS(EarningsPerDay[Gross $/Hour],EarningsPerDay[Week '#], EarningsPerDay[[#This Row],[Week '#]], EarningsPerDay[DOW], EarningsPerDay[[#This Row],[DOW]])</f>
        <v>21.99424772969833</v>
      </c>
      <c r="AC790" s="11">
        <f>EarningsPerDay[[#This Row],[Gross $/Hour]] - EarningsPerDay[[#This Row],[Weekly Average Earnings]]</f>
        <v>3.1488587275442512</v>
      </c>
      <c r="AD790" s="11">
        <f>(SUMIFS(EarningsPerDay[Gross Earnings], EarningsPerDay[Date],"&gt;="&amp;EarningsPerDay[[#This Row],[Date]]-89, EarningsPerDay[Date], "&lt;="&amp;EarningsPerDay[[#This Row],[Date]]))/90</f>
        <v>69.350222222222186</v>
      </c>
    </row>
    <row r="791" spans="2:30" x14ac:dyDescent="0.35">
      <c r="B791" s="40">
        <v>45917</v>
      </c>
      <c r="C791" s="40">
        <f t="shared" si="106"/>
        <v>45917</v>
      </c>
      <c r="D791" s="4">
        <f>IF(EarningsPerDay[[#This Row],[Week '#]]&gt;=52,YEAR(EarningsPerDay[[#This Row],[Date]])-1,YEAR(EarningsPerDay[[#This Row],[Date]]))</f>
        <v>2025</v>
      </c>
      <c r="E791" s="4" t="str">
        <f>"QTR"&amp;IF(EarningsPerDay[[#This Row],[Week '#]] &lt;= 13, 1, IF(EarningsPerDay[[#This Row],[Week '#]] &lt;= 26, 2, IF(EarningsPerDay[[#This Row],[Week '#]] &lt;= 39, 3, 4)))</f>
        <v>QTR3</v>
      </c>
      <c r="F79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91" s="4">
        <f>IF(WEEKNUM(EarningsPerDay[[#This Row],[Date]], 2) = 53, 1, WEEKNUM(EarningsPerDay[[#This Row],[Date]],2))</f>
        <v>38</v>
      </c>
      <c r="H791" s="40" t="str">
        <f t="shared" ref="H791:H792" si="113">TEXT(B791,"DDDD")</f>
        <v>Wednesday</v>
      </c>
      <c r="I79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91" s="40" t="str" cm="1">
        <f t="array" ref="J791">IFERROR(VLOOKUP(MODE(IF(Combined[Date]=EarningsPerDay[[#This Row],[Date]],Combined[Area '#])),KPIs!$B$4:$C$7,2,FALSE),VLOOKUP(EarningsPerDay[[#This Row],[Date]],Combined[[Date]:[Primary Area]],8,FALSE))</f>
        <v>Lewiston</v>
      </c>
      <c r="K791" s="40" t="str">
        <f>_xlfn.XLOOKUP(EarningsPerDay[[#This Row],[Date]],Mileage[Date],Mileage[Weather])</f>
        <v>Clear</v>
      </c>
      <c r="L791" s="4">
        <f>_xlfn.XLOOKUP(EarningsPerDay[[#This Row],[Date]],Mileage[Date],Mileage[Hi Temp])</f>
        <v>66</v>
      </c>
      <c r="M791" s="12">
        <f>_xlfn.XLOOKUP(EarningsPerDay[[#This Row],[Date]],Mileage[Date],Mileage[Total Time])</f>
        <v>6.98</v>
      </c>
      <c r="N791" s="4">
        <f>_xlfn.XLOOKUP(EarningsPerDay[[#This Row],[Date]],Mileage[Date],Mileage[Mileage])</f>
        <v>129</v>
      </c>
      <c r="O791" s="4">
        <f>SUMIF(Combined[Date],EarningsPerDay[[#This Row],[Date]],Combined[Trips])</f>
        <v>14</v>
      </c>
      <c r="P791">
        <f>COUNTIF(Combined[Date],EarningsPerDay[[#This Row],[Date]])</f>
        <v>2</v>
      </c>
      <c r="Q79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1" s="11">
        <f>SUMIF(Combined[Date],EarningsPerDay[[#This Row],[Date]],Combined[Earnings])</f>
        <v>158.34</v>
      </c>
      <c r="S791" s="11">
        <f ca="1">EarningsPerDay[[#This Row],[Gross Earnings]]-(EarningsPerDay[[#This Row],[Miles]]*CpM!$D$11)</f>
        <v>129.5764710509514</v>
      </c>
      <c r="T791" s="11">
        <f t="shared" si="108"/>
        <v>22.684813753581661</v>
      </c>
      <c r="U791" s="11">
        <f t="shared" ca="1" si="109"/>
        <v>18.56396433394719</v>
      </c>
      <c r="V791" s="11">
        <f>EarningsPerDay[[#This Row],[Gross Earnings]]/EarningsPerDay[[#This Row],[Deliveries]]</f>
        <v>11.31</v>
      </c>
      <c r="W791" s="11">
        <f>EarningsPerDay[[#This Row],[Gross Earnings]]/EarningsPerDay[[#This Row],[Miles]]</f>
        <v>1.2274418604651163</v>
      </c>
      <c r="X791" s="71">
        <f>EarningsPerDay[[#This Row],[Deliveries]]/EarningsPerDay[[#This Row],[Hours]]</f>
        <v>2.005730659025788</v>
      </c>
      <c r="Y791" s="71">
        <f>EarningsPerDay[[#This Row],[Miles]]/EarningsPerDay[[#This Row],[Deliveries]]</f>
        <v>9.2142857142857135</v>
      </c>
      <c r="Z791" s="81">
        <f>(EarningsPerDay[[#This Row],[Hours]]/EarningsPerDay[[#This Row],[Deliveries]])/24</f>
        <v>2.0773809523809524E-2</v>
      </c>
      <c r="AA79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5.9607242804220739</v>
      </c>
      <c r="AB791" s="11">
        <f>AVERAGEIFS(EarningsPerDay[Gross $/Hour],EarningsPerDay[Week '#], EarningsPerDay[[#This Row],[Week '#]], EarningsPerDay[DOW], EarningsPerDay[[#This Row],[DOW]])</f>
        <v>24.018463214819</v>
      </c>
      <c r="AC791" s="11">
        <f>EarningsPerDay[[#This Row],[Gross $/Hour]] - EarningsPerDay[[#This Row],[Weekly Average Earnings]]</f>
        <v>-1.3336494612373393</v>
      </c>
      <c r="AD791" s="11">
        <f>(SUMIFS(EarningsPerDay[Gross Earnings], EarningsPerDay[Date],"&gt;="&amp;EarningsPerDay[[#This Row],[Date]]-89, EarningsPerDay[Date], "&lt;="&amp;EarningsPerDay[[#This Row],[Date]]))/90</f>
        <v>70.639111111111077</v>
      </c>
    </row>
    <row r="792" spans="2:30" x14ac:dyDescent="0.35">
      <c r="B792" s="40">
        <v>45918</v>
      </c>
      <c r="C792" s="40">
        <f t="shared" si="106"/>
        <v>45918</v>
      </c>
      <c r="D792" s="4">
        <f>IF(EarningsPerDay[[#This Row],[Week '#]]&gt;=52,YEAR(EarningsPerDay[[#This Row],[Date]])-1,YEAR(EarningsPerDay[[#This Row],[Date]]))</f>
        <v>2025</v>
      </c>
      <c r="E792" s="4" t="str">
        <f>"QTR"&amp;IF(EarningsPerDay[[#This Row],[Week '#]] &lt;= 13, 1, IF(EarningsPerDay[[#This Row],[Week '#]] &lt;= 26, 2, IF(EarningsPerDay[[#This Row],[Week '#]] &lt;= 39, 3, 4)))</f>
        <v>QTR3</v>
      </c>
      <c r="F79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92" s="4">
        <f>IF(WEEKNUM(EarningsPerDay[[#This Row],[Date]], 2) = 53, 1, WEEKNUM(EarningsPerDay[[#This Row],[Date]],2))</f>
        <v>38</v>
      </c>
      <c r="H792" s="40" t="str">
        <f t="shared" si="113"/>
        <v>Thursday</v>
      </c>
      <c r="I79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92" s="40" t="str" cm="1">
        <f t="array" ref="J792">IFERROR(VLOOKUP(MODE(IF(Combined[Date]=EarningsPerDay[[#This Row],[Date]],Combined[Area '#])),KPIs!$B$4:$C$7,2,FALSE),VLOOKUP(EarningsPerDay[[#This Row],[Date]],Combined[[Date]:[Primary Area]],8,FALSE))</f>
        <v>Portland</v>
      </c>
      <c r="K792" s="40" t="str">
        <f>_xlfn.XLOOKUP(EarningsPerDay[[#This Row],[Date]],Mileage[Date],Mileage[Weather])</f>
        <v>Clear</v>
      </c>
      <c r="L792" s="4">
        <f>_xlfn.XLOOKUP(EarningsPerDay[[#This Row],[Date]],Mileage[Date],Mileage[Hi Temp])</f>
        <v>64</v>
      </c>
      <c r="M792" s="12">
        <f>_xlfn.XLOOKUP(EarningsPerDay[[#This Row],[Date]],Mileage[Date],Mileage[Total Time])</f>
        <v>5.75</v>
      </c>
      <c r="N792" s="4">
        <f>_xlfn.XLOOKUP(EarningsPerDay[[#This Row],[Date]],Mileage[Date],Mileage[Mileage])</f>
        <v>129</v>
      </c>
      <c r="O792" s="4">
        <f>SUMIF(Combined[Date],EarningsPerDay[[#This Row],[Date]],Combined[Trips])</f>
        <v>12</v>
      </c>
      <c r="P792">
        <f>COUNTIF(Combined[Date],EarningsPerDay[[#This Row],[Date]])</f>
        <v>3</v>
      </c>
      <c r="Q79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2" s="11">
        <f>SUMIF(Combined[Date],EarningsPerDay[[#This Row],[Date]],Combined[Earnings])</f>
        <v>127.28999999999999</v>
      </c>
      <c r="S792" s="11">
        <f ca="1">EarningsPerDay[[#This Row],[Gross Earnings]]-(EarningsPerDay[[#This Row],[Miles]]*CpM!$D$11)</f>
        <v>98.526471050951386</v>
      </c>
      <c r="T792" s="11">
        <f t="shared" si="108"/>
        <v>22.137391304347826</v>
      </c>
      <c r="U792" s="11">
        <f t="shared" ca="1" si="109"/>
        <v>17.135038443643719</v>
      </c>
      <c r="V792" s="11">
        <f>EarningsPerDay[[#This Row],[Gross Earnings]]/EarningsPerDay[[#This Row],[Deliveries]]</f>
        <v>10.6075</v>
      </c>
      <c r="W792" s="11">
        <f>EarningsPerDay[[#This Row],[Gross Earnings]]/EarningsPerDay[[#This Row],[Miles]]</f>
        <v>0.9867441860465116</v>
      </c>
      <c r="X792" s="71">
        <f>EarningsPerDay[[#This Row],[Deliveries]]/EarningsPerDay[[#This Row],[Hours]]</f>
        <v>2.0869565217391304</v>
      </c>
      <c r="Y792" s="71">
        <f>EarningsPerDay[[#This Row],[Miles]]/EarningsPerDay[[#This Row],[Deliveries]]</f>
        <v>10.75</v>
      </c>
      <c r="Z792" s="81">
        <f>(EarningsPerDay[[#This Row],[Hours]]/EarningsPerDay[[#This Row],[Deliveries]])/24</f>
        <v>1.996527777777778E-2</v>
      </c>
      <c r="AA79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-0.28409320194694843</v>
      </c>
      <c r="AB792" s="11">
        <f>AVERAGEIFS(EarningsPerDay[Gross $/Hour],EarningsPerDay[Week '#], EarningsPerDay[[#This Row],[Week '#]], EarningsPerDay[DOW], EarningsPerDay[[#This Row],[DOW]])</f>
        <v>19.309961720695359</v>
      </c>
      <c r="AC792" s="11">
        <f>EarningsPerDay[[#This Row],[Gross $/Hour]] - EarningsPerDay[[#This Row],[Weekly Average Earnings]]</f>
        <v>2.8274295836524672</v>
      </c>
      <c r="AD792" s="11">
        <f>(SUMIFS(EarningsPerDay[Gross Earnings], EarningsPerDay[Date],"&gt;="&amp;EarningsPerDay[[#This Row],[Date]]-89, EarningsPerDay[Date], "&lt;="&amp;EarningsPerDay[[#This Row],[Date]]))/90</f>
        <v>72.053444444444409</v>
      </c>
    </row>
    <row r="793" spans="2:30" x14ac:dyDescent="0.35">
      <c r="B793" s="40">
        <v>45919</v>
      </c>
      <c r="C793" s="40">
        <f t="shared" si="106"/>
        <v>45919</v>
      </c>
      <c r="D793" s="4">
        <f>IF(EarningsPerDay[[#This Row],[Week '#]]&gt;=52,YEAR(EarningsPerDay[[#This Row],[Date]])-1,YEAR(EarningsPerDay[[#This Row],[Date]]))</f>
        <v>2025</v>
      </c>
      <c r="E793" s="4" t="str">
        <f>"QTR"&amp;IF(EarningsPerDay[[#This Row],[Week '#]] &lt;= 13, 1, IF(EarningsPerDay[[#This Row],[Week '#]] &lt;= 26, 2, IF(EarningsPerDay[[#This Row],[Week '#]] &lt;= 39, 3, 4)))</f>
        <v>QTR3</v>
      </c>
      <c r="F79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93" s="4">
        <f>IF(WEEKNUM(EarningsPerDay[[#This Row],[Date]], 2) = 53, 1, WEEKNUM(EarningsPerDay[[#This Row],[Date]],2))</f>
        <v>38</v>
      </c>
      <c r="H793" s="40" t="str">
        <f>TEXT(B793,"DDDD")</f>
        <v>Friday</v>
      </c>
      <c r="I793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93" s="40" t="str" cm="1">
        <f t="array" ref="J793">IFERROR(VLOOKUP(MODE(IF(Combined[Date]=EarningsPerDay[[#This Row],[Date]],Combined[Area '#])),KPIs!$B$4:$C$7,2,FALSE),VLOOKUP(EarningsPerDay[[#This Row],[Date]],Combined[[Date]:[Primary Area]],8,FALSE))</f>
        <v>Portland</v>
      </c>
      <c r="K793" s="40" t="str">
        <f>_xlfn.XLOOKUP(EarningsPerDay[[#This Row],[Date]],Mileage[Date],Mileage[Weather])</f>
        <v>Clear</v>
      </c>
      <c r="L793" s="4">
        <f>_xlfn.XLOOKUP(EarningsPerDay[[#This Row],[Date]],Mileage[Date],Mileage[Hi Temp])</f>
        <v>68</v>
      </c>
      <c r="M793" s="12">
        <f>_xlfn.XLOOKUP(EarningsPerDay[[#This Row],[Date]],Mileage[Date],Mileage[Total Time])</f>
        <v>5.07</v>
      </c>
      <c r="N793" s="4">
        <f>_xlfn.XLOOKUP(EarningsPerDay[[#This Row],[Date]],Mileage[Date],Mileage[Mileage])</f>
        <v>116</v>
      </c>
      <c r="O793" s="4">
        <f>SUMIF(Combined[Date],EarningsPerDay[[#This Row],[Date]],Combined[Trips])</f>
        <v>9</v>
      </c>
      <c r="P793">
        <f>COUNTIF(Combined[Date],EarningsPerDay[[#This Row],[Date]])</f>
        <v>1</v>
      </c>
      <c r="Q79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3" s="11">
        <f>SUMIF(Combined[Date],EarningsPerDay[[#This Row],[Date]],Combined[Earnings])</f>
        <v>99.94</v>
      </c>
      <c r="S793" s="11">
        <f ca="1">EarningsPerDay[[#This Row],[Gross Earnings]]-(EarningsPerDay[[#This Row],[Miles]]*CpM!$D$11)</f>
        <v>74.075121255119072</v>
      </c>
      <c r="T793" s="11">
        <f t="shared" si="108"/>
        <v>19.712031558185402</v>
      </c>
      <c r="U793" s="11">
        <f t="shared" ca="1" si="109"/>
        <v>14.610477565112243</v>
      </c>
      <c r="V793" s="11">
        <f>EarningsPerDay[[#This Row],[Gross Earnings]]/EarningsPerDay[[#This Row],[Deliveries]]</f>
        <v>11.104444444444445</v>
      </c>
      <c r="W793" s="11">
        <f>EarningsPerDay[[#This Row],[Gross Earnings]]/EarningsPerDay[[#This Row],[Miles]]</f>
        <v>0.86155172413793102</v>
      </c>
      <c r="X793" s="71">
        <f>EarningsPerDay[[#This Row],[Deliveries]]/EarningsPerDay[[#This Row],[Hours]]</f>
        <v>1.7751479289940828</v>
      </c>
      <c r="Y793" s="71">
        <f>EarningsPerDay[[#This Row],[Miles]]/EarningsPerDay[[#This Row],[Deliveries]]</f>
        <v>12.888888888888889</v>
      </c>
      <c r="Z793" s="81">
        <f>(EarningsPerDay[[#This Row],[Hours]]/EarningsPerDay[[#This Row],[Deliveries]])/24</f>
        <v>2.3472222222222224E-2</v>
      </c>
      <c r="AA79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-3.0902759135650015</v>
      </c>
      <c r="AB793" s="11">
        <f>AVERAGEIFS(EarningsPerDay[Gross $/Hour],EarningsPerDay[Week '#], EarningsPerDay[[#This Row],[Week '#]], EarningsPerDay[DOW], EarningsPerDay[[#This Row],[DOW]])</f>
        <v>19.46006301883239</v>
      </c>
      <c r="AC793" s="11">
        <f>EarningsPerDay[[#This Row],[Gross $/Hour]] - EarningsPerDay[[#This Row],[Weekly Average Earnings]]</f>
        <v>0.25196853935301178</v>
      </c>
      <c r="AD793" s="11">
        <f>(SUMIFS(EarningsPerDay[Gross Earnings], EarningsPerDay[Date],"&gt;="&amp;EarningsPerDay[[#This Row],[Date]]-89, EarningsPerDay[Date], "&lt;="&amp;EarningsPerDay[[#This Row],[Date]]))/90</f>
        <v>71.101444444444411</v>
      </c>
    </row>
    <row r="794" spans="2:30" x14ac:dyDescent="0.35">
      <c r="B794" s="40">
        <v>45921</v>
      </c>
      <c r="C794" s="40">
        <f t="shared" si="106"/>
        <v>45921</v>
      </c>
      <c r="D794" s="4">
        <f>IF(EarningsPerDay[[#This Row],[Week '#]]&gt;=52,YEAR(EarningsPerDay[[#This Row],[Date]])-1,YEAR(EarningsPerDay[[#This Row],[Date]]))</f>
        <v>2025</v>
      </c>
      <c r="E794" s="4" t="str">
        <f>"QTR"&amp;IF(EarningsPerDay[[#This Row],[Week '#]] &lt;= 13, 1, IF(EarningsPerDay[[#This Row],[Week '#]] &lt;= 26, 2, IF(EarningsPerDay[[#This Row],[Week '#]] &lt;= 39, 3, 4)))</f>
        <v>QTR3</v>
      </c>
      <c r="F79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794" s="4">
        <f>IF(WEEKNUM(EarningsPerDay[[#This Row],[Date]], 2) = 53, 1, WEEKNUM(EarningsPerDay[[#This Row],[Date]],2))</f>
        <v>38</v>
      </c>
      <c r="H794" s="40" t="str">
        <f>TEXT(B794,"DDDD")</f>
        <v>Sunday</v>
      </c>
      <c r="I794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94" s="40" t="str" cm="1">
        <f t="array" ref="J794">IFERROR(VLOOKUP(MODE(IF(Combined[Date]=EarningsPerDay[[#This Row],[Date]],Combined[Area '#])),KPIs!$B$4:$C$7,2,FALSE),VLOOKUP(EarningsPerDay[[#This Row],[Date]],Combined[[Date]:[Primary Area]],8,FALSE))</f>
        <v>Brunswick/Bath/Freeport</v>
      </c>
      <c r="K794" s="40" t="str">
        <f>_xlfn.XLOOKUP(EarningsPerDay[[#This Row],[Date]],Mileage[Date],Mileage[Weather])</f>
        <v>Clear</v>
      </c>
      <c r="L794" s="4">
        <f>_xlfn.XLOOKUP(EarningsPerDay[[#This Row],[Date]],Mileage[Date],Mileage[Hi Temp])</f>
        <v>63</v>
      </c>
      <c r="M794" s="12">
        <f>_xlfn.XLOOKUP(EarningsPerDay[[#This Row],[Date]],Mileage[Date],Mileage[Total Time])</f>
        <v>4</v>
      </c>
      <c r="N794" s="4">
        <f>_xlfn.XLOOKUP(EarningsPerDay[[#This Row],[Date]],Mileage[Date],Mileage[Mileage])</f>
        <v>92</v>
      </c>
      <c r="O794" s="4">
        <f>SUMIF(Combined[Date],EarningsPerDay[[#This Row],[Date]],Combined[Trips])</f>
        <v>7</v>
      </c>
      <c r="P794">
        <f>COUNTIF(Combined[Date],EarningsPerDay[[#This Row],[Date]])</f>
        <v>2</v>
      </c>
      <c r="Q79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4" s="11">
        <f>SUMIF(Combined[Date],EarningsPerDay[[#This Row],[Date]],Combined[Earnings])</f>
        <v>83.1</v>
      </c>
      <c r="S794" s="11">
        <f ca="1">EarningsPerDay[[#This Row],[Gross Earnings]]-(EarningsPerDay[[#This Row],[Miles]]*CpM!$D$11)</f>
        <v>62.586475478197883</v>
      </c>
      <c r="T794" s="11">
        <f t="shared" si="108"/>
        <v>20.774999999999999</v>
      </c>
      <c r="U794" s="11">
        <f t="shared" ca="1" si="109"/>
        <v>15.646618869549471</v>
      </c>
      <c r="V794" s="11">
        <f>EarningsPerDay[[#This Row],[Gross Earnings]]/EarningsPerDay[[#This Row],[Deliveries]]</f>
        <v>11.87142857142857</v>
      </c>
      <c r="W794" s="11">
        <f>EarningsPerDay[[#This Row],[Gross Earnings]]/EarningsPerDay[[#This Row],[Miles]]</f>
        <v>0.90326086956521734</v>
      </c>
      <c r="X794" s="71">
        <f>EarningsPerDay[[#This Row],[Deliveries]]/EarningsPerDay[[#This Row],[Hours]]</f>
        <v>1.75</v>
      </c>
      <c r="Y794" s="71">
        <f>EarningsPerDay[[#This Row],[Miles]]/EarningsPerDay[[#This Row],[Deliveries]]</f>
        <v>13.142857142857142</v>
      </c>
      <c r="Z794" s="81">
        <f>(EarningsPerDay[[#This Row],[Hours]]/EarningsPerDay[[#This Row],[Deliveries]])/24</f>
        <v>2.3809523809523808E-2</v>
      </c>
      <c r="AA79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-2.3603884412507234</v>
      </c>
      <c r="AB794" s="11">
        <f>AVERAGEIFS(EarningsPerDay[Gross $/Hour],EarningsPerDay[Week '#], EarningsPerDay[[#This Row],[Week '#]], EarningsPerDay[DOW], EarningsPerDay[[#This Row],[DOW]])</f>
        <v>23.467750621375313</v>
      </c>
      <c r="AC794" s="11">
        <f>EarningsPerDay[[#This Row],[Gross $/Hour]] - EarningsPerDay[[#This Row],[Weekly Average Earnings]]</f>
        <v>-2.6927506213753141</v>
      </c>
      <c r="AD794" s="11">
        <f>(SUMIFS(EarningsPerDay[Gross Earnings], EarningsPerDay[Date],"&gt;="&amp;EarningsPerDay[[#This Row],[Date]]-89, EarningsPerDay[Date], "&lt;="&amp;EarningsPerDay[[#This Row],[Date]]))/90</f>
        <v>70.208999999999975</v>
      </c>
    </row>
    <row r="795" spans="2:30" x14ac:dyDescent="0.35">
      <c r="B795" s="40">
        <v>45922</v>
      </c>
      <c r="C795" s="40">
        <f t="shared" si="106"/>
        <v>45922</v>
      </c>
      <c r="D795" s="4">
        <f>IF(EarningsPerDay[[#This Row],[Week '#]]&gt;=52,YEAR(EarningsPerDay[[#This Row],[Date]])-1,YEAR(EarningsPerDay[[#This Row],[Date]]))</f>
        <v>2025</v>
      </c>
      <c r="E795" s="4" t="str">
        <f>"QTR"&amp;IF(EarningsPerDay[[#This Row],[Week '#]] &lt;= 13, 1, IF(EarningsPerDay[[#This Row],[Week '#]] &lt;= 26, 2, IF(EarningsPerDay[[#This Row],[Week '#]] &lt;= 39, 3, 4)))</f>
        <v>QTR3</v>
      </c>
      <c r="F79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95" s="4">
        <f>IF(WEEKNUM(EarningsPerDay[[#This Row],[Date]], 2) = 53, 1, WEEKNUM(EarningsPerDay[[#This Row],[Date]],2))</f>
        <v>39</v>
      </c>
      <c r="H795" s="40" t="str">
        <f t="shared" ref="H795:H796" si="114">TEXT(B795,"DDDD")</f>
        <v>Monday</v>
      </c>
      <c r="I79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795" s="40" t="str" cm="1">
        <f t="array" ref="J795">IFERROR(VLOOKUP(MODE(IF(Combined[Date]=EarningsPerDay[[#This Row],[Date]],Combined[Area '#])),KPIs!$B$4:$C$7,2,FALSE),VLOOKUP(EarningsPerDay[[#This Row],[Date]],Combined[[Date]:[Primary Area]],8,FALSE))</f>
        <v>Portland</v>
      </c>
      <c r="K795" s="40" t="str">
        <f>_xlfn.XLOOKUP(EarningsPerDay[[#This Row],[Date]],Mileage[Date],Mileage[Weather])</f>
        <v>Clear</v>
      </c>
      <c r="L795" s="4">
        <f>_xlfn.XLOOKUP(EarningsPerDay[[#This Row],[Date]],Mileage[Date],Mileage[Hi Temp])</f>
        <v>63</v>
      </c>
      <c r="M795" s="12">
        <f>_xlfn.XLOOKUP(EarningsPerDay[[#This Row],[Date]],Mileage[Date],Mileage[Total Time])</f>
        <v>5.98</v>
      </c>
      <c r="N795" s="4">
        <f>_xlfn.XLOOKUP(EarningsPerDay[[#This Row],[Date]],Mileage[Date],Mileage[Mileage])</f>
        <v>125</v>
      </c>
      <c r="O795" s="4">
        <f>SUMIF(Combined[Date],EarningsPerDay[[#This Row],[Date]],Combined[Trips])</f>
        <v>9</v>
      </c>
      <c r="P795">
        <f>COUNTIF(Combined[Date],EarningsPerDay[[#This Row],[Date]])</f>
        <v>3</v>
      </c>
      <c r="Q79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95" s="11">
        <f>SUMIF(Combined[Date],EarningsPerDay[[#This Row],[Date]],Combined[Earnings])</f>
        <v>161.19</v>
      </c>
      <c r="S795" s="11">
        <f ca="1">EarningsPerDay[[#This Row],[Gross Earnings]]-(EarningsPerDay[[#This Row],[Miles]]*CpM!$D$11)</f>
        <v>133.31836342146451</v>
      </c>
      <c r="T795" s="11">
        <f t="shared" si="108"/>
        <v>26.954849498327757</v>
      </c>
      <c r="U795" s="11">
        <f t="shared" ca="1" si="109"/>
        <v>22.29404070593052</v>
      </c>
      <c r="V795" s="11">
        <f>EarningsPerDay[[#This Row],[Gross Earnings]]/EarningsPerDay[[#This Row],[Deliveries]]</f>
        <v>17.91</v>
      </c>
      <c r="W795" s="11">
        <f>EarningsPerDay[[#This Row],[Gross Earnings]]/EarningsPerDay[[#This Row],[Miles]]</f>
        <v>1.28952</v>
      </c>
      <c r="X795" s="71">
        <f>EarningsPerDay[[#This Row],[Deliveries]]/EarningsPerDay[[#This Row],[Hours]]</f>
        <v>1.5050167224080266</v>
      </c>
      <c r="Y795" s="71">
        <f>EarningsPerDay[[#This Row],[Miles]]/EarningsPerDay[[#This Row],[Deliveries]]</f>
        <v>13.888888888888889</v>
      </c>
      <c r="Z795" s="81">
        <f>(EarningsPerDay[[#This Row],[Hours]]/EarningsPerDay[[#This Row],[Deliveries]])/24</f>
        <v>2.7685185185185188E-2</v>
      </c>
      <c r="AA79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3.6454013371984644</v>
      </c>
      <c r="AB795" s="11">
        <f>AVERAGEIFS(EarningsPerDay[Gross $/Hour],EarningsPerDay[Week '#], EarningsPerDay[[#This Row],[Week '#]], EarningsPerDay[DOW], EarningsPerDay[[#This Row],[DOW]])</f>
        <v>22.232296539277556</v>
      </c>
      <c r="AC795" s="11">
        <f>EarningsPerDay[[#This Row],[Gross $/Hour]] - EarningsPerDay[[#This Row],[Weekly Average Earnings]]</f>
        <v>4.7225529590502013</v>
      </c>
      <c r="AD795" s="11">
        <f>(SUMIFS(EarningsPerDay[Gross Earnings], EarningsPerDay[Date],"&gt;="&amp;EarningsPerDay[[#This Row],[Date]]-89, EarningsPerDay[Date], "&lt;="&amp;EarningsPerDay[[#This Row],[Date]]))/90</f>
        <v>70.533333333333303</v>
      </c>
    </row>
    <row r="796" spans="2:30" x14ac:dyDescent="0.35">
      <c r="B796" s="40">
        <v>45923</v>
      </c>
      <c r="C796" s="40">
        <f t="shared" si="106"/>
        <v>45923</v>
      </c>
      <c r="D796" s="4">
        <f>IF(EarningsPerDay[[#This Row],[Week '#]]&gt;=52,YEAR(EarningsPerDay[[#This Row],[Date]])-1,YEAR(EarningsPerDay[[#This Row],[Date]]))</f>
        <v>2025</v>
      </c>
      <c r="E796" s="4" t="str">
        <f>"QTR"&amp;IF(EarningsPerDay[[#This Row],[Week '#]] &lt;= 13, 1, IF(EarningsPerDay[[#This Row],[Week '#]] &lt;= 26, 2, IF(EarningsPerDay[[#This Row],[Week '#]] &lt;= 39, 3, 4)))</f>
        <v>QTR3</v>
      </c>
      <c r="F79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96" s="4">
        <f>IF(WEEKNUM(EarningsPerDay[[#This Row],[Date]], 2) = 53, 1, WEEKNUM(EarningsPerDay[[#This Row],[Date]],2))</f>
        <v>39</v>
      </c>
      <c r="H796" s="40" t="str">
        <f t="shared" si="114"/>
        <v>Tuesday</v>
      </c>
      <c r="I796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96" s="40" t="str" cm="1">
        <f t="array" ref="J796">IFERROR(VLOOKUP(MODE(IF(Combined[Date]=EarningsPerDay[[#This Row],[Date]],Combined[Area '#])),KPIs!$B$4:$C$7,2,FALSE),VLOOKUP(EarningsPerDay[[#This Row],[Date]],Combined[[Date]:[Primary Area]],8,FALSE))</f>
        <v>Lewiston</v>
      </c>
      <c r="K796" s="40" t="str">
        <f>_xlfn.XLOOKUP(EarningsPerDay[[#This Row],[Date]],Mileage[Date],Mileage[Weather])</f>
        <v>Fog</v>
      </c>
      <c r="L796" s="4">
        <f>_xlfn.XLOOKUP(EarningsPerDay[[#This Row],[Date]],Mileage[Date],Mileage[Hi Temp])</f>
        <v>64</v>
      </c>
      <c r="M796" s="12">
        <f>_xlfn.XLOOKUP(EarningsPerDay[[#This Row],[Date]],Mileage[Date],Mileage[Total Time])</f>
        <v>0.83819444444444446</v>
      </c>
      <c r="N796" s="4">
        <f>_xlfn.XLOOKUP(EarningsPerDay[[#This Row],[Date]],Mileage[Date],Mileage[Mileage])</f>
        <v>21.6</v>
      </c>
      <c r="O796" s="4">
        <f>SUMIF(Combined[Date],EarningsPerDay[[#This Row],[Date]],Combined[Trips])</f>
        <v>2</v>
      </c>
      <c r="P796">
        <f>COUNTIF(Combined[Date],EarningsPerDay[[#This Row],[Date]])</f>
        <v>1</v>
      </c>
      <c r="Q79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96" s="11">
        <f>SUMIF(Combined[Date],EarningsPerDay[[#This Row],[Date]],Combined[Earnings])</f>
        <v>29.61</v>
      </c>
      <c r="S796" s="11">
        <f ca="1">EarningsPerDay[[#This Row],[Gross Earnings]]-(EarningsPerDay[[#This Row],[Miles]]*CpM!$D$11)</f>
        <v>24.79378119922907</v>
      </c>
      <c r="T796" s="11">
        <f t="shared" si="108"/>
        <v>35.325932062966032</v>
      </c>
      <c r="U796" s="11">
        <f t="shared" ca="1" si="109"/>
        <v>29.579987511922006</v>
      </c>
      <c r="V796" s="11">
        <f>EarningsPerDay[[#This Row],[Gross Earnings]]/EarningsPerDay[[#This Row],[Deliveries]]</f>
        <v>14.805</v>
      </c>
      <c r="W796" s="11">
        <f>EarningsPerDay[[#This Row],[Gross Earnings]]/EarningsPerDay[[#This Row],[Miles]]</f>
        <v>1.3708333333333331</v>
      </c>
      <c r="X796" s="71">
        <f>EarningsPerDay[[#This Row],[Deliveries]]/EarningsPerDay[[#This Row],[Hours]]</f>
        <v>2.3860811930405963</v>
      </c>
      <c r="Y796" s="71">
        <f>EarningsPerDay[[#This Row],[Miles]]/EarningsPerDay[[#This Row],[Deliveries]]</f>
        <v>10.8</v>
      </c>
      <c r="Z796" s="81">
        <f>(EarningsPerDay[[#This Row],[Hours]]/EarningsPerDay[[#This Row],[Deliveries]])/24</f>
        <v>1.7462384259259261E-2</v>
      </c>
      <c r="AA79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20.379553756246651</v>
      </c>
      <c r="AB796" s="11">
        <f>AVERAGEIFS(EarningsPerDay[Gross $/Hour],EarningsPerDay[Week '#], EarningsPerDay[[#This Row],[Week '#]], EarningsPerDay[DOW], EarningsPerDay[[#This Row],[DOW]])</f>
        <v>23.655376691383267</v>
      </c>
      <c r="AC796" s="11">
        <f>EarningsPerDay[[#This Row],[Gross $/Hour]] - EarningsPerDay[[#This Row],[Weekly Average Earnings]]</f>
        <v>11.670555371582765</v>
      </c>
      <c r="AD796" s="11">
        <f>(SUMIFS(EarningsPerDay[Gross Earnings], EarningsPerDay[Date],"&gt;="&amp;EarningsPerDay[[#This Row],[Date]]-89, EarningsPerDay[Date], "&lt;="&amp;EarningsPerDay[[#This Row],[Date]]))/90</f>
        <v>70.012333333333302</v>
      </c>
    </row>
    <row r="797" spans="2:30" x14ac:dyDescent="0.35">
      <c r="B797" s="40">
        <v>45924</v>
      </c>
      <c r="C797" s="40">
        <f t="shared" si="106"/>
        <v>45924</v>
      </c>
      <c r="D797" s="4">
        <f>IF(EarningsPerDay[[#This Row],[Week '#]]&gt;=52,YEAR(EarningsPerDay[[#This Row],[Date]])-1,YEAR(EarningsPerDay[[#This Row],[Date]]))</f>
        <v>2025</v>
      </c>
      <c r="E797" s="4" t="str">
        <f>"QTR"&amp;IF(EarningsPerDay[[#This Row],[Week '#]] &lt;= 13, 1, IF(EarningsPerDay[[#This Row],[Week '#]] &lt;= 26, 2, IF(EarningsPerDay[[#This Row],[Week '#]] &lt;= 39, 3, 4)))</f>
        <v>QTR3</v>
      </c>
      <c r="F79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97" s="4">
        <f>IF(WEEKNUM(EarningsPerDay[[#This Row],[Date]], 2) = 53, 1, WEEKNUM(EarningsPerDay[[#This Row],[Date]],2))</f>
        <v>39</v>
      </c>
      <c r="H797" s="40" t="str">
        <f>TEXT(B797,"DDDD")</f>
        <v>Wednesday</v>
      </c>
      <c r="I79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797" s="40" t="str" cm="1">
        <f t="array" ref="J797">IFERROR(VLOOKUP(MODE(IF(Combined[Date]=EarningsPerDay[[#This Row],[Date]],Combined[Area '#])),KPIs!$B$4:$C$7,2,FALSE),VLOOKUP(EarningsPerDay[[#This Row],[Date]],Combined[[Date]:[Primary Area]],8,FALSE))</f>
        <v>Brunswick/Bath/Freeport</v>
      </c>
      <c r="K797" s="40" t="str">
        <f>_xlfn.XLOOKUP(EarningsPerDay[[#This Row],[Date]],Mileage[Date],Mileage[Weather])</f>
        <v>Overcast</v>
      </c>
      <c r="L797" s="4">
        <f>_xlfn.XLOOKUP(EarningsPerDay[[#This Row],[Date]],Mileage[Date],Mileage[Hi Temp])</f>
        <v>61</v>
      </c>
      <c r="M797" s="12">
        <f>_xlfn.XLOOKUP(EarningsPerDay[[#This Row],[Date]],Mileage[Date],Mileage[Total Time])</f>
        <v>7.15</v>
      </c>
      <c r="N797" s="4">
        <f>_xlfn.XLOOKUP(EarningsPerDay[[#This Row],[Date]],Mileage[Date],Mileage[Mileage])</f>
        <v>143</v>
      </c>
      <c r="O797" s="4">
        <f>SUMIF(Combined[Date],EarningsPerDay[[#This Row],[Date]],Combined[Trips])</f>
        <v>12</v>
      </c>
      <c r="P797">
        <f>COUNTIF(Combined[Date],EarningsPerDay[[#This Row],[Date]])</f>
        <v>3</v>
      </c>
      <c r="Q79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7" s="11">
        <f>SUMIF(Combined[Date],EarningsPerDay[[#This Row],[Date]],Combined[Earnings])</f>
        <v>157.44999999999999</v>
      </c>
      <c r="S797" s="11">
        <f ca="1">EarningsPerDay[[#This Row],[Gross Earnings]]-(EarningsPerDay[[#This Row],[Miles]]*CpM!$D$11)</f>
        <v>125.56484775415541</v>
      </c>
      <c r="T797" s="11">
        <f t="shared" si="108"/>
        <v>22.02097902097902</v>
      </c>
      <c r="U797" s="11">
        <f t="shared" ca="1" si="109"/>
        <v>17.561517168413342</v>
      </c>
      <c r="V797" s="11">
        <f>EarningsPerDay[[#This Row],[Gross Earnings]]/EarningsPerDay[[#This Row],[Deliveries]]</f>
        <v>13.120833333333332</v>
      </c>
      <c r="W797" s="11">
        <f>EarningsPerDay[[#This Row],[Gross Earnings]]/EarningsPerDay[[#This Row],[Miles]]</f>
        <v>1.101048951048951</v>
      </c>
      <c r="X797" s="71">
        <f>EarningsPerDay[[#This Row],[Deliveries]]/EarningsPerDay[[#This Row],[Hours]]</f>
        <v>1.6783216783216783</v>
      </c>
      <c r="Y797" s="71">
        <f>EarningsPerDay[[#This Row],[Miles]]/EarningsPerDay[[#This Row],[Deliveries]]</f>
        <v>11.916666666666666</v>
      </c>
      <c r="Z797" s="81">
        <f>(EarningsPerDay[[#This Row],[Hours]]/EarningsPerDay[[#This Row],[Deliveries]])/24</f>
        <v>2.4826388888888887E-2</v>
      </c>
      <c r="AA79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-1.5828498275171121</v>
      </c>
      <c r="AB797" s="11">
        <f>AVERAGEIFS(EarningsPerDay[Gross $/Hour],EarningsPerDay[Week '#], EarningsPerDay[[#This Row],[Week '#]], EarningsPerDay[DOW], EarningsPerDay[[#This Row],[DOW]])</f>
        <v>19.08452701313605</v>
      </c>
      <c r="AC797" s="11">
        <f>EarningsPerDay[[#This Row],[Gross $/Hour]] - EarningsPerDay[[#This Row],[Weekly Average Earnings]]</f>
        <v>2.9364520078429699</v>
      </c>
      <c r="AD797" s="11">
        <f>(SUMIFS(EarningsPerDay[Gross Earnings], EarningsPerDay[Date],"&gt;="&amp;EarningsPerDay[[#This Row],[Date]]-89, EarningsPerDay[Date], "&lt;="&amp;EarningsPerDay[[#This Row],[Date]]))/90</f>
        <v>71.761777777777738</v>
      </c>
    </row>
    <row r="798" spans="2:30" x14ac:dyDescent="0.35">
      <c r="B798" s="40">
        <v>45926</v>
      </c>
      <c r="C798" s="40">
        <f t="shared" si="106"/>
        <v>45926</v>
      </c>
      <c r="D798" s="4">
        <f>IF(EarningsPerDay[[#This Row],[Week '#]]&gt;=52,YEAR(EarningsPerDay[[#This Row],[Date]])-1,YEAR(EarningsPerDay[[#This Row],[Date]]))</f>
        <v>2025</v>
      </c>
      <c r="E798" s="4" t="str">
        <f>"QTR"&amp;IF(EarningsPerDay[[#This Row],[Week '#]] &lt;= 13, 1, IF(EarningsPerDay[[#This Row],[Week '#]] &lt;= 26, 2, IF(EarningsPerDay[[#This Row],[Week '#]] &lt;= 39, 3, 4)))</f>
        <v>QTR3</v>
      </c>
      <c r="F79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98" s="4">
        <f>IF(WEEKNUM(EarningsPerDay[[#This Row],[Date]], 2) = 53, 1, WEEKNUM(EarningsPerDay[[#This Row],[Date]],2))</f>
        <v>39</v>
      </c>
      <c r="H798" s="40" t="str">
        <f>TEXT(B798,"DDDD")</f>
        <v>Friday</v>
      </c>
      <c r="I798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798" s="40" t="str" cm="1">
        <f t="array" ref="J798">IFERROR(VLOOKUP(MODE(IF(Combined[Date]=EarningsPerDay[[#This Row],[Date]],Combined[Area '#])),KPIs!$B$4:$C$7,2,FALSE),VLOOKUP(EarningsPerDay[[#This Row],[Date]],Combined[[Date]:[Primary Area]],8,FALSE))</f>
        <v>Brunswick/Bath/Freeport</v>
      </c>
      <c r="K798" s="40" t="str">
        <f>_xlfn.XLOOKUP(EarningsPerDay[[#This Row],[Date]],Mileage[Date],Mileage[Weather])</f>
        <v>Partially Cloudy</v>
      </c>
      <c r="L798" s="4">
        <f>_xlfn.XLOOKUP(EarningsPerDay[[#This Row],[Date]],Mileage[Date],Mileage[Hi Temp])</f>
        <v>73</v>
      </c>
      <c r="M798" s="12">
        <f>_xlfn.XLOOKUP(EarningsPerDay[[#This Row],[Date]],Mileage[Date],Mileage[Total Time])</f>
        <v>5.63</v>
      </c>
      <c r="N798" s="4">
        <f>_xlfn.XLOOKUP(EarningsPerDay[[#This Row],[Date]],Mileage[Date],Mileage[Mileage])</f>
        <v>155</v>
      </c>
      <c r="O798" s="4">
        <f>SUMIF(Combined[Date],EarningsPerDay[[#This Row],[Date]],Combined[Trips])</f>
        <v>9</v>
      </c>
      <c r="P798">
        <f>COUNTIF(Combined[Date],EarningsPerDay[[#This Row],[Date]])</f>
        <v>2</v>
      </c>
      <c r="Q79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798" s="11">
        <f>SUMIF(Combined[Date],EarningsPerDay[[#This Row],[Date]],Combined[Earnings])</f>
        <v>121.27</v>
      </c>
      <c r="S798" s="11">
        <f ca="1">EarningsPerDay[[#This Row],[Gross Earnings]]-(EarningsPerDay[[#This Row],[Miles]]*CpM!$D$11)</f>
        <v>86.709170642616002</v>
      </c>
      <c r="T798" s="11">
        <f t="shared" si="108"/>
        <v>21.539964476021314</v>
      </c>
      <c r="U798" s="11">
        <f t="shared" ca="1" si="109"/>
        <v>15.401273648777265</v>
      </c>
      <c r="V798" s="11">
        <f>EarningsPerDay[[#This Row],[Gross Earnings]]/EarningsPerDay[[#This Row],[Deliveries]]</f>
        <v>13.474444444444444</v>
      </c>
      <c r="W798" s="11">
        <f>EarningsPerDay[[#This Row],[Gross Earnings]]/EarningsPerDay[[#This Row],[Miles]]</f>
        <v>0.78238709677419349</v>
      </c>
      <c r="X798" s="71">
        <f>EarningsPerDay[[#This Row],[Deliveries]]/EarningsPerDay[[#This Row],[Hours]]</f>
        <v>1.5985790408525755</v>
      </c>
      <c r="Y798" s="71">
        <f>EarningsPerDay[[#This Row],[Miles]]/EarningsPerDay[[#This Row],[Deliveries]]</f>
        <v>17.222222222222221</v>
      </c>
      <c r="Z798" s="81">
        <f>(EarningsPerDay[[#This Row],[Hours]]/EarningsPerDay[[#This Row],[Deliveries]])/24</f>
        <v>2.6064814814814815E-2</v>
      </c>
      <c r="AA79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-0.63601611716318374</v>
      </c>
      <c r="AB798" s="11">
        <f>AVERAGEIFS(EarningsPerDay[Gross $/Hour],EarningsPerDay[Week '#], EarningsPerDay[[#This Row],[Week '#]], EarningsPerDay[DOW], EarningsPerDay[[#This Row],[DOW]])</f>
        <v>26.595370713059737</v>
      </c>
      <c r="AC798" s="11">
        <f>EarningsPerDay[[#This Row],[Gross $/Hour]] - EarningsPerDay[[#This Row],[Weekly Average Earnings]]</f>
        <v>-5.0554062370384223</v>
      </c>
      <c r="AD798" s="11">
        <f>(SUMIFS(EarningsPerDay[Gross Earnings], EarningsPerDay[Date],"&gt;="&amp;EarningsPerDay[[#This Row],[Date]]-89, EarningsPerDay[Date], "&lt;="&amp;EarningsPerDay[[#This Row],[Date]]))/90</f>
        <v>70.412777777777748</v>
      </c>
    </row>
    <row r="799" spans="2:30" x14ac:dyDescent="0.35">
      <c r="B799" s="40">
        <v>45927</v>
      </c>
      <c r="C799" s="40">
        <f t="shared" si="106"/>
        <v>45927</v>
      </c>
      <c r="D799" s="4">
        <f>IF(EarningsPerDay[[#This Row],[Week '#]]&gt;=52,YEAR(EarningsPerDay[[#This Row],[Date]])-1,YEAR(EarningsPerDay[[#This Row],[Date]]))</f>
        <v>2025</v>
      </c>
      <c r="E799" s="4" t="str">
        <f>"QTR"&amp;IF(EarningsPerDay[[#This Row],[Week '#]] &lt;= 13, 1, IF(EarningsPerDay[[#This Row],[Week '#]] &lt;= 26, 2, IF(EarningsPerDay[[#This Row],[Week '#]] &lt;= 39, 3, 4)))</f>
        <v>QTR3</v>
      </c>
      <c r="F79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799" s="4">
        <f>IF(WEEKNUM(EarningsPerDay[[#This Row],[Date]], 2) = 53, 1, WEEKNUM(EarningsPerDay[[#This Row],[Date]],2))</f>
        <v>39</v>
      </c>
      <c r="H799" s="40" t="str">
        <f>TEXT(B799,"DDDD")</f>
        <v>Saturday</v>
      </c>
      <c r="I799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799" s="40" t="str" cm="1">
        <f t="array" ref="J799">IFERROR(VLOOKUP(MODE(IF(Combined[Date]=EarningsPerDay[[#This Row],[Date]],Combined[Area '#])),KPIs!$B$4:$C$7,2,FALSE),VLOOKUP(EarningsPerDay[[#This Row],[Date]],Combined[[Date]:[Primary Area]],8,FALSE))</f>
        <v>Brunswick/Bath/Freeport</v>
      </c>
      <c r="K799" s="40" t="str">
        <f>_xlfn.XLOOKUP(EarningsPerDay[[#This Row],[Date]],Mileage[Date],Mileage[Weather])</f>
        <v>Clear</v>
      </c>
      <c r="L799" s="4">
        <f>_xlfn.XLOOKUP(EarningsPerDay[[#This Row],[Date]],Mileage[Date],Mileage[Hi Temp])</f>
        <v>66</v>
      </c>
      <c r="M799" s="12">
        <f>_xlfn.XLOOKUP(EarningsPerDay[[#This Row],[Date]],Mileage[Date],Mileage[Total Time])</f>
        <v>7.47</v>
      </c>
      <c r="N799" s="4">
        <f>_xlfn.XLOOKUP(EarningsPerDay[[#This Row],[Date]],Mileage[Date],Mileage[Mileage])</f>
        <v>197</v>
      </c>
      <c r="O799" s="4">
        <f>SUMIF(Combined[Date],EarningsPerDay[[#This Row],[Date]],Combined[Trips])</f>
        <v>16</v>
      </c>
      <c r="P799">
        <f>COUNTIF(Combined[Date],EarningsPerDay[[#This Row],[Date]])</f>
        <v>3</v>
      </c>
      <c r="Q79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799" s="11">
        <f>SUMIF(Combined[Date],EarningsPerDay[[#This Row],[Date]],Combined[Earnings])</f>
        <v>234.46000000000004</v>
      </c>
      <c r="S799" s="11">
        <f ca="1">EarningsPerDay[[#This Row],[Gross Earnings]]-(EarningsPerDay[[#This Row],[Miles]]*CpM!$D$11)</f>
        <v>190.53430075222812</v>
      </c>
      <c r="T799" s="11">
        <f t="shared" si="108"/>
        <v>31.386880856760381</v>
      </c>
      <c r="U799" s="11">
        <f t="shared" ca="1" si="109"/>
        <v>25.506599832962266</v>
      </c>
      <c r="V799" s="11">
        <f>EarningsPerDay[[#This Row],[Gross Earnings]]/EarningsPerDay[[#This Row],[Deliveries]]</f>
        <v>14.653750000000002</v>
      </c>
      <c r="W799" s="11">
        <f>EarningsPerDay[[#This Row],[Gross Earnings]]/EarningsPerDay[[#This Row],[Miles]]</f>
        <v>1.1901522842639596</v>
      </c>
      <c r="X799" s="71">
        <f>EarningsPerDay[[#This Row],[Deliveries]]/EarningsPerDay[[#This Row],[Hours]]</f>
        <v>2.14190093708166</v>
      </c>
      <c r="Y799" s="71">
        <f>EarningsPerDay[[#This Row],[Miles]]/EarningsPerDay[[#This Row],[Deliveries]]</f>
        <v>12.3125</v>
      </c>
      <c r="Z799" s="81">
        <f>(EarningsPerDay[[#This Row],[Hours]]/EarningsPerDay[[#This Row],[Deliveries]])/24</f>
        <v>1.9453124999999998E-2</v>
      </c>
      <c r="AA79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12.044163814011117</v>
      </c>
      <c r="AB799" s="11">
        <f>AVERAGEIFS(EarningsPerDay[Gross $/Hour],EarningsPerDay[Week '#], EarningsPerDay[[#This Row],[Week '#]], EarningsPerDay[DOW], EarningsPerDay[[#This Row],[DOW]])</f>
        <v>26.218122565395614</v>
      </c>
      <c r="AC799" s="11">
        <f>EarningsPerDay[[#This Row],[Gross $/Hour]] - EarningsPerDay[[#This Row],[Weekly Average Earnings]]</f>
        <v>5.1687582913647674</v>
      </c>
      <c r="AD799" s="11">
        <f>(SUMIFS(EarningsPerDay[Gross Earnings], EarningsPerDay[Date],"&gt;="&amp;EarningsPerDay[[#This Row],[Date]]-89, EarningsPerDay[Date], "&lt;="&amp;EarningsPerDay[[#This Row],[Date]]))/90</f>
        <v>72.138222222222197</v>
      </c>
    </row>
    <row r="800" spans="2:30" x14ac:dyDescent="0.35">
      <c r="B800" s="40">
        <v>45929</v>
      </c>
      <c r="C800" s="40">
        <f t="shared" si="106"/>
        <v>45929</v>
      </c>
      <c r="D800" s="4">
        <f>IF(EarningsPerDay[[#This Row],[Week '#]]&gt;=52,YEAR(EarningsPerDay[[#This Row],[Date]])-1,YEAR(EarningsPerDay[[#This Row],[Date]]))</f>
        <v>2025</v>
      </c>
      <c r="E800" s="4" t="str">
        <f>"QTR"&amp;IF(EarningsPerDay[[#This Row],[Week '#]] &lt;= 13, 1, IF(EarningsPerDay[[#This Row],[Week '#]] &lt;= 26, 2, IF(EarningsPerDay[[#This Row],[Week '#]] &lt;= 39, 3, 4)))</f>
        <v>QTR4</v>
      </c>
      <c r="F80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0" s="4">
        <f>IF(WEEKNUM(EarningsPerDay[[#This Row],[Date]], 2) = 53, 1, WEEKNUM(EarningsPerDay[[#This Row],[Date]],2))</f>
        <v>40</v>
      </c>
      <c r="H800" s="40" t="str">
        <f t="shared" ref="H800:H801" si="115">TEXT(B800,"DDDD")</f>
        <v>Monday</v>
      </c>
      <c r="I80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00" s="40" t="str" cm="1">
        <f t="array" ref="J800">IFERROR(VLOOKUP(MODE(IF(Combined[Date]=EarningsPerDay[[#This Row],[Date]],Combined[Area '#])),KPIs!$B$4:$C$7,2,FALSE),VLOOKUP(EarningsPerDay[[#This Row],[Date]],Combined[[Date]:[Primary Area]],8,FALSE))</f>
        <v>Brunswick/Bath/Freeport</v>
      </c>
      <c r="K800" s="40" t="str">
        <f>_xlfn.XLOOKUP(EarningsPerDay[[#This Row],[Date]],Mileage[Date],Mileage[Weather])</f>
        <v>Clear</v>
      </c>
      <c r="L800" s="4">
        <f>_xlfn.XLOOKUP(EarningsPerDay[[#This Row],[Date]],Mileage[Date],Mileage[Hi Temp])</f>
        <v>72</v>
      </c>
      <c r="M800" s="12">
        <f>_xlfn.XLOOKUP(EarningsPerDay[[#This Row],[Date]],Mileage[Date],Mileage[Total Time])</f>
        <v>3.95</v>
      </c>
      <c r="N800" s="4">
        <f>_xlfn.XLOOKUP(EarningsPerDay[[#This Row],[Date]],Mileage[Date],Mileage[Mileage])</f>
        <v>105</v>
      </c>
      <c r="O800" s="4">
        <f>SUMIF(Combined[Date],EarningsPerDay[[#This Row],[Date]],Combined[Trips])</f>
        <v>9</v>
      </c>
      <c r="P800">
        <f>COUNTIF(Combined[Date],EarningsPerDay[[#This Row],[Date]])</f>
        <v>3</v>
      </c>
      <c r="Q80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0" s="11">
        <f>SUMIF(Combined[Date],EarningsPerDay[[#This Row],[Date]],Combined[Earnings])</f>
        <v>113.99</v>
      </c>
      <c r="S800" s="11">
        <f ca="1">EarningsPerDay[[#This Row],[Gross Earnings]]-(EarningsPerDay[[#This Row],[Miles]]*CpM!$D$11)</f>
        <v>90.577825274030189</v>
      </c>
      <c r="T800" s="11">
        <f t="shared" si="108"/>
        <v>28.858227848101262</v>
      </c>
      <c r="U800" s="11">
        <f t="shared" ca="1" si="109"/>
        <v>22.931095006083591</v>
      </c>
      <c r="V800" s="11">
        <f>EarningsPerDay[[#This Row],[Gross Earnings]]/EarningsPerDay[[#This Row],[Deliveries]]</f>
        <v>12.665555555555555</v>
      </c>
      <c r="W800" s="11">
        <f>EarningsPerDay[[#This Row],[Gross Earnings]]/EarningsPerDay[[#This Row],[Miles]]</f>
        <v>1.0856190476190475</v>
      </c>
      <c r="X800" s="71">
        <f>EarningsPerDay[[#This Row],[Deliveries]]/EarningsPerDay[[#This Row],[Hours]]</f>
        <v>2.2784810126582276</v>
      </c>
      <c r="Y800" s="71">
        <f>EarningsPerDay[[#This Row],[Miles]]/EarningsPerDay[[#This Row],[Deliveries]]</f>
        <v>11.666666666666666</v>
      </c>
      <c r="Z800" s="81">
        <f>(EarningsPerDay[[#This Row],[Hours]]/EarningsPerDay[[#This Row],[Deliveries]])/24</f>
        <v>1.8287037037037036E-2</v>
      </c>
      <c r="AA80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3.4217055261249172</v>
      </c>
      <c r="AB800" s="11">
        <f>AVERAGEIFS(EarningsPerDay[Gross $/Hour],EarningsPerDay[Week '#], EarningsPerDay[[#This Row],[Week '#]], EarningsPerDay[DOW], EarningsPerDay[[#This Row],[DOW]])</f>
        <v>24.06211505700087</v>
      </c>
      <c r="AC800" s="11">
        <f>EarningsPerDay[[#This Row],[Gross $/Hour]] - EarningsPerDay[[#This Row],[Weekly Average Earnings]]</f>
        <v>4.7961127911003913</v>
      </c>
      <c r="AD800" s="11">
        <f>(SUMIFS(EarningsPerDay[Gross Earnings], EarningsPerDay[Date],"&gt;="&amp;EarningsPerDay[[#This Row],[Date]]-89, EarningsPerDay[Date], "&lt;="&amp;EarningsPerDay[[#This Row],[Date]]))/90</f>
        <v>70.395888888888862</v>
      </c>
    </row>
    <row r="801" spans="2:30" x14ac:dyDescent="0.35">
      <c r="B801" s="40">
        <v>45930</v>
      </c>
      <c r="C801" s="40">
        <f t="shared" si="106"/>
        <v>45930</v>
      </c>
      <c r="D801" s="4">
        <f>IF(EarningsPerDay[[#This Row],[Week '#]]&gt;=52,YEAR(EarningsPerDay[[#This Row],[Date]])-1,YEAR(EarningsPerDay[[#This Row],[Date]]))</f>
        <v>2025</v>
      </c>
      <c r="E801" s="4" t="str">
        <f>"QTR"&amp;IF(EarningsPerDay[[#This Row],[Week '#]] &lt;= 13, 1, IF(EarningsPerDay[[#This Row],[Week '#]] &lt;= 26, 2, IF(EarningsPerDay[[#This Row],[Week '#]] &lt;= 39, 3, 4)))</f>
        <v>QTR4</v>
      </c>
      <c r="F80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1" s="4">
        <f>IF(WEEKNUM(EarningsPerDay[[#This Row],[Date]], 2) = 53, 1, WEEKNUM(EarningsPerDay[[#This Row],[Date]],2))</f>
        <v>40</v>
      </c>
      <c r="H801" s="40" t="str">
        <f t="shared" si="115"/>
        <v>Tuesday</v>
      </c>
      <c r="I80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01" s="40" t="str" cm="1">
        <f t="array" ref="J801">IFERROR(VLOOKUP(MODE(IF(Combined[Date]=EarningsPerDay[[#This Row],[Date]],Combined[Area '#])),KPIs!$B$4:$C$7,2,FALSE),VLOOKUP(EarningsPerDay[[#This Row],[Date]],Combined[[Date]:[Primary Area]],8,FALSE))</f>
        <v>Brunswick/Bath/Freeport</v>
      </c>
      <c r="K801" s="40" t="str">
        <f>_xlfn.XLOOKUP(EarningsPerDay[[#This Row],[Date]],Mileage[Date],Mileage[Weather])</f>
        <v>Clear</v>
      </c>
      <c r="L801" s="4">
        <f>_xlfn.XLOOKUP(EarningsPerDay[[#This Row],[Date]],Mileage[Date],Mileage[Hi Temp])</f>
        <v>64</v>
      </c>
      <c r="M801" s="12">
        <f>_xlfn.XLOOKUP(EarningsPerDay[[#This Row],[Date]],Mileage[Date],Mileage[Total Time])</f>
        <v>0.98</v>
      </c>
      <c r="N801" s="4">
        <f>_xlfn.XLOOKUP(EarningsPerDay[[#This Row],[Date]],Mileage[Date],Mileage[Mileage])</f>
        <v>27</v>
      </c>
      <c r="O801" s="4">
        <f>SUMIF(Combined[Date],EarningsPerDay[[#This Row],[Date]],Combined[Trips])</f>
        <v>1</v>
      </c>
      <c r="P801">
        <f>COUNTIF(Combined[Date],EarningsPerDay[[#This Row],[Date]])</f>
        <v>1</v>
      </c>
      <c r="Q80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1" s="11">
        <f>SUMIF(Combined[Date],EarningsPerDay[[#This Row],[Date]],Combined[Earnings])</f>
        <v>37</v>
      </c>
      <c r="S801" s="11">
        <f ca="1">EarningsPerDay[[#This Row],[Gross Earnings]]-(EarningsPerDay[[#This Row],[Miles]]*CpM!$D$11)</f>
        <v>30.979726499036339</v>
      </c>
      <c r="T801" s="11">
        <f t="shared" si="108"/>
        <v>37.755102040816325</v>
      </c>
      <c r="U801" s="11">
        <f t="shared" ca="1" si="109"/>
        <v>31.611965815343204</v>
      </c>
      <c r="V801" s="11">
        <f>EarningsPerDay[[#This Row],[Gross Earnings]]/EarningsPerDay[[#This Row],[Deliveries]]</f>
        <v>37</v>
      </c>
      <c r="W801" s="11">
        <f>EarningsPerDay[[#This Row],[Gross Earnings]]/EarningsPerDay[[#This Row],[Miles]]</f>
        <v>1.3703703703703705</v>
      </c>
      <c r="X801" s="71">
        <f>EarningsPerDay[[#This Row],[Deliveries]]/EarningsPerDay[[#This Row],[Hours]]</f>
        <v>1.0204081632653061</v>
      </c>
      <c r="Y801" s="71">
        <f>EarningsPerDay[[#This Row],[Miles]]/EarningsPerDay[[#This Row],[Deliveries]]</f>
        <v>27</v>
      </c>
      <c r="Z801" s="81">
        <f>(EarningsPerDay[[#This Row],[Hours]]/EarningsPerDay[[#This Row],[Deliveries]])/24</f>
        <v>4.0833333333333333E-2</v>
      </c>
      <c r="AA80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13.642144944687296</v>
      </c>
      <c r="AB801" s="11">
        <f>AVERAGEIFS(EarningsPerDay[Gross $/Hour],EarningsPerDay[Week '#], EarningsPerDay[[#This Row],[Week '#]], EarningsPerDay[DOW], EarningsPerDay[[#This Row],[DOW]])</f>
        <v>21.837681604110177</v>
      </c>
      <c r="AC801" s="11">
        <f>EarningsPerDay[[#This Row],[Gross $/Hour]] - EarningsPerDay[[#This Row],[Weekly Average Earnings]]</f>
        <v>15.917420436706148</v>
      </c>
      <c r="AD801" s="11">
        <f>(SUMIFS(EarningsPerDay[Gross Earnings], EarningsPerDay[Date],"&gt;="&amp;EarningsPerDay[[#This Row],[Date]]-89, EarningsPerDay[Date], "&lt;="&amp;EarningsPerDay[[#This Row],[Date]]))/90</f>
        <v>69.70577777777774</v>
      </c>
    </row>
    <row r="802" spans="2:30" x14ac:dyDescent="0.35">
      <c r="B802" s="40">
        <v>45931</v>
      </c>
      <c r="C802" s="40">
        <f t="shared" si="106"/>
        <v>45931</v>
      </c>
      <c r="D802" s="4">
        <f>IF(EarningsPerDay[[#This Row],[Week '#]]&gt;=52,YEAR(EarningsPerDay[[#This Row],[Date]])-1,YEAR(EarningsPerDay[[#This Row],[Date]]))</f>
        <v>2025</v>
      </c>
      <c r="E802" s="4" t="str">
        <f>"QTR"&amp;IF(EarningsPerDay[[#This Row],[Week '#]] &lt;= 13, 1, IF(EarningsPerDay[[#This Row],[Week '#]] &lt;= 26, 2, IF(EarningsPerDay[[#This Row],[Week '#]] &lt;= 39, 3, 4)))</f>
        <v>QTR4</v>
      </c>
      <c r="F80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2" s="4">
        <f>IF(WEEKNUM(EarningsPerDay[[#This Row],[Date]], 2) = 53, 1, WEEKNUM(EarningsPerDay[[#This Row],[Date]],2))</f>
        <v>40</v>
      </c>
      <c r="H802" s="40" t="str">
        <f t="shared" ref="H802:H807" si="116">TEXT(B802,"DDDD")</f>
        <v>Wednesday</v>
      </c>
      <c r="I80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02" s="40" t="str" cm="1">
        <f t="array" ref="J802">IFERROR(VLOOKUP(MODE(IF(Combined[Date]=EarningsPerDay[[#This Row],[Date]],Combined[Area '#])),KPIs!$B$4:$C$7,2,FALSE),VLOOKUP(EarningsPerDay[[#This Row],[Date]],Combined[[Date]:[Primary Area]],8,FALSE))</f>
        <v>Brunswick/Bath/Freeport</v>
      </c>
      <c r="K802" s="40" t="str">
        <f>_xlfn.XLOOKUP(EarningsPerDay[[#This Row],[Date]],Mileage[Date],Mileage[Weather])</f>
        <v>Clear</v>
      </c>
      <c r="L802" s="4">
        <f>_xlfn.XLOOKUP(EarningsPerDay[[#This Row],[Date]],Mileage[Date],Mileage[Hi Temp])</f>
        <v>64</v>
      </c>
      <c r="M802" s="12">
        <f>_xlfn.XLOOKUP(EarningsPerDay[[#This Row],[Date]],Mileage[Date],Mileage[Total Time])</f>
        <v>6.48</v>
      </c>
      <c r="N802" s="4">
        <f>_xlfn.XLOOKUP(EarningsPerDay[[#This Row],[Date]],Mileage[Date],Mileage[Mileage])</f>
        <v>191</v>
      </c>
      <c r="O802" s="4">
        <f>SUMIF(Combined[Date],EarningsPerDay[[#This Row],[Date]],Combined[Trips])</f>
        <v>7</v>
      </c>
      <c r="P802">
        <f>COUNTIF(Combined[Date],EarningsPerDay[[#This Row],[Date]])</f>
        <v>3</v>
      </c>
      <c r="Q80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02" s="11">
        <f>SUMIF(Combined[Date],EarningsPerDay[[#This Row],[Date]],Combined[Earnings])</f>
        <v>165.25</v>
      </c>
      <c r="S802" s="11">
        <f ca="1">EarningsPerDay[[#This Row],[Gross Earnings]]-(EarningsPerDay[[#This Row],[Miles]]*CpM!$D$11)</f>
        <v>122.66213930799779</v>
      </c>
      <c r="T802" s="11">
        <f t="shared" si="108"/>
        <v>25.501543209876541</v>
      </c>
      <c r="U802" s="11">
        <f t="shared" ca="1" si="109"/>
        <v>18.929342485802128</v>
      </c>
      <c r="V802" s="11">
        <f>EarningsPerDay[[#This Row],[Gross Earnings]]/EarningsPerDay[[#This Row],[Deliveries]]</f>
        <v>23.607142857142858</v>
      </c>
      <c r="W802" s="11">
        <f>EarningsPerDay[[#This Row],[Gross Earnings]]/EarningsPerDay[[#This Row],[Miles]]</f>
        <v>0.86518324607329844</v>
      </c>
      <c r="X802" s="71">
        <f>EarningsPerDay[[#This Row],[Deliveries]]/EarningsPerDay[[#This Row],[Hours]]</f>
        <v>1.0802469135802468</v>
      </c>
      <c r="Y802" s="71">
        <f>EarningsPerDay[[#This Row],[Miles]]/EarningsPerDay[[#This Row],[Deliveries]]</f>
        <v>27.285714285714285</v>
      </c>
      <c r="Z802" s="81">
        <f>(EarningsPerDay[[#This Row],[Hours]]/EarningsPerDay[[#This Row],[Deliveries]])/24</f>
        <v>3.8571428571428576E-2</v>
      </c>
      <c r="AA80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2.4157656152642772</v>
      </c>
      <c r="AB802" s="11">
        <f>AVERAGEIFS(EarningsPerDay[Gross $/Hour],EarningsPerDay[Week '#], EarningsPerDay[[#This Row],[Week '#]], EarningsPerDay[DOW], EarningsPerDay[[#This Row],[DOW]])</f>
        <v>22.445740158397388</v>
      </c>
      <c r="AC802" s="11">
        <f>EarningsPerDay[[#This Row],[Gross $/Hour]] - EarningsPerDay[[#This Row],[Weekly Average Earnings]]</f>
        <v>3.0558030514791525</v>
      </c>
      <c r="AD802" s="11">
        <f>(SUMIFS(EarningsPerDay[Gross Earnings], EarningsPerDay[Date],"&gt;="&amp;EarningsPerDay[[#This Row],[Date]]-89, EarningsPerDay[Date], "&lt;="&amp;EarningsPerDay[[#This Row],[Date]]))/90</f>
        <v>70.982666666666631</v>
      </c>
    </row>
    <row r="803" spans="2:30" x14ac:dyDescent="0.35">
      <c r="B803" s="40">
        <v>45932</v>
      </c>
      <c r="C803" s="40">
        <f t="shared" si="106"/>
        <v>45932</v>
      </c>
      <c r="D803" s="4">
        <f>IF(EarningsPerDay[[#This Row],[Week '#]]&gt;=52,YEAR(EarningsPerDay[[#This Row],[Date]])-1,YEAR(EarningsPerDay[[#This Row],[Date]]))</f>
        <v>2025</v>
      </c>
      <c r="E803" s="4" t="str">
        <f>"QTR"&amp;IF(EarningsPerDay[[#This Row],[Week '#]] &lt;= 13, 1, IF(EarningsPerDay[[#This Row],[Week '#]] &lt;= 26, 2, IF(EarningsPerDay[[#This Row],[Week '#]] &lt;= 39, 3, 4)))</f>
        <v>QTR4</v>
      </c>
      <c r="F80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3" s="4">
        <f>IF(WEEKNUM(EarningsPerDay[[#This Row],[Date]], 2) = 53, 1, WEEKNUM(EarningsPerDay[[#This Row],[Date]],2))</f>
        <v>40</v>
      </c>
      <c r="H803" s="40" t="str">
        <f t="shared" si="116"/>
        <v>Thursday</v>
      </c>
      <c r="I803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03" s="40" t="str" cm="1">
        <f t="array" ref="J803">IFERROR(VLOOKUP(MODE(IF(Combined[Date]=EarningsPerDay[[#This Row],[Date]],Combined[Area '#])),KPIs!$B$4:$C$7,2,FALSE),VLOOKUP(EarningsPerDay[[#This Row],[Date]],Combined[[Date]:[Primary Area]],8,FALSE))</f>
        <v>Augusta</v>
      </c>
      <c r="K803" s="40" t="str">
        <f>_xlfn.XLOOKUP(EarningsPerDay[[#This Row],[Date]],Mileage[Date],Mileage[Weather])</f>
        <v>Clear</v>
      </c>
      <c r="L803" s="4">
        <f>_xlfn.XLOOKUP(EarningsPerDay[[#This Row],[Date]],Mileage[Date],Mileage[Hi Temp])</f>
        <v>57</v>
      </c>
      <c r="M803" s="12">
        <f>_xlfn.XLOOKUP(EarningsPerDay[[#This Row],[Date]],Mileage[Date],Mileage[Total Time])</f>
        <v>2.58</v>
      </c>
      <c r="N803" s="4">
        <f>_xlfn.XLOOKUP(EarningsPerDay[[#This Row],[Date]],Mileage[Date],Mileage[Mileage])</f>
        <v>68</v>
      </c>
      <c r="O803" s="4">
        <f>SUMIF(Combined[Date],EarningsPerDay[[#This Row],[Date]],Combined[Trips])</f>
        <v>2</v>
      </c>
      <c r="P803">
        <f>COUNTIF(Combined[Date],EarningsPerDay[[#This Row],[Date]])</f>
        <v>2</v>
      </c>
      <c r="Q80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3" s="11">
        <f>SUMIF(Combined[Date],EarningsPerDay[[#This Row],[Date]],Combined[Earnings])</f>
        <v>31.44</v>
      </c>
      <c r="S803" s="11">
        <f ca="1">EarningsPerDay[[#This Row],[Gross Earnings]]-(EarningsPerDay[[#This Row],[Miles]]*CpM!$D$11)</f>
        <v>16.277829701276701</v>
      </c>
      <c r="T803" s="11">
        <f t="shared" si="108"/>
        <v>12.186046511627907</v>
      </c>
      <c r="U803" s="11">
        <f t="shared" ca="1" si="109"/>
        <v>6.3092363183243023</v>
      </c>
      <c r="V803" s="11">
        <f>EarningsPerDay[[#This Row],[Gross Earnings]]/EarningsPerDay[[#This Row],[Deliveries]]</f>
        <v>15.72</v>
      </c>
      <c r="W803" s="11">
        <f>EarningsPerDay[[#This Row],[Gross Earnings]]/EarningsPerDay[[#This Row],[Miles]]</f>
        <v>0.46235294117647063</v>
      </c>
      <c r="X803" s="71">
        <f>EarningsPerDay[[#This Row],[Deliveries]]/EarningsPerDay[[#This Row],[Hours]]</f>
        <v>0.77519379844961234</v>
      </c>
      <c r="Y803" s="71">
        <f>EarningsPerDay[[#This Row],[Miles]]/EarningsPerDay[[#This Row],[Deliveries]]</f>
        <v>34</v>
      </c>
      <c r="Z803" s="81">
        <f>(EarningsPerDay[[#This Row],[Hours]]/EarningsPerDay[[#This Row],[Deliveries]])/24</f>
        <v>5.3749999999999999E-2</v>
      </c>
      <c r="AA80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-6.434292471422939</v>
      </c>
      <c r="AB803" s="11">
        <f>AVERAGEIFS(EarningsPerDay[Gross $/Hour],EarningsPerDay[Week '#], EarningsPerDay[[#This Row],[Week '#]], EarningsPerDay[DOW], EarningsPerDay[[#This Row],[DOW]])</f>
        <v>15.797159782482936</v>
      </c>
      <c r="AC803" s="11">
        <f>EarningsPerDay[[#This Row],[Gross $/Hour]] - EarningsPerDay[[#This Row],[Weekly Average Earnings]]</f>
        <v>-3.6111132708550286</v>
      </c>
      <c r="AD803" s="11">
        <f>(SUMIFS(EarningsPerDay[Gross Earnings], EarningsPerDay[Date],"&gt;="&amp;EarningsPerDay[[#This Row],[Date]]-89, EarningsPerDay[Date], "&lt;="&amp;EarningsPerDay[[#This Row],[Date]]))/90</f>
        <v>71.331999999999965</v>
      </c>
    </row>
    <row r="804" spans="2:30" x14ac:dyDescent="0.35">
      <c r="B804" s="40">
        <v>45933</v>
      </c>
      <c r="C804" s="40">
        <f t="shared" si="106"/>
        <v>45933</v>
      </c>
      <c r="D804" s="4">
        <f>IF(EarningsPerDay[[#This Row],[Week '#]]&gt;=52,YEAR(EarningsPerDay[[#This Row],[Date]])-1,YEAR(EarningsPerDay[[#This Row],[Date]]))</f>
        <v>2025</v>
      </c>
      <c r="E804" s="4" t="str">
        <f>"QTR"&amp;IF(EarningsPerDay[[#This Row],[Week '#]] &lt;= 13, 1, IF(EarningsPerDay[[#This Row],[Week '#]] &lt;= 26, 2, IF(EarningsPerDay[[#This Row],[Week '#]] &lt;= 39, 3, 4)))</f>
        <v>QTR4</v>
      </c>
      <c r="F80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4" s="4">
        <f>IF(WEEKNUM(EarningsPerDay[[#This Row],[Date]], 2) = 53, 1, WEEKNUM(EarningsPerDay[[#This Row],[Date]],2))</f>
        <v>40</v>
      </c>
      <c r="H804" s="40" t="str">
        <f t="shared" si="116"/>
        <v>Friday</v>
      </c>
      <c r="I80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04" s="40" t="str" cm="1">
        <f t="array" ref="J804">IFERROR(VLOOKUP(MODE(IF(Combined[Date]=EarningsPerDay[[#This Row],[Date]],Combined[Area '#])),KPIs!$B$4:$C$7,2,FALSE),VLOOKUP(EarningsPerDay[[#This Row],[Date]],Combined[[Date]:[Primary Area]],8,FALSE))</f>
        <v>Brunswick/Bath/Freeport</v>
      </c>
      <c r="K804" s="40" t="str">
        <f>_xlfn.XLOOKUP(EarningsPerDay[[#This Row],[Date]],Mileage[Date],Mileage[Weather])</f>
        <v>Clear</v>
      </c>
      <c r="L804" s="4">
        <f>_xlfn.XLOOKUP(EarningsPerDay[[#This Row],[Date]],Mileage[Date],Mileage[Hi Temp])</f>
        <v>64</v>
      </c>
      <c r="M804" s="12">
        <f>_xlfn.XLOOKUP(EarningsPerDay[[#This Row],[Date]],Mileage[Date],Mileage[Total Time])</f>
        <v>7.28</v>
      </c>
      <c r="N804" s="4">
        <f>_xlfn.XLOOKUP(EarningsPerDay[[#This Row],[Date]],Mileage[Date],Mileage[Mileage])</f>
        <v>175</v>
      </c>
      <c r="O804" s="4">
        <f>SUMIF(Combined[Date],EarningsPerDay[[#This Row],[Date]],Combined[Trips])</f>
        <v>11</v>
      </c>
      <c r="P804">
        <f>COUNTIF(Combined[Date],EarningsPerDay[[#This Row],[Date]])</f>
        <v>3</v>
      </c>
      <c r="Q80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4" s="11">
        <f>SUMIF(Combined[Date],EarningsPerDay[[#This Row],[Date]],Combined[Earnings])</f>
        <v>244.64</v>
      </c>
      <c r="S804" s="11">
        <f ca="1">EarningsPerDay[[#This Row],[Gross Earnings]]-(EarningsPerDay[[#This Row],[Miles]]*CpM!$D$11)</f>
        <v>205.61970879005031</v>
      </c>
      <c r="T804" s="11">
        <f t="shared" si="108"/>
        <v>33.604395604395599</v>
      </c>
      <c r="U804" s="11">
        <f t="shared" ca="1" si="109"/>
        <v>28.24446549313878</v>
      </c>
      <c r="V804" s="11">
        <f>EarningsPerDay[[#This Row],[Gross Earnings]]/EarningsPerDay[[#This Row],[Deliveries]]</f>
        <v>22.24</v>
      </c>
      <c r="W804" s="11">
        <f>EarningsPerDay[[#This Row],[Gross Earnings]]/EarningsPerDay[[#This Row],[Miles]]</f>
        <v>1.3979428571428572</v>
      </c>
      <c r="X804" s="71">
        <f>EarningsPerDay[[#This Row],[Deliveries]]/EarningsPerDay[[#This Row],[Hours]]</f>
        <v>1.5109890109890109</v>
      </c>
      <c r="Y804" s="71">
        <f>EarningsPerDay[[#This Row],[Miles]]/EarningsPerDay[[#This Row],[Deliveries]]</f>
        <v>15.909090909090908</v>
      </c>
      <c r="Z804" s="81">
        <f>(EarningsPerDay[[#This Row],[Hours]]/EarningsPerDay[[#This Row],[Deliveries]])/24</f>
        <v>2.7575757575757576E-2</v>
      </c>
      <c r="AA80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9.5637805502477633</v>
      </c>
      <c r="AB804" s="11">
        <f>AVERAGEIFS(EarningsPerDay[Gross $/Hour],EarningsPerDay[Week '#], EarningsPerDay[[#This Row],[Week '#]], EarningsPerDay[DOW], EarningsPerDay[[#This Row],[DOW]])</f>
        <v>23.899665803545115</v>
      </c>
      <c r="AC804" s="11">
        <f>EarningsPerDay[[#This Row],[Gross $/Hour]] - EarningsPerDay[[#This Row],[Weekly Average Earnings]]</f>
        <v>9.7047298008504832</v>
      </c>
      <c r="AD804" s="11">
        <f>(SUMIFS(EarningsPerDay[Gross Earnings], EarningsPerDay[Date],"&gt;="&amp;EarningsPerDay[[#This Row],[Date]]-89, EarningsPerDay[Date], "&lt;="&amp;EarningsPerDay[[#This Row],[Date]]))/90</f>
        <v>74.050222222222189</v>
      </c>
    </row>
    <row r="805" spans="2:30" x14ac:dyDescent="0.35">
      <c r="B805" s="40">
        <v>45935</v>
      </c>
      <c r="C805" s="40">
        <f t="shared" si="106"/>
        <v>45935</v>
      </c>
      <c r="D805" s="4">
        <f>IF(EarningsPerDay[[#This Row],[Week '#]]&gt;=52,YEAR(EarningsPerDay[[#This Row],[Date]])-1,YEAR(EarningsPerDay[[#This Row],[Date]]))</f>
        <v>2025</v>
      </c>
      <c r="E805" s="4" t="str">
        <f>"QTR"&amp;IF(EarningsPerDay[[#This Row],[Week '#]] &lt;= 13, 1, IF(EarningsPerDay[[#This Row],[Week '#]] &lt;= 26, 2, IF(EarningsPerDay[[#This Row],[Week '#]] &lt;= 39, 3, 4)))</f>
        <v>QTR4</v>
      </c>
      <c r="F80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05" s="4">
        <f>IF(WEEKNUM(EarningsPerDay[[#This Row],[Date]], 2) = 53, 1, WEEKNUM(EarningsPerDay[[#This Row],[Date]],2))</f>
        <v>40</v>
      </c>
      <c r="H805" s="40" t="str">
        <f t="shared" si="116"/>
        <v>Sunday</v>
      </c>
      <c r="I805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05" s="40" t="str" cm="1">
        <f t="array" ref="J805">IFERROR(VLOOKUP(MODE(IF(Combined[Date]=EarningsPerDay[[#This Row],[Date]],Combined[Area '#])),KPIs!$B$4:$C$7,2,FALSE),VLOOKUP(EarningsPerDay[[#This Row],[Date]],Combined[[Date]:[Primary Area]],8,FALSE))</f>
        <v>Portland</v>
      </c>
      <c r="K805" s="40" t="str">
        <f>_xlfn.XLOOKUP(EarningsPerDay[[#This Row],[Date]],Mileage[Date],Mileage[Weather])</f>
        <v>Clear</v>
      </c>
      <c r="L805" s="4">
        <f>_xlfn.XLOOKUP(EarningsPerDay[[#This Row],[Date]],Mileage[Date],Mileage[Hi Temp])</f>
        <v>64</v>
      </c>
      <c r="M805" s="12">
        <f>_xlfn.XLOOKUP(EarningsPerDay[[#This Row],[Date]],Mileage[Date],Mileage[Total Time])</f>
        <v>4.42</v>
      </c>
      <c r="N805" s="4">
        <f>_xlfn.XLOOKUP(EarningsPerDay[[#This Row],[Date]],Mileage[Date],Mileage[Mileage])</f>
        <v>70</v>
      </c>
      <c r="O805" s="4">
        <f>SUMIF(Combined[Date],EarningsPerDay[[#This Row],[Date]],Combined[Trips])</f>
        <v>10</v>
      </c>
      <c r="P805">
        <f>COUNTIF(Combined[Date],EarningsPerDay[[#This Row],[Date]])</f>
        <v>2</v>
      </c>
      <c r="Q80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5" s="11">
        <f>SUMIF(Combined[Date],EarningsPerDay[[#This Row],[Date]],Combined[Earnings])</f>
        <v>153.44</v>
      </c>
      <c r="S805" s="11">
        <f ca="1">EarningsPerDay[[#This Row],[Gross Earnings]]-(EarningsPerDay[[#This Row],[Miles]]*CpM!$D$11)</f>
        <v>137.83188351602013</v>
      </c>
      <c r="T805" s="11">
        <f t="shared" si="108"/>
        <v>34.71493212669683</v>
      </c>
      <c r="U805" s="11">
        <f t="shared" ca="1" si="109"/>
        <v>31.18368405339822</v>
      </c>
      <c r="V805" s="11">
        <f>EarningsPerDay[[#This Row],[Gross Earnings]]/EarningsPerDay[[#This Row],[Deliveries]]</f>
        <v>15.343999999999999</v>
      </c>
      <c r="W805" s="11">
        <f>EarningsPerDay[[#This Row],[Gross Earnings]]/EarningsPerDay[[#This Row],[Miles]]</f>
        <v>2.1920000000000002</v>
      </c>
      <c r="X805" s="71">
        <f>EarningsPerDay[[#This Row],[Deliveries]]/EarningsPerDay[[#This Row],[Hours]]</f>
        <v>2.2624434389140271</v>
      </c>
      <c r="Y805" s="71">
        <f>EarningsPerDay[[#This Row],[Miles]]/EarningsPerDay[[#This Row],[Deliveries]]</f>
        <v>7</v>
      </c>
      <c r="Z805" s="81">
        <f>(EarningsPerDay[[#This Row],[Hours]]/EarningsPerDay[[#This Row],[Deliveries]])/24</f>
        <v>1.8416666666666668E-2</v>
      </c>
      <c r="AA80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19.411213118432368</v>
      </c>
      <c r="AB805" s="11">
        <f>AVERAGEIFS(EarningsPerDay[Gross $/Hour],EarningsPerDay[Week '#], EarningsPerDay[[#This Row],[Week '#]], EarningsPerDay[DOW], EarningsPerDay[[#This Row],[DOW]])</f>
        <v>22.944492803640362</v>
      </c>
      <c r="AC805" s="11">
        <f>EarningsPerDay[[#This Row],[Gross $/Hour]] - EarningsPerDay[[#This Row],[Weekly Average Earnings]]</f>
        <v>11.770439323056468</v>
      </c>
      <c r="AD805" s="11">
        <f>(SUMIFS(EarningsPerDay[Gross Earnings], EarningsPerDay[Date],"&gt;="&amp;EarningsPerDay[[#This Row],[Date]]-89, EarningsPerDay[Date], "&lt;="&amp;EarningsPerDay[[#This Row],[Date]]))/90</f>
        <v>74.35266666666665</v>
      </c>
    </row>
    <row r="806" spans="2:30" x14ac:dyDescent="0.35">
      <c r="B806" s="40">
        <v>45937</v>
      </c>
      <c r="C806" s="40">
        <f t="shared" si="106"/>
        <v>45937</v>
      </c>
      <c r="D806" s="4">
        <f>IF(EarningsPerDay[[#This Row],[Week '#]]&gt;=52,YEAR(EarningsPerDay[[#This Row],[Date]])-1,YEAR(EarningsPerDay[[#This Row],[Date]]))</f>
        <v>2025</v>
      </c>
      <c r="E806" s="4" t="str">
        <f>"QTR"&amp;IF(EarningsPerDay[[#This Row],[Week '#]] &lt;= 13, 1, IF(EarningsPerDay[[#This Row],[Week '#]] &lt;= 26, 2, IF(EarningsPerDay[[#This Row],[Week '#]] &lt;= 39, 3, 4)))</f>
        <v>QTR4</v>
      </c>
      <c r="F80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806" s="4">
        <f>IF(WEEKNUM(EarningsPerDay[[#This Row],[Date]], 2) = 53, 1, WEEKNUM(EarningsPerDay[[#This Row],[Date]],2))</f>
        <v>41</v>
      </c>
      <c r="H806" s="40" t="str">
        <f t="shared" si="116"/>
        <v>Tuesday</v>
      </c>
      <c r="I80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06" s="40" t="str" cm="1">
        <f t="array" ref="J806">IFERROR(VLOOKUP(MODE(IF(Combined[Date]=EarningsPerDay[[#This Row],[Date]],Combined[Area '#])),KPIs!$B$4:$C$7,2,FALSE),VLOOKUP(EarningsPerDay[[#This Row],[Date]],Combined[[Date]:[Primary Area]],8,FALSE))</f>
        <v>Brunswick/Bath/Freeport</v>
      </c>
      <c r="K806" s="40" t="str">
        <f>_xlfn.XLOOKUP(EarningsPerDay[[#This Row],[Date]],Mileage[Date],Mileage[Weather])</f>
        <v>Clear</v>
      </c>
      <c r="L806" s="4">
        <f>_xlfn.XLOOKUP(EarningsPerDay[[#This Row],[Date]],Mileage[Date],Mileage[Hi Temp])</f>
        <v>70</v>
      </c>
      <c r="M806" s="12">
        <f>_xlfn.XLOOKUP(EarningsPerDay[[#This Row],[Date]],Mileage[Date],Mileage[Total Time])</f>
        <v>5.92</v>
      </c>
      <c r="N806" s="4">
        <f>_xlfn.XLOOKUP(EarningsPerDay[[#This Row],[Date]],Mileage[Date],Mileage[Mileage])</f>
        <v>130</v>
      </c>
      <c r="O806" s="4">
        <f>SUMIF(Combined[Date],EarningsPerDay[[#This Row],[Date]],Combined[Trips])</f>
        <v>15</v>
      </c>
      <c r="P806">
        <f>COUNTIF(Combined[Date],EarningsPerDay[[#This Row],[Date]])</f>
        <v>3</v>
      </c>
      <c r="Q80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6" s="11">
        <f>SUMIF(Combined[Date],EarningsPerDay[[#This Row],[Date]],Combined[Earnings])</f>
        <v>136.77000000000001</v>
      </c>
      <c r="S806" s="11">
        <f ca="1">EarningsPerDay[[#This Row],[Gross Earnings]]-(EarningsPerDay[[#This Row],[Miles]]*CpM!$D$11)</f>
        <v>107.78349795832311</v>
      </c>
      <c r="T806" s="11">
        <f t="shared" si="108"/>
        <v>23.103040540540544</v>
      </c>
      <c r="U806" s="11">
        <f t="shared" ca="1" si="109"/>
        <v>18.206671952419445</v>
      </c>
      <c r="V806" s="11">
        <f>EarningsPerDay[[#This Row],[Gross Earnings]]/EarningsPerDay[[#This Row],[Deliveries]]</f>
        <v>9.1180000000000003</v>
      </c>
      <c r="W806" s="11">
        <f>EarningsPerDay[[#This Row],[Gross Earnings]]/EarningsPerDay[[#This Row],[Miles]]</f>
        <v>1.0520769230769231</v>
      </c>
      <c r="X806" s="71">
        <f>EarningsPerDay[[#This Row],[Deliveries]]/EarningsPerDay[[#This Row],[Hours]]</f>
        <v>2.5337837837837838</v>
      </c>
      <c r="Y806" s="71">
        <f>EarningsPerDay[[#This Row],[Miles]]/EarningsPerDay[[#This Row],[Deliveries]]</f>
        <v>8.6666666666666661</v>
      </c>
      <c r="Z806" s="81">
        <f>(EarningsPerDay[[#This Row],[Hours]]/EarningsPerDay[[#This Row],[Deliveries]])/24</f>
        <v>1.6444444444444446E-2</v>
      </c>
      <c r="AA80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-1.984355480209004</v>
      </c>
      <c r="AB806" s="11">
        <f>AVERAGEIFS(EarningsPerDay[Gross $/Hour],EarningsPerDay[Week '#], EarningsPerDay[[#This Row],[Week '#]], EarningsPerDay[DOW], EarningsPerDay[[#This Row],[DOW]])</f>
        <v>23.103040540540544</v>
      </c>
      <c r="AC806" s="11">
        <f>EarningsPerDay[[#This Row],[Gross $/Hour]] - EarningsPerDay[[#This Row],[Weekly Average Earnings]]</f>
        <v>0</v>
      </c>
      <c r="AD806" s="11">
        <f>(SUMIFS(EarningsPerDay[Gross Earnings], EarningsPerDay[Date],"&gt;="&amp;EarningsPerDay[[#This Row],[Date]]-89, EarningsPerDay[Date], "&lt;="&amp;EarningsPerDay[[#This Row],[Date]]))/90</f>
        <v>75.872333333333316</v>
      </c>
    </row>
    <row r="807" spans="2:30" x14ac:dyDescent="0.35">
      <c r="B807" s="40">
        <v>45940</v>
      </c>
      <c r="C807" s="40">
        <f t="shared" si="106"/>
        <v>45940</v>
      </c>
      <c r="D807" s="4">
        <f>IF(EarningsPerDay[[#This Row],[Week '#]]&gt;=52,YEAR(EarningsPerDay[[#This Row],[Date]])-1,YEAR(EarningsPerDay[[#This Row],[Date]]))</f>
        <v>2025</v>
      </c>
      <c r="E807" s="4" t="str">
        <f>"QTR"&amp;IF(EarningsPerDay[[#This Row],[Week '#]] &lt;= 13, 1, IF(EarningsPerDay[[#This Row],[Week '#]] &lt;= 26, 2, IF(EarningsPerDay[[#This Row],[Week '#]] &lt;= 39, 3, 4)))</f>
        <v>QTR4</v>
      </c>
      <c r="F80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807" s="4">
        <f>IF(WEEKNUM(EarningsPerDay[[#This Row],[Date]], 2) = 53, 1, WEEKNUM(EarningsPerDay[[#This Row],[Date]],2))</f>
        <v>41</v>
      </c>
      <c r="H807" s="40" t="str">
        <f t="shared" si="116"/>
        <v>Friday</v>
      </c>
      <c r="I80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07" s="40" t="str" cm="1">
        <f t="array" ref="J807">IFERROR(VLOOKUP(MODE(IF(Combined[Date]=EarningsPerDay[[#This Row],[Date]],Combined[Area '#])),KPIs!$B$4:$C$7,2,FALSE),VLOOKUP(EarningsPerDay[[#This Row],[Date]],Combined[[Date]:[Primary Area]],8,FALSE))</f>
        <v>Brunswick/Bath/Freeport</v>
      </c>
      <c r="K807" s="40" t="str">
        <f>_xlfn.XLOOKUP(EarningsPerDay[[#This Row],[Date]],Mileage[Date],Mileage[Weather])</f>
        <v>Clear</v>
      </c>
      <c r="L807" s="4">
        <f>_xlfn.XLOOKUP(EarningsPerDay[[#This Row],[Date]],Mileage[Date],Mileage[Hi Temp])</f>
        <v>50</v>
      </c>
      <c r="M807" s="12">
        <f>_xlfn.XLOOKUP(EarningsPerDay[[#This Row],[Date]],Mileage[Date],Mileage[Total Time])</f>
        <v>5.22</v>
      </c>
      <c r="N807" s="4">
        <f>_xlfn.XLOOKUP(EarningsPerDay[[#This Row],[Date]],Mileage[Date],Mileage[Mileage])</f>
        <v>137</v>
      </c>
      <c r="O807" s="4">
        <f>SUMIF(Combined[Date],EarningsPerDay[[#This Row],[Date]],Combined[Trips])</f>
        <v>11</v>
      </c>
      <c r="P807">
        <f>COUNTIF(Combined[Date],EarningsPerDay[[#This Row],[Date]])</f>
        <v>3</v>
      </c>
      <c r="Q80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7" s="11">
        <f>SUMIF(Combined[Date],EarningsPerDay[[#This Row],[Date]],Combined[Earnings])</f>
        <v>162.72</v>
      </c>
      <c r="S807" s="11">
        <f ca="1">EarningsPerDay[[#This Row],[Gross Earnings]]-(EarningsPerDay[[#This Row],[Miles]]*CpM!$D$11)</f>
        <v>132.17268630992513</v>
      </c>
      <c r="T807" s="11">
        <f t="shared" si="108"/>
        <v>31.172413793103448</v>
      </c>
      <c r="U807" s="11">
        <f t="shared" ca="1" si="109"/>
        <v>25.320437990407115</v>
      </c>
      <c r="V807" s="11">
        <f>EarningsPerDay[[#This Row],[Gross Earnings]]/EarningsPerDay[[#This Row],[Deliveries]]</f>
        <v>14.792727272727273</v>
      </c>
      <c r="W807" s="11">
        <f>EarningsPerDay[[#This Row],[Gross Earnings]]/EarningsPerDay[[#This Row],[Miles]]</f>
        <v>1.1877372262773722</v>
      </c>
      <c r="X807" s="71">
        <f>EarningsPerDay[[#This Row],[Deliveries]]/EarningsPerDay[[#This Row],[Hours]]</f>
        <v>2.1072796934865901</v>
      </c>
      <c r="Y807" s="71">
        <f>EarningsPerDay[[#This Row],[Miles]]/EarningsPerDay[[#This Row],[Deliveries]]</f>
        <v>12.454545454545455</v>
      </c>
      <c r="Z807" s="81">
        <f>(EarningsPerDay[[#This Row],[Hours]]/EarningsPerDay[[#This Row],[Deliveries]])/24</f>
        <v>1.9772727272727272E-2</v>
      </c>
      <c r="AA80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6.7159821932926711</v>
      </c>
      <c r="AB807" s="11">
        <f>AVERAGEIFS(EarningsPerDay[Gross $/Hour],EarningsPerDay[Week '#], EarningsPerDay[[#This Row],[Week '#]], EarningsPerDay[DOW], EarningsPerDay[[#This Row],[DOW]])</f>
        <v>28.332958593802513</v>
      </c>
      <c r="AC807" s="11">
        <f>EarningsPerDay[[#This Row],[Gross $/Hour]] - EarningsPerDay[[#This Row],[Weekly Average Earnings]]</f>
        <v>2.8394551993009358</v>
      </c>
      <c r="AD807" s="11">
        <f>(SUMIFS(EarningsPerDay[Gross Earnings], EarningsPerDay[Date],"&gt;="&amp;EarningsPerDay[[#This Row],[Date]]-89, EarningsPerDay[Date], "&lt;="&amp;EarningsPerDay[[#This Row],[Date]]))/90</f>
        <v>77.680333333333323</v>
      </c>
    </row>
    <row r="808" spans="2:30" x14ac:dyDescent="0.35">
      <c r="B808" s="40">
        <v>45943</v>
      </c>
      <c r="C808" s="40">
        <f t="shared" si="106"/>
        <v>45943</v>
      </c>
      <c r="D808" s="4">
        <f>IF(EarningsPerDay[[#This Row],[Week '#]]&gt;=52,YEAR(EarningsPerDay[[#This Row],[Date]])-1,YEAR(EarningsPerDay[[#This Row],[Date]]))</f>
        <v>2025</v>
      </c>
      <c r="E808" s="4" t="str">
        <f>"QTR"&amp;IF(EarningsPerDay[[#This Row],[Week '#]] &lt;= 13, 1, IF(EarningsPerDay[[#This Row],[Week '#]] &lt;= 26, 2, IF(EarningsPerDay[[#This Row],[Week '#]] &lt;= 39, 3, 4)))</f>
        <v>QTR4</v>
      </c>
      <c r="F80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08" s="4">
        <f>IF(WEEKNUM(EarningsPerDay[[#This Row],[Date]], 2) = 53, 1, WEEKNUM(EarningsPerDay[[#This Row],[Date]],2))</f>
        <v>42</v>
      </c>
      <c r="H808" s="40" t="str">
        <f t="shared" ref="H808:H813" si="117">TEXT(B808,"DDDD")</f>
        <v>Monday</v>
      </c>
      <c r="I808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08" s="40" t="str" cm="1">
        <f t="array" ref="J808">IFERROR(VLOOKUP(MODE(IF(Combined[Date]=EarningsPerDay[[#This Row],[Date]],Combined[Area '#])),KPIs!$B$4:$C$7,2,FALSE),VLOOKUP(EarningsPerDay[[#This Row],[Date]],Combined[[Date]:[Primary Area]],8,FALSE))</f>
        <v>Brunswick/Bath/Freeport</v>
      </c>
      <c r="K808" s="40" t="str">
        <f>_xlfn.XLOOKUP(EarningsPerDay[[#This Row],[Date]],Mileage[Date],Mileage[Weather])</f>
        <v>Overcast</v>
      </c>
      <c r="L808" s="4">
        <f>_xlfn.XLOOKUP(EarningsPerDay[[#This Row],[Date]],Mileage[Date],Mileage[Hi Temp])</f>
        <v>50</v>
      </c>
      <c r="M808" s="12">
        <f>_xlfn.XLOOKUP(EarningsPerDay[[#This Row],[Date]],Mileage[Date],Mileage[Total Time])</f>
        <v>3.47</v>
      </c>
      <c r="N808" s="4">
        <f>_xlfn.XLOOKUP(EarningsPerDay[[#This Row],[Date]],Mileage[Date],Mileage[Mileage])</f>
        <v>50</v>
      </c>
      <c r="O808" s="4">
        <f>SUMIF(Combined[Date],EarningsPerDay[[#This Row],[Date]],Combined[Trips])</f>
        <v>9</v>
      </c>
      <c r="P808">
        <f>COUNTIF(Combined[Date],EarningsPerDay[[#This Row],[Date]])</f>
        <v>1</v>
      </c>
      <c r="Q80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08" s="11">
        <f>SUMIF(Combined[Date],EarningsPerDay[[#This Row],[Date]],Combined[Earnings])</f>
        <v>71.75</v>
      </c>
      <c r="S808" s="11">
        <f ca="1">EarningsPerDay[[#This Row],[Gross Earnings]]-(EarningsPerDay[[#This Row],[Miles]]*CpM!$D$11)</f>
        <v>60.601345368585811</v>
      </c>
      <c r="T808" s="11">
        <f t="shared" si="108"/>
        <v>20.677233429394811</v>
      </c>
      <c r="U808" s="11">
        <f t="shared" ca="1" si="109"/>
        <v>17.464364659534816</v>
      </c>
      <c r="V808" s="11">
        <f>EarningsPerDay[[#This Row],[Gross Earnings]]/EarningsPerDay[[#This Row],[Deliveries]]</f>
        <v>7.9722222222222223</v>
      </c>
      <c r="W808" s="11">
        <f>EarningsPerDay[[#This Row],[Gross Earnings]]/EarningsPerDay[[#This Row],[Miles]]</f>
        <v>1.4350000000000001</v>
      </c>
      <c r="X808" s="71">
        <f>EarningsPerDay[[#This Row],[Deliveries]]/EarningsPerDay[[#This Row],[Hours]]</f>
        <v>2.5936599423631121</v>
      </c>
      <c r="Y808" s="71">
        <f>EarningsPerDay[[#This Row],[Miles]]/EarningsPerDay[[#This Row],[Deliveries]]</f>
        <v>5.5555555555555554</v>
      </c>
      <c r="Z808" s="81">
        <f>(EarningsPerDay[[#This Row],[Hours]]/EarningsPerDay[[#This Row],[Deliveries]])/24</f>
        <v>1.6064814814814816E-2</v>
      </c>
      <c r="AA80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-4.9222272509684331</v>
      </c>
      <c r="AB808" s="11">
        <f>AVERAGEIFS(EarningsPerDay[Gross $/Hour],EarningsPerDay[Week '#], EarningsPerDay[[#This Row],[Week '#]], EarningsPerDay[DOW], EarningsPerDay[[#This Row],[DOW]])</f>
        <v>24.193893597623301</v>
      </c>
      <c r="AC808" s="11">
        <f>EarningsPerDay[[#This Row],[Gross $/Hour]] - EarningsPerDay[[#This Row],[Weekly Average Earnings]]</f>
        <v>-3.5166601682284906</v>
      </c>
      <c r="AD808" s="11">
        <f>(SUMIFS(EarningsPerDay[Gross Earnings], EarningsPerDay[Date],"&gt;="&amp;EarningsPerDay[[#This Row],[Date]]-89, EarningsPerDay[Date], "&lt;="&amp;EarningsPerDay[[#This Row],[Date]]))/90</f>
        <v>78.47755555555554</v>
      </c>
    </row>
    <row r="809" spans="2:30" x14ac:dyDescent="0.35">
      <c r="B809" s="40">
        <v>45944</v>
      </c>
      <c r="C809" s="40">
        <f t="shared" si="106"/>
        <v>45944</v>
      </c>
      <c r="D809" s="4">
        <f>IF(EarningsPerDay[[#This Row],[Week '#]]&gt;=52,YEAR(EarningsPerDay[[#This Row],[Date]])-1,YEAR(EarningsPerDay[[#This Row],[Date]]))</f>
        <v>2025</v>
      </c>
      <c r="E809" s="4" t="str">
        <f>"QTR"&amp;IF(EarningsPerDay[[#This Row],[Week '#]] &lt;= 13, 1, IF(EarningsPerDay[[#This Row],[Week '#]] &lt;= 26, 2, IF(EarningsPerDay[[#This Row],[Week '#]] &lt;= 39, 3, 4)))</f>
        <v>QTR4</v>
      </c>
      <c r="F80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09" s="4">
        <f>IF(WEEKNUM(EarningsPerDay[[#This Row],[Date]], 2) = 53, 1, WEEKNUM(EarningsPerDay[[#This Row],[Date]],2))</f>
        <v>42</v>
      </c>
      <c r="H809" s="40" t="str">
        <f t="shared" si="117"/>
        <v>Tuesday</v>
      </c>
      <c r="I809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09" s="40" t="str" cm="1">
        <f t="array" ref="J809">IFERROR(VLOOKUP(MODE(IF(Combined[Date]=EarningsPerDay[[#This Row],[Date]],Combined[Area '#])),KPIs!$B$4:$C$7,2,FALSE),VLOOKUP(EarningsPerDay[[#This Row],[Date]],Combined[[Date]:[Primary Area]],8,FALSE))</f>
        <v>Brunswick/Bath/Freeport</v>
      </c>
      <c r="K809" s="40" t="str">
        <f>_xlfn.XLOOKUP(EarningsPerDay[[#This Row],[Date]],Mileage[Date],Mileage[Weather])</f>
        <v>Mostly Cloudy</v>
      </c>
      <c r="L809" s="4">
        <f>_xlfn.XLOOKUP(EarningsPerDay[[#This Row],[Date]],Mileage[Date],Mileage[Hi Temp])</f>
        <v>55</v>
      </c>
      <c r="M809" s="12">
        <f>_xlfn.XLOOKUP(EarningsPerDay[[#This Row],[Date]],Mileage[Date],Mileage[Total Time])</f>
        <v>6.02</v>
      </c>
      <c r="N809" s="4">
        <f>_xlfn.XLOOKUP(EarningsPerDay[[#This Row],[Date]],Mileage[Date],Mileage[Mileage])</f>
        <v>106</v>
      </c>
      <c r="O809" s="4">
        <f>SUMIF(Combined[Date],EarningsPerDay[[#This Row],[Date]],Combined[Trips])</f>
        <v>18</v>
      </c>
      <c r="P809">
        <f>COUNTIF(Combined[Date],EarningsPerDay[[#This Row],[Date]])</f>
        <v>1</v>
      </c>
      <c r="Q80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09" s="11">
        <f>SUMIF(Combined[Date],EarningsPerDay[[#This Row],[Date]],Combined[Earnings])</f>
        <v>134.25</v>
      </c>
      <c r="S809" s="11">
        <f ca="1">EarningsPerDay[[#This Row],[Gross Earnings]]-(EarningsPerDay[[#This Row],[Miles]]*CpM!$D$11)</f>
        <v>110.61485218140191</v>
      </c>
      <c r="T809" s="11">
        <f t="shared" si="108"/>
        <v>22.300664451827245</v>
      </c>
      <c r="U809" s="11">
        <f t="shared" ca="1" si="109"/>
        <v>18.374560163023574</v>
      </c>
      <c r="V809" s="11">
        <f>EarningsPerDay[[#This Row],[Gross Earnings]]/EarningsPerDay[[#This Row],[Deliveries]]</f>
        <v>7.458333333333333</v>
      </c>
      <c r="W809" s="11">
        <f>EarningsPerDay[[#This Row],[Gross Earnings]]/EarningsPerDay[[#This Row],[Miles]]</f>
        <v>1.2665094339622642</v>
      </c>
      <c r="X809" s="71">
        <f>EarningsPerDay[[#This Row],[Deliveries]]/EarningsPerDay[[#This Row],[Hours]]</f>
        <v>2.9900332225913622</v>
      </c>
      <c r="Y809" s="71">
        <f>EarningsPerDay[[#This Row],[Miles]]/EarningsPerDay[[#This Row],[Deliveries]]</f>
        <v>5.8888888888888893</v>
      </c>
      <c r="Z809" s="81">
        <f>(EarningsPerDay[[#This Row],[Hours]]/EarningsPerDay[[#This Row],[Deliveries]])/24</f>
        <v>1.3935185185185184E-2</v>
      </c>
      <c r="AA80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-2.6544412035750362</v>
      </c>
      <c r="AB809" s="11">
        <f>AVERAGEIFS(EarningsPerDay[Gross $/Hour],EarningsPerDay[Week '#], EarningsPerDay[[#This Row],[Week '#]], EarningsPerDay[DOW], EarningsPerDay[[#This Row],[DOW]])</f>
        <v>15.221578115729622</v>
      </c>
      <c r="AC809" s="11">
        <f>EarningsPerDay[[#This Row],[Gross $/Hour]] - EarningsPerDay[[#This Row],[Weekly Average Earnings]]</f>
        <v>7.0790863360976228</v>
      </c>
      <c r="AD809" s="11">
        <f>(SUMIFS(EarningsPerDay[Gross Earnings], EarningsPerDay[Date],"&gt;="&amp;EarningsPerDay[[#This Row],[Date]]-89, EarningsPerDay[Date], "&lt;="&amp;EarningsPerDay[[#This Row],[Date]]))/90</f>
        <v>79.969222222222214</v>
      </c>
    </row>
    <row r="810" spans="2:30" x14ac:dyDescent="0.35">
      <c r="B810" s="40">
        <v>45947</v>
      </c>
      <c r="C810" s="40">
        <f t="shared" si="106"/>
        <v>45947</v>
      </c>
      <c r="D810" s="4">
        <f>IF(EarningsPerDay[[#This Row],[Week '#]]&gt;=52,YEAR(EarningsPerDay[[#This Row],[Date]])-1,YEAR(EarningsPerDay[[#This Row],[Date]]))</f>
        <v>2025</v>
      </c>
      <c r="E810" s="4" t="str">
        <f>"QTR"&amp;IF(EarningsPerDay[[#This Row],[Week '#]] &lt;= 13, 1, IF(EarningsPerDay[[#This Row],[Week '#]] &lt;= 26, 2, IF(EarningsPerDay[[#This Row],[Week '#]] &lt;= 39, 3, 4)))</f>
        <v>QTR4</v>
      </c>
      <c r="F81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10" s="4">
        <f>IF(WEEKNUM(EarningsPerDay[[#This Row],[Date]], 2) = 53, 1, WEEKNUM(EarningsPerDay[[#This Row],[Date]],2))</f>
        <v>42</v>
      </c>
      <c r="H810" s="40" t="str">
        <f t="shared" si="117"/>
        <v>Friday</v>
      </c>
      <c r="I810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10" s="40" t="str" cm="1">
        <f t="array" ref="J810">IFERROR(VLOOKUP(MODE(IF(Combined[Date]=EarningsPerDay[[#This Row],[Date]],Combined[Area '#])),KPIs!$B$4:$C$7,2,FALSE),VLOOKUP(EarningsPerDay[[#This Row],[Date]],Combined[[Date]:[Primary Area]],8,FALSE))</f>
        <v>Brunswick/Bath/Freeport</v>
      </c>
      <c r="K810" s="40" t="str">
        <f>_xlfn.XLOOKUP(EarningsPerDay[[#This Row],[Date]],Mileage[Date],Mileage[Weather])</f>
        <v>Clear</v>
      </c>
      <c r="L810" s="4">
        <f>_xlfn.XLOOKUP(EarningsPerDay[[#This Row],[Date]],Mileage[Date],Mileage[Hi Temp])</f>
        <v>54</v>
      </c>
      <c r="M810" s="12">
        <f>_xlfn.XLOOKUP(EarningsPerDay[[#This Row],[Date]],Mileage[Date],Mileage[Total Time])</f>
        <v>6.48</v>
      </c>
      <c r="N810" s="4">
        <f>_xlfn.XLOOKUP(EarningsPerDay[[#This Row],[Date]],Mileage[Date],Mileage[Mileage])</f>
        <v>136</v>
      </c>
      <c r="O810" s="4">
        <f>SUMIF(Combined[Date],EarningsPerDay[[#This Row],[Date]],Combined[Trips])</f>
        <v>11</v>
      </c>
      <c r="P810">
        <f>COUNTIF(Combined[Date],EarningsPerDay[[#This Row],[Date]])</f>
        <v>2</v>
      </c>
      <c r="Q81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0" s="11">
        <f>SUMIF(Combined[Date],EarningsPerDay[[#This Row],[Date]],Combined[Earnings])</f>
        <v>149.80000000000001</v>
      </c>
      <c r="S810" s="11">
        <f ca="1">EarningsPerDay[[#This Row],[Gross Earnings]]-(EarningsPerDay[[#This Row],[Miles]]*CpM!$D$11)</f>
        <v>119.47565940255342</v>
      </c>
      <c r="T810" s="11">
        <f t="shared" si="108"/>
        <v>23.117283950617285</v>
      </c>
      <c r="U810" s="11">
        <f t="shared" ca="1" si="109"/>
        <v>18.437601759653305</v>
      </c>
      <c r="V810" s="11">
        <f>EarningsPerDay[[#This Row],[Gross Earnings]]/EarningsPerDay[[#This Row],[Deliveries]]</f>
        <v>13.618181818181819</v>
      </c>
      <c r="W810" s="11">
        <f>EarningsPerDay[[#This Row],[Gross Earnings]]/EarningsPerDay[[#This Row],[Miles]]</f>
        <v>1.1014705882352942</v>
      </c>
      <c r="X810" s="71">
        <f>EarningsPerDay[[#This Row],[Deliveries]]/EarningsPerDay[[#This Row],[Hours]]</f>
        <v>1.6975308641975309</v>
      </c>
      <c r="Y810" s="71">
        <f>EarningsPerDay[[#This Row],[Miles]]/EarningsPerDay[[#This Row],[Deliveries]]</f>
        <v>12.363636363636363</v>
      </c>
      <c r="Z810" s="81">
        <f>(EarningsPerDay[[#This Row],[Hours]]/EarningsPerDay[[#This Row],[Deliveries]])/24</f>
        <v>2.4545454545454547E-2</v>
      </c>
      <c r="AA81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-1.6189802405806901</v>
      </c>
      <c r="AB810" s="11">
        <f>AVERAGEIFS(EarningsPerDay[Gross $/Hour],EarningsPerDay[Week '#], EarningsPerDay[[#This Row],[Week '#]], EarningsPerDay[DOW], EarningsPerDay[[#This Row],[DOW]])</f>
        <v>24.71711727802343</v>
      </c>
      <c r="AC810" s="11">
        <f>EarningsPerDay[[#This Row],[Gross $/Hour]] - EarningsPerDay[[#This Row],[Weekly Average Earnings]]</f>
        <v>-1.5998333274061451</v>
      </c>
      <c r="AD810" s="11">
        <f>(SUMIFS(EarningsPerDay[Gross Earnings], EarningsPerDay[Date],"&gt;="&amp;EarningsPerDay[[#This Row],[Date]]-89, EarningsPerDay[Date], "&lt;="&amp;EarningsPerDay[[#This Row],[Date]]))/90</f>
        <v>78.654555555555561</v>
      </c>
    </row>
    <row r="811" spans="2:30" x14ac:dyDescent="0.35">
      <c r="B811" s="40">
        <v>45950</v>
      </c>
      <c r="C811" s="40">
        <f t="shared" si="106"/>
        <v>45950</v>
      </c>
      <c r="D811" s="4">
        <f>IF(EarningsPerDay[[#This Row],[Week '#]]&gt;=52,YEAR(EarningsPerDay[[#This Row],[Date]])-1,YEAR(EarningsPerDay[[#This Row],[Date]]))</f>
        <v>2025</v>
      </c>
      <c r="E811" s="4" t="str">
        <f>"QTR"&amp;IF(EarningsPerDay[[#This Row],[Week '#]] &lt;= 13, 1, IF(EarningsPerDay[[#This Row],[Week '#]] &lt;= 26, 2, IF(EarningsPerDay[[#This Row],[Week '#]] &lt;= 39, 3, 4)))</f>
        <v>QTR4</v>
      </c>
      <c r="F81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11" s="4">
        <f>IF(WEEKNUM(EarningsPerDay[[#This Row],[Date]], 2) = 53, 1, WEEKNUM(EarningsPerDay[[#This Row],[Date]],2))</f>
        <v>43</v>
      </c>
      <c r="H811" s="40" t="str">
        <f t="shared" si="117"/>
        <v>Monday</v>
      </c>
      <c r="I811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11" s="40" t="str" cm="1">
        <f t="array" ref="J811">IFERROR(VLOOKUP(MODE(IF(Combined[Date]=EarningsPerDay[[#This Row],[Date]],Combined[Area '#])),KPIs!$B$4:$C$7,2,FALSE),VLOOKUP(EarningsPerDay[[#This Row],[Date]],Combined[[Date]:[Primary Area]],8,FALSE))</f>
        <v>Brunswick/Bath/Freeport</v>
      </c>
      <c r="K811" s="40" t="str">
        <f>_xlfn.XLOOKUP(EarningsPerDay[[#This Row],[Date]],Mileage[Date],Mileage[Weather])</f>
        <v>Rain</v>
      </c>
      <c r="L811" s="4">
        <f>_xlfn.XLOOKUP(EarningsPerDay[[#This Row],[Date]],Mileage[Date],Mileage[Hi Temp])</f>
        <v>57</v>
      </c>
      <c r="M811" s="12">
        <f>_xlfn.XLOOKUP(EarningsPerDay[[#This Row],[Date]],Mileage[Date],Mileage[Total Time])</f>
        <v>6.07</v>
      </c>
      <c r="N811" s="4">
        <f>_xlfn.XLOOKUP(EarningsPerDay[[#This Row],[Date]],Mileage[Date],Mileage[Mileage])</f>
        <v>118</v>
      </c>
      <c r="O811" s="4">
        <f>SUMIF(Combined[Date],EarningsPerDay[[#This Row],[Date]],Combined[Trips])</f>
        <v>12</v>
      </c>
      <c r="P811">
        <f>COUNTIF(Combined[Date],EarningsPerDay[[#This Row],[Date]])</f>
        <v>2</v>
      </c>
      <c r="Q81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1" s="11">
        <f>SUMIF(Combined[Date],EarningsPerDay[[#This Row],[Date]],Combined[Earnings])</f>
        <v>124.6</v>
      </c>
      <c r="S811" s="11">
        <f ca="1">EarningsPerDay[[#This Row],[Gross Earnings]]-(EarningsPerDay[[#This Row],[Miles]]*CpM!$D$11)</f>
        <v>98.289175069862495</v>
      </c>
      <c r="T811" s="11">
        <f t="shared" si="108"/>
        <v>20.527182866556835</v>
      </c>
      <c r="U811" s="11">
        <f t="shared" ca="1" si="109"/>
        <v>16.19261533276153</v>
      </c>
      <c r="V811" s="11">
        <f>EarningsPerDay[[#This Row],[Gross Earnings]]/EarningsPerDay[[#This Row],[Deliveries]]</f>
        <v>10.383333333333333</v>
      </c>
      <c r="W811" s="11">
        <f>EarningsPerDay[[#This Row],[Gross Earnings]]/EarningsPerDay[[#This Row],[Miles]]</f>
        <v>1.0559322033898304</v>
      </c>
      <c r="X811" s="71">
        <f>EarningsPerDay[[#This Row],[Deliveries]]/EarningsPerDay[[#This Row],[Hours]]</f>
        <v>1.9769357495881383</v>
      </c>
      <c r="Y811" s="71">
        <f>EarningsPerDay[[#This Row],[Miles]]/EarningsPerDay[[#This Row],[Deliveries]]</f>
        <v>9.8333333333333339</v>
      </c>
      <c r="Z811" s="81">
        <f>(EarningsPerDay[[#This Row],[Hours]]/EarningsPerDay[[#This Row],[Deliveries]])/24</f>
        <v>2.1076388888888891E-2</v>
      </c>
      <c r="AA81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-4.848540211489663</v>
      </c>
      <c r="AB811" s="11">
        <f>AVERAGEIFS(EarningsPerDay[Gross $/Hour],EarningsPerDay[Week '#], EarningsPerDay[[#This Row],[Week '#]], EarningsPerDay[DOW], EarningsPerDay[[#This Row],[DOW]])</f>
        <v>19.130731392710466</v>
      </c>
      <c r="AC811" s="11">
        <f>EarningsPerDay[[#This Row],[Gross $/Hour]] - EarningsPerDay[[#This Row],[Weekly Average Earnings]]</f>
        <v>1.3964514738463691</v>
      </c>
      <c r="AD811" s="11">
        <f>(SUMIFS(EarningsPerDay[Gross Earnings], EarningsPerDay[Date],"&gt;="&amp;EarningsPerDay[[#This Row],[Date]]-89, EarningsPerDay[Date], "&lt;="&amp;EarningsPerDay[[#This Row],[Date]]))/90</f>
        <v>78.976333333333329</v>
      </c>
    </row>
    <row r="812" spans="2:30" x14ac:dyDescent="0.35">
      <c r="B812" s="40">
        <v>45951</v>
      </c>
      <c r="C812" s="40">
        <f t="shared" si="106"/>
        <v>45951</v>
      </c>
      <c r="D812" s="4">
        <f>IF(EarningsPerDay[[#This Row],[Week '#]]&gt;=52,YEAR(EarningsPerDay[[#This Row],[Date]])-1,YEAR(EarningsPerDay[[#This Row],[Date]]))</f>
        <v>2025</v>
      </c>
      <c r="E812" s="4" t="str">
        <f>"QTR"&amp;IF(EarningsPerDay[[#This Row],[Week '#]] &lt;= 13, 1, IF(EarningsPerDay[[#This Row],[Week '#]] &lt;= 26, 2, IF(EarningsPerDay[[#This Row],[Week '#]] &lt;= 39, 3, 4)))</f>
        <v>QTR4</v>
      </c>
      <c r="F81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12" s="4">
        <f>IF(WEEKNUM(EarningsPerDay[[#This Row],[Date]], 2) = 53, 1, WEEKNUM(EarningsPerDay[[#This Row],[Date]],2))</f>
        <v>43</v>
      </c>
      <c r="H812" s="40" t="str">
        <f t="shared" si="117"/>
        <v>Tuesday</v>
      </c>
      <c r="I812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12" s="40" t="str" cm="1">
        <f t="array" ref="J812">IFERROR(VLOOKUP(MODE(IF(Combined[Date]=EarningsPerDay[[#This Row],[Date]],Combined[Area '#])),KPIs!$B$4:$C$7,2,FALSE),VLOOKUP(EarningsPerDay[[#This Row],[Date]],Combined[[Date]:[Primary Area]],8,FALSE))</f>
        <v>Brunswick/Bath/Freeport</v>
      </c>
      <c r="K812" s="40" t="str">
        <f>_xlfn.XLOOKUP(EarningsPerDay[[#This Row],[Date]],Mileage[Date],Mileage[Weather])</f>
        <v>Clear</v>
      </c>
      <c r="L812" s="4">
        <f>_xlfn.XLOOKUP(EarningsPerDay[[#This Row],[Date]],Mileage[Date],Mileage[Hi Temp])</f>
        <v>55</v>
      </c>
      <c r="M812" s="12">
        <f>_xlfn.XLOOKUP(EarningsPerDay[[#This Row],[Date]],Mileage[Date],Mileage[Total Time])</f>
        <v>7.1</v>
      </c>
      <c r="N812" s="4">
        <f>_xlfn.XLOOKUP(EarningsPerDay[[#This Row],[Date]],Mileage[Date],Mileage[Mileage])</f>
        <v>147</v>
      </c>
      <c r="O812" s="4">
        <f>SUMIF(Combined[Date],EarningsPerDay[[#This Row],[Date]],Combined[Trips])</f>
        <v>15</v>
      </c>
      <c r="P812">
        <f>COUNTIF(Combined[Date],EarningsPerDay[[#This Row],[Date]])</f>
        <v>3</v>
      </c>
      <c r="Q81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2" s="11">
        <f>SUMIF(Combined[Date],EarningsPerDay[[#This Row],[Date]],Combined[Earnings])</f>
        <v>151.41</v>
      </c>
      <c r="S812" s="11">
        <f ca="1">EarningsPerDay[[#This Row],[Gross Earnings]]-(EarningsPerDay[[#This Row],[Miles]]*CpM!$D$11)</f>
        <v>118.63295538364227</v>
      </c>
      <c r="T812" s="11">
        <f t="shared" si="108"/>
        <v>21.325352112676057</v>
      </c>
      <c r="U812" s="11">
        <f t="shared" ca="1" si="109"/>
        <v>16.708866955442573</v>
      </c>
      <c r="V812" s="11">
        <f>EarningsPerDay[[#This Row],[Gross Earnings]]/EarningsPerDay[[#This Row],[Deliveries]]</f>
        <v>10.093999999999999</v>
      </c>
      <c r="W812" s="11">
        <f>EarningsPerDay[[#This Row],[Gross Earnings]]/EarningsPerDay[[#This Row],[Miles]]</f>
        <v>1.03</v>
      </c>
      <c r="X812" s="71">
        <f>EarningsPerDay[[#This Row],[Deliveries]]/EarningsPerDay[[#This Row],[Hours]]</f>
        <v>2.1126760563380285</v>
      </c>
      <c r="Y812" s="71">
        <f>EarningsPerDay[[#This Row],[Miles]]/EarningsPerDay[[#This Row],[Deliveries]]</f>
        <v>9.8000000000000007</v>
      </c>
      <c r="Z812" s="81">
        <f>(EarningsPerDay[[#This Row],[Hours]]/EarningsPerDay[[#This Row],[Deliveries]])/24</f>
        <v>1.9722222222222221E-2</v>
      </c>
      <c r="AA81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-3.4638509675027827</v>
      </c>
      <c r="AB812" s="11">
        <f>AVERAGEIFS(EarningsPerDay[Gross $/Hour],EarningsPerDay[Week '#], EarningsPerDay[[#This Row],[Week '#]], EarningsPerDay[DOW], EarningsPerDay[[#This Row],[DOW]])</f>
        <v>22.257518733367181</v>
      </c>
      <c r="AC812" s="11">
        <f>EarningsPerDay[[#This Row],[Gross $/Hour]] - EarningsPerDay[[#This Row],[Weekly Average Earnings]]</f>
        <v>-0.93216662069112388</v>
      </c>
      <c r="AD812" s="11">
        <f>(SUMIFS(EarningsPerDay[Gross Earnings], EarningsPerDay[Date],"&gt;="&amp;EarningsPerDay[[#This Row],[Date]]-89, EarningsPerDay[Date], "&lt;="&amp;EarningsPerDay[[#This Row],[Date]]))/90</f>
        <v>80.658666666666662</v>
      </c>
    </row>
    <row r="813" spans="2:30" x14ac:dyDescent="0.35">
      <c r="B813" s="40">
        <v>45955</v>
      </c>
      <c r="C813" s="40">
        <f t="shared" si="106"/>
        <v>45955</v>
      </c>
      <c r="D813" s="4">
        <f>IF(EarningsPerDay[[#This Row],[Week '#]]&gt;=52,YEAR(EarningsPerDay[[#This Row],[Date]])-1,YEAR(EarningsPerDay[[#This Row],[Date]]))</f>
        <v>2025</v>
      </c>
      <c r="E813" s="4" t="str">
        <f>"QTR"&amp;IF(EarningsPerDay[[#This Row],[Week '#]] &lt;= 13, 1, IF(EarningsPerDay[[#This Row],[Week '#]] &lt;= 26, 2, IF(EarningsPerDay[[#This Row],[Week '#]] &lt;= 39, 3, 4)))</f>
        <v>QTR4</v>
      </c>
      <c r="F81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13" s="4">
        <f>IF(WEEKNUM(EarningsPerDay[[#This Row],[Date]], 2) = 53, 1, WEEKNUM(EarningsPerDay[[#This Row],[Date]],2))</f>
        <v>43</v>
      </c>
      <c r="H813" s="40" t="str">
        <f t="shared" si="117"/>
        <v>Saturday</v>
      </c>
      <c r="I813" s="106">
        <f>IF(_xlfn.XLOOKUP(EarningsPerDay[[#This Row],[Date]],Mileage[Date],Mileage[Start Time])="","",MROUND(_xlfn.XLOOKUP(EarningsPerDay[[#This Row],[Date]],Mileage[Date],Mileage[Start Time]),0.0208333333333333))</f>
        <v>0.89583333333333193</v>
      </c>
      <c r="J813" s="40" t="str" cm="1">
        <f t="array" ref="J813">IFERROR(VLOOKUP(MODE(IF(Combined[Date]=EarningsPerDay[[#This Row],[Date]],Combined[Area '#])),KPIs!$B$4:$C$7,2,FALSE),VLOOKUP(EarningsPerDay[[#This Row],[Date]],Combined[[Date]:[Primary Area]],8,FALSE))</f>
        <v>Lewiston</v>
      </c>
      <c r="K813" s="40" t="str">
        <f>_xlfn.XLOOKUP(EarningsPerDay[[#This Row],[Date]],Mileage[Date],Mileage[Weather])</f>
        <v>Overcast</v>
      </c>
      <c r="L813" s="4">
        <f>_xlfn.XLOOKUP(EarningsPerDay[[#This Row],[Date]],Mileage[Date],Mileage[Hi Temp])</f>
        <v>48</v>
      </c>
      <c r="M813" s="12">
        <f>_xlfn.XLOOKUP(EarningsPerDay[[#This Row],[Date]],Mileage[Date],Mileage[Total Time])</f>
        <v>4.67</v>
      </c>
      <c r="N813" s="4">
        <f>_xlfn.XLOOKUP(EarningsPerDay[[#This Row],[Date]],Mileage[Date],Mileage[Mileage])</f>
        <v>86</v>
      </c>
      <c r="O813" s="4">
        <f>SUMIF(Combined[Date],EarningsPerDay[[#This Row],[Date]],Combined[Trips])</f>
        <v>11</v>
      </c>
      <c r="P813">
        <f>COUNTIF(Combined[Date],EarningsPerDay[[#This Row],[Date]])</f>
        <v>3</v>
      </c>
      <c r="Q81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3" s="11">
        <f>SUMIF(Combined[Date],EarningsPerDay[[#This Row],[Date]],Combined[Earnings])</f>
        <v>62.790000000000006</v>
      </c>
      <c r="S813" s="11">
        <f ca="1">EarningsPerDay[[#This Row],[Gross Earnings]]-(EarningsPerDay[[#This Row],[Miles]]*CpM!$D$11)</f>
        <v>43.614314033967602</v>
      </c>
      <c r="T813" s="11">
        <f t="shared" si="108"/>
        <v>13.44539614561028</v>
      </c>
      <c r="U813" s="11">
        <f t="shared" ca="1" si="109"/>
        <v>9.3392535404641546</v>
      </c>
      <c r="V813" s="11">
        <f>EarningsPerDay[[#This Row],[Gross Earnings]]/EarningsPerDay[[#This Row],[Deliveries]]</f>
        <v>5.7081818181818189</v>
      </c>
      <c r="W813" s="11">
        <f>EarningsPerDay[[#This Row],[Gross Earnings]]/EarningsPerDay[[#This Row],[Miles]]</f>
        <v>0.7301162790697675</v>
      </c>
      <c r="X813" s="71">
        <f>EarningsPerDay[[#This Row],[Deliveries]]/EarningsPerDay[[#This Row],[Hours]]</f>
        <v>2.3554603854389722</v>
      </c>
      <c r="Y813" s="71">
        <f>EarningsPerDay[[#This Row],[Miles]]/EarningsPerDay[[#This Row],[Deliveries]]</f>
        <v>7.8181818181818183</v>
      </c>
      <c r="Z813" s="81">
        <f>(EarningsPerDay[[#This Row],[Hours]]/EarningsPerDay[[#This Row],[Deliveries]])/24</f>
        <v>1.7689393939393939E-2</v>
      </c>
      <c r="AA81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-8.6157494476089216</v>
      </c>
      <c r="AB813" s="11">
        <f>AVERAGEIFS(EarningsPerDay[Gross $/Hour],EarningsPerDay[Week '#], EarningsPerDay[[#This Row],[Week '#]], EarningsPerDay[DOW], EarningsPerDay[[#This Row],[DOW]])</f>
        <v>13.44539614561028</v>
      </c>
      <c r="AC813" s="11">
        <f>EarningsPerDay[[#This Row],[Gross $/Hour]] - EarningsPerDay[[#This Row],[Weekly Average Earnings]]</f>
        <v>0</v>
      </c>
      <c r="AD813" s="11">
        <f>(SUMIFS(EarningsPerDay[Gross Earnings], EarningsPerDay[Date],"&gt;="&amp;EarningsPerDay[[#This Row],[Date]]-89, EarningsPerDay[Date], "&lt;="&amp;EarningsPerDay[[#This Row],[Date]]))/90</f>
        <v>78.959888888888898</v>
      </c>
    </row>
    <row r="814" spans="2:30" x14ac:dyDescent="0.35">
      <c r="B814" s="40">
        <v>45957</v>
      </c>
      <c r="C814" s="40">
        <f t="shared" si="106"/>
        <v>45957</v>
      </c>
      <c r="D814" s="4">
        <f>IF(EarningsPerDay[[#This Row],[Week '#]]&gt;=52,YEAR(EarningsPerDay[[#This Row],[Date]])-1,YEAR(EarningsPerDay[[#This Row],[Date]]))</f>
        <v>2025</v>
      </c>
      <c r="E814" s="4" t="str">
        <f>"QTR"&amp;IF(EarningsPerDay[[#This Row],[Week '#]] &lt;= 13, 1, IF(EarningsPerDay[[#This Row],[Week '#]] &lt;= 26, 2, IF(EarningsPerDay[[#This Row],[Week '#]] &lt;= 39, 3, 4)))</f>
        <v>QTR4</v>
      </c>
      <c r="F81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14" s="4">
        <f>IF(WEEKNUM(EarningsPerDay[[#This Row],[Date]], 2) = 53, 1, WEEKNUM(EarningsPerDay[[#This Row],[Date]],2))</f>
        <v>44</v>
      </c>
      <c r="H814" s="40" t="str">
        <f>TEXT(B814,"DDDD")</f>
        <v>Monday</v>
      </c>
      <c r="I81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14" s="40" t="str" cm="1">
        <f t="array" ref="J814">IFERROR(VLOOKUP(MODE(IF(Combined[Date]=EarningsPerDay[[#This Row],[Date]],Combined[Area '#])),KPIs!$B$4:$C$7,2,FALSE),VLOOKUP(EarningsPerDay[[#This Row],[Date]],Combined[[Date]:[Primary Area]],8,FALSE))</f>
        <v>Brunswick/Bath/Freeport</v>
      </c>
      <c r="K814" s="40" t="str">
        <f>_xlfn.XLOOKUP(EarningsPerDay[[#This Row],[Date]],Mileage[Date],Mileage[Weather])</f>
        <v>Partially Cloudy</v>
      </c>
      <c r="L814" s="4">
        <f>_xlfn.XLOOKUP(EarningsPerDay[[#This Row],[Date]],Mileage[Date],Mileage[Hi Temp])</f>
        <v>45</v>
      </c>
      <c r="M814" s="12">
        <f>_xlfn.XLOOKUP(EarningsPerDay[[#This Row],[Date]],Mileage[Date],Mileage[Total Time])</f>
        <v>6.07</v>
      </c>
      <c r="N814" s="4">
        <f>_xlfn.XLOOKUP(EarningsPerDay[[#This Row],[Date]],Mileage[Date],Mileage[Mileage])</f>
        <v>139</v>
      </c>
      <c r="O814" s="4">
        <f>SUMIF(Combined[Date],EarningsPerDay[[#This Row],[Date]],Combined[Trips])</f>
        <v>14</v>
      </c>
      <c r="P814">
        <f>COUNTIF(Combined[Date],EarningsPerDay[[#This Row],[Date]])</f>
        <v>1</v>
      </c>
      <c r="Q81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4" s="11">
        <f>SUMIF(Combined[Date],EarningsPerDay[[#This Row],[Date]],Combined[Earnings])</f>
        <v>138.85</v>
      </c>
      <c r="S814" s="11">
        <f ca="1">EarningsPerDay[[#This Row],[Gross Earnings]]-(EarningsPerDay[[#This Row],[Miles]]*CpM!$D$11)</f>
        <v>107.85674012466855</v>
      </c>
      <c r="T814" s="11">
        <f t="shared" si="108"/>
        <v>22.874794069192749</v>
      </c>
      <c r="U814" s="11">
        <f t="shared" ca="1" si="109"/>
        <v>17.768820448874553</v>
      </c>
      <c r="V814" s="11">
        <f>EarningsPerDay[[#This Row],[Gross Earnings]]/EarningsPerDay[[#This Row],[Deliveries]]</f>
        <v>9.9178571428571427</v>
      </c>
      <c r="W814" s="11">
        <f>EarningsPerDay[[#This Row],[Gross Earnings]]/EarningsPerDay[[#This Row],[Miles]]</f>
        <v>0.99892086330935248</v>
      </c>
      <c r="X814" s="71">
        <f>EarningsPerDay[[#This Row],[Deliveries]]/EarningsPerDay[[#This Row],[Hours]]</f>
        <v>2.3064250411861615</v>
      </c>
      <c r="Y814" s="71">
        <f>EarningsPerDay[[#This Row],[Miles]]/EarningsPerDay[[#This Row],[Deliveries]]</f>
        <v>9.9285714285714288</v>
      </c>
      <c r="Z814" s="81">
        <f>(EarningsPerDay[[#This Row],[Hours]]/EarningsPerDay[[#This Row],[Deliveries]])/24</f>
        <v>1.8065476190476191E-2</v>
      </c>
      <c r="AA81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-2.2901229127020244</v>
      </c>
      <c r="AB814" s="11">
        <f>AVERAGEIFS(EarningsPerDay[Gross $/Hour],EarningsPerDay[Week '#], EarningsPerDay[[#This Row],[Week '#]], EarningsPerDay[DOW], EarningsPerDay[[#This Row],[DOW]])</f>
        <v>23.348653143428958</v>
      </c>
      <c r="AC814" s="11">
        <f>EarningsPerDay[[#This Row],[Gross $/Hour]] - EarningsPerDay[[#This Row],[Weekly Average Earnings]]</f>
        <v>-0.47385907423620921</v>
      </c>
      <c r="AD814" s="11">
        <f>(SUMIFS(EarningsPerDay[Gross Earnings], EarningsPerDay[Date],"&gt;="&amp;EarningsPerDay[[#This Row],[Date]]-89, EarningsPerDay[Date], "&lt;="&amp;EarningsPerDay[[#This Row],[Date]]))/90</f>
        <v>79.22</v>
      </c>
    </row>
    <row r="815" spans="2:30" x14ac:dyDescent="0.35">
      <c r="B815" s="40">
        <v>45958</v>
      </c>
      <c r="C815" s="40">
        <f t="shared" si="106"/>
        <v>45958</v>
      </c>
      <c r="D815" s="4">
        <f>IF(EarningsPerDay[[#This Row],[Week '#]]&gt;=52,YEAR(EarningsPerDay[[#This Row],[Date]])-1,YEAR(EarningsPerDay[[#This Row],[Date]]))</f>
        <v>2025</v>
      </c>
      <c r="E815" s="4" t="str">
        <f>"QTR"&amp;IF(EarningsPerDay[[#This Row],[Week '#]] &lt;= 13, 1, IF(EarningsPerDay[[#This Row],[Week '#]] &lt;= 26, 2, IF(EarningsPerDay[[#This Row],[Week '#]] &lt;= 39, 3, 4)))</f>
        <v>QTR4</v>
      </c>
      <c r="F81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15" s="4">
        <f>IF(WEEKNUM(EarningsPerDay[[#This Row],[Date]], 2) = 53, 1, WEEKNUM(EarningsPerDay[[#This Row],[Date]],2))</f>
        <v>44</v>
      </c>
      <c r="H815" s="40" t="str">
        <f t="shared" ref="H815:H816" si="118">TEXT(B815,"DDDD")</f>
        <v>Tuesday</v>
      </c>
      <c r="I815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15" s="40" t="str" cm="1">
        <f t="array" ref="J815">IFERROR(VLOOKUP(MODE(IF(Combined[Date]=EarningsPerDay[[#This Row],[Date]],Combined[Area '#])),KPIs!$B$4:$C$7,2,FALSE),VLOOKUP(EarningsPerDay[[#This Row],[Date]],Combined[[Date]:[Primary Area]],8,FALSE))</f>
        <v>Brunswick/Bath/Freeport</v>
      </c>
      <c r="K815" s="40" t="str">
        <f>_xlfn.XLOOKUP(EarningsPerDay[[#This Row],[Date]],Mileage[Date],Mileage[Weather])</f>
        <v>Clear</v>
      </c>
      <c r="L815" s="4">
        <f>_xlfn.XLOOKUP(EarningsPerDay[[#This Row],[Date]],Mileage[Date],Mileage[Hi Temp])</f>
        <v>48</v>
      </c>
      <c r="M815" s="12">
        <f>_xlfn.XLOOKUP(EarningsPerDay[[#This Row],[Date]],Mileage[Date],Mileage[Total Time])</f>
        <v>5.38</v>
      </c>
      <c r="N815" s="4">
        <f>_xlfn.XLOOKUP(EarningsPerDay[[#This Row],[Date]],Mileage[Date],Mileage[Mileage])</f>
        <v>141</v>
      </c>
      <c r="O815" s="4">
        <f>SUMIF(Combined[Date],EarningsPerDay[[#This Row],[Date]],Combined[Trips])</f>
        <v>8</v>
      </c>
      <c r="P815">
        <f>COUNTIF(Combined[Date],EarningsPerDay[[#This Row],[Date]])</f>
        <v>3</v>
      </c>
      <c r="Q81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5" s="11">
        <f>SUMIF(Combined[Date],EarningsPerDay[[#This Row],[Date]],Combined[Earnings])</f>
        <v>138.97</v>
      </c>
      <c r="S815" s="11">
        <f ca="1">EarningsPerDay[[#This Row],[Gross Earnings]]-(EarningsPerDay[[#This Row],[Miles]]*CpM!$D$11)</f>
        <v>107.53079393941198</v>
      </c>
      <c r="T815" s="11">
        <f t="shared" si="108"/>
        <v>25.830855018587361</v>
      </c>
      <c r="U815" s="11">
        <f t="shared" ca="1" si="109"/>
        <v>19.987136419965051</v>
      </c>
      <c r="V815" s="11">
        <f>EarningsPerDay[[#This Row],[Gross Earnings]]/EarningsPerDay[[#This Row],[Deliveries]]</f>
        <v>17.37125</v>
      </c>
      <c r="W815" s="11">
        <f>EarningsPerDay[[#This Row],[Gross Earnings]]/EarningsPerDay[[#This Row],[Miles]]</f>
        <v>0.98560283687943262</v>
      </c>
      <c r="X815" s="71">
        <f>EarningsPerDay[[#This Row],[Deliveries]]/EarningsPerDay[[#This Row],[Hours]]</f>
        <v>1.4869888475836432</v>
      </c>
      <c r="Y815" s="71">
        <f>EarningsPerDay[[#This Row],[Miles]]/EarningsPerDay[[#This Row],[Deliveries]]</f>
        <v>17.625</v>
      </c>
      <c r="Z815" s="81">
        <f>(EarningsPerDay[[#This Row],[Hours]]/EarningsPerDay[[#This Row],[Deliveries]])/24</f>
        <v>2.8020833333333332E-2</v>
      </c>
      <c r="AA81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1.2454078776733901</v>
      </c>
      <c r="AB815" s="11">
        <f>AVERAGEIFS(EarningsPerDay[Gross $/Hour],EarningsPerDay[Week '#], EarningsPerDay[[#This Row],[Week '#]], EarningsPerDay[DOW], EarningsPerDay[[#This Row],[DOW]])</f>
        <v>21.655685828705042</v>
      </c>
      <c r="AC815" s="11">
        <f>EarningsPerDay[[#This Row],[Gross $/Hour]] - EarningsPerDay[[#This Row],[Weekly Average Earnings]]</f>
        <v>4.1751691898823182</v>
      </c>
      <c r="AD815" s="11">
        <f>(SUMIFS(EarningsPerDay[Gross Earnings], EarningsPerDay[Date],"&gt;="&amp;EarningsPerDay[[#This Row],[Date]]-89, EarningsPerDay[Date], "&lt;="&amp;EarningsPerDay[[#This Row],[Date]]))/90</f>
        <v>79.526666666666671</v>
      </c>
    </row>
    <row r="816" spans="2:30" x14ac:dyDescent="0.35">
      <c r="B816" s="40">
        <v>45959</v>
      </c>
      <c r="C816" s="40">
        <f t="shared" si="106"/>
        <v>45959</v>
      </c>
      <c r="D816" s="4">
        <f>IF(EarningsPerDay[[#This Row],[Week '#]]&gt;=52,YEAR(EarningsPerDay[[#This Row],[Date]])-1,YEAR(EarningsPerDay[[#This Row],[Date]]))</f>
        <v>2025</v>
      </c>
      <c r="E816" s="4" t="str">
        <f>"QTR"&amp;IF(EarningsPerDay[[#This Row],[Week '#]] &lt;= 13, 1, IF(EarningsPerDay[[#This Row],[Week '#]] &lt;= 26, 2, IF(EarningsPerDay[[#This Row],[Week '#]] &lt;= 39, 3, 4)))</f>
        <v>QTR4</v>
      </c>
      <c r="F81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16" s="4">
        <f>IF(WEEKNUM(EarningsPerDay[[#This Row],[Date]], 2) = 53, 1, WEEKNUM(EarningsPerDay[[#This Row],[Date]],2))</f>
        <v>44</v>
      </c>
      <c r="H816" s="40" t="str">
        <f t="shared" si="118"/>
        <v>Wednesday</v>
      </c>
      <c r="I816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16" s="40" t="str" cm="1">
        <f t="array" ref="J816">IFERROR(VLOOKUP(MODE(IF(Combined[Date]=EarningsPerDay[[#This Row],[Date]],Combined[Area '#])),KPIs!$B$4:$C$7,2,FALSE),VLOOKUP(EarningsPerDay[[#This Row],[Date]],Combined[[Date]:[Primary Area]],8,FALSE))</f>
        <v>Brunswick/Bath/Freeport</v>
      </c>
      <c r="K816" s="40" t="str">
        <f>_xlfn.XLOOKUP(EarningsPerDay[[#This Row],[Date]],Mileage[Date],Mileage[Weather])</f>
        <v>Overcast</v>
      </c>
      <c r="L816" s="4">
        <f>_xlfn.XLOOKUP(EarningsPerDay[[#This Row],[Date]],Mileage[Date],Mileage[Hi Temp])</f>
        <v>43</v>
      </c>
      <c r="M816" s="12">
        <f>_xlfn.XLOOKUP(EarningsPerDay[[#This Row],[Date]],Mileage[Date],Mileage[Total Time])</f>
        <v>5.92</v>
      </c>
      <c r="N816" s="4">
        <f>_xlfn.XLOOKUP(EarningsPerDay[[#This Row],[Date]],Mileage[Date],Mileage[Mileage])</f>
        <v>165</v>
      </c>
      <c r="O816" s="4">
        <f>SUMIF(Combined[Date],EarningsPerDay[[#This Row],[Date]],Combined[Trips])</f>
        <v>13</v>
      </c>
      <c r="P816">
        <f>COUNTIF(Combined[Date],EarningsPerDay[[#This Row],[Date]])</f>
        <v>3</v>
      </c>
      <c r="Q81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6" s="11">
        <f>SUMIF(Combined[Date],EarningsPerDay[[#This Row],[Date]],Combined[Earnings])</f>
        <v>210.79999999999998</v>
      </c>
      <c r="S816" s="11">
        <f ca="1">EarningsPerDay[[#This Row],[Gross Earnings]]-(EarningsPerDay[[#This Row],[Miles]]*CpM!$D$11)</f>
        <v>174.00943971633316</v>
      </c>
      <c r="T816" s="11">
        <f t="shared" si="108"/>
        <v>35.608108108108105</v>
      </c>
      <c r="U816" s="11">
        <f t="shared" ca="1" si="109"/>
        <v>29.393486438569791</v>
      </c>
      <c r="V816" s="11">
        <f>EarningsPerDay[[#This Row],[Gross Earnings]]/EarningsPerDay[[#This Row],[Deliveries]]</f>
        <v>16.215384615384615</v>
      </c>
      <c r="W816" s="11">
        <f>EarningsPerDay[[#This Row],[Gross Earnings]]/EarningsPerDay[[#This Row],[Miles]]</f>
        <v>1.2775757575757574</v>
      </c>
      <c r="X816" s="71">
        <f>EarningsPerDay[[#This Row],[Deliveries]]/EarningsPerDay[[#This Row],[Hours]]</f>
        <v>2.1959459459459461</v>
      </c>
      <c r="Y816" s="71">
        <f>EarningsPerDay[[#This Row],[Miles]]/EarningsPerDay[[#This Row],[Deliveries]]</f>
        <v>12.692307692307692</v>
      </c>
      <c r="Z816" s="81">
        <f>(EarningsPerDay[[#This Row],[Hours]]/EarningsPerDay[[#This Row],[Deliveries]])/24</f>
        <v>1.8974358974358976E-2</v>
      </c>
      <c r="AA81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12.349775826691246</v>
      </c>
      <c r="AB816" s="11">
        <f>AVERAGEIFS(EarningsPerDay[Gross $/Hour],EarningsPerDay[Week '#], EarningsPerDay[[#This Row],[Week '#]], EarningsPerDay[DOW], EarningsPerDay[[#This Row],[DOW]])</f>
        <v>26.418192488621589</v>
      </c>
      <c r="AC816" s="11">
        <f>EarningsPerDay[[#This Row],[Gross $/Hour]] - EarningsPerDay[[#This Row],[Weekly Average Earnings]]</f>
        <v>9.1899156194865164</v>
      </c>
      <c r="AD816" s="11">
        <f>(SUMIFS(EarningsPerDay[Gross Earnings], EarningsPerDay[Date],"&gt;="&amp;EarningsPerDay[[#This Row],[Date]]-89, EarningsPerDay[Date], "&lt;="&amp;EarningsPerDay[[#This Row],[Date]]))/90</f>
        <v>80.597333333333353</v>
      </c>
    </row>
    <row r="817" spans="2:30" x14ac:dyDescent="0.35">
      <c r="B817" s="40">
        <v>45962</v>
      </c>
      <c r="C817" s="40">
        <f t="shared" si="106"/>
        <v>45962</v>
      </c>
      <c r="D817" s="4">
        <f>IF(EarningsPerDay[[#This Row],[Week '#]]&gt;=52,YEAR(EarningsPerDay[[#This Row],[Date]])-1,YEAR(EarningsPerDay[[#This Row],[Date]]))</f>
        <v>2025</v>
      </c>
      <c r="E817" s="4" t="str">
        <f>"QTR"&amp;IF(EarningsPerDay[[#This Row],[Week '#]] &lt;= 13, 1, IF(EarningsPerDay[[#This Row],[Week '#]] &lt;= 26, 2, IF(EarningsPerDay[[#This Row],[Week '#]] &lt;= 39, 3, 4)))</f>
        <v>QTR4</v>
      </c>
      <c r="F81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17" s="4">
        <f>IF(WEEKNUM(EarningsPerDay[[#This Row],[Date]], 2) = 53, 1, WEEKNUM(EarningsPerDay[[#This Row],[Date]],2))</f>
        <v>44</v>
      </c>
      <c r="H817" s="40" t="str">
        <f t="shared" ref="H817:H818" si="119">TEXT(B817,"DDDD")</f>
        <v>Saturday</v>
      </c>
      <c r="I817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17" s="40" t="str" cm="1">
        <f t="array" ref="J817">IFERROR(VLOOKUP(MODE(IF(Combined[Date]=EarningsPerDay[[#This Row],[Date]],Combined[Area '#])),KPIs!$B$4:$C$7,2,FALSE),VLOOKUP(EarningsPerDay[[#This Row],[Date]],Combined[[Date]:[Primary Area]],8,FALSE))</f>
        <v>Portland</v>
      </c>
      <c r="K817" s="40" t="str">
        <f>_xlfn.XLOOKUP(EarningsPerDay[[#This Row],[Date]],Mileage[Date],Mileage[Weather])</f>
        <v>Clear</v>
      </c>
      <c r="L817" s="4">
        <f>_xlfn.XLOOKUP(EarningsPerDay[[#This Row],[Date]],Mileage[Date],Mileage[Hi Temp])</f>
        <v>43</v>
      </c>
      <c r="M817" s="12">
        <f>_xlfn.XLOOKUP(EarningsPerDay[[#This Row],[Date]],Mileage[Date],Mileage[Total Time])</f>
        <v>5.55</v>
      </c>
      <c r="N817" s="4">
        <f>_xlfn.XLOOKUP(EarningsPerDay[[#This Row],[Date]],Mileage[Date],Mileage[Mileage])</f>
        <v>182</v>
      </c>
      <c r="O817" s="4">
        <f>SUMIF(Combined[Date],EarningsPerDay[[#This Row],[Date]],Combined[Trips])</f>
        <v>9</v>
      </c>
      <c r="P817">
        <f>COUNTIF(Combined[Date],EarningsPerDay[[#This Row],[Date]])</f>
        <v>2</v>
      </c>
      <c r="Q81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17" s="11">
        <f>SUMIF(Combined[Date],EarningsPerDay[[#This Row],[Date]],Combined[Earnings])</f>
        <v>122.39</v>
      </c>
      <c r="S817" s="11">
        <f ca="1">EarningsPerDay[[#This Row],[Gross Earnings]]-(EarningsPerDay[[#This Row],[Miles]]*CpM!$D$11)</f>
        <v>81.808897141652352</v>
      </c>
      <c r="T817" s="11">
        <f t="shared" si="108"/>
        <v>22.052252252252252</v>
      </c>
      <c r="U817" s="11">
        <f t="shared" ca="1" si="109"/>
        <v>14.740341827324748</v>
      </c>
      <c r="V817" s="11">
        <f>EarningsPerDay[[#This Row],[Gross Earnings]]/EarningsPerDay[[#This Row],[Deliveries]]</f>
        <v>13.598888888888888</v>
      </c>
      <c r="W817" s="11">
        <f>EarningsPerDay[[#This Row],[Gross Earnings]]/EarningsPerDay[[#This Row],[Miles]]</f>
        <v>0.6724725274725275</v>
      </c>
      <c r="X817" s="71">
        <f>EarningsPerDay[[#This Row],[Deliveries]]/EarningsPerDay[[#This Row],[Hours]]</f>
        <v>1.6216216216216217</v>
      </c>
      <c r="Y817" s="71">
        <f>EarningsPerDay[[#This Row],[Miles]]/EarningsPerDay[[#This Row],[Deliveries]]</f>
        <v>20.222222222222221</v>
      </c>
      <c r="Z817" s="81">
        <f>(EarningsPerDay[[#This Row],[Hours]]/EarningsPerDay[[#This Row],[Deliveries]])/24</f>
        <v>2.5694444444444447E-2</v>
      </c>
      <c r="AA81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-0.56579898022065578</v>
      </c>
      <c r="AB817" s="11">
        <f>AVERAGEIFS(EarningsPerDay[Gross $/Hour],EarningsPerDay[Week '#], EarningsPerDay[[#This Row],[Week '#]], EarningsPerDay[DOW], EarningsPerDay[[#This Row],[DOW]])</f>
        <v>20.061507532095767</v>
      </c>
      <c r="AC817" s="11">
        <f>EarningsPerDay[[#This Row],[Gross $/Hour]] - EarningsPerDay[[#This Row],[Weekly Average Earnings]]</f>
        <v>1.990744720156485</v>
      </c>
      <c r="AD817" s="11">
        <f>(SUMIFS(EarningsPerDay[Gross Earnings], EarningsPerDay[Date],"&gt;="&amp;EarningsPerDay[[#This Row],[Date]]-89, EarningsPerDay[Date], "&lt;="&amp;EarningsPerDay[[#This Row],[Date]]))/90</f>
        <v>80.261000000000024</v>
      </c>
    </row>
    <row r="818" spans="2:30" x14ac:dyDescent="0.35">
      <c r="B818" s="40">
        <v>45963</v>
      </c>
      <c r="C818" s="40">
        <f t="shared" si="106"/>
        <v>45963</v>
      </c>
      <c r="D818" s="4">
        <f>IF(EarningsPerDay[[#This Row],[Week '#]]&gt;=52,YEAR(EarningsPerDay[[#This Row],[Date]])-1,YEAR(EarningsPerDay[[#This Row],[Date]]))</f>
        <v>2025</v>
      </c>
      <c r="E818" s="4" t="str">
        <f>"QTR"&amp;IF(EarningsPerDay[[#This Row],[Week '#]] &lt;= 13, 1, IF(EarningsPerDay[[#This Row],[Week '#]] &lt;= 26, 2, IF(EarningsPerDay[[#This Row],[Week '#]] &lt;= 39, 3, 4)))</f>
        <v>QTR4</v>
      </c>
      <c r="F81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18" s="4">
        <f>IF(WEEKNUM(EarningsPerDay[[#This Row],[Date]], 2) = 53, 1, WEEKNUM(EarningsPerDay[[#This Row],[Date]],2))</f>
        <v>44</v>
      </c>
      <c r="H818" s="40" t="str">
        <f t="shared" si="119"/>
        <v>Sunday</v>
      </c>
      <c r="I818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818" s="40" t="str" cm="1">
        <f t="array" ref="J818">IFERROR(VLOOKUP(MODE(IF(Combined[Date]=EarningsPerDay[[#This Row],[Date]],Combined[Area '#])),KPIs!$B$4:$C$7,2,FALSE),VLOOKUP(EarningsPerDay[[#This Row],[Date]],Combined[[Date]:[Primary Area]],8,FALSE))</f>
        <v>Lewiston</v>
      </c>
      <c r="K818" s="40" t="str">
        <f>_xlfn.XLOOKUP(EarningsPerDay[[#This Row],[Date]],Mileage[Date],Mileage[Weather])</f>
        <v>Clear</v>
      </c>
      <c r="L818" s="4">
        <f>_xlfn.XLOOKUP(EarningsPerDay[[#This Row],[Date]],Mileage[Date],Mileage[Hi Temp])</f>
        <v>37</v>
      </c>
      <c r="M818" s="12">
        <f>_xlfn.XLOOKUP(EarningsPerDay[[#This Row],[Date]],Mileage[Date],Mileage[Total Time])</f>
        <v>1.1000000000000001</v>
      </c>
      <c r="N818" s="4">
        <f>_xlfn.XLOOKUP(EarningsPerDay[[#This Row],[Date]],Mileage[Date],Mileage[Mileage])</f>
        <v>16</v>
      </c>
      <c r="O818" s="4">
        <f>SUMIF(Combined[Date],EarningsPerDay[[#This Row],[Date]],Combined[Trips])</f>
        <v>3</v>
      </c>
      <c r="P818">
        <f>COUNTIF(Combined[Date],EarningsPerDay[[#This Row],[Date]])</f>
        <v>1</v>
      </c>
      <c r="Q81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18" s="11">
        <f>SUMIF(Combined[Date],EarningsPerDay[[#This Row],[Date]],Combined[Earnings])</f>
        <v>18.75</v>
      </c>
      <c r="S818" s="11">
        <f ca="1">EarningsPerDay[[#This Row],[Gross Earnings]]-(EarningsPerDay[[#This Row],[Miles]]*CpM!$D$11)</f>
        <v>15.182430517947459</v>
      </c>
      <c r="T818" s="11">
        <f t="shared" si="108"/>
        <v>17.045454545454543</v>
      </c>
      <c r="U818" s="11">
        <f t="shared" ca="1" si="109"/>
        <v>13.802209561770416</v>
      </c>
      <c r="V818" s="11">
        <f>EarningsPerDay[[#This Row],[Gross Earnings]]/EarningsPerDay[[#This Row],[Deliveries]]</f>
        <v>6.25</v>
      </c>
      <c r="W818" s="11">
        <f>EarningsPerDay[[#This Row],[Gross Earnings]]/EarningsPerDay[[#This Row],[Miles]]</f>
        <v>1.171875</v>
      </c>
      <c r="X818" s="71">
        <f>EarningsPerDay[[#This Row],[Deliveries]]/EarningsPerDay[[#This Row],[Hours]]</f>
        <v>2.7272727272727271</v>
      </c>
      <c r="Y818" s="71">
        <f>EarningsPerDay[[#This Row],[Miles]]/EarningsPerDay[[#This Row],[Deliveries]]</f>
        <v>5.333333333333333</v>
      </c>
      <c r="Z818" s="81">
        <f>(EarningsPerDay[[#This Row],[Hours]]/EarningsPerDay[[#This Row],[Deliveries]])/24</f>
        <v>1.5277777777777779E-2</v>
      </c>
      <c r="AA81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-3.6910529484779673</v>
      </c>
      <c r="AB818" s="11">
        <f>AVERAGEIFS(EarningsPerDay[Gross $/Hour],EarningsPerDay[Week '#], EarningsPerDay[[#This Row],[Week '#]], EarningsPerDay[DOW], EarningsPerDay[[#This Row],[DOW]])</f>
        <v>25.478956891064474</v>
      </c>
      <c r="AC818" s="11">
        <f>EarningsPerDay[[#This Row],[Gross $/Hour]] - EarningsPerDay[[#This Row],[Weekly Average Earnings]]</f>
        <v>-8.4335023456099307</v>
      </c>
      <c r="AD818" s="11">
        <f>(SUMIFS(EarningsPerDay[Gross Earnings], EarningsPerDay[Date],"&gt;="&amp;EarningsPerDay[[#This Row],[Date]]-89, EarningsPerDay[Date], "&lt;="&amp;EarningsPerDay[[#This Row],[Date]]))/90</f>
        <v>78.89222222222223</v>
      </c>
    </row>
    <row r="819" spans="2:30" x14ac:dyDescent="0.35">
      <c r="B819" s="40">
        <v>45964</v>
      </c>
      <c r="C819" s="40">
        <f t="shared" si="106"/>
        <v>45964</v>
      </c>
      <c r="D819" s="4">
        <f>IF(EarningsPerDay[[#This Row],[Week '#]]&gt;=52,YEAR(EarningsPerDay[[#This Row],[Date]])-1,YEAR(EarningsPerDay[[#This Row],[Date]]))</f>
        <v>2025</v>
      </c>
      <c r="E819" s="4" t="str">
        <f>"QTR"&amp;IF(EarningsPerDay[[#This Row],[Week '#]] &lt;= 13, 1, IF(EarningsPerDay[[#This Row],[Week '#]] &lt;= 26, 2, IF(EarningsPerDay[[#This Row],[Week '#]] &lt;= 39, 3, 4)))</f>
        <v>QTR4</v>
      </c>
      <c r="F81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19" s="4">
        <f>IF(WEEKNUM(EarningsPerDay[[#This Row],[Date]], 2) = 53, 1, WEEKNUM(EarningsPerDay[[#This Row],[Date]],2))</f>
        <v>45</v>
      </c>
      <c r="H819" s="40" t="str">
        <f t="shared" ref="H819:H824" si="120">TEXT(B819,"DDDD")</f>
        <v>Monday</v>
      </c>
      <c r="I819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19" s="40" t="str" cm="1">
        <f t="array" ref="J819">IFERROR(VLOOKUP(MODE(IF(Combined[Date]=EarningsPerDay[[#This Row],[Date]],Combined[Area '#])),KPIs!$B$4:$C$7,2,FALSE),VLOOKUP(EarningsPerDay[[#This Row],[Date]],Combined[[Date]:[Primary Area]],8,FALSE))</f>
        <v>Brunswick/Bath/Freeport</v>
      </c>
      <c r="K819" s="40" t="str">
        <f>_xlfn.XLOOKUP(EarningsPerDay[[#This Row],[Date]],Mileage[Date],Mileage[Weather])</f>
        <v>Light Rain</v>
      </c>
      <c r="L819" s="4">
        <f>_xlfn.XLOOKUP(EarningsPerDay[[#This Row],[Date]],Mileage[Date],Mileage[Hi Temp])</f>
        <v>52</v>
      </c>
      <c r="M819" s="12">
        <f>_xlfn.XLOOKUP(EarningsPerDay[[#This Row],[Date]],Mileage[Date],Mileage[Total Time])</f>
        <v>2.35</v>
      </c>
      <c r="N819" s="4">
        <f>_xlfn.XLOOKUP(EarningsPerDay[[#This Row],[Date]],Mileage[Date],Mileage[Mileage])</f>
        <v>46</v>
      </c>
      <c r="O819" s="4">
        <f>SUMIF(Combined[Date],EarningsPerDay[[#This Row],[Date]],Combined[Trips])</f>
        <v>5</v>
      </c>
      <c r="P819">
        <f>COUNTIF(Combined[Date],EarningsPerDay[[#This Row],[Date]])</f>
        <v>1</v>
      </c>
      <c r="Q81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19" s="11">
        <f>SUMIF(Combined[Date],EarningsPerDay[[#This Row],[Date]],Combined[Earnings])</f>
        <v>43.65</v>
      </c>
      <c r="S819" s="11">
        <f ca="1">EarningsPerDay[[#This Row],[Gross Earnings]]-(EarningsPerDay[[#This Row],[Miles]]*CpM!$D$11)</f>
        <v>33.393237739098943</v>
      </c>
      <c r="T819" s="11">
        <f t="shared" si="108"/>
        <v>18.574468085106382</v>
      </c>
      <c r="U819" s="11">
        <f t="shared" ca="1" si="109"/>
        <v>14.20988839961657</v>
      </c>
      <c r="V819" s="11">
        <f>EarningsPerDay[[#This Row],[Gross Earnings]]/EarningsPerDay[[#This Row],[Deliveries]]</f>
        <v>8.73</v>
      </c>
      <c r="W819" s="11">
        <f>EarningsPerDay[[#This Row],[Gross Earnings]]/EarningsPerDay[[#This Row],[Miles]]</f>
        <v>0.94891304347826089</v>
      </c>
      <c r="X819" s="71">
        <f>EarningsPerDay[[#This Row],[Deliveries]]/EarningsPerDay[[#This Row],[Hours]]</f>
        <v>2.1276595744680851</v>
      </c>
      <c r="Y819" s="71">
        <f>EarningsPerDay[[#This Row],[Miles]]/EarningsPerDay[[#This Row],[Deliveries]]</f>
        <v>9.1999999999999993</v>
      </c>
      <c r="Z819" s="81">
        <f>(EarningsPerDay[[#This Row],[Hours]]/EarningsPerDay[[#This Row],[Deliveries]])/24</f>
        <v>1.9583333333333335E-2</v>
      </c>
      <c r="AA81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-6.4950271087591389</v>
      </c>
      <c r="AB819" s="11">
        <f>AVERAGEIFS(EarningsPerDay[Gross $/Hour],EarningsPerDay[Week '#], EarningsPerDay[[#This Row],[Week '#]], EarningsPerDay[DOW], EarningsPerDay[[#This Row],[DOW]])</f>
        <v>23.702445636735508</v>
      </c>
      <c r="AC819" s="11">
        <f>EarningsPerDay[[#This Row],[Gross $/Hour]] - EarningsPerDay[[#This Row],[Weekly Average Earnings]]</f>
        <v>-5.1279775516291259</v>
      </c>
      <c r="AD819" s="11">
        <f>(SUMIFS(EarningsPerDay[Gross Earnings], EarningsPerDay[Date],"&gt;="&amp;EarningsPerDay[[#This Row],[Date]]-89, EarningsPerDay[Date], "&lt;="&amp;EarningsPerDay[[#This Row],[Date]]))/90</f>
        <v>79.37722222222223</v>
      </c>
    </row>
    <row r="820" spans="2:30" x14ac:dyDescent="0.35">
      <c r="B820" s="40">
        <v>45965</v>
      </c>
      <c r="C820" s="40">
        <f t="shared" si="106"/>
        <v>45965</v>
      </c>
      <c r="D820" s="4">
        <f>IF(EarningsPerDay[[#This Row],[Week '#]]&gt;=52,YEAR(EarningsPerDay[[#This Row],[Date]])-1,YEAR(EarningsPerDay[[#This Row],[Date]]))</f>
        <v>2025</v>
      </c>
      <c r="E820" s="4" t="str">
        <f>"QTR"&amp;IF(EarningsPerDay[[#This Row],[Week '#]] &lt;= 13, 1, IF(EarningsPerDay[[#This Row],[Week '#]] &lt;= 26, 2, IF(EarningsPerDay[[#This Row],[Week '#]] &lt;= 39, 3, 4)))</f>
        <v>QTR4</v>
      </c>
      <c r="F82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20" s="4">
        <f>IF(WEEKNUM(EarningsPerDay[[#This Row],[Date]], 2) = 53, 1, WEEKNUM(EarningsPerDay[[#This Row],[Date]],2))</f>
        <v>45</v>
      </c>
      <c r="H820" s="40" t="str">
        <f t="shared" si="120"/>
        <v>Tuesday</v>
      </c>
      <c r="I820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20" s="40" t="str" cm="1">
        <f t="array" ref="J820">IFERROR(VLOOKUP(MODE(IF(Combined[Date]=EarningsPerDay[[#This Row],[Date]],Combined[Area '#])),KPIs!$B$4:$C$7,2,FALSE),VLOOKUP(EarningsPerDay[[#This Row],[Date]],Combined[[Date]:[Primary Area]],8,FALSE))</f>
        <v>Brunswick/Bath/Freeport</v>
      </c>
      <c r="K820" s="40" t="str">
        <f>_xlfn.XLOOKUP(EarningsPerDay[[#This Row],[Date]],Mileage[Date],Mileage[Weather])</f>
        <v>Clear</v>
      </c>
      <c r="L820" s="4">
        <f>_xlfn.XLOOKUP(EarningsPerDay[[#This Row],[Date]],Mileage[Date],Mileage[Hi Temp])</f>
        <v>45</v>
      </c>
      <c r="M820" s="12">
        <f>_xlfn.XLOOKUP(EarningsPerDay[[#This Row],[Date]],Mileage[Date],Mileage[Total Time])</f>
        <v>5.25</v>
      </c>
      <c r="N820" s="4">
        <f>_xlfn.XLOOKUP(EarningsPerDay[[#This Row],[Date]],Mileage[Date],Mileage[Mileage])</f>
        <v>111</v>
      </c>
      <c r="O820" s="4">
        <f>SUMIF(Combined[Date],EarningsPerDay[[#This Row],[Date]],Combined[Trips])</f>
        <v>12</v>
      </c>
      <c r="P820">
        <f>COUNTIF(Combined[Date],EarningsPerDay[[#This Row],[Date]])</f>
        <v>3</v>
      </c>
      <c r="Q82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0" s="11">
        <f>SUMIF(Combined[Date],EarningsPerDay[[#This Row],[Date]],Combined[Earnings])</f>
        <v>94.57</v>
      </c>
      <c r="S820" s="11">
        <f ca="1">EarningsPerDay[[#This Row],[Gross Earnings]]-(EarningsPerDay[[#This Row],[Miles]]*CpM!$D$11)</f>
        <v>69.819986718260481</v>
      </c>
      <c r="T820" s="11">
        <f t="shared" si="108"/>
        <v>18.013333333333332</v>
      </c>
      <c r="U820" s="11">
        <f t="shared" ca="1" si="109"/>
        <v>13.299045089192472</v>
      </c>
      <c r="V820" s="11">
        <f>EarningsPerDay[[#This Row],[Gross Earnings]]/EarningsPerDay[[#This Row],[Deliveries]]</f>
        <v>7.8808333333333325</v>
      </c>
      <c r="W820" s="11">
        <f>EarningsPerDay[[#This Row],[Gross Earnings]]/EarningsPerDay[[#This Row],[Miles]]</f>
        <v>0.85198198198198194</v>
      </c>
      <c r="X820" s="71">
        <f>EarningsPerDay[[#This Row],[Deliveries]]/EarningsPerDay[[#This Row],[Hours]]</f>
        <v>2.2857142857142856</v>
      </c>
      <c r="Y820" s="71">
        <f>EarningsPerDay[[#This Row],[Miles]]/EarningsPerDay[[#This Row],[Deliveries]]</f>
        <v>9.25</v>
      </c>
      <c r="Z820" s="81">
        <f>(EarningsPerDay[[#This Row],[Hours]]/EarningsPerDay[[#This Row],[Deliveries]])/24</f>
        <v>1.8229166666666668E-2</v>
      </c>
      <c r="AA82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-6.6413031341180506</v>
      </c>
      <c r="AB820" s="11">
        <f>AVERAGEIFS(EarningsPerDay[Gross $/Hour],EarningsPerDay[Week '#], EarningsPerDay[[#This Row],[Week '#]], EarningsPerDay[DOW], EarningsPerDay[[#This Row],[DOW]])</f>
        <v>24.067332496186882</v>
      </c>
      <c r="AC820" s="11">
        <f>EarningsPerDay[[#This Row],[Gross $/Hour]] - EarningsPerDay[[#This Row],[Weekly Average Earnings]]</f>
        <v>-6.0539991628535503</v>
      </c>
      <c r="AD820" s="11">
        <f>(SUMIFS(EarningsPerDay[Gross Earnings], EarningsPerDay[Date],"&gt;="&amp;EarningsPerDay[[#This Row],[Date]]-89, EarningsPerDay[Date], "&lt;="&amp;EarningsPerDay[[#This Row],[Date]]))/90</f>
        <v>79.637777777777785</v>
      </c>
    </row>
    <row r="821" spans="2:30" x14ac:dyDescent="0.35">
      <c r="B821" s="40">
        <v>45968</v>
      </c>
      <c r="C821" s="40">
        <f t="shared" si="106"/>
        <v>45968</v>
      </c>
      <c r="D821" s="4">
        <f>IF(EarningsPerDay[[#This Row],[Week '#]]&gt;=52,YEAR(EarningsPerDay[[#This Row],[Date]])-1,YEAR(EarningsPerDay[[#This Row],[Date]]))</f>
        <v>2025</v>
      </c>
      <c r="E821" s="4" t="str">
        <f>"QTR"&amp;IF(EarningsPerDay[[#This Row],[Week '#]] &lt;= 13, 1, IF(EarningsPerDay[[#This Row],[Week '#]] &lt;= 26, 2, IF(EarningsPerDay[[#This Row],[Week '#]] &lt;= 39, 3, 4)))</f>
        <v>QTR4</v>
      </c>
      <c r="F82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21" s="4">
        <f>IF(WEEKNUM(EarningsPerDay[[#This Row],[Date]], 2) = 53, 1, WEEKNUM(EarningsPerDay[[#This Row],[Date]],2))</f>
        <v>45</v>
      </c>
      <c r="H821" s="40" t="str">
        <f t="shared" si="120"/>
        <v>Friday</v>
      </c>
      <c r="I821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821" s="40" t="str" cm="1">
        <f t="array" ref="J821">IFERROR(VLOOKUP(MODE(IF(Combined[Date]=EarningsPerDay[[#This Row],[Date]],Combined[Area '#])),KPIs!$B$4:$C$7,2,FALSE),VLOOKUP(EarningsPerDay[[#This Row],[Date]],Combined[[Date]:[Primary Area]],8,FALSE))</f>
        <v>Brunswick/Bath/Freeport</v>
      </c>
      <c r="K821" s="40" t="str">
        <f>_xlfn.XLOOKUP(EarningsPerDay[[#This Row],[Date]],Mileage[Date],Mileage[Weather])</f>
        <v>Sunny</v>
      </c>
      <c r="L821" s="4">
        <f>_xlfn.XLOOKUP(EarningsPerDay[[#This Row],[Date]],Mileage[Date],Mileage[Hi Temp])</f>
        <v>43</v>
      </c>
      <c r="M821" s="12">
        <f>_xlfn.XLOOKUP(EarningsPerDay[[#This Row],[Date]],Mileage[Date],Mileage[Total Time])</f>
        <v>2.1800000000000002</v>
      </c>
      <c r="N821" s="4">
        <f>_xlfn.XLOOKUP(EarningsPerDay[[#This Row],[Date]],Mileage[Date],Mileage[Mileage])</f>
        <v>66</v>
      </c>
      <c r="O821" s="4">
        <f>SUMIF(Combined[Date],EarningsPerDay[[#This Row],[Date]],Combined[Trips])</f>
        <v>4</v>
      </c>
      <c r="P821">
        <f>COUNTIF(Combined[Date],EarningsPerDay[[#This Row],[Date]])</f>
        <v>2</v>
      </c>
      <c r="Q821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21" s="11">
        <f>SUMIF(Combined[Date],EarningsPerDay[[#This Row],[Date]],Combined[Earnings])</f>
        <v>32.53</v>
      </c>
      <c r="S821" s="11">
        <f ca="1">EarningsPerDay[[#This Row],[Gross Earnings]]-(EarningsPerDay[[#This Row],[Miles]]*CpM!$D$11)</f>
        <v>17.813775886533268</v>
      </c>
      <c r="T821" s="11">
        <f t="shared" si="108"/>
        <v>14.922018348623853</v>
      </c>
      <c r="U821" s="11">
        <f t="shared" ca="1" si="109"/>
        <v>8.1714568286849847</v>
      </c>
      <c r="V821" s="11">
        <f>EarningsPerDay[[#This Row],[Gross Earnings]]/EarningsPerDay[[#This Row],[Deliveries]]</f>
        <v>8.1325000000000003</v>
      </c>
      <c r="W821" s="11">
        <f>EarningsPerDay[[#This Row],[Gross Earnings]]/EarningsPerDay[[#This Row],[Miles]]</f>
        <v>0.49287878787878792</v>
      </c>
      <c r="X821" s="71">
        <f>EarningsPerDay[[#This Row],[Deliveries]]/EarningsPerDay[[#This Row],[Hours]]</f>
        <v>1.8348623853211008</v>
      </c>
      <c r="Y821" s="71">
        <f>EarningsPerDay[[#This Row],[Miles]]/EarningsPerDay[[#This Row],[Deliveries]]</f>
        <v>16.5</v>
      </c>
      <c r="Z821" s="81">
        <f>(EarningsPerDay[[#This Row],[Hours]]/EarningsPerDay[[#This Row],[Deliveries]])/24</f>
        <v>2.2708333333333334E-2</v>
      </c>
      <c r="AA82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-9.7494866329508962</v>
      </c>
      <c r="AB821" s="11">
        <f>AVERAGEIFS(EarningsPerDay[Gross $/Hour],EarningsPerDay[Week '#], EarningsPerDay[[#This Row],[Week '#]], EarningsPerDay[DOW], EarningsPerDay[[#This Row],[DOW]])</f>
        <v>21.69064414780944</v>
      </c>
      <c r="AC821" s="11">
        <f>EarningsPerDay[[#This Row],[Gross $/Hour]] - EarningsPerDay[[#This Row],[Weekly Average Earnings]]</f>
        <v>-6.7686257991855872</v>
      </c>
      <c r="AD821" s="11">
        <f>(SUMIFS(EarningsPerDay[Gross Earnings], EarningsPerDay[Date],"&gt;="&amp;EarningsPerDay[[#This Row],[Date]]-89, EarningsPerDay[Date], "&lt;="&amp;EarningsPerDay[[#This Row],[Date]]))/90</f>
        <v>77.907777777777795</v>
      </c>
    </row>
    <row r="822" spans="2:30" x14ac:dyDescent="0.35">
      <c r="B822" s="40">
        <v>45969</v>
      </c>
      <c r="C822" s="40">
        <f t="shared" si="106"/>
        <v>45969</v>
      </c>
      <c r="D822" s="4">
        <f>IF(EarningsPerDay[[#This Row],[Week '#]]&gt;=52,YEAR(EarningsPerDay[[#This Row],[Date]])-1,YEAR(EarningsPerDay[[#This Row],[Date]]))</f>
        <v>2025</v>
      </c>
      <c r="E822" s="4" t="str">
        <f>"QTR"&amp;IF(EarningsPerDay[[#This Row],[Week '#]] &lt;= 13, 1, IF(EarningsPerDay[[#This Row],[Week '#]] &lt;= 26, 2, IF(EarningsPerDay[[#This Row],[Week '#]] &lt;= 39, 3, 4)))</f>
        <v>QTR4</v>
      </c>
      <c r="F82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22" s="4">
        <f>IF(WEEKNUM(EarningsPerDay[[#This Row],[Date]], 2) = 53, 1, WEEKNUM(EarningsPerDay[[#This Row],[Date]],2))</f>
        <v>45</v>
      </c>
      <c r="H822" s="40" t="str">
        <f t="shared" si="120"/>
        <v>Saturday</v>
      </c>
      <c r="I82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22" s="40" t="str" cm="1">
        <f t="array" ref="J822">IFERROR(VLOOKUP(MODE(IF(Combined[Date]=EarningsPerDay[[#This Row],[Date]],Combined[Area '#])),KPIs!$B$4:$C$7,2,FALSE),VLOOKUP(EarningsPerDay[[#This Row],[Date]],Combined[[Date]:[Primary Area]],8,FALSE))</f>
        <v>Lewiston</v>
      </c>
      <c r="K822" s="40" t="str">
        <f>_xlfn.XLOOKUP(EarningsPerDay[[#This Row],[Date]],Mileage[Date],Mileage[Weather])</f>
        <v>Clear</v>
      </c>
      <c r="L822" s="4">
        <f>_xlfn.XLOOKUP(EarningsPerDay[[#This Row],[Date]],Mileage[Date],Mileage[Hi Temp])</f>
        <v>46</v>
      </c>
      <c r="M822" s="12">
        <f>_xlfn.XLOOKUP(EarningsPerDay[[#This Row],[Date]],Mileage[Date],Mileage[Total Time])</f>
        <v>6.3330000000000002</v>
      </c>
      <c r="N822" s="4">
        <f>_xlfn.XLOOKUP(EarningsPerDay[[#This Row],[Date]],Mileage[Date],Mileage[Mileage])</f>
        <v>101</v>
      </c>
      <c r="O822" s="4">
        <f>SUMIF(Combined[Date],EarningsPerDay[[#This Row],[Date]],Combined[Trips])</f>
        <v>17</v>
      </c>
      <c r="P822">
        <f>COUNTIF(Combined[Date],EarningsPerDay[[#This Row],[Date]])</f>
        <v>4</v>
      </c>
      <c r="Q82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2" s="11">
        <f>SUMIF(Combined[Date],EarningsPerDay[[#This Row],[Date]],Combined[Earnings])</f>
        <v>122.97</v>
      </c>
      <c r="S822" s="11">
        <f ca="1">EarningsPerDay[[#This Row],[Gross Earnings]]-(EarningsPerDay[[#This Row],[Miles]]*CpM!$D$11)</f>
        <v>100.44971764454334</v>
      </c>
      <c r="T822" s="11">
        <f t="shared" si="108"/>
        <v>19.417337754618664</v>
      </c>
      <c r="U822" s="11">
        <f t="shared" ca="1" si="109"/>
        <v>15.861316539482605</v>
      </c>
      <c r="V822" s="11">
        <f>EarningsPerDay[[#This Row],[Gross Earnings]]/EarningsPerDay[[#This Row],[Deliveries]]</f>
        <v>7.2335294117647058</v>
      </c>
      <c r="W822" s="11">
        <f>EarningsPerDay[[#This Row],[Gross Earnings]]/EarningsPerDay[[#This Row],[Miles]]</f>
        <v>1.2175247524752475</v>
      </c>
      <c r="X822" s="71">
        <f>EarningsPerDay[[#This Row],[Deliveries]]/EarningsPerDay[[#This Row],[Hours]]</f>
        <v>2.684351807989894</v>
      </c>
      <c r="Y822" s="71">
        <f>EarningsPerDay[[#This Row],[Miles]]/EarningsPerDay[[#This Row],[Deliveries]]</f>
        <v>5.9411764705882355</v>
      </c>
      <c r="Z822" s="81">
        <f>(EarningsPerDay[[#This Row],[Hours]]/EarningsPerDay[[#This Row],[Deliveries]])/24</f>
        <v>1.5522058823529411E-2</v>
      </c>
      <c r="AA82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-1.2078495973323804</v>
      </c>
      <c r="AB822" s="11">
        <f>AVERAGEIFS(EarningsPerDay[Gross $/Hour],EarningsPerDay[Week '#], EarningsPerDay[[#This Row],[Week '#]], EarningsPerDay[DOW], EarningsPerDay[[#This Row],[DOW]])</f>
        <v>19.417337754618664</v>
      </c>
      <c r="AC822" s="11">
        <f>EarningsPerDay[[#This Row],[Gross $/Hour]] - EarningsPerDay[[#This Row],[Weekly Average Earnings]]</f>
        <v>0</v>
      </c>
      <c r="AD822" s="11">
        <f>(SUMIFS(EarningsPerDay[Gross Earnings], EarningsPerDay[Date],"&gt;="&amp;EarningsPerDay[[#This Row],[Date]]-89, EarningsPerDay[Date], "&lt;="&amp;EarningsPerDay[[#This Row],[Date]]))/90</f>
        <v>77.703000000000017</v>
      </c>
    </row>
    <row r="823" spans="2:30" x14ac:dyDescent="0.35">
      <c r="B823" s="40">
        <v>45971</v>
      </c>
      <c r="C823" s="40">
        <f t="shared" si="106"/>
        <v>45971</v>
      </c>
      <c r="D823" s="4">
        <f>IF(EarningsPerDay[[#This Row],[Week '#]]&gt;=52,YEAR(EarningsPerDay[[#This Row],[Date]])-1,YEAR(EarningsPerDay[[#This Row],[Date]]))</f>
        <v>2025</v>
      </c>
      <c r="E823" s="4" t="str">
        <f>"QTR"&amp;IF(EarningsPerDay[[#This Row],[Week '#]] &lt;= 13, 1, IF(EarningsPerDay[[#This Row],[Week '#]] &lt;= 26, 2, IF(EarningsPerDay[[#This Row],[Week '#]] &lt;= 39, 3, 4)))</f>
        <v>QTR4</v>
      </c>
      <c r="F82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23" s="4">
        <f>IF(WEEKNUM(EarningsPerDay[[#This Row],[Date]], 2) = 53, 1, WEEKNUM(EarningsPerDay[[#This Row],[Date]],2))</f>
        <v>46</v>
      </c>
      <c r="H823" s="40" t="str">
        <f t="shared" si="120"/>
        <v>Monday</v>
      </c>
      <c r="I823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823" s="40" t="str" cm="1">
        <f t="array" ref="J823">IFERROR(VLOOKUP(MODE(IF(Combined[Date]=EarningsPerDay[[#This Row],[Date]],Combined[Area '#])),KPIs!$B$4:$C$7,2,FALSE),VLOOKUP(EarningsPerDay[[#This Row],[Date]],Combined[[Date]:[Primary Area]],8,FALSE))</f>
        <v>Brunswick/Bath/Freeport</v>
      </c>
      <c r="K823" s="40" t="str">
        <f>_xlfn.XLOOKUP(EarningsPerDay[[#This Row],[Date]],Mileage[Date],Mileage[Weather])</f>
        <v>Fog</v>
      </c>
      <c r="L823" s="4">
        <f>_xlfn.XLOOKUP(EarningsPerDay[[#This Row],[Date]],Mileage[Date],Mileage[Hi Temp])</f>
        <v>46</v>
      </c>
      <c r="M823" s="12">
        <f>_xlfn.XLOOKUP(EarningsPerDay[[#This Row],[Date]],Mileage[Date],Mileage[Total Time])</f>
        <v>2.57</v>
      </c>
      <c r="N823" s="4">
        <f>_xlfn.XLOOKUP(EarningsPerDay[[#This Row],[Date]],Mileage[Date],Mileage[Mileage])</f>
        <v>62</v>
      </c>
      <c r="O823" s="4">
        <f>SUMIF(Combined[Date],EarningsPerDay[[#This Row],[Date]],Combined[Trips])</f>
        <v>5</v>
      </c>
      <c r="P823">
        <f>COUNTIF(Combined[Date],EarningsPerDay[[#This Row],[Date]])</f>
        <v>1</v>
      </c>
      <c r="Q82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23" s="11">
        <f>SUMIF(Combined[Date],EarningsPerDay[[#This Row],[Date]],Combined[Earnings])</f>
        <v>56.12</v>
      </c>
      <c r="S823" s="11">
        <f ca="1">EarningsPerDay[[#This Row],[Gross Earnings]]-(EarningsPerDay[[#This Row],[Miles]]*CpM!$D$11)</f>
        <v>42.295668257046401</v>
      </c>
      <c r="T823" s="11">
        <f t="shared" si="108"/>
        <v>21.836575875486382</v>
      </c>
      <c r="U823" s="11">
        <f t="shared" ca="1" si="109"/>
        <v>16.45745846577681</v>
      </c>
      <c r="V823" s="11">
        <f>EarningsPerDay[[#This Row],[Gross Earnings]]/EarningsPerDay[[#This Row],[Deliveries]]</f>
        <v>11.224</v>
      </c>
      <c r="W823" s="11">
        <f>EarningsPerDay[[#This Row],[Gross Earnings]]/EarningsPerDay[[#This Row],[Miles]]</f>
        <v>0.90516129032258064</v>
      </c>
      <c r="X823" s="71">
        <f>EarningsPerDay[[#This Row],[Deliveries]]/EarningsPerDay[[#This Row],[Hours]]</f>
        <v>1.945525291828794</v>
      </c>
      <c r="Y823" s="71">
        <f>EarningsPerDay[[#This Row],[Miles]]/EarningsPerDay[[#This Row],[Deliveries]]</f>
        <v>12.4</v>
      </c>
      <c r="Z823" s="81">
        <f>(EarningsPerDay[[#This Row],[Hours]]/EarningsPerDay[[#This Row],[Deliveries]])/24</f>
        <v>2.1416666666666667E-2</v>
      </c>
      <c r="AA82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-2.973118234028771</v>
      </c>
      <c r="AB823" s="11">
        <f>AVERAGEIFS(EarningsPerDay[Gross $/Hour],EarningsPerDay[Week '#], EarningsPerDay[[#This Row],[Week '#]], EarningsPerDay[DOW], EarningsPerDay[[#This Row],[DOW]])</f>
        <v>23.916574509696126</v>
      </c>
      <c r="AC823" s="11">
        <f>EarningsPerDay[[#This Row],[Gross $/Hour]] - EarningsPerDay[[#This Row],[Weekly Average Earnings]]</f>
        <v>-2.0799986342097441</v>
      </c>
      <c r="AD823" s="11">
        <f>(SUMIFS(EarningsPerDay[Gross Earnings], EarningsPerDay[Date],"&gt;="&amp;EarningsPerDay[[#This Row],[Date]]-89, EarningsPerDay[Date], "&lt;="&amp;EarningsPerDay[[#This Row],[Date]]))/90</f>
        <v>76.326444444444462</v>
      </c>
    </row>
    <row r="824" spans="2:30" x14ac:dyDescent="0.35">
      <c r="B824" s="40">
        <v>45974</v>
      </c>
      <c r="C824" s="40">
        <f t="shared" si="106"/>
        <v>45974</v>
      </c>
      <c r="D824" s="4">
        <f>IF(EarningsPerDay[[#This Row],[Week '#]]&gt;=52,YEAR(EarningsPerDay[[#This Row],[Date]])-1,YEAR(EarningsPerDay[[#This Row],[Date]]))</f>
        <v>2025</v>
      </c>
      <c r="E824" s="4" t="str">
        <f>"QTR"&amp;IF(EarningsPerDay[[#This Row],[Week '#]] &lt;= 13, 1, IF(EarningsPerDay[[#This Row],[Week '#]] &lt;= 26, 2, IF(EarningsPerDay[[#This Row],[Week '#]] &lt;= 39, 3, 4)))</f>
        <v>QTR4</v>
      </c>
      <c r="F82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24" s="4">
        <f>IF(WEEKNUM(EarningsPerDay[[#This Row],[Date]], 2) = 53, 1, WEEKNUM(EarningsPerDay[[#This Row],[Date]],2))</f>
        <v>46</v>
      </c>
      <c r="H824" s="40" t="str">
        <f t="shared" si="120"/>
        <v>Thursday</v>
      </c>
      <c r="I824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24" s="40" t="str" cm="1">
        <f t="array" ref="J824">IFERROR(VLOOKUP(MODE(IF(Combined[Date]=EarningsPerDay[[#This Row],[Date]],Combined[Area '#])),KPIs!$B$4:$C$7,2,FALSE),VLOOKUP(EarningsPerDay[[#This Row],[Date]],Combined[[Date]:[Primary Area]],8,FALSE))</f>
        <v>Brunswick/Bath/Freeport</v>
      </c>
      <c r="K824" s="40" t="str">
        <f>_xlfn.XLOOKUP(EarningsPerDay[[#This Row],[Date]],Mileage[Date],Mileage[Weather])</f>
        <v>Mostly Cloudy</v>
      </c>
      <c r="L824" s="4">
        <f>_xlfn.XLOOKUP(EarningsPerDay[[#This Row],[Date]],Mileage[Date],Mileage[Hi Temp])</f>
        <v>36</v>
      </c>
      <c r="M824" s="12">
        <f>_xlfn.XLOOKUP(EarningsPerDay[[#This Row],[Date]],Mileage[Date],Mileage[Total Time])</f>
        <v>4.32</v>
      </c>
      <c r="N824" s="4">
        <f>_xlfn.XLOOKUP(EarningsPerDay[[#This Row],[Date]],Mileage[Date],Mileage[Mileage])</f>
        <v>94</v>
      </c>
      <c r="O824" s="4">
        <f>SUMIF(Combined[Date],EarningsPerDay[[#This Row],[Date]],Combined[Trips])</f>
        <v>7</v>
      </c>
      <c r="P824">
        <f>COUNTIF(Combined[Date],EarningsPerDay[[#This Row],[Date]])</f>
        <v>2</v>
      </c>
      <c r="Q82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4" s="11">
        <f>SUMIF(Combined[Date],EarningsPerDay[[#This Row],[Date]],Combined[Earnings])</f>
        <v>69.33</v>
      </c>
      <c r="S824" s="11">
        <f ca="1">EarningsPerDay[[#This Row],[Gross Earnings]]-(EarningsPerDay[[#This Row],[Miles]]*CpM!$D$11)</f>
        <v>48.37052929294132</v>
      </c>
      <c r="T824" s="11">
        <f t="shared" si="108"/>
        <v>16.048611111111111</v>
      </c>
      <c r="U824" s="11">
        <f t="shared" ca="1" si="109"/>
        <v>11.196881780773452</v>
      </c>
      <c r="V824" s="11">
        <f>EarningsPerDay[[#This Row],[Gross Earnings]]/EarningsPerDay[[#This Row],[Deliveries]]</f>
        <v>9.9042857142857148</v>
      </c>
      <c r="W824" s="11">
        <f>EarningsPerDay[[#This Row],[Gross Earnings]]/EarningsPerDay[[#This Row],[Miles]]</f>
        <v>0.73755319148936171</v>
      </c>
      <c r="X824" s="71">
        <f>EarningsPerDay[[#This Row],[Deliveries]]/EarningsPerDay[[#This Row],[Hours]]</f>
        <v>1.6203703703703702</v>
      </c>
      <c r="Y824" s="71">
        <f>EarningsPerDay[[#This Row],[Miles]]/EarningsPerDay[[#This Row],[Deliveries]]</f>
        <v>13.428571428571429</v>
      </c>
      <c r="Z824" s="81">
        <f>(EarningsPerDay[[#This Row],[Hours]]/EarningsPerDay[[#This Row],[Deliveries]])/24</f>
        <v>2.5714285714285717E-2</v>
      </c>
      <c r="AA82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-5.8835727795614972</v>
      </c>
      <c r="AB824" s="11">
        <f>AVERAGEIFS(EarningsPerDay[Gross $/Hour],EarningsPerDay[Week '#], EarningsPerDay[[#This Row],[Week '#]], EarningsPerDay[DOW], EarningsPerDay[[#This Row],[DOW]])</f>
        <v>19.260211523840557</v>
      </c>
      <c r="AC824" s="11">
        <f>EarningsPerDay[[#This Row],[Gross $/Hour]] - EarningsPerDay[[#This Row],[Weekly Average Earnings]]</f>
        <v>-3.211600412729446</v>
      </c>
      <c r="AD824" s="11">
        <f>(SUMIFS(EarningsPerDay[Gross Earnings], EarningsPerDay[Date],"&gt;="&amp;EarningsPerDay[[#This Row],[Date]]-89, EarningsPerDay[Date], "&lt;="&amp;EarningsPerDay[[#This Row],[Date]]))/90</f>
        <v>74.218111111111128</v>
      </c>
    </row>
    <row r="825" spans="2:30" x14ac:dyDescent="0.35">
      <c r="B825" s="40">
        <v>45976</v>
      </c>
      <c r="C825" s="40">
        <f t="shared" ref="C825:C884" si="121">B825</f>
        <v>45976</v>
      </c>
      <c r="D825" s="4">
        <f>IF(EarningsPerDay[[#This Row],[Week '#]]&gt;=52,YEAR(EarningsPerDay[[#This Row],[Date]])-1,YEAR(EarningsPerDay[[#This Row],[Date]]))</f>
        <v>2025</v>
      </c>
      <c r="E825" s="4" t="str">
        <f>"QTR"&amp;IF(EarningsPerDay[[#This Row],[Week '#]] &lt;= 13, 1, IF(EarningsPerDay[[#This Row],[Week '#]] &lt;= 26, 2, IF(EarningsPerDay[[#This Row],[Week '#]] &lt;= 39, 3, 4)))</f>
        <v>QTR4</v>
      </c>
      <c r="F82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25" s="4">
        <f>IF(WEEKNUM(EarningsPerDay[[#This Row],[Date]], 2) = 53, 1, WEEKNUM(EarningsPerDay[[#This Row],[Date]],2))</f>
        <v>46</v>
      </c>
      <c r="H825" s="40" t="str">
        <f t="shared" ref="H825:H828" si="122">TEXT(B825,"DDDD")</f>
        <v>Saturday</v>
      </c>
      <c r="I825" s="106">
        <f>IF(_xlfn.XLOOKUP(EarningsPerDay[[#This Row],[Date]],Mileage[Date],Mileage[Start Time])="","",MROUND(_xlfn.XLOOKUP(EarningsPerDay[[#This Row],[Date]],Mileage[Date],Mileage[Start Time]),0.0208333333333333))</f>
        <v>0.91666666666666519</v>
      </c>
      <c r="J825" s="40" t="str" cm="1">
        <f t="array" ref="J825">IFERROR(VLOOKUP(MODE(IF(Combined[Date]=EarningsPerDay[[#This Row],[Date]],Combined[Area '#])),KPIs!$B$4:$C$7,2,FALSE),VLOOKUP(EarningsPerDay[[#This Row],[Date]],Combined[[Date]:[Primary Area]],8,FALSE))</f>
        <v>Lewiston</v>
      </c>
      <c r="K825" s="40" t="str">
        <f>_xlfn.XLOOKUP(EarningsPerDay[[#This Row],[Date]],Mileage[Date],Mileage[Weather])</f>
        <v>Clear</v>
      </c>
      <c r="L825" s="4">
        <f>_xlfn.XLOOKUP(EarningsPerDay[[#This Row],[Date]],Mileage[Date],Mileage[Hi Temp])</f>
        <v>32</v>
      </c>
      <c r="M825" s="12">
        <f>_xlfn.XLOOKUP(EarningsPerDay[[#This Row],[Date]],Mileage[Date],Mileage[Total Time])</f>
        <v>2.33</v>
      </c>
      <c r="N825" s="4">
        <f>_xlfn.XLOOKUP(EarningsPerDay[[#This Row],[Date]],Mileage[Date],Mileage[Mileage])</f>
        <v>49</v>
      </c>
      <c r="O825" s="4">
        <f>SUMIF(Combined[Date],EarningsPerDay[[#This Row],[Date]],Combined[Trips])</f>
        <v>5</v>
      </c>
      <c r="P825">
        <f>COUNTIF(Combined[Date],EarningsPerDay[[#This Row],[Date]])</f>
        <v>1</v>
      </c>
      <c r="Q825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25" s="11">
        <f>SUMIF(Combined[Date],EarningsPerDay[[#This Row],[Date]],Combined[Earnings])</f>
        <v>37.630000000000003</v>
      </c>
      <c r="S825" s="11">
        <f ca="1">EarningsPerDay[[#This Row],[Gross Earnings]]-(EarningsPerDay[[#This Row],[Miles]]*CpM!$D$11)</f>
        <v>26.704318461214093</v>
      </c>
      <c r="T825" s="11">
        <f t="shared" si="108"/>
        <v>16.150214592274679</v>
      </c>
      <c r="U825" s="11">
        <f t="shared" ca="1" si="109"/>
        <v>11.461080884641241</v>
      </c>
      <c r="V825" s="11">
        <f>EarningsPerDay[[#This Row],[Gross Earnings]]/EarningsPerDay[[#This Row],[Deliveries]]</f>
        <v>7.5260000000000007</v>
      </c>
      <c r="W825" s="11">
        <f>EarningsPerDay[[#This Row],[Gross Earnings]]/EarningsPerDay[[#This Row],[Miles]]</f>
        <v>0.76795918367346949</v>
      </c>
      <c r="X825" s="71">
        <f>EarningsPerDay[[#This Row],[Deliveries]]/EarningsPerDay[[#This Row],[Hours]]</f>
        <v>2.1459227467811157</v>
      </c>
      <c r="Y825" s="71">
        <f>EarningsPerDay[[#This Row],[Miles]]/EarningsPerDay[[#This Row],[Deliveries]]</f>
        <v>9.8000000000000007</v>
      </c>
      <c r="Z825" s="81">
        <f>(EarningsPerDay[[#This Row],[Hours]]/EarningsPerDay[[#This Row],[Deliveries]])/24</f>
        <v>1.9416666666666669E-2</v>
      </c>
      <c r="AA82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-4.3024228172003127</v>
      </c>
      <c r="AB825" s="11">
        <f>AVERAGEIFS(EarningsPerDay[Gross $/Hour],EarningsPerDay[Week '#], EarningsPerDay[[#This Row],[Week '#]], EarningsPerDay[DOW], EarningsPerDay[[#This Row],[DOW]])</f>
        <v>19.625391333956259</v>
      </c>
      <c r="AC825" s="11">
        <f>EarningsPerDay[[#This Row],[Gross $/Hour]] - EarningsPerDay[[#This Row],[Weekly Average Earnings]]</f>
        <v>-3.4751767416815795</v>
      </c>
      <c r="AD825" s="11">
        <f>(SUMIFS(EarningsPerDay[Gross Earnings], EarningsPerDay[Date],"&gt;="&amp;EarningsPerDay[[#This Row],[Date]]-89, EarningsPerDay[Date], "&lt;="&amp;EarningsPerDay[[#This Row],[Date]]))/90</f>
        <v>72.495777777777803</v>
      </c>
    </row>
    <row r="826" spans="2:30" x14ac:dyDescent="0.35">
      <c r="B826" s="40">
        <v>45977</v>
      </c>
      <c r="C826" s="40">
        <f t="shared" si="121"/>
        <v>45977</v>
      </c>
      <c r="D826" s="4">
        <f>IF(EarningsPerDay[[#This Row],[Week '#]]&gt;=52,YEAR(EarningsPerDay[[#This Row],[Date]])-1,YEAR(EarningsPerDay[[#This Row],[Date]]))</f>
        <v>2025</v>
      </c>
      <c r="E826" s="4" t="str">
        <f>"QTR"&amp;IF(EarningsPerDay[[#This Row],[Week '#]] &lt;= 13, 1, IF(EarningsPerDay[[#This Row],[Week '#]] &lt;= 26, 2, IF(EarningsPerDay[[#This Row],[Week '#]] &lt;= 39, 3, 4)))</f>
        <v>QTR4</v>
      </c>
      <c r="F82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26" s="4">
        <f>IF(WEEKNUM(EarningsPerDay[[#This Row],[Date]], 2) = 53, 1, WEEKNUM(EarningsPerDay[[#This Row],[Date]],2))</f>
        <v>46</v>
      </c>
      <c r="H826" s="40" t="str">
        <f t="shared" si="122"/>
        <v>Sunday</v>
      </c>
      <c r="I826" s="106">
        <f>IF(_xlfn.XLOOKUP(EarningsPerDay[[#This Row],[Date]],Mileage[Date],Mileage[Start Time])="","",MROUND(_xlfn.XLOOKUP(EarningsPerDay[[#This Row],[Date]],Mileage[Date],Mileage[Start Time]),0.0208333333333333))</f>
        <v>0.68749999999999889</v>
      </c>
      <c r="J826" s="40" t="str" cm="1">
        <f t="array" ref="J826">IFERROR(VLOOKUP(MODE(IF(Combined[Date]=EarningsPerDay[[#This Row],[Date]],Combined[Area '#])),KPIs!$B$4:$C$7,2,FALSE),VLOOKUP(EarningsPerDay[[#This Row],[Date]],Combined[[Date]:[Primary Area]],8,FALSE))</f>
        <v>Portland</v>
      </c>
      <c r="K826" s="40" t="str">
        <f>_xlfn.XLOOKUP(EarningsPerDay[[#This Row],[Date]],Mileage[Date],Mileage[Weather])</f>
        <v>Overcast</v>
      </c>
      <c r="L826" s="4">
        <f>_xlfn.XLOOKUP(EarningsPerDay[[#This Row],[Date]],Mileage[Date],Mileage[Hi Temp])</f>
        <v>36</v>
      </c>
      <c r="M826" s="12">
        <f>_xlfn.XLOOKUP(EarningsPerDay[[#This Row],[Date]],Mileage[Date],Mileage[Total Time])</f>
        <v>6</v>
      </c>
      <c r="N826" s="4">
        <f>_xlfn.XLOOKUP(EarningsPerDay[[#This Row],[Date]],Mileage[Date],Mileage[Mileage])</f>
        <v>124</v>
      </c>
      <c r="O826" s="4">
        <f>SUMIF(Combined[Date],EarningsPerDay[[#This Row],[Date]],Combined[Trips])</f>
        <v>13</v>
      </c>
      <c r="P826">
        <f>COUNTIF(Combined[Date],EarningsPerDay[[#This Row],[Date]])</f>
        <v>4</v>
      </c>
      <c r="Q82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26" s="11">
        <f>SUMIF(Combined[Date],EarningsPerDay[[#This Row],[Date]],Combined[Earnings])</f>
        <v>137.79</v>
      </c>
      <c r="S826" s="11">
        <f ca="1">EarningsPerDay[[#This Row],[Gross Earnings]]-(EarningsPerDay[[#This Row],[Miles]]*CpM!$D$11)</f>
        <v>110.1413365140928</v>
      </c>
      <c r="T826" s="11">
        <f t="shared" si="108"/>
        <v>22.965</v>
      </c>
      <c r="U826" s="11">
        <f t="shared" ca="1" si="109"/>
        <v>18.356889419015467</v>
      </c>
      <c r="V826" s="11">
        <f>EarningsPerDay[[#This Row],[Gross Earnings]]/EarningsPerDay[[#This Row],[Deliveries]]</f>
        <v>10.599230769230768</v>
      </c>
      <c r="W826" s="11">
        <f>EarningsPerDay[[#This Row],[Gross Earnings]]/EarningsPerDay[[#This Row],[Miles]]</f>
        <v>1.1112096774193547</v>
      </c>
      <c r="X826" s="71">
        <f>EarningsPerDay[[#This Row],[Deliveries]]/EarningsPerDay[[#This Row],[Hours]]</f>
        <v>2.1666666666666665</v>
      </c>
      <c r="Y826" s="71">
        <f>EarningsPerDay[[#This Row],[Miles]]/EarningsPerDay[[#This Row],[Deliveries]]</f>
        <v>9.5384615384615383</v>
      </c>
      <c r="Z826" s="81">
        <f>(EarningsPerDay[[#This Row],[Hours]]/EarningsPerDay[[#This Row],[Deliveries]])/24</f>
        <v>1.9230769230769232E-2</v>
      </c>
      <c r="AA82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-2.0443255674806444</v>
      </c>
      <c r="AB826" s="11">
        <f>AVERAGEIFS(EarningsPerDay[Gross $/Hour],EarningsPerDay[Week '#], EarningsPerDay[[#This Row],[Week '#]], EarningsPerDay[DOW], EarningsPerDay[[#This Row],[DOW]])</f>
        <v>23.328185483870968</v>
      </c>
      <c r="AC826" s="11">
        <f>EarningsPerDay[[#This Row],[Gross $/Hour]] - EarningsPerDay[[#This Row],[Weekly Average Earnings]]</f>
        <v>-0.36318548387096783</v>
      </c>
      <c r="AD826" s="11">
        <f>(SUMIFS(EarningsPerDay[Gross Earnings], EarningsPerDay[Date],"&gt;="&amp;EarningsPerDay[[#This Row],[Date]]-89, EarningsPerDay[Date], "&lt;="&amp;EarningsPerDay[[#This Row],[Date]]))/90</f>
        <v>72.543777777777791</v>
      </c>
    </row>
    <row r="827" spans="2:30" x14ac:dyDescent="0.35">
      <c r="B827" s="40">
        <v>45978</v>
      </c>
      <c r="C827" s="40">
        <f t="shared" si="121"/>
        <v>45978</v>
      </c>
      <c r="D827" s="4">
        <f>IF(EarningsPerDay[[#This Row],[Week '#]]&gt;=52,YEAR(EarningsPerDay[[#This Row],[Date]])-1,YEAR(EarningsPerDay[[#This Row],[Date]]))</f>
        <v>2025</v>
      </c>
      <c r="E827" s="4" t="str">
        <f>"QTR"&amp;IF(EarningsPerDay[[#This Row],[Week '#]] &lt;= 13, 1, IF(EarningsPerDay[[#This Row],[Week '#]] &lt;= 26, 2, IF(EarningsPerDay[[#This Row],[Week '#]] &lt;= 39, 3, 4)))</f>
        <v>QTR4</v>
      </c>
      <c r="F82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27" s="4">
        <f>IF(WEEKNUM(EarningsPerDay[[#This Row],[Date]], 2) = 53, 1, WEEKNUM(EarningsPerDay[[#This Row],[Date]],2))</f>
        <v>47</v>
      </c>
      <c r="H827" s="40" t="str">
        <f t="shared" si="122"/>
        <v>Monday</v>
      </c>
      <c r="I827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27" s="40" t="str" cm="1">
        <f t="array" ref="J827">IFERROR(VLOOKUP(MODE(IF(Combined[Date]=EarningsPerDay[[#This Row],[Date]],Combined[Area '#])),KPIs!$B$4:$C$7,2,FALSE),VLOOKUP(EarningsPerDay[[#This Row],[Date]],Combined[[Date]:[Primary Area]],8,FALSE))</f>
        <v>Brunswick/Bath/Freeport</v>
      </c>
      <c r="K827" s="40" t="str">
        <f>_xlfn.XLOOKUP(EarningsPerDay[[#This Row],[Date]],Mileage[Date],Mileage[Weather])</f>
        <v>Overcast</v>
      </c>
      <c r="L827" s="4">
        <f>_xlfn.XLOOKUP(EarningsPerDay[[#This Row],[Date]],Mileage[Date],Mileage[Hi Temp])</f>
        <v>34</v>
      </c>
      <c r="M827" s="12">
        <f>_xlfn.XLOOKUP(EarningsPerDay[[#This Row],[Date]],Mileage[Date],Mileage[Total Time])</f>
        <v>3.65</v>
      </c>
      <c r="N827" s="4">
        <f>_xlfn.XLOOKUP(EarningsPerDay[[#This Row],[Date]],Mileage[Date],Mileage[Mileage])</f>
        <v>94</v>
      </c>
      <c r="O827" s="4">
        <f>SUMIF(Combined[Date],EarningsPerDay[[#This Row],[Date]],Combined[Trips])</f>
        <v>6</v>
      </c>
      <c r="P827">
        <f>COUNTIF(Combined[Date],EarningsPerDay[[#This Row],[Date]])</f>
        <v>2</v>
      </c>
      <c r="Q82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7" s="11">
        <f>SUMIF(Combined[Date],EarningsPerDay[[#This Row],[Date]],Combined[Earnings])</f>
        <v>112.83000000000001</v>
      </c>
      <c r="S827" s="11">
        <f ca="1">EarningsPerDay[[#This Row],[Gross Earnings]]-(EarningsPerDay[[#This Row],[Miles]]*CpM!$D$11)</f>
        <v>91.870529292941342</v>
      </c>
      <c r="T827" s="11">
        <f t="shared" si="108"/>
        <v>30.912328767123292</v>
      </c>
      <c r="U827" s="11">
        <f t="shared" ca="1" si="109"/>
        <v>25.170008025463382</v>
      </c>
      <c r="V827" s="11">
        <f>EarningsPerDay[[#This Row],[Gross Earnings]]/EarningsPerDay[[#This Row],[Deliveries]]</f>
        <v>18.805000000000003</v>
      </c>
      <c r="W827" s="11">
        <f>EarningsPerDay[[#This Row],[Gross Earnings]]/EarningsPerDay[[#This Row],[Miles]]</f>
        <v>1.2003191489361704</v>
      </c>
      <c r="X827" s="71">
        <f>EarningsPerDay[[#This Row],[Deliveries]]/EarningsPerDay[[#This Row],[Hours]]</f>
        <v>1.6438356164383563</v>
      </c>
      <c r="Y827" s="71">
        <f>EarningsPerDay[[#This Row],[Miles]]/EarningsPerDay[[#This Row],[Deliveries]]</f>
        <v>15.666666666666666</v>
      </c>
      <c r="Z827" s="81">
        <f>(EarningsPerDay[[#This Row],[Hours]]/EarningsPerDay[[#This Row],[Deliveries]])/24</f>
        <v>2.5347222222222219E-2</v>
      </c>
      <c r="AA82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6.2169853589169399</v>
      </c>
      <c r="AB827" s="11">
        <f>AVERAGEIFS(EarningsPerDay[Gross $/Hour],EarningsPerDay[Week '#], EarningsPerDay[[#This Row],[Week '#]], EarningsPerDay[DOW], EarningsPerDay[[#This Row],[DOW]])</f>
        <v>25.390434083182001</v>
      </c>
      <c r="AC827" s="11">
        <f>EarningsPerDay[[#This Row],[Gross $/Hour]] - EarningsPerDay[[#This Row],[Weekly Average Earnings]]</f>
        <v>5.5218946839412908</v>
      </c>
      <c r="AD827" s="11">
        <f>(SUMIFS(EarningsPerDay[Gross Earnings], EarningsPerDay[Date],"&gt;="&amp;EarningsPerDay[[#This Row],[Date]]-89, EarningsPerDay[Date], "&lt;="&amp;EarningsPerDay[[#This Row],[Date]]))/90</f>
        <v>73.797444444444466</v>
      </c>
    </row>
    <row r="828" spans="2:30" x14ac:dyDescent="0.35">
      <c r="B828" s="40">
        <v>45979</v>
      </c>
      <c r="C828" s="40">
        <f t="shared" si="121"/>
        <v>45979</v>
      </c>
      <c r="D828" s="4">
        <f>IF(EarningsPerDay[[#This Row],[Week '#]]&gt;=52,YEAR(EarningsPerDay[[#This Row],[Date]])-1,YEAR(EarningsPerDay[[#This Row],[Date]]))</f>
        <v>2025</v>
      </c>
      <c r="E828" s="4" t="str">
        <f>"QTR"&amp;IF(EarningsPerDay[[#This Row],[Week '#]] &lt;= 13, 1, IF(EarningsPerDay[[#This Row],[Week '#]] &lt;= 26, 2, IF(EarningsPerDay[[#This Row],[Week '#]] &lt;= 39, 3, 4)))</f>
        <v>QTR4</v>
      </c>
      <c r="F82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28" s="4">
        <f>IF(WEEKNUM(EarningsPerDay[[#This Row],[Date]], 2) = 53, 1, WEEKNUM(EarningsPerDay[[#This Row],[Date]],2))</f>
        <v>47</v>
      </c>
      <c r="H828" s="40" t="str">
        <f t="shared" si="122"/>
        <v>Tuesday</v>
      </c>
      <c r="I828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28" s="40" t="str" cm="1">
        <f t="array" ref="J828">IFERROR(VLOOKUP(MODE(IF(Combined[Date]=EarningsPerDay[[#This Row],[Date]],Combined[Area '#])),KPIs!$B$4:$C$7,2,FALSE),VLOOKUP(EarningsPerDay[[#This Row],[Date]],Combined[[Date]:[Primary Area]],8,FALSE))</f>
        <v>Brunswick/Bath/Freeport</v>
      </c>
      <c r="K828" s="40" t="str">
        <f>_xlfn.XLOOKUP(EarningsPerDay[[#This Row],[Date]],Mileage[Date],Mileage[Weather])</f>
        <v>Clear</v>
      </c>
      <c r="L828" s="4">
        <f>_xlfn.XLOOKUP(EarningsPerDay[[#This Row],[Date]],Mileage[Date],Mileage[Hi Temp])</f>
        <v>36</v>
      </c>
      <c r="M828" s="12">
        <f>_xlfn.XLOOKUP(EarningsPerDay[[#This Row],[Date]],Mileage[Date],Mileage[Total Time])</f>
        <v>2.57</v>
      </c>
      <c r="N828" s="4">
        <f>_xlfn.XLOOKUP(EarningsPerDay[[#This Row],[Date]],Mileage[Date],Mileage[Mileage])</f>
        <v>50</v>
      </c>
      <c r="O828" s="4">
        <f>SUMIF(Combined[Date],EarningsPerDay[[#This Row],[Date]],Combined[Trips])</f>
        <v>7</v>
      </c>
      <c r="P828">
        <f>COUNTIF(Combined[Date],EarningsPerDay[[#This Row],[Date]])</f>
        <v>2</v>
      </c>
      <c r="Q82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28" s="11">
        <f>SUMIF(Combined[Date],EarningsPerDay[[#This Row],[Date]],Combined[Earnings])</f>
        <v>75.88</v>
      </c>
      <c r="S828" s="11">
        <f ca="1">EarningsPerDay[[#This Row],[Gross Earnings]]-(EarningsPerDay[[#This Row],[Miles]]*CpM!$D$11)</f>
        <v>64.731345368585806</v>
      </c>
      <c r="T828" s="11">
        <f t="shared" si="108"/>
        <v>29.525291828793776</v>
      </c>
      <c r="U828" s="11">
        <f t="shared" ca="1" si="109"/>
        <v>25.187293917737669</v>
      </c>
      <c r="V828" s="11">
        <f>EarningsPerDay[[#This Row],[Gross Earnings]]/EarningsPerDay[[#This Row],[Deliveries]]</f>
        <v>10.84</v>
      </c>
      <c r="W828" s="11">
        <f>EarningsPerDay[[#This Row],[Gross Earnings]]/EarningsPerDay[[#This Row],[Miles]]</f>
        <v>1.5175999999999998</v>
      </c>
      <c r="X828" s="71">
        <f>EarningsPerDay[[#This Row],[Deliveries]]/EarningsPerDay[[#This Row],[Hours]]</f>
        <v>2.7237354085603114</v>
      </c>
      <c r="Y828" s="71">
        <f>EarningsPerDay[[#This Row],[Miles]]/EarningsPerDay[[#This Row],[Deliveries]]</f>
        <v>7.1428571428571432</v>
      </c>
      <c r="Z828" s="81">
        <f>(EarningsPerDay[[#This Row],[Hours]]/EarningsPerDay[[#This Row],[Deliveries]])/24</f>
        <v>1.5297619047619046E-2</v>
      </c>
      <c r="AA82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5.2201976315591345</v>
      </c>
      <c r="AB828" s="11">
        <f>AVERAGEIFS(EarningsPerDay[Gross $/Hour],EarningsPerDay[Week '#], EarningsPerDay[[#This Row],[Week '#]], EarningsPerDay[DOW], EarningsPerDay[[#This Row],[DOW]])</f>
        <v>23.298678975611001</v>
      </c>
      <c r="AC828" s="11">
        <f>EarningsPerDay[[#This Row],[Gross $/Hour]] - EarningsPerDay[[#This Row],[Weekly Average Earnings]]</f>
        <v>6.2266128531827754</v>
      </c>
      <c r="AD828" s="11">
        <f>(SUMIFS(EarningsPerDay[Gross Earnings], EarningsPerDay[Date],"&gt;="&amp;EarningsPerDay[[#This Row],[Date]]-89, EarningsPerDay[Date], "&lt;="&amp;EarningsPerDay[[#This Row],[Date]]))/90</f>
        <v>73.274111111111125</v>
      </c>
    </row>
    <row r="829" spans="2:30" x14ac:dyDescent="0.35">
      <c r="B829" s="40">
        <v>45982</v>
      </c>
      <c r="C829" s="40">
        <f t="shared" si="121"/>
        <v>45982</v>
      </c>
      <c r="D829" s="4">
        <f>IF(EarningsPerDay[[#This Row],[Week '#]]&gt;=52,YEAR(EarningsPerDay[[#This Row],[Date]])-1,YEAR(EarningsPerDay[[#This Row],[Date]]))</f>
        <v>2025</v>
      </c>
      <c r="E829" s="4" t="str">
        <f>"QTR"&amp;IF(EarningsPerDay[[#This Row],[Week '#]] &lt;= 13, 1, IF(EarningsPerDay[[#This Row],[Week '#]] &lt;= 26, 2, IF(EarningsPerDay[[#This Row],[Week '#]] &lt;= 39, 3, 4)))</f>
        <v>QTR4</v>
      </c>
      <c r="F82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29" s="4">
        <f>IF(WEEKNUM(EarningsPerDay[[#This Row],[Date]], 2) = 53, 1, WEEKNUM(EarningsPerDay[[#This Row],[Date]],2))</f>
        <v>47</v>
      </c>
      <c r="H829" s="40" t="str">
        <f t="shared" ref="H829:H830" si="123">TEXT(B829,"DDDD")</f>
        <v>Friday</v>
      </c>
      <c r="I829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29" s="40" t="str" cm="1">
        <f t="array" ref="J829">IFERROR(VLOOKUP(MODE(IF(Combined[Date]=EarningsPerDay[[#This Row],[Date]],Combined[Area '#])),KPIs!$B$4:$C$7,2,FALSE),VLOOKUP(EarningsPerDay[[#This Row],[Date]],Combined[[Date]:[Primary Area]],8,FALSE))</f>
        <v>Lewiston</v>
      </c>
      <c r="K829" s="40" t="str">
        <f>_xlfn.XLOOKUP(EarningsPerDay[[#This Row],[Date]],Mileage[Date],Mileage[Weather])</f>
        <v>Clear</v>
      </c>
      <c r="L829" s="4">
        <f>_xlfn.XLOOKUP(EarningsPerDay[[#This Row],[Date]],Mileage[Date],Mileage[Hi Temp])</f>
        <v>30</v>
      </c>
      <c r="M829" s="12">
        <f>_xlfn.XLOOKUP(EarningsPerDay[[#This Row],[Date]],Mileage[Date],Mileage[Total Time])</f>
        <v>0.4</v>
      </c>
      <c r="N829" s="4">
        <f>_xlfn.XLOOKUP(EarningsPerDay[[#This Row],[Date]],Mileage[Date],Mileage[Mileage])</f>
        <v>10</v>
      </c>
      <c r="O829" s="4">
        <f>SUMIF(Combined[Date],EarningsPerDay[[#This Row],[Date]],Combined[Trips])</f>
        <v>1</v>
      </c>
      <c r="P829">
        <f>COUNTIF(Combined[Date],EarningsPerDay[[#This Row],[Date]])</f>
        <v>1</v>
      </c>
      <c r="Q82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29" s="11">
        <f>SUMIF(Combined[Date],EarningsPerDay[[#This Row],[Date]],Combined[Earnings])</f>
        <v>6.97</v>
      </c>
      <c r="S829" s="11">
        <f ca="1">EarningsPerDay[[#This Row],[Gross Earnings]]-(EarningsPerDay[[#This Row],[Miles]]*CpM!$D$11)</f>
        <v>4.7402690737171618</v>
      </c>
      <c r="T829" s="11">
        <f t="shared" si="108"/>
        <v>17.424999999999997</v>
      </c>
      <c r="U829" s="11">
        <f t="shared" ca="1" si="109"/>
        <v>11.850672684292904</v>
      </c>
      <c r="V829" s="11">
        <f>EarningsPerDay[[#This Row],[Gross Earnings]]/EarningsPerDay[[#This Row],[Deliveries]]</f>
        <v>6.97</v>
      </c>
      <c r="W829" s="11">
        <f>EarningsPerDay[[#This Row],[Gross Earnings]]/EarningsPerDay[[#This Row],[Miles]]</f>
        <v>0.69699999999999995</v>
      </c>
      <c r="X829" s="71">
        <f>EarningsPerDay[[#This Row],[Deliveries]]/EarningsPerDay[[#This Row],[Hours]]</f>
        <v>2.5</v>
      </c>
      <c r="Y829" s="71">
        <f>EarningsPerDay[[#This Row],[Miles]]/EarningsPerDay[[#This Row],[Deliveries]]</f>
        <v>10</v>
      </c>
      <c r="Z829" s="81">
        <f>(EarningsPerDay[[#This Row],[Hours]]/EarningsPerDay[[#This Row],[Deliveries]])/24</f>
        <v>1.6666666666666666E-2</v>
      </c>
      <c r="AA82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-5.334984639016902</v>
      </c>
      <c r="AB829" s="11">
        <f>AVERAGEIFS(EarningsPerDay[Gross $/Hour],EarningsPerDay[Week '#], EarningsPerDay[[#This Row],[Week '#]], EarningsPerDay[DOW], EarningsPerDay[[#This Row],[DOW]])</f>
        <v>22.73915602398818</v>
      </c>
      <c r="AC829" s="11">
        <f>EarningsPerDay[[#This Row],[Gross $/Hour]] - EarningsPerDay[[#This Row],[Weekly Average Earnings]]</f>
        <v>-5.3141560239881827</v>
      </c>
      <c r="AD829" s="11">
        <f>(SUMIFS(EarningsPerDay[Gross Earnings], EarningsPerDay[Date],"&gt;="&amp;EarningsPerDay[[#This Row],[Date]]-89, EarningsPerDay[Date], "&lt;="&amp;EarningsPerDay[[#This Row],[Date]]))/90</f>
        <v>69.995777777777789</v>
      </c>
    </row>
    <row r="830" spans="2:30" x14ac:dyDescent="0.35">
      <c r="B830" s="40">
        <v>45984</v>
      </c>
      <c r="C830" s="40">
        <f t="shared" si="121"/>
        <v>45984</v>
      </c>
      <c r="D830" s="4">
        <f>IF(EarningsPerDay[[#This Row],[Week '#]]&gt;=52,YEAR(EarningsPerDay[[#This Row],[Date]])-1,YEAR(EarningsPerDay[[#This Row],[Date]]))</f>
        <v>2025</v>
      </c>
      <c r="E830" s="4" t="str">
        <f>"QTR"&amp;IF(EarningsPerDay[[#This Row],[Week '#]] &lt;= 13, 1, IF(EarningsPerDay[[#This Row],[Week '#]] &lt;= 26, 2, IF(EarningsPerDay[[#This Row],[Week '#]] &lt;= 39, 3, 4)))</f>
        <v>QTR4</v>
      </c>
      <c r="F83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30" s="4">
        <f>IF(WEEKNUM(EarningsPerDay[[#This Row],[Date]], 2) = 53, 1, WEEKNUM(EarningsPerDay[[#This Row],[Date]],2))</f>
        <v>47</v>
      </c>
      <c r="H830" s="40" t="str">
        <f t="shared" si="123"/>
        <v>Sunday</v>
      </c>
      <c r="I830" s="106">
        <f>IF(_xlfn.XLOOKUP(EarningsPerDay[[#This Row],[Date]],Mileage[Date],Mileage[Start Time])="","",MROUND(_xlfn.XLOOKUP(EarningsPerDay[[#This Row],[Date]],Mileage[Date],Mileage[Start Time]),0.0208333333333333))</f>
        <v>0.47916666666666591</v>
      </c>
      <c r="J830" s="40" t="str" cm="1">
        <f t="array" ref="J830">IFERROR(VLOOKUP(MODE(IF(Combined[Date]=EarningsPerDay[[#This Row],[Date]],Combined[Area '#])),KPIs!$B$4:$C$7,2,FALSE),VLOOKUP(EarningsPerDay[[#This Row],[Date]],Combined[[Date]:[Primary Area]],8,FALSE))</f>
        <v>Brunswick/Bath/Freeport</v>
      </c>
      <c r="K830" s="40" t="str">
        <f>_xlfn.XLOOKUP(EarningsPerDay[[#This Row],[Date]],Mileage[Date],Mileage[Weather])</f>
        <v>Partially Cloudy</v>
      </c>
      <c r="L830" s="4">
        <f>_xlfn.XLOOKUP(EarningsPerDay[[#This Row],[Date]],Mileage[Date],Mileage[Hi Temp])</f>
        <v>39</v>
      </c>
      <c r="M830" s="12">
        <f>_xlfn.XLOOKUP(EarningsPerDay[[#This Row],[Date]],Mileage[Date],Mileage[Total Time])</f>
        <v>4.1500000000000004</v>
      </c>
      <c r="N830" s="4">
        <f>_xlfn.XLOOKUP(EarningsPerDay[[#This Row],[Date]],Mileage[Date],Mileage[Mileage])</f>
        <v>132</v>
      </c>
      <c r="O830" s="4">
        <f>SUMIF(Combined[Date],EarningsPerDay[[#This Row],[Date]],Combined[Trips])</f>
        <v>6</v>
      </c>
      <c r="P830">
        <f>COUNTIF(Combined[Date],EarningsPerDay[[#This Row],[Date]])</f>
        <v>1</v>
      </c>
      <c r="Q83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30" s="11">
        <f>SUMIF(Combined[Date],EarningsPerDay[[#This Row],[Date]],Combined[Earnings])</f>
        <v>56.65</v>
      </c>
      <c r="S830" s="11">
        <f ca="1">EarningsPerDay[[#This Row],[Gross Earnings]]-(EarningsPerDay[[#This Row],[Miles]]*CpM!$D$11)</f>
        <v>27.217551773066532</v>
      </c>
      <c r="T830" s="11">
        <f t="shared" si="108"/>
        <v>13.650602409638553</v>
      </c>
      <c r="U830" s="11">
        <f t="shared" ca="1" si="109"/>
        <v>6.5584462103774772</v>
      </c>
      <c r="V830" s="11">
        <f>EarningsPerDay[[#This Row],[Gross Earnings]]/EarningsPerDay[[#This Row],[Deliveries]]</f>
        <v>9.4416666666666664</v>
      </c>
      <c r="W830" s="11">
        <f>EarningsPerDay[[#This Row],[Gross Earnings]]/EarningsPerDay[[#This Row],[Miles]]</f>
        <v>0.42916666666666664</v>
      </c>
      <c r="X830" s="71">
        <f>EarningsPerDay[[#This Row],[Deliveries]]/EarningsPerDay[[#This Row],[Hours]]</f>
        <v>1.4457831325301203</v>
      </c>
      <c r="Y830" s="71">
        <f>EarningsPerDay[[#This Row],[Miles]]/EarningsPerDay[[#This Row],[Deliveries]]</f>
        <v>22</v>
      </c>
      <c r="Z830" s="81">
        <f>(EarningsPerDay[[#This Row],[Hours]]/EarningsPerDay[[#This Row],[Deliveries]])/24</f>
        <v>2.881944444444445E-2</v>
      </c>
      <c r="AA83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-9.7316066524823572</v>
      </c>
      <c r="AB830" s="11">
        <f>AVERAGEIFS(EarningsPerDay[Gross $/Hour],EarningsPerDay[Week '#], EarningsPerDay[[#This Row],[Week '#]], EarningsPerDay[DOW], EarningsPerDay[[#This Row],[DOW]])</f>
        <v>16.126771793054569</v>
      </c>
      <c r="AC830" s="11">
        <f>EarningsPerDay[[#This Row],[Gross $/Hour]] - EarningsPerDay[[#This Row],[Weekly Average Earnings]]</f>
        <v>-2.4761693834160159</v>
      </c>
      <c r="AD830" s="11">
        <f>(SUMIFS(EarningsPerDay[Gross Earnings], EarningsPerDay[Date],"&gt;="&amp;EarningsPerDay[[#This Row],[Date]]-89, EarningsPerDay[Date], "&lt;="&amp;EarningsPerDay[[#This Row],[Date]]))/90</f>
        <v>69.051777777777772</v>
      </c>
    </row>
    <row r="831" spans="2:30" x14ac:dyDescent="0.35">
      <c r="B831" s="40">
        <v>45986</v>
      </c>
      <c r="C831" s="40">
        <f t="shared" si="121"/>
        <v>45986</v>
      </c>
      <c r="D831" s="4">
        <f>IF(EarningsPerDay[[#This Row],[Week '#]]&gt;=52,YEAR(EarningsPerDay[[#This Row],[Date]])-1,YEAR(EarningsPerDay[[#This Row],[Date]]))</f>
        <v>2025</v>
      </c>
      <c r="E831" s="4" t="str">
        <f>"QTR"&amp;IF(EarningsPerDay[[#This Row],[Week '#]] &lt;= 13, 1, IF(EarningsPerDay[[#This Row],[Week '#]] &lt;= 26, 2, IF(EarningsPerDay[[#This Row],[Week '#]] &lt;= 39, 3, 4)))</f>
        <v>QTR4</v>
      </c>
      <c r="F83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31" s="4">
        <f>IF(WEEKNUM(EarningsPerDay[[#This Row],[Date]], 2) = 53, 1, WEEKNUM(EarningsPerDay[[#This Row],[Date]],2))</f>
        <v>48</v>
      </c>
      <c r="H831" s="40" t="str">
        <f t="shared" ref="H831:H836" si="124">TEXT(B831,"DDDD")</f>
        <v>Tuesday</v>
      </c>
      <c r="I831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31" s="40" t="str" cm="1">
        <f t="array" ref="J831">IFERROR(VLOOKUP(MODE(IF(Combined[Date]=EarningsPerDay[[#This Row],[Date]],Combined[Area '#])),KPIs!$B$4:$C$7,2,FALSE),VLOOKUP(EarningsPerDay[[#This Row],[Date]],Combined[[Date]:[Primary Area]],8,FALSE))</f>
        <v>Brunswick/Bath/Freeport</v>
      </c>
      <c r="K831" s="40" t="str">
        <f>_xlfn.XLOOKUP(EarningsPerDay[[#This Row],[Date]],Mileage[Date],Mileage[Weather])</f>
        <v>Mostly Cloudy</v>
      </c>
      <c r="L831" s="4">
        <f>_xlfn.XLOOKUP(EarningsPerDay[[#This Row],[Date]],Mileage[Date],Mileage[Hi Temp])</f>
        <v>48</v>
      </c>
      <c r="M831" s="12">
        <f>_xlfn.XLOOKUP(EarningsPerDay[[#This Row],[Date]],Mileage[Date],Mileage[Total Time])</f>
        <v>4.4000000000000004</v>
      </c>
      <c r="N831" s="4">
        <f>_xlfn.XLOOKUP(EarningsPerDay[[#This Row],[Date]],Mileage[Date],Mileage[Mileage])</f>
        <v>63</v>
      </c>
      <c r="O831" s="4">
        <f>SUMIF(Combined[Date],EarningsPerDay[[#This Row],[Date]],Combined[Trips])</f>
        <v>9</v>
      </c>
      <c r="P831">
        <f>COUNTIF(Combined[Date],EarningsPerDay[[#This Row],[Date]])</f>
        <v>3</v>
      </c>
      <c r="Q83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1" s="11">
        <f>SUMIF(Combined[Date],EarningsPerDay[[#This Row],[Date]],Combined[Earnings])</f>
        <v>110.42999999999999</v>
      </c>
      <c r="S831" s="11">
        <f ca="1">EarningsPerDay[[#This Row],[Gross Earnings]]-(EarningsPerDay[[#This Row],[Miles]]*CpM!$D$11)</f>
        <v>96.382695164418109</v>
      </c>
      <c r="T831" s="11">
        <f t="shared" si="108"/>
        <v>25.097727272727269</v>
      </c>
      <c r="U831" s="11">
        <f t="shared" ca="1" si="109"/>
        <v>21.905157991913207</v>
      </c>
      <c r="V831" s="11">
        <f>EarningsPerDay[[#This Row],[Gross Earnings]]/EarningsPerDay[[#This Row],[Deliveries]]</f>
        <v>12.27</v>
      </c>
      <c r="W831" s="11">
        <f>EarningsPerDay[[#This Row],[Gross Earnings]]/EarningsPerDay[[#This Row],[Miles]]</f>
        <v>1.7528571428571427</v>
      </c>
      <c r="X831" s="71">
        <f>EarningsPerDay[[#This Row],[Deliveries]]/EarningsPerDay[[#This Row],[Hours]]</f>
        <v>2.0454545454545454</v>
      </c>
      <c r="Y831" s="71">
        <f>EarningsPerDay[[#This Row],[Miles]]/EarningsPerDay[[#This Row],[Deliveries]]</f>
        <v>7</v>
      </c>
      <c r="Z831" s="81">
        <f>(EarningsPerDay[[#This Row],[Hours]]/EarningsPerDay[[#This Row],[Deliveries]])/24</f>
        <v>2.0370370370370372E-2</v>
      </c>
      <c r="AA83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0.53162319391466895</v>
      </c>
      <c r="AB831" s="11">
        <f>AVERAGEIFS(EarningsPerDay[Gross $/Hour],EarningsPerDay[Week '#], EarningsPerDay[[#This Row],[Week '#]], EarningsPerDay[DOW], EarningsPerDay[[#This Row],[DOW]])</f>
        <v>21.690654681139755</v>
      </c>
      <c r="AC831" s="11">
        <f>EarningsPerDay[[#This Row],[Gross $/Hour]] - EarningsPerDay[[#This Row],[Weekly Average Earnings]]</f>
        <v>3.4070725915875144</v>
      </c>
      <c r="AD831" s="11">
        <f>(SUMIFS(EarningsPerDay[Gross Earnings], EarningsPerDay[Date],"&gt;="&amp;EarningsPerDay[[#This Row],[Date]]-89, EarningsPerDay[Date], "&lt;="&amp;EarningsPerDay[[#This Row],[Date]]))/90</f>
        <v>68.041777777777781</v>
      </c>
    </row>
    <row r="832" spans="2:30" x14ac:dyDescent="0.35">
      <c r="B832" s="40">
        <v>45989</v>
      </c>
      <c r="C832" s="40">
        <f t="shared" si="121"/>
        <v>45989</v>
      </c>
      <c r="D832" s="4">
        <f>IF(EarningsPerDay[[#This Row],[Week '#]]&gt;=52,YEAR(EarningsPerDay[[#This Row],[Date]])-1,YEAR(EarningsPerDay[[#This Row],[Date]]))</f>
        <v>2025</v>
      </c>
      <c r="E832" s="4" t="str">
        <f>"QTR"&amp;IF(EarningsPerDay[[#This Row],[Week '#]] &lt;= 13, 1, IF(EarningsPerDay[[#This Row],[Week '#]] &lt;= 26, 2, IF(EarningsPerDay[[#This Row],[Week '#]] &lt;= 39, 3, 4)))</f>
        <v>QTR4</v>
      </c>
      <c r="F83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32" s="4">
        <f>IF(WEEKNUM(EarningsPerDay[[#This Row],[Date]], 2) = 53, 1, WEEKNUM(EarningsPerDay[[#This Row],[Date]],2))</f>
        <v>48</v>
      </c>
      <c r="H832" s="40" t="str">
        <f t="shared" si="124"/>
        <v>Friday</v>
      </c>
      <c r="I832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832" s="40" t="str" cm="1">
        <f t="array" ref="J832">IFERROR(VLOOKUP(MODE(IF(Combined[Date]=EarningsPerDay[[#This Row],[Date]],Combined[Area '#])),KPIs!$B$4:$C$7,2,FALSE),VLOOKUP(EarningsPerDay[[#This Row],[Date]],Combined[[Date]:[Primary Area]],8,FALSE))</f>
        <v>Augusta</v>
      </c>
      <c r="K832" s="40" t="str">
        <f>_xlfn.XLOOKUP(EarningsPerDay[[#This Row],[Date]],Mileage[Date],Mileage[Weather])</f>
        <v>Clear</v>
      </c>
      <c r="L832" s="4">
        <f>_xlfn.XLOOKUP(EarningsPerDay[[#This Row],[Date]],Mileage[Date],Mileage[Hi Temp])</f>
        <v>32</v>
      </c>
      <c r="M832" s="12">
        <f>_xlfn.XLOOKUP(EarningsPerDay[[#This Row],[Date]],Mileage[Date],Mileage[Total Time])</f>
        <v>8.26</v>
      </c>
      <c r="N832" s="4">
        <f>_xlfn.XLOOKUP(EarningsPerDay[[#This Row],[Date]],Mileage[Date],Mileage[Mileage])</f>
        <v>185</v>
      </c>
      <c r="O832" s="4">
        <f>SUMIF(Combined[Date],EarningsPerDay[[#This Row],[Date]],Combined[Trips])</f>
        <v>17</v>
      </c>
      <c r="P832">
        <f>COUNTIF(Combined[Date],EarningsPerDay[[#This Row],[Date]])</f>
        <v>3</v>
      </c>
      <c r="Q83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2" s="11">
        <f>SUMIF(Combined[Date],EarningsPerDay[[#This Row],[Date]],Combined[Earnings])</f>
        <v>185.76</v>
      </c>
      <c r="S832" s="11">
        <f ca="1">EarningsPerDay[[#This Row],[Gross Earnings]]-(EarningsPerDay[[#This Row],[Miles]]*CpM!$D$11)</f>
        <v>144.50997786376749</v>
      </c>
      <c r="T832" s="11">
        <f t="shared" si="108"/>
        <v>22.489104116222759</v>
      </c>
      <c r="U832" s="11">
        <f t="shared" ca="1" si="109"/>
        <v>17.495154705056596</v>
      </c>
      <c r="V832" s="11">
        <f>EarningsPerDay[[#This Row],[Gross Earnings]]/EarningsPerDay[[#This Row],[Deliveries]]</f>
        <v>10.927058823529411</v>
      </c>
      <c r="W832" s="11">
        <f>EarningsPerDay[[#This Row],[Gross Earnings]]/EarningsPerDay[[#This Row],[Miles]]</f>
        <v>1.004108108108108</v>
      </c>
      <c r="X832" s="71">
        <f>EarningsPerDay[[#This Row],[Deliveries]]/EarningsPerDay[[#This Row],[Hours]]</f>
        <v>2.0581113801452786</v>
      </c>
      <c r="Y832" s="71">
        <f>EarningsPerDay[[#This Row],[Miles]]/EarningsPerDay[[#This Row],[Deliveries]]</f>
        <v>10.882352941176471</v>
      </c>
      <c r="Z832" s="81">
        <f>(EarningsPerDay[[#This Row],[Hours]]/EarningsPerDay[[#This Row],[Deliveries]])/24</f>
        <v>2.0245098039215686E-2</v>
      </c>
      <c r="AA83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-2.0318604951941168</v>
      </c>
      <c r="AB832" s="11">
        <f>AVERAGEIFS(EarningsPerDay[Gross $/Hour],EarningsPerDay[Week '#], EarningsPerDay[[#This Row],[Week '#]], EarningsPerDay[DOW], EarningsPerDay[[#This Row],[DOW]])</f>
        <v>22.823939422141361</v>
      </c>
      <c r="AC832" s="11">
        <f>EarningsPerDay[[#This Row],[Gross $/Hour]] - EarningsPerDay[[#This Row],[Weekly Average Earnings]]</f>
        <v>-0.33483530591860244</v>
      </c>
      <c r="AD832" s="11">
        <f>(SUMIFS(EarningsPerDay[Gross Earnings], EarningsPerDay[Date],"&gt;="&amp;EarningsPerDay[[#This Row],[Date]]-89, EarningsPerDay[Date], "&lt;="&amp;EarningsPerDay[[#This Row],[Date]]))/90</f>
        <v>67.051333333333332</v>
      </c>
    </row>
    <row r="833" spans="2:30" x14ac:dyDescent="0.35">
      <c r="B833" s="40">
        <v>45990</v>
      </c>
      <c r="C833" s="40">
        <f t="shared" si="121"/>
        <v>45990</v>
      </c>
      <c r="D833" s="4">
        <f>IF(EarningsPerDay[[#This Row],[Week '#]]&gt;=52,YEAR(EarningsPerDay[[#This Row],[Date]])-1,YEAR(EarningsPerDay[[#This Row],[Date]]))</f>
        <v>2025</v>
      </c>
      <c r="E833" s="4" t="str">
        <f>"QTR"&amp;IF(EarningsPerDay[[#This Row],[Week '#]] &lt;= 13, 1, IF(EarningsPerDay[[#This Row],[Week '#]] &lt;= 26, 2, IF(EarningsPerDay[[#This Row],[Week '#]] &lt;= 39, 3, 4)))</f>
        <v>QTR4</v>
      </c>
      <c r="F83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33" s="4">
        <f>IF(WEEKNUM(EarningsPerDay[[#This Row],[Date]], 2) = 53, 1, WEEKNUM(EarningsPerDay[[#This Row],[Date]],2))</f>
        <v>48</v>
      </c>
      <c r="H833" s="40" t="str">
        <f t="shared" si="124"/>
        <v>Saturday</v>
      </c>
      <c r="I833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833" s="40" t="str" cm="1">
        <f t="array" ref="J833">IFERROR(VLOOKUP(MODE(IF(Combined[Date]=EarningsPerDay[[#This Row],[Date]],Combined[Area '#])),KPIs!$B$4:$C$7,2,FALSE),VLOOKUP(EarningsPerDay[[#This Row],[Date]],Combined[[Date]:[Primary Area]],8,FALSE))</f>
        <v>Brunswick/Bath/Freeport</v>
      </c>
      <c r="K833" s="40" t="str">
        <f>_xlfn.XLOOKUP(EarningsPerDay[[#This Row],[Date]],Mileage[Date],Mileage[Weather])</f>
        <v>Clear</v>
      </c>
      <c r="L833" s="4">
        <f>_xlfn.XLOOKUP(EarningsPerDay[[#This Row],[Date]],Mileage[Date],Mileage[Hi Temp])</f>
        <v>30</v>
      </c>
      <c r="M833" s="12">
        <f>_xlfn.XLOOKUP(EarningsPerDay[[#This Row],[Date]],Mileage[Date],Mileage[Total Time])</f>
        <v>5.47</v>
      </c>
      <c r="N833" s="4">
        <f>_xlfn.XLOOKUP(EarningsPerDay[[#This Row],[Date]],Mileage[Date],Mileage[Mileage])</f>
        <v>140</v>
      </c>
      <c r="O833" s="4">
        <f>SUMIF(Combined[Date],EarningsPerDay[[#This Row],[Date]],Combined[Trips])</f>
        <v>6</v>
      </c>
      <c r="P833">
        <f>COUNTIF(Combined[Date],EarningsPerDay[[#This Row],[Date]])</f>
        <v>2</v>
      </c>
      <c r="Q83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3" s="11">
        <f>SUMIF(Combined[Date],EarningsPerDay[[#This Row],[Date]],Combined[Earnings])</f>
        <v>83.38</v>
      </c>
      <c r="S833" s="11">
        <f ca="1">EarningsPerDay[[#This Row],[Gross Earnings]]-(EarningsPerDay[[#This Row],[Miles]]*CpM!$D$11)</f>
        <v>52.163767032040255</v>
      </c>
      <c r="T833" s="11">
        <f t="shared" si="108"/>
        <v>15.243144424131627</v>
      </c>
      <c r="U833" s="11">
        <f t="shared" ca="1" si="109"/>
        <v>9.5363376658208878</v>
      </c>
      <c r="V833" s="11">
        <f>EarningsPerDay[[#This Row],[Gross Earnings]]/EarningsPerDay[[#This Row],[Deliveries]]</f>
        <v>13.896666666666667</v>
      </c>
      <c r="W833" s="11">
        <f>EarningsPerDay[[#This Row],[Gross Earnings]]/EarningsPerDay[[#This Row],[Miles]]</f>
        <v>0.59557142857142853</v>
      </c>
      <c r="X833" s="71">
        <f>EarningsPerDay[[#This Row],[Deliveries]]/EarningsPerDay[[#This Row],[Hours]]</f>
        <v>1.0968921389396711</v>
      </c>
      <c r="Y833" s="71">
        <f>EarningsPerDay[[#This Row],[Miles]]/EarningsPerDay[[#This Row],[Deliveries]]</f>
        <v>23.333333333333332</v>
      </c>
      <c r="Z833" s="81">
        <f>(EarningsPerDay[[#This Row],[Hours]]/EarningsPerDay[[#This Row],[Deliveries]])/24</f>
        <v>3.7986111111111109E-2</v>
      </c>
      <c r="AA83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-6.3685938514719762</v>
      </c>
      <c r="AB833" s="11">
        <f>AVERAGEIFS(EarningsPerDay[Gross $/Hour],EarningsPerDay[Week '#], EarningsPerDay[[#This Row],[Week '#]], EarningsPerDay[DOW], EarningsPerDay[[#This Row],[DOW]])</f>
        <v>20.137597751187688</v>
      </c>
      <c r="AC833" s="11">
        <f>EarningsPerDay[[#This Row],[Gross $/Hour]] - EarningsPerDay[[#This Row],[Weekly Average Earnings]]</f>
        <v>-4.8944533270560608</v>
      </c>
      <c r="AD833" s="11">
        <f>(SUMIFS(EarningsPerDay[Gross Earnings], EarningsPerDay[Date],"&gt;="&amp;EarningsPerDay[[#This Row],[Date]]-89, EarningsPerDay[Date], "&lt;="&amp;EarningsPerDay[[#This Row],[Date]]))/90</f>
        <v>67.744</v>
      </c>
    </row>
    <row r="834" spans="2:30" x14ac:dyDescent="0.35">
      <c r="B834" s="40">
        <v>45991</v>
      </c>
      <c r="C834" s="40">
        <f t="shared" si="121"/>
        <v>45991</v>
      </c>
      <c r="D834" s="4">
        <f>IF(EarningsPerDay[[#This Row],[Week '#]]&gt;=52,YEAR(EarningsPerDay[[#This Row],[Date]])-1,YEAR(EarningsPerDay[[#This Row],[Date]]))</f>
        <v>2025</v>
      </c>
      <c r="E834" s="4" t="str">
        <f>"QTR"&amp;IF(EarningsPerDay[[#This Row],[Week '#]] &lt;= 13, 1, IF(EarningsPerDay[[#This Row],[Week '#]] &lt;= 26, 2, IF(EarningsPerDay[[#This Row],[Week '#]] &lt;= 39, 3, 4)))</f>
        <v>QTR4</v>
      </c>
      <c r="F83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9</v>
      </c>
      <c r="G834" s="4">
        <f>IF(WEEKNUM(EarningsPerDay[[#This Row],[Date]], 2) = 53, 1, WEEKNUM(EarningsPerDay[[#This Row],[Date]],2))</f>
        <v>48</v>
      </c>
      <c r="H834" s="40" t="str">
        <f t="shared" si="124"/>
        <v>Sunday</v>
      </c>
      <c r="I834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34" s="40" t="str" cm="1">
        <f t="array" ref="J834">IFERROR(VLOOKUP(MODE(IF(Combined[Date]=EarningsPerDay[[#This Row],[Date]],Combined[Area '#])),KPIs!$B$4:$C$7,2,FALSE),VLOOKUP(EarningsPerDay[[#This Row],[Date]],Combined[[Date]:[Primary Area]],8,FALSE))</f>
        <v>Brunswick/Bath/Freeport</v>
      </c>
      <c r="K834" s="40" t="str">
        <f>_xlfn.XLOOKUP(EarningsPerDay[[#This Row],[Date]],Mileage[Date],Mileage[Weather])</f>
        <v>Rain</v>
      </c>
      <c r="L834" s="4">
        <f>_xlfn.XLOOKUP(EarningsPerDay[[#This Row],[Date]],Mileage[Date],Mileage[Hi Temp])</f>
        <v>43</v>
      </c>
      <c r="M834" s="12">
        <f>_xlfn.XLOOKUP(EarningsPerDay[[#This Row],[Date]],Mileage[Date],Mileage[Total Time])</f>
        <v>6.03</v>
      </c>
      <c r="N834" s="4">
        <f>_xlfn.XLOOKUP(EarningsPerDay[[#This Row],[Date]],Mileage[Date],Mileage[Mileage])</f>
        <v>123</v>
      </c>
      <c r="O834" s="4">
        <f>SUMIF(Combined[Date],EarningsPerDay[[#This Row],[Date]],Combined[Trips])</f>
        <v>18</v>
      </c>
      <c r="P834">
        <f>COUNTIF(Combined[Date],EarningsPerDay[[#This Row],[Date]])</f>
        <v>3</v>
      </c>
      <c r="Q83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4" s="11">
        <f>SUMIF(Combined[Date],EarningsPerDay[[#This Row],[Date]],Combined[Earnings])</f>
        <v>185.89</v>
      </c>
      <c r="S834" s="11">
        <f ca="1">EarningsPerDay[[#This Row],[Gross Earnings]]-(EarningsPerDay[[#This Row],[Miles]]*CpM!$D$11)</f>
        <v>158.46430960672109</v>
      </c>
      <c r="T834" s="11">
        <f t="shared" si="108"/>
        <v>30.82752902155887</v>
      </c>
      <c r="U834" s="11">
        <f t="shared" ca="1" si="109"/>
        <v>26.279321659489401</v>
      </c>
      <c r="V834" s="11">
        <f>EarningsPerDay[[#This Row],[Gross Earnings]]/EarningsPerDay[[#This Row],[Deliveries]]</f>
        <v>10.327222222222222</v>
      </c>
      <c r="W834" s="11">
        <f>EarningsPerDay[[#This Row],[Gross Earnings]]/EarningsPerDay[[#This Row],[Miles]]</f>
        <v>1.51130081300813</v>
      </c>
      <c r="X834" s="71">
        <f>EarningsPerDay[[#This Row],[Deliveries]]/EarningsPerDay[[#This Row],[Hours]]</f>
        <v>2.9850746268656714</v>
      </c>
      <c r="Y834" s="71">
        <f>EarningsPerDay[[#This Row],[Miles]]/EarningsPerDay[[#This Row],[Deliveries]]</f>
        <v>6.833333333333333</v>
      </c>
      <c r="Z834" s="81">
        <f>(EarningsPerDay[[#This Row],[Hours]]/EarningsPerDay[[#This Row],[Deliveries]])/24</f>
        <v>1.3958333333333335E-2</v>
      </c>
      <c r="AA83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8.2562871804781537</v>
      </c>
      <c r="AB834" s="11">
        <f>AVERAGEIFS(EarningsPerDay[Gross $/Hour],EarningsPerDay[Week '#], EarningsPerDay[[#This Row],[Week '#]], EarningsPerDay[DOW], EarningsPerDay[[#This Row],[DOW]])</f>
        <v>26.176807989040306</v>
      </c>
      <c r="AC834" s="11">
        <f>EarningsPerDay[[#This Row],[Gross $/Hour]] - EarningsPerDay[[#This Row],[Weekly Average Earnings]]</f>
        <v>4.6507210325185646</v>
      </c>
      <c r="AD834" s="11">
        <f>(SUMIFS(EarningsPerDay[Gross Earnings], EarningsPerDay[Date],"&gt;="&amp;EarningsPerDay[[#This Row],[Date]]-89, EarningsPerDay[Date], "&lt;="&amp;EarningsPerDay[[#This Row],[Date]]))/90</f>
        <v>67.582000000000008</v>
      </c>
    </row>
    <row r="835" spans="2:30" x14ac:dyDescent="0.35">
      <c r="B835" s="40">
        <v>45993</v>
      </c>
      <c r="C835" s="40">
        <f t="shared" si="121"/>
        <v>45993</v>
      </c>
      <c r="D835" s="4">
        <f>IF(EarningsPerDay[[#This Row],[Week '#]]&gt;=52,YEAR(EarningsPerDay[[#This Row],[Date]])-1,YEAR(EarningsPerDay[[#This Row],[Date]]))</f>
        <v>2025</v>
      </c>
      <c r="E835" s="4" t="str">
        <f>"QTR"&amp;IF(EarningsPerDay[[#This Row],[Week '#]] &lt;= 13, 1, IF(EarningsPerDay[[#This Row],[Week '#]] &lt;= 26, 2, IF(EarningsPerDay[[#This Row],[Week '#]] &lt;= 39, 3, 4)))</f>
        <v>QTR4</v>
      </c>
      <c r="F83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35" s="4">
        <f>IF(WEEKNUM(EarningsPerDay[[#This Row],[Date]], 2) = 53, 1, WEEKNUM(EarningsPerDay[[#This Row],[Date]],2))</f>
        <v>49</v>
      </c>
      <c r="H835" s="40" t="str">
        <f t="shared" si="124"/>
        <v>Tuesday</v>
      </c>
      <c r="I835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835" s="40" t="str" cm="1">
        <f t="array" ref="J835">IFERROR(VLOOKUP(MODE(IF(Combined[Date]=EarningsPerDay[[#This Row],[Date]],Combined[Area '#])),KPIs!$B$4:$C$7,2,FALSE),VLOOKUP(EarningsPerDay[[#This Row],[Date]],Combined[[Date]:[Primary Area]],8,FALSE))</f>
        <v>Portland</v>
      </c>
      <c r="K835" s="40" t="str">
        <f>_xlfn.XLOOKUP(EarningsPerDay[[#This Row],[Date]],Mileage[Date],Mileage[Weather])</f>
        <v>Light Snow</v>
      </c>
      <c r="L835" s="4">
        <f>_xlfn.XLOOKUP(EarningsPerDay[[#This Row],[Date]],Mileage[Date],Mileage[Hi Temp])</f>
        <v>27</v>
      </c>
      <c r="M835" s="12">
        <f>_xlfn.XLOOKUP(EarningsPerDay[[#This Row],[Date]],Mileage[Date],Mileage[Total Time])</f>
        <v>4.5999999999999996</v>
      </c>
      <c r="N835" s="4">
        <f>_xlfn.XLOOKUP(EarningsPerDay[[#This Row],[Date]],Mileage[Date],Mileage[Mileage])</f>
        <v>124</v>
      </c>
      <c r="O835" s="4">
        <f>SUMIF(Combined[Date],EarningsPerDay[[#This Row],[Date]],Combined[Trips])</f>
        <v>7</v>
      </c>
      <c r="P835">
        <f>COUNTIF(Combined[Date],EarningsPerDay[[#This Row],[Date]])</f>
        <v>2</v>
      </c>
      <c r="Q83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5" s="11">
        <f>SUMIF(Combined[Date],EarningsPerDay[[#This Row],[Date]],Combined[Earnings])</f>
        <v>111.37</v>
      </c>
      <c r="S835" s="11">
        <f ca="1">EarningsPerDay[[#This Row],[Gross Earnings]]-(EarningsPerDay[[#This Row],[Miles]]*CpM!$D$11)</f>
        <v>83.721336514092812</v>
      </c>
      <c r="T835" s="11">
        <f t="shared" ref="T835:T840" si="125">R835/M835</f>
        <v>24.210869565217394</v>
      </c>
      <c r="U835" s="11">
        <f t="shared" ref="U835:U840" ca="1" si="126">S835/M835</f>
        <v>18.200290546541918</v>
      </c>
      <c r="V835" s="11">
        <f>EarningsPerDay[[#This Row],[Gross Earnings]]/EarningsPerDay[[#This Row],[Deliveries]]</f>
        <v>15.91</v>
      </c>
      <c r="W835" s="11">
        <f>EarningsPerDay[[#This Row],[Gross Earnings]]/EarningsPerDay[[#This Row],[Miles]]</f>
        <v>0.89814516129032262</v>
      </c>
      <c r="X835" s="71">
        <f>EarningsPerDay[[#This Row],[Deliveries]]/EarningsPerDay[[#This Row],[Hours]]</f>
        <v>1.5217391304347827</v>
      </c>
      <c r="Y835" s="71">
        <f>EarningsPerDay[[#This Row],[Miles]]/EarningsPerDay[[#This Row],[Deliveries]]</f>
        <v>17.714285714285715</v>
      </c>
      <c r="Z835" s="81">
        <f>(EarningsPerDay[[#This Row],[Hours]]/EarningsPerDay[[#This Row],[Deliveries]])/24</f>
        <v>2.7380952380952381E-2</v>
      </c>
      <c r="AA83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6.0398564783176312</v>
      </c>
      <c r="AB835" s="11">
        <f>AVERAGEIFS(EarningsPerDay[Gross $/Hour],EarningsPerDay[Week '#], EarningsPerDay[[#This Row],[Week '#]], EarningsPerDay[DOW], EarningsPerDay[[#This Row],[DOW]])</f>
        <v>25.405428055549038</v>
      </c>
      <c r="AC835" s="11">
        <f>EarningsPerDay[[#This Row],[Gross $/Hour]] - EarningsPerDay[[#This Row],[Weekly Average Earnings]]</f>
        <v>-1.1945584903316444</v>
      </c>
      <c r="AD835" s="11">
        <f>(SUMIFS(EarningsPerDay[Gross Earnings], EarningsPerDay[Date],"&gt;="&amp;EarningsPerDay[[#This Row],[Date]]-89, EarningsPerDay[Date], "&lt;="&amp;EarningsPerDay[[#This Row],[Date]]))/90</f>
        <v>67.648444444444436</v>
      </c>
    </row>
    <row r="836" spans="2:30" x14ac:dyDescent="0.35">
      <c r="B836" s="40">
        <v>45994</v>
      </c>
      <c r="C836" s="40">
        <f t="shared" si="121"/>
        <v>45994</v>
      </c>
      <c r="D836" s="4">
        <f>IF(EarningsPerDay[[#This Row],[Week '#]]&gt;=52,YEAR(EarningsPerDay[[#This Row],[Date]])-1,YEAR(EarningsPerDay[[#This Row],[Date]]))</f>
        <v>2025</v>
      </c>
      <c r="E836" s="4" t="str">
        <f>"QTR"&amp;IF(EarningsPerDay[[#This Row],[Week '#]] &lt;= 13, 1, IF(EarningsPerDay[[#This Row],[Week '#]] &lt;= 26, 2, IF(EarningsPerDay[[#This Row],[Week '#]] &lt;= 39, 3, 4)))</f>
        <v>QTR4</v>
      </c>
      <c r="F83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36" s="4">
        <f>IF(WEEKNUM(EarningsPerDay[[#This Row],[Date]], 2) = 53, 1, WEEKNUM(EarningsPerDay[[#This Row],[Date]],2))</f>
        <v>49</v>
      </c>
      <c r="H836" s="40" t="str">
        <f t="shared" si="124"/>
        <v>Wednesday</v>
      </c>
      <c r="I83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36" s="40" t="str" cm="1">
        <f t="array" ref="J836">IFERROR(VLOOKUP(MODE(IF(Combined[Date]=EarningsPerDay[[#This Row],[Date]],Combined[Area '#])),KPIs!$B$4:$C$7,2,FALSE),VLOOKUP(EarningsPerDay[[#This Row],[Date]],Combined[[Date]:[Primary Area]],8,FALSE))</f>
        <v>Augusta</v>
      </c>
      <c r="K836" s="40" t="str">
        <f>_xlfn.XLOOKUP(EarningsPerDay[[#This Row],[Date]],Mileage[Date],Mileage[Weather])</f>
        <v>Overcast</v>
      </c>
      <c r="L836" s="4">
        <f>_xlfn.XLOOKUP(EarningsPerDay[[#This Row],[Date]],Mileage[Date],Mileage[Hi Temp])</f>
        <v>30</v>
      </c>
      <c r="M836" s="12">
        <f>_xlfn.XLOOKUP(EarningsPerDay[[#This Row],[Date]],Mileage[Date],Mileage[Total Time])</f>
        <v>3.65</v>
      </c>
      <c r="N836" s="4">
        <f>_xlfn.XLOOKUP(EarningsPerDay[[#This Row],[Date]],Mileage[Date],Mileage[Mileage])</f>
        <v>111</v>
      </c>
      <c r="O836" s="4">
        <f>SUMIF(Combined[Date],EarningsPerDay[[#This Row],[Date]],Combined[Trips])</f>
        <v>5</v>
      </c>
      <c r="P836">
        <f>COUNTIF(Combined[Date],EarningsPerDay[[#This Row],[Date]])</f>
        <v>2</v>
      </c>
      <c r="Q83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6" s="11">
        <f>SUMIF(Combined[Date],EarningsPerDay[[#This Row],[Date]],Combined[Earnings])</f>
        <v>59.56</v>
      </c>
      <c r="S836" s="11">
        <f ca="1">EarningsPerDay[[#This Row],[Gross Earnings]]-(EarningsPerDay[[#This Row],[Miles]]*CpM!$D$11)</f>
        <v>34.809986718260497</v>
      </c>
      <c r="T836" s="11">
        <f t="shared" si="125"/>
        <v>16.317808219178083</v>
      </c>
      <c r="U836" s="11">
        <f t="shared" ca="1" si="126"/>
        <v>9.5369826625371221</v>
      </c>
      <c r="V836" s="11">
        <f>EarningsPerDay[[#This Row],[Gross Earnings]]/EarningsPerDay[[#This Row],[Deliveries]]</f>
        <v>11.912000000000001</v>
      </c>
      <c r="W836" s="11">
        <f>EarningsPerDay[[#This Row],[Gross Earnings]]/EarningsPerDay[[#This Row],[Miles]]</f>
        <v>0.53657657657657665</v>
      </c>
      <c r="X836" s="71">
        <f>EarningsPerDay[[#This Row],[Deliveries]]/EarningsPerDay[[#This Row],[Hours]]</f>
        <v>1.3698630136986301</v>
      </c>
      <c r="Y836" s="71">
        <f>EarningsPerDay[[#This Row],[Miles]]/EarningsPerDay[[#This Row],[Deliveries]]</f>
        <v>22.2</v>
      </c>
      <c r="Z836" s="81">
        <f>(EarningsPerDay[[#This Row],[Hours]]/EarningsPerDay[[#This Row],[Deliveries]])/24</f>
        <v>3.0416666666666665E-2</v>
      </c>
      <c r="AA83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1.9001945828144464</v>
      </c>
      <c r="AB836" s="11">
        <f>AVERAGEIFS(EarningsPerDay[Gross $/Hour],EarningsPerDay[Week '#], EarningsPerDay[[#This Row],[Week '#]], EarningsPerDay[DOW], EarningsPerDay[[#This Row],[DOW]])</f>
        <v>22.342390348121153</v>
      </c>
      <c r="AC836" s="11">
        <f>EarningsPerDay[[#This Row],[Gross $/Hour]] - EarningsPerDay[[#This Row],[Weekly Average Earnings]]</f>
        <v>-6.0245821289430701</v>
      </c>
      <c r="AD836" s="11">
        <f>(SUMIFS(EarningsPerDay[Gross Earnings], EarningsPerDay[Date],"&gt;="&amp;EarningsPerDay[[#This Row],[Date]]-89, EarningsPerDay[Date], "&lt;="&amp;EarningsPerDay[[#This Row],[Date]]))/90</f>
        <v>68.023777777777781</v>
      </c>
    </row>
    <row r="837" spans="2:30" x14ac:dyDescent="0.35">
      <c r="B837" s="40">
        <v>45997</v>
      </c>
      <c r="C837" s="40">
        <f t="shared" si="121"/>
        <v>45997</v>
      </c>
      <c r="D837" s="4">
        <f>IF(EarningsPerDay[[#This Row],[Week '#]]&gt;=52,YEAR(EarningsPerDay[[#This Row],[Date]])-1,YEAR(EarningsPerDay[[#This Row],[Date]]))</f>
        <v>2025</v>
      </c>
      <c r="E837" s="4" t="str">
        <f>"QTR"&amp;IF(EarningsPerDay[[#This Row],[Week '#]] &lt;= 13, 1, IF(EarningsPerDay[[#This Row],[Week '#]] &lt;= 26, 2, IF(EarningsPerDay[[#This Row],[Week '#]] &lt;= 39, 3, 4)))</f>
        <v>QTR4</v>
      </c>
      <c r="F83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37" s="4">
        <f>IF(WEEKNUM(EarningsPerDay[[#This Row],[Date]], 2) = 53, 1, WEEKNUM(EarningsPerDay[[#This Row],[Date]],2))</f>
        <v>49</v>
      </c>
      <c r="H837" s="40" t="str">
        <f t="shared" ref="H837:H842" si="127">TEXT(B837,"DDDD")</f>
        <v>Saturday</v>
      </c>
      <c r="I837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837" s="40" t="str" cm="1">
        <f t="array" ref="J837">IFERROR(VLOOKUP(MODE(IF(Combined[Date]=EarningsPerDay[[#This Row],[Date]],Combined[Area '#])),KPIs!$B$4:$C$7,2,FALSE),VLOOKUP(EarningsPerDay[[#This Row],[Date]],Combined[[Date]:[Primary Area]],8,FALSE))</f>
        <v>Portland</v>
      </c>
      <c r="K837" s="40" t="str">
        <f>_xlfn.XLOOKUP(EarningsPerDay[[#This Row],[Date]],Mileage[Date],Mileage[Weather])</f>
        <v>Partially Sunny</v>
      </c>
      <c r="L837" s="4">
        <f>_xlfn.XLOOKUP(EarningsPerDay[[#This Row],[Date]],Mileage[Date],Mileage[Hi Temp])</f>
        <v>27</v>
      </c>
      <c r="M837" s="12">
        <f>_xlfn.XLOOKUP(EarningsPerDay[[#This Row],[Date]],Mileage[Date],Mileage[Total Time])</f>
        <v>6.58</v>
      </c>
      <c r="N837" s="4">
        <f>_xlfn.XLOOKUP(EarningsPerDay[[#This Row],[Date]],Mileage[Date],Mileage[Mileage])</f>
        <v>148</v>
      </c>
      <c r="O837" s="4">
        <f>SUMIF(Combined[Date],EarningsPerDay[[#This Row],[Date]],Combined[Trips])</f>
        <v>13</v>
      </c>
      <c r="P837">
        <f>COUNTIF(Combined[Date],EarningsPerDay[[#This Row],[Date]])</f>
        <v>2</v>
      </c>
      <c r="Q83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7" s="11">
        <f>SUMIF(Combined[Date],EarningsPerDay[[#This Row],[Date]],Combined[Earnings])</f>
        <v>146.79</v>
      </c>
      <c r="S837" s="11">
        <f ca="1">EarningsPerDay[[#This Row],[Gross Earnings]]-(EarningsPerDay[[#This Row],[Miles]]*CpM!$D$11)</f>
        <v>113.78998229101398</v>
      </c>
      <c r="T837" s="11">
        <f t="shared" si="125"/>
        <v>22.308510638297872</v>
      </c>
      <c r="U837" s="11">
        <f t="shared" ca="1" si="126"/>
        <v>17.293310378573555</v>
      </c>
      <c r="V837" s="11">
        <f>EarningsPerDay[[#This Row],[Gross Earnings]]/EarningsPerDay[[#This Row],[Deliveries]]</f>
        <v>11.291538461538462</v>
      </c>
      <c r="W837" s="11">
        <f>EarningsPerDay[[#This Row],[Gross Earnings]]/EarningsPerDay[[#This Row],[Miles]]</f>
        <v>0.99182432432432432</v>
      </c>
      <c r="X837" s="71">
        <f>EarningsPerDay[[#This Row],[Deliveries]]/EarningsPerDay[[#This Row],[Hours]]</f>
        <v>1.9756838905775076</v>
      </c>
      <c r="Y837" s="71">
        <f>EarningsPerDay[[#This Row],[Miles]]/EarningsPerDay[[#This Row],[Deliveries]]</f>
        <v>11.384615384615385</v>
      </c>
      <c r="Z837" s="81">
        <f>(EarningsPerDay[[#This Row],[Hours]]/EarningsPerDay[[#This Row],[Deliveries]])/24</f>
        <v>2.1089743589743592E-2</v>
      </c>
      <c r="AA83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-0.21524076413826165</v>
      </c>
      <c r="AB837" s="11">
        <f>AVERAGEIFS(EarningsPerDay[Gross $/Hour],EarningsPerDay[Week '#], EarningsPerDay[[#This Row],[Week '#]], EarningsPerDay[DOW], EarningsPerDay[[#This Row],[DOW]])</f>
        <v>20.464828006373605</v>
      </c>
      <c r="AC837" s="11">
        <f>EarningsPerDay[[#This Row],[Gross $/Hour]] - EarningsPerDay[[#This Row],[Weekly Average Earnings]]</f>
        <v>1.843682631924267</v>
      </c>
      <c r="AD837" s="11">
        <f>(SUMIFS(EarningsPerDay[Gross Earnings], EarningsPerDay[Date],"&gt;="&amp;EarningsPerDay[[#This Row],[Date]]-89, EarningsPerDay[Date], "&lt;="&amp;EarningsPerDay[[#This Row],[Date]]))/90</f>
        <v>67.365222222222215</v>
      </c>
    </row>
    <row r="838" spans="2:30" x14ac:dyDescent="0.35">
      <c r="B838" s="40">
        <v>45998</v>
      </c>
      <c r="C838" s="40">
        <f t="shared" si="121"/>
        <v>45998</v>
      </c>
      <c r="D838" s="4">
        <f>IF(EarningsPerDay[[#This Row],[Week '#]]&gt;=52,YEAR(EarningsPerDay[[#This Row],[Date]])-1,YEAR(EarningsPerDay[[#This Row],[Date]]))</f>
        <v>2025</v>
      </c>
      <c r="E838" s="4" t="str">
        <f>"QTR"&amp;IF(EarningsPerDay[[#This Row],[Week '#]] &lt;= 13, 1, IF(EarningsPerDay[[#This Row],[Week '#]] &lt;= 26, 2, IF(EarningsPerDay[[#This Row],[Week '#]] &lt;= 39, 3, 4)))</f>
        <v>QTR4</v>
      </c>
      <c r="F83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38" s="4">
        <f>IF(WEEKNUM(EarningsPerDay[[#This Row],[Date]], 2) = 53, 1, WEEKNUM(EarningsPerDay[[#This Row],[Date]],2))</f>
        <v>49</v>
      </c>
      <c r="H838" s="40" t="str">
        <f t="shared" si="127"/>
        <v>Sunday</v>
      </c>
      <c r="I838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838" s="40" t="str" cm="1">
        <f t="array" ref="J838">IFERROR(VLOOKUP(MODE(IF(Combined[Date]=EarningsPerDay[[#This Row],[Date]],Combined[Area '#])),KPIs!$B$4:$C$7,2,FALSE),VLOOKUP(EarningsPerDay[[#This Row],[Date]],Combined[[Date]:[Primary Area]],8,FALSE))</f>
        <v>Brunswick/Bath/Freeport</v>
      </c>
      <c r="K838" s="40" t="str">
        <f>_xlfn.XLOOKUP(EarningsPerDay[[#This Row],[Date]],Mileage[Date],Mileage[Weather])</f>
        <v>Overcast</v>
      </c>
      <c r="L838" s="4">
        <f>_xlfn.XLOOKUP(EarningsPerDay[[#This Row],[Date]],Mileage[Date],Mileage[Hi Temp])</f>
        <v>32</v>
      </c>
      <c r="M838" s="12">
        <f>_xlfn.XLOOKUP(EarningsPerDay[[#This Row],[Date]],Mileage[Date],Mileage[Total Time])</f>
        <v>8.7200000000000006</v>
      </c>
      <c r="N838" s="4">
        <f>_xlfn.XLOOKUP(EarningsPerDay[[#This Row],[Date]],Mileage[Date],Mileage[Mileage])</f>
        <v>201</v>
      </c>
      <c r="O838" s="4">
        <f>SUMIF(Combined[Date],EarningsPerDay[[#This Row],[Date]],Combined[Trips])</f>
        <v>14</v>
      </c>
      <c r="P838">
        <f>COUNTIF(Combined[Date],EarningsPerDay[[#This Row],[Date]])</f>
        <v>1</v>
      </c>
      <c r="Q83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38" s="11">
        <f>SUMIF(Combined[Date],EarningsPerDay[[#This Row],[Date]],Combined[Earnings])</f>
        <v>201.02</v>
      </c>
      <c r="S838" s="11">
        <f ca="1">EarningsPerDay[[#This Row],[Gross Earnings]]-(EarningsPerDay[[#This Row],[Miles]]*CpM!$D$11)</f>
        <v>156.20240838171497</v>
      </c>
      <c r="T838" s="11">
        <f t="shared" si="125"/>
        <v>23.052752293577981</v>
      </c>
      <c r="U838" s="11">
        <f t="shared" ca="1" si="126"/>
        <v>17.91312022726089</v>
      </c>
      <c r="V838" s="11">
        <f>EarningsPerDay[[#This Row],[Gross Earnings]]/EarningsPerDay[[#This Row],[Deliveries]]</f>
        <v>14.358571428571429</v>
      </c>
      <c r="W838" s="11">
        <f>EarningsPerDay[[#This Row],[Gross Earnings]]/EarningsPerDay[[#This Row],[Miles]]</f>
        <v>1.0000995024875623</v>
      </c>
      <c r="X838" s="71">
        <f>EarningsPerDay[[#This Row],[Deliveries]]/EarningsPerDay[[#This Row],[Hours]]</f>
        <v>1.6055045871559632</v>
      </c>
      <c r="Y838" s="71">
        <f>EarningsPerDay[[#This Row],[Miles]]/EarningsPerDay[[#This Row],[Deliveries]]</f>
        <v>14.357142857142858</v>
      </c>
      <c r="Z838" s="81">
        <f>(EarningsPerDay[[#This Row],[Hours]]/EarningsPerDay[[#This Row],[Deliveries]])/24</f>
        <v>2.5952380952380952E-2</v>
      </c>
      <c r="AA83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-0.15358856138566779</v>
      </c>
      <c r="AB838" s="11">
        <f>AVERAGEIFS(EarningsPerDay[Gross $/Hour],EarningsPerDay[Week '#], EarningsPerDay[[#This Row],[Week '#]], EarningsPerDay[DOW], EarningsPerDay[[#This Row],[DOW]])</f>
        <v>23.052752293577981</v>
      </c>
      <c r="AC838" s="11">
        <f>EarningsPerDay[[#This Row],[Gross $/Hour]] - EarningsPerDay[[#This Row],[Weekly Average Earnings]]</f>
        <v>0</v>
      </c>
      <c r="AD838" s="11">
        <f>(SUMIFS(EarningsPerDay[Gross Earnings], EarningsPerDay[Date],"&gt;="&amp;EarningsPerDay[[#This Row],[Date]]-89, EarningsPerDay[Date], "&lt;="&amp;EarningsPerDay[[#This Row],[Date]]))/90</f>
        <v>68.312888888888892</v>
      </c>
    </row>
    <row r="839" spans="2:30" x14ac:dyDescent="0.35">
      <c r="B839" s="40">
        <v>45999</v>
      </c>
      <c r="C839" s="40">
        <f t="shared" si="121"/>
        <v>45999</v>
      </c>
      <c r="D839" s="4">
        <f>IF(EarningsPerDay[[#This Row],[Week '#]]&gt;=52,YEAR(EarningsPerDay[[#This Row],[Date]])-1,YEAR(EarningsPerDay[[#This Row],[Date]]))</f>
        <v>2025</v>
      </c>
      <c r="E839" s="4" t="str">
        <f>"QTR"&amp;IF(EarningsPerDay[[#This Row],[Week '#]] &lt;= 13, 1, IF(EarningsPerDay[[#This Row],[Week '#]] &lt;= 26, 2, IF(EarningsPerDay[[#This Row],[Week '#]] &lt;= 39, 3, 4)))</f>
        <v>QTR4</v>
      </c>
      <c r="F83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39" s="4">
        <f>IF(WEEKNUM(EarningsPerDay[[#This Row],[Date]], 2) = 53, 1, WEEKNUM(EarningsPerDay[[#This Row],[Date]],2))</f>
        <v>50</v>
      </c>
      <c r="H839" s="40" t="str">
        <f t="shared" si="127"/>
        <v>Monday</v>
      </c>
      <c r="I839" s="106">
        <f>IF(_xlfn.XLOOKUP(EarningsPerDay[[#This Row],[Date]],Mileage[Date],Mileage[Start Time])="","",MROUND(_xlfn.XLOOKUP(EarningsPerDay[[#This Row],[Date]],Mileage[Date],Mileage[Start Time]),0.0208333333333333))</f>
        <v>0.54166666666666585</v>
      </c>
      <c r="J839" s="40" t="str" cm="1">
        <f t="array" ref="J839">IFERROR(VLOOKUP(MODE(IF(Combined[Date]=EarningsPerDay[[#This Row],[Date]],Combined[Area '#])),KPIs!$B$4:$C$7,2,FALSE),VLOOKUP(EarningsPerDay[[#This Row],[Date]],Combined[[Date]:[Primary Area]],8,FALSE))</f>
        <v>Lewiston</v>
      </c>
      <c r="K839" s="40" t="str">
        <f>_xlfn.XLOOKUP(EarningsPerDay[[#This Row],[Date]],Mileage[Date],Mileage[Weather])</f>
        <v>Sunny</v>
      </c>
      <c r="L839" s="4">
        <f>_xlfn.XLOOKUP(EarningsPerDay[[#This Row],[Date]],Mileage[Date],Mileage[Hi Temp])</f>
        <v>18</v>
      </c>
      <c r="M839" s="12">
        <f>_xlfn.XLOOKUP(EarningsPerDay[[#This Row],[Date]],Mileage[Date],Mileage[Total Time])</f>
        <v>5.8</v>
      </c>
      <c r="N839" s="4">
        <f>_xlfn.XLOOKUP(EarningsPerDay[[#This Row],[Date]],Mileage[Date],Mileage[Mileage])</f>
        <v>112</v>
      </c>
      <c r="O839" s="4">
        <f>SUMIF(Combined[Date],EarningsPerDay[[#This Row],[Date]],Combined[Trips])</f>
        <v>14</v>
      </c>
      <c r="P839">
        <f>COUNTIF(Combined[Date],EarningsPerDay[[#This Row],[Date]])</f>
        <v>3</v>
      </c>
      <c r="Q839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39" s="11">
        <f>SUMIF(Combined[Date],EarningsPerDay[[#This Row],[Date]],Combined[Earnings])</f>
        <v>156.88</v>
      </c>
      <c r="S839" s="11">
        <f ca="1">EarningsPerDay[[#This Row],[Gross Earnings]]-(EarningsPerDay[[#This Row],[Miles]]*CpM!$D$11)</f>
        <v>131.9070136256322</v>
      </c>
      <c r="T839" s="11">
        <f t="shared" si="125"/>
        <v>27.048275862068966</v>
      </c>
      <c r="U839" s="11">
        <f t="shared" ca="1" si="126"/>
        <v>22.742588556143485</v>
      </c>
      <c r="V839" s="11">
        <f>EarningsPerDay[[#This Row],[Gross Earnings]]/EarningsPerDay[[#This Row],[Deliveries]]</f>
        <v>11.205714285714285</v>
      </c>
      <c r="W839" s="11">
        <f>EarningsPerDay[[#This Row],[Gross Earnings]]/EarningsPerDay[[#This Row],[Miles]]</f>
        <v>1.4007142857142856</v>
      </c>
      <c r="X839" s="71">
        <f>EarningsPerDay[[#This Row],[Deliveries]]/EarningsPerDay[[#This Row],[Hours]]</f>
        <v>2.4137931034482758</v>
      </c>
      <c r="Y839" s="71">
        <f>EarningsPerDay[[#This Row],[Miles]]/EarningsPerDay[[#This Row],[Deliveries]]</f>
        <v>8</v>
      </c>
      <c r="Z839" s="81">
        <f>(EarningsPerDay[[#This Row],[Hours]]/EarningsPerDay[[#This Row],[Deliveries]])/24</f>
        <v>1.726190476190476E-2</v>
      </c>
      <c r="AA83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4.7454614722234219</v>
      </c>
      <c r="AB839" s="11">
        <f>AVERAGEIFS(EarningsPerDay[Gross $/Hour],EarningsPerDay[Week '#], EarningsPerDay[[#This Row],[Week '#]], EarningsPerDay[DOW], EarningsPerDay[[#This Row],[DOW]])</f>
        <v>22.79137036513114</v>
      </c>
      <c r="AC839" s="11">
        <f>EarningsPerDay[[#This Row],[Gross $/Hour]] - EarningsPerDay[[#This Row],[Weekly Average Earnings]]</f>
        <v>4.2569054969378257</v>
      </c>
      <c r="AD839" s="11">
        <f>(SUMIFS(EarningsPerDay[Gross Earnings], EarningsPerDay[Date],"&gt;="&amp;EarningsPerDay[[#This Row],[Date]]-89, EarningsPerDay[Date], "&lt;="&amp;EarningsPerDay[[#This Row],[Date]]))/90</f>
        <v>68.973333333333343</v>
      </c>
    </row>
    <row r="840" spans="2:30" x14ac:dyDescent="0.35">
      <c r="B840" s="40">
        <v>46000</v>
      </c>
      <c r="C840" s="40">
        <f t="shared" si="121"/>
        <v>46000</v>
      </c>
      <c r="D840" s="4">
        <f>IF(EarningsPerDay[[#This Row],[Week '#]]&gt;=52,YEAR(EarningsPerDay[[#This Row],[Date]])-1,YEAR(EarningsPerDay[[#This Row],[Date]]))</f>
        <v>2025</v>
      </c>
      <c r="E840" s="4" t="str">
        <f>"QTR"&amp;IF(EarningsPerDay[[#This Row],[Week '#]] &lt;= 13, 1, IF(EarningsPerDay[[#This Row],[Week '#]] &lt;= 26, 2, IF(EarningsPerDay[[#This Row],[Week '#]] &lt;= 39, 3, 4)))</f>
        <v>QTR4</v>
      </c>
      <c r="F84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40" s="4">
        <f>IF(WEEKNUM(EarningsPerDay[[#This Row],[Date]], 2) = 53, 1, WEEKNUM(EarningsPerDay[[#This Row],[Date]],2))</f>
        <v>50</v>
      </c>
      <c r="H840" s="40" t="str">
        <f t="shared" si="127"/>
        <v>Tuesday</v>
      </c>
      <c r="I840" s="106">
        <f>IF(_xlfn.XLOOKUP(EarningsPerDay[[#This Row],[Date]],Mileage[Date],Mileage[Start Time])="","",MROUND(_xlfn.XLOOKUP(EarningsPerDay[[#This Row],[Date]],Mileage[Date],Mileage[Start Time]),0.0208333333333333))</f>
        <v>0.41666666666666602</v>
      </c>
      <c r="J840" s="40" t="str" cm="1">
        <f t="array" ref="J840">IFERROR(VLOOKUP(MODE(IF(Combined[Date]=EarningsPerDay[[#This Row],[Date]],Combined[Area '#])),KPIs!$B$4:$C$7,2,FALSE),VLOOKUP(EarningsPerDay[[#This Row],[Date]],Combined[[Date]:[Primary Area]],8,FALSE))</f>
        <v>Brunswick/Bath/Freeport</v>
      </c>
      <c r="K840" s="40" t="str">
        <f>_xlfn.XLOOKUP(EarningsPerDay[[#This Row],[Date]],Mileage[Date],Mileage[Weather])</f>
        <v>Sunny</v>
      </c>
      <c r="L840" s="4">
        <f>_xlfn.XLOOKUP(EarningsPerDay[[#This Row],[Date]],Mileage[Date],Mileage[Hi Temp])</f>
        <v>21</v>
      </c>
      <c r="M840" s="12">
        <f>_xlfn.XLOOKUP(EarningsPerDay[[#This Row],[Date]],Mileage[Date],Mileage[Total Time])</f>
        <v>7.5</v>
      </c>
      <c r="N840" s="4">
        <f>_xlfn.XLOOKUP(EarningsPerDay[[#This Row],[Date]],Mileage[Date],Mileage[Mileage])</f>
        <v>181</v>
      </c>
      <c r="O840" s="4">
        <f>SUMIF(Combined[Date],EarningsPerDay[[#This Row],[Date]],Combined[Trips])</f>
        <v>10</v>
      </c>
      <c r="P840">
        <f>COUNTIF(Combined[Date],EarningsPerDay[[#This Row],[Date]])</f>
        <v>2</v>
      </c>
      <c r="Q84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0" s="11">
        <f>SUMIF(Combined[Date],EarningsPerDay[[#This Row],[Date]],Combined[Earnings])</f>
        <v>131.70999999999998</v>
      </c>
      <c r="S840" s="11">
        <f ca="1">EarningsPerDay[[#This Row],[Gross Earnings]]-(EarningsPerDay[[#This Row],[Miles]]*CpM!$D$11)</f>
        <v>91.351870234280597</v>
      </c>
      <c r="T840" s="11">
        <f t="shared" si="125"/>
        <v>17.56133333333333</v>
      </c>
      <c r="U840" s="11">
        <f t="shared" ca="1" si="126"/>
        <v>12.180249364570747</v>
      </c>
      <c r="V840" s="11">
        <f>EarningsPerDay[[#This Row],[Gross Earnings]]/EarningsPerDay[[#This Row],[Deliveries]]</f>
        <v>13.170999999999998</v>
      </c>
      <c r="W840" s="11">
        <f>EarningsPerDay[[#This Row],[Gross Earnings]]/EarningsPerDay[[#This Row],[Miles]]</f>
        <v>0.72767955801104967</v>
      </c>
      <c r="X840" s="71">
        <f>EarningsPerDay[[#This Row],[Deliveries]]/EarningsPerDay[[#This Row],[Hours]]</f>
        <v>1.3333333333333333</v>
      </c>
      <c r="Y840" s="71">
        <f>EarningsPerDay[[#This Row],[Miles]]/EarningsPerDay[[#This Row],[Deliveries]]</f>
        <v>18.100000000000001</v>
      </c>
      <c r="Z840" s="81">
        <f>(EarningsPerDay[[#This Row],[Hours]]/EarningsPerDay[[#This Row],[Deliveries]])/24</f>
        <v>3.125E-2</v>
      </c>
      <c r="AA84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-7.0300861356656839</v>
      </c>
      <c r="AB840" s="11">
        <f>AVERAGEIFS(EarningsPerDay[Gross $/Hour],EarningsPerDay[Week '#], EarningsPerDay[[#This Row],[Week '#]], EarningsPerDay[DOW], EarningsPerDay[[#This Row],[DOW]])</f>
        <v>23.001121212121209</v>
      </c>
      <c r="AC840" s="11">
        <f>EarningsPerDay[[#This Row],[Gross $/Hour]] - EarningsPerDay[[#This Row],[Weekly Average Earnings]]</f>
        <v>-5.4397878787878788</v>
      </c>
      <c r="AD840" s="11">
        <f>(SUMIFS(EarningsPerDay[Gross Earnings], EarningsPerDay[Date],"&gt;="&amp;EarningsPerDay[[#This Row],[Date]]-89, EarningsPerDay[Date], "&lt;="&amp;EarningsPerDay[[#This Row],[Date]]))/90</f>
        <v>70.436777777777777</v>
      </c>
    </row>
    <row r="841" spans="2:30" x14ac:dyDescent="0.35">
      <c r="B841" s="40">
        <v>46002</v>
      </c>
      <c r="C841" s="40">
        <f t="shared" si="121"/>
        <v>46002</v>
      </c>
      <c r="D841" s="4">
        <f>IF(EarningsPerDay[[#This Row],[Week '#]]&gt;=52,YEAR(EarningsPerDay[[#This Row],[Date]])-1,YEAR(EarningsPerDay[[#This Row],[Date]]))</f>
        <v>2025</v>
      </c>
      <c r="E841" s="4" t="str">
        <f>"QTR"&amp;IF(EarningsPerDay[[#This Row],[Week '#]] &lt;= 13, 1, IF(EarningsPerDay[[#This Row],[Week '#]] &lt;= 26, 2, IF(EarningsPerDay[[#This Row],[Week '#]] &lt;= 39, 3, 4)))</f>
        <v>QTR4</v>
      </c>
      <c r="F84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41" s="4">
        <f>IF(WEEKNUM(EarningsPerDay[[#This Row],[Date]], 2) = 53, 1, WEEKNUM(EarningsPerDay[[#This Row],[Date]],2))</f>
        <v>50</v>
      </c>
      <c r="H841" s="40" t="str">
        <f t="shared" si="127"/>
        <v>Thursday</v>
      </c>
      <c r="I841" s="106">
        <f>IF(_xlfn.XLOOKUP(EarningsPerDay[[#This Row],[Date]],Mileage[Date],Mileage[Start Time])="","",MROUND(_xlfn.XLOOKUP(EarningsPerDay[[#This Row],[Date]],Mileage[Date],Mileage[Start Time]),0.0208333333333333))</f>
        <v>0.43749999999999933</v>
      </c>
      <c r="J841" s="40" t="str" cm="1">
        <f t="array" ref="J841">IFERROR(VLOOKUP(MODE(IF(Combined[Date]=EarningsPerDay[[#This Row],[Date]],Combined[Area '#])),KPIs!$B$4:$C$7,2,FALSE),VLOOKUP(EarningsPerDay[[#This Row],[Date]],Combined[[Date]:[Primary Area]],8,FALSE))</f>
        <v>Lewiston</v>
      </c>
      <c r="K841" s="40" t="str">
        <f>_xlfn.XLOOKUP(EarningsPerDay[[#This Row],[Date]],Mileage[Date],Mileage[Weather])</f>
        <v>Partially Sunny</v>
      </c>
      <c r="L841" s="4">
        <f>_xlfn.XLOOKUP(EarningsPerDay[[#This Row],[Date]],Mileage[Date],Mileage[Hi Temp])</f>
        <v>30</v>
      </c>
      <c r="M841" s="12">
        <f>_xlfn.XLOOKUP(EarningsPerDay[[#This Row],[Date]],Mileage[Date],Mileage[Total Time])</f>
        <v>6.78</v>
      </c>
      <c r="N841" s="4">
        <f>_xlfn.XLOOKUP(EarningsPerDay[[#This Row],[Date]],Mileage[Date],Mileage[Mileage])</f>
        <v>159</v>
      </c>
      <c r="O841" s="4">
        <f>SUMIF(Combined[Date],EarningsPerDay[[#This Row],[Date]],Combined[Trips])</f>
        <v>19</v>
      </c>
      <c r="P841">
        <f>COUNTIF(Combined[Date],EarningsPerDay[[#This Row],[Date]])</f>
        <v>1</v>
      </c>
      <c r="Q84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1" s="11">
        <f>SUMIF(Combined[Date],EarningsPerDay[[#This Row],[Date]],Combined[Earnings])</f>
        <v>158.91</v>
      </c>
      <c r="S841" s="11">
        <f ca="1">EarningsPerDay[[#This Row],[Gross Earnings]]-(EarningsPerDay[[#This Row],[Miles]]*CpM!$D$11)</f>
        <v>123.45727827210287</v>
      </c>
      <c r="T841" s="11">
        <f t="shared" ref="T841:T847" si="128">R841/M841</f>
        <v>23.438053097345133</v>
      </c>
      <c r="U841" s="11">
        <f t="shared" ref="U841:U847" ca="1" si="129">S841/M841</f>
        <v>18.209038093230511</v>
      </c>
      <c r="V841" s="11">
        <f>EarningsPerDay[[#This Row],[Gross Earnings]]/EarningsPerDay[[#This Row],[Deliveries]]</f>
        <v>8.3636842105263156</v>
      </c>
      <c r="W841" s="11">
        <f>EarningsPerDay[[#This Row],[Gross Earnings]]/EarningsPerDay[[#This Row],[Miles]]</f>
        <v>0.99943396226415093</v>
      </c>
      <c r="X841" s="71">
        <f>EarningsPerDay[[#This Row],[Deliveries]]/EarningsPerDay[[#This Row],[Hours]]</f>
        <v>2.8023598820058995</v>
      </c>
      <c r="Y841" s="71">
        <f>EarningsPerDay[[#This Row],[Miles]]/EarningsPerDay[[#This Row],[Deliveries]]</f>
        <v>8.3684210526315788</v>
      </c>
      <c r="Z841" s="81">
        <f>(EarningsPerDay[[#This Row],[Hours]]/EarningsPerDay[[#This Row],[Deliveries]])/24</f>
        <v>1.4868421052631579E-2</v>
      </c>
      <c r="AA84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10.628161031027116</v>
      </c>
      <c r="AB841" s="11">
        <f>AVERAGEIFS(EarningsPerDay[Gross $/Hour],EarningsPerDay[Week '#], EarningsPerDay[[#This Row],[Week '#]], EarningsPerDay[DOW], EarningsPerDay[[#This Row],[DOW]])</f>
        <v>20.118243620248233</v>
      </c>
      <c r="AC841" s="11">
        <f>EarningsPerDay[[#This Row],[Gross $/Hour]] - EarningsPerDay[[#This Row],[Weekly Average Earnings]]</f>
        <v>3.3198094770969</v>
      </c>
      <c r="AD841" s="11">
        <f>(SUMIFS(EarningsPerDay[Gross Earnings], EarningsPerDay[Date],"&gt;="&amp;EarningsPerDay[[#This Row],[Date]]-89, EarningsPerDay[Date], "&lt;="&amp;EarningsPerDay[[#This Row],[Date]]))/90</f>
        <v>68.449222222222232</v>
      </c>
    </row>
    <row r="842" spans="2:30" x14ac:dyDescent="0.35">
      <c r="B842" s="40">
        <v>46003</v>
      </c>
      <c r="C842" s="40">
        <f t="shared" si="121"/>
        <v>46003</v>
      </c>
      <c r="D842" s="4">
        <f>IF(EarningsPerDay[[#This Row],[Week '#]]&gt;=52,YEAR(EarningsPerDay[[#This Row],[Date]])-1,YEAR(EarningsPerDay[[#This Row],[Date]]))</f>
        <v>2025</v>
      </c>
      <c r="E842" s="4" t="str">
        <f>"QTR"&amp;IF(EarningsPerDay[[#This Row],[Week '#]] &lt;= 13, 1, IF(EarningsPerDay[[#This Row],[Week '#]] &lt;= 26, 2, IF(EarningsPerDay[[#This Row],[Week '#]] &lt;= 39, 3, 4)))</f>
        <v>QTR4</v>
      </c>
      <c r="F84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42" s="4">
        <f>IF(WEEKNUM(EarningsPerDay[[#This Row],[Date]], 2) = 53, 1, WEEKNUM(EarningsPerDay[[#This Row],[Date]],2))</f>
        <v>50</v>
      </c>
      <c r="H842" s="40" t="str">
        <f t="shared" si="127"/>
        <v>Friday</v>
      </c>
      <c r="I842" s="106">
        <f>IF(_xlfn.XLOOKUP(EarningsPerDay[[#This Row],[Date]],Mileage[Date],Mileage[Start Time])="","",MROUND(_xlfn.XLOOKUP(EarningsPerDay[[#This Row],[Date]],Mileage[Date],Mileage[Start Time]),0.0208333333333333))</f>
        <v>0.47916666666666591</v>
      </c>
      <c r="J842" s="40" t="str" cm="1">
        <f t="array" ref="J842">IFERROR(VLOOKUP(MODE(IF(Combined[Date]=EarningsPerDay[[#This Row],[Date]],Combined[Area '#])),KPIs!$B$4:$C$7,2,FALSE),VLOOKUP(EarningsPerDay[[#This Row],[Date]],Combined[[Date]:[Primary Area]],8,FALSE))</f>
        <v>Brunswick/Bath/Freeport</v>
      </c>
      <c r="K842" s="40" t="str">
        <f>_xlfn.XLOOKUP(EarningsPerDay[[#This Row],[Date]],Mileage[Date],Mileage[Weather])</f>
        <v>Partially Cloudy</v>
      </c>
      <c r="L842" s="4">
        <f>_xlfn.XLOOKUP(EarningsPerDay[[#This Row],[Date]],Mileage[Date],Mileage[Hi Temp])</f>
        <v>27</v>
      </c>
      <c r="M842" s="12">
        <f>_xlfn.XLOOKUP(EarningsPerDay[[#This Row],[Date]],Mileage[Date],Mileage[Total Time])</f>
        <v>5.58</v>
      </c>
      <c r="N842" s="4">
        <f>_xlfn.XLOOKUP(EarningsPerDay[[#This Row],[Date]],Mileage[Date],Mileage[Mileage])</f>
        <v>105</v>
      </c>
      <c r="O842" s="4">
        <f>SUMIF(Combined[Date],EarningsPerDay[[#This Row],[Date]],Combined[Trips])</f>
        <v>10</v>
      </c>
      <c r="P842">
        <f>COUNTIF(Combined[Date],EarningsPerDay[[#This Row],[Date]])</f>
        <v>2</v>
      </c>
      <c r="Q84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2" s="11">
        <f>SUMIF(Combined[Date],EarningsPerDay[[#This Row],[Date]],Combined[Earnings])</f>
        <v>110.08</v>
      </c>
      <c r="S842" s="11">
        <f ca="1">EarningsPerDay[[#This Row],[Gross Earnings]]-(EarningsPerDay[[#This Row],[Miles]]*CpM!$D$11)</f>
        <v>86.667825274030193</v>
      </c>
      <c r="T842" s="11">
        <f t="shared" si="128"/>
        <v>19.727598566308242</v>
      </c>
      <c r="U842" s="11">
        <f t="shared" ca="1" si="129"/>
        <v>15.531868328679247</v>
      </c>
      <c r="V842" s="11">
        <f>EarningsPerDay[[#This Row],[Gross Earnings]]/EarningsPerDay[[#This Row],[Deliveries]]</f>
        <v>11.007999999999999</v>
      </c>
      <c r="W842" s="11">
        <f>EarningsPerDay[[#This Row],[Gross Earnings]]/EarningsPerDay[[#This Row],[Miles]]</f>
        <v>1.0483809523809524</v>
      </c>
      <c r="X842" s="71">
        <f>EarningsPerDay[[#This Row],[Deliveries]]/EarningsPerDay[[#This Row],[Hours]]</f>
        <v>1.7921146953405018</v>
      </c>
      <c r="Y842" s="71">
        <f>EarningsPerDay[[#This Row],[Miles]]/EarningsPerDay[[#This Row],[Deliveries]]</f>
        <v>10.5</v>
      </c>
      <c r="Z842" s="81">
        <f>(EarningsPerDay[[#This Row],[Hours]]/EarningsPerDay[[#This Row],[Deliveries]])/24</f>
        <v>2.3250000000000003E-2</v>
      </c>
      <c r="AA84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-4.568926160153012</v>
      </c>
      <c r="AB842" s="11">
        <f>AVERAGEIFS(EarningsPerDay[Gross $/Hour],EarningsPerDay[Week '#], EarningsPerDay[[#This Row],[Week '#]], EarningsPerDay[DOW], EarningsPerDay[[#This Row],[DOW]])</f>
        <v>21.738060193229416</v>
      </c>
      <c r="AC842" s="11">
        <f>EarningsPerDay[[#This Row],[Gross $/Hour]] - EarningsPerDay[[#This Row],[Weekly Average Earnings]]</f>
        <v>-2.0104616269211739</v>
      </c>
      <c r="AD842" s="11">
        <f>(SUMIFS(EarningsPerDay[Gross Earnings], EarningsPerDay[Date],"&gt;="&amp;EarningsPerDay[[#This Row],[Date]]-89, EarningsPerDay[Date], "&lt;="&amp;EarningsPerDay[[#This Row],[Date]]))/90</f>
        <v>69.672333333333341</v>
      </c>
    </row>
    <row r="843" spans="2:30" x14ac:dyDescent="0.35">
      <c r="B843" s="40">
        <v>46004</v>
      </c>
      <c r="C843" s="40">
        <f t="shared" si="121"/>
        <v>46004</v>
      </c>
      <c r="D843" s="4">
        <f>IF(EarningsPerDay[[#This Row],[Week '#]]&gt;=52,YEAR(EarningsPerDay[[#This Row],[Date]])-1,YEAR(EarningsPerDay[[#This Row],[Date]]))</f>
        <v>2025</v>
      </c>
      <c r="E843" s="4" t="str">
        <f>"QTR"&amp;IF(EarningsPerDay[[#This Row],[Week '#]] &lt;= 13, 1, IF(EarningsPerDay[[#This Row],[Week '#]] &lt;= 26, 2, IF(EarningsPerDay[[#This Row],[Week '#]] &lt;= 39, 3, 4)))</f>
        <v>QTR4</v>
      </c>
      <c r="F84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43" s="4">
        <f>IF(WEEKNUM(EarningsPerDay[[#This Row],[Date]], 2) = 53, 1, WEEKNUM(EarningsPerDay[[#This Row],[Date]],2))</f>
        <v>50</v>
      </c>
      <c r="H843" s="40" t="str">
        <f t="shared" ref="H843:H848" si="130">TEXT(B843,"DDDD")</f>
        <v>Saturday</v>
      </c>
      <c r="I843" s="106">
        <f>IF(_xlfn.XLOOKUP(EarningsPerDay[[#This Row],[Date]],Mileage[Date],Mileage[Start Time])="","",MROUND(_xlfn.XLOOKUP(EarningsPerDay[[#This Row],[Date]],Mileage[Date],Mileage[Start Time]),0.0208333333333333))</f>
        <v>0.58333333333333237</v>
      </c>
      <c r="J843" s="40" t="str" cm="1">
        <f t="array" ref="J843">IFERROR(VLOOKUP(MODE(IF(Combined[Date]=EarningsPerDay[[#This Row],[Date]],Combined[Area '#])),KPIs!$B$4:$C$7,2,FALSE),VLOOKUP(EarningsPerDay[[#This Row],[Date]],Combined[[Date]:[Primary Area]],8,FALSE))</f>
        <v>Lewiston</v>
      </c>
      <c r="K843" s="40" t="str">
        <f>_xlfn.XLOOKUP(EarningsPerDay[[#This Row],[Date]],Mileage[Date],Mileage[Weather])</f>
        <v>Mostly Cloudy</v>
      </c>
      <c r="L843" s="4">
        <f>_xlfn.XLOOKUP(EarningsPerDay[[#This Row],[Date]],Mileage[Date],Mileage[Hi Temp])</f>
        <v>32</v>
      </c>
      <c r="M843" s="12">
        <f>_xlfn.XLOOKUP(EarningsPerDay[[#This Row],[Date]],Mileage[Date],Mileage[Total Time])</f>
        <v>6.83</v>
      </c>
      <c r="N843" s="4">
        <f>_xlfn.XLOOKUP(EarningsPerDay[[#This Row],[Date]],Mileage[Date],Mileage[Mileage])</f>
        <v>147</v>
      </c>
      <c r="O843" s="4">
        <f>SUMIF(Combined[Date],EarningsPerDay[[#This Row],[Date]],Combined[Trips])</f>
        <v>14</v>
      </c>
      <c r="P843">
        <f>COUNTIF(Combined[Date],EarningsPerDay[[#This Row],[Date]])</f>
        <v>2</v>
      </c>
      <c r="Q84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3" s="11">
        <f>SUMIF(Combined[Date],EarningsPerDay[[#This Row],[Date]],Combined[Earnings])</f>
        <v>154.57</v>
      </c>
      <c r="S843" s="11">
        <f ca="1">EarningsPerDay[[#This Row],[Gross Earnings]]-(EarningsPerDay[[#This Row],[Miles]]*CpM!$D$11)</f>
        <v>121.79295538364227</v>
      </c>
      <c r="T843" s="11">
        <f t="shared" si="128"/>
        <v>22.63103953147877</v>
      </c>
      <c r="U843" s="11">
        <f t="shared" ca="1" si="129"/>
        <v>17.832057889259481</v>
      </c>
      <c r="V843" s="11">
        <f>EarningsPerDay[[#This Row],[Gross Earnings]]/EarningsPerDay[[#This Row],[Deliveries]]</f>
        <v>11.040714285714285</v>
      </c>
      <c r="W843" s="11">
        <f>EarningsPerDay[[#This Row],[Gross Earnings]]/EarningsPerDay[[#This Row],[Miles]]</f>
        <v>1.0514965986394558</v>
      </c>
      <c r="X843" s="71">
        <f>EarningsPerDay[[#This Row],[Deliveries]]/EarningsPerDay[[#This Row],[Hours]]</f>
        <v>2.0497803806734991</v>
      </c>
      <c r="Y843" s="71">
        <f>EarningsPerDay[[#This Row],[Miles]]/EarningsPerDay[[#This Row],[Deliveries]]</f>
        <v>10.5</v>
      </c>
      <c r="Z843" s="81">
        <f>(EarningsPerDay[[#This Row],[Hours]]/EarningsPerDay[[#This Row],[Deliveries]])/24</f>
        <v>2.0327380952380954E-2</v>
      </c>
      <c r="AA84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2.7162049741538183</v>
      </c>
      <c r="AB843" s="11">
        <f>AVERAGEIFS(EarningsPerDay[Gross $/Hour],EarningsPerDay[Week '#], EarningsPerDay[[#This Row],[Week '#]], EarningsPerDay[DOW], EarningsPerDay[[#This Row],[DOW]])</f>
        <v>19.857741987961607</v>
      </c>
      <c r="AC843" s="11">
        <f>EarningsPerDay[[#This Row],[Gross $/Hour]] - EarningsPerDay[[#This Row],[Weekly Average Earnings]]</f>
        <v>2.7732975435171632</v>
      </c>
      <c r="AD843" s="11">
        <f>(SUMIFS(EarningsPerDay[Gross Earnings], EarningsPerDay[Date],"&gt;="&amp;EarningsPerDay[[#This Row],[Date]]-89, EarningsPerDay[Date], "&lt;="&amp;EarningsPerDay[[#This Row],[Date]]))/90</f>
        <v>70.328888888888898</v>
      </c>
    </row>
    <row r="844" spans="2:30" x14ac:dyDescent="0.35">
      <c r="B844" s="40">
        <v>46005</v>
      </c>
      <c r="C844" s="40">
        <f t="shared" si="121"/>
        <v>46005</v>
      </c>
      <c r="D844" s="4">
        <f>IF(EarningsPerDay[[#This Row],[Week '#]]&gt;=52,YEAR(EarningsPerDay[[#This Row],[Date]])-1,YEAR(EarningsPerDay[[#This Row],[Date]]))</f>
        <v>2025</v>
      </c>
      <c r="E844" s="4" t="str">
        <f>"QTR"&amp;IF(EarningsPerDay[[#This Row],[Week '#]] &lt;= 13, 1, IF(EarningsPerDay[[#This Row],[Week '#]] &lt;= 26, 2, IF(EarningsPerDay[[#This Row],[Week '#]] &lt;= 39, 3, 4)))</f>
        <v>QTR4</v>
      </c>
      <c r="F84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44" s="4">
        <f>IF(WEEKNUM(EarningsPerDay[[#This Row],[Date]], 2) = 53, 1, WEEKNUM(EarningsPerDay[[#This Row],[Date]],2))</f>
        <v>50</v>
      </c>
      <c r="H844" s="40" t="str">
        <f t="shared" si="130"/>
        <v>Sunday</v>
      </c>
      <c r="I844" s="106">
        <f>IF(_xlfn.XLOOKUP(EarningsPerDay[[#This Row],[Date]],Mileage[Date],Mileage[Start Time])="","",MROUND(_xlfn.XLOOKUP(EarningsPerDay[[#This Row],[Date]],Mileage[Date],Mileage[Start Time]),0.0208333333333333))</f>
        <v>0.49999999999999922</v>
      </c>
      <c r="J844" s="40" t="str" cm="1">
        <f t="array" ref="J844">IFERROR(VLOOKUP(MODE(IF(Combined[Date]=EarningsPerDay[[#This Row],[Date]],Combined[Area '#])),KPIs!$B$4:$C$7,2,FALSE),VLOOKUP(EarningsPerDay[[#This Row],[Date]],Combined[[Date]:[Primary Area]],8,FALSE))</f>
        <v>Augusta</v>
      </c>
      <c r="K844" s="40" t="str">
        <f>_xlfn.XLOOKUP(EarningsPerDay[[#This Row],[Date]],Mileage[Date],Mileage[Weather])</f>
        <v>Overcast</v>
      </c>
      <c r="L844" s="4">
        <f>_xlfn.XLOOKUP(EarningsPerDay[[#This Row],[Date]],Mileage[Date],Mileage[Hi Temp])</f>
        <v>27</v>
      </c>
      <c r="M844" s="12">
        <f>_xlfn.XLOOKUP(EarningsPerDay[[#This Row],[Date]],Mileage[Date],Mileage[Total Time])</f>
        <v>3.47</v>
      </c>
      <c r="N844" s="4">
        <f>_xlfn.XLOOKUP(EarningsPerDay[[#This Row],[Date]],Mileage[Date],Mileage[Mileage])</f>
        <v>96</v>
      </c>
      <c r="O844" s="4">
        <f>SUMIF(Combined[Date],EarningsPerDay[[#This Row],[Date]],Combined[Trips])</f>
        <v>6</v>
      </c>
      <c r="P844">
        <f>COUNTIF(Combined[Date],EarningsPerDay[[#This Row],[Date]])</f>
        <v>2</v>
      </c>
      <c r="Q84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44" s="11">
        <f>SUMIF(Combined[Date],EarningsPerDay[[#This Row],[Date]],Combined[Earnings])</f>
        <v>66.569999999999993</v>
      </c>
      <c r="S844" s="11">
        <f ca="1">EarningsPerDay[[#This Row],[Gross Earnings]]-(EarningsPerDay[[#This Row],[Miles]]*CpM!$D$11)</f>
        <v>45.164583107684749</v>
      </c>
      <c r="T844" s="11">
        <f t="shared" si="128"/>
        <v>19.184438040345817</v>
      </c>
      <c r="U844" s="11">
        <f t="shared" ca="1" si="129"/>
        <v>13.015730002214625</v>
      </c>
      <c r="V844" s="11">
        <f>EarningsPerDay[[#This Row],[Gross Earnings]]/EarningsPerDay[[#This Row],[Deliveries]]</f>
        <v>11.094999999999999</v>
      </c>
      <c r="W844" s="11">
        <f>EarningsPerDay[[#This Row],[Gross Earnings]]/EarningsPerDay[[#This Row],[Miles]]</f>
        <v>0.69343749999999993</v>
      </c>
      <c r="X844" s="71">
        <f>EarningsPerDay[[#This Row],[Deliveries]]/EarningsPerDay[[#This Row],[Hours]]</f>
        <v>1.7291066282420748</v>
      </c>
      <c r="Y844" s="71">
        <f>EarningsPerDay[[#This Row],[Miles]]/EarningsPerDay[[#This Row],[Deliveries]]</f>
        <v>16</v>
      </c>
      <c r="Z844" s="81">
        <f>(EarningsPerDay[[#This Row],[Hours]]/EarningsPerDay[[#This Row],[Deliveries]])/24</f>
        <v>2.4097222222222225E-2</v>
      </c>
      <c r="AA84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2.6908896532490445</v>
      </c>
      <c r="AB844" s="11">
        <f>AVERAGEIFS(EarningsPerDay[Gross $/Hour],EarningsPerDay[Week '#], EarningsPerDay[[#This Row],[Week '#]], EarningsPerDay[DOW], EarningsPerDay[[#This Row],[DOW]])</f>
        <v>17.838993213721295</v>
      </c>
      <c r="AC844" s="11">
        <f>EarningsPerDay[[#This Row],[Gross $/Hour]] - EarningsPerDay[[#This Row],[Weekly Average Earnings]]</f>
        <v>1.3454448266245222</v>
      </c>
      <c r="AD844" s="11">
        <f>(SUMIFS(EarningsPerDay[Gross Earnings], EarningsPerDay[Date],"&gt;="&amp;EarningsPerDay[[#This Row],[Date]]-89, EarningsPerDay[Date], "&lt;="&amp;EarningsPerDay[[#This Row],[Date]]))/90</f>
        <v>69.467777777777783</v>
      </c>
    </row>
    <row r="845" spans="2:30" x14ac:dyDescent="0.35">
      <c r="B845" s="40">
        <v>46006</v>
      </c>
      <c r="C845" s="40">
        <f t="shared" si="121"/>
        <v>46006</v>
      </c>
      <c r="D845" s="4">
        <f>IF(EarningsPerDay[[#This Row],[Week '#]]&gt;=52,YEAR(EarningsPerDay[[#This Row],[Date]])-1,YEAR(EarningsPerDay[[#This Row],[Date]]))</f>
        <v>2025</v>
      </c>
      <c r="E845" s="4" t="str">
        <f>"QTR"&amp;IF(EarningsPerDay[[#This Row],[Week '#]] &lt;= 13, 1, IF(EarningsPerDay[[#This Row],[Week '#]] &lt;= 26, 2, IF(EarningsPerDay[[#This Row],[Week '#]] &lt;= 39, 3, 4)))</f>
        <v>QTR4</v>
      </c>
      <c r="F84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845" s="4">
        <f>IF(WEEKNUM(EarningsPerDay[[#This Row],[Date]], 2) = 53, 1, WEEKNUM(EarningsPerDay[[#This Row],[Date]],2))</f>
        <v>51</v>
      </c>
      <c r="H845" s="40" t="str">
        <f t="shared" si="130"/>
        <v>Monday</v>
      </c>
      <c r="I845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45" s="40" t="str" cm="1">
        <f t="array" ref="J845">IFERROR(VLOOKUP(MODE(IF(Combined[Date]=EarningsPerDay[[#This Row],[Date]],Combined[Area '#])),KPIs!$B$4:$C$7,2,FALSE),VLOOKUP(EarningsPerDay[[#This Row],[Date]],Combined[[Date]:[Primary Area]],8,FALSE))</f>
        <v>Brunswick/Bath/Freeport</v>
      </c>
      <c r="K845" s="40" t="str">
        <f>_xlfn.XLOOKUP(EarningsPerDay[[#This Row],[Date]],Mileage[Date],Mileage[Weather])</f>
        <v>Clear</v>
      </c>
      <c r="L845" s="4">
        <f>_xlfn.XLOOKUP(EarningsPerDay[[#This Row],[Date]],Mileage[Date],Mileage[Hi Temp])</f>
        <v>19</v>
      </c>
      <c r="M845" s="12">
        <f>_xlfn.XLOOKUP(EarningsPerDay[[#This Row],[Date]],Mileage[Date],Mileage[Total Time])</f>
        <v>4.17</v>
      </c>
      <c r="N845" s="4">
        <f>_xlfn.XLOOKUP(EarningsPerDay[[#This Row],[Date]],Mileage[Date],Mileage[Mileage])</f>
        <v>103</v>
      </c>
      <c r="O845" s="4">
        <f>SUMIF(Combined[Date],EarningsPerDay[[#This Row],[Date]],Combined[Trips])</f>
        <v>7</v>
      </c>
      <c r="P845">
        <f>COUNTIF(Combined[Date],EarningsPerDay[[#This Row],[Date]])</f>
        <v>2</v>
      </c>
      <c r="Q84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5" s="11">
        <f>SUMIF(Combined[Date],EarningsPerDay[[#This Row],[Date]],Combined[Earnings])</f>
        <v>117.44</v>
      </c>
      <c r="S845" s="11">
        <f ca="1">EarningsPerDay[[#This Row],[Gross Earnings]]-(EarningsPerDay[[#This Row],[Miles]]*CpM!$D$11)</f>
        <v>94.473771459286766</v>
      </c>
      <c r="T845" s="11">
        <f t="shared" si="128"/>
        <v>28.163069544364507</v>
      </c>
      <c r="U845" s="11">
        <f t="shared" ca="1" si="129"/>
        <v>22.655580685680281</v>
      </c>
      <c r="V845" s="11">
        <f>EarningsPerDay[[#This Row],[Gross Earnings]]/EarningsPerDay[[#This Row],[Deliveries]]</f>
        <v>16.777142857142856</v>
      </c>
      <c r="W845" s="11">
        <f>EarningsPerDay[[#This Row],[Gross Earnings]]/EarningsPerDay[[#This Row],[Miles]]</f>
        <v>1.1401941747572815</v>
      </c>
      <c r="X845" s="71">
        <f>EarningsPerDay[[#This Row],[Deliveries]]/EarningsPerDay[[#This Row],[Hours]]</f>
        <v>1.6786570743405276</v>
      </c>
      <c r="Y845" s="71">
        <f>EarningsPerDay[[#This Row],[Miles]]/EarningsPerDay[[#This Row],[Deliveries]]</f>
        <v>14.714285714285714</v>
      </c>
      <c r="Z845" s="81">
        <f>(EarningsPerDay[[#This Row],[Hours]]/EarningsPerDay[[#This Row],[Deliveries]])/24</f>
        <v>2.4821428571428574E-2</v>
      </c>
      <c r="AA84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3.2374674191612307</v>
      </c>
      <c r="AB845" s="11">
        <f>AVERAGEIFS(EarningsPerDay[Gross $/Hour],EarningsPerDay[Week '#], EarningsPerDay[[#This Row],[Week '#]], EarningsPerDay[DOW], EarningsPerDay[[#This Row],[DOW]])</f>
        <v>22.834112091769882</v>
      </c>
      <c r="AC845" s="11">
        <f>EarningsPerDay[[#This Row],[Gross $/Hour]] - EarningsPerDay[[#This Row],[Weekly Average Earnings]]</f>
        <v>5.3289574525946257</v>
      </c>
      <c r="AD845" s="11">
        <f>(SUMIFS(EarningsPerDay[Gross Earnings], EarningsPerDay[Date],"&gt;="&amp;EarningsPerDay[[#This Row],[Date]]-89, EarningsPerDay[Date], "&lt;="&amp;EarningsPerDay[[#This Row],[Date]]))/90</f>
        <v>70.772666666666666</v>
      </c>
    </row>
    <row r="846" spans="2:30" x14ac:dyDescent="0.35">
      <c r="B846" s="40">
        <v>46007</v>
      </c>
      <c r="C846" s="40">
        <f t="shared" si="121"/>
        <v>46007</v>
      </c>
      <c r="D846" s="4">
        <f>IF(EarningsPerDay[[#This Row],[Week '#]]&gt;=52,YEAR(EarningsPerDay[[#This Row],[Date]])-1,YEAR(EarningsPerDay[[#This Row],[Date]]))</f>
        <v>2025</v>
      </c>
      <c r="E846" s="4" t="str">
        <f>"QTR"&amp;IF(EarningsPerDay[[#This Row],[Week '#]] &lt;= 13, 1, IF(EarningsPerDay[[#This Row],[Week '#]] &lt;= 26, 2, IF(EarningsPerDay[[#This Row],[Week '#]] &lt;= 39, 3, 4)))</f>
        <v>QTR4</v>
      </c>
      <c r="F84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846" s="4">
        <f>IF(WEEKNUM(EarningsPerDay[[#This Row],[Date]], 2) = 53, 1, WEEKNUM(EarningsPerDay[[#This Row],[Date]],2))</f>
        <v>51</v>
      </c>
      <c r="H846" s="40" t="str">
        <f t="shared" si="130"/>
        <v>Tuesday</v>
      </c>
      <c r="I846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46" s="40" t="str" cm="1">
        <f t="array" ref="J846">IFERROR(VLOOKUP(MODE(IF(Combined[Date]=EarningsPerDay[[#This Row],[Date]],Combined[Area '#])),KPIs!$B$4:$C$7,2,FALSE),VLOOKUP(EarningsPerDay[[#This Row],[Date]],Combined[[Date]:[Primary Area]],8,FALSE))</f>
        <v>Lewiston</v>
      </c>
      <c r="K846" s="40" t="str">
        <f>_xlfn.XLOOKUP(EarningsPerDay[[#This Row],[Date]],Mileage[Date],Mileage[Weather])</f>
        <v>Clear</v>
      </c>
      <c r="L846" s="4">
        <f>_xlfn.XLOOKUP(EarningsPerDay[[#This Row],[Date]],Mileage[Date],Mileage[Hi Temp])</f>
        <v>28</v>
      </c>
      <c r="M846" s="12">
        <f>_xlfn.XLOOKUP(EarningsPerDay[[#This Row],[Date]],Mileage[Date],Mileage[Total Time])</f>
        <v>3.83</v>
      </c>
      <c r="N846" s="4">
        <f>_xlfn.XLOOKUP(EarningsPerDay[[#This Row],[Date]],Mileage[Date],Mileage[Mileage])</f>
        <v>58</v>
      </c>
      <c r="O846" s="4">
        <f>SUMIF(Combined[Date],EarningsPerDay[[#This Row],[Date]],Combined[Trips])</f>
        <v>9</v>
      </c>
      <c r="P846">
        <f>COUNTIF(Combined[Date],EarningsPerDay[[#This Row],[Date]])</f>
        <v>4</v>
      </c>
      <c r="Q84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46" s="11">
        <f>SUMIF(Combined[Date],EarningsPerDay[[#This Row],[Date]],Combined[Earnings])</f>
        <v>60.52</v>
      </c>
      <c r="S846" s="11">
        <f ca="1">EarningsPerDay[[#This Row],[Gross Earnings]]-(EarningsPerDay[[#This Row],[Miles]]*CpM!$D$11)</f>
        <v>47.58756062755954</v>
      </c>
      <c r="T846" s="11">
        <f t="shared" si="128"/>
        <v>15.801566579634466</v>
      </c>
      <c r="U846" s="11">
        <f t="shared" ca="1" si="129"/>
        <v>12.424950555498574</v>
      </c>
      <c r="V846" s="11">
        <f>EarningsPerDay[[#This Row],[Gross Earnings]]/EarningsPerDay[[#This Row],[Deliveries]]</f>
        <v>6.7244444444444449</v>
      </c>
      <c r="W846" s="11">
        <f>EarningsPerDay[[#This Row],[Gross Earnings]]/EarningsPerDay[[#This Row],[Miles]]</f>
        <v>1.0434482758620691</v>
      </c>
      <c r="X846" s="71">
        <f>EarningsPerDay[[#This Row],[Deliveries]]/EarningsPerDay[[#This Row],[Hours]]</f>
        <v>2.3498694516971277</v>
      </c>
      <c r="Y846" s="71">
        <f>EarningsPerDay[[#This Row],[Miles]]/EarningsPerDay[[#This Row],[Deliveries]]</f>
        <v>6.4444444444444446</v>
      </c>
      <c r="Z846" s="81">
        <f>(EarningsPerDay[[#This Row],[Hours]]/EarningsPerDay[[#This Row],[Deliveries]])/24</f>
        <v>1.7731481481481483E-2</v>
      </c>
      <c r="AA84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-1.9848391009122661</v>
      </c>
      <c r="AB846" s="11">
        <f>AVERAGEIFS(EarningsPerDay[Gross $/Hour],EarningsPerDay[Week '#], EarningsPerDay[[#This Row],[Week '#]], EarningsPerDay[DOW], EarningsPerDay[[#This Row],[DOW]])</f>
        <v>20.226870246338972</v>
      </c>
      <c r="AC846" s="11">
        <f>EarningsPerDay[[#This Row],[Gross $/Hour]] - EarningsPerDay[[#This Row],[Weekly Average Earnings]]</f>
        <v>-4.4253036667045063</v>
      </c>
      <c r="AD846" s="11">
        <f>(SUMIFS(EarningsPerDay[Gross Earnings], EarningsPerDay[Date],"&gt;="&amp;EarningsPerDay[[#This Row],[Date]]-89, EarningsPerDay[Date], "&lt;="&amp;EarningsPerDay[[#This Row],[Date]]))/90</f>
        <v>69.685777777777787</v>
      </c>
    </row>
    <row r="847" spans="2:30" x14ac:dyDescent="0.35">
      <c r="B847" s="40">
        <v>46010</v>
      </c>
      <c r="C847" s="40">
        <f t="shared" si="121"/>
        <v>46010</v>
      </c>
      <c r="D847" s="4">
        <f>IF(EarningsPerDay[[#This Row],[Week '#]]&gt;=52,YEAR(EarningsPerDay[[#This Row],[Date]])-1,YEAR(EarningsPerDay[[#This Row],[Date]]))</f>
        <v>2025</v>
      </c>
      <c r="E847" s="4" t="str">
        <f>"QTR"&amp;IF(EarningsPerDay[[#This Row],[Week '#]] &lt;= 13, 1, IF(EarningsPerDay[[#This Row],[Week '#]] &lt;= 26, 2, IF(EarningsPerDay[[#This Row],[Week '#]] &lt;= 39, 3, 4)))</f>
        <v>QTR4</v>
      </c>
      <c r="F84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847" s="4">
        <f>IF(WEEKNUM(EarningsPerDay[[#This Row],[Date]], 2) = 53, 1, WEEKNUM(EarningsPerDay[[#This Row],[Date]],2))</f>
        <v>51</v>
      </c>
      <c r="H847" s="40" t="str">
        <f t="shared" si="130"/>
        <v>Friday</v>
      </c>
      <c r="I847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47" s="40" t="str" cm="1">
        <f t="array" ref="J847">IFERROR(VLOOKUP(MODE(IF(Combined[Date]=EarningsPerDay[[#This Row],[Date]],Combined[Area '#])),KPIs!$B$4:$C$7,2,FALSE),VLOOKUP(EarningsPerDay[[#This Row],[Date]],Combined[[Date]:[Primary Area]],8,FALSE))</f>
        <v>Augusta</v>
      </c>
      <c r="K847" s="40" t="str">
        <f>_xlfn.XLOOKUP(EarningsPerDay[[#This Row],[Date]],Mileage[Date],Mileage[Weather])</f>
        <v>Overcast</v>
      </c>
      <c r="L847" s="4">
        <f>_xlfn.XLOOKUP(EarningsPerDay[[#This Row],[Date]],Mileage[Date],Mileage[Hi Temp])</f>
        <v>43</v>
      </c>
      <c r="M847" s="12">
        <f>_xlfn.XLOOKUP(EarningsPerDay[[#This Row],[Date]],Mileage[Date],Mileage[Total Time])</f>
        <v>3.87</v>
      </c>
      <c r="N847" s="4">
        <f>_xlfn.XLOOKUP(EarningsPerDay[[#This Row],[Date]],Mileage[Date],Mileage[Mileage])</f>
        <v>111</v>
      </c>
      <c r="O847" s="4">
        <f>SUMIF(Combined[Date],EarningsPerDay[[#This Row],[Date]],Combined[Trips])</f>
        <v>6</v>
      </c>
      <c r="P847">
        <f>COUNTIF(Combined[Date],EarningsPerDay[[#This Row],[Date]])</f>
        <v>1</v>
      </c>
      <c r="Q84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7" s="11">
        <f>SUMIF(Combined[Date],EarningsPerDay[[#This Row],[Date]],Combined[Earnings])</f>
        <v>64</v>
      </c>
      <c r="S847" s="11">
        <f ca="1">EarningsPerDay[[#This Row],[Gross Earnings]]-(EarningsPerDay[[#This Row],[Miles]]*CpM!$D$11)</f>
        <v>39.249986718260494</v>
      </c>
      <c r="T847" s="11">
        <f t="shared" si="128"/>
        <v>16.537467700258397</v>
      </c>
      <c r="U847" s="11">
        <f t="shared" ca="1" si="129"/>
        <v>10.142115431075062</v>
      </c>
      <c r="V847" s="11">
        <f>EarningsPerDay[[#This Row],[Gross Earnings]]/EarningsPerDay[[#This Row],[Deliveries]]</f>
        <v>10.666666666666666</v>
      </c>
      <c r="W847" s="11">
        <f>EarningsPerDay[[#This Row],[Gross Earnings]]/EarningsPerDay[[#This Row],[Miles]]</f>
        <v>0.57657657657657657</v>
      </c>
      <c r="X847" s="71">
        <f>EarningsPerDay[[#This Row],[Deliveries]]/EarningsPerDay[[#This Row],[Hours]]</f>
        <v>1.5503875968992247</v>
      </c>
      <c r="Y847" s="71">
        <f>EarningsPerDay[[#This Row],[Miles]]/EarningsPerDay[[#This Row],[Deliveries]]</f>
        <v>18.5</v>
      </c>
      <c r="Z847" s="81">
        <f>(EarningsPerDay[[#This Row],[Hours]]/EarningsPerDay[[#This Row],[Deliveries]])/24</f>
        <v>2.6875E-2</v>
      </c>
      <c r="AA84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-7.3062100794271068</v>
      </c>
      <c r="AB847" s="11">
        <f>AVERAGEIFS(EarningsPerDay[Gross $/Hour],EarningsPerDay[Week '#], EarningsPerDay[[#This Row],[Week '#]], EarningsPerDay[DOW], EarningsPerDay[[#This Row],[DOW]])</f>
        <v>18.190631660348178</v>
      </c>
      <c r="AC847" s="11">
        <f>EarningsPerDay[[#This Row],[Gross $/Hour]] - EarningsPerDay[[#This Row],[Weekly Average Earnings]]</f>
        <v>-1.6531639600897812</v>
      </c>
      <c r="AD847" s="11">
        <f>(SUMIFS(EarningsPerDay[Gross Earnings], EarningsPerDay[Date],"&gt;="&amp;EarningsPerDay[[#This Row],[Date]]-89, EarningsPerDay[Date], "&lt;="&amp;EarningsPerDay[[#This Row],[Date]]))/90</f>
        <v>67.872111111111124</v>
      </c>
    </row>
    <row r="848" spans="2:30" x14ac:dyDescent="0.35">
      <c r="B848" s="40">
        <v>46012</v>
      </c>
      <c r="C848" s="40">
        <f t="shared" si="121"/>
        <v>46012</v>
      </c>
      <c r="D848" s="4">
        <f>IF(EarningsPerDay[[#This Row],[Week '#]]&gt;=52,YEAR(EarningsPerDay[[#This Row],[Date]])-1,YEAR(EarningsPerDay[[#This Row],[Date]]))</f>
        <v>2025</v>
      </c>
      <c r="E848" s="4" t="str">
        <f>"QTR"&amp;IF(EarningsPerDay[[#This Row],[Week '#]] &lt;= 13, 1, IF(EarningsPerDay[[#This Row],[Week '#]] &lt;= 26, 2, IF(EarningsPerDay[[#This Row],[Week '#]] &lt;= 39, 3, 4)))</f>
        <v>QTR4</v>
      </c>
      <c r="F84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848" s="4">
        <f>IF(WEEKNUM(EarningsPerDay[[#This Row],[Date]], 2) = 53, 1, WEEKNUM(EarningsPerDay[[#This Row],[Date]],2))</f>
        <v>51</v>
      </c>
      <c r="H848" s="40" t="str">
        <f t="shared" si="130"/>
        <v>Sunday</v>
      </c>
      <c r="I848" s="106">
        <f>IF(_xlfn.XLOOKUP(EarningsPerDay[[#This Row],[Date]],Mileage[Date],Mileage[Start Time])="","",MROUND(_xlfn.XLOOKUP(EarningsPerDay[[#This Row],[Date]],Mileage[Date],Mileage[Start Time]),0.0208333333333333))</f>
        <v>0.72916666666666552</v>
      </c>
      <c r="J848" s="40" t="str" cm="1">
        <f t="array" ref="J848">IFERROR(VLOOKUP(MODE(IF(Combined[Date]=EarningsPerDay[[#This Row],[Date]],Combined[Area '#])),KPIs!$B$4:$C$7,2,FALSE),VLOOKUP(EarningsPerDay[[#This Row],[Date]],Combined[[Date]:[Primary Area]],8,FALSE))</f>
        <v>Portland</v>
      </c>
      <c r="K848" s="40" t="str">
        <f>_xlfn.XLOOKUP(EarningsPerDay[[#This Row],[Date]],Mileage[Date],Mileage[Weather])</f>
        <v>Clear</v>
      </c>
      <c r="L848" s="4">
        <f>_xlfn.XLOOKUP(EarningsPerDay[[#This Row],[Date]],Mileage[Date],Mileage[Hi Temp])</f>
        <v>30</v>
      </c>
      <c r="M848" s="12">
        <f>_xlfn.XLOOKUP(EarningsPerDay[[#This Row],[Date]],Mileage[Date],Mileage[Total Time])</f>
        <v>5.73</v>
      </c>
      <c r="N848" s="4">
        <f>_xlfn.XLOOKUP(EarningsPerDay[[#This Row],[Date]],Mileage[Date],Mileage[Mileage])</f>
        <v>151</v>
      </c>
      <c r="O848" s="4">
        <f>SUMIF(Combined[Date],EarningsPerDay[[#This Row],[Date]],Combined[Trips])</f>
        <v>9</v>
      </c>
      <c r="P848">
        <f>COUNTIF(Combined[Date],EarningsPerDay[[#This Row],[Date]])</f>
        <v>3</v>
      </c>
      <c r="Q84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8" s="11">
        <f>SUMIF(Combined[Date],EarningsPerDay[[#This Row],[Date]],Combined[Earnings])</f>
        <v>156.69999999999999</v>
      </c>
      <c r="S848" s="11">
        <f ca="1">EarningsPerDay[[#This Row],[Gross Earnings]]-(EarningsPerDay[[#This Row],[Miles]]*CpM!$D$11)</f>
        <v>123.03106301312913</v>
      </c>
      <c r="T848" s="11">
        <f>R848/M848</f>
        <v>27.347294938917972</v>
      </c>
      <c r="U848" s="11">
        <f ca="1">S848/M848</f>
        <v>21.471389705607177</v>
      </c>
      <c r="V848" s="11">
        <f>EarningsPerDay[[#This Row],[Gross Earnings]]/EarningsPerDay[[#This Row],[Deliveries]]</f>
        <v>17.411111111111111</v>
      </c>
      <c r="W848" s="11">
        <f>EarningsPerDay[[#This Row],[Gross Earnings]]/EarningsPerDay[[#This Row],[Miles]]</f>
        <v>1.0377483443708608</v>
      </c>
      <c r="X848" s="71">
        <f>EarningsPerDay[[#This Row],[Deliveries]]/EarningsPerDay[[#This Row],[Hours]]</f>
        <v>1.5706806282722512</v>
      </c>
      <c r="Y848" s="71">
        <f>EarningsPerDay[[#This Row],[Miles]]/EarningsPerDay[[#This Row],[Deliveries]]</f>
        <v>16.777777777777779</v>
      </c>
      <c r="Z848" s="81">
        <f>(EarningsPerDay[[#This Row],[Hours]]/EarningsPerDay[[#This Row],[Deliveries]])/24</f>
        <v>2.6527777777777779E-2</v>
      </c>
      <c r="AA84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3.0194112272642073</v>
      </c>
      <c r="AB848" s="11">
        <f>AVERAGEIFS(EarningsPerDay[Gross $/Hour],EarningsPerDay[Week '#], EarningsPerDay[[#This Row],[Week '#]], EarningsPerDay[DOW], EarningsPerDay[[#This Row],[DOW]])</f>
        <v>21.325506973591217</v>
      </c>
      <c r="AC848" s="11">
        <f>EarningsPerDay[[#This Row],[Gross $/Hour]] - EarningsPerDay[[#This Row],[Weekly Average Earnings]]</f>
        <v>6.0217879653267552</v>
      </c>
      <c r="AD848" s="11">
        <f>(SUMIFS(EarningsPerDay[Gross Earnings], EarningsPerDay[Date],"&gt;="&amp;EarningsPerDay[[#This Row],[Date]]-89, EarningsPerDay[Date], "&lt;="&amp;EarningsPerDay[[#This Row],[Date]]))/90</f>
        <v>66.898888888888891</v>
      </c>
    </row>
    <row r="849" spans="2:30" x14ac:dyDescent="0.35">
      <c r="B849" s="40">
        <v>46021</v>
      </c>
      <c r="C849" s="40">
        <f t="shared" si="121"/>
        <v>46021</v>
      </c>
      <c r="D849" s="4">
        <f>IF(EarningsPerDay[[#This Row],[Week '#]]&gt;=52,YEAR(EarningsPerDay[[#This Row],[Date]])-1,YEAR(EarningsPerDay[[#This Row],[Date]]))</f>
        <v>2025</v>
      </c>
      <c r="E849" s="4" t="str">
        <f>"QTR"&amp;IF(EarningsPerDay[[#This Row],[Week '#]] &lt;= 13, 1, IF(EarningsPerDay[[#This Row],[Week '#]] &lt;= 26, 2, IF(EarningsPerDay[[#This Row],[Week '#]] &lt;= 39, 3, 4)))</f>
        <v>QTR1</v>
      </c>
      <c r="F84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49" s="4">
        <f>IF(WEEKNUM(EarningsPerDay[[#This Row],[Date]], 2) = 53, 1, WEEKNUM(EarningsPerDay[[#This Row],[Date]],2))</f>
        <v>1</v>
      </c>
      <c r="H849" s="40" t="str">
        <f>TEXT(B849,"DDDD")</f>
        <v>Tuesday</v>
      </c>
      <c r="I849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49" s="40" t="str" cm="1">
        <f t="array" ref="J849">IFERROR(VLOOKUP(MODE(IF(Combined[Date]=EarningsPerDay[[#This Row],[Date]],Combined[Area '#])),KPIs!$B$4:$C$7,2,FALSE),VLOOKUP(EarningsPerDay[[#This Row],[Date]],Combined[[Date]:[Primary Area]],8,FALSE))</f>
        <v>Brunswick/Bath/Freeport</v>
      </c>
      <c r="K849" s="40" t="str">
        <f>_xlfn.XLOOKUP(EarningsPerDay[[#This Row],[Date]],Mileage[Date],Mileage[Weather])</f>
        <v>Partially Cloudy</v>
      </c>
      <c r="L849" s="4">
        <f>_xlfn.XLOOKUP(EarningsPerDay[[#This Row],[Date]],Mileage[Date],Mileage[Hi Temp])</f>
        <v>14</v>
      </c>
      <c r="M849" s="12">
        <f>_xlfn.XLOOKUP(EarningsPerDay[[#This Row],[Date]],Mileage[Date],Mileage[Total Time])</f>
        <v>4.6500000000000004</v>
      </c>
      <c r="N849" s="4">
        <f>_xlfn.XLOOKUP(EarningsPerDay[[#This Row],[Date]],Mileage[Date],Mileage[Mileage])</f>
        <v>100</v>
      </c>
      <c r="O849" s="4">
        <f>SUMIF(Combined[Date],EarningsPerDay[[#This Row],[Date]],Combined[Trips])</f>
        <v>7</v>
      </c>
      <c r="P849">
        <f>COUNTIF(Combined[Date],EarningsPerDay[[#This Row],[Date]])</f>
        <v>3</v>
      </c>
      <c r="Q84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49" s="11">
        <f>SUMIF(Combined[Date],EarningsPerDay[[#This Row],[Date]],Combined[Earnings])</f>
        <v>110.07</v>
      </c>
      <c r="S849" s="11">
        <f ca="1">EarningsPerDay[[#This Row],[Gross Earnings]]-(EarningsPerDay[[#This Row],[Miles]]*CpM!$D$11)</f>
        <v>87.772690737171615</v>
      </c>
      <c r="T849" s="11">
        <f>R849/M849</f>
        <v>23.670967741935481</v>
      </c>
      <c r="U849" s="11">
        <f ca="1">S849/M849</f>
        <v>18.875847470359485</v>
      </c>
      <c r="V849" s="11">
        <f>EarningsPerDay[[#This Row],[Gross Earnings]]/EarningsPerDay[[#This Row],[Deliveries]]</f>
        <v>15.724285714285713</v>
      </c>
      <c r="W849" s="11">
        <f>EarningsPerDay[[#This Row],[Gross Earnings]]/EarningsPerDay[[#This Row],[Miles]]</f>
        <v>1.1007</v>
      </c>
      <c r="X849" s="71">
        <f>EarningsPerDay[[#This Row],[Deliveries]]/EarningsPerDay[[#This Row],[Hours]]</f>
        <v>1.5053763440860215</v>
      </c>
      <c r="Y849" s="71">
        <f>EarningsPerDay[[#This Row],[Miles]]/EarningsPerDay[[#This Row],[Deliveries]]</f>
        <v>14.285714285714286</v>
      </c>
      <c r="Z849" s="81">
        <f>(EarningsPerDay[[#This Row],[Hours]]/EarningsPerDay[[#This Row],[Deliveries]])/24</f>
        <v>2.7678571428571431E-2</v>
      </c>
      <c r="AA84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-3.0787030451454882</v>
      </c>
      <c r="AB849" s="11">
        <f>AVERAGEIFS(EarningsPerDay[Gross $/Hour],EarningsPerDay[Week '#], EarningsPerDay[[#This Row],[Week '#]], EarningsPerDay[DOW], EarningsPerDay[[#This Row],[DOW]])</f>
        <v>20.790892411846105</v>
      </c>
      <c r="AC849" s="11">
        <f>EarningsPerDay[[#This Row],[Gross $/Hour]] - EarningsPerDay[[#This Row],[Weekly Average Earnings]]</f>
        <v>2.880075330089376</v>
      </c>
      <c r="AD849" s="11">
        <f>(SUMIFS(EarningsPerDay[Gross Earnings], EarningsPerDay[Date],"&gt;="&amp;EarningsPerDay[[#This Row],[Date]]-89, EarningsPerDay[Date], "&lt;="&amp;EarningsPerDay[[#This Row],[Date]]))/90</f>
        <v>58.577111111111087</v>
      </c>
    </row>
    <row r="850" spans="2:30" x14ac:dyDescent="0.35">
      <c r="B850" s="40">
        <v>46023</v>
      </c>
      <c r="C850" s="40">
        <f t="shared" si="121"/>
        <v>46023</v>
      </c>
      <c r="D850" s="4">
        <f>IF(EarningsPerDay[[#This Row],[Week '#]]&gt;=52,YEAR(EarningsPerDay[[#This Row],[Date]])-1,YEAR(EarningsPerDay[[#This Row],[Date]]))</f>
        <v>2026</v>
      </c>
      <c r="E850" s="4" t="str">
        <f>"QTR"&amp;IF(EarningsPerDay[[#This Row],[Week '#]] &lt;= 13, 1, IF(EarningsPerDay[[#This Row],[Week '#]] &lt;= 26, 2, IF(EarningsPerDay[[#This Row],[Week '#]] &lt;= 39, 3, 4)))</f>
        <v>QTR1</v>
      </c>
      <c r="F85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50" s="4">
        <f>IF(WEEKNUM(EarningsPerDay[[#This Row],[Date]], 2) = 53, 1, WEEKNUM(EarningsPerDay[[#This Row],[Date]],2))</f>
        <v>1</v>
      </c>
      <c r="H850" s="40" t="str">
        <f>TEXT(B850,"DDDD")</f>
        <v>Thursday</v>
      </c>
      <c r="I850" s="106">
        <f>IF(_xlfn.XLOOKUP(EarningsPerDay[[#This Row],[Date]],Mileage[Date],Mileage[Start Time])="","",MROUND(_xlfn.XLOOKUP(EarningsPerDay[[#This Row],[Date]],Mileage[Date],Mileage[Start Time]),0.0208333333333333))</f>
        <v>0.624999999999999</v>
      </c>
      <c r="J850" s="40" t="str" cm="1">
        <f t="array" ref="J850">IFERROR(VLOOKUP(MODE(IF(Combined[Date]=EarningsPerDay[[#This Row],[Date]],Combined[Area '#])),KPIs!$B$4:$C$7,2,FALSE),VLOOKUP(EarningsPerDay[[#This Row],[Date]],Combined[[Date]:[Primary Area]],8,FALSE))</f>
        <v>Lewiston</v>
      </c>
      <c r="K850" s="40" t="str">
        <f>_xlfn.XLOOKUP(EarningsPerDay[[#This Row],[Date]],Mileage[Date],Mileage[Weather])</f>
        <v>Light Snow</v>
      </c>
      <c r="L850" s="4">
        <f>_xlfn.XLOOKUP(EarningsPerDay[[#This Row],[Date]],Mileage[Date],Mileage[Hi Temp])</f>
        <v>28</v>
      </c>
      <c r="M850" s="12">
        <f>_xlfn.XLOOKUP(EarningsPerDay[[#This Row],[Date]],Mileage[Date],Mileage[Total Time])</f>
        <v>0.43</v>
      </c>
      <c r="N850" s="4">
        <f>_xlfn.XLOOKUP(EarningsPerDay[[#This Row],[Date]],Mileage[Date],Mileage[Mileage])</f>
        <v>11</v>
      </c>
      <c r="O850" s="4">
        <f>SUMIF(Combined[Date],EarningsPerDay[[#This Row],[Date]],Combined[Trips])</f>
        <v>1</v>
      </c>
      <c r="P850">
        <f>COUNTIF(Combined[Date],EarningsPerDay[[#This Row],[Date]])</f>
        <v>1</v>
      </c>
      <c r="Q85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0" s="11">
        <f>SUMIF(Combined[Date],EarningsPerDay[[#This Row],[Date]],Combined[Earnings])</f>
        <v>9</v>
      </c>
      <c r="S850" s="11">
        <f ca="1">EarningsPerDay[[#This Row],[Gross Earnings]]-(EarningsPerDay[[#This Row],[Miles]]*CpM!$D$11)</f>
        <v>6.5472959810888778</v>
      </c>
      <c r="T850" s="11">
        <f>R850/M850</f>
        <v>20.930232558139537</v>
      </c>
      <c r="U850" s="11">
        <f ca="1">S850/M850</f>
        <v>15.226269723462506</v>
      </c>
      <c r="V850" s="11">
        <f>EarningsPerDay[[#This Row],[Gross Earnings]]/EarningsPerDay[[#This Row],[Deliveries]]</f>
        <v>9</v>
      </c>
      <c r="W850" s="11">
        <f>EarningsPerDay[[#This Row],[Gross Earnings]]/EarningsPerDay[[#This Row],[Miles]]</f>
        <v>0.81818181818181823</v>
      </c>
      <c r="X850" s="71">
        <f>EarningsPerDay[[#This Row],[Deliveries]]/EarningsPerDay[[#This Row],[Hours]]</f>
        <v>2.3255813953488373</v>
      </c>
      <c r="Y850" s="71">
        <f>EarningsPerDay[[#This Row],[Miles]]/EarningsPerDay[[#This Row],[Deliveries]]</f>
        <v>11</v>
      </c>
      <c r="Z850" s="81">
        <f>(EarningsPerDay[[#This Row],[Hours]]/EarningsPerDay[[#This Row],[Deliveries]])/24</f>
        <v>1.7916666666666668E-2</v>
      </c>
      <c r="AA85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0.7428173798044142</v>
      </c>
      <c r="AB850" s="11">
        <f>AVERAGEIFS(EarningsPerDay[Gross $/Hour],EarningsPerDay[Week '#], EarningsPerDay[[#This Row],[Week '#]], EarningsPerDay[DOW], EarningsPerDay[[#This Row],[DOW]])</f>
        <v>19.427183793387528</v>
      </c>
      <c r="AC850" s="11">
        <f>EarningsPerDay[[#This Row],[Gross $/Hour]] - EarningsPerDay[[#This Row],[Weekly Average Earnings]]</f>
        <v>1.503048764752009</v>
      </c>
      <c r="AD850" s="11">
        <f>(SUMIFS(EarningsPerDay[Gross Earnings], EarningsPerDay[Date],"&gt;="&amp;EarningsPerDay[[#This Row],[Date]]-89, EarningsPerDay[Date], "&lt;="&amp;EarningsPerDay[[#This Row],[Date]]))/90</f>
        <v>55.609555555555545</v>
      </c>
    </row>
    <row r="851" spans="2:30" x14ac:dyDescent="0.35">
      <c r="B851" s="40">
        <v>46025</v>
      </c>
      <c r="C851" s="40">
        <f t="shared" si="121"/>
        <v>46025</v>
      </c>
      <c r="D851" s="4">
        <f>IF(EarningsPerDay[[#This Row],[Week '#]]&gt;=52,YEAR(EarningsPerDay[[#This Row],[Date]])-1,YEAR(EarningsPerDay[[#This Row],[Date]]))</f>
        <v>2026</v>
      </c>
      <c r="E851" s="4" t="str">
        <f>"QTR"&amp;IF(EarningsPerDay[[#This Row],[Week '#]] &lt;= 13, 1, IF(EarningsPerDay[[#This Row],[Week '#]] &lt;= 26, 2, IF(EarningsPerDay[[#This Row],[Week '#]] &lt;= 39, 3, 4)))</f>
        <v>QTR1</v>
      </c>
      <c r="F85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51" s="4">
        <f>IF(WEEKNUM(EarningsPerDay[[#This Row],[Date]], 2) = 53, 1, WEEKNUM(EarningsPerDay[[#This Row],[Date]],2))</f>
        <v>1</v>
      </c>
      <c r="H851" s="40" t="str">
        <f>TEXT(B851,"DDDD")</f>
        <v>Saturday</v>
      </c>
      <c r="I851" s="106">
        <f>IF(_xlfn.XLOOKUP(EarningsPerDay[[#This Row],[Date]],Mileage[Date],Mileage[Start Time])="","",MROUND(_xlfn.XLOOKUP(EarningsPerDay[[#This Row],[Date]],Mileage[Date],Mileage[Start Time]),0.0208333333333333))</f>
        <v>0.8541666666666653</v>
      </c>
      <c r="J851" s="40" t="str" cm="1">
        <f t="array" ref="J851">IFERROR(VLOOKUP(MODE(IF(Combined[Date]=EarningsPerDay[[#This Row],[Date]],Combined[Area '#])),KPIs!$B$4:$C$7,2,FALSE),VLOOKUP(EarningsPerDay[[#This Row],[Date]],Combined[[Date]:[Primary Area]],8,FALSE))</f>
        <v>Brunswick/Bath/Freeport</v>
      </c>
      <c r="K851" s="40" t="str">
        <f>_xlfn.XLOOKUP(EarningsPerDay[[#This Row],[Date]],Mileage[Date],Mileage[Weather])</f>
        <v>Partially Cloudy</v>
      </c>
      <c r="L851" s="4">
        <f>_xlfn.XLOOKUP(EarningsPerDay[[#This Row],[Date]],Mileage[Date],Mileage[Hi Temp])</f>
        <v>19</v>
      </c>
      <c r="M851" s="12">
        <f>_xlfn.XLOOKUP(EarningsPerDay[[#This Row],[Date]],Mileage[Date],Mileage[Total Time])</f>
        <v>4.83</v>
      </c>
      <c r="N851" s="4">
        <f>_xlfn.XLOOKUP(EarningsPerDay[[#This Row],[Date]],Mileage[Date],Mileage[Mileage])</f>
        <v>137</v>
      </c>
      <c r="O851" s="4">
        <f>SUMIF(Combined[Date],EarningsPerDay[[#This Row],[Date]],Combined[Trips])</f>
        <v>9</v>
      </c>
      <c r="P851">
        <f>COUNTIF(Combined[Date],EarningsPerDay[[#This Row],[Date]])</f>
        <v>2</v>
      </c>
      <c r="Q85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1" s="11">
        <f>SUMIF(Combined[Date],EarningsPerDay[[#This Row],[Date]],Combined[Earnings])</f>
        <v>155.03</v>
      </c>
      <c r="S851" s="11">
        <f ca="1">EarningsPerDay[[#This Row],[Gross Earnings]]-(EarningsPerDay[[#This Row],[Miles]]*CpM!$D$11)</f>
        <v>124.48268630992511</v>
      </c>
      <c r="T851" s="11">
        <f>R851/M851</f>
        <v>32.097308488612839</v>
      </c>
      <c r="U851" s="11">
        <f ca="1">S851/M851</f>
        <v>25.772812900605615</v>
      </c>
      <c r="V851" s="11">
        <f>EarningsPerDay[[#This Row],[Gross Earnings]]/EarningsPerDay[[#This Row],[Deliveries]]</f>
        <v>17.225555555555555</v>
      </c>
      <c r="W851" s="11">
        <f>EarningsPerDay[[#This Row],[Gross Earnings]]/EarningsPerDay[[#This Row],[Miles]]</f>
        <v>1.1316058394160584</v>
      </c>
      <c r="X851" s="71">
        <f>EarningsPerDay[[#This Row],[Deliveries]]/EarningsPerDay[[#This Row],[Hours]]</f>
        <v>1.8633540372670807</v>
      </c>
      <c r="Y851" s="71">
        <f>EarningsPerDay[[#This Row],[Miles]]/EarningsPerDay[[#This Row],[Deliveries]]</f>
        <v>15.222222222222221</v>
      </c>
      <c r="Z851" s="81">
        <f>(EarningsPerDay[[#This Row],[Hours]]/EarningsPerDay[[#This Row],[Deliveries]])/24</f>
        <v>2.2361111111111109E-2</v>
      </c>
      <c r="AA85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6.5427862883002454</v>
      </c>
      <c r="AB851" s="11">
        <f>AVERAGEIFS(EarningsPerDay[Gross $/Hour],EarningsPerDay[Week '#], EarningsPerDay[[#This Row],[Week '#]], EarningsPerDay[DOW], EarningsPerDay[[#This Row],[DOW]])</f>
        <v>24.897417163760267</v>
      </c>
      <c r="AC851" s="11">
        <f>EarningsPerDay[[#This Row],[Gross $/Hour]] - EarningsPerDay[[#This Row],[Weekly Average Earnings]]</f>
        <v>7.1998913248525724</v>
      </c>
      <c r="AD851" s="11">
        <f>(SUMIFS(EarningsPerDay[Gross Earnings], EarningsPerDay[Date],"&gt;="&amp;EarningsPerDay[[#This Row],[Date]]-89, EarningsPerDay[Date], "&lt;="&amp;EarningsPerDay[[#This Row],[Date]]))/90</f>
        <v>55.627222222222201</v>
      </c>
    </row>
    <row r="852" spans="2:30" x14ac:dyDescent="0.35">
      <c r="B852" s="40">
        <v>46026</v>
      </c>
      <c r="C852" s="40">
        <f t="shared" si="121"/>
        <v>46026</v>
      </c>
      <c r="D852" s="4">
        <f>IF(EarningsPerDay[[#This Row],[Week '#]]&gt;=52,YEAR(EarningsPerDay[[#This Row],[Date]])-1,YEAR(EarningsPerDay[[#This Row],[Date]]))</f>
        <v>2026</v>
      </c>
      <c r="E852" s="4" t="str">
        <f>"QTR"&amp;IF(EarningsPerDay[[#This Row],[Week '#]] &lt;= 13, 1, IF(EarningsPerDay[[#This Row],[Week '#]] &lt;= 26, 2, IF(EarningsPerDay[[#This Row],[Week '#]] &lt;= 39, 3, 4)))</f>
        <v>QTR1</v>
      </c>
      <c r="F85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</v>
      </c>
      <c r="G852" s="4">
        <f>IF(WEEKNUM(EarningsPerDay[[#This Row],[Date]], 2) = 53, 1, WEEKNUM(EarningsPerDay[[#This Row],[Date]],2))</f>
        <v>1</v>
      </c>
      <c r="H852" s="40" t="str">
        <f>TEXT(B852,"DDDD")</f>
        <v>Sunday</v>
      </c>
      <c r="I852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852" s="40" t="str" cm="1">
        <f t="array" ref="J852">IFERROR(VLOOKUP(MODE(IF(Combined[Date]=EarningsPerDay[[#This Row],[Date]],Combined[Area '#])),KPIs!$B$4:$C$7,2,FALSE),VLOOKUP(EarningsPerDay[[#This Row],[Date]],Combined[[Date]:[Primary Area]],8,FALSE))</f>
        <v>Brunswick/Bath/Freeport</v>
      </c>
      <c r="K852" s="40" t="str">
        <f>_xlfn.XLOOKUP(EarningsPerDay[[#This Row],[Date]],Mileage[Date],Mileage[Weather])</f>
        <v>Overcast</v>
      </c>
      <c r="L852" s="4">
        <f>_xlfn.XLOOKUP(EarningsPerDay[[#This Row],[Date]],Mileage[Date],Mileage[Hi Temp])</f>
        <v>18</v>
      </c>
      <c r="M852" s="12">
        <f>_xlfn.XLOOKUP(EarningsPerDay[[#This Row],[Date]],Mileage[Date],Mileage[Total Time])</f>
        <v>1.22</v>
      </c>
      <c r="N852" s="4">
        <f>_xlfn.XLOOKUP(EarningsPerDay[[#This Row],[Date]],Mileage[Date],Mileage[Mileage])</f>
        <v>37</v>
      </c>
      <c r="O852" s="4">
        <f>SUMIF(Combined[Date],EarningsPerDay[[#This Row],[Date]],Combined[Trips])</f>
        <v>2</v>
      </c>
      <c r="P852">
        <f>COUNTIF(Combined[Date],EarningsPerDay[[#This Row],[Date]])</f>
        <v>2</v>
      </c>
      <c r="Q85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2" s="11">
        <f>SUMIF(Combined[Date],EarningsPerDay[[#This Row],[Date]],Combined[Earnings])</f>
        <v>38.4</v>
      </c>
      <c r="S852" s="11">
        <f ca="1">EarningsPerDay[[#This Row],[Gross Earnings]]-(EarningsPerDay[[#This Row],[Miles]]*CpM!$D$11)</f>
        <v>30.149995572753497</v>
      </c>
      <c r="T852" s="11">
        <f>R852/M852</f>
        <v>31.475409836065573</v>
      </c>
      <c r="U852" s="11">
        <f ca="1">S852/M852</f>
        <v>24.713111125207785</v>
      </c>
      <c r="V852" s="11">
        <f>EarningsPerDay[[#This Row],[Gross Earnings]]/EarningsPerDay[[#This Row],[Deliveries]]</f>
        <v>19.2</v>
      </c>
      <c r="W852" s="11">
        <f>EarningsPerDay[[#This Row],[Gross Earnings]]/EarningsPerDay[[#This Row],[Miles]]</f>
        <v>1.0378378378378379</v>
      </c>
      <c r="X852" s="71">
        <f>EarningsPerDay[[#This Row],[Deliveries]]/EarningsPerDay[[#This Row],[Hours]]</f>
        <v>1.639344262295082</v>
      </c>
      <c r="Y852" s="71">
        <f>EarningsPerDay[[#This Row],[Miles]]/EarningsPerDay[[#This Row],[Deliveries]]</f>
        <v>18.5</v>
      </c>
      <c r="Z852" s="81">
        <f>(EarningsPerDay[[#This Row],[Hours]]/EarningsPerDay[[#This Row],[Deliveries]])/24</f>
        <v>2.5416666666666667E-2</v>
      </c>
      <c r="AA85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7.7470842319443811</v>
      </c>
      <c r="AB852" s="11">
        <f>AVERAGEIFS(EarningsPerDay[Gross $/Hour],EarningsPerDay[Week '#], EarningsPerDay[[#This Row],[Week '#]], EarningsPerDay[DOW], EarningsPerDay[[#This Row],[DOW]])</f>
        <v>25.011850729934075</v>
      </c>
      <c r="AC852" s="11">
        <f>EarningsPerDay[[#This Row],[Gross $/Hour]] - EarningsPerDay[[#This Row],[Weekly Average Earnings]]</f>
        <v>6.4635591061314983</v>
      </c>
      <c r="AD852" s="11">
        <f>(SUMIFS(EarningsPerDay[Gross Earnings], EarningsPerDay[Date],"&gt;="&amp;EarningsPerDay[[#This Row],[Date]]-89, EarningsPerDay[Date], "&lt;="&amp;EarningsPerDay[[#This Row],[Date]]))/90</f>
        <v>56.053888888888864</v>
      </c>
    </row>
    <row r="853" spans="2:30" x14ac:dyDescent="0.35">
      <c r="B853" s="40">
        <v>46030</v>
      </c>
      <c r="C853" s="40">
        <f t="shared" si="121"/>
        <v>46030</v>
      </c>
      <c r="D853" s="4">
        <f>IF(EarningsPerDay[[#This Row],[Week '#]]&gt;=52,YEAR(EarningsPerDay[[#This Row],[Date]])-1,YEAR(EarningsPerDay[[#This Row],[Date]]))</f>
        <v>2026</v>
      </c>
      <c r="E853" s="4" t="str">
        <f>"QTR"&amp;IF(EarningsPerDay[[#This Row],[Week '#]] &lt;= 13, 1, IF(EarningsPerDay[[#This Row],[Week '#]] &lt;= 26, 2, IF(EarningsPerDay[[#This Row],[Week '#]] &lt;= 39, 3, 4)))</f>
        <v>QTR1</v>
      </c>
      <c r="F85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2</v>
      </c>
      <c r="G853" s="4">
        <f>IF(WEEKNUM(EarningsPerDay[[#This Row],[Date]], 2) = 53, 1, WEEKNUM(EarningsPerDay[[#This Row],[Date]],2))</f>
        <v>2</v>
      </c>
      <c r="H853" s="40" t="str">
        <f t="shared" ref="H853:H854" si="131">TEXT(B853,"DDDD")</f>
        <v>Thursday</v>
      </c>
      <c r="I853" s="106">
        <f>IF(_xlfn.XLOOKUP(EarningsPerDay[[#This Row],[Date]],Mileage[Date],Mileage[Start Time])="","",MROUND(_xlfn.XLOOKUP(EarningsPerDay[[#This Row],[Date]],Mileage[Date],Mileage[Start Time]),0.0208333333333333))</f>
        <v>0.8541666666666653</v>
      </c>
      <c r="J853" s="40" t="str" cm="1">
        <f t="array" ref="J853">IFERROR(VLOOKUP(MODE(IF(Combined[Date]=EarningsPerDay[[#This Row],[Date]],Combined[Area '#])),KPIs!$B$4:$C$7,2,FALSE),VLOOKUP(EarningsPerDay[[#This Row],[Date]],Combined[[Date]:[Primary Area]],8,FALSE))</f>
        <v>Lewiston</v>
      </c>
      <c r="K853" s="40" t="str">
        <f>_xlfn.XLOOKUP(EarningsPerDay[[#This Row],[Date]],Mileage[Date],Mileage[Weather])</f>
        <v>Clear</v>
      </c>
      <c r="L853" s="4">
        <f>_xlfn.XLOOKUP(EarningsPerDay[[#This Row],[Date]],Mileage[Date],Mileage[Hi Temp])</f>
        <v>36</v>
      </c>
      <c r="M853" s="12">
        <f>_xlfn.XLOOKUP(EarningsPerDay[[#This Row],[Date]],Mileage[Date],Mileage[Total Time])</f>
        <v>1.72</v>
      </c>
      <c r="N853" s="4">
        <f>_xlfn.XLOOKUP(EarningsPerDay[[#This Row],[Date]],Mileage[Date],Mileage[Mileage])</f>
        <v>33</v>
      </c>
      <c r="O853" s="4">
        <f>SUMIF(Combined[Date],EarningsPerDay[[#This Row],[Date]],Combined[Trips])</f>
        <v>2</v>
      </c>
      <c r="P853">
        <f>COUNTIF(Combined[Date],EarningsPerDay[[#This Row],[Date]])</f>
        <v>1</v>
      </c>
      <c r="Q85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3" s="11">
        <f>SUMIF(Combined[Date],EarningsPerDay[[#This Row],[Date]],Combined[Earnings])</f>
        <v>42.2</v>
      </c>
      <c r="S853" s="11">
        <f ca="1">EarningsPerDay[[#This Row],[Gross Earnings]]-(EarningsPerDay[[#This Row],[Miles]]*CpM!$D$11)</f>
        <v>34.841887943266634</v>
      </c>
      <c r="T853" s="11">
        <f t="shared" ref="T853:T854" si="132">R853/M853</f>
        <v>24.534883720930235</v>
      </c>
      <c r="U853" s="11">
        <f t="shared" ref="U853:U854" ca="1" si="133">S853/M853</f>
        <v>20.256911594922464</v>
      </c>
      <c r="V853" s="11">
        <f>EarningsPerDay[[#This Row],[Gross Earnings]]/EarningsPerDay[[#This Row],[Deliveries]]</f>
        <v>21.1</v>
      </c>
      <c r="W853" s="11">
        <f>EarningsPerDay[[#This Row],[Gross Earnings]]/EarningsPerDay[[#This Row],[Miles]]</f>
        <v>1.2787878787878788</v>
      </c>
      <c r="X853" s="71">
        <f>EarningsPerDay[[#This Row],[Deliveries]]/EarningsPerDay[[#This Row],[Hours]]</f>
        <v>1.1627906976744187</v>
      </c>
      <c r="Y853" s="71">
        <f>EarningsPerDay[[#This Row],[Miles]]/EarningsPerDay[[#This Row],[Deliveries]]</f>
        <v>16.5</v>
      </c>
      <c r="Z853" s="81">
        <f>(EarningsPerDay[[#This Row],[Hours]]/EarningsPerDay[[#This Row],[Deliveries]])/24</f>
        <v>3.5833333333333335E-2</v>
      </c>
      <c r="AA85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4.2979473839414837</v>
      </c>
      <c r="AB853" s="11">
        <f>AVERAGEIFS(EarningsPerDay[Gross $/Hour],EarningsPerDay[Week '#], EarningsPerDay[[#This Row],[Week '#]], EarningsPerDay[DOW], EarningsPerDay[[#This Row],[DOW]])</f>
        <v>17.499254197459155</v>
      </c>
      <c r="AC853" s="11">
        <f>EarningsPerDay[[#This Row],[Gross $/Hour]] - EarningsPerDay[[#This Row],[Weekly Average Earnings]]</f>
        <v>7.0356295234710799</v>
      </c>
      <c r="AD853" s="11">
        <f>(SUMIFS(EarningsPerDay[Gross Earnings], EarningsPerDay[Date],"&gt;="&amp;EarningsPerDay[[#This Row],[Date]]-89, EarningsPerDay[Date], "&lt;="&amp;EarningsPerDay[[#This Row],[Date]]))/90</f>
        <v>53.195111111111096</v>
      </c>
    </row>
    <row r="854" spans="2:30" x14ac:dyDescent="0.35">
      <c r="B854" s="40">
        <v>46036</v>
      </c>
      <c r="C854" s="40">
        <f t="shared" si="121"/>
        <v>46036</v>
      </c>
      <c r="D854" s="4">
        <f>IF(EarningsPerDay[[#This Row],[Week '#]]&gt;=52,YEAR(EarningsPerDay[[#This Row],[Date]])-1,YEAR(EarningsPerDay[[#This Row],[Date]]))</f>
        <v>2026</v>
      </c>
      <c r="E854" s="4" t="str">
        <f>"QTR"&amp;IF(EarningsPerDay[[#This Row],[Week '#]] &lt;= 13, 1, IF(EarningsPerDay[[#This Row],[Week '#]] &lt;= 26, 2, IF(EarningsPerDay[[#This Row],[Week '#]] &lt;= 39, 3, 4)))</f>
        <v>QTR1</v>
      </c>
      <c r="F85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54" s="4">
        <f>IF(WEEKNUM(EarningsPerDay[[#This Row],[Date]], 2) = 53, 1, WEEKNUM(EarningsPerDay[[#This Row],[Date]],2))</f>
        <v>3</v>
      </c>
      <c r="H854" s="40" t="str">
        <f t="shared" si="131"/>
        <v>Wednesday</v>
      </c>
      <c r="I854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54" s="40" t="str" cm="1">
        <f t="array" ref="J854">IFERROR(VLOOKUP(MODE(IF(Combined[Date]=EarningsPerDay[[#This Row],[Date]],Combined[Area '#])),KPIs!$B$4:$C$7,2,FALSE),VLOOKUP(EarningsPerDay[[#This Row],[Date]],Combined[[Date]:[Primary Area]],8,FALSE))</f>
        <v>Lewiston</v>
      </c>
      <c r="K854" s="40" t="str">
        <f>_xlfn.XLOOKUP(EarningsPerDay[[#This Row],[Date]],Mileage[Date],Mileage[Weather])</f>
        <v>Light Rain</v>
      </c>
      <c r="L854" s="4">
        <f>_xlfn.XLOOKUP(EarningsPerDay[[#This Row],[Date]],Mileage[Date],Mileage[Hi Temp])</f>
        <v>41</v>
      </c>
      <c r="M854" s="12">
        <f>_xlfn.XLOOKUP(EarningsPerDay[[#This Row],[Date]],Mileage[Date],Mileage[Total Time])</f>
        <v>2.23</v>
      </c>
      <c r="N854" s="4">
        <f>_xlfn.XLOOKUP(EarningsPerDay[[#This Row],[Date]],Mileage[Date],Mileage[Mileage])</f>
        <v>38</v>
      </c>
      <c r="O854" s="4">
        <f>SUMIF(Combined[Date],EarningsPerDay[[#This Row],[Date]],Combined[Trips])</f>
        <v>6</v>
      </c>
      <c r="P854">
        <f>COUNTIF(Combined[Date],EarningsPerDay[[#This Row],[Date]])</f>
        <v>2</v>
      </c>
      <c r="Q85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54" s="11">
        <f>SUMIF(Combined[Date],EarningsPerDay[[#This Row],[Date]],Combined[Earnings])</f>
        <v>43.55</v>
      </c>
      <c r="S854" s="11">
        <f ca="1">EarningsPerDay[[#This Row],[Gross Earnings]]-(EarningsPerDay[[#This Row],[Miles]]*CpM!$D$11)</f>
        <v>35.077022480125208</v>
      </c>
      <c r="T854" s="11">
        <f t="shared" si="132"/>
        <v>19.529147982062778</v>
      </c>
      <c r="U854" s="11">
        <f t="shared" ca="1" si="133"/>
        <v>15.72960649332969</v>
      </c>
      <c r="V854" s="11">
        <f>EarningsPerDay[[#This Row],[Gross Earnings]]/EarningsPerDay[[#This Row],[Deliveries]]</f>
        <v>7.2583333333333329</v>
      </c>
      <c r="W854" s="11">
        <f>EarningsPerDay[[#This Row],[Gross Earnings]]/EarningsPerDay[[#This Row],[Miles]]</f>
        <v>1.1460526315789472</v>
      </c>
      <c r="X854" s="71">
        <f>EarningsPerDay[[#This Row],[Deliveries]]/EarningsPerDay[[#This Row],[Hours]]</f>
        <v>2.6905829596412558</v>
      </c>
      <c r="Y854" s="71">
        <f>EarningsPerDay[[#This Row],[Miles]]/EarningsPerDay[[#This Row],[Deliveries]]</f>
        <v>6.333333333333333</v>
      </c>
      <c r="Z854" s="81">
        <f>(EarningsPerDay[[#This Row],[Hours]]/EarningsPerDay[[#This Row],[Deliveries]])/24</f>
        <v>1.548611111111111E-2</v>
      </c>
      <c r="AA85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1.0739890914668351</v>
      </c>
      <c r="AB854" s="11">
        <f>AVERAGEIFS(EarningsPerDay[Gross $/Hour],EarningsPerDay[Week '#], EarningsPerDay[[#This Row],[Week '#]], EarningsPerDay[DOW], EarningsPerDay[[#This Row],[DOW]])</f>
        <v>18.097907324364723</v>
      </c>
      <c r="AC854" s="11">
        <f>EarningsPerDay[[#This Row],[Gross $/Hour]] - EarningsPerDay[[#This Row],[Weekly Average Earnings]]</f>
        <v>1.431240657698055</v>
      </c>
      <c r="AD854" s="11">
        <f>(SUMIFS(EarningsPerDay[Gross Earnings], EarningsPerDay[Date],"&gt;="&amp;EarningsPerDay[[#This Row],[Date]]-89, EarningsPerDay[Date], "&lt;="&amp;EarningsPerDay[[#This Row],[Date]]))/90</f>
        <v>51.390111111111111</v>
      </c>
    </row>
    <row r="855" spans="2:30" x14ac:dyDescent="0.35">
      <c r="B855" s="40">
        <v>46038</v>
      </c>
      <c r="C855" s="40">
        <f t="shared" si="121"/>
        <v>46038</v>
      </c>
      <c r="D855" s="4">
        <f>IF(EarningsPerDay[[#This Row],[Week '#]]&gt;=52,YEAR(EarningsPerDay[[#This Row],[Date]])-1,YEAR(EarningsPerDay[[#This Row],[Date]]))</f>
        <v>2026</v>
      </c>
      <c r="E855" s="4" t="str">
        <f>"QTR"&amp;IF(EarningsPerDay[[#This Row],[Week '#]] &lt;= 13, 1, IF(EarningsPerDay[[#This Row],[Week '#]] &lt;= 26, 2, IF(EarningsPerDay[[#This Row],[Week '#]] &lt;= 39, 3, 4)))</f>
        <v>QTR1</v>
      </c>
      <c r="F85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55" s="4">
        <f>IF(WEEKNUM(EarningsPerDay[[#This Row],[Date]], 2) = 53, 1, WEEKNUM(EarningsPerDay[[#This Row],[Date]],2))</f>
        <v>3</v>
      </c>
      <c r="H855" s="40" t="str">
        <f t="shared" ref="H855:H860" si="134">TEXT(B855,"DDDD")</f>
        <v>Friday</v>
      </c>
      <c r="I855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855" s="40" t="str" cm="1">
        <f t="array" ref="J855">IFERROR(VLOOKUP(MODE(IF(Combined[Date]=EarningsPerDay[[#This Row],[Date]],Combined[Area '#])),KPIs!$B$4:$C$7,2,FALSE),VLOOKUP(EarningsPerDay[[#This Row],[Date]],Combined[[Date]:[Primary Area]],8,FALSE))</f>
        <v>Brunswick/Bath/Freeport</v>
      </c>
      <c r="K855" s="40" t="str">
        <f>_xlfn.XLOOKUP(EarningsPerDay[[#This Row],[Date]],Mileage[Date],Mileage[Weather])</f>
        <v>Clear</v>
      </c>
      <c r="L855" s="4">
        <f>_xlfn.XLOOKUP(EarningsPerDay[[#This Row],[Date]],Mileage[Date],Mileage[Hi Temp])</f>
        <v>18</v>
      </c>
      <c r="M855" s="12">
        <f>_xlfn.XLOOKUP(EarningsPerDay[[#This Row],[Date]],Mileage[Date],Mileage[Total Time])</f>
        <v>4.12</v>
      </c>
      <c r="N855" s="4">
        <f>_xlfn.XLOOKUP(EarningsPerDay[[#This Row],[Date]],Mileage[Date],Mileage[Mileage])</f>
        <v>100</v>
      </c>
      <c r="O855" s="4">
        <f>SUMIF(Combined[Date],EarningsPerDay[[#This Row],[Date]],Combined[Trips])</f>
        <v>8</v>
      </c>
      <c r="P855">
        <f>COUNTIF(Combined[Date],EarningsPerDay[[#This Row],[Date]])</f>
        <v>3</v>
      </c>
      <c r="Q85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5" s="11">
        <f>SUMIF(Combined[Date],EarningsPerDay[[#This Row],[Date]],Combined[Earnings])</f>
        <v>155.48999999999998</v>
      </c>
      <c r="S855" s="11">
        <f ca="1">EarningsPerDay[[#This Row],[Gross Earnings]]-(EarningsPerDay[[#This Row],[Miles]]*CpM!$D$11)</f>
        <v>133.1926907371716</v>
      </c>
      <c r="T855" s="11">
        <f t="shared" ref="T855:T860" si="135">R855/M855</f>
        <v>37.740291262135919</v>
      </c>
      <c r="U855" s="11">
        <f t="shared" ref="U855:U860" ca="1" si="136">S855/M855</f>
        <v>32.328322994459128</v>
      </c>
      <c r="V855" s="11">
        <f>EarningsPerDay[[#This Row],[Gross Earnings]]/EarningsPerDay[[#This Row],[Deliveries]]</f>
        <v>19.436249999999998</v>
      </c>
      <c r="W855" s="11">
        <f>EarningsPerDay[[#This Row],[Gross Earnings]]/EarningsPerDay[[#This Row],[Miles]]</f>
        <v>1.5548999999999997</v>
      </c>
      <c r="X855" s="71">
        <f>EarningsPerDay[[#This Row],[Deliveries]]/EarningsPerDay[[#This Row],[Hours]]</f>
        <v>1.941747572815534</v>
      </c>
      <c r="Y855" s="71">
        <f>EarningsPerDay[[#This Row],[Miles]]/EarningsPerDay[[#This Row],[Deliveries]]</f>
        <v>12.5</v>
      </c>
      <c r="Z855" s="81">
        <f>(EarningsPerDay[[#This Row],[Hours]]/EarningsPerDay[[#This Row],[Deliveries]])/24</f>
        <v>2.1458333333333333E-2</v>
      </c>
      <c r="AA85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17.173882617820247</v>
      </c>
      <c r="AB855" s="11">
        <f>AVERAGEIFS(EarningsPerDay[Gross $/Hour],EarningsPerDay[Week '#], EarningsPerDay[[#This Row],[Week '#]], EarningsPerDay[DOW], EarningsPerDay[[#This Row],[DOW]])</f>
        <v>26.311622557568853</v>
      </c>
      <c r="AC855" s="11">
        <f>EarningsPerDay[[#This Row],[Gross $/Hour]] - EarningsPerDay[[#This Row],[Weekly Average Earnings]]</f>
        <v>11.428668704567066</v>
      </c>
      <c r="AD855" s="11">
        <f>(SUMIFS(EarningsPerDay[Gross Earnings], EarningsPerDay[Date],"&gt;="&amp;EarningsPerDay[[#This Row],[Date]]-89, EarningsPerDay[Date], "&lt;="&amp;EarningsPerDay[[#This Row],[Date]]))/90</f>
        <v>51.453333333333326</v>
      </c>
    </row>
    <row r="856" spans="2:30" x14ac:dyDescent="0.35">
      <c r="B856" s="40">
        <v>46039</v>
      </c>
      <c r="C856" s="40">
        <f t="shared" si="121"/>
        <v>46039</v>
      </c>
      <c r="D856" s="4">
        <f>IF(EarningsPerDay[[#This Row],[Week '#]]&gt;=52,YEAR(EarningsPerDay[[#This Row],[Date]])-1,YEAR(EarningsPerDay[[#This Row],[Date]]))</f>
        <v>2026</v>
      </c>
      <c r="E856" s="4" t="str">
        <f>"QTR"&amp;IF(EarningsPerDay[[#This Row],[Week '#]] &lt;= 13, 1, IF(EarningsPerDay[[#This Row],[Week '#]] &lt;= 26, 2, IF(EarningsPerDay[[#This Row],[Week '#]] &lt;= 39, 3, 4)))</f>
        <v>QTR1</v>
      </c>
      <c r="F85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56" s="4">
        <f>IF(WEEKNUM(EarningsPerDay[[#This Row],[Date]], 2) = 53, 1, WEEKNUM(EarningsPerDay[[#This Row],[Date]],2))</f>
        <v>3</v>
      </c>
      <c r="H856" s="40" t="str">
        <f t="shared" si="134"/>
        <v>Saturday</v>
      </c>
      <c r="I856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856" s="40" t="str" cm="1">
        <f t="array" ref="J856">IFERROR(VLOOKUP(MODE(IF(Combined[Date]=EarningsPerDay[[#This Row],[Date]],Combined[Area '#])),KPIs!$B$4:$C$7,2,FALSE),VLOOKUP(EarningsPerDay[[#This Row],[Date]],Combined[[Date]:[Primary Area]],8,FALSE))</f>
        <v>Lewiston</v>
      </c>
      <c r="K856" s="40" t="str">
        <f>_xlfn.XLOOKUP(EarningsPerDay[[#This Row],[Date]],Mileage[Date],Mileage[Weather])</f>
        <v>Light Snow</v>
      </c>
      <c r="L856" s="4">
        <f>_xlfn.XLOOKUP(EarningsPerDay[[#This Row],[Date]],Mileage[Date],Mileage[Hi Temp])</f>
        <v>25</v>
      </c>
      <c r="M856" s="12">
        <f>_xlfn.XLOOKUP(EarningsPerDay[[#This Row],[Date]],Mileage[Date],Mileage[Total Time])</f>
        <v>4.2699999999999996</v>
      </c>
      <c r="N856" s="4">
        <f>_xlfn.XLOOKUP(EarningsPerDay[[#This Row],[Date]],Mileage[Date],Mileage[Mileage])</f>
        <v>72</v>
      </c>
      <c r="O856" s="4">
        <f>SUMIF(Combined[Date],EarningsPerDay[[#This Row],[Date]],Combined[Trips])</f>
        <v>11</v>
      </c>
      <c r="P856">
        <f>COUNTIF(Combined[Date],EarningsPerDay[[#This Row],[Date]])</f>
        <v>2</v>
      </c>
      <c r="Q856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56" s="11">
        <f>SUMIF(Combined[Date],EarningsPerDay[[#This Row],[Date]],Combined[Earnings])</f>
        <v>131.44999999999999</v>
      </c>
      <c r="S856" s="11">
        <f ca="1">EarningsPerDay[[#This Row],[Gross Earnings]]-(EarningsPerDay[[#This Row],[Miles]]*CpM!$D$11)</f>
        <v>115.39593733076356</v>
      </c>
      <c r="T856" s="11">
        <f t="shared" si="135"/>
        <v>30.784543325526933</v>
      </c>
      <c r="U856" s="11">
        <f t="shared" ca="1" si="136"/>
        <v>27.024809679335732</v>
      </c>
      <c r="V856" s="11">
        <f>EarningsPerDay[[#This Row],[Gross Earnings]]/EarningsPerDay[[#This Row],[Deliveries]]</f>
        <v>11.95</v>
      </c>
      <c r="W856" s="11">
        <f>EarningsPerDay[[#This Row],[Gross Earnings]]/EarningsPerDay[[#This Row],[Miles]]</f>
        <v>1.8256944444444443</v>
      </c>
      <c r="X856" s="71">
        <f>EarningsPerDay[[#This Row],[Deliveries]]/EarningsPerDay[[#This Row],[Hours]]</f>
        <v>2.5761124121779861</v>
      </c>
      <c r="Y856" s="71">
        <f>EarningsPerDay[[#This Row],[Miles]]/EarningsPerDay[[#This Row],[Deliveries]]</f>
        <v>6.5454545454545459</v>
      </c>
      <c r="Z856" s="81">
        <f>(EarningsPerDay[[#This Row],[Hours]]/EarningsPerDay[[#This Row],[Deliveries]])/24</f>
        <v>1.6174242424242421E-2</v>
      </c>
      <c r="AA85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10.217192760938953</v>
      </c>
      <c r="AB856" s="11">
        <f>AVERAGEIFS(EarningsPerDay[Gross $/Hour],EarningsPerDay[Week '#], EarningsPerDay[[#This Row],[Week '#]], EarningsPerDay[DOW], EarningsPerDay[[#This Row],[DOW]])</f>
        <v>22.144434801112787</v>
      </c>
      <c r="AC856" s="11">
        <f>EarningsPerDay[[#This Row],[Gross $/Hour]] - EarningsPerDay[[#This Row],[Weekly Average Earnings]]</f>
        <v>8.6401085244141456</v>
      </c>
      <c r="AD856" s="11">
        <f>(SUMIFS(EarningsPerDay[Gross Earnings], EarningsPerDay[Date],"&gt;="&amp;EarningsPerDay[[#This Row],[Date]]-89, EarningsPerDay[Date], "&lt;="&amp;EarningsPerDay[[#This Row],[Date]]))/90</f>
        <v>52.913888888888877</v>
      </c>
    </row>
    <row r="857" spans="2:30" x14ac:dyDescent="0.35">
      <c r="B857" s="40">
        <v>46040</v>
      </c>
      <c r="C857" s="40">
        <f t="shared" si="121"/>
        <v>46040</v>
      </c>
      <c r="D857" s="4">
        <f>IF(EarningsPerDay[[#This Row],[Week '#]]&gt;=52,YEAR(EarningsPerDay[[#This Row],[Date]])-1,YEAR(EarningsPerDay[[#This Row],[Date]]))</f>
        <v>2026</v>
      </c>
      <c r="E857" s="4" t="str">
        <f>"QTR"&amp;IF(EarningsPerDay[[#This Row],[Week '#]] &lt;= 13, 1, IF(EarningsPerDay[[#This Row],[Week '#]] &lt;= 26, 2, IF(EarningsPerDay[[#This Row],[Week '#]] &lt;= 39, 3, 4)))</f>
        <v>QTR1</v>
      </c>
      <c r="F85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57" s="4">
        <f>IF(WEEKNUM(EarningsPerDay[[#This Row],[Date]], 2) = 53, 1, WEEKNUM(EarningsPerDay[[#This Row],[Date]],2))</f>
        <v>3</v>
      </c>
      <c r="H857" s="40" t="str">
        <f t="shared" si="134"/>
        <v>Sunday</v>
      </c>
      <c r="I857" s="106">
        <f>IF(_xlfn.XLOOKUP(EarningsPerDay[[#This Row],[Date]],Mileage[Date],Mileage[Start Time])="","",MROUND(_xlfn.XLOOKUP(EarningsPerDay[[#This Row],[Date]],Mileage[Date],Mileage[Start Time]),0.0208333333333333))</f>
        <v>0.66666666666666563</v>
      </c>
      <c r="J857" s="40" t="str" cm="1">
        <f t="array" ref="J857">IFERROR(VLOOKUP(MODE(IF(Combined[Date]=EarningsPerDay[[#This Row],[Date]],Combined[Area '#])),KPIs!$B$4:$C$7,2,FALSE),VLOOKUP(EarningsPerDay[[#This Row],[Date]],Combined[[Date]:[Primary Area]],8,FALSE))</f>
        <v>Brunswick/Bath/Freeport</v>
      </c>
      <c r="K857" s="40" t="str">
        <f>_xlfn.XLOOKUP(EarningsPerDay[[#This Row],[Date]],Mileage[Date],Mileage[Weather])</f>
        <v>Overcast</v>
      </c>
      <c r="L857" s="4">
        <f>_xlfn.XLOOKUP(EarningsPerDay[[#This Row],[Date]],Mileage[Date],Mileage[Hi Temp])</f>
        <v>30</v>
      </c>
      <c r="M857" s="12">
        <f>_xlfn.XLOOKUP(EarningsPerDay[[#This Row],[Date]],Mileage[Date],Mileage[Total Time])</f>
        <v>1.63</v>
      </c>
      <c r="N857" s="4">
        <f>_xlfn.XLOOKUP(EarningsPerDay[[#This Row],[Date]],Mileage[Date],Mileage[Mileage])</f>
        <v>45</v>
      </c>
      <c r="O857" s="4">
        <f>SUMIF(Combined[Date],EarningsPerDay[[#This Row],[Date]],Combined[Trips])</f>
        <v>3</v>
      </c>
      <c r="P857">
        <f>COUNTIF(Combined[Date],EarningsPerDay[[#This Row],[Date]])</f>
        <v>1</v>
      </c>
      <c r="Q857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57" s="11">
        <f>SUMIF(Combined[Date],EarningsPerDay[[#This Row],[Date]],Combined[Earnings])</f>
        <v>22.93</v>
      </c>
      <c r="S857" s="11">
        <f ca="1">EarningsPerDay[[#This Row],[Gross Earnings]]-(EarningsPerDay[[#This Row],[Miles]]*CpM!$D$11)</f>
        <v>12.896210831727227</v>
      </c>
      <c r="T857" s="11">
        <f t="shared" si="135"/>
        <v>14.067484662576687</v>
      </c>
      <c r="U857" s="11">
        <f t="shared" ca="1" si="136"/>
        <v>7.9117857863357228</v>
      </c>
      <c r="V857" s="11">
        <f>EarningsPerDay[[#This Row],[Gross Earnings]]/EarningsPerDay[[#This Row],[Deliveries]]</f>
        <v>7.6433333333333335</v>
      </c>
      <c r="W857" s="11">
        <f>EarningsPerDay[[#This Row],[Gross Earnings]]/EarningsPerDay[[#This Row],[Miles]]</f>
        <v>0.50955555555555554</v>
      </c>
      <c r="X857" s="71">
        <f>EarningsPerDay[[#This Row],[Deliveries]]/EarningsPerDay[[#This Row],[Hours]]</f>
        <v>1.8404907975460123</v>
      </c>
      <c r="Y857" s="71">
        <f>EarningsPerDay[[#This Row],[Miles]]/EarningsPerDay[[#This Row],[Deliveries]]</f>
        <v>15</v>
      </c>
      <c r="Z857" s="81">
        <f>(EarningsPerDay[[#This Row],[Hours]]/EarningsPerDay[[#This Row],[Deliveries]])/24</f>
        <v>2.2638888888888889E-2</v>
      </c>
      <c r="AA85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-10.214204100969104</v>
      </c>
      <c r="AB857" s="11">
        <f>AVERAGEIFS(EarningsPerDay[Gross $/Hour],EarningsPerDay[Week '#], EarningsPerDay[[#This Row],[Week '#]], EarningsPerDay[DOW], EarningsPerDay[[#This Row],[DOW]])</f>
        <v>16.540912777473199</v>
      </c>
      <c r="AC857" s="11">
        <f>EarningsPerDay[[#This Row],[Gross $/Hour]] - EarningsPerDay[[#This Row],[Weekly Average Earnings]]</f>
        <v>-2.473428114896512</v>
      </c>
      <c r="AD857" s="11">
        <f>(SUMIFS(EarningsPerDay[Gross Earnings], EarningsPerDay[Date],"&gt;="&amp;EarningsPerDay[[#This Row],[Date]]-89, EarningsPerDay[Date], "&lt;="&amp;EarningsPerDay[[#This Row],[Date]]))/90</f>
        <v>51.784222222222212</v>
      </c>
    </row>
    <row r="858" spans="2:30" x14ac:dyDescent="0.35">
      <c r="B858" s="40">
        <v>46041</v>
      </c>
      <c r="C858" s="40">
        <f t="shared" si="121"/>
        <v>46041</v>
      </c>
      <c r="D858" s="4">
        <f>IF(EarningsPerDay[[#This Row],[Week '#]]&gt;=52,YEAR(EarningsPerDay[[#This Row],[Date]])-1,YEAR(EarningsPerDay[[#This Row],[Date]]))</f>
        <v>2026</v>
      </c>
      <c r="E858" s="4" t="str">
        <f>"QTR"&amp;IF(EarningsPerDay[[#This Row],[Week '#]] &lt;= 13, 1, IF(EarningsPerDay[[#This Row],[Week '#]] &lt;= 26, 2, IF(EarningsPerDay[[#This Row],[Week '#]] &lt;= 39, 3, 4)))</f>
        <v>QTR1</v>
      </c>
      <c r="F85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58" s="4">
        <f>IF(WEEKNUM(EarningsPerDay[[#This Row],[Date]], 2) = 53, 1, WEEKNUM(EarningsPerDay[[#This Row],[Date]],2))</f>
        <v>4</v>
      </c>
      <c r="H858" s="40" t="str">
        <f t="shared" si="134"/>
        <v>Monday</v>
      </c>
      <c r="I858" s="106">
        <f>IF(_xlfn.XLOOKUP(EarningsPerDay[[#This Row],[Date]],Mileage[Date],Mileage[Start Time])="","",MROUND(_xlfn.XLOOKUP(EarningsPerDay[[#This Row],[Date]],Mileage[Date],Mileage[Start Time]),0.0208333333333333))</f>
        <v>0.49999999999999922</v>
      </c>
      <c r="J858" s="40" t="str" cm="1">
        <f t="array" ref="J858">IFERROR(VLOOKUP(MODE(IF(Combined[Date]=EarningsPerDay[[#This Row],[Date]],Combined[Area '#])),KPIs!$B$4:$C$7,2,FALSE),VLOOKUP(EarningsPerDay[[#This Row],[Date]],Combined[[Date]:[Primary Area]],8,FALSE))</f>
        <v>Portland</v>
      </c>
      <c r="K858" s="40" t="str">
        <f>_xlfn.XLOOKUP(EarningsPerDay[[#This Row],[Date]],Mileage[Date],Mileage[Weather])</f>
        <v>Overcast</v>
      </c>
      <c r="L858" s="4">
        <f>_xlfn.XLOOKUP(EarningsPerDay[[#This Row],[Date]],Mileage[Date],Mileage[Hi Temp])</f>
        <v>30</v>
      </c>
      <c r="M858" s="12">
        <f>_xlfn.XLOOKUP(EarningsPerDay[[#This Row],[Date]],Mileage[Date],Mileage[Total Time])</f>
        <v>4.47</v>
      </c>
      <c r="N858" s="4">
        <f>_xlfn.XLOOKUP(EarningsPerDay[[#This Row],[Date]],Mileage[Date],Mileage[Mileage])</f>
        <v>90</v>
      </c>
      <c r="O858" s="4">
        <f>SUMIF(Combined[Date],EarningsPerDay[[#This Row],[Date]],Combined[Trips])</f>
        <v>6</v>
      </c>
      <c r="P858">
        <f>COUNTIF(Combined[Date],EarningsPerDay[[#This Row],[Date]])</f>
        <v>2</v>
      </c>
      <c r="Q85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58" s="11">
        <f>SUMIF(Combined[Date],EarningsPerDay[[#This Row],[Date]],Combined[Earnings])</f>
        <v>77.680000000000007</v>
      </c>
      <c r="S858" s="11">
        <f ca="1">EarningsPerDay[[#This Row],[Gross Earnings]]-(EarningsPerDay[[#This Row],[Miles]]*CpM!$D$11)</f>
        <v>57.612421663454462</v>
      </c>
      <c r="T858" s="11">
        <f t="shared" si="135"/>
        <v>17.378076062639824</v>
      </c>
      <c r="U858" s="11">
        <f t="shared" ca="1" si="136"/>
        <v>12.888684935895853</v>
      </c>
      <c r="V858" s="11">
        <f>EarningsPerDay[[#This Row],[Gross Earnings]]/EarningsPerDay[[#This Row],[Deliveries]]</f>
        <v>12.946666666666667</v>
      </c>
      <c r="W858" s="11">
        <f>EarningsPerDay[[#This Row],[Gross Earnings]]/EarningsPerDay[[#This Row],[Miles]]</f>
        <v>0.86311111111111116</v>
      </c>
      <c r="X858" s="71">
        <f>EarningsPerDay[[#This Row],[Deliveries]]/EarningsPerDay[[#This Row],[Hours]]</f>
        <v>1.3422818791946309</v>
      </c>
      <c r="Y858" s="71">
        <f>EarningsPerDay[[#This Row],[Miles]]/EarningsPerDay[[#This Row],[Deliveries]]</f>
        <v>15</v>
      </c>
      <c r="Z858" s="81">
        <f>(EarningsPerDay[[#This Row],[Hours]]/EarningsPerDay[[#This Row],[Deliveries]])/24</f>
        <v>3.1041666666666665E-2</v>
      </c>
      <c r="AA85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1.0358129172855719</v>
      </c>
      <c r="AB858" s="11">
        <f>AVERAGEIFS(EarningsPerDay[Gross $/Hour],EarningsPerDay[Week '#], EarningsPerDay[[#This Row],[Week '#]], EarningsPerDay[DOW], EarningsPerDay[[#This Row],[DOW]])</f>
        <v>17.564907579101099</v>
      </c>
      <c r="AC858" s="11">
        <f>EarningsPerDay[[#This Row],[Gross $/Hour]] - EarningsPerDay[[#This Row],[Weekly Average Earnings]]</f>
        <v>-0.18683151646127527</v>
      </c>
      <c r="AD858" s="11">
        <f>(SUMIFS(EarningsPerDay[Gross Earnings], EarningsPerDay[Date],"&gt;="&amp;EarningsPerDay[[#This Row],[Date]]-89, EarningsPerDay[Date], "&lt;="&amp;EarningsPerDay[[#This Row],[Date]]))/90</f>
        <v>50.965000000000003</v>
      </c>
    </row>
    <row r="859" spans="2:30" x14ac:dyDescent="0.35">
      <c r="B859" s="40">
        <v>46046</v>
      </c>
      <c r="C859" s="40">
        <f t="shared" si="121"/>
        <v>46046</v>
      </c>
      <c r="D859" s="4">
        <f>IF(EarningsPerDay[[#This Row],[Week '#]]&gt;=52,YEAR(EarningsPerDay[[#This Row],[Date]])-1,YEAR(EarningsPerDay[[#This Row],[Date]]))</f>
        <v>2026</v>
      </c>
      <c r="E859" s="4" t="str">
        <f>"QTR"&amp;IF(EarningsPerDay[[#This Row],[Week '#]] &lt;= 13, 1, IF(EarningsPerDay[[#This Row],[Week '#]] &lt;= 26, 2, IF(EarningsPerDay[[#This Row],[Week '#]] &lt;= 39, 3, 4)))</f>
        <v>QTR1</v>
      </c>
      <c r="F85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59" s="4">
        <f>IF(WEEKNUM(EarningsPerDay[[#This Row],[Date]], 2) = 53, 1, WEEKNUM(EarningsPerDay[[#This Row],[Date]],2))</f>
        <v>4</v>
      </c>
      <c r="H859" s="40" t="str">
        <f t="shared" si="134"/>
        <v>Saturday</v>
      </c>
      <c r="I859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59" s="40" t="str" cm="1">
        <f t="array" ref="J859">IFERROR(VLOOKUP(MODE(IF(Combined[Date]=EarningsPerDay[[#This Row],[Date]],Combined[Area '#])),KPIs!$B$4:$C$7,2,FALSE),VLOOKUP(EarningsPerDay[[#This Row],[Date]],Combined[[Date]:[Primary Area]],8,FALSE))</f>
        <v>Brunswick/Bath/Freeport</v>
      </c>
      <c r="K859" s="40" t="str">
        <f>_xlfn.XLOOKUP(EarningsPerDay[[#This Row],[Date]],Mileage[Date],Mileage[Weather])</f>
        <v>Clear</v>
      </c>
      <c r="L859" s="4">
        <f>_xlfn.XLOOKUP(EarningsPerDay[[#This Row],[Date]],Mileage[Date],Mileage[Hi Temp])</f>
        <v>16</v>
      </c>
      <c r="M859" s="12">
        <f>_xlfn.XLOOKUP(EarningsPerDay[[#This Row],[Date]],Mileage[Date],Mileage[Total Time])</f>
        <v>4.62</v>
      </c>
      <c r="N859" s="4">
        <f>_xlfn.XLOOKUP(EarningsPerDay[[#This Row],[Date]],Mileage[Date],Mileage[Mileage])</f>
        <v>94</v>
      </c>
      <c r="O859" s="4">
        <f>SUMIF(Combined[Date],EarningsPerDay[[#This Row],[Date]],Combined[Trips])</f>
        <v>8</v>
      </c>
      <c r="P859">
        <f>COUNTIF(Combined[Date],EarningsPerDay[[#This Row],[Date]])</f>
        <v>3</v>
      </c>
      <c r="Q85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59" s="11">
        <f>SUMIF(Combined[Date],EarningsPerDay[[#This Row],[Date]],Combined[Earnings])</f>
        <v>110.41</v>
      </c>
      <c r="S859" s="11">
        <f ca="1">EarningsPerDay[[#This Row],[Gross Earnings]]-(EarningsPerDay[[#This Row],[Miles]]*CpM!$D$11)</f>
        <v>89.450529292941326</v>
      </c>
      <c r="T859" s="11">
        <f t="shared" si="135"/>
        <v>23.898268398268396</v>
      </c>
      <c r="U859" s="11">
        <f t="shared" ca="1" si="136"/>
        <v>19.361586427043576</v>
      </c>
      <c r="V859" s="11">
        <f>EarningsPerDay[[#This Row],[Gross Earnings]]/EarningsPerDay[[#This Row],[Deliveries]]</f>
        <v>13.80125</v>
      </c>
      <c r="W859" s="11">
        <f>EarningsPerDay[[#This Row],[Gross Earnings]]/EarningsPerDay[[#This Row],[Miles]]</f>
        <v>1.1745744680851062</v>
      </c>
      <c r="X859" s="71">
        <f>EarningsPerDay[[#This Row],[Deliveries]]/EarningsPerDay[[#This Row],[Hours]]</f>
        <v>1.7316017316017316</v>
      </c>
      <c r="Y859" s="71">
        <f>EarningsPerDay[[#This Row],[Miles]]/EarningsPerDay[[#This Row],[Deliveries]]</f>
        <v>11.75</v>
      </c>
      <c r="Z859" s="81">
        <f>(EarningsPerDay[[#This Row],[Hours]]/EarningsPerDay[[#This Row],[Deliveries]])/24</f>
        <v>2.4062500000000001E-2</v>
      </c>
      <c r="AA85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-1.8985792201293918</v>
      </c>
      <c r="AB859" s="11">
        <f>AVERAGEIFS(EarningsPerDay[Gross $/Hour],EarningsPerDay[Week '#], EarningsPerDay[[#This Row],[Week '#]], EarningsPerDay[DOW], EarningsPerDay[[#This Row],[DOW]])</f>
        <v>22.487593350400246</v>
      </c>
      <c r="AC859" s="11">
        <f>EarningsPerDay[[#This Row],[Gross $/Hour]] - EarningsPerDay[[#This Row],[Weekly Average Earnings]]</f>
        <v>1.4106750478681498</v>
      </c>
      <c r="AD859" s="11">
        <f>(SUMIFS(EarningsPerDay[Gross Earnings], EarningsPerDay[Date],"&gt;="&amp;EarningsPerDay[[#This Row],[Date]]-89, EarningsPerDay[Date], "&lt;="&amp;EarningsPerDay[[#This Row],[Date]]))/90</f>
        <v>51.494111111111117</v>
      </c>
    </row>
    <row r="860" spans="2:30" x14ac:dyDescent="0.35">
      <c r="B860" s="40">
        <v>46048</v>
      </c>
      <c r="C860" s="40">
        <f t="shared" si="121"/>
        <v>46048</v>
      </c>
      <c r="D860" s="4">
        <f>IF(EarningsPerDay[[#This Row],[Week '#]]&gt;=52,YEAR(EarningsPerDay[[#This Row],[Date]])-1,YEAR(EarningsPerDay[[#This Row],[Date]]))</f>
        <v>2026</v>
      </c>
      <c r="E860" s="4" t="str">
        <f>"QTR"&amp;IF(EarningsPerDay[[#This Row],[Week '#]] &lt;= 13, 1, IF(EarningsPerDay[[#This Row],[Week '#]] &lt;= 26, 2, IF(EarningsPerDay[[#This Row],[Week '#]] &lt;= 39, 3, 4)))</f>
        <v>QTR1</v>
      </c>
      <c r="F86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60" s="4">
        <f>IF(WEEKNUM(EarningsPerDay[[#This Row],[Date]], 2) = 53, 1, WEEKNUM(EarningsPerDay[[#This Row],[Date]],2))</f>
        <v>5</v>
      </c>
      <c r="H860" s="40" t="str">
        <f t="shared" si="134"/>
        <v>Monday</v>
      </c>
      <c r="I860" s="106">
        <f>IF(_xlfn.XLOOKUP(EarningsPerDay[[#This Row],[Date]],Mileage[Date],Mileage[Start Time])="","",MROUND(_xlfn.XLOOKUP(EarningsPerDay[[#This Row],[Date]],Mileage[Date],Mileage[Start Time]),0.0208333333333333))</f>
        <v>0.89583333333333193</v>
      </c>
      <c r="J860" s="40" t="str" cm="1">
        <f t="array" ref="J860">IFERROR(VLOOKUP(MODE(IF(Combined[Date]=EarningsPerDay[[#This Row],[Date]],Combined[Area '#])),KPIs!$B$4:$C$7,2,FALSE),VLOOKUP(EarningsPerDay[[#This Row],[Date]],Combined[[Date]:[Primary Area]],8,FALSE))</f>
        <v>Brunswick/Bath/Freeport</v>
      </c>
      <c r="K860" s="40" t="str">
        <f>_xlfn.XLOOKUP(EarningsPerDay[[#This Row],[Date]],Mileage[Date],Mileage[Weather])</f>
        <v>Light Snow</v>
      </c>
      <c r="L860" s="4">
        <f>_xlfn.XLOOKUP(EarningsPerDay[[#This Row],[Date]],Mileage[Date],Mileage[Hi Temp])</f>
        <v>12</v>
      </c>
      <c r="M860" s="12">
        <f>_xlfn.XLOOKUP(EarningsPerDay[[#This Row],[Date]],Mileage[Date],Mileage[Total Time])</f>
        <v>0.85</v>
      </c>
      <c r="N860" s="4">
        <f>_xlfn.XLOOKUP(EarningsPerDay[[#This Row],[Date]],Mileage[Date],Mileage[Mileage])</f>
        <v>24</v>
      </c>
      <c r="O860" s="4">
        <f>SUMIF(Combined[Date],EarningsPerDay[[#This Row],[Date]],Combined[Trips])</f>
        <v>2</v>
      </c>
      <c r="P860">
        <f>COUNTIF(Combined[Date],EarningsPerDay[[#This Row],[Date]])</f>
        <v>1</v>
      </c>
      <c r="Q86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0" s="11">
        <f>SUMIF(Combined[Date],EarningsPerDay[[#This Row],[Date]],Combined[Earnings])</f>
        <v>21.84</v>
      </c>
      <c r="S860" s="11">
        <f ca="1">EarningsPerDay[[#This Row],[Gross Earnings]]-(EarningsPerDay[[#This Row],[Miles]]*CpM!$D$11)</f>
        <v>16.488645776921189</v>
      </c>
      <c r="T860" s="11">
        <f t="shared" si="135"/>
        <v>25.694117647058825</v>
      </c>
      <c r="U860" s="11">
        <f t="shared" ca="1" si="136"/>
        <v>19.39840679637787</v>
      </c>
      <c r="V860" s="11">
        <f>EarningsPerDay[[#This Row],[Gross Earnings]]/EarningsPerDay[[#This Row],[Deliveries]]</f>
        <v>10.92</v>
      </c>
      <c r="W860" s="11">
        <f>EarningsPerDay[[#This Row],[Gross Earnings]]/EarningsPerDay[[#This Row],[Miles]]</f>
        <v>0.91</v>
      </c>
      <c r="X860" s="71">
        <f>EarningsPerDay[[#This Row],[Deliveries]]/EarningsPerDay[[#This Row],[Hours]]</f>
        <v>2.3529411764705883</v>
      </c>
      <c r="Y860" s="71">
        <f>EarningsPerDay[[#This Row],[Miles]]/EarningsPerDay[[#This Row],[Deliveries]]</f>
        <v>12</v>
      </c>
      <c r="Z860" s="81">
        <f>(EarningsPerDay[[#This Row],[Hours]]/EarningsPerDay[[#This Row],[Deliveries]])/24</f>
        <v>1.7708333333333333E-2</v>
      </c>
      <c r="AA86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0.47680187318848155</v>
      </c>
      <c r="AB860" s="11">
        <f>AVERAGEIFS(EarningsPerDay[Gross $/Hour],EarningsPerDay[Week '#], EarningsPerDay[[#This Row],[Week '#]], EarningsPerDay[DOW], EarningsPerDay[[#This Row],[DOW]])</f>
        <v>23.522058823529413</v>
      </c>
      <c r="AC860" s="11">
        <f>EarningsPerDay[[#This Row],[Gross $/Hour]] - EarningsPerDay[[#This Row],[Weekly Average Earnings]]</f>
        <v>2.1720588235294116</v>
      </c>
      <c r="AD860" s="11">
        <f>(SUMIFS(EarningsPerDay[Gross Earnings], EarningsPerDay[Date],"&gt;="&amp;EarningsPerDay[[#This Row],[Date]]-89, EarningsPerDay[Date], "&lt;="&amp;EarningsPerDay[[#This Row],[Date]]))/90</f>
        <v>48.649888888888896</v>
      </c>
    </row>
    <row r="861" spans="2:30" x14ac:dyDescent="0.35">
      <c r="B861" s="40">
        <v>46054</v>
      </c>
      <c r="C861" s="40">
        <f t="shared" si="121"/>
        <v>46054</v>
      </c>
      <c r="D861" s="4">
        <f>IF(EarningsPerDay[[#This Row],[Week '#]]&gt;=52,YEAR(EarningsPerDay[[#This Row],[Date]])-1,YEAR(EarningsPerDay[[#This Row],[Date]]))</f>
        <v>2026</v>
      </c>
      <c r="E861" s="4" t="str">
        <f>"QTR"&amp;IF(EarningsPerDay[[#This Row],[Week '#]] &lt;= 13, 1, IF(EarningsPerDay[[#This Row],[Week '#]] &lt;= 26, 2, IF(EarningsPerDay[[#This Row],[Week '#]] &lt;= 39, 3, 4)))</f>
        <v>QTR1</v>
      </c>
      <c r="F86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61" s="4">
        <f>IF(WEEKNUM(EarningsPerDay[[#This Row],[Date]], 2) = 53, 1, WEEKNUM(EarningsPerDay[[#This Row],[Date]],2))</f>
        <v>5</v>
      </c>
      <c r="H861" s="40" t="str">
        <f>TEXT(B861,"DDDD")</f>
        <v>Sunday</v>
      </c>
      <c r="I861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61" s="40" t="str" cm="1">
        <f t="array" ref="J861">IFERROR(VLOOKUP(MODE(IF(Combined[Date]=EarningsPerDay[[#This Row],[Date]],Combined[Area '#])),KPIs!$B$4:$C$7,2,FALSE),VLOOKUP(EarningsPerDay[[#This Row],[Date]],Combined[[Date]:[Primary Area]],8,FALSE))</f>
        <v>Brunswick/Bath/Freeport</v>
      </c>
      <c r="K861" s="40" t="str">
        <f>_xlfn.XLOOKUP(EarningsPerDay[[#This Row],[Date]],Mileage[Date],Mileage[Weather])</f>
        <v>Clear</v>
      </c>
      <c r="L861" s="4">
        <f>_xlfn.XLOOKUP(EarningsPerDay[[#This Row],[Date]],Mileage[Date],Mileage[Hi Temp])</f>
        <v>21</v>
      </c>
      <c r="M861" s="12">
        <f>_xlfn.XLOOKUP(EarningsPerDay[[#This Row],[Date]],Mileage[Date],Mileage[Total Time])</f>
        <v>4.4800000000000004</v>
      </c>
      <c r="N861" s="4">
        <f>_xlfn.XLOOKUP(EarningsPerDay[[#This Row],[Date]],Mileage[Date],Mileage[Mileage])</f>
        <v>119</v>
      </c>
      <c r="O861" s="4">
        <f>SUMIF(Combined[Date],EarningsPerDay[[#This Row],[Date]],Combined[Trips])</f>
        <v>7</v>
      </c>
      <c r="P861">
        <f>COUNTIF(Combined[Date],EarningsPerDay[[#This Row],[Date]])</f>
        <v>2</v>
      </c>
      <c r="Q86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1" s="11">
        <f>SUMIF(Combined[Date],EarningsPerDay[[#This Row],[Date]],Combined[Earnings])</f>
        <v>141.75</v>
      </c>
      <c r="S861" s="11">
        <f ca="1">EarningsPerDay[[#This Row],[Gross Earnings]]-(EarningsPerDay[[#This Row],[Miles]]*CpM!$D$11)</f>
        <v>115.21620197723422</v>
      </c>
      <c r="T861" s="11">
        <f>R861/M861</f>
        <v>31.640624999999996</v>
      </c>
      <c r="U861" s="11">
        <f ca="1">S861/M861</f>
        <v>25.717902227061206</v>
      </c>
      <c r="V861" s="11">
        <f>EarningsPerDay[[#This Row],[Gross Earnings]]/EarningsPerDay[[#This Row],[Deliveries]]</f>
        <v>20.25</v>
      </c>
      <c r="W861" s="11">
        <f>EarningsPerDay[[#This Row],[Gross Earnings]]/EarningsPerDay[[#This Row],[Miles]]</f>
        <v>1.1911764705882353</v>
      </c>
      <c r="X861" s="71">
        <f>EarningsPerDay[[#This Row],[Deliveries]]/EarningsPerDay[[#This Row],[Hours]]</f>
        <v>1.5624999999999998</v>
      </c>
      <c r="Y861" s="71">
        <f>EarningsPerDay[[#This Row],[Miles]]/EarningsPerDay[[#This Row],[Deliveries]]</f>
        <v>17</v>
      </c>
      <c r="Z861" s="81">
        <f>(EarningsPerDay[[#This Row],[Hours]]/EarningsPerDay[[#This Row],[Deliveries]])/24</f>
        <v>2.6666666666666668E-2</v>
      </c>
      <c r="AA86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8.0398831765188099</v>
      </c>
      <c r="AB861" s="11">
        <f>AVERAGEIFS(EarningsPerDay[Gross $/Hour],EarningsPerDay[Week '#], EarningsPerDay[[#This Row],[Week '#]], EarningsPerDay[DOW], EarningsPerDay[[#This Row],[DOW]])</f>
        <v>17.667121010638297</v>
      </c>
      <c r="AC861" s="11">
        <f>EarningsPerDay[[#This Row],[Gross $/Hour]] - EarningsPerDay[[#This Row],[Weekly Average Earnings]]</f>
        <v>13.973503989361699</v>
      </c>
      <c r="AD861" s="11">
        <f>(SUMIFS(EarningsPerDay[Gross Earnings], EarningsPerDay[Date],"&gt;="&amp;EarningsPerDay[[#This Row],[Date]]-89, EarningsPerDay[Date], "&lt;="&amp;EarningsPerDay[[#This Row],[Date]]))/90</f>
        <v>45.829444444444441</v>
      </c>
    </row>
    <row r="862" spans="2:30" x14ac:dyDescent="0.35">
      <c r="B862" s="40">
        <v>46066</v>
      </c>
      <c r="C862" s="40">
        <f t="shared" si="121"/>
        <v>46066</v>
      </c>
      <c r="D862" s="4">
        <f>IF(EarningsPerDay[[#This Row],[Week '#]]&gt;=52,YEAR(EarningsPerDay[[#This Row],[Date]])-1,YEAR(EarningsPerDay[[#This Row],[Date]]))</f>
        <v>2026</v>
      </c>
      <c r="E862" s="4" t="str">
        <f>"QTR"&amp;IF(EarningsPerDay[[#This Row],[Week '#]] &lt;= 13, 1, IF(EarningsPerDay[[#This Row],[Week '#]] &lt;= 26, 2, IF(EarningsPerDay[[#This Row],[Week '#]] &lt;= 39, 3, 4)))</f>
        <v>QTR1</v>
      </c>
      <c r="F86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62" s="4">
        <f>IF(WEEKNUM(EarningsPerDay[[#This Row],[Date]], 2) = 53, 1, WEEKNUM(EarningsPerDay[[#This Row],[Date]],2))</f>
        <v>7</v>
      </c>
      <c r="H862" s="40" t="str">
        <f>TEXT(B862,"DDDD")</f>
        <v>Friday</v>
      </c>
      <c r="I862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62" s="40" t="str" cm="1">
        <f t="array" ref="J862">IFERROR(VLOOKUP(MODE(IF(Combined[Date]=EarningsPerDay[[#This Row],[Date]],Combined[Area '#])),KPIs!$B$4:$C$7,2,FALSE),VLOOKUP(EarningsPerDay[[#This Row],[Date]],Combined[[Date]:[Primary Area]],8,FALSE))</f>
        <v>Portland</v>
      </c>
      <c r="K862" s="40" t="str">
        <f>_xlfn.XLOOKUP(EarningsPerDay[[#This Row],[Date]],Mileage[Date],Mileage[Weather])</f>
        <v>Clear</v>
      </c>
      <c r="L862" s="4">
        <f>_xlfn.XLOOKUP(EarningsPerDay[[#This Row],[Date]],Mileage[Date],Mileage[Hi Temp])</f>
        <v>25</v>
      </c>
      <c r="M862" s="12">
        <f>_xlfn.XLOOKUP(EarningsPerDay[[#This Row],[Date]],Mileage[Date],Mileage[Total Time])</f>
        <v>4.33</v>
      </c>
      <c r="N862" s="4">
        <f>_xlfn.XLOOKUP(EarningsPerDay[[#This Row],[Date]],Mileage[Date],Mileage[Mileage])</f>
        <v>131</v>
      </c>
      <c r="O862" s="4">
        <f>SUMIF(Combined[Date],EarningsPerDay[[#This Row],[Date]],Combined[Trips])</f>
        <v>7</v>
      </c>
      <c r="P862">
        <f>COUNTIF(Combined[Date],EarningsPerDay[[#This Row],[Date]])</f>
        <v>3</v>
      </c>
      <c r="Q862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62" s="11">
        <f>SUMIF(Combined[Date],EarningsPerDay[[#This Row],[Date]],Combined[Earnings])</f>
        <v>84.78</v>
      </c>
      <c r="S862" s="11">
        <f ca="1">EarningsPerDay[[#This Row],[Gross Earnings]]-(EarningsPerDay[[#This Row],[Miles]]*CpM!$D$11)</f>
        <v>55.570524865694821</v>
      </c>
      <c r="T862" s="11">
        <f>R862/M862</f>
        <v>19.579676674364897</v>
      </c>
      <c r="U862" s="11">
        <f ca="1">S862/M862</f>
        <v>12.833839460899497</v>
      </c>
      <c r="V862" s="11">
        <f>EarningsPerDay[[#This Row],[Gross Earnings]]/EarningsPerDay[[#This Row],[Deliveries]]</f>
        <v>12.111428571428572</v>
      </c>
      <c r="W862" s="11">
        <f>EarningsPerDay[[#This Row],[Gross Earnings]]/EarningsPerDay[[#This Row],[Miles]]</f>
        <v>0.64717557251908397</v>
      </c>
      <c r="X862" s="71">
        <f>EarningsPerDay[[#This Row],[Deliveries]]/EarningsPerDay[[#This Row],[Hours]]</f>
        <v>1.6166281755196306</v>
      </c>
      <c r="Y862" s="71">
        <f>EarningsPerDay[[#This Row],[Miles]]/EarningsPerDay[[#This Row],[Deliveries]]</f>
        <v>18.714285714285715</v>
      </c>
      <c r="Z862" s="81">
        <f>(EarningsPerDay[[#This Row],[Hours]]/EarningsPerDay[[#This Row],[Deliveries]])/24</f>
        <v>2.5773809523809522E-2</v>
      </c>
      <c r="AA86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-4.6696868904838276</v>
      </c>
      <c r="AB862" s="11">
        <f>AVERAGEIFS(EarningsPerDay[Gross $/Hour],EarningsPerDay[Week '#], EarningsPerDay[[#This Row],[Week '#]], EarningsPerDay[DOW], EarningsPerDay[[#This Row],[DOW]])</f>
        <v>19.487580024714472</v>
      </c>
      <c r="AC862" s="11">
        <f>EarningsPerDay[[#This Row],[Gross $/Hour]] - EarningsPerDay[[#This Row],[Weekly Average Earnings]]</f>
        <v>9.2096649650425633E-2</v>
      </c>
      <c r="AD862" s="11">
        <f>(SUMIFS(EarningsPerDay[Gross Earnings], EarningsPerDay[Date],"&gt;="&amp;EarningsPerDay[[#This Row],[Date]]-89, EarningsPerDay[Date], "&lt;="&amp;EarningsPerDay[[#This Row],[Date]]))/90</f>
        <v>42.180888888888887</v>
      </c>
    </row>
    <row r="863" spans="2:30" x14ac:dyDescent="0.35">
      <c r="B863" s="40">
        <v>46067</v>
      </c>
      <c r="C863" s="40">
        <f t="shared" si="121"/>
        <v>46067</v>
      </c>
      <c r="D863" s="4">
        <f>IF(EarningsPerDay[[#This Row],[Week '#]]&gt;=52,YEAR(EarningsPerDay[[#This Row],[Date]])-1,YEAR(EarningsPerDay[[#This Row],[Date]]))</f>
        <v>2026</v>
      </c>
      <c r="E863" s="4" t="str">
        <f>"QTR"&amp;IF(EarningsPerDay[[#This Row],[Week '#]] &lt;= 13, 1, IF(EarningsPerDay[[#This Row],[Week '#]] &lt;= 26, 2, IF(EarningsPerDay[[#This Row],[Week '#]] &lt;= 39, 3, 4)))</f>
        <v>QTR1</v>
      </c>
      <c r="F86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63" s="4">
        <f>IF(WEEKNUM(EarningsPerDay[[#This Row],[Date]], 2) = 53, 1, WEEKNUM(EarningsPerDay[[#This Row],[Date]],2))</f>
        <v>7</v>
      </c>
      <c r="H863" s="40" t="str">
        <f>TEXT(B863,"DDDD")</f>
        <v>Saturday</v>
      </c>
      <c r="I863" s="106">
        <f>IF(_xlfn.XLOOKUP(EarningsPerDay[[#This Row],[Date]],Mileage[Date],Mileage[Start Time])="","",MROUND(_xlfn.XLOOKUP(EarningsPerDay[[#This Row],[Date]],Mileage[Date],Mileage[Start Time]),0.0208333333333333))</f>
        <v>0.89583333333333193</v>
      </c>
      <c r="J863" s="40" t="str" cm="1">
        <f t="array" ref="J863">IFERROR(VLOOKUP(MODE(IF(Combined[Date]=EarningsPerDay[[#This Row],[Date]],Combined[Area '#])),KPIs!$B$4:$C$7,2,FALSE),VLOOKUP(EarningsPerDay[[#This Row],[Date]],Combined[[Date]:[Primary Area]],8,FALSE))</f>
        <v>Brunswick/Bath/Freeport</v>
      </c>
      <c r="K863" s="40" t="str">
        <f>_xlfn.XLOOKUP(EarningsPerDay[[#This Row],[Date]],Mileage[Date],Mileage[Weather])</f>
        <v>Clear</v>
      </c>
      <c r="L863" s="4">
        <f>_xlfn.XLOOKUP(EarningsPerDay[[#This Row],[Date]],Mileage[Date],Mileage[Hi Temp])</f>
        <v>28</v>
      </c>
      <c r="M863" s="12">
        <f>_xlfn.XLOOKUP(EarningsPerDay[[#This Row],[Date]],Mileage[Date],Mileage[Total Time])</f>
        <v>3.5</v>
      </c>
      <c r="N863" s="4">
        <f>_xlfn.XLOOKUP(EarningsPerDay[[#This Row],[Date]],Mileage[Date],Mileage[Mileage])</f>
        <v>109</v>
      </c>
      <c r="O863" s="4">
        <f>SUMIF(Combined[Date],EarningsPerDay[[#This Row],[Date]],Combined[Trips])</f>
        <v>3</v>
      </c>
      <c r="P863">
        <f>COUNTIF(Combined[Date],EarningsPerDay[[#This Row],[Date]])</f>
        <v>1</v>
      </c>
      <c r="Q86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3" s="11">
        <f>SUMIF(Combined[Date],EarningsPerDay[[#This Row],[Date]],Combined[Earnings])</f>
        <v>60.17</v>
      </c>
      <c r="S863" s="11">
        <f ca="1">EarningsPerDay[[#This Row],[Gross Earnings]]-(EarningsPerDay[[#This Row],[Miles]]*CpM!$D$11)</f>
        <v>35.865932903517063</v>
      </c>
      <c r="T863" s="11">
        <f>R863/M863</f>
        <v>17.19142857142857</v>
      </c>
      <c r="U863" s="11">
        <f ca="1">S863/M863</f>
        <v>10.247409401004875</v>
      </c>
      <c r="V863" s="11">
        <f>EarningsPerDay[[#This Row],[Gross Earnings]]/EarningsPerDay[[#This Row],[Deliveries]]</f>
        <v>20.056666666666668</v>
      </c>
      <c r="W863" s="11">
        <f>EarningsPerDay[[#This Row],[Gross Earnings]]/EarningsPerDay[[#This Row],[Miles]]</f>
        <v>0.55201834862385324</v>
      </c>
      <c r="X863" s="71">
        <f>EarningsPerDay[[#This Row],[Deliveries]]/EarningsPerDay[[#This Row],[Hours]]</f>
        <v>0.8571428571428571</v>
      </c>
      <c r="Y863" s="71">
        <f>EarningsPerDay[[#This Row],[Miles]]/EarningsPerDay[[#This Row],[Deliveries]]</f>
        <v>36.333333333333336</v>
      </c>
      <c r="Z863" s="81">
        <f>(EarningsPerDay[[#This Row],[Hours]]/EarningsPerDay[[#This Row],[Deliveries]])/24</f>
        <v>4.8611111111111112E-2</v>
      </c>
      <c r="AA86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-8.537612646250313</v>
      </c>
      <c r="AB863" s="11">
        <f>AVERAGEIFS(EarningsPerDay[Gross $/Hour],EarningsPerDay[Week '#], EarningsPerDay[[#This Row],[Week '#]], EarningsPerDay[DOW], EarningsPerDay[[#This Row],[DOW]])</f>
        <v>22.316988072985641</v>
      </c>
      <c r="AC863" s="11">
        <f>EarningsPerDay[[#This Row],[Gross $/Hour]] - EarningsPerDay[[#This Row],[Weekly Average Earnings]]</f>
        <v>-5.1255595015570705</v>
      </c>
      <c r="AD863" s="11">
        <f>(SUMIFS(EarningsPerDay[Gross Earnings], EarningsPerDay[Date],"&gt;="&amp;EarningsPerDay[[#This Row],[Date]]-89, EarningsPerDay[Date], "&lt;="&amp;EarningsPerDay[[#This Row],[Date]]))/90</f>
        <v>41.318444444444445</v>
      </c>
    </row>
    <row r="864" spans="2:30" x14ac:dyDescent="0.35">
      <c r="B864" s="40">
        <v>46073</v>
      </c>
      <c r="C864" s="40">
        <f t="shared" si="121"/>
        <v>46073</v>
      </c>
      <c r="D864" s="4">
        <f>IF(EarningsPerDay[[#This Row],[Week '#]]&gt;=52,YEAR(EarningsPerDay[[#This Row],[Date]])-1,YEAR(EarningsPerDay[[#This Row],[Date]]))</f>
        <v>2026</v>
      </c>
      <c r="E864" s="4" t="str">
        <f>"QTR"&amp;IF(EarningsPerDay[[#This Row],[Week '#]] &lt;= 13, 1, IF(EarningsPerDay[[#This Row],[Week '#]] &lt;= 26, 2, IF(EarningsPerDay[[#This Row],[Week '#]] &lt;= 39, 3, 4)))</f>
        <v>QTR1</v>
      </c>
      <c r="F86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64" s="4">
        <f>IF(WEEKNUM(EarningsPerDay[[#This Row],[Date]], 2) = 53, 1, WEEKNUM(EarningsPerDay[[#This Row],[Date]],2))</f>
        <v>8</v>
      </c>
      <c r="H864" s="40" t="str">
        <f>TEXT(B864,"DDDD")</f>
        <v>Friday</v>
      </c>
      <c r="I864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64" s="40" t="str" cm="1">
        <f t="array" ref="J864">IFERROR(VLOOKUP(MODE(IF(Combined[Date]=EarningsPerDay[[#This Row],[Date]],Combined[Area '#])),KPIs!$B$4:$C$7,2,FALSE),VLOOKUP(EarningsPerDay[[#This Row],[Date]],Combined[[Date]:[Primary Area]],8,FALSE))</f>
        <v>Brunswick/Bath/Freeport</v>
      </c>
      <c r="K864" s="40" t="str">
        <f>_xlfn.XLOOKUP(EarningsPerDay[[#This Row],[Date]],Mileage[Date],Mileage[Weather])</f>
        <v>Snow Storm</v>
      </c>
      <c r="L864" s="4">
        <f>_xlfn.XLOOKUP(EarningsPerDay[[#This Row],[Date]],Mileage[Date],Mileage[Hi Temp])</f>
        <v>32</v>
      </c>
      <c r="M864" s="12">
        <f>_xlfn.XLOOKUP(EarningsPerDay[[#This Row],[Date]],Mileage[Date],Mileage[Total Time])</f>
        <v>4.22</v>
      </c>
      <c r="N864" s="4">
        <f>_xlfn.XLOOKUP(EarningsPerDay[[#This Row],[Date]],Mileage[Date],Mileage[Mileage])</f>
        <v>77</v>
      </c>
      <c r="O864" s="4">
        <f>SUMIF(Combined[Date],EarningsPerDay[[#This Row],[Date]],Combined[Trips])</f>
        <v>9</v>
      </c>
      <c r="P864">
        <f>COUNTIF(Combined[Date],EarningsPerDay[[#This Row],[Date]])</f>
        <v>2</v>
      </c>
      <c r="Q86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4" s="11">
        <f>SUMIF(Combined[Date],EarningsPerDay[[#This Row],[Date]],Combined[Earnings])</f>
        <v>169.02</v>
      </c>
      <c r="S864" s="11">
        <f ca="1">EarningsPerDay[[#This Row],[Gross Earnings]]-(EarningsPerDay[[#This Row],[Miles]]*CpM!$D$11)</f>
        <v>151.85107186762215</v>
      </c>
      <c r="T864" s="11">
        <f>R864/M864</f>
        <v>40.052132701421804</v>
      </c>
      <c r="U864" s="11">
        <f ca="1">S864/M864</f>
        <v>35.983666319341744</v>
      </c>
      <c r="V864" s="11">
        <f>EarningsPerDay[[#This Row],[Gross Earnings]]/EarningsPerDay[[#This Row],[Deliveries]]</f>
        <v>18.78</v>
      </c>
      <c r="W864" s="11">
        <f>EarningsPerDay[[#This Row],[Gross Earnings]]/EarningsPerDay[[#This Row],[Miles]]</f>
        <v>2.1950649350649352</v>
      </c>
      <c r="X864" s="71">
        <f>EarningsPerDay[[#This Row],[Deliveries]]/EarningsPerDay[[#This Row],[Hours]]</f>
        <v>2.1327014218009479</v>
      </c>
      <c r="Y864" s="71">
        <f>EarningsPerDay[[#This Row],[Miles]]/EarningsPerDay[[#This Row],[Deliveries]]</f>
        <v>8.5555555555555554</v>
      </c>
      <c r="Z864" s="81">
        <f>(EarningsPerDay[[#This Row],[Hours]]/EarningsPerDay[[#This Row],[Deliveries]])/24</f>
        <v>1.9537037037037037E-2</v>
      </c>
      <c r="AA86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17.577514877348328</v>
      </c>
      <c r="AB864" s="11">
        <f>AVERAGEIFS(EarningsPerDay[Gross $/Hour],EarningsPerDay[Week '#], EarningsPerDay[[#This Row],[Week '#]], EarningsPerDay[DOW], EarningsPerDay[[#This Row],[DOW]])</f>
        <v>27.384712072751245</v>
      </c>
      <c r="AC864" s="11">
        <f>EarningsPerDay[[#This Row],[Gross $/Hour]] - EarningsPerDay[[#This Row],[Weekly Average Earnings]]</f>
        <v>12.667420628670559</v>
      </c>
      <c r="AD864" s="11">
        <f>(SUMIFS(EarningsPerDay[Gross Earnings], EarningsPerDay[Date],"&gt;="&amp;EarningsPerDay[[#This Row],[Date]]-89, EarningsPerDay[Date], "&lt;="&amp;EarningsPerDay[[#This Row],[Date]]))/90</f>
        <v>41.022222222222226</v>
      </c>
    </row>
    <row r="865" spans="2:30" x14ac:dyDescent="0.35">
      <c r="B865" s="40">
        <v>46074</v>
      </c>
      <c r="C865" s="40">
        <f t="shared" si="121"/>
        <v>46074</v>
      </c>
      <c r="D865" s="4">
        <f>IF(EarningsPerDay[[#This Row],[Week '#]]&gt;=52,YEAR(EarningsPerDay[[#This Row],[Date]])-1,YEAR(EarningsPerDay[[#This Row],[Date]]))</f>
        <v>2026</v>
      </c>
      <c r="E865" s="4" t="str">
        <f>"QTR"&amp;IF(EarningsPerDay[[#This Row],[Week '#]] &lt;= 13, 1, IF(EarningsPerDay[[#This Row],[Week '#]] &lt;= 26, 2, IF(EarningsPerDay[[#This Row],[Week '#]] &lt;= 39, 3, 4)))</f>
        <v>QTR1</v>
      </c>
      <c r="F86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65" s="4">
        <f>IF(WEEKNUM(EarningsPerDay[[#This Row],[Date]], 2) = 53, 1, WEEKNUM(EarningsPerDay[[#This Row],[Date]],2))</f>
        <v>8</v>
      </c>
      <c r="H865" s="40" t="str">
        <f t="shared" ref="H865:H866" si="137">TEXT(B865,"DDDD")</f>
        <v>Saturday</v>
      </c>
      <c r="I865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865" s="40" t="str" cm="1">
        <f t="array" ref="J865">IFERROR(VLOOKUP(MODE(IF(Combined[Date]=EarningsPerDay[[#This Row],[Date]],Combined[Area '#])),KPIs!$B$4:$C$7,2,FALSE),VLOOKUP(EarningsPerDay[[#This Row],[Date]],Combined[[Date]:[Primary Area]],8,FALSE))</f>
        <v>Brunswick/Bath/Freeport</v>
      </c>
      <c r="K865" s="40" t="str">
        <f>_xlfn.XLOOKUP(EarningsPerDay[[#This Row],[Date]],Mileage[Date],Mileage[Weather])</f>
        <v>Clear</v>
      </c>
      <c r="L865" s="4">
        <f>_xlfn.XLOOKUP(EarningsPerDay[[#This Row],[Date]],Mileage[Date],Mileage[Hi Temp])</f>
        <v>27</v>
      </c>
      <c r="M865" s="12">
        <f>_xlfn.XLOOKUP(EarningsPerDay[[#This Row],[Date]],Mileage[Date],Mileage[Total Time])</f>
        <v>4.9800000000000004</v>
      </c>
      <c r="N865" s="4">
        <f>_xlfn.XLOOKUP(EarningsPerDay[[#This Row],[Date]],Mileage[Date],Mileage[Mileage])</f>
        <v>122</v>
      </c>
      <c r="O865" s="4">
        <f>SUMIF(Combined[Date],EarningsPerDay[[#This Row],[Date]],Combined[Trips])</f>
        <v>10</v>
      </c>
      <c r="P865">
        <f>COUNTIF(Combined[Date],EarningsPerDay[[#This Row],[Date]])</f>
        <v>1</v>
      </c>
      <c r="Q86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5" s="11">
        <f>SUMIF(Combined[Date],EarningsPerDay[[#This Row],[Date]],Combined[Earnings])</f>
        <v>197.22</v>
      </c>
      <c r="S865" s="11">
        <f ca="1">EarningsPerDay[[#This Row],[Gross Earnings]]-(EarningsPerDay[[#This Row],[Miles]]*CpM!$D$11)</f>
        <v>170.01728269934938</v>
      </c>
      <c r="T865" s="11">
        <f t="shared" ref="T865:T866" si="138">R865/M865</f>
        <v>39.602409638554214</v>
      </c>
      <c r="U865" s="11">
        <f t="shared" ref="U865:U866" ca="1" si="139">S865/M865</f>
        <v>34.140016606295056</v>
      </c>
      <c r="V865" s="11">
        <f>EarningsPerDay[[#This Row],[Gross Earnings]]/EarningsPerDay[[#This Row],[Deliveries]]</f>
        <v>19.722000000000001</v>
      </c>
      <c r="W865" s="11">
        <f>EarningsPerDay[[#This Row],[Gross Earnings]]/EarningsPerDay[[#This Row],[Miles]]</f>
        <v>1.6165573770491803</v>
      </c>
      <c r="X865" s="71">
        <f>EarningsPerDay[[#This Row],[Deliveries]]/EarningsPerDay[[#This Row],[Hours]]</f>
        <v>2.0080321285140559</v>
      </c>
      <c r="Y865" s="71">
        <f>EarningsPerDay[[#This Row],[Miles]]/EarningsPerDay[[#This Row],[Deliveries]]</f>
        <v>12.2</v>
      </c>
      <c r="Z865" s="81">
        <f>(EarningsPerDay[[#This Row],[Hours]]/EarningsPerDay[[#This Row],[Deliveries]])/24</f>
        <v>2.0750000000000001E-2</v>
      </c>
      <c r="AA86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14.167768856952929</v>
      </c>
      <c r="AB865" s="11">
        <f>AVERAGEIFS(EarningsPerDay[Gross $/Hour],EarningsPerDay[Week '#], EarningsPerDay[[#This Row],[Week '#]], EarningsPerDay[DOW], EarningsPerDay[[#This Row],[DOW]])</f>
        <v>29.384048741661168</v>
      </c>
      <c r="AC865" s="11">
        <f>EarningsPerDay[[#This Row],[Gross $/Hour]] - EarningsPerDay[[#This Row],[Weekly Average Earnings]]</f>
        <v>10.218360896893046</v>
      </c>
      <c r="AD865" s="11">
        <f>(SUMIFS(EarningsPerDay[Gross Earnings], EarningsPerDay[Date],"&gt;="&amp;EarningsPerDay[[#This Row],[Date]]-89, EarningsPerDay[Date], "&lt;="&amp;EarningsPerDay[[#This Row],[Date]]))/90</f>
        <v>42.584111111111106</v>
      </c>
    </row>
    <row r="866" spans="2:30" x14ac:dyDescent="0.35">
      <c r="B866" s="40">
        <v>46083</v>
      </c>
      <c r="C866" s="40">
        <f t="shared" si="121"/>
        <v>46083</v>
      </c>
      <c r="D866" s="4">
        <f>IF(EarningsPerDay[[#This Row],[Week '#]]&gt;=52,YEAR(EarningsPerDay[[#This Row],[Date]])-1,YEAR(EarningsPerDay[[#This Row],[Date]]))</f>
        <v>2026</v>
      </c>
      <c r="E866" s="4" t="str">
        <f>"QTR"&amp;IF(EarningsPerDay[[#This Row],[Week '#]] &lt;= 13, 1, IF(EarningsPerDay[[#This Row],[Week '#]] &lt;= 26, 2, IF(EarningsPerDay[[#This Row],[Week '#]] &lt;= 39, 3, 4)))</f>
        <v>QTR1</v>
      </c>
      <c r="F86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66" s="4">
        <f>IF(WEEKNUM(EarningsPerDay[[#This Row],[Date]], 2) = 53, 1, WEEKNUM(EarningsPerDay[[#This Row],[Date]],2))</f>
        <v>10</v>
      </c>
      <c r="H866" s="40" t="str">
        <f t="shared" si="137"/>
        <v>Monday</v>
      </c>
      <c r="I866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66" s="40" t="str" cm="1">
        <f t="array" ref="J866">IFERROR(VLOOKUP(MODE(IF(Combined[Date]=EarningsPerDay[[#This Row],[Date]],Combined[Area '#])),KPIs!$B$4:$C$7,2,FALSE),VLOOKUP(EarningsPerDay[[#This Row],[Date]],Combined[[Date]:[Primary Area]],8,FALSE))</f>
        <v>Brunswick/Bath/Freeport</v>
      </c>
      <c r="K866" s="40" t="str">
        <f>_xlfn.XLOOKUP(EarningsPerDay[[#This Row],[Date]],Mileage[Date],Mileage[Weather])</f>
        <v>Clear</v>
      </c>
      <c r="L866" s="4">
        <f>_xlfn.XLOOKUP(EarningsPerDay[[#This Row],[Date]],Mileage[Date],Mileage[Hi Temp])</f>
        <v>18</v>
      </c>
      <c r="M866" s="12">
        <f>_xlfn.XLOOKUP(EarningsPerDay[[#This Row],[Date]],Mileage[Date],Mileage[Total Time])</f>
        <v>4.87</v>
      </c>
      <c r="N866" s="4">
        <f>_xlfn.XLOOKUP(EarningsPerDay[[#This Row],[Date]],Mileage[Date],Mileage[Mileage])</f>
        <v>111</v>
      </c>
      <c r="O866" s="4">
        <f>SUMIF(Combined[Date],EarningsPerDay[[#This Row],[Date]],Combined[Trips])</f>
        <v>10</v>
      </c>
      <c r="P866">
        <f>COUNTIF(Combined[Date],EarningsPerDay[[#This Row],[Date]])</f>
        <v>1</v>
      </c>
      <c r="Q86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6" s="11">
        <f>SUMIF(Combined[Date],EarningsPerDay[[#This Row],[Date]],Combined[Earnings])</f>
        <v>127.19</v>
      </c>
      <c r="S866" s="11">
        <f ca="1">EarningsPerDay[[#This Row],[Gross Earnings]]-(EarningsPerDay[[#This Row],[Miles]]*CpM!$D$11)</f>
        <v>102.43998671826049</v>
      </c>
      <c r="T866" s="11">
        <f t="shared" si="138"/>
        <v>26.117043121149898</v>
      </c>
      <c r="U866" s="11">
        <f t="shared" ca="1" si="139"/>
        <v>21.034904870279359</v>
      </c>
      <c r="V866" s="11">
        <f>EarningsPerDay[[#This Row],[Gross Earnings]]/EarningsPerDay[[#This Row],[Deliveries]]</f>
        <v>12.718999999999999</v>
      </c>
      <c r="W866" s="11">
        <f>EarningsPerDay[[#This Row],[Gross Earnings]]/EarningsPerDay[[#This Row],[Miles]]</f>
        <v>1.1458558558558558</v>
      </c>
      <c r="X866" s="71">
        <f>EarningsPerDay[[#This Row],[Deliveries]]/EarningsPerDay[[#This Row],[Hours]]</f>
        <v>2.0533880903490758</v>
      </c>
      <c r="Y866" s="71">
        <f>EarningsPerDay[[#This Row],[Miles]]/EarningsPerDay[[#This Row],[Deliveries]]</f>
        <v>11.1</v>
      </c>
      <c r="Z866" s="81">
        <f>(EarningsPerDay[[#This Row],[Hours]]/EarningsPerDay[[#This Row],[Deliveries]])/24</f>
        <v>2.0291666666666666E-2</v>
      </c>
      <c r="AA86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0.87702249617533923</v>
      </c>
      <c r="AB866" s="11">
        <f>AVERAGEIFS(EarningsPerDay[Gross $/Hour],EarningsPerDay[Week '#], EarningsPerDay[[#This Row],[Week '#]], EarningsPerDay[DOW], EarningsPerDay[[#This Row],[DOW]])</f>
        <v>24.199959675578484</v>
      </c>
      <c r="AC866" s="11">
        <f>EarningsPerDay[[#This Row],[Gross $/Hour]] - EarningsPerDay[[#This Row],[Weekly Average Earnings]]</f>
        <v>1.9170834455714143</v>
      </c>
      <c r="AD866" s="11">
        <f>(SUMIFS(EarningsPerDay[Gross Earnings], EarningsPerDay[Date],"&gt;="&amp;EarningsPerDay[[#This Row],[Date]]-89, EarningsPerDay[Date], "&lt;="&amp;EarningsPerDay[[#This Row],[Date]]))/90</f>
        <v>36.47699999999999</v>
      </c>
    </row>
    <row r="867" spans="2:30" x14ac:dyDescent="0.35">
      <c r="B867" s="40">
        <v>46084</v>
      </c>
      <c r="C867" s="40">
        <f t="shared" si="121"/>
        <v>46084</v>
      </c>
      <c r="D867" s="4">
        <f>IF(EarningsPerDay[[#This Row],[Week '#]]&gt;=52,YEAR(EarningsPerDay[[#This Row],[Date]])-1,YEAR(EarningsPerDay[[#This Row],[Date]]))</f>
        <v>2026</v>
      </c>
      <c r="E867" s="4" t="str">
        <f>"QTR"&amp;IF(EarningsPerDay[[#This Row],[Week '#]] &lt;= 13, 1, IF(EarningsPerDay[[#This Row],[Week '#]] &lt;= 26, 2, IF(EarningsPerDay[[#This Row],[Week '#]] &lt;= 39, 3, 4)))</f>
        <v>QTR1</v>
      </c>
      <c r="F86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67" s="4">
        <f>IF(WEEKNUM(EarningsPerDay[[#This Row],[Date]], 2) = 53, 1, WEEKNUM(EarningsPerDay[[#This Row],[Date]],2))</f>
        <v>10</v>
      </c>
      <c r="H867" s="40" t="str">
        <f>TEXT(B867,"DDDD")</f>
        <v>Tuesday</v>
      </c>
      <c r="I867" s="106">
        <f>IF(_xlfn.XLOOKUP(EarningsPerDay[[#This Row],[Date]],Mileage[Date],Mileage[Start Time])="","",MROUND(_xlfn.XLOOKUP(EarningsPerDay[[#This Row],[Date]],Mileage[Date],Mileage[Start Time]),0.0208333333333333))</f>
        <v>0.91666666666666519</v>
      </c>
      <c r="J867" s="40" t="str" cm="1">
        <f t="array" ref="J867">IFERROR(VLOOKUP(MODE(IF(Combined[Date]=EarningsPerDay[[#This Row],[Date]],Combined[Area '#])),KPIs!$B$4:$C$7,2,FALSE),VLOOKUP(EarningsPerDay[[#This Row],[Date]],Combined[[Date]:[Primary Area]],8,FALSE))</f>
        <v>Lewiston</v>
      </c>
      <c r="K867" s="40" t="str">
        <f>_xlfn.XLOOKUP(EarningsPerDay[[#This Row],[Date]],Mileage[Date],Mileage[Weather])</f>
        <v>Snow Storm</v>
      </c>
      <c r="L867" s="4">
        <f>_xlfn.XLOOKUP(EarningsPerDay[[#This Row],[Date]],Mileage[Date],Mileage[Hi Temp])</f>
        <v>28</v>
      </c>
      <c r="M867" s="12">
        <f>_xlfn.XLOOKUP(EarningsPerDay[[#This Row],[Date]],Mileage[Date],Mileage[Total Time])</f>
        <v>2.33</v>
      </c>
      <c r="N867" s="4">
        <f>_xlfn.XLOOKUP(EarningsPerDay[[#This Row],[Date]],Mileage[Date],Mileage[Mileage])</f>
        <v>23</v>
      </c>
      <c r="O867" s="4">
        <f>SUMIF(Combined[Date],EarningsPerDay[[#This Row],[Date]],Combined[Trips])</f>
        <v>8</v>
      </c>
      <c r="P867">
        <f>COUNTIF(Combined[Date],EarningsPerDay[[#This Row],[Date]])</f>
        <v>1</v>
      </c>
      <c r="Q86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7" s="11">
        <f>SUMIF(Combined[Date],EarningsPerDay[[#This Row],[Date]],Combined[Earnings])</f>
        <v>49.5</v>
      </c>
      <c r="S867" s="11">
        <f ca="1">EarningsPerDay[[#This Row],[Gross Earnings]]-(EarningsPerDay[[#This Row],[Miles]]*CpM!$D$11)</f>
        <v>44.371618869549472</v>
      </c>
      <c r="T867" s="11">
        <f>R867/M867</f>
        <v>21.244635193133046</v>
      </c>
      <c r="U867" s="11">
        <f ca="1">S867/M867</f>
        <v>19.043613248733678</v>
      </c>
      <c r="V867" s="11">
        <f>EarningsPerDay[[#This Row],[Gross Earnings]]/EarningsPerDay[[#This Row],[Deliveries]]</f>
        <v>6.1875</v>
      </c>
      <c r="W867" s="11">
        <f>EarningsPerDay[[#This Row],[Gross Earnings]]/EarningsPerDay[[#This Row],[Miles]]</f>
        <v>2.152173913043478</v>
      </c>
      <c r="X867" s="71">
        <f>EarningsPerDay[[#This Row],[Deliveries]]/EarningsPerDay[[#This Row],[Hours]]</f>
        <v>3.4334763948497855</v>
      </c>
      <c r="Y867" s="71">
        <f>EarningsPerDay[[#This Row],[Miles]]/EarningsPerDay[[#This Row],[Deliveries]]</f>
        <v>2.875</v>
      </c>
      <c r="Z867" s="81">
        <f>(EarningsPerDay[[#This Row],[Hours]]/EarningsPerDay[[#This Row],[Deliveries]])/24</f>
        <v>1.2135416666666668E-2</v>
      </c>
      <c r="AA86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1.2188588231054815</v>
      </c>
      <c r="AB867" s="11">
        <f>AVERAGEIFS(EarningsPerDay[Gross $/Hour],EarningsPerDay[Week '#], EarningsPerDay[[#This Row],[Week '#]], EarningsPerDay[DOW], EarningsPerDay[[#This Row],[DOW]])</f>
        <v>20.790663442097699</v>
      </c>
      <c r="AC867" s="11">
        <f>EarningsPerDay[[#This Row],[Gross $/Hour]] - EarningsPerDay[[#This Row],[Weekly Average Earnings]]</f>
        <v>0.45397175103534693</v>
      </c>
      <c r="AD867" s="11">
        <f>(SUMIFS(EarningsPerDay[Gross Earnings], EarningsPerDay[Date],"&gt;="&amp;EarningsPerDay[[#This Row],[Date]]-89, EarningsPerDay[Date], "&lt;="&amp;EarningsPerDay[[#This Row],[Date]]))/90</f>
        <v>36.365222222222215</v>
      </c>
    </row>
    <row r="868" spans="2:30" x14ac:dyDescent="0.35">
      <c r="B868" s="40">
        <v>46087</v>
      </c>
      <c r="C868" s="40">
        <f t="shared" si="121"/>
        <v>46087</v>
      </c>
      <c r="D868" s="4">
        <f>IF(EarningsPerDay[[#This Row],[Week '#]]&gt;=52,YEAR(EarningsPerDay[[#This Row],[Date]])-1,YEAR(EarningsPerDay[[#This Row],[Date]]))</f>
        <v>2026</v>
      </c>
      <c r="E868" s="4" t="str">
        <f>"QTR"&amp;IF(EarningsPerDay[[#This Row],[Week '#]] &lt;= 13, 1, IF(EarningsPerDay[[#This Row],[Week '#]] &lt;= 26, 2, IF(EarningsPerDay[[#This Row],[Week '#]] &lt;= 39, 3, 4)))</f>
        <v>QTR1</v>
      </c>
      <c r="F86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10</v>
      </c>
      <c r="G868" s="4">
        <f>IF(WEEKNUM(EarningsPerDay[[#This Row],[Date]], 2) = 53, 1, WEEKNUM(EarningsPerDay[[#This Row],[Date]],2))</f>
        <v>10</v>
      </c>
      <c r="H868" s="40" t="str">
        <f>TEXT(B868,"DDDD")</f>
        <v>Friday</v>
      </c>
      <c r="I868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68" s="40" t="str" cm="1">
        <f t="array" ref="J868">IFERROR(VLOOKUP(MODE(IF(Combined[Date]=EarningsPerDay[[#This Row],[Date]],Combined[Area '#])),KPIs!$B$4:$C$7,2,FALSE),VLOOKUP(EarningsPerDay[[#This Row],[Date]],Combined[[Date]:[Primary Area]],8,FALSE))</f>
        <v>Brunswick/Bath/Freeport</v>
      </c>
      <c r="K868" s="40" t="str">
        <f>_xlfn.XLOOKUP(EarningsPerDay[[#This Row],[Date]],Mileage[Date],Mileage[Weather])</f>
        <v>Mostly Cloudy</v>
      </c>
      <c r="L868" s="4">
        <f>_xlfn.XLOOKUP(EarningsPerDay[[#This Row],[Date]],Mileage[Date],Mileage[Hi Temp])</f>
        <v>32</v>
      </c>
      <c r="M868" s="12">
        <f>_xlfn.XLOOKUP(EarningsPerDay[[#This Row],[Date]],Mileage[Date],Mileage[Total Time])</f>
        <v>3.1</v>
      </c>
      <c r="N868" s="4">
        <f>_xlfn.XLOOKUP(EarningsPerDay[[#This Row],[Date]],Mileage[Date],Mileage[Mileage])</f>
        <v>70</v>
      </c>
      <c r="O868" s="4">
        <f>SUMIF(Combined[Date],EarningsPerDay[[#This Row],[Date]],Combined[Trips])</f>
        <v>7</v>
      </c>
      <c r="P868">
        <f>COUNTIF(Combined[Date],EarningsPerDay[[#This Row],[Date]])</f>
        <v>2</v>
      </c>
      <c r="Q868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68" s="11">
        <f>SUMIF(Combined[Date],EarningsPerDay[[#This Row],[Date]],Combined[Earnings])</f>
        <v>80.22</v>
      </c>
      <c r="S868" s="11">
        <f ca="1">EarningsPerDay[[#This Row],[Gross Earnings]]-(EarningsPerDay[[#This Row],[Miles]]*CpM!$D$11)</f>
        <v>64.611883516020129</v>
      </c>
      <c r="T868" s="11">
        <f>R868/M868</f>
        <v>25.877419354838707</v>
      </c>
      <c r="U868" s="11">
        <f ca="1">S868/M868</f>
        <v>20.842543069683913</v>
      </c>
      <c r="V868" s="11">
        <f>EarningsPerDay[[#This Row],[Gross Earnings]]/EarningsPerDay[[#This Row],[Deliveries]]</f>
        <v>11.459999999999999</v>
      </c>
      <c r="W868" s="11">
        <f>EarningsPerDay[[#This Row],[Gross Earnings]]/EarningsPerDay[[#This Row],[Miles]]</f>
        <v>1.1459999999999999</v>
      </c>
      <c r="X868" s="71">
        <f>EarningsPerDay[[#This Row],[Deliveries]]/EarningsPerDay[[#This Row],[Hours]]</f>
        <v>2.258064516129032</v>
      </c>
      <c r="Y868" s="71">
        <f>EarningsPerDay[[#This Row],[Miles]]/EarningsPerDay[[#This Row],[Deliveries]]</f>
        <v>10</v>
      </c>
      <c r="Z868" s="81">
        <f>(EarningsPerDay[[#This Row],[Hours]]/EarningsPerDay[[#This Row],[Deliveries]])/24</f>
        <v>1.8452380952380953E-2</v>
      </c>
      <c r="AA86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1.6450500430303983</v>
      </c>
      <c r="AB868" s="11">
        <f>AVERAGEIFS(EarningsPerDay[Gross $/Hour],EarningsPerDay[Week '#], EarningsPerDay[[#This Row],[Week '#]], EarningsPerDay[DOW], EarningsPerDay[[#This Row],[DOW]])</f>
        <v>31.220108445914899</v>
      </c>
      <c r="AC868" s="11">
        <f>EarningsPerDay[[#This Row],[Gross $/Hour]] - EarningsPerDay[[#This Row],[Weekly Average Earnings]]</f>
        <v>-5.3426890910761919</v>
      </c>
      <c r="AD868" s="11">
        <f>(SUMIFS(EarningsPerDay[Gross Earnings], EarningsPerDay[Date],"&gt;="&amp;EarningsPerDay[[#This Row],[Date]]-89, EarningsPerDay[Date], "&lt;="&amp;EarningsPerDay[[#This Row],[Date]]))/90</f>
        <v>35.62555555555555</v>
      </c>
    </row>
    <row r="869" spans="2:30" x14ac:dyDescent="0.35">
      <c r="B869" s="40">
        <v>46091</v>
      </c>
      <c r="C869" s="40">
        <f t="shared" si="121"/>
        <v>46091</v>
      </c>
      <c r="D869" s="4">
        <f>IF(EarningsPerDay[[#This Row],[Week '#]]&gt;=52,YEAR(EarningsPerDay[[#This Row],[Date]])-1,YEAR(EarningsPerDay[[#This Row],[Date]]))</f>
        <v>2026</v>
      </c>
      <c r="E869" s="4" t="str">
        <f>"QTR"&amp;IF(EarningsPerDay[[#This Row],[Week '#]] &lt;= 13, 1, IF(EarningsPerDay[[#This Row],[Week '#]] &lt;= 26, 2, IF(EarningsPerDay[[#This Row],[Week '#]] &lt;= 39, 3, 4)))</f>
        <v>QTR1</v>
      </c>
      <c r="F86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69" s="4">
        <f>IF(WEEKNUM(EarningsPerDay[[#This Row],[Date]], 2) = 53, 1, WEEKNUM(EarningsPerDay[[#This Row],[Date]],2))</f>
        <v>11</v>
      </c>
      <c r="H869" s="40" t="str">
        <f>TEXT(B869,"DDDD")</f>
        <v>Tuesday</v>
      </c>
      <c r="I869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69" s="40" t="str" cm="1">
        <f t="array" ref="J869">IFERROR(VLOOKUP(MODE(IF(Combined[Date]=EarningsPerDay[[#This Row],[Date]],Combined[Area '#])),KPIs!$B$4:$C$7,2,FALSE),VLOOKUP(EarningsPerDay[[#This Row],[Date]],Combined[[Date]:[Primary Area]],8,FALSE))</f>
        <v>Portland</v>
      </c>
      <c r="K869" s="40" t="str">
        <f>_xlfn.XLOOKUP(EarningsPerDay[[#This Row],[Date]],Mileage[Date],Mileage[Weather])</f>
        <v>Partially Cloudy</v>
      </c>
      <c r="L869" s="4">
        <f>_xlfn.XLOOKUP(EarningsPerDay[[#This Row],[Date]],Mileage[Date],Mileage[Hi Temp])</f>
        <v>50</v>
      </c>
      <c r="M869" s="12">
        <f>_xlfn.XLOOKUP(EarningsPerDay[[#This Row],[Date]],Mileage[Date],Mileage[Total Time])</f>
        <v>4.05</v>
      </c>
      <c r="N869" s="4">
        <f>_xlfn.XLOOKUP(EarningsPerDay[[#This Row],[Date]],Mileage[Date],Mileage[Mileage])</f>
        <v>74</v>
      </c>
      <c r="O869" s="4">
        <f>SUMIF(Combined[Date],EarningsPerDay[[#This Row],[Date]],Combined[Trips])</f>
        <v>6</v>
      </c>
      <c r="P869">
        <f>COUNTIF(Combined[Date],EarningsPerDay[[#This Row],[Date]])</f>
        <v>2</v>
      </c>
      <c r="Q86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69" s="11">
        <f>SUMIF(Combined[Date],EarningsPerDay[[#This Row],[Date]],Combined[Earnings])</f>
        <v>134.34</v>
      </c>
      <c r="S869" s="11">
        <f ca="1">EarningsPerDay[[#This Row],[Gross Earnings]]-(EarningsPerDay[[#This Row],[Miles]]*CpM!$D$11)</f>
        <v>117.839991145507</v>
      </c>
      <c r="T869" s="11">
        <f>R869/M869</f>
        <v>33.170370370370371</v>
      </c>
      <c r="U869" s="11">
        <f ca="1">S869/M869</f>
        <v>29.096294110001729</v>
      </c>
      <c r="V869" s="11">
        <f>EarningsPerDay[[#This Row],[Gross Earnings]]/EarningsPerDay[[#This Row],[Deliveries]]</f>
        <v>22.39</v>
      </c>
      <c r="W869" s="11">
        <f>EarningsPerDay[[#This Row],[Gross Earnings]]/EarningsPerDay[[#This Row],[Miles]]</f>
        <v>1.8154054054054054</v>
      </c>
      <c r="X869" s="71">
        <f>EarningsPerDay[[#This Row],[Deliveries]]/EarningsPerDay[[#This Row],[Hours]]</f>
        <v>1.4814814814814816</v>
      </c>
      <c r="Y869" s="71">
        <f>EarningsPerDay[[#This Row],[Miles]]/EarningsPerDay[[#This Row],[Deliveries]]</f>
        <v>12.333333333333334</v>
      </c>
      <c r="Z869" s="81">
        <f>(EarningsPerDay[[#This Row],[Hours]]/EarningsPerDay[[#This Row],[Deliveries]])/24</f>
        <v>2.8124999999999997E-2</v>
      </c>
      <c r="AA86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16.486193616201458</v>
      </c>
      <c r="AB869" s="11">
        <f>AVERAGEIFS(EarningsPerDay[Gross $/Hour],EarningsPerDay[Week '#], EarningsPerDay[[#This Row],[Week '#]], EarningsPerDay[DOW], EarningsPerDay[[#This Row],[DOW]])</f>
        <v>32.707806934860422</v>
      </c>
      <c r="AC869" s="11">
        <f>EarningsPerDay[[#This Row],[Gross $/Hour]] - EarningsPerDay[[#This Row],[Weekly Average Earnings]]</f>
        <v>0.46256343550994927</v>
      </c>
      <c r="AD869" s="11">
        <f>(SUMIFS(EarningsPerDay[Gross Earnings], EarningsPerDay[Date],"&gt;="&amp;EarningsPerDay[[#This Row],[Date]]-89, EarningsPerDay[Date], "&lt;="&amp;EarningsPerDay[[#This Row],[Date]]))/90</f>
        <v>31.678111111111107</v>
      </c>
    </row>
    <row r="870" spans="2:30" x14ac:dyDescent="0.35">
      <c r="B870" s="40">
        <v>46094</v>
      </c>
      <c r="C870" s="40">
        <f t="shared" si="121"/>
        <v>46094</v>
      </c>
      <c r="D870" s="4">
        <f>IF(EarningsPerDay[[#This Row],[Week '#]]&gt;=52,YEAR(EarningsPerDay[[#This Row],[Date]])-1,YEAR(EarningsPerDay[[#This Row],[Date]]))</f>
        <v>2026</v>
      </c>
      <c r="E870" s="4" t="str">
        <f>"QTR"&amp;IF(EarningsPerDay[[#This Row],[Week '#]] &lt;= 13, 1, IF(EarningsPerDay[[#This Row],[Week '#]] &lt;= 26, 2, IF(EarningsPerDay[[#This Row],[Week '#]] &lt;= 39, 3, 4)))</f>
        <v>QTR1</v>
      </c>
      <c r="F87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11</v>
      </c>
      <c r="G870" s="4">
        <f>IF(WEEKNUM(EarningsPerDay[[#This Row],[Date]], 2) = 53, 1, WEEKNUM(EarningsPerDay[[#This Row],[Date]],2))</f>
        <v>11</v>
      </c>
      <c r="H870" s="40" t="str">
        <f>TEXT(B870,"DDDD")</f>
        <v>Friday</v>
      </c>
      <c r="I870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70" s="40" t="str" cm="1">
        <f t="array" ref="J870">IFERROR(VLOOKUP(MODE(IF(Combined[Date]=EarningsPerDay[[#This Row],[Date]],Combined[Area '#])),KPIs!$B$4:$C$7,2,FALSE),VLOOKUP(EarningsPerDay[[#This Row],[Date]],Combined[[Date]:[Primary Area]],8,FALSE))</f>
        <v>Brunswick/Bath/Freeport</v>
      </c>
      <c r="K870" s="40" t="str">
        <f>_xlfn.XLOOKUP(EarningsPerDay[[#This Row],[Date]],Mileage[Date],Mileage[Weather])</f>
        <v>Overcast</v>
      </c>
      <c r="L870" s="4">
        <f>_xlfn.XLOOKUP(EarningsPerDay[[#This Row],[Date]],Mileage[Date],Mileage[Hi Temp])</f>
        <v>34</v>
      </c>
      <c r="M870" s="12">
        <f>_xlfn.XLOOKUP(EarningsPerDay[[#This Row],[Date]],Mileage[Date],Mileage[Total Time])</f>
        <v>3.97</v>
      </c>
      <c r="N870" s="4">
        <f>_xlfn.XLOOKUP(EarningsPerDay[[#This Row],[Date]],Mileage[Date],Mileage[Mileage])</f>
        <v>124</v>
      </c>
      <c r="O870" s="4">
        <f>SUMIF(Combined[Date],EarningsPerDay[[#This Row],[Date]],Combined[Trips])</f>
        <v>6</v>
      </c>
      <c r="P870">
        <f>COUNTIF(Combined[Date],EarningsPerDay[[#This Row],[Date]])</f>
        <v>3</v>
      </c>
      <c r="Q870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70" s="11">
        <f>SUMIF(Combined[Date],EarningsPerDay[[#This Row],[Date]],Combined[Earnings])</f>
        <v>96.46</v>
      </c>
      <c r="S870" s="11">
        <f ca="1">EarningsPerDay[[#This Row],[Gross Earnings]]-(EarningsPerDay[[#This Row],[Miles]]*CpM!$D$11)</f>
        <v>68.811336514092801</v>
      </c>
      <c r="T870" s="11">
        <f>R870/M870</f>
        <v>24.297229219143574</v>
      </c>
      <c r="U870" s="11">
        <f ca="1">S870/M870</f>
        <v>17.332830356194659</v>
      </c>
      <c r="V870" s="11">
        <f>EarningsPerDay[[#This Row],[Gross Earnings]]/EarningsPerDay[[#This Row],[Deliveries]]</f>
        <v>16.076666666666664</v>
      </c>
      <c r="W870" s="11">
        <f>EarningsPerDay[[#This Row],[Gross Earnings]]/EarningsPerDay[[#This Row],[Miles]]</f>
        <v>0.77790322580645155</v>
      </c>
      <c r="X870" s="71">
        <f>EarningsPerDay[[#This Row],[Deliveries]]/EarningsPerDay[[#This Row],[Hours]]</f>
        <v>1.5113350125944585</v>
      </c>
      <c r="Y870" s="71">
        <f>EarningsPerDay[[#This Row],[Miles]]/EarningsPerDay[[#This Row],[Deliveries]]</f>
        <v>20.666666666666668</v>
      </c>
      <c r="Z870" s="81">
        <f>(EarningsPerDay[[#This Row],[Hours]]/EarningsPerDay[[#This Row],[Deliveries]])/24</f>
        <v>2.7569444444444448E-2</v>
      </c>
      <c r="AA87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-8.4690096576590435E-2</v>
      </c>
      <c r="AB870" s="11">
        <f>AVERAGEIFS(EarningsPerDay[Gross $/Hour],EarningsPerDay[Week '#], EarningsPerDay[[#This Row],[Week '#]], EarningsPerDay[DOW], EarningsPerDay[[#This Row],[DOW]])</f>
        <v>20.505198983639957</v>
      </c>
      <c r="AC870" s="11">
        <f>EarningsPerDay[[#This Row],[Gross $/Hour]] - EarningsPerDay[[#This Row],[Weekly Average Earnings]]</f>
        <v>3.7920302355036171</v>
      </c>
      <c r="AD870" s="11">
        <f>(SUMIFS(EarningsPerDay[Gross Earnings], EarningsPerDay[Date],"&gt;="&amp;EarningsPerDay[[#This Row],[Date]]-89, EarningsPerDay[Date], "&lt;="&amp;EarningsPerDay[[#This Row],[Date]]))/90</f>
        <v>28.043666666666663</v>
      </c>
    </row>
    <row r="871" spans="2:30" x14ac:dyDescent="0.35">
      <c r="B871" s="40">
        <v>46098</v>
      </c>
      <c r="C871" s="40">
        <f t="shared" si="121"/>
        <v>46098</v>
      </c>
      <c r="D871" s="4">
        <f>IF(EarningsPerDay[[#This Row],[Week '#]]&gt;=52,YEAR(EarningsPerDay[[#This Row],[Date]])-1,YEAR(EarningsPerDay[[#This Row],[Date]]))</f>
        <v>2026</v>
      </c>
      <c r="E871" s="4" t="str">
        <f>"QTR"&amp;IF(EarningsPerDay[[#This Row],[Week '#]] &lt;= 13, 1, IF(EarningsPerDay[[#This Row],[Week '#]] &lt;= 26, 2, IF(EarningsPerDay[[#This Row],[Week '#]] &lt;= 39, 3, 4)))</f>
        <v>QTR1</v>
      </c>
      <c r="F87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12</v>
      </c>
      <c r="G871" s="4">
        <f>IF(WEEKNUM(EarningsPerDay[[#This Row],[Date]], 2) = 53, 1, WEEKNUM(EarningsPerDay[[#This Row],[Date]],2))</f>
        <v>12</v>
      </c>
      <c r="H871" s="40" t="str">
        <f t="shared" ref="H871:H872" si="140">TEXT(B871,"DDDD")</f>
        <v>Tuesday</v>
      </c>
      <c r="I871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871" s="40" t="str" cm="1">
        <f t="array" ref="J871">IFERROR(VLOOKUP(MODE(IF(Combined[Date]=EarningsPerDay[[#This Row],[Date]],Combined[Area '#])),KPIs!$B$4:$C$7,2,FALSE),VLOOKUP(EarningsPerDay[[#This Row],[Date]],Combined[[Date]:[Primary Area]],8,FALSE))</f>
        <v>Brunswick/Bath/Freeport</v>
      </c>
      <c r="K871" s="40" t="str">
        <f>_xlfn.XLOOKUP(EarningsPerDay[[#This Row],[Date]],Mileage[Date],Mileage[Weather])</f>
        <v>Clear</v>
      </c>
      <c r="L871" s="4">
        <f>_xlfn.XLOOKUP(EarningsPerDay[[#This Row],[Date]],Mileage[Date],Mileage[Hi Temp])</f>
        <v>34</v>
      </c>
      <c r="M871" s="12">
        <f>_xlfn.XLOOKUP(EarningsPerDay[[#This Row],[Date]],Mileage[Date],Mileage[Total Time])</f>
        <v>3.75</v>
      </c>
      <c r="N871" s="4">
        <f>_xlfn.XLOOKUP(EarningsPerDay[[#This Row],[Date]],Mileage[Date],Mileage[Mileage])</f>
        <v>105</v>
      </c>
      <c r="O871" s="4">
        <f>SUMIF(Combined[Date],EarningsPerDay[[#This Row],[Date]],Combined[Trips])</f>
        <v>4</v>
      </c>
      <c r="P871">
        <f>COUNTIF(Combined[Date],EarningsPerDay[[#This Row],[Date]])</f>
        <v>2</v>
      </c>
      <c r="Q87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1" s="11">
        <f>SUMIF(Combined[Date],EarningsPerDay[[#This Row],[Date]],Combined[Earnings])</f>
        <v>72.069999999999993</v>
      </c>
      <c r="S871" s="11">
        <f ca="1">EarningsPerDay[[#This Row],[Gross Earnings]]-(EarningsPerDay[[#This Row],[Miles]]*CpM!$D$11)</f>
        <v>48.657825274030188</v>
      </c>
      <c r="T871" s="11">
        <f t="shared" ref="T871:T872" si="141">R871/M871</f>
        <v>19.218666666666664</v>
      </c>
      <c r="U871" s="11">
        <f t="shared" ref="U871:U872" ca="1" si="142">S871/M871</f>
        <v>12.975420073074718</v>
      </c>
      <c r="V871" s="11">
        <f>EarningsPerDay[[#This Row],[Gross Earnings]]/EarningsPerDay[[#This Row],[Deliveries]]</f>
        <v>18.017499999999998</v>
      </c>
      <c r="W871" s="11">
        <f>EarningsPerDay[[#This Row],[Gross Earnings]]/EarningsPerDay[[#This Row],[Miles]]</f>
        <v>0.68638095238095231</v>
      </c>
      <c r="X871" s="71">
        <f>EarningsPerDay[[#This Row],[Deliveries]]/EarningsPerDay[[#This Row],[Hours]]</f>
        <v>1.0666666666666667</v>
      </c>
      <c r="Y871" s="71">
        <f>EarningsPerDay[[#This Row],[Miles]]/EarningsPerDay[[#This Row],[Deliveries]]</f>
        <v>26.25</v>
      </c>
      <c r="Z871" s="81">
        <f>(EarningsPerDay[[#This Row],[Hours]]/EarningsPerDay[[#This Row],[Deliveries]])/24</f>
        <v>3.90625E-2</v>
      </c>
      <c r="AA87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-7.3910630729076914</v>
      </c>
      <c r="AB871" s="11">
        <f>AVERAGEIFS(EarningsPerDay[Gross $/Hour],EarningsPerDay[Week '#], EarningsPerDay[[#This Row],[Week '#]], EarningsPerDay[DOW], EarningsPerDay[[#This Row],[DOW]])</f>
        <v>23.708191000470212</v>
      </c>
      <c r="AC871" s="11">
        <f>EarningsPerDay[[#This Row],[Gross $/Hour]] - EarningsPerDay[[#This Row],[Weekly Average Earnings]]</f>
        <v>-4.4895243338035478</v>
      </c>
      <c r="AD871" s="11">
        <f>(SUMIFS(EarningsPerDay[Gross Earnings], EarningsPerDay[Date],"&gt;="&amp;EarningsPerDay[[#This Row],[Date]]-89, EarningsPerDay[Date], "&lt;="&amp;EarningsPerDay[[#This Row],[Date]]))/90</f>
        <v>26.127444444444446</v>
      </c>
    </row>
    <row r="872" spans="2:30" x14ac:dyDescent="0.35">
      <c r="B872" s="40">
        <v>46106</v>
      </c>
      <c r="C872" s="40">
        <f t="shared" si="121"/>
        <v>46106</v>
      </c>
      <c r="D872" s="4">
        <f>IF(EarningsPerDay[[#This Row],[Week '#]]&gt;=52,YEAR(EarningsPerDay[[#This Row],[Date]])-1,YEAR(EarningsPerDay[[#This Row],[Date]]))</f>
        <v>2026</v>
      </c>
      <c r="E872" s="4" t="str">
        <f>"QTR"&amp;IF(EarningsPerDay[[#This Row],[Week '#]] &lt;= 13, 1, IF(EarningsPerDay[[#This Row],[Week '#]] &lt;= 26, 2, IF(EarningsPerDay[[#This Row],[Week '#]] &lt;= 39, 3, 4)))</f>
        <v>QTR1</v>
      </c>
      <c r="F87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872" s="4">
        <f>IF(WEEKNUM(EarningsPerDay[[#This Row],[Date]], 2) = 53, 1, WEEKNUM(EarningsPerDay[[#This Row],[Date]],2))</f>
        <v>13</v>
      </c>
      <c r="H872" s="40" t="str">
        <f t="shared" si="140"/>
        <v>Wednesday</v>
      </c>
      <c r="I872" s="106">
        <f>IF(_xlfn.XLOOKUP(EarningsPerDay[[#This Row],[Date]],Mileage[Date],Mileage[Start Time])="","",MROUND(_xlfn.XLOOKUP(EarningsPerDay[[#This Row],[Date]],Mileage[Date],Mileage[Start Time]),0.0208333333333333))</f>
        <v>0.77083333333333215</v>
      </c>
      <c r="J872" s="40" t="str" cm="1">
        <f t="array" ref="J872">IFERROR(VLOOKUP(MODE(IF(Combined[Date]=EarningsPerDay[[#This Row],[Date]],Combined[Area '#])),KPIs!$B$4:$C$7,2,FALSE),VLOOKUP(EarningsPerDay[[#This Row],[Date]],Combined[[Date]:[Primary Area]],8,FALSE))</f>
        <v>Brunswick/Bath/Freeport</v>
      </c>
      <c r="K872" s="40" t="str">
        <f>_xlfn.XLOOKUP(EarningsPerDay[[#This Row],[Date]],Mileage[Date],Mileage[Weather])</f>
        <v>Clear</v>
      </c>
      <c r="L872" s="4">
        <f>_xlfn.XLOOKUP(EarningsPerDay[[#This Row],[Date]],Mileage[Date],Mileage[Hi Temp])</f>
        <v>41</v>
      </c>
      <c r="M872" s="12">
        <f>_xlfn.XLOOKUP(EarningsPerDay[[#This Row],[Date]],Mileage[Date],Mileage[Total Time])</f>
        <v>4.75</v>
      </c>
      <c r="N872" s="4">
        <f>_xlfn.XLOOKUP(EarningsPerDay[[#This Row],[Date]],Mileage[Date],Mileage[Mileage])</f>
        <v>102</v>
      </c>
      <c r="O872" s="4">
        <f>SUMIF(Combined[Date],EarningsPerDay[[#This Row],[Date]],Combined[Trips])</f>
        <v>7</v>
      </c>
      <c r="P872">
        <f>COUNTIF(Combined[Date],EarningsPerDay[[#This Row],[Date]])</f>
        <v>3</v>
      </c>
      <c r="Q87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2" s="11">
        <f>SUMIF(Combined[Date],EarningsPerDay[[#This Row],[Date]],Combined[Earnings])</f>
        <v>114.73</v>
      </c>
      <c r="S872" s="11">
        <f ca="1">EarningsPerDay[[#This Row],[Gross Earnings]]-(EarningsPerDay[[#This Row],[Miles]]*CpM!$D$11)</f>
        <v>91.986744551915052</v>
      </c>
      <c r="T872" s="11">
        <f t="shared" si="141"/>
        <v>24.153684210526318</v>
      </c>
      <c r="U872" s="11">
        <f t="shared" ca="1" si="142"/>
        <v>19.365630431982115</v>
      </c>
      <c r="V872" s="11">
        <f>EarningsPerDay[[#This Row],[Gross Earnings]]/EarningsPerDay[[#This Row],[Deliveries]]</f>
        <v>16.39</v>
      </c>
      <c r="W872" s="11">
        <f>EarningsPerDay[[#This Row],[Gross Earnings]]/EarningsPerDay[[#This Row],[Miles]]</f>
        <v>1.1248039215686274</v>
      </c>
      <c r="X872" s="71">
        <f>EarningsPerDay[[#This Row],[Deliveries]]/EarningsPerDay[[#This Row],[Hours]]</f>
        <v>1.4736842105263157</v>
      </c>
      <c r="Y872" s="71">
        <f>EarningsPerDay[[#This Row],[Miles]]/EarningsPerDay[[#This Row],[Deliveries]]</f>
        <v>14.571428571428571</v>
      </c>
      <c r="Z872" s="81">
        <f>(EarningsPerDay[[#This Row],[Hours]]/EarningsPerDay[[#This Row],[Deliveries]])/24</f>
        <v>2.8273809523809524E-2</v>
      </c>
      <c r="AA87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-2.1319613949015022</v>
      </c>
      <c r="AB872" s="11">
        <f>AVERAGEIFS(EarningsPerDay[Gross $/Hour],EarningsPerDay[Week '#], EarningsPerDay[[#This Row],[Week '#]], EarningsPerDay[DOW], EarningsPerDay[[#This Row],[DOW]])</f>
        <v>32.352077622229814</v>
      </c>
      <c r="AC872" s="11">
        <f>EarningsPerDay[[#This Row],[Gross $/Hour]] - EarningsPerDay[[#This Row],[Weekly Average Earnings]]</f>
        <v>-8.1983934117034956</v>
      </c>
      <c r="AD872" s="11">
        <f>(SUMIFS(EarningsPerDay[Gross Earnings], EarningsPerDay[Date],"&gt;="&amp;EarningsPerDay[[#This Row],[Date]]-89, EarningsPerDay[Date], "&lt;="&amp;EarningsPerDay[[#This Row],[Date]]))/90</f>
        <v>24.95</v>
      </c>
    </row>
    <row r="873" spans="2:30" x14ac:dyDescent="0.35">
      <c r="B873" s="40">
        <v>46107</v>
      </c>
      <c r="C873" s="40">
        <f t="shared" si="121"/>
        <v>46107</v>
      </c>
      <c r="D873" s="4">
        <f>IF(EarningsPerDay[[#This Row],[Week '#]]&gt;=52,YEAR(EarningsPerDay[[#This Row],[Date]])-1,YEAR(EarningsPerDay[[#This Row],[Date]]))</f>
        <v>2026</v>
      </c>
      <c r="E873" s="4" t="str">
        <f>"QTR"&amp;IF(EarningsPerDay[[#This Row],[Week '#]] &lt;= 13, 1, IF(EarningsPerDay[[#This Row],[Week '#]] &lt;= 26, 2, IF(EarningsPerDay[[#This Row],[Week '#]] &lt;= 39, 3, 4)))</f>
        <v>QTR1</v>
      </c>
      <c r="F87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13</v>
      </c>
      <c r="G873" s="4">
        <f>IF(WEEKNUM(EarningsPerDay[[#This Row],[Date]], 2) = 53, 1, WEEKNUM(EarningsPerDay[[#This Row],[Date]],2))</f>
        <v>13</v>
      </c>
      <c r="H873" s="40" t="str">
        <f>TEXT(B873,"DDDD")</f>
        <v>Thursday</v>
      </c>
      <c r="I873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873" s="40" t="str" cm="1">
        <f t="array" ref="J873">IFERROR(VLOOKUP(MODE(IF(Combined[Date]=EarningsPerDay[[#This Row],[Date]],Combined[Area '#])),KPIs!$B$4:$C$7,2,FALSE),VLOOKUP(EarningsPerDay[[#This Row],[Date]],Combined[[Date]:[Primary Area]],8,FALSE))</f>
        <v>Brunswick/Bath/Freeport</v>
      </c>
      <c r="K873" s="40" t="str">
        <f>_xlfn.XLOOKUP(EarningsPerDay[[#This Row],[Date]],Mileage[Date],Mileage[Weather])</f>
        <v>Mostly Cloudy</v>
      </c>
      <c r="L873" s="4">
        <f>_xlfn.XLOOKUP(EarningsPerDay[[#This Row],[Date]],Mileage[Date],Mileage[Hi Temp])</f>
        <v>45</v>
      </c>
      <c r="M873" s="12">
        <f>_xlfn.XLOOKUP(EarningsPerDay[[#This Row],[Date]],Mileage[Date],Mileage[Total Time])</f>
        <v>4.38</v>
      </c>
      <c r="N873" s="4">
        <f>_xlfn.XLOOKUP(EarningsPerDay[[#This Row],[Date]],Mileage[Date],Mileage[Mileage])</f>
        <v>105</v>
      </c>
      <c r="O873" s="4">
        <f>SUMIF(Combined[Date],EarningsPerDay[[#This Row],[Date]],Combined[Trips])</f>
        <v>8</v>
      </c>
      <c r="P873">
        <f>COUNTIF(Combined[Date],EarningsPerDay[[#This Row],[Date]])</f>
        <v>2</v>
      </c>
      <c r="Q873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73" s="11">
        <f>SUMIF(Combined[Date],EarningsPerDay[[#This Row],[Date]],Combined[Earnings])</f>
        <v>99.3</v>
      </c>
      <c r="S873" s="11">
        <f ca="1">EarningsPerDay[[#This Row],[Gross Earnings]]-(EarningsPerDay[[#This Row],[Miles]]*CpM!$D$11)</f>
        <v>75.887825274030192</v>
      </c>
      <c r="T873" s="11">
        <f>R873/M873</f>
        <v>22.671232876712327</v>
      </c>
      <c r="U873" s="11">
        <f ca="1">S873/M873</f>
        <v>17.325987505486346</v>
      </c>
      <c r="V873" s="11">
        <f>EarningsPerDay[[#This Row],[Gross Earnings]]/EarningsPerDay[[#This Row],[Deliveries]]</f>
        <v>12.4125</v>
      </c>
      <c r="W873" s="11">
        <f>EarningsPerDay[[#This Row],[Gross Earnings]]/EarningsPerDay[[#This Row],[Miles]]</f>
        <v>0.94571428571428573</v>
      </c>
      <c r="X873" s="71">
        <f>EarningsPerDay[[#This Row],[Deliveries]]/EarningsPerDay[[#This Row],[Hours]]</f>
        <v>1.8264840182648403</v>
      </c>
      <c r="Y873" s="71">
        <f>EarningsPerDay[[#This Row],[Miles]]/EarningsPerDay[[#This Row],[Deliveries]]</f>
        <v>13.125</v>
      </c>
      <c r="Z873" s="81">
        <f>(EarningsPerDay[[#This Row],[Hours]]/EarningsPerDay[[#This Row],[Deliveries]])/24</f>
        <v>2.2812499999999999E-2</v>
      </c>
      <c r="AA87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2.5862166423517721</v>
      </c>
      <c r="AB873" s="11">
        <f>AVERAGEIFS(EarningsPerDay[Gross $/Hour],EarningsPerDay[Week '#], EarningsPerDay[[#This Row],[Week '#]], EarningsPerDay[DOW], EarningsPerDay[[#This Row],[DOW]])</f>
        <v>22.100489612644736</v>
      </c>
      <c r="AC873" s="11">
        <f>EarningsPerDay[[#This Row],[Gross $/Hour]] - EarningsPerDay[[#This Row],[Weekly Average Earnings]]</f>
        <v>0.57074326406759113</v>
      </c>
      <c r="AD873" s="11">
        <f>(SUMIFS(EarningsPerDay[Gross Earnings], EarningsPerDay[Date],"&gt;="&amp;EarningsPerDay[[#This Row],[Date]]-89, EarningsPerDay[Date], "&lt;="&amp;EarningsPerDay[[#This Row],[Date]]))/90</f>
        <v>26.053333333333335</v>
      </c>
    </row>
    <row r="874" spans="2:30" x14ac:dyDescent="0.35">
      <c r="B874" s="40">
        <v>46126</v>
      </c>
      <c r="C874" s="40">
        <f t="shared" si="121"/>
        <v>46126</v>
      </c>
      <c r="D874" s="4">
        <f>IF(EarningsPerDay[[#This Row],[Week '#]]&gt;=52,YEAR(EarningsPerDay[[#This Row],[Date]])-1,YEAR(EarningsPerDay[[#This Row],[Date]]))</f>
        <v>2026</v>
      </c>
      <c r="E874" s="4" t="str">
        <f>"QTR"&amp;IF(EarningsPerDay[[#This Row],[Week '#]] &lt;= 13, 1, IF(EarningsPerDay[[#This Row],[Week '#]] &lt;= 26, 2, IF(EarningsPerDay[[#This Row],[Week '#]] &lt;= 39, 3, 4)))</f>
        <v>QTR2</v>
      </c>
      <c r="F87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3</v>
      </c>
      <c r="G874" s="4">
        <f>IF(WEEKNUM(EarningsPerDay[[#This Row],[Date]], 2) = 53, 1, WEEKNUM(EarningsPerDay[[#This Row],[Date]],2))</f>
        <v>16</v>
      </c>
      <c r="H874" s="40" t="str">
        <f>TEXT(B874,"DDDD")</f>
        <v>Tuesday</v>
      </c>
      <c r="I874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874" s="40" t="str" cm="1">
        <f t="array" ref="J874">IFERROR(VLOOKUP(MODE(IF(Combined[Date]=EarningsPerDay[[#This Row],[Date]],Combined[Area '#])),KPIs!$B$4:$C$7,2,FALSE),VLOOKUP(EarningsPerDay[[#This Row],[Date]],Combined[[Date]:[Primary Area]],8,FALSE))</f>
        <v>Brunswick/Bath/Freeport</v>
      </c>
      <c r="K874" s="40" t="str">
        <f>_xlfn.XLOOKUP(EarningsPerDay[[#This Row],[Date]],Mileage[Date],Mileage[Weather])</f>
        <v>Fog</v>
      </c>
      <c r="L874" s="4">
        <f>_xlfn.XLOOKUP(EarningsPerDay[[#This Row],[Date]],Mileage[Date],Mileage[Hi Temp])</f>
        <v>54</v>
      </c>
      <c r="M874" s="12">
        <f>_xlfn.XLOOKUP(EarningsPerDay[[#This Row],[Date]],Mileage[Date],Mileage[Total Time])</f>
        <v>3.12</v>
      </c>
      <c r="N874" s="4">
        <f>_xlfn.XLOOKUP(EarningsPerDay[[#This Row],[Date]],Mileage[Date],Mileage[Mileage])</f>
        <v>47</v>
      </c>
      <c r="O874" s="4">
        <f>SUMIF(Combined[Date],EarningsPerDay[[#This Row],[Date]],Combined[Trips])</f>
        <v>8</v>
      </c>
      <c r="P874">
        <f>COUNTIF(Combined[Date],EarningsPerDay[[#This Row],[Date]])</f>
        <v>1</v>
      </c>
      <c r="Q874" s="71" t="str">
        <f>IF((SUMIFS(Combined[Earnings],Combined[Date],EarningsPerDay[[#This Row],[Date]],Combined[Type],"Hourly"))&gt;SUMIFS(Combined[Earnings],Combined[Date],EarningsPerDay[[#This Row],[Date]],Combined[Type],"Order"),"Hourly","Order")</f>
        <v>Hourly</v>
      </c>
      <c r="R874" s="11">
        <f>SUMIF(Combined[Date],EarningsPerDay[[#This Row],[Date]],Combined[Earnings])</f>
        <v>56.55</v>
      </c>
      <c r="S874" s="11">
        <f ca="1">EarningsPerDay[[#This Row],[Gross Earnings]]-(EarningsPerDay[[#This Row],[Miles]]*CpM!$D$11)</f>
        <v>46.070264646470662</v>
      </c>
      <c r="T874" s="11">
        <f>R874/M874</f>
        <v>18.125</v>
      </c>
      <c r="U874" s="11">
        <f ca="1">S874/M874</f>
        <v>14.766110463612391</v>
      </c>
      <c r="V874" s="11">
        <f>EarningsPerDay[[#This Row],[Gross Earnings]]/EarningsPerDay[[#This Row],[Deliveries]]</f>
        <v>7.0687499999999996</v>
      </c>
      <c r="W874" s="11">
        <f>EarningsPerDay[[#This Row],[Gross Earnings]]/EarningsPerDay[[#This Row],[Miles]]</f>
        <v>1.2031914893617022</v>
      </c>
      <c r="X874" s="71">
        <f>EarningsPerDay[[#This Row],[Deliveries]]/EarningsPerDay[[#This Row],[Hours]]</f>
        <v>2.5641025641025639</v>
      </c>
      <c r="Y874" s="71">
        <f>EarningsPerDay[[#This Row],[Miles]]/EarningsPerDay[[#This Row],[Deliveries]]</f>
        <v>5.875</v>
      </c>
      <c r="Z874" s="81">
        <f>(EarningsPerDay[[#This Row],[Hours]]/EarningsPerDay[[#This Row],[Deliveries]])/24</f>
        <v>1.6250000000000001E-2</v>
      </c>
      <c r="AA87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-3.7832885141330443</v>
      </c>
      <c r="AB874" s="11">
        <f>AVERAGEIFS(EarningsPerDay[Gross $/Hour],EarningsPerDay[Week '#], EarningsPerDay[[#This Row],[Week '#]], EarningsPerDay[DOW], EarningsPerDay[[#This Row],[DOW]])</f>
        <v>16.999891304347827</v>
      </c>
      <c r="AC874" s="11">
        <f>EarningsPerDay[[#This Row],[Gross $/Hour]] - EarningsPerDay[[#This Row],[Weekly Average Earnings]]</f>
        <v>1.1251086956521732</v>
      </c>
      <c r="AD874" s="11">
        <f>(SUMIFS(EarningsPerDay[Gross Earnings], EarningsPerDay[Date],"&gt;="&amp;EarningsPerDay[[#This Row],[Date]]-89, EarningsPerDay[Date], "&lt;="&amp;EarningsPerDay[[#This Row],[Date]]))/90</f>
        <v>22.256666666666664</v>
      </c>
    </row>
    <row r="875" spans="2:30" x14ac:dyDescent="0.35">
      <c r="B875" s="40">
        <v>46134</v>
      </c>
      <c r="C875" s="40">
        <f t="shared" si="121"/>
        <v>46134</v>
      </c>
      <c r="D875" s="4">
        <f>IF(EarningsPerDay[[#This Row],[Week '#]]&gt;=52,YEAR(EarningsPerDay[[#This Row],[Date]])-1,YEAR(EarningsPerDay[[#This Row],[Date]]))</f>
        <v>2026</v>
      </c>
      <c r="E875" s="4" t="str">
        <f>"QTR"&amp;IF(EarningsPerDay[[#This Row],[Week '#]] &lt;= 13, 1, IF(EarningsPerDay[[#This Row],[Week '#]] &lt;= 26, 2, IF(EarningsPerDay[[#This Row],[Week '#]] &lt;= 39, 3, 4)))</f>
        <v>QTR2</v>
      </c>
      <c r="F875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75" s="4">
        <f>IF(WEEKNUM(EarningsPerDay[[#This Row],[Date]], 2) = 53, 1, WEEKNUM(EarningsPerDay[[#This Row],[Date]],2))</f>
        <v>17</v>
      </c>
      <c r="H875" s="40" t="str">
        <f>TEXT(B875,"DDDD")</f>
        <v>Wednesday</v>
      </c>
      <c r="I875" s="106">
        <f>IF(_xlfn.XLOOKUP(EarningsPerDay[[#This Row],[Date]],Mileage[Date],Mileage[Start Time])="","",MROUND(_xlfn.XLOOKUP(EarningsPerDay[[#This Row],[Date]],Mileage[Date],Mileage[Start Time]),0.0208333333333333))</f>
        <v>0.79166666666666541</v>
      </c>
      <c r="J875" s="40" t="str" cm="1">
        <f t="array" ref="J875">IFERROR(VLOOKUP(MODE(IF(Combined[Date]=EarningsPerDay[[#This Row],[Date]],Combined[Area '#])),KPIs!$B$4:$C$7,2,FALSE),VLOOKUP(EarningsPerDay[[#This Row],[Date]],Combined[[Date]:[Primary Area]],8,FALSE))</f>
        <v>Lewiston</v>
      </c>
      <c r="K875" s="40" t="str">
        <f>_xlfn.XLOOKUP(EarningsPerDay[[#This Row],[Date]],Mileage[Date],Mileage[Weather])</f>
        <v>Overcast</v>
      </c>
      <c r="L875" s="4">
        <f>_xlfn.XLOOKUP(EarningsPerDay[[#This Row],[Date]],Mileage[Date],Mileage[Hi Temp])</f>
        <v>43</v>
      </c>
      <c r="M875" s="12">
        <f>_xlfn.XLOOKUP(EarningsPerDay[[#This Row],[Date]],Mileage[Date],Mileage[Total Time])</f>
        <v>4.7300000000000004</v>
      </c>
      <c r="N875" s="4">
        <f>_xlfn.XLOOKUP(EarningsPerDay[[#This Row],[Date]],Mileage[Date],Mileage[Mileage])</f>
        <v>72</v>
      </c>
      <c r="O875" s="4">
        <f>SUMIF(Combined[Date],EarningsPerDay[[#This Row],[Date]],Combined[Trips])</f>
        <v>9</v>
      </c>
      <c r="P875">
        <f>COUNTIF(Combined[Date],EarningsPerDay[[#This Row],[Date]])</f>
        <v>2</v>
      </c>
      <c r="Q875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5" s="11">
        <f>SUMIF(Combined[Date],EarningsPerDay[[#This Row],[Date]],Combined[Earnings])</f>
        <v>205.57</v>
      </c>
      <c r="S875" s="11">
        <f ca="1">EarningsPerDay[[#This Row],[Gross Earnings]]-(EarningsPerDay[[#This Row],[Miles]]*CpM!$D$11)</f>
        <v>189.51593733076356</v>
      </c>
      <c r="T875" s="11">
        <f>R875/M875</f>
        <v>43.460887949260034</v>
      </c>
      <c r="U875" s="11">
        <f ca="1">S875/M875</f>
        <v>40.066794361683627</v>
      </c>
      <c r="V875" s="11">
        <f>EarningsPerDay[[#This Row],[Gross Earnings]]/EarningsPerDay[[#This Row],[Deliveries]]</f>
        <v>22.841111111111111</v>
      </c>
      <c r="W875" s="11">
        <f>EarningsPerDay[[#This Row],[Gross Earnings]]/EarningsPerDay[[#This Row],[Miles]]</f>
        <v>2.8551388888888889</v>
      </c>
      <c r="X875" s="71">
        <f>EarningsPerDay[[#This Row],[Deliveries]]/EarningsPerDay[[#This Row],[Hours]]</f>
        <v>1.9027484143763211</v>
      </c>
      <c r="Y875" s="71">
        <f>EarningsPerDay[[#This Row],[Miles]]/EarningsPerDay[[#This Row],[Deliveries]]</f>
        <v>8</v>
      </c>
      <c r="Z875" s="81">
        <f>(EarningsPerDay[[#This Row],[Hours]]/EarningsPerDay[[#This Row],[Deliveries]])/24</f>
        <v>2.1898148148148149E-2</v>
      </c>
      <c r="AA875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23.756326948341723</v>
      </c>
      <c r="AB875" s="11">
        <f>AVERAGEIFS(EarningsPerDay[Gross $/Hour],EarningsPerDay[Week '#], EarningsPerDay[[#This Row],[Week '#]], EarningsPerDay[DOW], EarningsPerDay[[#This Row],[DOW]])</f>
        <v>29.968200278941691</v>
      </c>
      <c r="AC875" s="11">
        <f>EarningsPerDay[[#This Row],[Gross $/Hour]] - EarningsPerDay[[#This Row],[Weekly Average Earnings]]</f>
        <v>13.492687670318343</v>
      </c>
      <c r="AD875" s="11">
        <f>(SUMIFS(EarningsPerDay[Gross Earnings], EarningsPerDay[Date],"&gt;="&amp;EarningsPerDay[[#This Row],[Date]]-89, EarningsPerDay[Date], "&lt;="&amp;EarningsPerDay[[#This Row],[Date]]))/90</f>
        <v>20.234666666666666</v>
      </c>
    </row>
    <row r="876" spans="2:30" x14ac:dyDescent="0.35">
      <c r="B876" s="40">
        <v>46136</v>
      </c>
      <c r="C876" s="40">
        <f t="shared" si="121"/>
        <v>46136</v>
      </c>
      <c r="D876" s="4">
        <f>IF(EarningsPerDay[[#This Row],[Week '#]]&gt;=52,YEAR(EarningsPerDay[[#This Row],[Date]])-1,YEAR(EarningsPerDay[[#This Row],[Date]]))</f>
        <v>2026</v>
      </c>
      <c r="E876" s="4" t="str">
        <f>"QTR"&amp;IF(EarningsPerDay[[#This Row],[Week '#]] &lt;= 13, 1, IF(EarningsPerDay[[#This Row],[Week '#]] &lt;= 26, 2, IF(EarningsPerDay[[#This Row],[Week '#]] &lt;= 39, 3, 4)))</f>
        <v>QTR2</v>
      </c>
      <c r="F876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4</v>
      </c>
      <c r="G876" s="4">
        <f>IF(WEEKNUM(EarningsPerDay[[#This Row],[Date]], 2) = 53, 1, WEEKNUM(EarningsPerDay[[#This Row],[Date]],2))</f>
        <v>17</v>
      </c>
      <c r="H876" s="40" t="str">
        <f>TEXT(B876,"DDDD")</f>
        <v>Friday</v>
      </c>
      <c r="I876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76" s="40" t="str" cm="1">
        <f t="array" ref="J876">IFERROR(VLOOKUP(MODE(IF(Combined[Date]=EarningsPerDay[[#This Row],[Date]],Combined[Area '#])),KPIs!$B$4:$C$7,2,FALSE),VLOOKUP(EarningsPerDay[[#This Row],[Date]],Combined[[Date]:[Primary Area]],8,FALSE))</f>
        <v>Lewiston</v>
      </c>
      <c r="K876" s="40" t="str">
        <f>_xlfn.XLOOKUP(EarningsPerDay[[#This Row],[Date]],Mileage[Date],Mileage[Weather])</f>
        <v>Overcast</v>
      </c>
      <c r="L876" s="4">
        <f>_xlfn.XLOOKUP(EarningsPerDay[[#This Row],[Date]],Mileage[Date],Mileage[Hi Temp])</f>
        <v>46</v>
      </c>
      <c r="M876" s="12">
        <f>_xlfn.XLOOKUP(EarningsPerDay[[#This Row],[Date]],Mileage[Date],Mileage[Total Time])</f>
        <v>7.17</v>
      </c>
      <c r="N876" s="4">
        <f>_xlfn.XLOOKUP(EarningsPerDay[[#This Row],[Date]],Mileage[Date],Mileage[Mileage])</f>
        <v>107</v>
      </c>
      <c r="O876" s="4">
        <f>SUMIF(Combined[Date],EarningsPerDay[[#This Row],[Date]],Combined[Trips])</f>
        <v>18</v>
      </c>
      <c r="P876">
        <f>COUNTIF(Combined[Date],EarningsPerDay[[#This Row],[Date]])</f>
        <v>3</v>
      </c>
      <c r="Q876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6" s="11">
        <f>SUMIF(Combined[Date],EarningsPerDay[[#This Row],[Date]],Combined[Earnings])</f>
        <v>325.67999999999995</v>
      </c>
      <c r="S876" s="11">
        <f ca="1">EarningsPerDay[[#This Row],[Gross Earnings]]-(EarningsPerDay[[#This Row],[Miles]]*CpM!$D$11)</f>
        <v>301.82187908877358</v>
      </c>
      <c r="T876" s="11">
        <f>R876/M876</f>
        <v>45.422594142259406</v>
      </c>
      <c r="U876" s="11">
        <f ca="1">S876/M876</f>
        <v>42.095101686021422</v>
      </c>
      <c r="V876" s="11">
        <f>EarningsPerDay[[#This Row],[Gross Earnings]]/EarningsPerDay[[#This Row],[Deliveries]]</f>
        <v>18.09333333333333</v>
      </c>
      <c r="W876" s="11">
        <f>EarningsPerDay[[#This Row],[Gross Earnings]]/EarningsPerDay[[#This Row],[Miles]]</f>
        <v>3.043738317757009</v>
      </c>
      <c r="X876" s="71">
        <f>EarningsPerDay[[#This Row],[Deliveries]]/EarningsPerDay[[#This Row],[Hours]]</f>
        <v>2.510460251046025</v>
      </c>
      <c r="Y876" s="71">
        <f>EarningsPerDay[[#This Row],[Miles]]/EarningsPerDay[[#This Row],[Deliveries]]</f>
        <v>5.9444444444444446</v>
      </c>
      <c r="Z876" s="81">
        <f>(EarningsPerDay[[#This Row],[Hours]]/EarningsPerDay[[#This Row],[Deliveries]])/24</f>
        <v>1.6597222222222222E-2</v>
      </c>
      <c r="AA876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25.530164735441904</v>
      </c>
      <c r="AB876" s="11">
        <f>AVERAGEIFS(EarningsPerDay[Gross $/Hour],EarningsPerDay[Week '#], EarningsPerDay[[#This Row],[Week '#]], EarningsPerDay[DOW], EarningsPerDay[[#This Row],[DOW]])</f>
        <v>27.058394201331158</v>
      </c>
      <c r="AC876" s="11">
        <f>EarningsPerDay[[#This Row],[Gross $/Hour]] - EarningsPerDay[[#This Row],[Weekly Average Earnings]]</f>
        <v>18.364199940928248</v>
      </c>
      <c r="AD876" s="11">
        <f>(SUMIFS(EarningsPerDay[Gross Earnings], EarningsPerDay[Date],"&gt;="&amp;EarningsPerDay[[#This Row],[Date]]-89, EarningsPerDay[Date], "&lt;="&amp;EarningsPerDay[[#This Row],[Date]]))/90</f>
        <v>22.626555555555555</v>
      </c>
    </row>
    <row r="877" spans="2:30" x14ac:dyDescent="0.35">
      <c r="B877" s="40">
        <v>46141</v>
      </c>
      <c r="C877" s="40">
        <f t="shared" si="121"/>
        <v>46141</v>
      </c>
      <c r="D877" s="4">
        <f>IF(EarningsPerDay[[#This Row],[Week '#]]&gt;=52,YEAR(EarningsPerDay[[#This Row],[Date]])-1,YEAR(EarningsPerDay[[#This Row],[Date]]))</f>
        <v>2026</v>
      </c>
      <c r="E877" s="4" t="str">
        <f>"QTR"&amp;IF(EarningsPerDay[[#This Row],[Week '#]] &lt;= 13, 1, IF(EarningsPerDay[[#This Row],[Week '#]] &lt;= 26, 2, IF(EarningsPerDay[[#This Row],[Week '#]] &lt;= 39, 3, 4)))</f>
        <v>QTR2</v>
      </c>
      <c r="F877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5</v>
      </c>
      <c r="G877" s="4">
        <f>IF(WEEKNUM(EarningsPerDay[[#This Row],[Date]], 2) = 53, 1, WEEKNUM(EarningsPerDay[[#This Row],[Date]],2))</f>
        <v>18</v>
      </c>
      <c r="H877" s="40" t="str">
        <f t="shared" ref="H877:H878" si="143">TEXT(B877,"DDDD")</f>
        <v>Wednesday</v>
      </c>
      <c r="I877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77" s="40" t="str" cm="1">
        <f t="array" ref="J877">IFERROR(VLOOKUP(MODE(IF(Combined[Date]=EarningsPerDay[[#This Row],[Date]],Combined[Area '#])),KPIs!$B$4:$C$7,2,FALSE),VLOOKUP(EarningsPerDay[[#This Row],[Date]],Combined[[Date]:[Primary Area]],8,FALSE))</f>
        <v>Lewiston</v>
      </c>
      <c r="K877" s="40" t="str">
        <f>_xlfn.XLOOKUP(EarningsPerDay[[#This Row],[Date]],Mileage[Date],Mileage[Weather])</f>
        <v>Light Rain</v>
      </c>
      <c r="L877" s="4">
        <f>_xlfn.XLOOKUP(EarningsPerDay[[#This Row],[Date]],Mileage[Date],Mileage[Hi Temp])</f>
        <v>48</v>
      </c>
      <c r="M877" s="12">
        <f>_xlfn.XLOOKUP(EarningsPerDay[[#This Row],[Date]],Mileage[Date],Mileage[Total Time])</f>
        <v>5.47</v>
      </c>
      <c r="N877" s="4">
        <f>_xlfn.XLOOKUP(EarningsPerDay[[#This Row],[Date]],Mileage[Date],Mileage[Mileage])</f>
        <v>87</v>
      </c>
      <c r="O877" s="4">
        <f>SUMIF(Combined[Date],EarningsPerDay[[#This Row],[Date]],Combined[Trips])</f>
        <v>13</v>
      </c>
      <c r="P877">
        <f>COUNTIF(Combined[Date],EarningsPerDay[[#This Row],[Date]])</f>
        <v>2</v>
      </c>
      <c r="Q877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7" s="11">
        <f>SUMIF(Combined[Date],EarningsPerDay[[#This Row],[Date]],Combined[Earnings])</f>
        <v>122.88</v>
      </c>
      <c r="S877" s="11">
        <f ca="1">EarningsPerDay[[#This Row],[Gross Earnings]]-(EarningsPerDay[[#This Row],[Miles]]*CpM!$D$11)</f>
        <v>103.4813409413393</v>
      </c>
      <c r="T877" s="11">
        <f t="shared" ref="T877:T878" si="144">R877/M877</f>
        <v>22.46435100548446</v>
      </c>
      <c r="U877" s="11">
        <f t="shared" ref="U877:U878" ca="1" si="145">S877/M877</f>
        <v>18.917978234248501</v>
      </c>
      <c r="V877" s="11">
        <f>EarningsPerDay[[#This Row],[Gross Earnings]]/EarningsPerDay[[#This Row],[Deliveries]]</f>
        <v>9.4523076923076914</v>
      </c>
      <c r="W877" s="11">
        <f>EarningsPerDay[[#This Row],[Gross Earnings]]/EarningsPerDay[[#This Row],[Miles]]</f>
        <v>1.4124137931034482</v>
      </c>
      <c r="X877" s="71">
        <f>EarningsPerDay[[#This Row],[Deliveries]]/EarningsPerDay[[#This Row],[Hours]]</f>
        <v>2.376599634369287</v>
      </c>
      <c r="Y877" s="71">
        <f>EarningsPerDay[[#This Row],[Miles]]/EarningsPerDay[[#This Row],[Deliveries]]</f>
        <v>6.6923076923076925</v>
      </c>
      <c r="Z877" s="81">
        <f>(EarningsPerDay[[#This Row],[Hours]]/EarningsPerDay[[#This Row],[Deliveries]])/24</f>
        <v>1.7532051282051282E-2</v>
      </c>
      <c r="AA877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-0.63397098805409513</v>
      </c>
      <c r="AB877" s="11">
        <f>AVERAGEIFS(EarningsPerDay[Gross $/Hour],EarningsPerDay[Week '#], EarningsPerDay[[#This Row],[Week '#]], EarningsPerDay[DOW], EarningsPerDay[[#This Row],[DOW]])</f>
        <v>22.36763015414142</v>
      </c>
      <c r="AC877" s="11">
        <f>EarningsPerDay[[#This Row],[Gross $/Hour]] - EarningsPerDay[[#This Row],[Weekly Average Earnings]]</f>
        <v>9.6720851343039982E-2</v>
      </c>
      <c r="AD877" s="11">
        <f>(SUMIFS(EarningsPerDay[Gross Earnings], EarningsPerDay[Date],"&gt;="&amp;EarningsPerDay[[#This Row],[Date]]-89, EarningsPerDay[Date], "&lt;="&amp;EarningsPerDay[[#This Row],[Date]]))/90</f>
        <v>23.749222222222219</v>
      </c>
    </row>
    <row r="878" spans="2:30" x14ac:dyDescent="0.35">
      <c r="B878" s="40">
        <v>46146</v>
      </c>
      <c r="C878" s="40">
        <f t="shared" si="121"/>
        <v>46146</v>
      </c>
      <c r="D878" s="4">
        <f>IF(EarningsPerDay[[#This Row],[Week '#]]&gt;=52,YEAR(EarningsPerDay[[#This Row],[Date]])-1,YEAR(EarningsPerDay[[#This Row],[Date]]))</f>
        <v>2026</v>
      </c>
      <c r="E878" s="4" t="str">
        <f>"QTR"&amp;IF(EarningsPerDay[[#This Row],[Week '#]] &lt;= 13, 1, IF(EarningsPerDay[[#This Row],[Week '#]] &lt;= 26, 2, IF(EarningsPerDay[[#This Row],[Week '#]] &lt;= 39, 3, 4)))</f>
        <v>QTR2</v>
      </c>
      <c r="F878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78" s="4">
        <f>IF(WEEKNUM(EarningsPerDay[[#This Row],[Date]], 2) = 53, 1, WEEKNUM(EarningsPerDay[[#This Row],[Date]],2))</f>
        <v>19</v>
      </c>
      <c r="H878" s="40" t="str">
        <f t="shared" si="143"/>
        <v>Monday</v>
      </c>
      <c r="I878" s="106">
        <f>IF(_xlfn.XLOOKUP(EarningsPerDay[[#This Row],[Date]],Mileage[Date],Mileage[Start Time])="","",MROUND(_xlfn.XLOOKUP(EarningsPerDay[[#This Row],[Date]],Mileage[Date],Mileage[Start Time]),0.0208333333333333))</f>
        <v>0.83333333333333204</v>
      </c>
      <c r="J878" s="40" t="str" cm="1">
        <f t="array" ref="J878">IFERROR(VLOOKUP(MODE(IF(Combined[Date]=EarningsPerDay[[#This Row],[Date]],Combined[Area '#])),KPIs!$B$4:$C$7,2,FALSE),VLOOKUP(EarningsPerDay[[#This Row],[Date]],Combined[[Date]:[Primary Area]],8,FALSE))</f>
        <v>Brunswick/Bath/Freeport</v>
      </c>
      <c r="K878" s="40" t="str">
        <f>_xlfn.XLOOKUP(EarningsPerDay[[#This Row],[Date]],Mileage[Date],Mileage[Weather])</f>
        <v>Clear</v>
      </c>
      <c r="L878" s="4">
        <f>_xlfn.XLOOKUP(EarningsPerDay[[#This Row],[Date]],Mileage[Date],Mileage[Hi Temp])</f>
        <v>64</v>
      </c>
      <c r="M878" s="12">
        <f>_xlfn.XLOOKUP(EarningsPerDay[[#This Row],[Date]],Mileage[Date],Mileage[Total Time])</f>
        <v>3.75</v>
      </c>
      <c r="N878" s="4">
        <f>_xlfn.XLOOKUP(EarningsPerDay[[#This Row],[Date]],Mileage[Date],Mileage[Mileage])</f>
        <v>73</v>
      </c>
      <c r="O878" s="4">
        <f>SUMIF(Combined[Date],EarningsPerDay[[#This Row],[Date]],Combined[Trips])</f>
        <v>7</v>
      </c>
      <c r="P878">
        <f>COUNTIF(Combined[Date],EarningsPerDay[[#This Row],[Date]])</f>
        <v>3</v>
      </c>
      <c r="Q878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8" s="11">
        <f>SUMIF(Combined[Date],EarningsPerDay[[#This Row],[Date]],Combined[Earnings])</f>
        <v>57.730000000000004</v>
      </c>
      <c r="S878" s="11">
        <f ca="1">EarningsPerDay[[#This Row],[Gross Earnings]]-(EarningsPerDay[[#This Row],[Miles]]*CpM!$D$11)</f>
        <v>41.45296423813528</v>
      </c>
      <c r="T878" s="11">
        <f t="shared" si="144"/>
        <v>15.394666666666668</v>
      </c>
      <c r="U878" s="11">
        <f t="shared" ca="1" si="145"/>
        <v>11.054123796836075</v>
      </c>
      <c r="V878" s="11">
        <f>EarningsPerDay[[#This Row],[Gross Earnings]]/EarningsPerDay[[#This Row],[Deliveries]]</f>
        <v>8.2471428571428582</v>
      </c>
      <c r="W878" s="11">
        <f>EarningsPerDay[[#This Row],[Gross Earnings]]/EarningsPerDay[[#This Row],[Miles]]</f>
        <v>0.7908219178082192</v>
      </c>
      <c r="X878" s="71">
        <f>EarningsPerDay[[#This Row],[Deliveries]]/EarningsPerDay[[#This Row],[Hours]]</f>
        <v>1.8666666666666667</v>
      </c>
      <c r="Y878" s="71">
        <f>EarningsPerDay[[#This Row],[Miles]]/EarningsPerDay[[#This Row],[Deliveries]]</f>
        <v>10.428571428571429</v>
      </c>
      <c r="Z878" s="81">
        <f>(EarningsPerDay[[#This Row],[Hours]]/EarningsPerDay[[#This Row],[Deliveries]])/24</f>
        <v>2.2321428571428572E-2</v>
      </c>
      <c r="AA878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-5.9435660221250668</v>
      </c>
      <c r="AB878" s="11">
        <f>AVERAGEIFS(EarningsPerDay[Gross $/Hour],EarningsPerDay[Week '#], EarningsPerDay[[#This Row],[Week '#]], EarningsPerDay[DOW], EarningsPerDay[[#This Row],[DOW]])</f>
        <v>20.570186793111567</v>
      </c>
      <c r="AC878" s="11">
        <f>EarningsPerDay[[#This Row],[Gross $/Hour]] - EarningsPerDay[[#This Row],[Weekly Average Earnings]]</f>
        <v>-5.1755201264448996</v>
      </c>
      <c r="AD878" s="11">
        <f>(SUMIFS(EarningsPerDay[Gross Earnings], EarningsPerDay[Date],"&gt;="&amp;EarningsPerDay[[#This Row],[Date]]-89, EarningsPerDay[Date], "&lt;="&amp;EarningsPerDay[[#This Row],[Date]]))/90</f>
        <v>22.815666666666669</v>
      </c>
    </row>
    <row r="879" spans="2:30" x14ac:dyDescent="0.35">
      <c r="B879" s="40">
        <v>46150</v>
      </c>
      <c r="C879" s="40">
        <f t="shared" si="121"/>
        <v>46150</v>
      </c>
      <c r="D879" s="4">
        <f>IF(EarningsPerDay[[#This Row],[Week '#]]&gt;=52,YEAR(EarningsPerDay[[#This Row],[Date]])-1,YEAR(EarningsPerDay[[#This Row],[Date]]))</f>
        <v>2026</v>
      </c>
      <c r="E879" s="4" t="str">
        <f>"QTR"&amp;IF(EarningsPerDay[[#This Row],[Week '#]] &lt;= 13, 1, IF(EarningsPerDay[[#This Row],[Week '#]] &lt;= 26, 2, IF(EarningsPerDay[[#This Row],[Week '#]] &lt;= 39, 3, 4)))</f>
        <v>QTR2</v>
      </c>
      <c r="F879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6</v>
      </c>
      <c r="G879" s="4">
        <f>IF(WEEKNUM(EarningsPerDay[[#This Row],[Date]], 2) = 53, 1, WEEKNUM(EarningsPerDay[[#This Row],[Date]],2))</f>
        <v>19</v>
      </c>
      <c r="H879" s="40" t="str">
        <f t="shared" ref="H879:H880" si="146">TEXT(B879,"DDDD")</f>
        <v>Friday</v>
      </c>
      <c r="I879" s="106">
        <f>IF(_xlfn.XLOOKUP(EarningsPerDay[[#This Row],[Date]],Mileage[Date],Mileage[Start Time])="","",MROUND(_xlfn.XLOOKUP(EarningsPerDay[[#This Row],[Date]],Mileage[Date],Mileage[Start Time]),0.0208333333333333))</f>
        <v>0.64583333333333237</v>
      </c>
      <c r="J879" s="40" t="str" cm="1">
        <f t="array" ref="J879">IFERROR(VLOOKUP(MODE(IF(Combined[Date]=EarningsPerDay[[#This Row],[Date]],Combined[Area '#])),KPIs!$B$4:$C$7,2,FALSE),VLOOKUP(EarningsPerDay[[#This Row],[Date]],Combined[[Date]:[Primary Area]],8,FALSE))</f>
        <v>Brunswick/Bath/Freeport</v>
      </c>
      <c r="K879" s="40" t="str">
        <f>_xlfn.XLOOKUP(EarningsPerDay[[#This Row],[Date]],Mileage[Date],Mileage[Weather])</f>
        <v>Mostly Cloudy</v>
      </c>
      <c r="L879" s="4">
        <f>_xlfn.XLOOKUP(EarningsPerDay[[#This Row],[Date]],Mileage[Date],Mileage[Hi Temp])</f>
        <v>54</v>
      </c>
      <c r="M879" s="12">
        <f>_xlfn.XLOOKUP(EarningsPerDay[[#This Row],[Date]],Mileage[Date],Mileage[Total Time])</f>
        <v>1.8</v>
      </c>
      <c r="N879" s="4">
        <f>_xlfn.XLOOKUP(EarningsPerDay[[#This Row],[Date]],Mileage[Date],Mileage[Mileage])</f>
        <v>59</v>
      </c>
      <c r="O879" s="4">
        <f>SUMIF(Combined[Date],EarningsPerDay[[#This Row],[Date]],Combined[Trips])</f>
        <v>2</v>
      </c>
      <c r="P879">
        <f>COUNTIF(Combined[Date],EarningsPerDay[[#This Row],[Date]])</f>
        <v>2</v>
      </c>
      <c r="Q879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79" s="11">
        <f>SUMIF(Combined[Date],EarningsPerDay[[#This Row],[Date]],Combined[Earnings])</f>
        <v>18.939999999999998</v>
      </c>
      <c r="S879" s="11">
        <f ca="1">EarningsPerDay[[#This Row],[Gross Earnings]]-(EarningsPerDay[[#This Row],[Miles]]*CpM!$D$11)</f>
        <v>5.7845875349312514</v>
      </c>
      <c r="T879" s="11">
        <f t="shared" ref="T879:T880" si="147">R879/M879</f>
        <v>10.52222222222222</v>
      </c>
      <c r="U879" s="11">
        <f t="shared" ref="U879:U880" ca="1" si="148">S879/M879</f>
        <v>3.2136597416284731</v>
      </c>
      <c r="V879" s="11">
        <f>EarningsPerDay[[#This Row],[Gross Earnings]]/EarningsPerDay[[#This Row],[Deliveries]]</f>
        <v>9.4699999999999989</v>
      </c>
      <c r="W879" s="11">
        <f>EarningsPerDay[[#This Row],[Gross Earnings]]/EarningsPerDay[[#This Row],[Miles]]</f>
        <v>0.32101694915254231</v>
      </c>
      <c r="X879" s="71">
        <f>EarningsPerDay[[#This Row],[Deliveries]]/EarningsPerDay[[#This Row],[Hours]]</f>
        <v>1.1111111111111112</v>
      </c>
      <c r="Y879" s="71">
        <f>EarningsPerDay[[#This Row],[Miles]]/EarningsPerDay[[#This Row],[Deliveries]]</f>
        <v>29.5</v>
      </c>
      <c r="Z879" s="81">
        <f>(EarningsPerDay[[#This Row],[Hours]]/EarningsPerDay[[#This Row],[Deliveries]])/24</f>
        <v>3.7499999999999999E-2</v>
      </c>
      <c r="AA879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-13.769579860627813</v>
      </c>
      <c r="AB879" s="11">
        <f>AVERAGEIFS(EarningsPerDay[Gross $/Hour],EarningsPerDay[Week '#], EarningsPerDay[[#This Row],[Week '#]], EarningsPerDay[DOW], EarningsPerDay[[#This Row],[DOW]])</f>
        <v>15.596737876437123</v>
      </c>
      <c r="AC879" s="11">
        <f>EarningsPerDay[[#This Row],[Gross $/Hour]] - EarningsPerDay[[#This Row],[Weekly Average Earnings]]</f>
        <v>-5.0745156542149026</v>
      </c>
      <c r="AD879" s="11">
        <f>(SUMIFS(EarningsPerDay[Gross Earnings], EarningsPerDay[Date],"&gt;="&amp;EarningsPerDay[[#This Row],[Date]]-89, EarningsPerDay[Date], "&lt;="&amp;EarningsPerDay[[#This Row],[Date]]))/90</f>
        <v>23.026111111111113</v>
      </c>
    </row>
    <row r="880" spans="2:30" x14ac:dyDescent="0.35">
      <c r="B880" s="40">
        <v>46153</v>
      </c>
      <c r="C880" s="40">
        <f t="shared" si="121"/>
        <v>46153</v>
      </c>
      <c r="D880" s="4">
        <f>IF(EarningsPerDay[[#This Row],[Week '#]]&gt;=52,YEAR(EarningsPerDay[[#This Row],[Date]])-1,YEAR(EarningsPerDay[[#This Row],[Date]]))</f>
        <v>2026</v>
      </c>
      <c r="E880" s="4" t="str">
        <f>"QTR"&amp;IF(EarningsPerDay[[#This Row],[Week '#]] &lt;= 13, 1, IF(EarningsPerDay[[#This Row],[Week '#]] &lt;= 26, 2, IF(EarningsPerDay[[#This Row],[Week '#]] &lt;= 39, 3, 4)))</f>
        <v>QTR2</v>
      </c>
      <c r="F880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80" s="4">
        <f>IF(WEEKNUM(EarningsPerDay[[#This Row],[Date]], 2) = 53, 1, WEEKNUM(EarningsPerDay[[#This Row],[Date]],2))</f>
        <v>20</v>
      </c>
      <c r="H880" s="40" t="str">
        <f t="shared" si="146"/>
        <v>Monday</v>
      </c>
      <c r="I880" s="106">
        <f>IF(_xlfn.XLOOKUP(EarningsPerDay[[#This Row],[Date]],Mileage[Date],Mileage[Start Time])="","",MROUND(_xlfn.XLOOKUP(EarningsPerDay[[#This Row],[Date]],Mileage[Date],Mileage[Start Time]),0.0208333333333333))</f>
        <v>0.8541666666666653</v>
      </c>
      <c r="J880" s="40" t="str" cm="1">
        <f t="array" ref="J880">IFERROR(VLOOKUP(MODE(IF(Combined[Date]=EarningsPerDay[[#This Row],[Date]],Combined[Area '#])),KPIs!$B$4:$C$7,2,FALSE),VLOOKUP(EarningsPerDay[[#This Row],[Date]],Combined[[Date]:[Primary Area]],8,FALSE))</f>
        <v>Brunswick/Bath/Freeport</v>
      </c>
      <c r="K880" s="40" t="str">
        <f>_xlfn.XLOOKUP(EarningsPerDay[[#This Row],[Date]],Mileage[Date],Mileage[Weather])</f>
        <v>Clear</v>
      </c>
      <c r="L880" s="4">
        <f>_xlfn.XLOOKUP(EarningsPerDay[[#This Row],[Date]],Mileage[Date],Mileage[Hi Temp])</f>
        <v>54</v>
      </c>
      <c r="M880" s="12">
        <f>_xlfn.XLOOKUP(EarningsPerDay[[#This Row],[Date]],Mileage[Date],Mileage[Total Time])</f>
        <v>3.15</v>
      </c>
      <c r="N880" s="4">
        <f>_xlfn.XLOOKUP(EarningsPerDay[[#This Row],[Date]],Mileage[Date],Mileage[Mileage])</f>
        <v>81</v>
      </c>
      <c r="O880" s="4">
        <f>SUMIF(Combined[Date],EarningsPerDay[[#This Row],[Date]],Combined[Trips])</f>
        <v>6</v>
      </c>
      <c r="P880">
        <f>COUNTIF(Combined[Date],EarningsPerDay[[#This Row],[Date]])</f>
        <v>3</v>
      </c>
      <c r="Q880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0" s="11">
        <f>SUMIF(Combined[Date],EarningsPerDay[[#This Row],[Date]],Combined[Earnings])</f>
        <v>80.77000000000001</v>
      </c>
      <c r="S880" s="11">
        <f ca="1">EarningsPerDay[[#This Row],[Gross Earnings]]-(EarningsPerDay[[#This Row],[Miles]]*CpM!$D$11)</f>
        <v>62.70917949710902</v>
      </c>
      <c r="T880" s="11">
        <f t="shared" si="147"/>
        <v>25.641269841269846</v>
      </c>
      <c r="U880" s="11">
        <f t="shared" ca="1" si="148"/>
        <v>19.907676030828259</v>
      </c>
      <c r="V880" s="11">
        <f>EarningsPerDay[[#This Row],[Gross Earnings]]/EarningsPerDay[[#This Row],[Deliveries]]</f>
        <v>13.461666666666668</v>
      </c>
      <c r="W880" s="11">
        <f>EarningsPerDay[[#This Row],[Gross Earnings]]/EarningsPerDay[[#This Row],[Miles]]</f>
        <v>0.99716049382716065</v>
      </c>
      <c r="X880" s="71">
        <f>EarningsPerDay[[#This Row],[Deliveries]]/EarningsPerDay[[#This Row],[Hours]]</f>
        <v>1.9047619047619049</v>
      </c>
      <c r="Y880" s="71">
        <f>EarningsPerDay[[#This Row],[Miles]]/EarningsPerDay[[#This Row],[Deliveries]]</f>
        <v>13.5</v>
      </c>
      <c r="Z880" s="81">
        <f>(EarningsPerDay[[#This Row],[Hours]]/EarningsPerDay[[#This Row],[Deliveries]])/24</f>
        <v>2.1875000000000002E-2</v>
      </c>
      <c r="AA880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4.6332352648183921</v>
      </c>
      <c r="AB880" s="11">
        <f>AVERAGEIFS(EarningsPerDay[Gross $/Hour],EarningsPerDay[Week '#], EarningsPerDay[[#This Row],[Week '#]], EarningsPerDay[DOW], EarningsPerDay[[#This Row],[DOW]])</f>
        <v>25.030869708994711</v>
      </c>
      <c r="AC880" s="11">
        <f>EarningsPerDay[[#This Row],[Gross $/Hour]] - EarningsPerDay[[#This Row],[Weekly Average Earnings]]</f>
        <v>0.61040013227513512</v>
      </c>
      <c r="AD880" s="11">
        <f>(SUMIFS(EarningsPerDay[Gross Earnings], EarningsPerDay[Date],"&gt;="&amp;EarningsPerDay[[#This Row],[Date]]-89, EarningsPerDay[Date], "&lt;="&amp;EarningsPerDay[[#This Row],[Date]]))/90</f>
        <v>23.923555555555559</v>
      </c>
    </row>
    <row r="881" spans="2:30" x14ac:dyDescent="0.35">
      <c r="B881" s="40">
        <v>46154</v>
      </c>
      <c r="C881" s="40">
        <f t="shared" si="121"/>
        <v>46154</v>
      </c>
      <c r="D881" s="4">
        <f>IF(EarningsPerDay[[#This Row],[Week '#]]&gt;=52,YEAR(EarningsPerDay[[#This Row],[Date]])-1,YEAR(EarningsPerDay[[#This Row],[Date]]))</f>
        <v>2026</v>
      </c>
      <c r="E881" s="4" t="str">
        <f>"QTR"&amp;IF(EarningsPerDay[[#This Row],[Week '#]] &lt;= 13, 1, IF(EarningsPerDay[[#This Row],[Week '#]] &lt;= 26, 2, IF(EarningsPerDay[[#This Row],[Week '#]] &lt;= 39, 3, 4)))</f>
        <v>QTR2</v>
      </c>
      <c r="F881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81" s="4">
        <f>IF(WEEKNUM(EarningsPerDay[[#This Row],[Date]], 2) = 53, 1, WEEKNUM(EarningsPerDay[[#This Row],[Date]],2))</f>
        <v>20</v>
      </c>
      <c r="H881" s="40" t="str">
        <f>TEXT(B881,"DDDD")</f>
        <v>Tuesday</v>
      </c>
      <c r="I881" s="106">
        <f>IF(_xlfn.XLOOKUP(EarningsPerDay[[#This Row],[Date]],Mileage[Date],Mileage[Start Time])="","",MROUND(_xlfn.XLOOKUP(EarningsPerDay[[#This Row],[Date]],Mileage[Date],Mileage[Start Time]),0.0208333333333333))</f>
        <v>0.81249999999999878</v>
      </c>
      <c r="J881" s="40" t="str" cm="1">
        <f t="array" ref="J881">IFERROR(VLOOKUP(MODE(IF(Combined[Date]=EarningsPerDay[[#This Row],[Date]],Combined[Area '#])),KPIs!$B$4:$C$7,2,FALSE),VLOOKUP(EarningsPerDay[[#This Row],[Date]],Combined[[Date]:[Primary Area]],8,FALSE))</f>
        <v>Brunswick/Bath/Freeport</v>
      </c>
      <c r="K881" s="40" t="str">
        <f>_xlfn.XLOOKUP(EarningsPerDay[[#This Row],[Date]],Mileage[Date],Mileage[Weather])</f>
        <v>Overcast</v>
      </c>
      <c r="L881" s="4">
        <f>_xlfn.XLOOKUP(EarningsPerDay[[#This Row],[Date]],Mileage[Date],Mileage[Hi Temp])</f>
        <v>54</v>
      </c>
      <c r="M881" s="12">
        <f>_xlfn.XLOOKUP(EarningsPerDay[[#This Row],[Date]],Mileage[Date],Mileage[Total Time])</f>
        <v>3.57</v>
      </c>
      <c r="N881" s="4">
        <f>_xlfn.XLOOKUP(EarningsPerDay[[#This Row],[Date]],Mileage[Date],Mileage[Mileage])</f>
        <v>100</v>
      </c>
      <c r="O881" s="4">
        <f>SUMIF(Combined[Date],EarningsPerDay[[#This Row],[Date]],Combined[Trips])</f>
        <v>6</v>
      </c>
      <c r="P881">
        <f>COUNTIF(Combined[Date],EarningsPerDay[[#This Row],[Date]])</f>
        <v>2</v>
      </c>
      <c r="Q881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1" s="11">
        <f>SUMIF(Combined[Date],EarningsPerDay[[#This Row],[Date]],Combined[Earnings])</f>
        <v>103.33</v>
      </c>
      <c r="S881" s="11">
        <f ca="1">EarningsPerDay[[#This Row],[Gross Earnings]]-(EarningsPerDay[[#This Row],[Miles]]*CpM!$D$11)</f>
        <v>81.03269073717162</v>
      </c>
      <c r="T881" s="11">
        <f>R881/M881</f>
        <v>28.943977591036415</v>
      </c>
      <c r="U881" s="11">
        <f ca="1">S881/M881</f>
        <v>22.69823269948785</v>
      </c>
      <c r="V881" s="11">
        <f>EarningsPerDay[[#This Row],[Gross Earnings]]/EarningsPerDay[[#This Row],[Deliveries]]</f>
        <v>17.221666666666668</v>
      </c>
      <c r="W881" s="11">
        <f>EarningsPerDay[[#This Row],[Gross Earnings]]/EarningsPerDay[[#This Row],[Miles]]</f>
        <v>1.0332999999999999</v>
      </c>
      <c r="X881" s="71">
        <f>EarningsPerDay[[#This Row],[Deliveries]]/EarningsPerDay[[#This Row],[Hours]]</f>
        <v>1.680672268907563</v>
      </c>
      <c r="Y881" s="71">
        <f>EarningsPerDay[[#This Row],[Miles]]/EarningsPerDay[[#This Row],[Deliveries]]</f>
        <v>16.666666666666668</v>
      </c>
      <c r="Z881" s="81">
        <f>(EarningsPerDay[[#This Row],[Hours]]/EarningsPerDay[[#This Row],[Deliveries]])/24</f>
        <v>2.4791666666666667E-2</v>
      </c>
      <c r="AA881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7.2158456728144671</v>
      </c>
      <c r="AB881" s="11">
        <f>AVERAGEIFS(EarningsPerDay[Gross $/Hour],EarningsPerDay[Week '#], EarningsPerDay[[#This Row],[Week '#]], EarningsPerDay[DOW], EarningsPerDay[[#This Row],[DOW]])</f>
        <v>25.982298093143498</v>
      </c>
      <c r="AC881" s="11">
        <f>EarningsPerDay[[#This Row],[Gross $/Hour]] - EarningsPerDay[[#This Row],[Weekly Average Earnings]]</f>
        <v>2.9616794978929164</v>
      </c>
      <c r="AD881" s="11">
        <f>(SUMIFS(EarningsPerDay[Gross Earnings], EarningsPerDay[Date],"&gt;="&amp;EarningsPerDay[[#This Row],[Date]]-89, EarningsPerDay[Date], "&lt;="&amp;EarningsPerDay[[#This Row],[Date]]))/90</f>
        <v>25.071666666666669</v>
      </c>
    </row>
    <row r="882" spans="2:30" x14ac:dyDescent="0.35">
      <c r="B882" s="40">
        <v>46159</v>
      </c>
      <c r="C882" s="40">
        <f t="shared" si="121"/>
        <v>46159</v>
      </c>
      <c r="D882" s="4">
        <f>IF(EarningsPerDay[[#This Row],[Week '#]]&gt;=52,YEAR(EarningsPerDay[[#This Row],[Date]])-1,YEAR(EarningsPerDay[[#This Row],[Date]]))</f>
        <v>2026</v>
      </c>
      <c r="E882" s="4" t="str">
        <f>"QTR"&amp;IF(EarningsPerDay[[#This Row],[Week '#]] &lt;= 13, 1, IF(EarningsPerDay[[#This Row],[Week '#]] &lt;= 26, 2, IF(EarningsPerDay[[#This Row],[Week '#]] &lt;= 39, 3, 4)))</f>
        <v>QTR2</v>
      </c>
      <c r="F882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7</v>
      </c>
      <c r="G882" s="4">
        <f>IF(WEEKNUM(EarningsPerDay[[#This Row],[Date]], 2) = 53, 1, WEEKNUM(EarningsPerDay[[#This Row],[Date]],2))</f>
        <v>20</v>
      </c>
      <c r="H882" s="40" t="str">
        <f t="shared" ref="H882:H883" si="149">TEXT(B882,"DDDD")</f>
        <v>Sunday</v>
      </c>
      <c r="I882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82" s="40" t="str" cm="1">
        <f t="array" ref="J882">IFERROR(VLOOKUP(MODE(IF(Combined[Date]=EarningsPerDay[[#This Row],[Date]],Combined[Area '#])),KPIs!$B$4:$C$7,2,FALSE),VLOOKUP(EarningsPerDay[[#This Row],[Date]],Combined[[Date]:[Primary Area]],8,FALSE))</f>
        <v>Portland</v>
      </c>
      <c r="K882" s="40" t="str">
        <f>_xlfn.XLOOKUP(EarningsPerDay[[#This Row],[Date]],Mileage[Date],Mileage[Weather])</f>
        <v>Clear</v>
      </c>
      <c r="L882" s="4">
        <f>_xlfn.XLOOKUP(EarningsPerDay[[#This Row],[Date]],Mileage[Date],Mileage[Hi Temp])</f>
        <v>79</v>
      </c>
      <c r="M882" s="12">
        <f>_xlfn.XLOOKUP(EarningsPerDay[[#This Row],[Date]],Mileage[Date],Mileage[Total Time])</f>
        <v>6.37</v>
      </c>
      <c r="N882" s="4">
        <f>_xlfn.XLOOKUP(EarningsPerDay[[#This Row],[Date]],Mileage[Date],Mileage[Mileage])</f>
        <v>113</v>
      </c>
      <c r="O882" s="4">
        <f>SUMIF(Combined[Date],EarningsPerDay[[#This Row],[Date]],Combined[Trips])</f>
        <v>12</v>
      </c>
      <c r="P882">
        <f>COUNTIF(Combined[Date],EarningsPerDay[[#This Row],[Date]])</f>
        <v>3</v>
      </c>
      <c r="Q882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2" s="11">
        <f>SUMIF(Combined[Date],EarningsPerDay[[#This Row],[Date]],Combined[Earnings])</f>
        <v>153.65</v>
      </c>
      <c r="S882" s="11">
        <f ca="1">EarningsPerDay[[#This Row],[Gross Earnings]]-(EarningsPerDay[[#This Row],[Miles]]*CpM!$D$11)</f>
        <v>128.45404053300393</v>
      </c>
      <c r="T882" s="11">
        <f t="shared" ref="T882:T883" si="150">R882/M882</f>
        <v>24.12087912087912</v>
      </c>
      <c r="U882" s="11">
        <f t="shared" ref="U882:U883" ca="1" si="151">S882/M882</f>
        <v>20.165469471429187</v>
      </c>
      <c r="V882" s="11">
        <f>EarningsPerDay[[#This Row],[Gross Earnings]]/EarningsPerDay[[#This Row],[Deliveries]]</f>
        <v>12.804166666666667</v>
      </c>
      <c r="W882" s="11">
        <f>EarningsPerDay[[#This Row],[Gross Earnings]]/EarningsPerDay[[#This Row],[Miles]]</f>
        <v>1.3597345132743364</v>
      </c>
      <c r="X882" s="71">
        <f>EarningsPerDay[[#This Row],[Deliveries]]/EarningsPerDay[[#This Row],[Hours]]</f>
        <v>1.8838304552590266</v>
      </c>
      <c r="Y882" s="71">
        <f>EarningsPerDay[[#This Row],[Miles]]/EarningsPerDay[[#This Row],[Deliveries]]</f>
        <v>9.4166666666666661</v>
      </c>
      <c r="Z882" s="81">
        <f>(EarningsPerDay[[#This Row],[Hours]]/EarningsPerDay[[#This Row],[Deliveries]])/24</f>
        <v>2.2118055555555557E-2</v>
      </c>
      <c r="AA882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2.1894967458575785</v>
      </c>
      <c r="AB882" s="11">
        <f>AVERAGEIFS(EarningsPerDay[Gross $/Hour],EarningsPerDay[Week '#], EarningsPerDay[[#This Row],[Week '#]], EarningsPerDay[DOW], EarningsPerDay[[#This Row],[DOW]])</f>
        <v>24.12087912087912</v>
      </c>
      <c r="AC882" s="11">
        <f>EarningsPerDay[[#This Row],[Gross $/Hour]] - EarningsPerDay[[#This Row],[Weekly Average Earnings]]</f>
        <v>0</v>
      </c>
      <c r="AD882" s="11">
        <f>(SUMIFS(EarningsPerDay[Gross Earnings], EarningsPerDay[Date],"&gt;="&amp;EarningsPerDay[[#This Row],[Date]]-89, EarningsPerDay[Date], "&lt;="&amp;EarningsPerDay[[#This Row],[Date]]))/90</f>
        <v>25.168333333333333</v>
      </c>
    </row>
    <row r="883" spans="2:30" x14ac:dyDescent="0.35">
      <c r="B883" s="40">
        <v>46162</v>
      </c>
      <c r="C883" s="40">
        <f t="shared" si="121"/>
        <v>46162</v>
      </c>
      <c r="D883" s="4">
        <f>IF(EarningsPerDay[[#This Row],[Week '#]]&gt;=52,YEAR(EarningsPerDay[[#This Row],[Date]])-1,YEAR(EarningsPerDay[[#This Row],[Date]]))</f>
        <v>2026</v>
      </c>
      <c r="E883" s="4" t="str">
        <f>"QTR"&amp;IF(EarningsPerDay[[#This Row],[Week '#]] &lt;= 13, 1, IF(EarningsPerDay[[#This Row],[Week '#]] &lt;= 26, 2, IF(EarningsPerDay[[#This Row],[Week '#]] &lt;= 39, 3, 4)))</f>
        <v>QTR2</v>
      </c>
      <c r="F883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83" s="4">
        <f>IF(WEEKNUM(EarningsPerDay[[#This Row],[Date]], 2) = 53, 1, WEEKNUM(EarningsPerDay[[#This Row],[Date]],2))</f>
        <v>21</v>
      </c>
      <c r="H883" s="40" t="str">
        <f t="shared" si="149"/>
        <v>Wednesday</v>
      </c>
      <c r="I883" s="106">
        <f>IF(_xlfn.XLOOKUP(EarningsPerDay[[#This Row],[Date]],Mileage[Date],Mileage[Start Time])="","",MROUND(_xlfn.XLOOKUP(EarningsPerDay[[#This Row],[Date]],Mileage[Date],Mileage[Start Time]),0.0208333333333333))</f>
        <v>0.74999999999999889</v>
      </c>
      <c r="J883" s="40" t="str" cm="1">
        <f t="array" ref="J883">IFERROR(VLOOKUP(MODE(IF(Combined[Date]=EarningsPerDay[[#This Row],[Date]],Combined[Area '#])),KPIs!$B$4:$C$7,2,FALSE),VLOOKUP(EarningsPerDay[[#This Row],[Date]],Combined[[Date]:[Primary Area]],8,FALSE))</f>
        <v>Lewiston</v>
      </c>
      <c r="K883" s="40" t="str">
        <f>_xlfn.XLOOKUP(EarningsPerDay[[#This Row],[Date]],Mileage[Date],Mileage[Weather])</f>
        <v>Clear</v>
      </c>
      <c r="L883" s="4">
        <f>_xlfn.XLOOKUP(EarningsPerDay[[#This Row],[Date]],Mileage[Date],Mileage[Hi Temp])</f>
        <v>84</v>
      </c>
      <c r="M883" s="12">
        <f>_xlfn.XLOOKUP(EarningsPerDay[[#This Row],[Date]],Mileage[Date],Mileage[Total Time])</f>
        <v>5.0199999999999996</v>
      </c>
      <c r="N883" s="4">
        <f>_xlfn.XLOOKUP(EarningsPerDay[[#This Row],[Date]],Mileage[Date],Mileage[Mileage])</f>
        <v>102</v>
      </c>
      <c r="O883" s="4">
        <f>SUMIF(Combined[Date],EarningsPerDay[[#This Row],[Date]],Combined[Trips])</f>
        <v>10</v>
      </c>
      <c r="P883">
        <f>COUNTIF(Combined[Date],EarningsPerDay[[#This Row],[Date]])</f>
        <v>3</v>
      </c>
      <c r="Q883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3" s="11">
        <f>SUMIF(Combined[Date],EarningsPerDay[[#This Row],[Date]],Combined[Earnings])</f>
        <v>107.50999999999999</v>
      </c>
      <c r="S883" s="11">
        <f ca="1">EarningsPerDay[[#This Row],[Gross Earnings]]-(EarningsPerDay[[#This Row],[Miles]]*CpM!$D$11)</f>
        <v>84.766744551915039</v>
      </c>
      <c r="T883" s="11">
        <f t="shared" si="150"/>
        <v>21.416334661354583</v>
      </c>
      <c r="U883" s="11">
        <f t="shared" ca="1" si="151"/>
        <v>16.88580568763248</v>
      </c>
      <c r="V883" s="11">
        <f>EarningsPerDay[[#This Row],[Gross Earnings]]/EarningsPerDay[[#This Row],[Deliveries]]</f>
        <v>10.750999999999999</v>
      </c>
      <c r="W883" s="11">
        <f>EarningsPerDay[[#This Row],[Gross Earnings]]/EarningsPerDay[[#This Row],[Miles]]</f>
        <v>1.0540196078431372</v>
      </c>
      <c r="X883" s="71">
        <f>EarningsPerDay[[#This Row],[Deliveries]]/EarningsPerDay[[#This Row],[Hours]]</f>
        <v>1.9920318725099604</v>
      </c>
      <c r="Y883" s="71">
        <f>EarningsPerDay[[#This Row],[Miles]]/EarningsPerDay[[#This Row],[Deliveries]]</f>
        <v>10.199999999999999</v>
      </c>
      <c r="Z883" s="81">
        <f>(EarningsPerDay[[#This Row],[Hours]]/EarningsPerDay[[#This Row],[Deliveries]])/24</f>
        <v>2.0916666666666667E-2</v>
      </c>
      <c r="AA883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-1.6027409586772094</v>
      </c>
      <c r="AB883" s="11">
        <f>AVERAGEIFS(EarningsPerDay[Gross $/Hour],EarningsPerDay[Week '#], EarningsPerDay[[#This Row],[Week '#]], EarningsPerDay[DOW], EarningsPerDay[[#This Row],[DOW]])</f>
        <v>19.565184981657026</v>
      </c>
      <c r="AC883" s="11">
        <f>EarningsPerDay[[#This Row],[Gross $/Hour]] - EarningsPerDay[[#This Row],[Weekly Average Earnings]]</f>
        <v>1.8511496796975564</v>
      </c>
      <c r="AD883" s="11">
        <f>(SUMIFS(EarningsPerDay[Gross Earnings], EarningsPerDay[Date],"&gt;="&amp;EarningsPerDay[[#This Row],[Date]]-89, EarningsPerDay[Date], "&lt;="&amp;EarningsPerDay[[#This Row],[Date]]))/90</f>
        <v>26.362888888888886</v>
      </c>
    </row>
    <row r="884" spans="2:30" x14ac:dyDescent="0.35">
      <c r="B884" s="40">
        <v>46164</v>
      </c>
      <c r="C884" s="40">
        <f t="shared" si="121"/>
        <v>46164</v>
      </c>
      <c r="D884" s="4">
        <f>IF(EarningsPerDay[[#This Row],[Week '#]]&gt;=52,YEAR(EarningsPerDay[[#This Row],[Date]])-1,YEAR(EarningsPerDay[[#This Row],[Date]]))</f>
        <v>2026</v>
      </c>
      <c r="E884" s="4" t="str">
        <f>"QTR"&amp;IF(EarningsPerDay[[#This Row],[Week '#]] &lt;= 13, 1, IF(EarningsPerDay[[#This Row],[Week '#]] &lt;= 26, 2, IF(EarningsPerDay[[#This Row],[Week '#]] &lt;= 39, 3, 4)))</f>
        <v>QTR2</v>
      </c>
      <c r="F884" s="4">
        <f>IF(EarningsPerDay[[#This Row],[Week '#]] &lt;= 13, EarningsPerDay[[#This Row],[Week '#]],
IF(EarningsPerDay[[#This Row],[Week '#]] &lt;= 26, EarningsPerDay[[#This Row],[Week '#]] - 13,
IF(EarningsPerDay[[#This Row],[Week '#]] &lt;= 39, EarningsPerDay[[#This Row],[Week '#]] - 26,
EarningsPerDay[[#This Row],[Week '#]] - 39)))</f>
        <v>8</v>
      </c>
      <c r="G884" s="4">
        <f>IF(WEEKNUM(EarningsPerDay[[#This Row],[Date]], 2) = 53, 1, WEEKNUM(EarningsPerDay[[#This Row],[Date]],2))</f>
        <v>21</v>
      </c>
      <c r="H884" s="40" t="str">
        <f>TEXT(B884,"DDDD")</f>
        <v>Friday</v>
      </c>
      <c r="I884" s="106">
        <f>IF(_xlfn.XLOOKUP(EarningsPerDay[[#This Row],[Date]],Mileage[Date],Mileage[Start Time])="","",MROUND(_xlfn.XLOOKUP(EarningsPerDay[[#This Row],[Date]],Mileage[Date],Mileage[Start Time]),0.0208333333333333))</f>
        <v>0.87499999999999867</v>
      </c>
      <c r="J884" s="40" t="str" cm="1">
        <f t="array" ref="J884">IFERROR(VLOOKUP(MODE(IF(Combined[Date]=EarningsPerDay[[#This Row],[Date]],Combined[Area '#])),KPIs!$B$4:$C$7,2,FALSE),VLOOKUP(EarningsPerDay[[#This Row],[Date]],Combined[[Date]:[Primary Area]],8,FALSE))</f>
        <v>Lewiston</v>
      </c>
      <c r="K884" s="40" t="str">
        <f>_xlfn.XLOOKUP(EarningsPerDay[[#This Row],[Date]],Mileage[Date],Mileage[Weather])</f>
        <v>Clear</v>
      </c>
      <c r="L884" s="4">
        <f>_xlfn.XLOOKUP(EarningsPerDay[[#This Row],[Date]],Mileage[Date],Mileage[Hi Temp])</f>
        <v>46</v>
      </c>
      <c r="M884" s="12">
        <f>_xlfn.XLOOKUP(EarningsPerDay[[#This Row],[Date]],Mileage[Date],Mileage[Total Time])</f>
        <v>6.23</v>
      </c>
      <c r="N884" s="4">
        <f>_xlfn.XLOOKUP(EarningsPerDay[[#This Row],[Date]],Mileage[Date],Mileage[Mileage])</f>
        <v>144</v>
      </c>
      <c r="O884" s="4">
        <f>SUMIF(Combined[Date],EarningsPerDay[[#This Row],[Date]],Combined[Trips])</f>
        <v>9</v>
      </c>
      <c r="P884">
        <f>COUNTIF(Combined[Date],EarningsPerDay[[#This Row],[Date]])</f>
        <v>1</v>
      </c>
      <c r="Q884" s="71" t="str">
        <f>IF((SUMIFS(Combined[Earnings],Combined[Date],EarningsPerDay[[#This Row],[Date]],Combined[Type],"Hourly"))&gt;SUMIFS(Combined[Earnings],Combined[Date],EarningsPerDay[[#This Row],[Date]],Combined[Type],"Order"),"Hourly","Order")</f>
        <v>Order</v>
      </c>
      <c r="R884" s="11">
        <f>SUMIF(Combined[Date],EarningsPerDay[[#This Row],[Date]],Combined[Earnings])</f>
        <v>125.25</v>
      </c>
      <c r="S884" s="11">
        <f ca="1">EarningsPerDay[[#This Row],[Gross Earnings]]-(EarningsPerDay[[#This Row],[Miles]]*CpM!$D$11)</f>
        <v>93.141874661527126</v>
      </c>
      <c r="T884" s="11">
        <f>R884/M884</f>
        <v>20.104333868378809</v>
      </c>
      <c r="U884" s="11">
        <f ca="1">S884/M884</f>
        <v>14.950541679217837</v>
      </c>
      <c r="V884" s="11">
        <f>EarningsPerDay[[#This Row],[Gross Earnings]]/EarningsPerDay[[#This Row],[Deliveries]]</f>
        <v>13.916666666666666</v>
      </c>
      <c r="W884" s="11">
        <f>EarningsPerDay[[#This Row],[Gross Earnings]]/EarningsPerDay[[#This Row],[Miles]]</f>
        <v>0.86979166666666663</v>
      </c>
      <c r="X884" s="71">
        <f>EarningsPerDay[[#This Row],[Deliveries]]/EarningsPerDay[[#This Row],[Hours]]</f>
        <v>1.4446227929373996</v>
      </c>
      <c r="Y884" s="71">
        <f>EarningsPerDay[[#This Row],[Miles]]/EarningsPerDay[[#This Row],[Deliveries]]</f>
        <v>16</v>
      </c>
      <c r="Z884" s="81">
        <f>(EarningsPerDay[[#This Row],[Hours]]/EarningsPerDay[[#This Row],[Deliveries]])/24</f>
        <v>2.8842592592592597E-2</v>
      </c>
      <c r="AA884" s="8">
        <f>IFERROR(EarningsPerDay[[#This Row],[Gross $/Hour]]-AVERAGEIFS(EarningsPerDay[Gross $/Hour],EarningsPerDay[DOW],EarningsPerDay[[#This Row],[DOW]],EarningsPerDay[Quarter],EarningsPerDay[[#This Row],[Quarter]],EarningsPerDay[Primary Area],EarningsPerDay[[#This Row],[Primary Area]],EarningsPerDay[Date],"&lt;"&amp;EarningsPerDay[[#This Row],[Date]]),"")</f>
        <v>-3.4352619292161073</v>
      </c>
      <c r="AB884" s="11">
        <f>AVERAGEIFS(EarningsPerDay[Gross $/Hour],EarningsPerDay[Week '#], EarningsPerDay[[#This Row],[Week '#]], EarningsPerDay[DOW], EarningsPerDay[[#This Row],[DOW]])</f>
        <v>17.27594486567542</v>
      </c>
      <c r="AC884" s="11">
        <f>EarningsPerDay[[#This Row],[Gross $/Hour]] - EarningsPerDay[[#This Row],[Weekly Average Earnings]]</f>
        <v>2.8283890027033891</v>
      </c>
      <c r="AD884" s="11">
        <f>(SUMIFS(EarningsPerDay[Gross Earnings], EarningsPerDay[Date],"&gt;="&amp;EarningsPerDay[[#This Row],[Date]]-89, EarningsPerDay[Date], "&lt;="&amp;EarningsPerDay[[#This Row],[Date]]))/90</f>
        <v>23.685222222222222</v>
      </c>
    </row>
  </sheetData>
  <mergeCells count="2">
    <mergeCell ref="AJ1:AN1"/>
    <mergeCell ref="B1:AC1"/>
  </mergeCells>
  <phoneticPr fontId="3" type="noConversion"/>
  <conditionalFormatting sqref="W3:W884">
    <cfRule type="top10" dxfId="15" priority="282" percent="1" rank="10"/>
    <cfRule type="colorScale" priority="2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884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884">
    <cfRule type="top10" dxfId="14" priority="4" percent="1" rank="10"/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88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7"/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3A2E-5542-4A47-83E1-33E5C62127CD}">
  <dimension ref="A1:W883"/>
  <sheetViews>
    <sheetView workbookViewId="0">
      <selection activeCell="N1" sqref="N1:S1048576"/>
    </sheetView>
  </sheetViews>
  <sheetFormatPr defaultRowHeight="14.5" x14ac:dyDescent="0.35"/>
  <cols>
    <col min="1" max="1" width="10.54296875" bestFit="1" customWidth="1"/>
    <col min="2" max="2" width="6.90625" bestFit="1" customWidth="1"/>
    <col min="3" max="3" width="9.6328125" bestFit="1" customWidth="1"/>
    <col min="4" max="4" width="15.453125" bestFit="1" customWidth="1"/>
    <col min="5" max="5" width="9.453125" bestFit="1" customWidth="1"/>
    <col min="6" max="6" width="10.453125" bestFit="1" customWidth="1"/>
    <col min="7" max="7" width="11.81640625" style="106" bestFit="1" customWidth="1"/>
    <col min="8" max="8" width="21.90625" bestFit="1" customWidth="1"/>
    <col min="9" max="9" width="21" bestFit="1" customWidth="1"/>
    <col min="10" max="10" width="10.08984375" bestFit="1" customWidth="1"/>
    <col min="11" max="11" width="12" style="11" bestFit="1" customWidth="1"/>
    <col min="12" max="12" width="12" bestFit="1" customWidth="1"/>
    <col min="13" max="13" width="7.1796875" bestFit="1" customWidth="1"/>
    <col min="14" max="14" width="16.81640625" style="58" bestFit="1" customWidth="1"/>
    <col min="15" max="15" width="15.08984375" style="58" bestFit="1" customWidth="1"/>
    <col min="16" max="16" width="15.6328125" style="58" bestFit="1" customWidth="1"/>
    <col min="17" max="17" width="14" style="58" bestFit="1" customWidth="1"/>
    <col min="18" max="18" width="9.6328125" style="58" bestFit="1" customWidth="1"/>
    <col min="19" max="19" width="10.08984375" style="58" bestFit="1" customWidth="1"/>
    <col min="20" max="20" width="7.36328125" style="11" bestFit="1" customWidth="1"/>
    <col min="21" max="21" width="24.36328125" style="11" bestFit="1" customWidth="1"/>
    <col min="22" max="23" width="25" style="11" bestFit="1" customWidth="1"/>
    <col min="24" max="25" width="7.54296875" bestFit="1" customWidth="1"/>
    <col min="26" max="26" width="9.453125" bestFit="1" customWidth="1"/>
    <col min="27" max="27" width="8.54296875" bestFit="1" customWidth="1"/>
    <col min="28" max="28" width="16.453125" bestFit="1" customWidth="1"/>
    <col min="29" max="29" width="17.08984375" bestFit="1" customWidth="1"/>
    <col min="30" max="30" width="7.54296875" bestFit="1" customWidth="1"/>
    <col min="31" max="31" width="12.36328125" bestFit="1" customWidth="1"/>
    <col min="32" max="32" width="12.54296875" bestFit="1" customWidth="1"/>
    <col min="33" max="33" width="12" bestFit="1" customWidth="1"/>
  </cols>
  <sheetData>
    <row r="1" spans="1:23" x14ac:dyDescent="0.35">
      <c r="A1" t="s">
        <v>8</v>
      </c>
      <c r="B1" t="s">
        <v>172</v>
      </c>
      <c r="C1" t="s">
        <v>75</v>
      </c>
      <c r="D1" t="s">
        <v>328</v>
      </c>
      <c r="E1" t="s">
        <v>104</v>
      </c>
      <c r="F1" t="s">
        <v>99</v>
      </c>
      <c r="G1" s="106" t="s">
        <v>111</v>
      </c>
      <c r="H1" t="s">
        <v>98</v>
      </c>
      <c r="I1" t="s">
        <v>228</v>
      </c>
      <c r="J1" t="s">
        <v>229</v>
      </c>
      <c r="K1" t="s">
        <v>43</v>
      </c>
      <c r="L1" t="s">
        <v>183</v>
      </c>
      <c r="M1" t="s">
        <v>105</v>
      </c>
      <c r="N1" s="58" t="s">
        <v>399</v>
      </c>
      <c r="O1" s="58" t="s">
        <v>400</v>
      </c>
      <c r="P1" s="58" t="s">
        <v>401</v>
      </c>
      <c r="Q1" s="58" t="s">
        <v>402</v>
      </c>
      <c r="R1" s="58" t="s">
        <v>194</v>
      </c>
      <c r="S1" s="58" t="s">
        <v>190</v>
      </c>
      <c r="T1" t="s">
        <v>173</v>
      </c>
      <c r="U1" s="11" t="s">
        <v>390</v>
      </c>
      <c r="V1"/>
      <c r="W1"/>
    </row>
    <row r="2" spans="1:23" x14ac:dyDescent="0.35">
      <c r="A2" s="40">
        <v>46164</v>
      </c>
      <c r="B2">
        <v>2026</v>
      </c>
      <c r="C2" t="s">
        <v>287</v>
      </c>
      <c r="D2">
        <v>8</v>
      </c>
      <c r="E2">
        <v>21</v>
      </c>
      <c r="F2" t="s">
        <v>50</v>
      </c>
      <c r="G2" s="106">
        <v>0.86805555555555558</v>
      </c>
      <c r="H2" t="s">
        <v>82</v>
      </c>
      <c r="I2" t="s">
        <v>230</v>
      </c>
      <c r="J2">
        <v>46</v>
      </c>
      <c r="K2">
        <v>6.23</v>
      </c>
      <c r="L2">
        <v>144</v>
      </c>
      <c r="M2">
        <v>9</v>
      </c>
      <c r="N2" s="58">
        <v>125.25</v>
      </c>
      <c r="O2" s="58">
        <v>93.138000000000005</v>
      </c>
      <c r="P2" s="58">
        <v>20.104299999999999</v>
      </c>
      <c r="Q2" s="58">
        <v>14.949919743178199</v>
      </c>
      <c r="R2" s="58">
        <v>13.9166666666667</v>
      </c>
      <c r="S2" s="58">
        <v>0.86979166666666596</v>
      </c>
      <c r="T2" t="s">
        <v>176</v>
      </c>
      <c r="U2" s="11">
        <v>23.685199999999998</v>
      </c>
      <c r="V2"/>
      <c r="W2"/>
    </row>
    <row r="3" spans="1:23" x14ac:dyDescent="0.35">
      <c r="A3" s="40">
        <v>46162</v>
      </c>
      <c r="B3">
        <v>2026</v>
      </c>
      <c r="C3" t="s">
        <v>287</v>
      </c>
      <c r="D3">
        <v>8</v>
      </c>
      <c r="E3">
        <v>21</v>
      </c>
      <c r="F3" t="s">
        <v>48</v>
      </c>
      <c r="G3" s="106">
        <v>0.75347222222222221</v>
      </c>
      <c r="H3" t="s">
        <v>82</v>
      </c>
      <c r="I3" t="s">
        <v>230</v>
      </c>
      <c r="J3">
        <v>84</v>
      </c>
      <c r="K3">
        <v>5.0199999999999996</v>
      </c>
      <c r="L3">
        <v>102</v>
      </c>
      <c r="M3">
        <v>10</v>
      </c>
      <c r="N3" s="58">
        <v>107.51</v>
      </c>
      <c r="O3" s="58">
        <v>84.763999999999996</v>
      </c>
      <c r="P3" s="58">
        <v>21.4163</v>
      </c>
      <c r="Q3" s="58">
        <v>16.8852589641434</v>
      </c>
      <c r="R3" s="58">
        <v>10.750999999999999</v>
      </c>
      <c r="S3" s="58">
        <v>1.0540196078431401</v>
      </c>
      <c r="T3" t="s">
        <v>176</v>
      </c>
      <c r="U3" s="11">
        <v>26.3629</v>
      </c>
      <c r="V3"/>
      <c r="W3"/>
    </row>
    <row r="4" spans="1:23" x14ac:dyDescent="0.35">
      <c r="A4" s="40">
        <v>46159</v>
      </c>
      <c r="B4">
        <v>2026</v>
      </c>
      <c r="C4" t="s">
        <v>287</v>
      </c>
      <c r="D4">
        <v>7</v>
      </c>
      <c r="E4">
        <v>20</v>
      </c>
      <c r="F4" t="s">
        <v>45</v>
      </c>
      <c r="G4" s="106">
        <v>0.74652777777777779</v>
      </c>
      <c r="H4" t="s">
        <v>85</v>
      </c>
      <c r="I4" t="s">
        <v>230</v>
      </c>
      <c r="J4">
        <v>79</v>
      </c>
      <c r="K4">
        <v>6.37</v>
      </c>
      <c r="L4">
        <v>113</v>
      </c>
      <c r="M4">
        <v>12</v>
      </c>
      <c r="N4" s="58">
        <v>153.65</v>
      </c>
      <c r="O4" s="58">
        <v>128.45099999999999</v>
      </c>
      <c r="P4" s="58">
        <v>24.120899999999999</v>
      </c>
      <c r="Q4" s="58">
        <v>20.1649921507064</v>
      </c>
      <c r="R4" s="58">
        <v>12.804166666666699</v>
      </c>
      <c r="S4" s="58">
        <v>1.3597345132743399</v>
      </c>
      <c r="T4" t="s">
        <v>176</v>
      </c>
      <c r="U4" s="11">
        <v>25.168299999999999</v>
      </c>
      <c r="V4"/>
      <c r="W4"/>
    </row>
    <row r="5" spans="1:23" x14ac:dyDescent="0.35">
      <c r="A5" s="40">
        <v>46154</v>
      </c>
      <c r="B5">
        <v>2026</v>
      </c>
      <c r="C5" t="s">
        <v>287</v>
      </c>
      <c r="D5">
        <v>7</v>
      </c>
      <c r="E5">
        <v>20</v>
      </c>
      <c r="F5" t="s">
        <v>47</v>
      </c>
      <c r="G5" s="106">
        <v>0.80902777777777779</v>
      </c>
      <c r="H5" t="s">
        <v>80</v>
      </c>
      <c r="I5" t="s">
        <v>231</v>
      </c>
      <c r="J5">
        <v>54</v>
      </c>
      <c r="K5">
        <v>3.57</v>
      </c>
      <c r="L5">
        <v>100</v>
      </c>
      <c r="M5">
        <v>6</v>
      </c>
      <c r="N5" s="58">
        <v>103.33</v>
      </c>
      <c r="O5" s="58">
        <v>81.03</v>
      </c>
      <c r="P5" s="58">
        <v>28.943999999999999</v>
      </c>
      <c r="Q5" s="58">
        <v>22.697478991596601</v>
      </c>
      <c r="R5" s="58">
        <v>17.2216666666667</v>
      </c>
      <c r="S5" s="58">
        <v>1.0333000000000001</v>
      </c>
      <c r="T5" t="s">
        <v>176</v>
      </c>
      <c r="U5" s="11">
        <v>25.0717</v>
      </c>
      <c r="V5"/>
      <c r="W5"/>
    </row>
    <row r="6" spans="1:23" x14ac:dyDescent="0.35">
      <c r="A6" s="40">
        <v>46153</v>
      </c>
      <c r="B6">
        <v>2026</v>
      </c>
      <c r="C6" t="s">
        <v>287</v>
      </c>
      <c r="D6">
        <v>7</v>
      </c>
      <c r="E6">
        <v>20</v>
      </c>
      <c r="F6" t="s">
        <v>46</v>
      </c>
      <c r="G6" s="106">
        <v>0.85416666666666663</v>
      </c>
      <c r="H6" t="s">
        <v>80</v>
      </c>
      <c r="I6" t="s">
        <v>230</v>
      </c>
      <c r="J6">
        <v>54</v>
      </c>
      <c r="K6">
        <v>3.15</v>
      </c>
      <c r="L6">
        <v>81</v>
      </c>
      <c r="M6">
        <v>6</v>
      </c>
      <c r="N6" s="58">
        <v>80.77</v>
      </c>
      <c r="O6" s="58">
        <v>62.707000000000001</v>
      </c>
      <c r="P6" s="58">
        <v>25.641300000000001</v>
      </c>
      <c r="Q6" s="58">
        <v>19.906984126984099</v>
      </c>
      <c r="R6" s="58">
        <v>13.4616666666667</v>
      </c>
      <c r="S6" s="58">
        <v>0.99716049382715999</v>
      </c>
      <c r="T6" t="s">
        <v>176</v>
      </c>
      <c r="U6" s="11">
        <v>23.9236</v>
      </c>
      <c r="V6"/>
      <c r="W6"/>
    </row>
    <row r="7" spans="1:23" x14ac:dyDescent="0.35">
      <c r="A7" s="40">
        <v>46150</v>
      </c>
      <c r="B7">
        <v>2026</v>
      </c>
      <c r="C7" t="s">
        <v>287</v>
      </c>
      <c r="D7">
        <v>6</v>
      </c>
      <c r="E7">
        <v>19</v>
      </c>
      <c r="F7" t="s">
        <v>50</v>
      </c>
      <c r="G7" s="106">
        <v>0.63888888888888884</v>
      </c>
      <c r="H7" t="s">
        <v>80</v>
      </c>
      <c r="I7" t="s">
        <v>285</v>
      </c>
      <c r="J7">
        <v>54</v>
      </c>
      <c r="K7">
        <v>1.8</v>
      </c>
      <c r="L7">
        <v>59</v>
      </c>
      <c r="M7">
        <v>2</v>
      </c>
      <c r="N7" s="58">
        <v>18.940000000000001</v>
      </c>
      <c r="O7" s="58">
        <v>5.7830000000000004</v>
      </c>
      <c r="P7" s="58">
        <v>10.5222</v>
      </c>
      <c r="Q7" s="58">
        <v>3.21277777777778</v>
      </c>
      <c r="R7" s="58">
        <v>9.4700000000000006</v>
      </c>
      <c r="S7" s="58">
        <v>0.32101694915254197</v>
      </c>
      <c r="T7" t="s">
        <v>176</v>
      </c>
      <c r="U7" s="11">
        <v>23.0261</v>
      </c>
      <c r="V7"/>
      <c r="W7"/>
    </row>
    <row r="8" spans="1:23" x14ac:dyDescent="0.35">
      <c r="A8" s="40">
        <v>46146</v>
      </c>
      <c r="B8">
        <v>2026</v>
      </c>
      <c r="C8" t="s">
        <v>287</v>
      </c>
      <c r="D8">
        <v>6</v>
      </c>
      <c r="E8">
        <v>19</v>
      </c>
      <c r="F8" t="s">
        <v>46</v>
      </c>
      <c r="G8" s="106">
        <v>0.83333333333333337</v>
      </c>
      <c r="H8" t="s">
        <v>80</v>
      </c>
      <c r="I8" t="s">
        <v>230</v>
      </c>
      <c r="J8">
        <v>64</v>
      </c>
      <c r="K8">
        <v>3.75</v>
      </c>
      <c r="L8">
        <v>73</v>
      </c>
      <c r="M8">
        <v>7</v>
      </c>
      <c r="N8" s="58">
        <v>57.73</v>
      </c>
      <c r="O8" s="58">
        <v>41.451000000000001</v>
      </c>
      <c r="P8" s="58">
        <v>15.3947</v>
      </c>
      <c r="Q8" s="58">
        <v>11.053599999999999</v>
      </c>
      <c r="R8" s="58">
        <v>8.24714285714286</v>
      </c>
      <c r="S8" s="58">
        <v>0.79082191780821898</v>
      </c>
      <c r="T8" t="s">
        <v>176</v>
      </c>
      <c r="U8" s="11">
        <v>22.8157</v>
      </c>
      <c r="V8"/>
      <c r="W8"/>
    </row>
    <row r="9" spans="1:23" x14ac:dyDescent="0.35">
      <c r="A9" s="40">
        <v>46141</v>
      </c>
      <c r="B9">
        <v>2026</v>
      </c>
      <c r="C9" t="s">
        <v>287</v>
      </c>
      <c r="D9">
        <v>5</v>
      </c>
      <c r="E9">
        <v>18</v>
      </c>
      <c r="F9" t="s">
        <v>48</v>
      </c>
      <c r="G9" s="106">
        <v>0.82291666666666663</v>
      </c>
      <c r="H9" t="s">
        <v>82</v>
      </c>
      <c r="I9" t="s">
        <v>325</v>
      </c>
      <c r="J9">
        <v>48</v>
      </c>
      <c r="K9">
        <v>5.47</v>
      </c>
      <c r="L9">
        <v>87</v>
      </c>
      <c r="M9">
        <v>13</v>
      </c>
      <c r="N9" s="58">
        <v>122.88</v>
      </c>
      <c r="O9" s="58">
        <v>103.479</v>
      </c>
      <c r="P9" s="58">
        <v>22.464400000000001</v>
      </c>
      <c r="Q9" s="58">
        <v>18.917550274223</v>
      </c>
      <c r="R9" s="58">
        <v>9.4523076923076896</v>
      </c>
      <c r="S9" s="58">
        <v>1.4124137931034499</v>
      </c>
      <c r="T9" t="s">
        <v>176</v>
      </c>
      <c r="U9" s="11">
        <v>23.749199999999998</v>
      </c>
      <c r="V9"/>
      <c r="W9"/>
    </row>
    <row r="10" spans="1:23" x14ac:dyDescent="0.35">
      <c r="A10" s="40">
        <v>46136</v>
      </c>
      <c r="B10">
        <v>2026</v>
      </c>
      <c r="C10" t="s">
        <v>287</v>
      </c>
      <c r="D10">
        <v>4</v>
      </c>
      <c r="E10">
        <v>17</v>
      </c>
      <c r="F10" t="s">
        <v>50</v>
      </c>
      <c r="G10" s="106">
        <v>0.83333333333333337</v>
      </c>
      <c r="H10" t="s">
        <v>82</v>
      </c>
      <c r="I10" t="s">
        <v>231</v>
      </c>
      <c r="J10">
        <v>46</v>
      </c>
      <c r="K10">
        <v>7.17</v>
      </c>
      <c r="L10">
        <v>107</v>
      </c>
      <c r="M10">
        <v>18</v>
      </c>
      <c r="N10" s="58">
        <v>325.68</v>
      </c>
      <c r="O10" s="58">
        <v>301.81900000000002</v>
      </c>
      <c r="P10" s="58">
        <v>45.422600000000003</v>
      </c>
      <c r="Q10" s="58">
        <v>42.09470013947</v>
      </c>
      <c r="R10" s="58">
        <v>18.093333333333302</v>
      </c>
      <c r="S10" s="58">
        <v>3.0437383177570099</v>
      </c>
      <c r="T10" t="s">
        <v>176</v>
      </c>
      <c r="U10" s="11">
        <v>22.6266</v>
      </c>
      <c r="V10"/>
      <c r="W10"/>
    </row>
    <row r="11" spans="1:23" x14ac:dyDescent="0.35">
      <c r="A11" s="40">
        <v>46134</v>
      </c>
      <c r="B11">
        <v>2026</v>
      </c>
      <c r="C11" t="s">
        <v>287</v>
      </c>
      <c r="D11">
        <v>4</v>
      </c>
      <c r="E11">
        <v>17</v>
      </c>
      <c r="F11" t="s">
        <v>48</v>
      </c>
      <c r="G11" s="106">
        <v>0.79166666666666663</v>
      </c>
      <c r="H11" t="s">
        <v>82</v>
      </c>
      <c r="I11" t="s">
        <v>231</v>
      </c>
      <c r="J11">
        <v>43</v>
      </c>
      <c r="K11">
        <v>4.7300000000000004</v>
      </c>
      <c r="L11">
        <v>72</v>
      </c>
      <c r="M11">
        <v>9</v>
      </c>
      <c r="N11" s="58">
        <v>205.57</v>
      </c>
      <c r="O11" s="58">
        <v>189.51400000000001</v>
      </c>
      <c r="P11" s="58">
        <v>43.460900000000002</v>
      </c>
      <c r="Q11" s="58">
        <v>40.066384778012697</v>
      </c>
      <c r="R11" s="58">
        <v>22.8411111111111</v>
      </c>
      <c r="S11" s="58">
        <v>2.8551388888888898</v>
      </c>
      <c r="T11" t="s">
        <v>176</v>
      </c>
      <c r="U11" s="11">
        <v>20.2347</v>
      </c>
      <c r="V11"/>
      <c r="W11"/>
    </row>
    <row r="12" spans="1:23" x14ac:dyDescent="0.35">
      <c r="A12" s="40">
        <v>46126</v>
      </c>
      <c r="B12">
        <v>2026</v>
      </c>
      <c r="C12" t="s">
        <v>287</v>
      </c>
      <c r="D12">
        <v>3</v>
      </c>
      <c r="E12">
        <v>16</v>
      </c>
      <c r="F12" t="s">
        <v>47</v>
      </c>
      <c r="G12" s="106">
        <v>0.86805555555555558</v>
      </c>
      <c r="H12" t="s">
        <v>80</v>
      </c>
      <c r="I12" t="s">
        <v>276</v>
      </c>
      <c r="J12">
        <v>54</v>
      </c>
      <c r="K12">
        <v>3.12</v>
      </c>
      <c r="L12">
        <v>47</v>
      </c>
      <c r="M12">
        <v>8</v>
      </c>
      <c r="N12" s="58">
        <v>56.55</v>
      </c>
      <c r="O12" s="58">
        <v>46.069000000000003</v>
      </c>
      <c r="P12" s="58">
        <v>18.125</v>
      </c>
      <c r="Q12" s="58">
        <v>14.7657051282051</v>
      </c>
      <c r="R12" s="58">
        <v>7.0687499999999996</v>
      </c>
      <c r="S12" s="58">
        <v>1.2031914893617</v>
      </c>
      <c r="T12" t="s">
        <v>175</v>
      </c>
      <c r="U12" s="11">
        <v>22.256699999999999</v>
      </c>
      <c r="V12"/>
      <c r="W12"/>
    </row>
    <row r="13" spans="1:23" x14ac:dyDescent="0.35">
      <c r="A13" s="40">
        <v>46107</v>
      </c>
      <c r="B13">
        <v>2026</v>
      </c>
      <c r="C13" t="s">
        <v>278</v>
      </c>
      <c r="D13">
        <v>13</v>
      </c>
      <c r="E13">
        <v>13</v>
      </c>
      <c r="F13" t="s">
        <v>49</v>
      </c>
      <c r="G13" s="106">
        <v>0.81597222222222221</v>
      </c>
      <c r="H13" t="s">
        <v>80</v>
      </c>
      <c r="I13" t="s">
        <v>285</v>
      </c>
      <c r="J13">
        <v>45</v>
      </c>
      <c r="K13">
        <v>4.38</v>
      </c>
      <c r="L13">
        <v>105</v>
      </c>
      <c r="M13">
        <v>8</v>
      </c>
      <c r="N13" s="58">
        <v>99.3</v>
      </c>
      <c r="O13" s="58">
        <v>75.885000000000005</v>
      </c>
      <c r="P13" s="58">
        <v>22.671199999999999</v>
      </c>
      <c r="Q13" s="58">
        <v>17.325342465753401</v>
      </c>
      <c r="R13" s="58">
        <v>12.4125</v>
      </c>
      <c r="S13" s="58">
        <v>0.94571428571428595</v>
      </c>
      <c r="T13" t="s">
        <v>175</v>
      </c>
      <c r="U13" s="11">
        <v>26.0533</v>
      </c>
      <c r="V13"/>
      <c r="W13"/>
    </row>
    <row r="14" spans="1:23" x14ac:dyDescent="0.35">
      <c r="A14" s="40">
        <v>46106</v>
      </c>
      <c r="B14">
        <v>2026</v>
      </c>
      <c r="C14" t="s">
        <v>278</v>
      </c>
      <c r="D14">
        <v>13</v>
      </c>
      <c r="E14">
        <v>13</v>
      </c>
      <c r="F14" t="s">
        <v>48</v>
      </c>
      <c r="G14" s="106">
        <v>0.77430555555555558</v>
      </c>
      <c r="H14" t="s">
        <v>80</v>
      </c>
      <c r="I14" t="s">
        <v>230</v>
      </c>
      <c r="J14">
        <v>41</v>
      </c>
      <c r="K14">
        <v>4.75</v>
      </c>
      <c r="L14">
        <v>102</v>
      </c>
      <c r="M14">
        <v>7</v>
      </c>
      <c r="N14" s="58">
        <v>114.73</v>
      </c>
      <c r="O14" s="58">
        <v>91.983999999999995</v>
      </c>
      <c r="P14" s="58">
        <v>24.153700000000001</v>
      </c>
      <c r="Q14" s="58">
        <v>19.365052631578902</v>
      </c>
      <c r="R14" s="58">
        <v>16.39</v>
      </c>
      <c r="S14" s="58">
        <v>1.1248039215686301</v>
      </c>
      <c r="T14" t="s">
        <v>176</v>
      </c>
      <c r="U14" s="11">
        <v>24.95</v>
      </c>
      <c r="V14"/>
      <c r="W14"/>
    </row>
    <row r="15" spans="1:23" x14ac:dyDescent="0.35">
      <c r="A15" s="40">
        <v>46098</v>
      </c>
      <c r="B15">
        <v>2026</v>
      </c>
      <c r="C15" t="s">
        <v>278</v>
      </c>
      <c r="D15">
        <v>12</v>
      </c>
      <c r="E15">
        <v>12</v>
      </c>
      <c r="F15" t="s">
        <v>47</v>
      </c>
      <c r="G15" s="106">
        <v>0.86458333333333337</v>
      </c>
      <c r="H15" t="s">
        <v>80</v>
      </c>
      <c r="I15" t="s">
        <v>230</v>
      </c>
      <c r="J15">
        <v>34</v>
      </c>
      <c r="K15">
        <v>3.75</v>
      </c>
      <c r="L15">
        <v>105</v>
      </c>
      <c r="M15">
        <v>4</v>
      </c>
      <c r="N15" s="58">
        <v>72.069999999999993</v>
      </c>
      <c r="O15" s="58">
        <v>48.655000000000001</v>
      </c>
      <c r="P15" s="58">
        <v>19.218699999999998</v>
      </c>
      <c r="Q15" s="58">
        <v>12.9746666666667</v>
      </c>
      <c r="R15" s="58">
        <v>18.017499999999998</v>
      </c>
      <c r="S15" s="58">
        <v>0.68638095238095198</v>
      </c>
      <c r="T15" t="s">
        <v>176</v>
      </c>
      <c r="U15" s="11">
        <v>26.127400000000002</v>
      </c>
      <c r="V15"/>
      <c r="W15"/>
    </row>
    <row r="16" spans="1:23" x14ac:dyDescent="0.35">
      <c r="A16" s="40">
        <v>46094</v>
      </c>
      <c r="B16">
        <v>2026</v>
      </c>
      <c r="C16" t="s">
        <v>278</v>
      </c>
      <c r="D16">
        <v>11</v>
      </c>
      <c r="E16">
        <v>11</v>
      </c>
      <c r="F16" t="s">
        <v>50</v>
      </c>
      <c r="G16" s="106">
        <v>0.83333333333333337</v>
      </c>
      <c r="H16" t="s">
        <v>80</v>
      </c>
      <c r="I16" t="s">
        <v>231</v>
      </c>
      <c r="J16">
        <v>34</v>
      </c>
      <c r="K16">
        <v>3.97</v>
      </c>
      <c r="L16">
        <v>124</v>
      </c>
      <c r="M16">
        <v>6</v>
      </c>
      <c r="N16" s="58">
        <v>96.46</v>
      </c>
      <c r="O16" s="58">
        <v>68.808000000000007</v>
      </c>
      <c r="P16" s="58">
        <v>24.2972</v>
      </c>
      <c r="Q16" s="58">
        <v>17.331989924433199</v>
      </c>
      <c r="R16" s="58">
        <v>16.0766666666667</v>
      </c>
      <c r="S16" s="58">
        <v>0.77790322580645199</v>
      </c>
      <c r="T16" t="s">
        <v>175</v>
      </c>
      <c r="U16" s="11">
        <v>28.043700000000001</v>
      </c>
      <c r="V16"/>
      <c r="W16"/>
    </row>
    <row r="17" spans="1:23" x14ac:dyDescent="0.35">
      <c r="A17" s="40">
        <v>46091</v>
      </c>
      <c r="B17">
        <v>2026</v>
      </c>
      <c r="C17" t="s">
        <v>278</v>
      </c>
      <c r="D17">
        <v>11</v>
      </c>
      <c r="E17">
        <v>11</v>
      </c>
      <c r="F17" t="s">
        <v>47</v>
      </c>
      <c r="G17" s="106">
        <v>0.78472222222222221</v>
      </c>
      <c r="H17" t="s">
        <v>85</v>
      </c>
      <c r="I17" t="s">
        <v>249</v>
      </c>
      <c r="J17">
        <v>50</v>
      </c>
      <c r="K17">
        <v>4.05</v>
      </c>
      <c r="L17">
        <v>74</v>
      </c>
      <c r="M17">
        <v>6</v>
      </c>
      <c r="N17" s="58">
        <v>134.34</v>
      </c>
      <c r="O17" s="58">
        <v>117.83799999999999</v>
      </c>
      <c r="P17" s="58">
        <v>33.170400000000001</v>
      </c>
      <c r="Q17" s="58">
        <v>29.095802469135801</v>
      </c>
      <c r="R17" s="58">
        <v>22.39</v>
      </c>
      <c r="S17" s="58">
        <v>1.8154054054054101</v>
      </c>
      <c r="T17" t="s">
        <v>176</v>
      </c>
      <c r="U17" s="11">
        <v>31.678100000000001</v>
      </c>
      <c r="V17"/>
      <c r="W17"/>
    </row>
    <row r="18" spans="1:23" x14ac:dyDescent="0.35">
      <c r="A18" s="40">
        <v>46087</v>
      </c>
      <c r="B18">
        <v>2026</v>
      </c>
      <c r="C18" t="s">
        <v>278</v>
      </c>
      <c r="D18">
        <v>10</v>
      </c>
      <c r="E18">
        <v>10</v>
      </c>
      <c r="F18" t="s">
        <v>50</v>
      </c>
      <c r="G18" s="106">
        <v>0.82986111111111116</v>
      </c>
      <c r="H18" t="s">
        <v>80</v>
      </c>
      <c r="I18" t="s">
        <v>285</v>
      </c>
      <c r="J18">
        <v>32</v>
      </c>
      <c r="K18">
        <v>3.1</v>
      </c>
      <c r="L18">
        <v>70</v>
      </c>
      <c r="M18">
        <v>7</v>
      </c>
      <c r="N18" s="58">
        <v>80.22</v>
      </c>
      <c r="O18" s="58">
        <v>64.61</v>
      </c>
      <c r="P18" s="58">
        <v>25.877400000000002</v>
      </c>
      <c r="Q18" s="58">
        <v>20.841935483871001</v>
      </c>
      <c r="R18" s="58">
        <v>11.46</v>
      </c>
      <c r="S18" s="58">
        <v>1.1459999999999999</v>
      </c>
      <c r="T18" t="s">
        <v>175</v>
      </c>
      <c r="U18" s="11">
        <v>35.625599999999999</v>
      </c>
      <c r="V18"/>
      <c r="W18"/>
    </row>
    <row r="19" spans="1:23" x14ac:dyDescent="0.35">
      <c r="A19" s="40">
        <v>46084</v>
      </c>
      <c r="B19">
        <v>2026</v>
      </c>
      <c r="C19" t="s">
        <v>278</v>
      </c>
      <c r="D19">
        <v>10</v>
      </c>
      <c r="E19">
        <v>10</v>
      </c>
      <c r="F19" t="s">
        <v>47</v>
      </c>
      <c r="G19" s="106">
        <v>0.90972222222222221</v>
      </c>
      <c r="H19" t="s">
        <v>82</v>
      </c>
      <c r="I19" t="s">
        <v>232</v>
      </c>
      <c r="J19">
        <v>28</v>
      </c>
      <c r="K19">
        <v>2.33</v>
      </c>
      <c r="L19">
        <v>23</v>
      </c>
      <c r="M19">
        <v>8</v>
      </c>
      <c r="N19" s="58">
        <v>49.5</v>
      </c>
      <c r="O19" s="58">
        <v>44.371000000000002</v>
      </c>
      <c r="P19" s="58">
        <v>21.244599999999998</v>
      </c>
      <c r="Q19" s="58">
        <v>19.043347639484999</v>
      </c>
      <c r="R19" s="58">
        <v>6.1875</v>
      </c>
      <c r="S19" s="58">
        <v>2.1521739130434798</v>
      </c>
      <c r="T19" t="s">
        <v>176</v>
      </c>
      <c r="U19" s="11">
        <v>36.365200000000002</v>
      </c>
      <c r="V19"/>
      <c r="W19"/>
    </row>
    <row r="20" spans="1:23" x14ac:dyDescent="0.35">
      <c r="A20" s="40">
        <v>46083</v>
      </c>
      <c r="B20">
        <v>2026</v>
      </c>
      <c r="C20" t="s">
        <v>278</v>
      </c>
      <c r="D20">
        <v>10</v>
      </c>
      <c r="E20">
        <v>10</v>
      </c>
      <c r="F20" t="s">
        <v>46</v>
      </c>
      <c r="G20" s="106">
        <v>0.82986111111111116</v>
      </c>
      <c r="H20" t="s">
        <v>80</v>
      </c>
      <c r="I20" t="s">
        <v>230</v>
      </c>
      <c r="J20">
        <v>18</v>
      </c>
      <c r="K20">
        <v>4.87</v>
      </c>
      <c r="L20">
        <v>111</v>
      </c>
      <c r="M20">
        <v>10</v>
      </c>
      <c r="N20" s="58">
        <v>127.19</v>
      </c>
      <c r="O20" s="58">
        <v>102.437</v>
      </c>
      <c r="P20" s="58">
        <v>26.117000000000001</v>
      </c>
      <c r="Q20" s="58">
        <v>21.0342915811088</v>
      </c>
      <c r="R20" s="58">
        <v>12.718999999999999</v>
      </c>
      <c r="S20" s="58">
        <v>1.14585585585586</v>
      </c>
      <c r="T20" t="s">
        <v>176</v>
      </c>
      <c r="U20" s="11">
        <v>36.476999999999997</v>
      </c>
      <c r="V20"/>
      <c r="W20"/>
    </row>
    <row r="21" spans="1:23" x14ac:dyDescent="0.35">
      <c r="A21" s="40">
        <v>46074</v>
      </c>
      <c r="B21">
        <v>2026</v>
      </c>
      <c r="C21" t="s">
        <v>278</v>
      </c>
      <c r="D21">
        <v>8</v>
      </c>
      <c r="E21">
        <v>8</v>
      </c>
      <c r="F21" t="s">
        <v>51</v>
      </c>
      <c r="G21" s="106">
        <v>0.65277777777777779</v>
      </c>
      <c r="H21" t="s">
        <v>80</v>
      </c>
      <c r="I21" t="s">
        <v>230</v>
      </c>
      <c r="J21">
        <v>27</v>
      </c>
      <c r="K21">
        <v>4.9800000000000004</v>
      </c>
      <c r="L21">
        <v>122</v>
      </c>
      <c r="M21">
        <v>10</v>
      </c>
      <c r="N21" s="58">
        <v>197.22</v>
      </c>
      <c r="O21" s="58">
        <v>170.01400000000001</v>
      </c>
      <c r="P21" s="58">
        <v>39.602400000000003</v>
      </c>
      <c r="Q21" s="58">
        <v>34.139357429718899</v>
      </c>
      <c r="R21" s="58">
        <v>19.722000000000001</v>
      </c>
      <c r="S21" s="58">
        <v>1.6165573770491799</v>
      </c>
      <c r="T21" t="s">
        <v>176</v>
      </c>
      <c r="U21" s="11">
        <v>42.584099999999999</v>
      </c>
      <c r="V21"/>
      <c r="W21"/>
    </row>
    <row r="22" spans="1:23" x14ac:dyDescent="0.35">
      <c r="A22" s="40">
        <v>46073</v>
      </c>
      <c r="B22">
        <v>2026</v>
      </c>
      <c r="C22" t="s">
        <v>278</v>
      </c>
      <c r="D22">
        <v>8</v>
      </c>
      <c r="E22">
        <v>8</v>
      </c>
      <c r="F22" t="s">
        <v>50</v>
      </c>
      <c r="G22" s="106">
        <v>0.82986111111111116</v>
      </c>
      <c r="H22" t="s">
        <v>80</v>
      </c>
      <c r="I22" t="s">
        <v>232</v>
      </c>
      <c r="J22">
        <v>32</v>
      </c>
      <c r="K22">
        <v>4.22</v>
      </c>
      <c r="L22">
        <v>77</v>
      </c>
      <c r="M22">
        <v>9</v>
      </c>
      <c r="N22" s="58">
        <v>169.02</v>
      </c>
      <c r="O22" s="58">
        <v>151.84899999999999</v>
      </c>
      <c r="P22" s="58">
        <v>40.052100000000003</v>
      </c>
      <c r="Q22" s="58">
        <v>35.9831753554502</v>
      </c>
      <c r="R22" s="58">
        <v>18.78</v>
      </c>
      <c r="S22" s="58">
        <v>2.19506493506494</v>
      </c>
      <c r="T22" t="s">
        <v>176</v>
      </c>
      <c r="U22" s="11">
        <v>41.022199999999998</v>
      </c>
      <c r="V22"/>
      <c r="W22"/>
    </row>
    <row r="23" spans="1:23" x14ac:dyDescent="0.35">
      <c r="A23" s="40">
        <v>46067</v>
      </c>
      <c r="B23">
        <v>2026</v>
      </c>
      <c r="C23" t="s">
        <v>278</v>
      </c>
      <c r="D23">
        <v>7</v>
      </c>
      <c r="E23">
        <v>7</v>
      </c>
      <c r="F23" t="s">
        <v>51</v>
      </c>
      <c r="G23" s="106">
        <v>0.88541666666666663</v>
      </c>
      <c r="H23" t="s">
        <v>80</v>
      </c>
      <c r="I23" t="s">
        <v>230</v>
      </c>
      <c r="J23">
        <v>28</v>
      </c>
      <c r="K23">
        <v>3.5</v>
      </c>
      <c r="L23">
        <v>109</v>
      </c>
      <c r="M23">
        <v>3</v>
      </c>
      <c r="N23" s="58">
        <v>60.17</v>
      </c>
      <c r="O23" s="58">
        <v>35.863</v>
      </c>
      <c r="P23" s="58">
        <v>17.191400000000002</v>
      </c>
      <c r="Q23" s="58">
        <v>10.2465714285714</v>
      </c>
      <c r="R23" s="58">
        <v>20.0566666666667</v>
      </c>
      <c r="S23" s="58">
        <v>0.55201834862385302</v>
      </c>
      <c r="T23" t="s">
        <v>176</v>
      </c>
      <c r="U23" s="11">
        <v>41.318399999999997</v>
      </c>
      <c r="V23"/>
      <c r="W23"/>
    </row>
    <row r="24" spans="1:23" x14ac:dyDescent="0.35">
      <c r="A24" s="40">
        <v>46066</v>
      </c>
      <c r="B24">
        <v>2026</v>
      </c>
      <c r="C24" t="s">
        <v>278</v>
      </c>
      <c r="D24">
        <v>7</v>
      </c>
      <c r="E24">
        <v>7</v>
      </c>
      <c r="F24" t="s">
        <v>50</v>
      </c>
      <c r="G24" s="106">
        <v>0.83333333333333337</v>
      </c>
      <c r="H24" t="s">
        <v>85</v>
      </c>
      <c r="I24" t="s">
        <v>230</v>
      </c>
      <c r="J24">
        <v>25</v>
      </c>
      <c r="K24">
        <v>4.33</v>
      </c>
      <c r="L24">
        <v>131</v>
      </c>
      <c r="M24">
        <v>7</v>
      </c>
      <c r="N24" s="58">
        <v>84.78</v>
      </c>
      <c r="O24" s="58">
        <v>55.567</v>
      </c>
      <c r="P24" s="58">
        <v>19.579699999999999</v>
      </c>
      <c r="Q24" s="58">
        <v>12.833025404157</v>
      </c>
      <c r="R24" s="58">
        <v>12.111428571428601</v>
      </c>
      <c r="S24" s="58">
        <v>0.64717557251908397</v>
      </c>
      <c r="T24" t="s">
        <v>175</v>
      </c>
      <c r="U24" s="11">
        <v>42.180900000000001</v>
      </c>
      <c r="V24"/>
      <c r="W24"/>
    </row>
    <row r="25" spans="1:23" x14ac:dyDescent="0.35">
      <c r="A25" s="40">
        <v>46054</v>
      </c>
      <c r="B25">
        <v>2026</v>
      </c>
      <c r="C25" t="s">
        <v>278</v>
      </c>
      <c r="D25">
        <v>5</v>
      </c>
      <c r="E25">
        <v>5</v>
      </c>
      <c r="F25" t="s">
        <v>45</v>
      </c>
      <c r="G25" s="106">
        <v>0.78125</v>
      </c>
      <c r="H25" t="s">
        <v>80</v>
      </c>
      <c r="I25" t="s">
        <v>230</v>
      </c>
      <c r="J25">
        <v>21</v>
      </c>
      <c r="K25">
        <v>4.4800000000000004</v>
      </c>
      <c r="L25">
        <v>119</v>
      </c>
      <c r="M25">
        <v>7</v>
      </c>
      <c r="N25" s="58">
        <v>141.75</v>
      </c>
      <c r="O25" s="58">
        <v>115.21299999999999</v>
      </c>
      <c r="P25" s="58">
        <v>31.640599999999999</v>
      </c>
      <c r="Q25" s="58">
        <v>25.717187500000001</v>
      </c>
      <c r="R25" s="58">
        <v>20.25</v>
      </c>
      <c r="S25" s="58">
        <v>1.1911764705882399</v>
      </c>
      <c r="T25" t="s">
        <v>176</v>
      </c>
      <c r="U25" s="11">
        <v>45.8294</v>
      </c>
      <c r="V25"/>
      <c r="W25"/>
    </row>
    <row r="26" spans="1:23" x14ac:dyDescent="0.35">
      <c r="A26" s="40">
        <v>46048</v>
      </c>
      <c r="B26">
        <v>2026</v>
      </c>
      <c r="C26" t="s">
        <v>278</v>
      </c>
      <c r="D26">
        <v>5</v>
      </c>
      <c r="E26">
        <v>5</v>
      </c>
      <c r="F26" t="s">
        <v>46</v>
      </c>
      <c r="G26" s="106">
        <v>0.90277777777777779</v>
      </c>
      <c r="H26" t="s">
        <v>80</v>
      </c>
      <c r="I26" t="s">
        <v>234</v>
      </c>
      <c r="J26">
        <v>12</v>
      </c>
      <c r="K26">
        <v>0.85</v>
      </c>
      <c r="L26">
        <v>24</v>
      </c>
      <c r="M26">
        <v>2</v>
      </c>
      <c r="N26" s="58">
        <v>21.84</v>
      </c>
      <c r="O26" s="58">
        <v>16.488</v>
      </c>
      <c r="P26" s="58">
        <v>25.694099999999999</v>
      </c>
      <c r="Q26" s="58">
        <v>19.397647058823502</v>
      </c>
      <c r="R26" s="58">
        <v>10.92</v>
      </c>
      <c r="S26" s="58">
        <v>0.91</v>
      </c>
      <c r="T26" t="s">
        <v>176</v>
      </c>
      <c r="U26" s="11">
        <v>48.649900000000002</v>
      </c>
      <c r="V26"/>
      <c r="W26"/>
    </row>
    <row r="27" spans="1:23" x14ac:dyDescent="0.35">
      <c r="A27" s="40">
        <v>46046</v>
      </c>
      <c r="B27">
        <v>2026</v>
      </c>
      <c r="C27" t="s">
        <v>278</v>
      </c>
      <c r="D27">
        <v>4</v>
      </c>
      <c r="E27">
        <v>4</v>
      </c>
      <c r="F27" t="s">
        <v>51</v>
      </c>
      <c r="G27" s="106">
        <v>0.77777777777777779</v>
      </c>
      <c r="H27" t="s">
        <v>80</v>
      </c>
      <c r="I27" t="s">
        <v>230</v>
      </c>
      <c r="J27">
        <v>16</v>
      </c>
      <c r="K27">
        <v>4.62</v>
      </c>
      <c r="L27">
        <v>94</v>
      </c>
      <c r="M27">
        <v>8</v>
      </c>
      <c r="N27" s="58">
        <v>110.41</v>
      </c>
      <c r="O27" s="58">
        <v>89.447999999999993</v>
      </c>
      <c r="P27" s="58">
        <v>23.898299999999999</v>
      </c>
      <c r="Q27" s="58">
        <v>19.361038961039</v>
      </c>
      <c r="R27" s="58">
        <v>13.80125</v>
      </c>
      <c r="S27" s="58">
        <v>1.17457446808511</v>
      </c>
      <c r="T27" t="s">
        <v>176</v>
      </c>
      <c r="U27" s="11">
        <v>51.494100000000003</v>
      </c>
      <c r="V27"/>
      <c r="W27"/>
    </row>
    <row r="28" spans="1:23" x14ac:dyDescent="0.35">
      <c r="A28" s="40">
        <v>46041</v>
      </c>
      <c r="B28">
        <v>2026</v>
      </c>
      <c r="C28" t="s">
        <v>278</v>
      </c>
      <c r="D28">
        <v>4</v>
      </c>
      <c r="E28">
        <v>4</v>
      </c>
      <c r="F28" t="s">
        <v>46</v>
      </c>
      <c r="G28" s="106">
        <v>0.50694444444444442</v>
      </c>
      <c r="H28" t="s">
        <v>85</v>
      </c>
      <c r="I28" t="s">
        <v>231</v>
      </c>
      <c r="J28">
        <v>30</v>
      </c>
      <c r="K28">
        <v>4.47</v>
      </c>
      <c r="L28">
        <v>90</v>
      </c>
      <c r="M28">
        <v>6</v>
      </c>
      <c r="N28" s="58">
        <v>77.680000000000007</v>
      </c>
      <c r="O28" s="58">
        <v>57.61</v>
      </c>
      <c r="P28" s="58">
        <v>17.3781</v>
      </c>
      <c r="Q28" s="58">
        <v>12.8881431767338</v>
      </c>
      <c r="R28" s="58">
        <v>12.946666666666699</v>
      </c>
      <c r="S28" s="58">
        <v>0.86311111111111105</v>
      </c>
      <c r="T28" t="s">
        <v>175</v>
      </c>
      <c r="U28" s="11">
        <v>50.965000000000003</v>
      </c>
      <c r="V28"/>
      <c r="W28"/>
    </row>
    <row r="29" spans="1:23" x14ac:dyDescent="0.35">
      <c r="A29" s="40">
        <v>46040</v>
      </c>
      <c r="B29">
        <v>2026</v>
      </c>
      <c r="C29" t="s">
        <v>278</v>
      </c>
      <c r="D29">
        <v>3</v>
      </c>
      <c r="E29">
        <v>3</v>
      </c>
      <c r="F29" t="s">
        <v>45</v>
      </c>
      <c r="G29" s="106">
        <v>0.67361111111111116</v>
      </c>
      <c r="H29" t="s">
        <v>80</v>
      </c>
      <c r="I29" t="s">
        <v>231</v>
      </c>
      <c r="J29">
        <v>30</v>
      </c>
      <c r="K29">
        <v>1.63</v>
      </c>
      <c r="L29">
        <v>45</v>
      </c>
      <c r="M29">
        <v>3</v>
      </c>
      <c r="N29" s="58">
        <v>22.93</v>
      </c>
      <c r="O29" s="58">
        <v>12.895</v>
      </c>
      <c r="P29" s="58">
        <v>14.067500000000001</v>
      </c>
      <c r="Q29" s="58">
        <v>7.9110429447852804</v>
      </c>
      <c r="R29" s="58">
        <v>7.64333333333333</v>
      </c>
      <c r="S29" s="58">
        <v>0.50955555555555598</v>
      </c>
      <c r="T29" t="s">
        <v>175</v>
      </c>
      <c r="U29" s="11">
        <v>51.784199999999998</v>
      </c>
      <c r="V29"/>
      <c r="W29"/>
    </row>
    <row r="30" spans="1:23" x14ac:dyDescent="0.35">
      <c r="A30" s="40">
        <v>46039</v>
      </c>
      <c r="B30">
        <v>2026</v>
      </c>
      <c r="C30" t="s">
        <v>278</v>
      </c>
      <c r="D30">
        <v>3</v>
      </c>
      <c r="E30">
        <v>3</v>
      </c>
      <c r="F30" t="s">
        <v>51</v>
      </c>
      <c r="G30" s="106">
        <v>0.66666666666666663</v>
      </c>
      <c r="H30" t="s">
        <v>82</v>
      </c>
      <c r="I30" t="s">
        <v>234</v>
      </c>
      <c r="J30">
        <v>25</v>
      </c>
      <c r="K30">
        <v>4.2699999999999996</v>
      </c>
      <c r="L30">
        <v>72</v>
      </c>
      <c r="M30">
        <v>11</v>
      </c>
      <c r="N30" s="58">
        <v>131.44999999999999</v>
      </c>
      <c r="O30" s="58">
        <v>115.39400000000001</v>
      </c>
      <c r="P30" s="58">
        <v>30.784500000000001</v>
      </c>
      <c r="Q30" s="58">
        <v>27.024355971896998</v>
      </c>
      <c r="R30" s="58">
        <v>11.95</v>
      </c>
      <c r="S30" s="58">
        <v>1.8256944444444401</v>
      </c>
      <c r="T30" t="s">
        <v>175</v>
      </c>
      <c r="U30" s="11">
        <v>52.913899999999998</v>
      </c>
      <c r="V30"/>
      <c r="W30"/>
    </row>
    <row r="31" spans="1:23" x14ac:dyDescent="0.35">
      <c r="A31" s="40">
        <v>46038</v>
      </c>
      <c r="B31">
        <v>2026</v>
      </c>
      <c r="C31" t="s">
        <v>278</v>
      </c>
      <c r="D31">
        <v>3</v>
      </c>
      <c r="E31">
        <v>3</v>
      </c>
      <c r="F31" t="s">
        <v>50</v>
      </c>
      <c r="G31" s="106">
        <v>0.81597222222222221</v>
      </c>
      <c r="H31" t="s">
        <v>80</v>
      </c>
      <c r="I31" t="s">
        <v>230</v>
      </c>
      <c r="J31">
        <v>18</v>
      </c>
      <c r="K31">
        <v>4.12</v>
      </c>
      <c r="L31">
        <v>100</v>
      </c>
      <c r="M31">
        <v>8</v>
      </c>
      <c r="N31" s="58">
        <v>155.49</v>
      </c>
      <c r="O31" s="58">
        <v>133.19</v>
      </c>
      <c r="P31" s="58">
        <v>37.740299999999998</v>
      </c>
      <c r="Q31" s="58">
        <v>32.327669902912596</v>
      </c>
      <c r="R31" s="58">
        <v>19.436250000000001</v>
      </c>
      <c r="S31" s="58">
        <v>1.5548999999999999</v>
      </c>
      <c r="T31" t="s">
        <v>176</v>
      </c>
      <c r="U31" s="11">
        <v>51.453299999999999</v>
      </c>
      <c r="V31"/>
      <c r="W31"/>
    </row>
    <row r="32" spans="1:23" x14ac:dyDescent="0.35">
      <c r="A32" s="40">
        <v>46036</v>
      </c>
      <c r="B32">
        <v>2026</v>
      </c>
      <c r="C32" t="s">
        <v>278</v>
      </c>
      <c r="D32">
        <v>3</v>
      </c>
      <c r="E32">
        <v>3</v>
      </c>
      <c r="F32" t="s">
        <v>48</v>
      </c>
      <c r="G32" s="106">
        <v>0.84027777777777779</v>
      </c>
      <c r="H32" t="s">
        <v>82</v>
      </c>
      <c r="I32" t="s">
        <v>325</v>
      </c>
      <c r="J32">
        <v>41</v>
      </c>
      <c r="K32">
        <v>2.23</v>
      </c>
      <c r="L32">
        <v>38</v>
      </c>
      <c r="M32">
        <v>6</v>
      </c>
      <c r="N32" s="58">
        <v>43.55</v>
      </c>
      <c r="O32" s="58">
        <v>35.076000000000001</v>
      </c>
      <c r="P32" s="58">
        <v>19.5291</v>
      </c>
      <c r="Q32" s="58">
        <v>15.7291479820628</v>
      </c>
      <c r="R32" s="58">
        <v>7.2583333333333302</v>
      </c>
      <c r="S32" s="58">
        <v>1.1460526315789501</v>
      </c>
      <c r="T32" t="s">
        <v>175</v>
      </c>
      <c r="U32" s="11">
        <v>51.390099999999997</v>
      </c>
      <c r="V32"/>
      <c r="W32"/>
    </row>
    <row r="33" spans="1:23" x14ac:dyDescent="0.35">
      <c r="A33" s="40">
        <v>46030</v>
      </c>
      <c r="B33">
        <v>2026</v>
      </c>
      <c r="C33" t="s">
        <v>278</v>
      </c>
      <c r="D33">
        <v>2</v>
      </c>
      <c r="E33">
        <v>2</v>
      </c>
      <c r="F33" t="s">
        <v>49</v>
      </c>
      <c r="G33" s="106">
        <v>0.84375</v>
      </c>
      <c r="H33" t="s">
        <v>82</v>
      </c>
      <c r="I33" t="s">
        <v>230</v>
      </c>
      <c r="J33">
        <v>36</v>
      </c>
      <c r="K33">
        <v>1.72</v>
      </c>
      <c r="L33">
        <v>33</v>
      </c>
      <c r="M33">
        <v>2</v>
      </c>
      <c r="N33" s="58">
        <v>42.2</v>
      </c>
      <c r="O33" s="58">
        <v>34.841000000000001</v>
      </c>
      <c r="P33" s="58">
        <v>24.5349</v>
      </c>
      <c r="Q33" s="58">
        <v>20.256395348837199</v>
      </c>
      <c r="R33" s="58">
        <v>21.1</v>
      </c>
      <c r="S33" s="58">
        <v>1.2787878787878799</v>
      </c>
      <c r="T33" t="s">
        <v>176</v>
      </c>
      <c r="U33" s="11">
        <v>53.195099999999996</v>
      </c>
      <c r="V33"/>
      <c r="W33"/>
    </row>
    <row r="34" spans="1:23" x14ac:dyDescent="0.35">
      <c r="A34" s="40">
        <v>46026</v>
      </c>
      <c r="B34">
        <v>2026</v>
      </c>
      <c r="C34" t="s">
        <v>278</v>
      </c>
      <c r="D34">
        <v>1</v>
      </c>
      <c r="E34">
        <v>1</v>
      </c>
      <c r="F34" t="s">
        <v>45</v>
      </c>
      <c r="G34" s="106">
        <v>0.87152777777777779</v>
      </c>
      <c r="H34" t="s">
        <v>80</v>
      </c>
      <c r="I34" t="s">
        <v>231</v>
      </c>
      <c r="J34">
        <v>18</v>
      </c>
      <c r="K34">
        <v>1.22</v>
      </c>
      <c r="L34">
        <v>37</v>
      </c>
      <c r="M34">
        <v>2</v>
      </c>
      <c r="N34" s="58">
        <v>38.4</v>
      </c>
      <c r="O34" s="58">
        <v>30.149000000000001</v>
      </c>
      <c r="P34" s="58">
        <v>31.4754</v>
      </c>
      <c r="Q34" s="58">
        <v>24.712295081967198</v>
      </c>
      <c r="R34" s="58">
        <v>19.2</v>
      </c>
      <c r="S34" s="58">
        <v>1.0378378378378399</v>
      </c>
      <c r="T34" t="s">
        <v>176</v>
      </c>
      <c r="U34" s="11">
        <v>56.053899999999999</v>
      </c>
      <c r="V34"/>
      <c r="W34"/>
    </row>
    <row r="35" spans="1:23" x14ac:dyDescent="0.35">
      <c r="A35" s="40">
        <v>46025</v>
      </c>
      <c r="B35">
        <v>2026</v>
      </c>
      <c r="C35" t="s">
        <v>278</v>
      </c>
      <c r="D35">
        <v>1</v>
      </c>
      <c r="E35">
        <v>1</v>
      </c>
      <c r="F35" t="s">
        <v>51</v>
      </c>
      <c r="G35" s="106">
        <v>0.85416666666666663</v>
      </c>
      <c r="H35" t="s">
        <v>80</v>
      </c>
      <c r="I35" t="s">
        <v>249</v>
      </c>
      <c r="J35">
        <v>19</v>
      </c>
      <c r="K35">
        <v>4.83</v>
      </c>
      <c r="L35">
        <v>137</v>
      </c>
      <c r="M35">
        <v>9</v>
      </c>
      <c r="N35" s="58">
        <v>155.03</v>
      </c>
      <c r="O35" s="58">
        <v>124.479</v>
      </c>
      <c r="P35" s="58">
        <v>32.097299999999997</v>
      </c>
      <c r="Q35" s="58">
        <v>25.772049689441001</v>
      </c>
      <c r="R35" s="58">
        <v>17.225555555555601</v>
      </c>
      <c r="S35" s="58">
        <v>1.13160583941606</v>
      </c>
      <c r="T35" t="s">
        <v>176</v>
      </c>
      <c r="U35" s="11">
        <v>55.627200000000002</v>
      </c>
      <c r="V35"/>
      <c r="W35"/>
    </row>
    <row r="36" spans="1:23" x14ac:dyDescent="0.35">
      <c r="A36" s="40">
        <v>46023</v>
      </c>
      <c r="B36">
        <v>2026</v>
      </c>
      <c r="C36" t="s">
        <v>278</v>
      </c>
      <c r="D36">
        <v>1</v>
      </c>
      <c r="E36">
        <v>1</v>
      </c>
      <c r="F36" t="s">
        <v>49</v>
      </c>
      <c r="G36" s="106">
        <v>0.61458333333333337</v>
      </c>
      <c r="H36" t="s">
        <v>82</v>
      </c>
      <c r="I36" t="s">
        <v>234</v>
      </c>
      <c r="J36">
        <v>28</v>
      </c>
      <c r="K36">
        <v>0.43</v>
      </c>
      <c r="L36">
        <v>11</v>
      </c>
      <c r="M36">
        <v>1</v>
      </c>
      <c r="N36" s="58">
        <v>9</v>
      </c>
      <c r="O36" s="58">
        <v>6.5469999999999997</v>
      </c>
      <c r="P36" s="58">
        <v>20.930199999999999</v>
      </c>
      <c r="Q36" s="58">
        <v>15.225581395348801</v>
      </c>
      <c r="R36" s="58">
        <v>9</v>
      </c>
      <c r="S36" s="58">
        <v>0.81818181818181801</v>
      </c>
      <c r="T36" t="s">
        <v>176</v>
      </c>
      <c r="U36" s="11">
        <v>55.6096</v>
      </c>
      <c r="V36"/>
      <c r="W36"/>
    </row>
    <row r="37" spans="1:23" x14ac:dyDescent="0.35">
      <c r="A37" s="40">
        <v>46021</v>
      </c>
      <c r="B37">
        <v>2025</v>
      </c>
      <c r="C37" t="s">
        <v>278</v>
      </c>
      <c r="D37">
        <v>1</v>
      </c>
      <c r="E37">
        <v>1</v>
      </c>
      <c r="F37" t="s">
        <v>47</v>
      </c>
      <c r="G37" s="106">
        <v>0.82986111111111116</v>
      </c>
      <c r="H37" t="s">
        <v>80</v>
      </c>
      <c r="I37" t="s">
        <v>249</v>
      </c>
      <c r="J37">
        <v>14</v>
      </c>
      <c r="K37">
        <v>4.6500000000000004</v>
      </c>
      <c r="L37">
        <v>100</v>
      </c>
      <c r="M37">
        <v>7</v>
      </c>
      <c r="N37" s="58">
        <v>110.07</v>
      </c>
      <c r="O37" s="58">
        <v>87.77</v>
      </c>
      <c r="P37" s="58">
        <v>23.670999999999999</v>
      </c>
      <c r="Q37" s="58">
        <v>18.875268817204301</v>
      </c>
      <c r="R37" s="58">
        <v>15.724285714285701</v>
      </c>
      <c r="S37" s="58">
        <v>1.1007</v>
      </c>
      <c r="T37" t="s">
        <v>176</v>
      </c>
      <c r="U37" s="11">
        <v>58.577100000000002</v>
      </c>
      <c r="V37"/>
      <c r="W37"/>
    </row>
    <row r="38" spans="1:23" x14ac:dyDescent="0.35">
      <c r="A38" s="40">
        <v>46012</v>
      </c>
      <c r="B38">
        <v>2025</v>
      </c>
      <c r="C38" t="s">
        <v>327</v>
      </c>
      <c r="D38">
        <v>12</v>
      </c>
      <c r="E38">
        <v>51</v>
      </c>
      <c r="F38" t="s">
        <v>45</v>
      </c>
      <c r="G38" s="106">
        <v>0.71875</v>
      </c>
      <c r="H38" t="s">
        <v>85</v>
      </c>
      <c r="I38" t="s">
        <v>230</v>
      </c>
      <c r="J38">
        <v>30</v>
      </c>
      <c r="K38">
        <v>5.73</v>
      </c>
      <c r="L38">
        <v>151</v>
      </c>
      <c r="M38">
        <v>9</v>
      </c>
      <c r="N38" s="58">
        <v>156.69999999999999</v>
      </c>
      <c r="O38" s="58">
        <v>123.027</v>
      </c>
      <c r="P38" s="58">
        <v>27.347300000000001</v>
      </c>
      <c r="Q38" s="58">
        <v>21.470680628272198</v>
      </c>
      <c r="R38" s="58">
        <v>17.411111111111101</v>
      </c>
      <c r="S38" s="58">
        <v>1.0377483443708599</v>
      </c>
      <c r="T38" t="s">
        <v>176</v>
      </c>
      <c r="U38" s="11">
        <v>66.898899999999998</v>
      </c>
      <c r="V38"/>
      <c r="W38"/>
    </row>
    <row r="39" spans="1:23" x14ac:dyDescent="0.35">
      <c r="A39" s="40">
        <v>46010</v>
      </c>
      <c r="B39">
        <v>2025</v>
      </c>
      <c r="C39" t="s">
        <v>327</v>
      </c>
      <c r="D39">
        <v>12</v>
      </c>
      <c r="E39">
        <v>51</v>
      </c>
      <c r="F39" t="s">
        <v>50</v>
      </c>
      <c r="G39" s="106">
        <v>0.84027777777777779</v>
      </c>
      <c r="H39" t="s">
        <v>174</v>
      </c>
      <c r="I39" t="s">
        <v>231</v>
      </c>
      <c r="J39">
        <v>43</v>
      </c>
      <c r="K39">
        <v>3.87</v>
      </c>
      <c r="L39">
        <v>111</v>
      </c>
      <c r="M39">
        <v>6</v>
      </c>
      <c r="N39" s="58">
        <v>64</v>
      </c>
      <c r="O39" s="58">
        <v>39.247</v>
      </c>
      <c r="P39" s="58">
        <v>16.537500000000001</v>
      </c>
      <c r="Q39" s="58">
        <v>10.141343669250601</v>
      </c>
      <c r="R39" s="58">
        <v>10.6666666666667</v>
      </c>
      <c r="S39" s="58">
        <v>0.57657657657657602</v>
      </c>
      <c r="T39" t="s">
        <v>176</v>
      </c>
      <c r="U39" s="11">
        <v>67.872100000000003</v>
      </c>
      <c r="V39"/>
      <c r="W39"/>
    </row>
    <row r="40" spans="1:23" x14ac:dyDescent="0.35">
      <c r="A40" s="40">
        <v>46007</v>
      </c>
      <c r="B40">
        <v>2025</v>
      </c>
      <c r="C40" t="s">
        <v>327</v>
      </c>
      <c r="D40">
        <v>12</v>
      </c>
      <c r="E40">
        <v>51</v>
      </c>
      <c r="F40" t="s">
        <v>47</v>
      </c>
      <c r="G40" s="106">
        <v>0.77430555555555558</v>
      </c>
      <c r="H40" t="s">
        <v>82</v>
      </c>
      <c r="I40" t="s">
        <v>230</v>
      </c>
      <c r="J40">
        <v>28</v>
      </c>
      <c r="K40">
        <v>3.83</v>
      </c>
      <c r="L40">
        <v>58</v>
      </c>
      <c r="M40">
        <v>9</v>
      </c>
      <c r="N40" s="58">
        <v>60.52</v>
      </c>
      <c r="O40" s="58">
        <v>47.585999999999999</v>
      </c>
      <c r="P40" s="58">
        <v>15.801600000000001</v>
      </c>
      <c r="Q40" s="58">
        <v>12.4245430809399</v>
      </c>
      <c r="R40" s="58">
        <v>6.7244444444444396</v>
      </c>
      <c r="S40" s="58">
        <v>1.04344827586207</v>
      </c>
      <c r="T40" t="s">
        <v>175</v>
      </c>
      <c r="U40" s="11">
        <v>69.6858</v>
      </c>
      <c r="V40"/>
      <c r="W40"/>
    </row>
    <row r="41" spans="1:23" x14ac:dyDescent="0.35">
      <c r="A41" s="40">
        <v>46006</v>
      </c>
      <c r="B41">
        <v>2025</v>
      </c>
      <c r="C41" t="s">
        <v>327</v>
      </c>
      <c r="D41">
        <v>12</v>
      </c>
      <c r="E41">
        <v>51</v>
      </c>
      <c r="F41" t="s">
        <v>46</v>
      </c>
      <c r="G41" s="106">
        <v>0.77430555555555558</v>
      </c>
      <c r="H41" t="s">
        <v>80</v>
      </c>
      <c r="I41" t="s">
        <v>230</v>
      </c>
      <c r="J41">
        <v>19</v>
      </c>
      <c r="K41">
        <v>4.17</v>
      </c>
      <c r="L41">
        <v>103</v>
      </c>
      <c r="M41">
        <v>7</v>
      </c>
      <c r="N41" s="58">
        <v>117.44</v>
      </c>
      <c r="O41" s="58">
        <v>94.471000000000004</v>
      </c>
      <c r="P41" s="58">
        <v>28.1631</v>
      </c>
      <c r="Q41" s="58">
        <v>22.654916067146299</v>
      </c>
      <c r="R41" s="58">
        <v>16.777142857142898</v>
      </c>
      <c r="S41" s="58">
        <v>1.1401941747572799</v>
      </c>
      <c r="T41" t="s">
        <v>176</v>
      </c>
      <c r="U41" s="11">
        <v>70.7727</v>
      </c>
      <c r="V41"/>
      <c r="W41"/>
    </row>
    <row r="42" spans="1:23" x14ac:dyDescent="0.35">
      <c r="A42" s="40">
        <v>46005</v>
      </c>
      <c r="B42">
        <v>2025</v>
      </c>
      <c r="C42" t="s">
        <v>327</v>
      </c>
      <c r="D42">
        <v>11</v>
      </c>
      <c r="E42">
        <v>50</v>
      </c>
      <c r="F42" t="s">
        <v>45</v>
      </c>
      <c r="G42" s="106">
        <v>0.49652777777777779</v>
      </c>
      <c r="H42" t="s">
        <v>174</v>
      </c>
      <c r="I42" t="s">
        <v>231</v>
      </c>
      <c r="J42">
        <v>27</v>
      </c>
      <c r="K42">
        <v>3.47</v>
      </c>
      <c r="L42">
        <v>96</v>
      </c>
      <c r="M42">
        <v>6</v>
      </c>
      <c r="N42" s="58">
        <v>66.569999999999993</v>
      </c>
      <c r="O42" s="58">
        <v>45.161999999999999</v>
      </c>
      <c r="P42" s="58">
        <v>19.1844</v>
      </c>
      <c r="Q42" s="58">
        <v>13.0149855907781</v>
      </c>
      <c r="R42" s="58">
        <v>11.095000000000001</v>
      </c>
      <c r="S42" s="58">
        <v>0.69343750000000004</v>
      </c>
      <c r="T42" t="s">
        <v>175</v>
      </c>
      <c r="U42" s="11">
        <v>69.467799999999997</v>
      </c>
      <c r="V42"/>
      <c r="W42"/>
    </row>
    <row r="43" spans="1:23" x14ac:dyDescent="0.35">
      <c r="A43" s="40">
        <v>46004</v>
      </c>
      <c r="B43">
        <v>2025</v>
      </c>
      <c r="C43" t="s">
        <v>327</v>
      </c>
      <c r="D43">
        <v>11</v>
      </c>
      <c r="E43">
        <v>50</v>
      </c>
      <c r="F43" t="s">
        <v>51</v>
      </c>
      <c r="G43" s="106">
        <v>0.58333333333333337</v>
      </c>
      <c r="H43" t="s">
        <v>82</v>
      </c>
      <c r="I43" t="s">
        <v>285</v>
      </c>
      <c r="J43">
        <v>32</v>
      </c>
      <c r="K43">
        <v>6.83</v>
      </c>
      <c r="L43">
        <v>147</v>
      </c>
      <c r="M43">
        <v>14</v>
      </c>
      <c r="N43" s="58">
        <v>154.57</v>
      </c>
      <c r="O43" s="58">
        <v>121.789</v>
      </c>
      <c r="P43" s="58">
        <v>22.631</v>
      </c>
      <c r="Q43" s="58">
        <v>17.831478770131799</v>
      </c>
      <c r="R43" s="58">
        <v>11.0407142857143</v>
      </c>
      <c r="S43" s="58">
        <v>1.05149659863946</v>
      </c>
      <c r="T43" t="s">
        <v>176</v>
      </c>
      <c r="U43" s="11">
        <v>70.328900000000004</v>
      </c>
      <c r="V43"/>
      <c r="W43"/>
    </row>
    <row r="44" spans="1:23" x14ac:dyDescent="0.35">
      <c r="A44" s="40">
        <v>46003</v>
      </c>
      <c r="B44">
        <v>2025</v>
      </c>
      <c r="C44" t="s">
        <v>327</v>
      </c>
      <c r="D44">
        <v>11</v>
      </c>
      <c r="E44">
        <v>50</v>
      </c>
      <c r="F44" t="s">
        <v>50</v>
      </c>
      <c r="G44" s="106">
        <v>0.4861111111111111</v>
      </c>
      <c r="H44" t="s">
        <v>80</v>
      </c>
      <c r="I44" t="s">
        <v>249</v>
      </c>
      <c r="J44">
        <v>27</v>
      </c>
      <c r="K44">
        <v>5.58</v>
      </c>
      <c r="L44">
        <v>105</v>
      </c>
      <c r="M44">
        <v>10</v>
      </c>
      <c r="N44" s="58">
        <v>110.08</v>
      </c>
      <c r="O44" s="58">
        <v>86.665000000000006</v>
      </c>
      <c r="P44" s="58">
        <v>19.727599999999999</v>
      </c>
      <c r="Q44" s="58">
        <v>15.5313620071685</v>
      </c>
      <c r="R44" s="58">
        <v>11.007999999999999</v>
      </c>
      <c r="S44" s="58">
        <v>1.04838095238095</v>
      </c>
      <c r="T44" t="s">
        <v>176</v>
      </c>
      <c r="U44" s="11">
        <v>69.672300000000007</v>
      </c>
      <c r="V44"/>
      <c r="W44"/>
    </row>
    <row r="45" spans="1:23" x14ac:dyDescent="0.35">
      <c r="A45" s="40">
        <v>46002</v>
      </c>
      <c r="B45">
        <v>2025</v>
      </c>
      <c r="C45" t="s">
        <v>327</v>
      </c>
      <c r="D45">
        <v>11</v>
      </c>
      <c r="E45">
        <v>50</v>
      </c>
      <c r="F45" t="s">
        <v>49</v>
      </c>
      <c r="G45" s="106">
        <v>0.44097222222222221</v>
      </c>
      <c r="H45" t="s">
        <v>82</v>
      </c>
      <c r="I45" t="s">
        <v>421</v>
      </c>
      <c r="J45">
        <v>30</v>
      </c>
      <c r="K45">
        <v>6.78</v>
      </c>
      <c r="L45">
        <v>159</v>
      </c>
      <c r="M45">
        <v>19</v>
      </c>
      <c r="N45" s="58">
        <v>158.91</v>
      </c>
      <c r="O45" s="58">
        <v>123.453</v>
      </c>
      <c r="P45" s="58">
        <v>23.438099999999999</v>
      </c>
      <c r="Q45" s="58">
        <v>18.208407079646001</v>
      </c>
      <c r="R45" s="58">
        <v>8.3636842105263192</v>
      </c>
      <c r="S45" s="58">
        <v>0.99943396226415104</v>
      </c>
      <c r="T45" t="s">
        <v>176</v>
      </c>
      <c r="U45" s="11">
        <v>68.449200000000005</v>
      </c>
      <c r="V45"/>
      <c r="W45"/>
    </row>
    <row r="46" spans="1:23" x14ac:dyDescent="0.35">
      <c r="A46" s="40">
        <v>46000</v>
      </c>
      <c r="B46">
        <v>2025</v>
      </c>
      <c r="C46" t="s">
        <v>327</v>
      </c>
      <c r="D46">
        <v>11</v>
      </c>
      <c r="E46">
        <v>50</v>
      </c>
      <c r="F46" t="s">
        <v>47</v>
      </c>
      <c r="G46" s="106">
        <v>0.41666666666666669</v>
      </c>
      <c r="H46" t="s">
        <v>80</v>
      </c>
      <c r="I46" t="s">
        <v>281</v>
      </c>
      <c r="J46">
        <v>21</v>
      </c>
      <c r="K46">
        <v>7.5</v>
      </c>
      <c r="L46">
        <v>181</v>
      </c>
      <c r="M46">
        <v>10</v>
      </c>
      <c r="N46" s="58">
        <v>131.71</v>
      </c>
      <c r="O46" s="58">
        <v>91.346999999999994</v>
      </c>
      <c r="P46" s="58">
        <v>17.561299999999999</v>
      </c>
      <c r="Q46" s="58">
        <v>12.179600000000001</v>
      </c>
      <c r="R46" s="58">
        <v>13.170999999999999</v>
      </c>
      <c r="S46" s="58">
        <v>0.72767955801105</v>
      </c>
      <c r="T46" t="s">
        <v>176</v>
      </c>
      <c r="U46" s="11">
        <v>70.436800000000005</v>
      </c>
      <c r="V46"/>
      <c r="W46"/>
    </row>
    <row r="47" spans="1:23" x14ac:dyDescent="0.35">
      <c r="A47" s="40">
        <v>45999</v>
      </c>
      <c r="B47">
        <v>2025</v>
      </c>
      <c r="C47" t="s">
        <v>327</v>
      </c>
      <c r="D47">
        <v>11</v>
      </c>
      <c r="E47">
        <v>50</v>
      </c>
      <c r="F47" t="s">
        <v>46</v>
      </c>
      <c r="G47" s="106">
        <v>0.54861111111111116</v>
      </c>
      <c r="H47" t="s">
        <v>82</v>
      </c>
      <c r="I47" t="s">
        <v>281</v>
      </c>
      <c r="J47">
        <v>18</v>
      </c>
      <c r="K47">
        <v>5.8</v>
      </c>
      <c r="L47">
        <v>112</v>
      </c>
      <c r="M47">
        <v>14</v>
      </c>
      <c r="N47" s="58">
        <v>156.88</v>
      </c>
      <c r="O47" s="58">
        <v>131.904</v>
      </c>
      <c r="P47" s="58">
        <v>27.048300000000001</v>
      </c>
      <c r="Q47" s="58">
        <v>22.742068965517198</v>
      </c>
      <c r="R47" s="58">
        <v>11.205714285714301</v>
      </c>
      <c r="S47" s="58">
        <v>1.40071428571429</v>
      </c>
      <c r="T47" t="s">
        <v>175</v>
      </c>
      <c r="U47" s="11">
        <v>68.973299999999995</v>
      </c>
      <c r="V47"/>
      <c r="W47"/>
    </row>
    <row r="48" spans="1:23" x14ac:dyDescent="0.35">
      <c r="A48" s="40">
        <v>45998</v>
      </c>
      <c r="B48">
        <v>2025</v>
      </c>
      <c r="C48" t="s">
        <v>327</v>
      </c>
      <c r="D48">
        <v>10</v>
      </c>
      <c r="E48">
        <v>49</v>
      </c>
      <c r="F48" t="s">
        <v>45</v>
      </c>
      <c r="G48" s="106">
        <v>0.62152777777777779</v>
      </c>
      <c r="H48" t="s">
        <v>80</v>
      </c>
      <c r="I48" t="s">
        <v>231</v>
      </c>
      <c r="J48">
        <v>32</v>
      </c>
      <c r="K48">
        <v>8.7200000000000006</v>
      </c>
      <c r="L48">
        <v>201</v>
      </c>
      <c r="M48">
        <v>14</v>
      </c>
      <c r="N48" s="58">
        <v>201.02</v>
      </c>
      <c r="O48" s="58">
        <v>156.197</v>
      </c>
      <c r="P48" s="58">
        <v>23.052800000000001</v>
      </c>
      <c r="Q48" s="58">
        <v>17.912500000000001</v>
      </c>
      <c r="R48" s="58">
        <v>14.3585714285714</v>
      </c>
      <c r="S48" s="58">
        <v>1.0000995024875601</v>
      </c>
      <c r="T48" t="s">
        <v>176</v>
      </c>
      <c r="U48" s="11">
        <v>68.312899999999999</v>
      </c>
      <c r="V48"/>
      <c r="W48"/>
    </row>
    <row r="49" spans="1:23" x14ac:dyDescent="0.35">
      <c r="A49" s="40">
        <v>45997</v>
      </c>
      <c r="B49">
        <v>2025</v>
      </c>
      <c r="C49" t="s">
        <v>327</v>
      </c>
      <c r="D49">
        <v>10</v>
      </c>
      <c r="E49">
        <v>49</v>
      </c>
      <c r="F49" t="s">
        <v>51</v>
      </c>
      <c r="G49" s="106">
        <v>0.54166666666666663</v>
      </c>
      <c r="H49" t="s">
        <v>85</v>
      </c>
      <c r="I49" t="s">
        <v>421</v>
      </c>
      <c r="J49">
        <v>27</v>
      </c>
      <c r="K49">
        <v>6.58</v>
      </c>
      <c r="L49">
        <v>148</v>
      </c>
      <c r="M49">
        <v>13</v>
      </c>
      <c r="N49" s="58">
        <v>146.79</v>
      </c>
      <c r="O49" s="58">
        <v>113.786</v>
      </c>
      <c r="P49" s="58">
        <v>22.308499999999999</v>
      </c>
      <c r="Q49" s="58">
        <v>17.292705167173299</v>
      </c>
      <c r="R49" s="58">
        <v>11.291538461538501</v>
      </c>
      <c r="S49" s="58">
        <v>0.99182432432432399</v>
      </c>
      <c r="T49" t="s">
        <v>176</v>
      </c>
      <c r="U49" s="11">
        <v>67.365200000000002</v>
      </c>
      <c r="V49"/>
      <c r="W49"/>
    </row>
    <row r="50" spans="1:23" x14ac:dyDescent="0.35">
      <c r="A50" s="40">
        <v>45994</v>
      </c>
      <c r="B50">
        <v>2025</v>
      </c>
      <c r="C50" t="s">
        <v>327</v>
      </c>
      <c r="D50">
        <v>10</v>
      </c>
      <c r="E50">
        <v>49</v>
      </c>
      <c r="F50" t="s">
        <v>48</v>
      </c>
      <c r="G50" s="106">
        <v>0.77430555555555558</v>
      </c>
      <c r="H50" t="s">
        <v>174</v>
      </c>
      <c r="I50" t="s">
        <v>231</v>
      </c>
      <c r="J50">
        <v>30</v>
      </c>
      <c r="K50">
        <v>3.65</v>
      </c>
      <c r="L50">
        <v>111</v>
      </c>
      <c r="M50">
        <v>5</v>
      </c>
      <c r="N50" s="58">
        <v>59.56</v>
      </c>
      <c r="O50" s="58">
        <v>34.807000000000002</v>
      </c>
      <c r="P50" s="58">
        <v>16.317799999999998</v>
      </c>
      <c r="Q50" s="58">
        <v>9.5361643835616405</v>
      </c>
      <c r="R50" s="58">
        <v>11.912000000000001</v>
      </c>
      <c r="S50" s="58">
        <v>0.53657657657657698</v>
      </c>
      <c r="T50" t="s">
        <v>176</v>
      </c>
      <c r="U50" s="11">
        <v>68.023799999999994</v>
      </c>
      <c r="V50"/>
      <c r="W50"/>
    </row>
    <row r="51" spans="1:23" x14ac:dyDescent="0.35">
      <c r="A51" s="40">
        <v>45993</v>
      </c>
      <c r="B51">
        <v>2025</v>
      </c>
      <c r="C51" t="s">
        <v>327</v>
      </c>
      <c r="D51">
        <v>10</v>
      </c>
      <c r="E51">
        <v>49</v>
      </c>
      <c r="F51" t="s">
        <v>47</v>
      </c>
      <c r="G51" s="106">
        <v>0.80555555555555558</v>
      </c>
      <c r="H51" t="s">
        <v>85</v>
      </c>
      <c r="I51" t="s">
        <v>234</v>
      </c>
      <c r="J51">
        <v>27</v>
      </c>
      <c r="K51">
        <v>4.5999999999999996</v>
      </c>
      <c r="L51">
        <v>124</v>
      </c>
      <c r="M51">
        <v>7</v>
      </c>
      <c r="N51" s="58">
        <v>111.37</v>
      </c>
      <c r="O51" s="58">
        <v>83.718000000000004</v>
      </c>
      <c r="P51" s="58">
        <v>24.210899999999999</v>
      </c>
      <c r="Q51" s="58">
        <v>18.199565217391299</v>
      </c>
      <c r="R51" s="58">
        <v>15.91</v>
      </c>
      <c r="S51" s="58">
        <v>0.89814516129032296</v>
      </c>
      <c r="T51" t="s">
        <v>176</v>
      </c>
      <c r="U51" s="11">
        <v>67.648399999999995</v>
      </c>
      <c r="V51"/>
      <c r="W51"/>
    </row>
    <row r="52" spans="1:23" x14ac:dyDescent="0.35">
      <c r="A52" s="40">
        <v>45991</v>
      </c>
      <c r="B52">
        <v>2025</v>
      </c>
      <c r="C52" t="s">
        <v>327</v>
      </c>
      <c r="D52">
        <v>9</v>
      </c>
      <c r="E52">
        <v>48</v>
      </c>
      <c r="F52" t="s">
        <v>45</v>
      </c>
      <c r="G52" s="106">
        <v>0.72569444444444442</v>
      </c>
      <c r="H52" t="s">
        <v>80</v>
      </c>
      <c r="I52" t="s">
        <v>236</v>
      </c>
      <c r="J52">
        <v>43</v>
      </c>
      <c r="K52">
        <v>6.03</v>
      </c>
      <c r="L52">
        <v>123</v>
      </c>
      <c r="M52">
        <v>18</v>
      </c>
      <c r="N52" s="58">
        <v>185.89</v>
      </c>
      <c r="O52" s="58">
        <v>158.46100000000001</v>
      </c>
      <c r="P52" s="58">
        <v>30.827500000000001</v>
      </c>
      <c r="Q52" s="58">
        <v>26.2787728026534</v>
      </c>
      <c r="R52" s="58">
        <v>10.327222222222201</v>
      </c>
      <c r="S52" s="58">
        <v>1.51130081300813</v>
      </c>
      <c r="T52" t="s">
        <v>176</v>
      </c>
      <c r="U52" s="11">
        <v>67.581999999999994</v>
      </c>
      <c r="V52"/>
      <c r="W52"/>
    </row>
    <row r="53" spans="1:23" x14ac:dyDescent="0.35">
      <c r="A53" s="40">
        <v>45990</v>
      </c>
      <c r="B53">
        <v>2025</v>
      </c>
      <c r="C53" t="s">
        <v>327</v>
      </c>
      <c r="D53">
        <v>9</v>
      </c>
      <c r="E53">
        <v>48</v>
      </c>
      <c r="F53" t="s">
        <v>51</v>
      </c>
      <c r="G53" s="106">
        <v>0.61805555555555558</v>
      </c>
      <c r="H53" t="s">
        <v>80</v>
      </c>
      <c r="I53" t="s">
        <v>230</v>
      </c>
      <c r="J53">
        <v>30</v>
      </c>
      <c r="K53">
        <v>5.47</v>
      </c>
      <c r="L53">
        <v>140</v>
      </c>
      <c r="M53">
        <v>6</v>
      </c>
      <c r="N53" s="58">
        <v>83.38</v>
      </c>
      <c r="O53" s="58">
        <v>52.16</v>
      </c>
      <c r="P53" s="58">
        <v>15.2431</v>
      </c>
      <c r="Q53" s="58">
        <v>9.5356489945155403</v>
      </c>
      <c r="R53" s="58">
        <v>13.8966666666667</v>
      </c>
      <c r="S53" s="58">
        <v>0.59557142857142797</v>
      </c>
      <c r="T53" t="s">
        <v>176</v>
      </c>
      <c r="U53" s="11">
        <v>67.744</v>
      </c>
      <c r="V53"/>
      <c r="W53"/>
    </row>
    <row r="54" spans="1:23" x14ac:dyDescent="0.35">
      <c r="A54" s="40">
        <v>45989</v>
      </c>
      <c r="B54">
        <v>2025</v>
      </c>
      <c r="C54" t="s">
        <v>327</v>
      </c>
      <c r="D54">
        <v>9</v>
      </c>
      <c r="E54">
        <v>48</v>
      </c>
      <c r="F54" t="s">
        <v>50</v>
      </c>
      <c r="G54" s="106">
        <v>0.54513888888888884</v>
      </c>
      <c r="H54" t="s">
        <v>174</v>
      </c>
      <c r="I54" t="s">
        <v>230</v>
      </c>
      <c r="J54">
        <v>32</v>
      </c>
      <c r="K54">
        <v>8.26</v>
      </c>
      <c r="L54">
        <v>185</v>
      </c>
      <c r="M54">
        <v>17</v>
      </c>
      <c r="N54" s="58">
        <v>185.76</v>
      </c>
      <c r="O54" s="58">
        <v>144.505</v>
      </c>
      <c r="P54" s="58">
        <v>22.489100000000001</v>
      </c>
      <c r="Q54" s="58">
        <v>17.494552058111399</v>
      </c>
      <c r="R54" s="58">
        <v>10.9270588235294</v>
      </c>
      <c r="S54" s="58">
        <v>1.00410810810811</v>
      </c>
      <c r="T54" t="s">
        <v>176</v>
      </c>
      <c r="U54" s="11">
        <v>67.051299999999998</v>
      </c>
      <c r="V54"/>
      <c r="W54"/>
    </row>
    <row r="55" spans="1:23" x14ac:dyDescent="0.35">
      <c r="A55" s="40">
        <v>45986</v>
      </c>
      <c r="B55">
        <v>2025</v>
      </c>
      <c r="C55" t="s">
        <v>327</v>
      </c>
      <c r="D55">
        <v>9</v>
      </c>
      <c r="E55">
        <v>48</v>
      </c>
      <c r="F55" t="s">
        <v>47</v>
      </c>
      <c r="G55" s="106">
        <v>0.72916666666666663</v>
      </c>
      <c r="H55" t="s">
        <v>80</v>
      </c>
      <c r="I55" t="s">
        <v>285</v>
      </c>
      <c r="J55">
        <v>48</v>
      </c>
      <c r="K55">
        <v>4.4000000000000004</v>
      </c>
      <c r="L55">
        <v>63</v>
      </c>
      <c r="M55">
        <v>9</v>
      </c>
      <c r="N55" s="58">
        <v>110.43</v>
      </c>
      <c r="O55" s="58">
        <v>96.381</v>
      </c>
      <c r="P55" s="58">
        <v>25.0977</v>
      </c>
      <c r="Q55" s="58">
        <v>21.9047727272727</v>
      </c>
      <c r="R55" s="58">
        <v>12.27</v>
      </c>
      <c r="S55" s="58">
        <v>1.75285714285714</v>
      </c>
      <c r="T55" t="s">
        <v>176</v>
      </c>
      <c r="U55" s="11">
        <v>68.041799999999995</v>
      </c>
      <c r="V55"/>
      <c r="W55"/>
    </row>
    <row r="56" spans="1:23" x14ac:dyDescent="0.35">
      <c r="A56" s="40">
        <v>45984</v>
      </c>
      <c r="B56">
        <v>2025</v>
      </c>
      <c r="C56" t="s">
        <v>327</v>
      </c>
      <c r="D56">
        <v>8</v>
      </c>
      <c r="E56">
        <v>47</v>
      </c>
      <c r="F56" t="s">
        <v>45</v>
      </c>
      <c r="G56" s="106">
        <v>0.47916666666666669</v>
      </c>
      <c r="H56" t="s">
        <v>80</v>
      </c>
      <c r="I56" t="s">
        <v>249</v>
      </c>
      <c r="J56">
        <v>39</v>
      </c>
      <c r="K56">
        <v>4.1500000000000004</v>
      </c>
      <c r="L56">
        <v>132</v>
      </c>
      <c r="M56">
        <v>6</v>
      </c>
      <c r="N56" s="58">
        <v>56.65</v>
      </c>
      <c r="O56" s="58">
        <v>27.213999999999999</v>
      </c>
      <c r="P56" s="58">
        <v>13.650600000000001</v>
      </c>
      <c r="Q56" s="58">
        <v>6.5575903614457802</v>
      </c>
      <c r="R56" s="58">
        <v>9.44166666666667</v>
      </c>
      <c r="S56" s="58">
        <v>0.42916666666666697</v>
      </c>
      <c r="T56" t="s">
        <v>175</v>
      </c>
      <c r="U56" s="11">
        <v>69.0518</v>
      </c>
      <c r="V56"/>
      <c r="W56"/>
    </row>
    <row r="57" spans="1:23" x14ac:dyDescent="0.35">
      <c r="A57" s="40">
        <v>45982</v>
      </c>
      <c r="B57">
        <v>2025</v>
      </c>
      <c r="C57" t="s">
        <v>327</v>
      </c>
      <c r="D57">
        <v>8</v>
      </c>
      <c r="E57">
        <v>47</v>
      </c>
      <c r="F57" t="s">
        <v>50</v>
      </c>
      <c r="G57" s="106">
        <v>0.75694444444444442</v>
      </c>
      <c r="H57" t="s">
        <v>82</v>
      </c>
      <c r="I57" t="s">
        <v>230</v>
      </c>
      <c r="J57">
        <v>30</v>
      </c>
      <c r="K57">
        <v>0.4</v>
      </c>
      <c r="L57">
        <v>10</v>
      </c>
      <c r="M57">
        <v>1</v>
      </c>
      <c r="N57" s="58">
        <v>6.97</v>
      </c>
      <c r="O57" s="58">
        <v>4.74</v>
      </c>
      <c r="P57" s="58">
        <v>17.425000000000001</v>
      </c>
      <c r="Q57" s="58">
        <v>11.85</v>
      </c>
      <c r="R57" s="58">
        <v>6.97</v>
      </c>
      <c r="S57" s="58">
        <v>0.69699999999999995</v>
      </c>
      <c r="T57" t="s">
        <v>175</v>
      </c>
      <c r="U57" s="11">
        <v>69.995800000000003</v>
      </c>
      <c r="V57"/>
      <c r="W57"/>
    </row>
    <row r="58" spans="1:23" x14ac:dyDescent="0.35">
      <c r="A58" s="40">
        <v>45979</v>
      </c>
      <c r="B58">
        <v>2025</v>
      </c>
      <c r="C58" t="s">
        <v>327</v>
      </c>
      <c r="D58">
        <v>8</v>
      </c>
      <c r="E58">
        <v>47</v>
      </c>
      <c r="F58" t="s">
        <v>47</v>
      </c>
      <c r="G58" s="106">
        <v>0.79166666666666663</v>
      </c>
      <c r="H58" t="s">
        <v>80</v>
      </c>
      <c r="I58" t="s">
        <v>230</v>
      </c>
      <c r="J58">
        <v>36</v>
      </c>
      <c r="K58">
        <v>2.57</v>
      </c>
      <c r="L58">
        <v>50</v>
      </c>
      <c r="M58">
        <v>7</v>
      </c>
      <c r="N58" s="58">
        <v>75.88</v>
      </c>
      <c r="O58" s="58">
        <v>64.73</v>
      </c>
      <c r="P58" s="58">
        <v>29.525300000000001</v>
      </c>
      <c r="Q58" s="58">
        <v>25.186770428015599</v>
      </c>
      <c r="R58" s="58">
        <v>10.84</v>
      </c>
      <c r="S58" s="58">
        <v>1.5176000000000001</v>
      </c>
      <c r="T58" t="s">
        <v>176</v>
      </c>
      <c r="U58" s="11">
        <v>73.274100000000004</v>
      </c>
      <c r="V58"/>
      <c r="W58"/>
    </row>
    <row r="59" spans="1:23" x14ac:dyDescent="0.35">
      <c r="A59" s="40">
        <v>45978</v>
      </c>
      <c r="B59">
        <v>2025</v>
      </c>
      <c r="C59" t="s">
        <v>327</v>
      </c>
      <c r="D59">
        <v>8</v>
      </c>
      <c r="E59">
        <v>47</v>
      </c>
      <c r="F59" t="s">
        <v>46</v>
      </c>
      <c r="G59" s="106">
        <v>0.76388888888888884</v>
      </c>
      <c r="H59" t="s">
        <v>80</v>
      </c>
      <c r="I59" t="s">
        <v>231</v>
      </c>
      <c r="J59">
        <v>34</v>
      </c>
      <c r="K59">
        <v>3.65</v>
      </c>
      <c r="L59">
        <v>94</v>
      </c>
      <c r="M59">
        <v>6</v>
      </c>
      <c r="N59" s="58">
        <v>112.83</v>
      </c>
      <c r="O59" s="58">
        <v>91.867999999999995</v>
      </c>
      <c r="P59" s="58">
        <v>30.912299999999998</v>
      </c>
      <c r="Q59" s="58">
        <v>25.169315068493201</v>
      </c>
      <c r="R59" s="58">
        <v>18.805</v>
      </c>
      <c r="S59" s="58">
        <v>1.20031914893617</v>
      </c>
      <c r="T59" t="s">
        <v>176</v>
      </c>
      <c r="U59" s="11">
        <v>73.797399999999996</v>
      </c>
      <c r="V59"/>
      <c r="W59"/>
    </row>
    <row r="60" spans="1:23" x14ac:dyDescent="0.35">
      <c r="A60" s="40">
        <v>45977</v>
      </c>
      <c r="B60">
        <v>2025</v>
      </c>
      <c r="C60" t="s">
        <v>327</v>
      </c>
      <c r="D60">
        <v>7</v>
      </c>
      <c r="E60">
        <v>46</v>
      </c>
      <c r="F60" t="s">
        <v>45</v>
      </c>
      <c r="G60" s="106">
        <v>0.6875</v>
      </c>
      <c r="H60" t="s">
        <v>85</v>
      </c>
      <c r="I60" t="s">
        <v>231</v>
      </c>
      <c r="J60">
        <v>36</v>
      </c>
      <c r="K60">
        <v>6</v>
      </c>
      <c r="L60">
        <v>124</v>
      </c>
      <c r="M60">
        <v>13</v>
      </c>
      <c r="N60" s="58">
        <v>137.79</v>
      </c>
      <c r="O60" s="58">
        <v>110.13800000000001</v>
      </c>
      <c r="P60" s="58">
        <v>22.965</v>
      </c>
      <c r="Q60" s="58">
        <v>18.3563333333333</v>
      </c>
      <c r="R60" s="58">
        <v>10.5992307692308</v>
      </c>
      <c r="S60" s="58">
        <v>1.1112096774193501</v>
      </c>
      <c r="T60" t="s">
        <v>175</v>
      </c>
      <c r="U60" s="11">
        <v>72.543800000000005</v>
      </c>
      <c r="V60"/>
      <c r="W60"/>
    </row>
    <row r="61" spans="1:23" x14ac:dyDescent="0.35">
      <c r="A61" s="40">
        <v>45976</v>
      </c>
      <c r="B61">
        <v>2025</v>
      </c>
      <c r="C61" t="s">
        <v>327</v>
      </c>
      <c r="D61">
        <v>7</v>
      </c>
      <c r="E61">
        <v>46</v>
      </c>
      <c r="F61" t="s">
        <v>51</v>
      </c>
      <c r="G61" s="106">
        <v>0.90972222222222221</v>
      </c>
      <c r="H61" t="s">
        <v>82</v>
      </c>
      <c r="I61" t="s">
        <v>230</v>
      </c>
      <c r="J61">
        <v>32</v>
      </c>
      <c r="K61">
        <v>2.33</v>
      </c>
      <c r="L61">
        <v>49</v>
      </c>
      <c r="M61">
        <v>5</v>
      </c>
      <c r="N61" s="58">
        <v>37.630000000000003</v>
      </c>
      <c r="O61" s="58">
        <v>26.702999999999999</v>
      </c>
      <c r="P61" s="58">
        <v>16.150200000000002</v>
      </c>
      <c r="Q61" s="58">
        <v>11.4605150214592</v>
      </c>
      <c r="R61" s="58">
        <v>7.5259999999999998</v>
      </c>
      <c r="S61" s="58">
        <v>0.76795918367347005</v>
      </c>
      <c r="T61" t="s">
        <v>175</v>
      </c>
      <c r="U61" s="11">
        <v>72.495800000000003</v>
      </c>
      <c r="V61"/>
      <c r="W61"/>
    </row>
    <row r="62" spans="1:23" x14ac:dyDescent="0.35">
      <c r="A62" s="40">
        <v>45974</v>
      </c>
      <c r="B62">
        <v>2025</v>
      </c>
      <c r="C62" t="s">
        <v>327</v>
      </c>
      <c r="D62">
        <v>7</v>
      </c>
      <c r="E62">
        <v>46</v>
      </c>
      <c r="F62" t="s">
        <v>49</v>
      </c>
      <c r="G62" s="106">
        <v>0.75694444444444442</v>
      </c>
      <c r="H62" t="s">
        <v>80</v>
      </c>
      <c r="I62" t="s">
        <v>285</v>
      </c>
      <c r="J62">
        <v>36</v>
      </c>
      <c r="K62">
        <v>4.32</v>
      </c>
      <c r="L62">
        <v>94</v>
      </c>
      <c r="M62">
        <v>7</v>
      </c>
      <c r="N62" s="58">
        <v>69.33</v>
      </c>
      <c r="O62" s="58">
        <v>48.368000000000002</v>
      </c>
      <c r="P62" s="58">
        <v>16.0486</v>
      </c>
      <c r="Q62" s="58">
        <v>11.1962962962963</v>
      </c>
      <c r="R62" s="58">
        <v>9.9042857142857095</v>
      </c>
      <c r="S62" s="58">
        <v>0.73755319148936205</v>
      </c>
      <c r="T62" t="s">
        <v>176</v>
      </c>
      <c r="U62" s="11">
        <v>74.218100000000007</v>
      </c>
      <c r="V62"/>
      <c r="W62"/>
    </row>
    <row r="63" spans="1:23" x14ac:dyDescent="0.35">
      <c r="A63" s="40">
        <v>45971</v>
      </c>
      <c r="B63">
        <v>2025</v>
      </c>
      <c r="C63" t="s">
        <v>327</v>
      </c>
      <c r="D63">
        <v>7</v>
      </c>
      <c r="E63">
        <v>46</v>
      </c>
      <c r="F63" t="s">
        <v>46</v>
      </c>
      <c r="G63" s="106">
        <v>0.66666666666666663</v>
      </c>
      <c r="H63" t="s">
        <v>80</v>
      </c>
      <c r="I63" t="s">
        <v>276</v>
      </c>
      <c r="J63">
        <v>46</v>
      </c>
      <c r="K63">
        <v>2.57</v>
      </c>
      <c r="L63">
        <v>62</v>
      </c>
      <c r="M63">
        <v>5</v>
      </c>
      <c r="N63" s="58">
        <v>56.12</v>
      </c>
      <c r="O63" s="58">
        <v>42.293999999999997</v>
      </c>
      <c r="P63" s="58">
        <v>21.836600000000001</v>
      </c>
      <c r="Q63" s="58">
        <v>16.456809338521399</v>
      </c>
      <c r="R63" s="58">
        <v>11.224</v>
      </c>
      <c r="S63" s="58">
        <v>0.90516129032258097</v>
      </c>
      <c r="T63" t="s">
        <v>175</v>
      </c>
      <c r="U63" s="11">
        <v>76.326400000000007</v>
      </c>
      <c r="V63"/>
      <c r="W63"/>
    </row>
    <row r="64" spans="1:23" x14ac:dyDescent="0.35">
      <c r="A64" s="40">
        <v>45969</v>
      </c>
      <c r="B64">
        <v>2025</v>
      </c>
      <c r="C64" t="s">
        <v>327</v>
      </c>
      <c r="D64">
        <v>6</v>
      </c>
      <c r="E64">
        <v>45</v>
      </c>
      <c r="F64" t="s">
        <v>51</v>
      </c>
      <c r="G64" s="106">
        <v>0.77083333333333337</v>
      </c>
      <c r="H64" t="s">
        <v>82</v>
      </c>
      <c r="I64" t="s">
        <v>230</v>
      </c>
      <c r="J64">
        <v>46</v>
      </c>
      <c r="K64">
        <v>6.3330000000000002</v>
      </c>
      <c r="L64">
        <v>101</v>
      </c>
      <c r="M64">
        <v>17</v>
      </c>
      <c r="N64" s="58">
        <v>122.97</v>
      </c>
      <c r="O64" s="58">
        <v>100.447</v>
      </c>
      <c r="P64" s="58">
        <v>19.417300000000001</v>
      </c>
      <c r="Q64" s="58">
        <v>15.860887415127101</v>
      </c>
      <c r="R64" s="58">
        <v>7.2335294117647102</v>
      </c>
      <c r="S64" s="58">
        <v>1.2175247524752499</v>
      </c>
      <c r="T64" t="s">
        <v>176</v>
      </c>
      <c r="U64" s="11">
        <v>77.703000000000003</v>
      </c>
      <c r="V64"/>
      <c r="W64"/>
    </row>
    <row r="65" spans="1:23" x14ac:dyDescent="0.35">
      <c r="A65" s="40">
        <v>45968</v>
      </c>
      <c r="B65">
        <v>2025</v>
      </c>
      <c r="C65" t="s">
        <v>327</v>
      </c>
      <c r="D65">
        <v>6</v>
      </c>
      <c r="E65">
        <v>45</v>
      </c>
      <c r="F65" t="s">
        <v>50</v>
      </c>
      <c r="G65" s="106">
        <v>0.58680555555555558</v>
      </c>
      <c r="H65" t="s">
        <v>80</v>
      </c>
      <c r="I65" t="s">
        <v>281</v>
      </c>
      <c r="J65">
        <v>43</v>
      </c>
      <c r="K65">
        <v>2.1800000000000002</v>
      </c>
      <c r="L65">
        <v>66</v>
      </c>
      <c r="M65">
        <v>4</v>
      </c>
      <c r="N65" s="58">
        <v>32.53</v>
      </c>
      <c r="O65" s="58">
        <v>17.812000000000001</v>
      </c>
      <c r="P65" s="58">
        <v>14.922000000000001</v>
      </c>
      <c r="Q65" s="58">
        <v>8.1706422018348608</v>
      </c>
      <c r="R65" s="58">
        <v>8.1325000000000003</v>
      </c>
      <c r="S65" s="58">
        <v>0.49287878787878803</v>
      </c>
      <c r="T65" t="s">
        <v>175</v>
      </c>
      <c r="U65" s="11">
        <v>77.907799999999995</v>
      </c>
      <c r="V65"/>
      <c r="W65"/>
    </row>
    <row r="66" spans="1:23" x14ac:dyDescent="0.35">
      <c r="A66" s="40">
        <v>45965</v>
      </c>
      <c r="B66">
        <v>2025</v>
      </c>
      <c r="C66" t="s">
        <v>327</v>
      </c>
      <c r="D66">
        <v>6</v>
      </c>
      <c r="E66">
        <v>45</v>
      </c>
      <c r="F66" t="s">
        <v>47</v>
      </c>
      <c r="G66" s="106">
        <v>0.76041666666666663</v>
      </c>
      <c r="H66" t="s">
        <v>80</v>
      </c>
      <c r="I66" t="s">
        <v>230</v>
      </c>
      <c r="J66">
        <v>45</v>
      </c>
      <c r="K66">
        <v>5.25</v>
      </c>
      <c r="L66">
        <v>111</v>
      </c>
      <c r="M66">
        <v>12</v>
      </c>
      <c r="N66" s="58">
        <v>94.57</v>
      </c>
      <c r="O66" s="58">
        <v>69.816999999999993</v>
      </c>
      <c r="P66" s="58">
        <v>18.013300000000001</v>
      </c>
      <c r="Q66" s="58">
        <v>13.298476190476199</v>
      </c>
      <c r="R66" s="58">
        <v>7.8808333333333298</v>
      </c>
      <c r="S66" s="58">
        <v>0.85198198198198205</v>
      </c>
      <c r="T66" t="s">
        <v>176</v>
      </c>
      <c r="U66" s="11">
        <v>79.637799999999999</v>
      </c>
      <c r="V66"/>
      <c r="W66"/>
    </row>
    <row r="67" spans="1:23" x14ac:dyDescent="0.35">
      <c r="A67" s="40">
        <v>45964</v>
      </c>
      <c r="B67">
        <v>2025</v>
      </c>
      <c r="C67" t="s">
        <v>327</v>
      </c>
      <c r="D67">
        <v>6</v>
      </c>
      <c r="E67">
        <v>45</v>
      </c>
      <c r="F67" t="s">
        <v>46</v>
      </c>
      <c r="G67" s="106">
        <v>0.78819444444444442</v>
      </c>
      <c r="H67" t="s">
        <v>80</v>
      </c>
      <c r="I67" t="s">
        <v>325</v>
      </c>
      <c r="J67">
        <v>52</v>
      </c>
      <c r="K67">
        <v>2.35</v>
      </c>
      <c r="L67">
        <v>46</v>
      </c>
      <c r="M67">
        <v>5</v>
      </c>
      <c r="N67" s="58">
        <v>43.65</v>
      </c>
      <c r="O67" s="58">
        <v>33.392000000000003</v>
      </c>
      <c r="P67" s="58">
        <v>18.5745</v>
      </c>
      <c r="Q67" s="58">
        <v>14.209361702127699</v>
      </c>
      <c r="R67" s="58">
        <v>8.73</v>
      </c>
      <c r="S67" s="58">
        <v>0.948913043478261</v>
      </c>
      <c r="T67" t="s">
        <v>175</v>
      </c>
      <c r="U67" s="11">
        <v>79.377200000000002</v>
      </c>
      <c r="V67"/>
      <c r="W67"/>
    </row>
    <row r="68" spans="1:23" x14ac:dyDescent="0.35">
      <c r="A68" s="40">
        <v>45963</v>
      </c>
      <c r="B68">
        <v>2025</v>
      </c>
      <c r="C68" t="s">
        <v>327</v>
      </c>
      <c r="D68">
        <v>5</v>
      </c>
      <c r="E68">
        <v>44</v>
      </c>
      <c r="F68" t="s">
        <v>45</v>
      </c>
      <c r="G68" s="106">
        <v>0.62847222222222221</v>
      </c>
      <c r="H68" t="s">
        <v>82</v>
      </c>
      <c r="I68" t="s">
        <v>230</v>
      </c>
      <c r="J68">
        <v>37</v>
      </c>
      <c r="K68">
        <v>1.1000000000000001</v>
      </c>
      <c r="L68">
        <v>16</v>
      </c>
      <c r="M68">
        <v>3</v>
      </c>
      <c r="N68" s="58">
        <v>18.75</v>
      </c>
      <c r="O68" s="58">
        <v>15.182</v>
      </c>
      <c r="P68" s="58">
        <v>17.045500000000001</v>
      </c>
      <c r="Q68" s="58">
        <v>13.8018181818182</v>
      </c>
      <c r="R68" s="58">
        <v>6.25</v>
      </c>
      <c r="S68" s="58">
        <v>1.171875</v>
      </c>
      <c r="T68" t="s">
        <v>176</v>
      </c>
      <c r="U68" s="11">
        <v>78.892200000000003</v>
      </c>
      <c r="V68"/>
      <c r="W68"/>
    </row>
    <row r="69" spans="1:23" x14ac:dyDescent="0.35">
      <c r="A69" s="40">
        <v>45962</v>
      </c>
      <c r="B69">
        <v>2025</v>
      </c>
      <c r="C69" t="s">
        <v>327</v>
      </c>
      <c r="D69">
        <v>5</v>
      </c>
      <c r="E69">
        <v>44</v>
      </c>
      <c r="F69" t="s">
        <v>51</v>
      </c>
      <c r="G69" s="106">
        <v>0.78819444444444442</v>
      </c>
      <c r="H69" t="s">
        <v>85</v>
      </c>
      <c r="I69" t="s">
        <v>230</v>
      </c>
      <c r="J69">
        <v>43</v>
      </c>
      <c r="K69">
        <v>5.55</v>
      </c>
      <c r="L69">
        <v>182</v>
      </c>
      <c r="M69">
        <v>9</v>
      </c>
      <c r="N69" s="58">
        <v>122.39</v>
      </c>
      <c r="O69" s="58">
        <v>81.804000000000002</v>
      </c>
      <c r="P69" s="58">
        <v>22.052299999999999</v>
      </c>
      <c r="Q69" s="58">
        <v>14.7394594594595</v>
      </c>
      <c r="R69" s="58">
        <v>13.598888888888901</v>
      </c>
      <c r="S69" s="58">
        <v>0.67247252747252795</v>
      </c>
      <c r="T69" t="s">
        <v>175</v>
      </c>
      <c r="U69" s="11">
        <v>80.260999999999996</v>
      </c>
      <c r="V69"/>
      <c r="W69"/>
    </row>
    <row r="70" spans="1:23" x14ac:dyDescent="0.35">
      <c r="A70" s="40">
        <v>45959</v>
      </c>
      <c r="B70">
        <v>2025</v>
      </c>
      <c r="C70" t="s">
        <v>327</v>
      </c>
      <c r="D70">
        <v>5</v>
      </c>
      <c r="E70">
        <v>44</v>
      </c>
      <c r="F70" t="s">
        <v>48</v>
      </c>
      <c r="G70" s="106">
        <v>0.75</v>
      </c>
      <c r="H70" t="s">
        <v>80</v>
      </c>
      <c r="I70" t="s">
        <v>231</v>
      </c>
      <c r="J70">
        <v>43</v>
      </c>
      <c r="K70">
        <v>5.92</v>
      </c>
      <c r="L70">
        <v>165</v>
      </c>
      <c r="M70">
        <v>13</v>
      </c>
      <c r="N70" s="58">
        <v>210.8</v>
      </c>
      <c r="O70" s="58">
        <v>174.005</v>
      </c>
      <c r="P70" s="58">
        <v>35.6081</v>
      </c>
      <c r="Q70" s="58">
        <v>29.392736486486498</v>
      </c>
      <c r="R70" s="58">
        <v>16.2153846153846</v>
      </c>
      <c r="S70" s="58">
        <v>1.27757575757576</v>
      </c>
      <c r="T70" t="s">
        <v>176</v>
      </c>
      <c r="U70" s="11">
        <v>80.597300000000004</v>
      </c>
      <c r="V70"/>
      <c r="W70"/>
    </row>
    <row r="71" spans="1:23" x14ac:dyDescent="0.35">
      <c r="A71" s="40">
        <v>45958</v>
      </c>
      <c r="B71">
        <v>2025</v>
      </c>
      <c r="C71" t="s">
        <v>327</v>
      </c>
      <c r="D71">
        <v>5</v>
      </c>
      <c r="E71">
        <v>44</v>
      </c>
      <c r="F71" t="s">
        <v>47</v>
      </c>
      <c r="G71" s="106">
        <v>0.75694444444444442</v>
      </c>
      <c r="H71" t="s">
        <v>80</v>
      </c>
      <c r="I71" t="s">
        <v>230</v>
      </c>
      <c r="J71">
        <v>48</v>
      </c>
      <c r="K71">
        <v>5.38</v>
      </c>
      <c r="L71">
        <v>141</v>
      </c>
      <c r="M71">
        <v>8</v>
      </c>
      <c r="N71" s="58">
        <v>138.97</v>
      </c>
      <c r="O71" s="58">
        <v>107.527</v>
      </c>
      <c r="P71" s="58">
        <v>25.8309</v>
      </c>
      <c r="Q71" s="58">
        <v>19.986431226765799</v>
      </c>
      <c r="R71" s="58">
        <v>17.37125</v>
      </c>
      <c r="S71" s="58">
        <v>0.98560283687943295</v>
      </c>
      <c r="T71" t="s">
        <v>176</v>
      </c>
      <c r="U71" s="11">
        <v>79.526700000000005</v>
      </c>
      <c r="V71"/>
      <c r="W71"/>
    </row>
    <row r="72" spans="1:23" x14ac:dyDescent="0.35">
      <c r="A72" s="40">
        <v>45957</v>
      </c>
      <c r="B72">
        <v>2025</v>
      </c>
      <c r="C72" t="s">
        <v>327</v>
      </c>
      <c r="D72">
        <v>5</v>
      </c>
      <c r="E72">
        <v>44</v>
      </c>
      <c r="F72" t="s">
        <v>46</v>
      </c>
      <c r="G72" s="106">
        <v>0.75</v>
      </c>
      <c r="H72" t="s">
        <v>80</v>
      </c>
      <c r="I72" t="s">
        <v>249</v>
      </c>
      <c r="J72">
        <v>45</v>
      </c>
      <c r="K72">
        <v>6.07</v>
      </c>
      <c r="L72">
        <v>139</v>
      </c>
      <c r="M72">
        <v>14</v>
      </c>
      <c r="N72" s="58">
        <v>138.85</v>
      </c>
      <c r="O72" s="58">
        <v>107.85299999999999</v>
      </c>
      <c r="P72" s="58">
        <v>22.8748</v>
      </c>
      <c r="Q72" s="58">
        <v>17.768204283360799</v>
      </c>
      <c r="R72" s="58">
        <v>9.9178571428571392</v>
      </c>
      <c r="S72" s="58">
        <v>0.99892086330935204</v>
      </c>
      <c r="T72" t="s">
        <v>176</v>
      </c>
      <c r="U72" s="11">
        <v>79.22</v>
      </c>
      <c r="V72"/>
      <c r="W72"/>
    </row>
    <row r="73" spans="1:23" x14ac:dyDescent="0.35">
      <c r="A73" s="40">
        <v>45955</v>
      </c>
      <c r="B73">
        <v>2025</v>
      </c>
      <c r="C73" t="s">
        <v>327</v>
      </c>
      <c r="D73">
        <v>4</v>
      </c>
      <c r="E73">
        <v>43</v>
      </c>
      <c r="F73" t="s">
        <v>51</v>
      </c>
      <c r="G73" s="106">
        <v>0.88888888888888884</v>
      </c>
      <c r="H73" t="s">
        <v>82</v>
      </c>
      <c r="I73" t="s">
        <v>231</v>
      </c>
      <c r="J73">
        <v>48</v>
      </c>
      <c r="K73">
        <v>4.67</v>
      </c>
      <c r="L73">
        <v>86</v>
      </c>
      <c r="M73">
        <v>11</v>
      </c>
      <c r="N73" s="58">
        <v>62.79</v>
      </c>
      <c r="O73" s="58">
        <v>43.612000000000002</v>
      </c>
      <c r="P73" s="58">
        <v>13.445399999999999</v>
      </c>
      <c r="Q73" s="58">
        <v>9.3387580299785906</v>
      </c>
      <c r="R73" s="58">
        <v>5.7081818181818198</v>
      </c>
      <c r="S73" s="58">
        <v>0.73011627906976695</v>
      </c>
      <c r="T73" t="s">
        <v>176</v>
      </c>
      <c r="U73" s="11">
        <v>78.959900000000005</v>
      </c>
      <c r="V73"/>
      <c r="W73"/>
    </row>
    <row r="74" spans="1:23" x14ac:dyDescent="0.35">
      <c r="A74" s="40">
        <v>45951</v>
      </c>
      <c r="B74">
        <v>2025</v>
      </c>
      <c r="C74" t="s">
        <v>327</v>
      </c>
      <c r="D74">
        <v>4</v>
      </c>
      <c r="E74">
        <v>43</v>
      </c>
      <c r="F74" t="s">
        <v>47</v>
      </c>
      <c r="G74" s="106">
        <v>0.73611111111111116</v>
      </c>
      <c r="H74" t="s">
        <v>80</v>
      </c>
      <c r="I74" t="s">
        <v>230</v>
      </c>
      <c r="J74">
        <v>55</v>
      </c>
      <c r="K74">
        <v>7.1</v>
      </c>
      <c r="L74">
        <v>147</v>
      </c>
      <c r="M74">
        <v>15</v>
      </c>
      <c r="N74" s="58">
        <v>151.41</v>
      </c>
      <c r="O74" s="58">
        <v>118.629</v>
      </c>
      <c r="P74" s="58">
        <v>21.325399999999998</v>
      </c>
      <c r="Q74" s="58">
        <v>16.708309859154902</v>
      </c>
      <c r="R74" s="58">
        <v>10.093999999999999</v>
      </c>
      <c r="S74" s="58">
        <v>1.03</v>
      </c>
      <c r="T74" t="s">
        <v>176</v>
      </c>
      <c r="U74" s="11">
        <v>80.658699999999996</v>
      </c>
      <c r="V74"/>
      <c r="W74"/>
    </row>
    <row r="75" spans="1:23" x14ac:dyDescent="0.35">
      <c r="A75" s="40">
        <v>45950</v>
      </c>
      <c r="B75">
        <v>2025</v>
      </c>
      <c r="C75" t="s">
        <v>327</v>
      </c>
      <c r="D75">
        <v>4</v>
      </c>
      <c r="E75">
        <v>43</v>
      </c>
      <c r="F75" t="s">
        <v>46</v>
      </c>
      <c r="G75" s="106">
        <v>0.75</v>
      </c>
      <c r="H75" t="s">
        <v>80</v>
      </c>
      <c r="I75" t="s">
        <v>236</v>
      </c>
      <c r="J75">
        <v>57</v>
      </c>
      <c r="K75">
        <v>6.07</v>
      </c>
      <c r="L75">
        <v>118</v>
      </c>
      <c r="M75">
        <v>12</v>
      </c>
      <c r="N75" s="58">
        <v>124.6</v>
      </c>
      <c r="O75" s="58">
        <v>98.286000000000001</v>
      </c>
      <c r="P75" s="58">
        <v>20.527200000000001</v>
      </c>
      <c r="Q75" s="58">
        <v>16.192092257001601</v>
      </c>
      <c r="R75" s="58">
        <v>10.383333333333301</v>
      </c>
      <c r="S75" s="58">
        <v>1.05593220338983</v>
      </c>
      <c r="T75" t="s">
        <v>176</v>
      </c>
      <c r="U75" s="11">
        <v>78.976299999999995</v>
      </c>
      <c r="V75"/>
      <c r="W75"/>
    </row>
    <row r="76" spans="1:23" x14ac:dyDescent="0.35">
      <c r="A76" s="40">
        <v>45947</v>
      </c>
      <c r="B76">
        <v>2025</v>
      </c>
      <c r="C76" t="s">
        <v>327</v>
      </c>
      <c r="D76">
        <v>3</v>
      </c>
      <c r="E76">
        <v>42</v>
      </c>
      <c r="F76" t="s">
        <v>50</v>
      </c>
      <c r="G76" s="106">
        <v>0.75694444444444442</v>
      </c>
      <c r="H76" t="s">
        <v>80</v>
      </c>
      <c r="I76" t="s">
        <v>230</v>
      </c>
      <c r="J76">
        <v>54</v>
      </c>
      <c r="K76">
        <v>6.48</v>
      </c>
      <c r="L76">
        <v>136</v>
      </c>
      <c r="M76">
        <v>11</v>
      </c>
      <c r="N76" s="58">
        <v>149.80000000000001</v>
      </c>
      <c r="O76" s="58">
        <v>119.47199999999999</v>
      </c>
      <c r="P76" s="58">
        <v>23.1173</v>
      </c>
      <c r="Q76" s="58">
        <v>18.437037037037001</v>
      </c>
      <c r="R76" s="58">
        <v>13.6181818181818</v>
      </c>
      <c r="S76" s="58">
        <v>1.10147058823529</v>
      </c>
      <c r="T76" t="s">
        <v>176</v>
      </c>
      <c r="U76" s="11">
        <v>78.654600000000002</v>
      </c>
      <c r="V76"/>
      <c r="W76"/>
    </row>
    <row r="77" spans="1:23" x14ac:dyDescent="0.35">
      <c r="A77" s="40">
        <v>45944</v>
      </c>
      <c r="B77">
        <v>2025</v>
      </c>
      <c r="C77" t="s">
        <v>327</v>
      </c>
      <c r="D77">
        <v>3</v>
      </c>
      <c r="E77">
        <v>42</v>
      </c>
      <c r="F77" t="s">
        <v>47</v>
      </c>
      <c r="G77" s="106">
        <v>0.73263888888888884</v>
      </c>
      <c r="H77" t="s">
        <v>80</v>
      </c>
      <c r="I77" t="s">
        <v>285</v>
      </c>
      <c r="J77">
        <v>55</v>
      </c>
      <c r="K77">
        <v>6.02</v>
      </c>
      <c r="L77">
        <v>106</v>
      </c>
      <c r="M77">
        <v>18</v>
      </c>
      <c r="N77" s="58">
        <v>134.25</v>
      </c>
      <c r="O77" s="58">
        <v>110.61199999999999</v>
      </c>
      <c r="P77" s="58">
        <v>22.300699999999999</v>
      </c>
      <c r="Q77" s="58">
        <v>18.374086378737498</v>
      </c>
      <c r="R77" s="58">
        <v>7.4583333333333304</v>
      </c>
      <c r="S77" s="58">
        <v>1.26650943396226</v>
      </c>
      <c r="T77" t="s">
        <v>176</v>
      </c>
      <c r="U77" s="11">
        <v>79.969200000000001</v>
      </c>
      <c r="V77"/>
      <c r="W77"/>
    </row>
    <row r="78" spans="1:23" x14ac:dyDescent="0.35">
      <c r="A78" s="40">
        <v>45943</v>
      </c>
      <c r="B78">
        <v>2025</v>
      </c>
      <c r="C78" t="s">
        <v>327</v>
      </c>
      <c r="D78">
        <v>3</v>
      </c>
      <c r="E78">
        <v>42</v>
      </c>
      <c r="F78" t="s">
        <v>46</v>
      </c>
      <c r="G78" s="106">
        <v>0.78125</v>
      </c>
      <c r="H78" t="s">
        <v>80</v>
      </c>
      <c r="I78" t="s">
        <v>231</v>
      </c>
      <c r="J78">
        <v>50</v>
      </c>
      <c r="K78">
        <v>3.47</v>
      </c>
      <c r="L78">
        <v>50</v>
      </c>
      <c r="M78">
        <v>9</v>
      </c>
      <c r="N78" s="58">
        <v>71.75</v>
      </c>
      <c r="O78" s="58">
        <v>60.6</v>
      </c>
      <c r="P78" s="58">
        <v>20.677199999999999</v>
      </c>
      <c r="Q78" s="58">
        <v>17.463976945245001</v>
      </c>
      <c r="R78" s="58">
        <v>7.9722222222222197</v>
      </c>
      <c r="S78" s="58">
        <v>1.4350000000000001</v>
      </c>
      <c r="T78" t="s">
        <v>175</v>
      </c>
      <c r="U78" s="11">
        <v>78.477599999999995</v>
      </c>
      <c r="V78"/>
      <c r="W78"/>
    </row>
    <row r="79" spans="1:23" x14ac:dyDescent="0.35">
      <c r="A79" s="40">
        <v>45940</v>
      </c>
      <c r="B79">
        <v>2025</v>
      </c>
      <c r="C79" t="s">
        <v>327</v>
      </c>
      <c r="D79">
        <v>2</v>
      </c>
      <c r="E79">
        <v>41</v>
      </c>
      <c r="F79" t="s">
        <v>50</v>
      </c>
      <c r="G79" s="106">
        <v>0.78472222222222221</v>
      </c>
      <c r="H79" t="s">
        <v>80</v>
      </c>
      <c r="I79" t="s">
        <v>230</v>
      </c>
      <c r="J79">
        <v>50</v>
      </c>
      <c r="K79">
        <v>5.22</v>
      </c>
      <c r="L79">
        <v>137</v>
      </c>
      <c r="M79">
        <v>11</v>
      </c>
      <c r="N79" s="58">
        <v>162.72</v>
      </c>
      <c r="O79" s="58">
        <v>132.16900000000001</v>
      </c>
      <c r="P79" s="58">
        <v>31.1724</v>
      </c>
      <c r="Q79" s="58">
        <v>25.319731800766299</v>
      </c>
      <c r="R79" s="58">
        <v>14.7927272727273</v>
      </c>
      <c r="S79" s="58">
        <v>1.18773722627737</v>
      </c>
      <c r="T79" t="s">
        <v>176</v>
      </c>
      <c r="U79" s="11">
        <v>77.680300000000003</v>
      </c>
      <c r="V79"/>
      <c r="W79"/>
    </row>
    <row r="80" spans="1:23" x14ac:dyDescent="0.35">
      <c r="A80" s="40">
        <v>45937</v>
      </c>
      <c r="B80">
        <v>2025</v>
      </c>
      <c r="C80" t="s">
        <v>327</v>
      </c>
      <c r="D80">
        <v>2</v>
      </c>
      <c r="E80">
        <v>41</v>
      </c>
      <c r="F80" t="s">
        <v>47</v>
      </c>
      <c r="G80" s="106">
        <v>0.77430555555555558</v>
      </c>
      <c r="H80" t="s">
        <v>80</v>
      </c>
      <c r="I80" t="s">
        <v>230</v>
      </c>
      <c r="J80">
        <v>70</v>
      </c>
      <c r="K80">
        <v>5.92</v>
      </c>
      <c r="L80">
        <v>130</v>
      </c>
      <c r="M80">
        <v>15</v>
      </c>
      <c r="N80" s="58">
        <v>136.77000000000001</v>
      </c>
      <c r="O80" s="58">
        <v>107.78</v>
      </c>
      <c r="P80" s="58">
        <v>23.103000000000002</v>
      </c>
      <c r="Q80" s="58">
        <v>18.206081081081098</v>
      </c>
      <c r="R80" s="58">
        <v>9.1180000000000003</v>
      </c>
      <c r="S80" s="58">
        <v>1.05207692307692</v>
      </c>
      <c r="T80" t="s">
        <v>176</v>
      </c>
      <c r="U80" s="11">
        <v>75.872299999999996</v>
      </c>
      <c r="V80"/>
      <c r="W80"/>
    </row>
    <row r="81" spans="1:23" x14ac:dyDescent="0.35">
      <c r="A81" s="40">
        <v>45935</v>
      </c>
      <c r="B81">
        <v>2025</v>
      </c>
      <c r="C81" t="s">
        <v>327</v>
      </c>
      <c r="D81">
        <v>1</v>
      </c>
      <c r="E81">
        <v>40</v>
      </c>
      <c r="F81" t="s">
        <v>45</v>
      </c>
      <c r="G81" s="106">
        <v>0.78819444444444442</v>
      </c>
      <c r="H81" t="s">
        <v>85</v>
      </c>
      <c r="I81" t="s">
        <v>230</v>
      </c>
      <c r="J81">
        <v>64</v>
      </c>
      <c r="K81">
        <v>4.42</v>
      </c>
      <c r="L81">
        <v>70</v>
      </c>
      <c r="M81">
        <v>10</v>
      </c>
      <c r="N81" s="58">
        <v>153.44</v>
      </c>
      <c r="O81" s="58">
        <v>137.83000000000001</v>
      </c>
      <c r="P81" s="58">
        <v>34.7149</v>
      </c>
      <c r="Q81" s="58">
        <v>31.183257918551998</v>
      </c>
      <c r="R81" s="58">
        <v>15.343999999999999</v>
      </c>
      <c r="S81" s="58">
        <v>2.1920000000000002</v>
      </c>
      <c r="T81" t="s">
        <v>176</v>
      </c>
      <c r="U81" s="11">
        <v>74.352699999999999</v>
      </c>
      <c r="V81"/>
      <c r="W81"/>
    </row>
    <row r="82" spans="1:23" x14ac:dyDescent="0.35">
      <c r="A82" s="40">
        <v>45933</v>
      </c>
      <c r="B82">
        <v>2025</v>
      </c>
      <c r="C82" t="s">
        <v>327</v>
      </c>
      <c r="D82">
        <v>1</v>
      </c>
      <c r="E82">
        <v>40</v>
      </c>
      <c r="F82" t="s">
        <v>50</v>
      </c>
      <c r="G82" s="106">
        <v>0.75</v>
      </c>
      <c r="H82" t="s">
        <v>80</v>
      </c>
      <c r="I82" t="s">
        <v>230</v>
      </c>
      <c r="J82">
        <v>64</v>
      </c>
      <c r="K82">
        <v>7.28</v>
      </c>
      <c r="L82">
        <v>175</v>
      </c>
      <c r="M82">
        <v>11</v>
      </c>
      <c r="N82" s="58">
        <v>244.64</v>
      </c>
      <c r="O82" s="58">
        <v>205.61500000000001</v>
      </c>
      <c r="P82" s="58">
        <v>33.604399999999998</v>
      </c>
      <c r="Q82" s="58">
        <v>28.2438186813187</v>
      </c>
      <c r="R82" s="58">
        <v>22.24</v>
      </c>
      <c r="S82" s="58">
        <v>1.39794285714286</v>
      </c>
      <c r="T82" t="s">
        <v>176</v>
      </c>
      <c r="U82" s="11">
        <v>74.050200000000004</v>
      </c>
      <c r="V82"/>
      <c r="W82"/>
    </row>
    <row r="83" spans="1:23" x14ac:dyDescent="0.35">
      <c r="A83" s="40">
        <v>45932</v>
      </c>
      <c r="B83">
        <v>2025</v>
      </c>
      <c r="C83" t="s">
        <v>327</v>
      </c>
      <c r="D83">
        <v>1</v>
      </c>
      <c r="E83">
        <v>40</v>
      </c>
      <c r="F83" t="s">
        <v>49</v>
      </c>
      <c r="G83" s="106">
        <v>0.77083333333333337</v>
      </c>
      <c r="H83" t="s">
        <v>174</v>
      </c>
      <c r="I83" t="s">
        <v>230</v>
      </c>
      <c r="J83">
        <v>57</v>
      </c>
      <c r="K83">
        <v>2.58</v>
      </c>
      <c r="L83">
        <v>68</v>
      </c>
      <c r="M83">
        <v>2</v>
      </c>
      <c r="N83" s="58">
        <v>31.44</v>
      </c>
      <c r="O83" s="58">
        <v>16.276</v>
      </c>
      <c r="P83" s="58">
        <v>12.186</v>
      </c>
      <c r="Q83" s="58">
        <v>6.3085271317829497</v>
      </c>
      <c r="R83" s="58">
        <v>15.72</v>
      </c>
      <c r="S83" s="58">
        <v>0.46235294117647102</v>
      </c>
      <c r="T83" t="s">
        <v>176</v>
      </c>
      <c r="U83" s="11">
        <v>71.331999999999994</v>
      </c>
      <c r="V83"/>
      <c r="W83"/>
    </row>
    <row r="84" spans="1:23" x14ac:dyDescent="0.35">
      <c r="A84" s="40">
        <v>45931</v>
      </c>
      <c r="B84">
        <v>2025</v>
      </c>
      <c r="C84" t="s">
        <v>327</v>
      </c>
      <c r="D84">
        <v>1</v>
      </c>
      <c r="E84">
        <v>40</v>
      </c>
      <c r="F84" t="s">
        <v>48</v>
      </c>
      <c r="G84" s="106">
        <v>0.77083333333333337</v>
      </c>
      <c r="H84" t="s">
        <v>80</v>
      </c>
      <c r="I84" t="s">
        <v>230</v>
      </c>
      <c r="J84">
        <v>64</v>
      </c>
      <c r="K84">
        <v>6.48</v>
      </c>
      <c r="L84">
        <v>191</v>
      </c>
      <c r="M84">
        <v>7</v>
      </c>
      <c r="N84" s="58">
        <v>165.25</v>
      </c>
      <c r="O84" s="58">
        <v>122.657</v>
      </c>
      <c r="P84" s="58">
        <v>25.5015</v>
      </c>
      <c r="Q84" s="58">
        <v>18.928549382716</v>
      </c>
      <c r="R84" s="58">
        <v>23.6071428571429</v>
      </c>
      <c r="S84" s="58">
        <v>0.865183246073298</v>
      </c>
      <c r="T84" t="s">
        <v>175</v>
      </c>
      <c r="U84" s="11">
        <v>70.982699999999994</v>
      </c>
      <c r="V84"/>
      <c r="W84"/>
    </row>
    <row r="85" spans="1:23" x14ac:dyDescent="0.35">
      <c r="A85" s="40">
        <v>45930</v>
      </c>
      <c r="B85">
        <v>2025</v>
      </c>
      <c r="C85" t="s">
        <v>327</v>
      </c>
      <c r="D85">
        <v>1</v>
      </c>
      <c r="E85">
        <v>40</v>
      </c>
      <c r="F85" t="s">
        <v>47</v>
      </c>
      <c r="G85" s="106">
        <v>0.79513888888888884</v>
      </c>
      <c r="H85" t="s">
        <v>80</v>
      </c>
      <c r="I85" t="s">
        <v>230</v>
      </c>
      <c r="J85">
        <v>64</v>
      </c>
      <c r="K85">
        <v>0.98</v>
      </c>
      <c r="L85">
        <v>27</v>
      </c>
      <c r="M85">
        <v>1</v>
      </c>
      <c r="N85" s="58">
        <v>37</v>
      </c>
      <c r="O85" s="58">
        <v>30.978999999999999</v>
      </c>
      <c r="P85" s="58">
        <v>37.755099999999999</v>
      </c>
      <c r="Q85" s="58">
        <v>31.611224489795902</v>
      </c>
      <c r="R85" s="58">
        <v>37</v>
      </c>
      <c r="S85" s="58">
        <v>1.37037037037037</v>
      </c>
      <c r="T85" t="s">
        <v>176</v>
      </c>
      <c r="U85" s="11">
        <v>69.705799999999996</v>
      </c>
      <c r="V85"/>
      <c r="W85"/>
    </row>
    <row r="86" spans="1:23" x14ac:dyDescent="0.35">
      <c r="A86" s="40">
        <v>45929</v>
      </c>
      <c r="B86">
        <v>2025</v>
      </c>
      <c r="C86" t="s">
        <v>327</v>
      </c>
      <c r="D86">
        <v>1</v>
      </c>
      <c r="E86">
        <v>40</v>
      </c>
      <c r="F86" t="s">
        <v>46</v>
      </c>
      <c r="G86" s="106">
        <v>0.75347222222222221</v>
      </c>
      <c r="H86" t="s">
        <v>80</v>
      </c>
      <c r="I86" t="s">
        <v>230</v>
      </c>
      <c r="J86">
        <v>72</v>
      </c>
      <c r="K86">
        <v>3.95</v>
      </c>
      <c r="L86">
        <v>105</v>
      </c>
      <c r="M86">
        <v>9</v>
      </c>
      <c r="N86" s="58">
        <v>113.99</v>
      </c>
      <c r="O86" s="58">
        <v>90.575000000000003</v>
      </c>
      <c r="P86" s="58">
        <v>28.8582</v>
      </c>
      <c r="Q86" s="58">
        <v>22.930379746835399</v>
      </c>
      <c r="R86" s="58">
        <v>12.665555555555599</v>
      </c>
      <c r="S86" s="58">
        <v>1.0856190476190499</v>
      </c>
      <c r="T86" t="s">
        <v>176</v>
      </c>
      <c r="U86" s="11">
        <v>70.395899999999997</v>
      </c>
      <c r="V86"/>
      <c r="W86"/>
    </row>
    <row r="87" spans="1:23" x14ac:dyDescent="0.35">
      <c r="A87" s="40">
        <v>45927</v>
      </c>
      <c r="B87">
        <v>2025</v>
      </c>
      <c r="C87" t="s">
        <v>305</v>
      </c>
      <c r="D87">
        <v>13</v>
      </c>
      <c r="E87">
        <v>39</v>
      </c>
      <c r="F87" t="s">
        <v>51</v>
      </c>
      <c r="G87" s="106">
        <v>0.69444444444444442</v>
      </c>
      <c r="H87" t="s">
        <v>80</v>
      </c>
      <c r="I87" t="s">
        <v>230</v>
      </c>
      <c r="J87">
        <v>66</v>
      </c>
      <c r="K87">
        <v>7.47</v>
      </c>
      <c r="L87">
        <v>197</v>
      </c>
      <c r="M87">
        <v>16</v>
      </c>
      <c r="N87" s="58">
        <v>234.46</v>
      </c>
      <c r="O87" s="58">
        <v>190.529</v>
      </c>
      <c r="P87" s="58">
        <v>31.386900000000001</v>
      </c>
      <c r="Q87" s="58">
        <v>25.505890227577002</v>
      </c>
      <c r="R87" s="58">
        <v>14.65375</v>
      </c>
      <c r="S87" s="58">
        <v>1.19015228426396</v>
      </c>
      <c r="T87" t="s">
        <v>175</v>
      </c>
      <c r="U87" s="11">
        <v>72.138199999999998</v>
      </c>
      <c r="V87"/>
      <c r="W87"/>
    </row>
    <row r="88" spans="1:23" x14ac:dyDescent="0.35">
      <c r="A88" s="40">
        <v>45926</v>
      </c>
      <c r="B88">
        <v>2025</v>
      </c>
      <c r="C88" t="s">
        <v>305</v>
      </c>
      <c r="D88">
        <v>13</v>
      </c>
      <c r="E88">
        <v>39</v>
      </c>
      <c r="F88" t="s">
        <v>50</v>
      </c>
      <c r="G88" s="106">
        <v>0.82291666666666663</v>
      </c>
      <c r="H88" t="s">
        <v>80</v>
      </c>
      <c r="I88" t="s">
        <v>249</v>
      </c>
      <c r="J88">
        <v>73</v>
      </c>
      <c r="K88">
        <v>5.63</v>
      </c>
      <c r="L88">
        <v>155</v>
      </c>
      <c r="M88">
        <v>9</v>
      </c>
      <c r="N88" s="58">
        <v>121.27</v>
      </c>
      <c r="O88" s="58">
        <v>86.704999999999998</v>
      </c>
      <c r="P88" s="58">
        <v>21.54</v>
      </c>
      <c r="Q88" s="58">
        <v>15.4005328596803</v>
      </c>
      <c r="R88" s="58">
        <v>13.4744444444444</v>
      </c>
      <c r="S88" s="58">
        <v>0.78238709677419405</v>
      </c>
      <c r="T88" t="s">
        <v>176</v>
      </c>
      <c r="U88" s="11">
        <v>70.412800000000004</v>
      </c>
      <c r="V88"/>
      <c r="W88"/>
    </row>
    <row r="89" spans="1:23" x14ac:dyDescent="0.35">
      <c r="A89" s="40">
        <v>45924</v>
      </c>
      <c r="B89">
        <v>2025</v>
      </c>
      <c r="C89" t="s">
        <v>305</v>
      </c>
      <c r="D89">
        <v>13</v>
      </c>
      <c r="E89">
        <v>39</v>
      </c>
      <c r="F89" t="s">
        <v>48</v>
      </c>
      <c r="G89" s="106">
        <v>0.79513888888888884</v>
      </c>
      <c r="H89" t="s">
        <v>80</v>
      </c>
      <c r="I89" t="s">
        <v>231</v>
      </c>
      <c r="J89">
        <v>61</v>
      </c>
      <c r="K89">
        <v>7.15</v>
      </c>
      <c r="L89">
        <v>143</v>
      </c>
      <c r="M89">
        <v>12</v>
      </c>
      <c r="N89" s="58">
        <v>157.44999999999999</v>
      </c>
      <c r="O89" s="58">
        <v>125.56100000000001</v>
      </c>
      <c r="P89" s="58">
        <v>22.021000000000001</v>
      </c>
      <c r="Q89" s="58">
        <v>17.560979020979001</v>
      </c>
      <c r="R89" s="58">
        <v>13.1208333333333</v>
      </c>
      <c r="S89" s="58">
        <v>1.1010489510489501</v>
      </c>
      <c r="T89" t="s">
        <v>176</v>
      </c>
      <c r="U89" s="11">
        <v>71.761799999999994</v>
      </c>
      <c r="V89"/>
      <c r="W89"/>
    </row>
    <row r="90" spans="1:23" x14ac:dyDescent="0.35">
      <c r="A90" s="40">
        <v>45923</v>
      </c>
      <c r="B90">
        <v>2025</v>
      </c>
      <c r="C90" t="s">
        <v>305</v>
      </c>
      <c r="D90">
        <v>13</v>
      </c>
      <c r="E90">
        <v>39</v>
      </c>
      <c r="F90" t="s">
        <v>47</v>
      </c>
      <c r="G90" s="106">
        <v>0.79513888888888884</v>
      </c>
      <c r="H90" t="s">
        <v>82</v>
      </c>
      <c r="I90" t="s">
        <v>276</v>
      </c>
      <c r="J90">
        <v>64</v>
      </c>
      <c r="K90">
        <v>0.83819444444444446</v>
      </c>
      <c r="L90">
        <v>21.6</v>
      </c>
      <c r="M90">
        <v>2</v>
      </c>
      <c r="N90" s="58">
        <v>29.61</v>
      </c>
      <c r="O90" s="58">
        <v>24.793199999999999</v>
      </c>
      <c r="P90" s="58">
        <v>35.325899999999997</v>
      </c>
      <c r="Q90" s="58">
        <v>29.579294117647098</v>
      </c>
      <c r="R90" s="58">
        <v>14.805</v>
      </c>
      <c r="S90" s="58">
        <v>1.37083333333333</v>
      </c>
      <c r="T90" t="s">
        <v>175</v>
      </c>
      <c r="U90" s="11">
        <v>70.012299999999996</v>
      </c>
      <c r="V90"/>
      <c r="W90"/>
    </row>
    <row r="91" spans="1:23" x14ac:dyDescent="0.35">
      <c r="A91" s="40">
        <v>45922</v>
      </c>
      <c r="B91">
        <v>2025</v>
      </c>
      <c r="C91" t="s">
        <v>305</v>
      </c>
      <c r="D91">
        <v>13</v>
      </c>
      <c r="E91">
        <v>39</v>
      </c>
      <c r="F91" t="s">
        <v>46</v>
      </c>
      <c r="G91" s="106">
        <v>0.76736111111111116</v>
      </c>
      <c r="H91" t="s">
        <v>85</v>
      </c>
      <c r="I91" t="s">
        <v>230</v>
      </c>
      <c r="J91">
        <v>63</v>
      </c>
      <c r="K91">
        <v>5.98</v>
      </c>
      <c r="L91">
        <v>125</v>
      </c>
      <c r="M91">
        <v>9</v>
      </c>
      <c r="N91" s="58">
        <v>161.19</v>
      </c>
      <c r="O91" s="58">
        <v>133.315</v>
      </c>
      <c r="P91" s="58">
        <v>26.954799999999999</v>
      </c>
      <c r="Q91" s="58">
        <v>22.293478260869598</v>
      </c>
      <c r="R91" s="58">
        <v>17.91</v>
      </c>
      <c r="S91" s="58">
        <v>1.28952</v>
      </c>
      <c r="T91" t="s">
        <v>175</v>
      </c>
      <c r="U91" s="11">
        <v>70.533299999999997</v>
      </c>
      <c r="V91"/>
      <c r="W91"/>
    </row>
    <row r="92" spans="1:23" x14ac:dyDescent="0.35">
      <c r="A92" s="40">
        <v>45921</v>
      </c>
      <c r="B92">
        <v>2025</v>
      </c>
      <c r="C92" t="s">
        <v>305</v>
      </c>
      <c r="D92">
        <v>12</v>
      </c>
      <c r="E92">
        <v>38</v>
      </c>
      <c r="F92" t="s">
        <v>45</v>
      </c>
      <c r="G92" s="106">
        <v>0.76041666666666663</v>
      </c>
      <c r="H92" t="s">
        <v>80</v>
      </c>
      <c r="I92" t="s">
        <v>230</v>
      </c>
      <c r="J92">
        <v>63</v>
      </c>
      <c r="K92">
        <v>4</v>
      </c>
      <c r="L92">
        <v>92</v>
      </c>
      <c r="M92">
        <v>7</v>
      </c>
      <c r="N92" s="58">
        <v>83.1</v>
      </c>
      <c r="O92" s="58">
        <v>62.584000000000003</v>
      </c>
      <c r="P92" s="58">
        <v>20.774999999999999</v>
      </c>
      <c r="Q92" s="58">
        <v>15.646000000000001</v>
      </c>
      <c r="R92" s="58">
        <v>11.8714285714286</v>
      </c>
      <c r="S92" s="58">
        <v>0.90326086956521701</v>
      </c>
      <c r="T92" t="s">
        <v>176</v>
      </c>
      <c r="U92" s="11">
        <v>70.209000000000003</v>
      </c>
      <c r="V92"/>
      <c r="W92"/>
    </row>
    <row r="93" spans="1:23" x14ac:dyDescent="0.35">
      <c r="A93" s="40">
        <v>45919</v>
      </c>
      <c r="B93">
        <v>2025</v>
      </c>
      <c r="C93" t="s">
        <v>305</v>
      </c>
      <c r="D93">
        <v>12</v>
      </c>
      <c r="E93">
        <v>38</v>
      </c>
      <c r="F93" t="s">
        <v>50</v>
      </c>
      <c r="G93" s="106">
        <v>0.78472222222222221</v>
      </c>
      <c r="H93" t="s">
        <v>85</v>
      </c>
      <c r="I93" t="s">
        <v>230</v>
      </c>
      <c r="J93">
        <v>68</v>
      </c>
      <c r="K93">
        <v>5.07</v>
      </c>
      <c r="L93">
        <v>116</v>
      </c>
      <c r="M93">
        <v>9</v>
      </c>
      <c r="N93" s="58">
        <v>99.94</v>
      </c>
      <c r="O93" s="58">
        <v>74.072000000000003</v>
      </c>
      <c r="P93" s="58">
        <v>19.712</v>
      </c>
      <c r="Q93" s="58">
        <v>14.6098619329389</v>
      </c>
      <c r="R93" s="58">
        <v>11.1044444444444</v>
      </c>
      <c r="S93" s="58">
        <v>0.86155172413793102</v>
      </c>
      <c r="T93" t="s">
        <v>176</v>
      </c>
      <c r="U93" s="11">
        <v>71.101399999999998</v>
      </c>
      <c r="V93"/>
      <c r="W93"/>
    </row>
    <row r="94" spans="1:23" x14ac:dyDescent="0.35">
      <c r="A94" s="40">
        <v>45918</v>
      </c>
      <c r="B94">
        <v>2025</v>
      </c>
      <c r="C94" t="s">
        <v>305</v>
      </c>
      <c r="D94">
        <v>12</v>
      </c>
      <c r="E94">
        <v>38</v>
      </c>
      <c r="F94" t="s">
        <v>49</v>
      </c>
      <c r="G94" s="106">
        <v>0.77083333333333337</v>
      </c>
      <c r="H94" t="s">
        <v>85</v>
      </c>
      <c r="I94" t="s">
        <v>230</v>
      </c>
      <c r="J94">
        <v>64</v>
      </c>
      <c r="K94">
        <v>5.75</v>
      </c>
      <c r="L94">
        <v>129</v>
      </c>
      <c r="M94">
        <v>12</v>
      </c>
      <c r="N94" s="58">
        <v>127.29</v>
      </c>
      <c r="O94" s="58">
        <v>98.522999999999996</v>
      </c>
      <c r="P94" s="58">
        <v>22.1374</v>
      </c>
      <c r="Q94" s="58">
        <v>17.1344347826087</v>
      </c>
      <c r="R94" s="58">
        <v>10.6075</v>
      </c>
      <c r="S94" s="58">
        <v>0.98674418604651204</v>
      </c>
      <c r="T94" t="s">
        <v>176</v>
      </c>
      <c r="U94" s="11">
        <v>72.053399999999996</v>
      </c>
      <c r="V94"/>
      <c r="W94"/>
    </row>
    <row r="95" spans="1:23" x14ac:dyDescent="0.35">
      <c r="A95" s="40">
        <v>45917</v>
      </c>
      <c r="B95">
        <v>2025</v>
      </c>
      <c r="C95" t="s">
        <v>305</v>
      </c>
      <c r="D95">
        <v>12</v>
      </c>
      <c r="E95">
        <v>38</v>
      </c>
      <c r="F95" t="s">
        <v>48</v>
      </c>
      <c r="G95" s="106">
        <v>0.78125</v>
      </c>
      <c r="H95" t="s">
        <v>82</v>
      </c>
      <c r="I95" t="s">
        <v>230</v>
      </c>
      <c r="J95">
        <v>66</v>
      </c>
      <c r="K95">
        <v>6.98</v>
      </c>
      <c r="L95">
        <v>129</v>
      </c>
      <c r="M95">
        <v>14</v>
      </c>
      <c r="N95" s="58">
        <v>158.34</v>
      </c>
      <c r="O95" s="58">
        <v>129.57300000000001</v>
      </c>
      <c r="P95" s="58">
        <v>22.684799999999999</v>
      </c>
      <c r="Q95" s="58">
        <v>18.563467048710599</v>
      </c>
      <c r="R95" s="58">
        <v>11.31</v>
      </c>
      <c r="S95" s="58">
        <v>1.22744186046512</v>
      </c>
      <c r="T95" t="s">
        <v>176</v>
      </c>
      <c r="U95" s="11">
        <v>70.639099999999999</v>
      </c>
      <c r="V95"/>
      <c r="W95"/>
    </row>
    <row r="96" spans="1:23" x14ac:dyDescent="0.35">
      <c r="A96" s="40">
        <v>45915</v>
      </c>
      <c r="B96">
        <v>2025</v>
      </c>
      <c r="C96" t="s">
        <v>305</v>
      </c>
      <c r="D96">
        <v>12</v>
      </c>
      <c r="E96">
        <v>38</v>
      </c>
      <c r="F96" t="s">
        <v>46</v>
      </c>
      <c r="G96" s="106">
        <v>0.76388888888888884</v>
      </c>
      <c r="H96" t="s">
        <v>85</v>
      </c>
      <c r="I96" t="s">
        <v>230</v>
      </c>
      <c r="J96">
        <v>63</v>
      </c>
      <c r="K96">
        <v>5.73</v>
      </c>
      <c r="L96">
        <v>97</v>
      </c>
      <c r="M96">
        <v>14</v>
      </c>
      <c r="N96" s="58">
        <v>144.07</v>
      </c>
      <c r="O96" s="58">
        <v>122.43899999999999</v>
      </c>
      <c r="P96" s="58">
        <v>25.1431</v>
      </c>
      <c r="Q96" s="58">
        <v>21.368062827225099</v>
      </c>
      <c r="R96" s="58">
        <v>10.2907142857143</v>
      </c>
      <c r="S96" s="58">
        <v>1.4852577319587601</v>
      </c>
      <c r="T96" t="s">
        <v>175</v>
      </c>
      <c r="U96" s="11">
        <v>69.350200000000001</v>
      </c>
      <c r="V96"/>
      <c r="W96"/>
    </row>
    <row r="97" spans="1:23" x14ac:dyDescent="0.35">
      <c r="A97" s="40">
        <v>45914</v>
      </c>
      <c r="B97">
        <v>2025</v>
      </c>
      <c r="C97" t="s">
        <v>305</v>
      </c>
      <c r="D97">
        <v>11</v>
      </c>
      <c r="E97">
        <v>37</v>
      </c>
      <c r="F97" t="s">
        <v>45</v>
      </c>
      <c r="G97" s="106">
        <v>0.70138888888888884</v>
      </c>
      <c r="H97" t="s">
        <v>85</v>
      </c>
      <c r="I97" t="s">
        <v>230</v>
      </c>
      <c r="J97">
        <v>66</v>
      </c>
      <c r="K97">
        <v>5.12</v>
      </c>
      <c r="L97">
        <v>149</v>
      </c>
      <c r="M97">
        <v>6</v>
      </c>
      <c r="N97" s="58">
        <v>95.48</v>
      </c>
      <c r="O97" s="58">
        <v>62.253</v>
      </c>
      <c r="P97" s="58">
        <v>18.648399999999999</v>
      </c>
      <c r="Q97" s="58">
        <v>12.1587890625</v>
      </c>
      <c r="R97" s="58">
        <v>15.9133333333333</v>
      </c>
      <c r="S97" s="58">
        <v>0.64080536912751695</v>
      </c>
      <c r="T97" t="s">
        <v>176</v>
      </c>
      <c r="U97" s="11">
        <v>67.749399999999994</v>
      </c>
      <c r="V97"/>
      <c r="W97"/>
    </row>
    <row r="98" spans="1:23" x14ac:dyDescent="0.35">
      <c r="A98" s="40">
        <v>45912</v>
      </c>
      <c r="B98">
        <v>2025</v>
      </c>
      <c r="C98" t="s">
        <v>305</v>
      </c>
      <c r="D98">
        <v>11</v>
      </c>
      <c r="E98">
        <v>37</v>
      </c>
      <c r="F98" t="s">
        <v>50</v>
      </c>
      <c r="G98" s="106">
        <v>0.77777777777777779</v>
      </c>
      <c r="H98" t="s">
        <v>82</v>
      </c>
      <c r="I98" t="s">
        <v>230</v>
      </c>
      <c r="J98">
        <v>70</v>
      </c>
      <c r="K98">
        <v>8.33</v>
      </c>
      <c r="L98">
        <v>168</v>
      </c>
      <c r="M98">
        <v>16</v>
      </c>
      <c r="N98" s="58">
        <v>184.43</v>
      </c>
      <c r="O98" s="58">
        <v>146.96600000000001</v>
      </c>
      <c r="P98" s="58">
        <v>22.140499999999999</v>
      </c>
      <c r="Q98" s="58">
        <v>17.642977190876401</v>
      </c>
      <c r="R98" s="58">
        <v>11.526875</v>
      </c>
      <c r="S98" s="58">
        <v>1.09779761904762</v>
      </c>
      <c r="T98" t="s">
        <v>176</v>
      </c>
      <c r="U98" s="11">
        <v>68.006299999999996</v>
      </c>
      <c r="V98"/>
      <c r="W98"/>
    </row>
    <row r="99" spans="1:23" x14ac:dyDescent="0.35">
      <c r="A99" s="40">
        <v>45911</v>
      </c>
      <c r="B99">
        <v>2025</v>
      </c>
      <c r="C99" t="s">
        <v>305</v>
      </c>
      <c r="D99">
        <v>11</v>
      </c>
      <c r="E99">
        <v>37</v>
      </c>
      <c r="F99" t="s">
        <v>49</v>
      </c>
      <c r="G99" s="106">
        <v>0.78125</v>
      </c>
      <c r="H99" t="s">
        <v>85</v>
      </c>
      <c r="I99" t="s">
        <v>249</v>
      </c>
      <c r="J99">
        <v>72</v>
      </c>
      <c r="K99">
        <v>5.43</v>
      </c>
      <c r="L99">
        <v>138</v>
      </c>
      <c r="M99">
        <v>11</v>
      </c>
      <c r="N99" s="58">
        <v>153.36000000000001</v>
      </c>
      <c r="O99" s="58">
        <v>122.586</v>
      </c>
      <c r="P99" s="58">
        <v>28.243099999999998</v>
      </c>
      <c r="Q99" s="58">
        <v>22.575690607734799</v>
      </c>
      <c r="R99" s="58">
        <v>13.941818181818199</v>
      </c>
      <c r="S99" s="58">
        <v>1.11130434782609</v>
      </c>
      <c r="T99" t="s">
        <v>176</v>
      </c>
      <c r="U99" s="11">
        <v>65.957099999999997</v>
      </c>
      <c r="V99"/>
      <c r="W99"/>
    </row>
    <row r="100" spans="1:23" x14ac:dyDescent="0.35">
      <c r="A100" s="40">
        <v>45909</v>
      </c>
      <c r="B100">
        <v>2025</v>
      </c>
      <c r="C100" t="s">
        <v>305</v>
      </c>
      <c r="D100">
        <v>11</v>
      </c>
      <c r="E100">
        <v>37</v>
      </c>
      <c r="F100" t="s">
        <v>47</v>
      </c>
      <c r="G100" s="106">
        <v>0.74652777777777779</v>
      </c>
      <c r="H100" t="s">
        <v>80</v>
      </c>
      <c r="I100" t="s">
        <v>230</v>
      </c>
      <c r="J100">
        <v>64</v>
      </c>
      <c r="K100">
        <v>5.08</v>
      </c>
      <c r="L100">
        <v>135</v>
      </c>
      <c r="M100">
        <v>7</v>
      </c>
      <c r="N100" s="58">
        <v>97.44</v>
      </c>
      <c r="O100" s="58">
        <v>67.334999999999994</v>
      </c>
      <c r="P100" s="58">
        <v>19.181100000000001</v>
      </c>
      <c r="Q100" s="58">
        <v>13.254921259842501</v>
      </c>
      <c r="R100" s="58">
        <v>13.92</v>
      </c>
      <c r="S100" s="58">
        <v>0.72177777777777796</v>
      </c>
      <c r="T100" t="s">
        <v>176</v>
      </c>
      <c r="U100" s="11">
        <v>67.237700000000004</v>
      </c>
      <c r="V100"/>
      <c r="W100"/>
    </row>
    <row r="101" spans="1:23" x14ac:dyDescent="0.35">
      <c r="A101" s="40">
        <v>45908</v>
      </c>
      <c r="B101">
        <v>2025</v>
      </c>
      <c r="C101" t="s">
        <v>305</v>
      </c>
      <c r="D101">
        <v>11</v>
      </c>
      <c r="E101">
        <v>37</v>
      </c>
      <c r="F101" t="s">
        <v>46</v>
      </c>
      <c r="G101" s="106">
        <v>0.75</v>
      </c>
      <c r="H101" t="s">
        <v>85</v>
      </c>
      <c r="I101" t="s">
        <v>230</v>
      </c>
      <c r="J101">
        <v>63</v>
      </c>
      <c r="K101">
        <v>5.53</v>
      </c>
      <c r="L101">
        <v>119</v>
      </c>
      <c r="M101">
        <v>10</v>
      </c>
      <c r="N101" s="58">
        <v>115.73</v>
      </c>
      <c r="O101" s="58">
        <v>89.192999999999998</v>
      </c>
      <c r="P101" s="58">
        <v>20.927700000000002</v>
      </c>
      <c r="Q101" s="58">
        <v>16.128933092224202</v>
      </c>
      <c r="R101" s="58">
        <v>11.573</v>
      </c>
      <c r="S101" s="58">
        <v>0.97252100840336098</v>
      </c>
      <c r="T101" t="s">
        <v>176</v>
      </c>
      <c r="U101" s="11">
        <v>66.155000000000001</v>
      </c>
      <c r="V101"/>
      <c r="W101"/>
    </row>
    <row r="102" spans="1:23" x14ac:dyDescent="0.35">
      <c r="A102" s="40">
        <v>45907</v>
      </c>
      <c r="B102">
        <v>2025</v>
      </c>
      <c r="C102" t="s">
        <v>305</v>
      </c>
      <c r="D102">
        <v>10</v>
      </c>
      <c r="E102">
        <v>36</v>
      </c>
      <c r="F102" t="s">
        <v>45</v>
      </c>
      <c r="G102" s="106">
        <v>0.59722222222222221</v>
      </c>
      <c r="H102" t="s">
        <v>80</v>
      </c>
      <c r="I102" t="s">
        <v>249</v>
      </c>
      <c r="J102">
        <v>63</v>
      </c>
      <c r="K102">
        <v>2.27</v>
      </c>
      <c r="L102">
        <v>37</v>
      </c>
      <c r="M102">
        <v>7</v>
      </c>
      <c r="N102" s="58">
        <v>48.61</v>
      </c>
      <c r="O102" s="58">
        <v>40.359000000000002</v>
      </c>
      <c r="P102" s="58">
        <v>21.414100000000001</v>
      </c>
      <c r="Q102" s="58">
        <v>17.779295154185</v>
      </c>
      <c r="R102" s="58">
        <v>6.9442857142857104</v>
      </c>
      <c r="S102" s="58">
        <v>1.31378378378378</v>
      </c>
      <c r="T102" t="s">
        <v>176</v>
      </c>
      <c r="U102" s="11">
        <v>65.903099999999995</v>
      </c>
      <c r="V102"/>
      <c r="W102"/>
    </row>
    <row r="103" spans="1:23" x14ac:dyDescent="0.35">
      <c r="A103" s="40">
        <v>45906</v>
      </c>
      <c r="B103">
        <v>2025</v>
      </c>
      <c r="C103" t="s">
        <v>305</v>
      </c>
      <c r="D103">
        <v>10</v>
      </c>
      <c r="E103">
        <v>36</v>
      </c>
      <c r="F103" t="s">
        <v>51</v>
      </c>
      <c r="G103" s="106">
        <v>0.77777777777777779</v>
      </c>
      <c r="H103" t="s">
        <v>82</v>
      </c>
      <c r="I103" t="s">
        <v>231</v>
      </c>
      <c r="J103">
        <v>63</v>
      </c>
      <c r="K103">
        <v>6.92</v>
      </c>
      <c r="L103">
        <v>130</v>
      </c>
      <c r="M103">
        <v>18</v>
      </c>
      <c r="N103" s="58">
        <v>157.44999999999999</v>
      </c>
      <c r="O103" s="58">
        <v>128.46</v>
      </c>
      <c r="P103" s="58">
        <v>22.7529</v>
      </c>
      <c r="Q103" s="58">
        <v>18.563583815028899</v>
      </c>
      <c r="R103" s="58">
        <v>8.74722222222222</v>
      </c>
      <c r="S103" s="58">
        <v>1.21115384615385</v>
      </c>
      <c r="T103" t="s">
        <v>175</v>
      </c>
      <c r="U103" s="11">
        <v>66.724199999999996</v>
      </c>
      <c r="V103"/>
      <c r="W103"/>
    </row>
    <row r="104" spans="1:23" x14ac:dyDescent="0.35">
      <c r="A104" s="40">
        <v>45904</v>
      </c>
      <c r="B104">
        <v>2025</v>
      </c>
      <c r="C104" t="s">
        <v>305</v>
      </c>
      <c r="D104">
        <v>10</v>
      </c>
      <c r="E104">
        <v>36</v>
      </c>
      <c r="F104" t="s">
        <v>49</v>
      </c>
      <c r="G104" s="106">
        <v>0.75694444444444442</v>
      </c>
      <c r="H104" t="s">
        <v>82</v>
      </c>
      <c r="I104" t="s">
        <v>231</v>
      </c>
      <c r="J104">
        <v>70</v>
      </c>
      <c r="K104">
        <v>1.37</v>
      </c>
      <c r="L104">
        <v>49</v>
      </c>
      <c r="M104">
        <v>2</v>
      </c>
      <c r="N104" s="58">
        <v>25.78</v>
      </c>
      <c r="O104" s="58">
        <v>14.853</v>
      </c>
      <c r="P104" s="58">
        <v>18.817499999999999</v>
      </c>
      <c r="Q104" s="58">
        <v>10.841605839416101</v>
      </c>
      <c r="R104" s="58">
        <v>12.89</v>
      </c>
      <c r="S104" s="58">
        <v>0.52612244897959204</v>
      </c>
      <c r="T104" t="s">
        <v>176</v>
      </c>
      <c r="U104" s="11">
        <v>66.507300000000001</v>
      </c>
      <c r="V104"/>
      <c r="W104"/>
    </row>
    <row r="105" spans="1:23" x14ac:dyDescent="0.35">
      <c r="A105" s="40">
        <v>45902</v>
      </c>
      <c r="B105">
        <v>2025</v>
      </c>
      <c r="C105" t="s">
        <v>305</v>
      </c>
      <c r="D105">
        <v>10</v>
      </c>
      <c r="E105">
        <v>36</v>
      </c>
      <c r="F105" t="s">
        <v>47</v>
      </c>
      <c r="G105" s="106">
        <v>0.63888888888888884</v>
      </c>
      <c r="H105" t="s">
        <v>85</v>
      </c>
      <c r="I105" t="s">
        <v>230</v>
      </c>
      <c r="J105">
        <v>66</v>
      </c>
      <c r="K105">
        <v>4.5199999999999996</v>
      </c>
      <c r="L105">
        <v>101</v>
      </c>
      <c r="M105">
        <v>9</v>
      </c>
      <c r="N105" s="58">
        <v>105.39</v>
      </c>
      <c r="O105" s="58">
        <v>82.867000000000004</v>
      </c>
      <c r="P105" s="58">
        <v>23.316400000000002</v>
      </c>
      <c r="Q105" s="58">
        <v>18.333407079646001</v>
      </c>
      <c r="R105" s="58">
        <v>11.71</v>
      </c>
      <c r="S105" s="58">
        <v>1.04346534653465</v>
      </c>
      <c r="T105" t="s">
        <v>176</v>
      </c>
      <c r="U105" s="11">
        <v>67.224400000000003</v>
      </c>
      <c r="V105"/>
      <c r="W105"/>
    </row>
    <row r="106" spans="1:23" x14ac:dyDescent="0.35">
      <c r="A106" s="40">
        <v>45901</v>
      </c>
      <c r="B106">
        <v>2025</v>
      </c>
      <c r="C106" t="s">
        <v>305</v>
      </c>
      <c r="D106">
        <v>10</v>
      </c>
      <c r="E106">
        <v>36</v>
      </c>
      <c r="F106" t="s">
        <v>46</v>
      </c>
      <c r="G106" s="106">
        <v>0.75694444444444442</v>
      </c>
      <c r="H106" t="s">
        <v>80</v>
      </c>
      <c r="I106" t="s">
        <v>230</v>
      </c>
      <c r="J106">
        <v>73</v>
      </c>
      <c r="K106">
        <v>6.28</v>
      </c>
      <c r="L106">
        <v>175</v>
      </c>
      <c r="M106">
        <v>10</v>
      </c>
      <c r="N106" s="58">
        <v>200.47</v>
      </c>
      <c r="O106" s="58">
        <v>161.44499999999999</v>
      </c>
      <c r="P106" s="58">
        <v>31.922000000000001</v>
      </c>
      <c r="Q106" s="58">
        <v>25.707802547770701</v>
      </c>
      <c r="R106" s="58">
        <v>20.047000000000001</v>
      </c>
      <c r="S106" s="58">
        <v>1.1455428571428601</v>
      </c>
      <c r="T106" t="s">
        <v>175</v>
      </c>
      <c r="U106" s="11">
        <v>67.271100000000004</v>
      </c>
      <c r="V106"/>
      <c r="W106"/>
    </row>
    <row r="107" spans="1:23" x14ac:dyDescent="0.35">
      <c r="A107" s="40">
        <v>45900</v>
      </c>
      <c r="B107">
        <v>2025</v>
      </c>
      <c r="C107" t="s">
        <v>305</v>
      </c>
      <c r="D107">
        <v>9</v>
      </c>
      <c r="E107">
        <v>35</v>
      </c>
      <c r="F107" t="s">
        <v>45</v>
      </c>
      <c r="G107" s="106">
        <v>0.79166666666666663</v>
      </c>
      <c r="H107" t="s">
        <v>80</v>
      </c>
      <c r="I107" t="s">
        <v>230</v>
      </c>
      <c r="J107">
        <v>73</v>
      </c>
      <c r="K107">
        <v>0.97</v>
      </c>
      <c r="L107">
        <v>28</v>
      </c>
      <c r="M107">
        <v>1</v>
      </c>
      <c r="N107" s="58">
        <v>21.04</v>
      </c>
      <c r="O107" s="58">
        <v>14.795999999999999</v>
      </c>
      <c r="P107" s="58">
        <v>21.6907</v>
      </c>
      <c r="Q107" s="58">
        <v>15.253608247422701</v>
      </c>
      <c r="R107" s="58">
        <v>21.04</v>
      </c>
      <c r="S107" s="58">
        <v>0.751428571428571</v>
      </c>
      <c r="T107" t="s">
        <v>176</v>
      </c>
      <c r="U107" s="11">
        <v>66.312700000000007</v>
      </c>
      <c r="V107"/>
      <c r="W107"/>
    </row>
    <row r="108" spans="1:23" x14ac:dyDescent="0.35">
      <c r="A108" s="40">
        <v>45898</v>
      </c>
      <c r="B108">
        <v>2025</v>
      </c>
      <c r="C108" t="s">
        <v>305</v>
      </c>
      <c r="D108">
        <v>9</v>
      </c>
      <c r="E108">
        <v>35</v>
      </c>
      <c r="F108" t="s">
        <v>50</v>
      </c>
      <c r="G108" s="106">
        <v>0.77777777777777779</v>
      </c>
      <c r="H108" t="s">
        <v>80</v>
      </c>
      <c r="I108" t="s">
        <v>231</v>
      </c>
      <c r="J108">
        <v>63</v>
      </c>
      <c r="K108">
        <v>6.98</v>
      </c>
      <c r="L108">
        <v>208</v>
      </c>
      <c r="M108">
        <v>12</v>
      </c>
      <c r="N108" s="58">
        <v>150.69</v>
      </c>
      <c r="O108" s="58">
        <v>104.306</v>
      </c>
      <c r="P108" s="58">
        <v>21.588799999999999</v>
      </c>
      <c r="Q108" s="58">
        <v>14.943553008596</v>
      </c>
      <c r="R108" s="58">
        <v>12.557499999999999</v>
      </c>
      <c r="S108" s="58">
        <v>0.72447115384615401</v>
      </c>
      <c r="T108" t="s">
        <v>176</v>
      </c>
      <c r="U108" s="11">
        <v>67.9499</v>
      </c>
      <c r="V108"/>
      <c r="W108"/>
    </row>
    <row r="109" spans="1:23" x14ac:dyDescent="0.35">
      <c r="A109" s="40">
        <v>45897</v>
      </c>
      <c r="B109">
        <v>2025</v>
      </c>
      <c r="C109" t="s">
        <v>305</v>
      </c>
      <c r="D109">
        <v>9</v>
      </c>
      <c r="E109">
        <v>35</v>
      </c>
      <c r="F109" t="s">
        <v>49</v>
      </c>
      <c r="G109" s="106">
        <v>0.78472222222222221</v>
      </c>
      <c r="H109" t="s">
        <v>80</v>
      </c>
      <c r="I109" t="s">
        <v>230</v>
      </c>
      <c r="J109">
        <v>66</v>
      </c>
      <c r="K109">
        <v>6.13</v>
      </c>
      <c r="L109">
        <v>154</v>
      </c>
      <c r="M109">
        <v>12</v>
      </c>
      <c r="N109" s="58">
        <v>124.21</v>
      </c>
      <c r="O109" s="58">
        <v>89.867999999999995</v>
      </c>
      <c r="P109" s="58">
        <v>20.262599999999999</v>
      </c>
      <c r="Q109" s="58">
        <v>14.660358890701501</v>
      </c>
      <c r="R109" s="58">
        <v>10.3508333333333</v>
      </c>
      <c r="S109" s="58">
        <v>0.80655844155844103</v>
      </c>
      <c r="T109" t="s">
        <v>176</v>
      </c>
      <c r="U109" s="11">
        <v>66.275599999999997</v>
      </c>
      <c r="V109"/>
      <c r="W109"/>
    </row>
    <row r="110" spans="1:23" x14ac:dyDescent="0.35">
      <c r="A110" s="40">
        <v>45896</v>
      </c>
      <c r="B110">
        <v>2025</v>
      </c>
      <c r="C110" t="s">
        <v>305</v>
      </c>
      <c r="D110">
        <v>9</v>
      </c>
      <c r="E110">
        <v>35</v>
      </c>
      <c r="F110" t="s">
        <v>48</v>
      </c>
      <c r="G110" s="106">
        <v>0.70833333333333337</v>
      </c>
      <c r="H110" t="s">
        <v>80</v>
      </c>
      <c r="I110" t="s">
        <v>285</v>
      </c>
      <c r="J110">
        <v>63</v>
      </c>
      <c r="K110">
        <v>6.45</v>
      </c>
      <c r="L110">
        <v>150</v>
      </c>
      <c r="M110">
        <v>14</v>
      </c>
      <c r="N110" s="58">
        <v>201.33</v>
      </c>
      <c r="O110" s="58">
        <v>167.88</v>
      </c>
      <c r="P110" s="58">
        <v>31.213999999999999</v>
      </c>
      <c r="Q110" s="58">
        <v>26.027906976744202</v>
      </c>
      <c r="R110" s="58">
        <v>14.3807142857143</v>
      </c>
      <c r="S110" s="58">
        <v>1.3422000000000001</v>
      </c>
      <c r="T110" t="s">
        <v>176</v>
      </c>
      <c r="U110" s="11">
        <v>66.499200000000002</v>
      </c>
      <c r="V110"/>
      <c r="W110"/>
    </row>
    <row r="111" spans="1:23" x14ac:dyDescent="0.35">
      <c r="A111" s="40">
        <v>45894</v>
      </c>
      <c r="B111">
        <v>2025</v>
      </c>
      <c r="C111" t="s">
        <v>305</v>
      </c>
      <c r="D111">
        <v>9</v>
      </c>
      <c r="E111">
        <v>35</v>
      </c>
      <c r="F111" t="s">
        <v>46</v>
      </c>
      <c r="G111" s="106">
        <v>0.72569444444444442</v>
      </c>
      <c r="H111" t="s">
        <v>85</v>
      </c>
      <c r="I111" t="s">
        <v>249</v>
      </c>
      <c r="J111">
        <v>66</v>
      </c>
      <c r="K111">
        <v>6.42</v>
      </c>
      <c r="L111">
        <v>129</v>
      </c>
      <c r="M111">
        <v>14</v>
      </c>
      <c r="N111" s="58">
        <v>141.61000000000001</v>
      </c>
      <c r="O111" s="58">
        <v>112.843</v>
      </c>
      <c r="P111" s="58">
        <v>22.057600000000001</v>
      </c>
      <c r="Q111" s="58">
        <v>17.5767912772586</v>
      </c>
      <c r="R111" s="58">
        <v>10.115</v>
      </c>
      <c r="S111" s="58">
        <v>1.0977519379845</v>
      </c>
      <c r="T111" t="s">
        <v>176</v>
      </c>
      <c r="U111" s="11">
        <v>66.806899999999999</v>
      </c>
      <c r="V111"/>
      <c r="W111"/>
    </row>
    <row r="112" spans="1:23" x14ac:dyDescent="0.35">
      <c r="A112" s="40">
        <v>45891</v>
      </c>
      <c r="B112">
        <v>2025</v>
      </c>
      <c r="C112" t="s">
        <v>305</v>
      </c>
      <c r="D112">
        <v>8</v>
      </c>
      <c r="E112">
        <v>34</v>
      </c>
      <c r="F112" t="s">
        <v>50</v>
      </c>
      <c r="G112" s="106">
        <v>0.78472222222222221</v>
      </c>
      <c r="H112" t="s">
        <v>80</v>
      </c>
      <c r="I112" t="s">
        <v>230</v>
      </c>
      <c r="J112">
        <v>81</v>
      </c>
      <c r="K112">
        <v>6.55</v>
      </c>
      <c r="L112">
        <v>177</v>
      </c>
      <c r="M112">
        <v>13</v>
      </c>
      <c r="N112" s="58">
        <v>177.68</v>
      </c>
      <c r="O112" s="58">
        <v>138.209</v>
      </c>
      <c r="P112" s="58">
        <v>27.1267</v>
      </c>
      <c r="Q112" s="58">
        <v>21.1006106870229</v>
      </c>
      <c r="R112" s="58">
        <v>13.667692307692301</v>
      </c>
      <c r="S112" s="58">
        <v>1.0038418079096001</v>
      </c>
      <c r="T112" t="s">
        <v>176</v>
      </c>
      <c r="U112" s="11">
        <v>67.688800000000001</v>
      </c>
      <c r="V112"/>
      <c r="W112"/>
    </row>
    <row r="113" spans="1:23" x14ac:dyDescent="0.35">
      <c r="A113" s="40">
        <v>45890</v>
      </c>
      <c r="B113">
        <v>2025</v>
      </c>
      <c r="C113" t="s">
        <v>305</v>
      </c>
      <c r="D113">
        <v>8</v>
      </c>
      <c r="E113">
        <v>34</v>
      </c>
      <c r="F113" t="s">
        <v>49</v>
      </c>
      <c r="G113" s="106">
        <v>0.73611111111111116</v>
      </c>
      <c r="H113" t="s">
        <v>82</v>
      </c>
      <c r="I113" t="s">
        <v>230</v>
      </c>
      <c r="J113">
        <v>72</v>
      </c>
      <c r="K113">
        <v>6.88</v>
      </c>
      <c r="L113">
        <v>168</v>
      </c>
      <c r="M113">
        <v>11</v>
      </c>
      <c r="N113" s="58">
        <v>124.34</v>
      </c>
      <c r="O113" s="58">
        <v>86.876000000000005</v>
      </c>
      <c r="P113" s="58">
        <v>18.072700000000001</v>
      </c>
      <c r="Q113" s="58">
        <v>12.6273255813954</v>
      </c>
      <c r="R113" s="58">
        <v>11.3036363636364</v>
      </c>
      <c r="S113" s="58">
        <v>0.74011904761904801</v>
      </c>
      <c r="T113" t="s">
        <v>176</v>
      </c>
      <c r="U113" s="11">
        <v>65.714600000000004</v>
      </c>
      <c r="V113"/>
      <c r="W113"/>
    </row>
    <row r="114" spans="1:23" x14ac:dyDescent="0.35">
      <c r="A114" s="40">
        <v>45889</v>
      </c>
      <c r="B114">
        <v>2025</v>
      </c>
      <c r="C114" t="s">
        <v>305</v>
      </c>
      <c r="D114">
        <v>8</v>
      </c>
      <c r="E114">
        <v>34</v>
      </c>
      <c r="F114" t="s">
        <v>48</v>
      </c>
      <c r="G114" s="106">
        <v>0.77430555555555558</v>
      </c>
      <c r="H114" t="s">
        <v>85</v>
      </c>
      <c r="I114" t="s">
        <v>230</v>
      </c>
      <c r="J114">
        <v>64</v>
      </c>
      <c r="K114">
        <v>7.05</v>
      </c>
      <c r="L114">
        <v>155</v>
      </c>
      <c r="M114">
        <v>15</v>
      </c>
      <c r="N114" s="58">
        <v>122.98</v>
      </c>
      <c r="O114" s="58">
        <v>88.415000000000006</v>
      </c>
      <c r="P114" s="58">
        <v>17.443999999999999</v>
      </c>
      <c r="Q114" s="58">
        <v>12.541134751773001</v>
      </c>
      <c r="R114" s="58">
        <v>8.1986666666666608</v>
      </c>
      <c r="S114" s="58">
        <v>0.79341935483870996</v>
      </c>
      <c r="T114" t="s">
        <v>176</v>
      </c>
      <c r="U114" s="11">
        <v>64.332999999999998</v>
      </c>
      <c r="V114"/>
      <c r="W114"/>
    </row>
    <row r="115" spans="1:23" x14ac:dyDescent="0.35">
      <c r="A115" s="40">
        <v>45887</v>
      </c>
      <c r="B115">
        <v>2025</v>
      </c>
      <c r="C115" t="s">
        <v>305</v>
      </c>
      <c r="D115">
        <v>8</v>
      </c>
      <c r="E115">
        <v>34</v>
      </c>
      <c r="F115" t="s">
        <v>46</v>
      </c>
      <c r="G115" s="106">
        <v>0.76736111111111116</v>
      </c>
      <c r="H115" t="s">
        <v>85</v>
      </c>
      <c r="I115" t="s">
        <v>230</v>
      </c>
      <c r="J115">
        <v>68</v>
      </c>
      <c r="K115">
        <v>5.13</v>
      </c>
      <c r="L115">
        <v>114</v>
      </c>
      <c r="M115">
        <v>10</v>
      </c>
      <c r="N115" s="58">
        <v>133.47</v>
      </c>
      <c r="O115" s="58">
        <v>108.048</v>
      </c>
      <c r="P115" s="58">
        <v>26.017499999999998</v>
      </c>
      <c r="Q115" s="58">
        <v>21.0619883040936</v>
      </c>
      <c r="R115" s="58">
        <v>13.347</v>
      </c>
      <c r="S115" s="58">
        <v>1.1707894736842099</v>
      </c>
      <c r="T115" t="s">
        <v>175</v>
      </c>
      <c r="U115" s="11">
        <v>65.251599999999996</v>
      </c>
      <c r="V115"/>
      <c r="W115"/>
    </row>
    <row r="116" spans="1:23" x14ac:dyDescent="0.35">
      <c r="A116" s="40">
        <v>45886</v>
      </c>
      <c r="B116">
        <v>2025</v>
      </c>
      <c r="C116" t="s">
        <v>305</v>
      </c>
      <c r="D116">
        <v>7</v>
      </c>
      <c r="E116">
        <v>33</v>
      </c>
      <c r="F116" t="s">
        <v>45</v>
      </c>
      <c r="G116" s="106">
        <v>0.52083333333333337</v>
      </c>
      <c r="H116" t="s">
        <v>85</v>
      </c>
      <c r="I116" t="s">
        <v>249</v>
      </c>
      <c r="J116">
        <v>84</v>
      </c>
      <c r="K116">
        <v>3.02</v>
      </c>
      <c r="L116">
        <v>56</v>
      </c>
      <c r="M116">
        <v>6</v>
      </c>
      <c r="N116" s="58">
        <v>71</v>
      </c>
      <c r="O116" s="58">
        <v>58.512</v>
      </c>
      <c r="P116" s="58">
        <v>23.509899999999998</v>
      </c>
      <c r="Q116" s="58">
        <v>19.374834437086101</v>
      </c>
      <c r="R116" s="58">
        <v>11.8333333333333</v>
      </c>
      <c r="S116" s="58">
        <v>1.2678571428571399</v>
      </c>
      <c r="T116" t="s">
        <v>176</v>
      </c>
      <c r="U116" s="11">
        <v>64.981399999999994</v>
      </c>
      <c r="V116"/>
      <c r="W116"/>
    </row>
    <row r="117" spans="1:23" x14ac:dyDescent="0.35">
      <c r="A117" s="40">
        <v>45885</v>
      </c>
      <c r="B117">
        <v>2025</v>
      </c>
      <c r="C117" t="s">
        <v>305</v>
      </c>
      <c r="D117">
        <v>7</v>
      </c>
      <c r="E117">
        <v>33</v>
      </c>
      <c r="F117" t="s">
        <v>51</v>
      </c>
      <c r="G117" s="106">
        <v>0.4375</v>
      </c>
      <c r="H117" t="s">
        <v>85</v>
      </c>
      <c r="I117" t="s">
        <v>249</v>
      </c>
      <c r="J117">
        <v>81</v>
      </c>
      <c r="K117">
        <v>7.33</v>
      </c>
      <c r="L117">
        <v>172</v>
      </c>
      <c r="M117">
        <v>15</v>
      </c>
      <c r="N117" s="58">
        <v>121.64</v>
      </c>
      <c r="O117" s="58">
        <v>83.284000000000006</v>
      </c>
      <c r="P117" s="58">
        <v>16.594799999999999</v>
      </c>
      <c r="Q117" s="58">
        <v>11.362073669849901</v>
      </c>
      <c r="R117" s="58">
        <v>8.1093333333333408</v>
      </c>
      <c r="S117" s="58">
        <v>0.70720930232558099</v>
      </c>
      <c r="T117" t="s">
        <v>176</v>
      </c>
      <c r="U117" s="11">
        <v>64.192599999999999</v>
      </c>
      <c r="V117"/>
      <c r="W117"/>
    </row>
    <row r="118" spans="1:23" x14ac:dyDescent="0.35">
      <c r="A118" s="40">
        <v>45884</v>
      </c>
      <c r="B118">
        <v>2025</v>
      </c>
      <c r="C118" t="s">
        <v>305</v>
      </c>
      <c r="D118">
        <v>7</v>
      </c>
      <c r="E118">
        <v>33</v>
      </c>
      <c r="F118" t="s">
        <v>50</v>
      </c>
      <c r="G118" s="106">
        <v>0.75694444444444442</v>
      </c>
      <c r="H118" t="s">
        <v>80</v>
      </c>
      <c r="I118" t="s">
        <v>230</v>
      </c>
      <c r="J118">
        <v>81</v>
      </c>
      <c r="K118">
        <v>6.38</v>
      </c>
      <c r="L118">
        <v>145</v>
      </c>
      <c r="M118">
        <v>13</v>
      </c>
      <c r="N118" s="58">
        <v>131.12</v>
      </c>
      <c r="O118" s="58">
        <v>98.784999999999997</v>
      </c>
      <c r="P118" s="58">
        <v>20.5517</v>
      </c>
      <c r="Q118" s="58">
        <v>15.483542319749199</v>
      </c>
      <c r="R118" s="58">
        <v>10.086153846153801</v>
      </c>
      <c r="S118" s="58">
        <v>0.90427586206896604</v>
      </c>
      <c r="T118" t="s">
        <v>176</v>
      </c>
      <c r="U118" s="11">
        <v>62.841000000000001</v>
      </c>
      <c r="V118"/>
      <c r="W118"/>
    </row>
    <row r="119" spans="1:23" x14ac:dyDescent="0.35">
      <c r="A119" s="40">
        <v>45883</v>
      </c>
      <c r="B119">
        <v>2025</v>
      </c>
      <c r="C119" t="s">
        <v>305</v>
      </c>
      <c r="D119">
        <v>7</v>
      </c>
      <c r="E119">
        <v>33</v>
      </c>
      <c r="F119" t="s">
        <v>49</v>
      </c>
      <c r="G119" s="106">
        <v>0.80208333333333337</v>
      </c>
      <c r="H119" t="s">
        <v>82</v>
      </c>
      <c r="I119" t="s">
        <v>249</v>
      </c>
      <c r="J119">
        <v>84</v>
      </c>
      <c r="K119">
        <v>4.07</v>
      </c>
      <c r="L119">
        <v>82</v>
      </c>
      <c r="M119">
        <v>9</v>
      </c>
      <c r="N119" s="58">
        <v>61.97</v>
      </c>
      <c r="O119" s="58">
        <v>43.683999999999997</v>
      </c>
      <c r="P119" s="58">
        <v>15.226000000000001</v>
      </c>
      <c r="Q119" s="58">
        <v>10.7331695331695</v>
      </c>
      <c r="R119" s="58">
        <v>6.8855555555555599</v>
      </c>
      <c r="S119" s="58">
        <v>0.75573170731707295</v>
      </c>
      <c r="T119" t="s">
        <v>176</v>
      </c>
      <c r="U119" s="11">
        <v>62.881999999999998</v>
      </c>
      <c r="V119"/>
      <c r="W119"/>
    </row>
    <row r="120" spans="1:23" x14ac:dyDescent="0.35">
      <c r="A120" s="40">
        <v>45882</v>
      </c>
      <c r="B120">
        <v>2025</v>
      </c>
      <c r="C120" t="s">
        <v>305</v>
      </c>
      <c r="D120">
        <v>7</v>
      </c>
      <c r="E120">
        <v>33</v>
      </c>
      <c r="F120" t="s">
        <v>48</v>
      </c>
      <c r="G120" s="106">
        <v>0.81597222222222221</v>
      </c>
      <c r="H120" t="s">
        <v>80</v>
      </c>
      <c r="I120" t="s">
        <v>249</v>
      </c>
      <c r="J120">
        <v>79</v>
      </c>
      <c r="K120">
        <v>3.13</v>
      </c>
      <c r="L120">
        <v>54</v>
      </c>
      <c r="M120">
        <v>6</v>
      </c>
      <c r="N120" s="58">
        <v>65.989999999999995</v>
      </c>
      <c r="O120" s="58">
        <v>53.948</v>
      </c>
      <c r="P120" s="58">
        <v>21.083100000000002</v>
      </c>
      <c r="Q120" s="58">
        <v>17.2357827476038</v>
      </c>
      <c r="R120" s="58">
        <v>10.998333333333299</v>
      </c>
      <c r="S120" s="58">
        <v>1.2220370370370399</v>
      </c>
      <c r="T120" t="s">
        <v>176</v>
      </c>
      <c r="U120" s="11">
        <v>63.876399999999997</v>
      </c>
      <c r="V120"/>
      <c r="W120"/>
    </row>
    <row r="121" spans="1:23" x14ac:dyDescent="0.35">
      <c r="A121" s="40">
        <v>45881</v>
      </c>
      <c r="B121">
        <v>2025</v>
      </c>
      <c r="C121" t="s">
        <v>305</v>
      </c>
      <c r="D121">
        <v>7</v>
      </c>
      <c r="E121">
        <v>33</v>
      </c>
      <c r="F121" t="s">
        <v>47</v>
      </c>
      <c r="G121" s="106">
        <v>0.73611111111111116</v>
      </c>
      <c r="H121" t="s">
        <v>82</v>
      </c>
      <c r="I121" t="s">
        <v>230</v>
      </c>
      <c r="J121">
        <v>90</v>
      </c>
      <c r="K121">
        <v>5.85</v>
      </c>
      <c r="L121">
        <v>140</v>
      </c>
      <c r="M121">
        <v>8</v>
      </c>
      <c r="N121" s="58">
        <v>96.26</v>
      </c>
      <c r="O121" s="58">
        <v>65.040000000000006</v>
      </c>
      <c r="P121" s="58">
        <v>16.454699999999999</v>
      </c>
      <c r="Q121" s="58">
        <v>11.1179487179487</v>
      </c>
      <c r="R121" s="58">
        <v>12.032500000000001</v>
      </c>
      <c r="S121" s="58">
        <v>0.68757142857142906</v>
      </c>
      <c r="T121" t="s">
        <v>176</v>
      </c>
      <c r="U121" s="11">
        <v>63.1432</v>
      </c>
      <c r="V121"/>
      <c r="W121"/>
    </row>
    <row r="122" spans="1:23" x14ac:dyDescent="0.35">
      <c r="A122" s="40">
        <v>45880</v>
      </c>
      <c r="B122">
        <v>2025</v>
      </c>
      <c r="C122" t="s">
        <v>305</v>
      </c>
      <c r="D122">
        <v>7</v>
      </c>
      <c r="E122">
        <v>33</v>
      </c>
      <c r="F122" t="s">
        <v>46</v>
      </c>
      <c r="G122" s="106">
        <v>0.74652777777777779</v>
      </c>
      <c r="H122" t="s">
        <v>82</v>
      </c>
      <c r="I122" t="s">
        <v>230</v>
      </c>
      <c r="J122">
        <v>88</v>
      </c>
      <c r="K122">
        <v>5.08</v>
      </c>
      <c r="L122">
        <v>96</v>
      </c>
      <c r="M122">
        <v>10</v>
      </c>
      <c r="N122" s="58">
        <v>83.75</v>
      </c>
      <c r="O122" s="58">
        <v>62.341999999999999</v>
      </c>
      <c r="P122" s="58">
        <v>16.4862</v>
      </c>
      <c r="Q122" s="58">
        <v>12.2720472440945</v>
      </c>
      <c r="R122" s="58">
        <v>8.375</v>
      </c>
      <c r="S122" s="58">
        <v>0.87239583333333404</v>
      </c>
      <c r="T122" t="s">
        <v>176</v>
      </c>
      <c r="U122" s="11">
        <v>63.373899999999999</v>
      </c>
      <c r="V122"/>
      <c r="W122"/>
    </row>
    <row r="123" spans="1:23" x14ac:dyDescent="0.35">
      <c r="A123" s="40">
        <v>45879</v>
      </c>
      <c r="B123">
        <v>2025</v>
      </c>
      <c r="C123" t="s">
        <v>305</v>
      </c>
      <c r="D123">
        <v>6</v>
      </c>
      <c r="E123">
        <v>32</v>
      </c>
      <c r="F123" t="s">
        <v>45</v>
      </c>
      <c r="G123" s="106">
        <v>0.71527777777777779</v>
      </c>
      <c r="H123" t="s">
        <v>82</v>
      </c>
      <c r="I123" t="s">
        <v>230</v>
      </c>
      <c r="J123">
        <v>82</v>
      </c>
      <c r="K123">
        <v>6.22</v>
      </c>
      <c r="L123">
        <v>112</v>
      </c>
      <c r="M123">
        <v>11</v>
      </c>
      <c r="N123" s="58">
        <v>141.4</v>
      </c>
      <c r="O123" s="58">
        <v>116.42400000000001</v>
      </c>
      <c r="P123" s="58">
        <v>22.7331</v>
      </c>
      <c r="Q123" s="58">
        <v>18.7176848874598</v>
      </c>
      <c r="R123" s="58">
        <v>12.8545454545455</v>
      </c>
      <c r="S123" s="58">
        <v>1.2625</v>
      </c>
      <c r="T123" t="s">
        <v>176</v>
      </c>
      <c r="U123" s="11">
        <v>63.7804</v>
      </c>
      <c r="V123"/>
      <c r="W123"/>
    </row>
    <row r="124" spans="1:23" x14ac:dyDescent="0.35">
      <c r="A124" s="40">
        <v>45878</v>
      </c>
      <c r="B124">
        <v>2025</v>
      </c>
      <c r="C124" t="s">
        <v>305</v>
      </c>
      <c r="D124">
        <v>6</v>
      </c>
      <c r="E124">
        <v>32</v>
      </c>
      <c r="F124" t="s">
        <v>51</v>
      </c>
      <c r="G124" s="106">
        <v>0.71180555555555558</v>
      </c>
      <c r="H124" t="s">
        <v>80</v>
      </c>
      <c r="I124" t="s">
        <v>230</v>
      </c>
      <c r="J124">
        <v>75</v>
      </c>
      <c r="K124">
        <v>6.57</v>
      </c>
      <c r="L124">
        <v>128</v>
      </c>
      <c r="M124">
        <v>13</v>
      </c>
      <c r="N124" s="58">
        <v>135.97999999999999</v>
      </c>
      <c r="O124" s="58">
        <v>107.43600000000001</v>
      </c>
      <c r="P124" s="58">
        <v>20.697099999999999</v>
      </c>
      <c r="Q124" s="58">
        <v>16.3525114155251</v>
      </c>
      <c r="R124" s="58">
        <v>10.46</v>
      </c>
      <c r="S124" s="58">
        <v>1.0623437499999999</v>
      </c>
      <c r="T124" t="s">
        <v>175</v>
      </c>
      <c r="U124" s="11">
        <v>63.006300000000003</v>
      </c>
      <c r="V124"/>
      <c r="W124"/>
    </row>
    <row r="125" spans="1:23" x14ac:dyDescent="0.35">
      <c r="A125" s="40">
        <v>45877</v>
      </c>
      <c r="B125">
        <v>2025</v>
      </c>
      <c r="C125" t="s">
        <v>305</v>
      </c>
      <c r="D125">
        <v>6</v>
      </c>
      <c r="E125">
        <v>32</v>
      </c>
      <c r="F125" t="s">
        <v>50</v>
      </c>
      <c r="G125" s="106">
        <v>0.80555555555555558</v>
      </c>
      <c r="H125" t="s">
        <v>80</v>
      </c>
      <c r="I125" t="s">
        <v>281</v>
      </c>
      <c r="J125">
        <v>73</v>
      </c>
      <c r="K125">
        <v>3.18</v>
      </c>
      <c r="L125">
        <v>45.8</v>
      </c>
      <c r="M125">
        <v>6</v>
      </c>
      <c r="N125" s="58">
        <v>52.25</v>
      </c>
      <c r="O125" s="58">
        <v>42.0366</v>
      </c>
      <c r="P125" s="58">
        <v>16.430800000000001</v>
      </c>
      <c r="Q125" s="58">
        <v>13.2190566037736</v>
      </c>
      <c r="R125" s="58">
        <v>8.7083333333333393</v>
      </c>
      <c r="S125" s="58">
        <v>1.14082969432314</v>
      </c>
      <c r="T125" t="s">
        <v>176</v>
      </c>
      <c r="U125" s="11">
        <v>62.901600000000002</v>
      </c>
      <c r="V125"/>
      <c r="W125"/>
    </row>
    <row r="126" spans="1:23" x14ac:dyDescent="0.35">
      <c r="A126" s="40">
        <v>45875</v>
      </c>
      <c r="B126">
        <v>2025</v>
      </c>
      <c r="C126" t="s">
        <v>305</v>
      </c>
      <c r="D126">
        <v>6</v>
      </c>
      <c r="E126">
        <v>32</v>
      </c>
      <c r="F126" t="s">
        <v>48</v>
      </c>
      <c r="G126" s="106">
        <v>0.76041666666666663</v>
      </c>
      <c r="H126" t="s">
        <v>82</v>
      </c>
      <c r="I126" t="s">
        <v>230</v>
      </c>
      <c r="J126">
        <v>73</v>
      </c>
      <c r="K126">
        <v>4.3</v>
      </c>
      <c r="L126">
        <v>88</v>
      </c>
      <c r="M126">
        <v>6</v>
      </c>
      <c r="N126" s="58">
        <v>71.12</v>
      </c>
      <c r="O126" s="58">
        <v>51.496000000000002</v>
      </c>
      <c r="P126" s="58">
        <v>16.5395</v>
      </c>
      <c r="Q126" s="58">
        <v>11.9758139534884</v>
      </c>
      <c r="R126" s="58">
        <v>11.8533333333333</v>
      </c>
      <c r="S126" s="58">
        <v>0.808181818181818</v>
      </c>
      <c r="T126" t="s">
        <v>176</v>
      </c>
      <c r="U126" s="11">
        <v>63.388599999999997</v>
      </c>
      <c r="V126"/>
      <c r="W126"/>
    </row>
    <row r="127" spans="1:23" x14ac:dyDescent="0.35">
      <c r="A127" s="40">
        <v>45873</v>
      </c>
      <c r="B127">
        <v>2025</v>
      </c>
      <c r="C127" t="s">
        <v>305</v>
      </c>
      <c r="D127">
        <v>6</v>
      </c>
      <c r="E127">
        <v>32</v>
      </c>
      <c r="F127" t="s">
        <v>46</v>
      </c>
      <c r="G127" s="106">
        <v>0.73263888888888884</v>
      </c>
      <c r="H127" t="s">
        <v>80</v>
      </c>
      <c r="I127" t="s">
        <v>249</v>
      </c>
      <c r="J127">
        <v>81</v>
      </c>
      <c r="K127">
        <v>5.85</v>
      </c>
      <c r="L127">
        <v>138</v>
      </c>
      <c r="M127">
        <v>11</v>
      </c>
      <c r="N127" s="58">
        <v>141.94</v>
      </c>
      <c r="O127" s="58">
        <v>111.166</v>
      </c>
      <c r="P127" s="58">
        <v>24.263200000000001</v>
      </c>
      <c r="Q127" s="58">
        <v>19.002735042735001</v>
      </c>
      <c r="R127" s="58">
        <v>12.9036363636364</v>
      </c>
      <c r="S127" s="58">
        <v>1.0285507246376799</v>
      </c>
      <c r="T127" t="s">
        <v>176</v>
      </c>
      <c r="U127" s="11">
        <v>65.432699999999997</v>
      </c>
      <c r="V127"/>
      <c r="W127"/>
    </row>
    <row r="128" spans="1:23" x14ac:dyDescent="0.35">
      <c r="A128" s="40">
        <v>45870</v>
      </c>
      <c r="B128">
        <v>2025</v>
      </c>
      <c r="C128" t="s">
        <v>305</v>
      </c>
      <c r="D128">
        <v>5</v>
      </c>
      <c r="E128">
        <v>31</v>
      </c>
      <c r="F128" t="s">
        <v>50</v>
      </c>
      <c r="G128" s="106">
        <v>0.75</v>
      </c>
      <c r="H128" t="s">
        <v>80</v>
      </c>
      <c r="I128" t="s">
        <v>249</v>
      </c>
      <c r="J128">
        <v>73</v>
      </c>
      <c r="K128">
        <v>6.45</v>
      </c>
      <c r="L128">
        <v>153</v>
      </c>
      <c r="M128">
        <v>13</v>
      </c>
      <c r="N128" s="58">
        <v>152.66</v>
      </c>
      <c r="O128" s="58">
        <v>118.541</v>
      </c>
      <c r="P128" s="58">
        <v>23.668199999999999</v>
      </c>
      <c r="Q128" s="58">
        <v>18.378449612403099</v>
      </c>
      <c r="R128" s="58">
        <v>11.743076923076901</v>
      </c>
      <c r="S128" s="58">
        <v>0.99777777777777799</v>
      </c>
      <c r="T128" t="s">
        <v>176</v>
      </c>
      <c r="U128" s="11">
        <v>67.287400000000005</v>
      </c>
      <c r="V128"/>
      <c r="W128"/>
    </row>
    <row r="129" spans="1:23" x14ac:dyDescent="0.35">
      <c r="A129" s="40">
        <v>45869</v>
      </c>
      <c r="B129">
        <v>2025</v>
      </c>
      <c r="C129" t="s">
        <v>305</v>
      </c>
      <c r="D129">
        <v>5</v>
      </c>
      <c r="E129">
        <v>31</v>
      </c>
      <c r="F129" t="s">
        <v>49</v>
      </c>
      <c r="G129" s="106">
        <v>0.74652777777777779</v>
      </c>
      <c r="H129" t="s">
        <v>82</v>
      </c>
      <c r="I129" t="s">
        <v>325</v>
      </c>
      <c r="J129">
        <v>64</v>
      </c>
      <c r="K129">
        <v>5.97</v>
      </c>
      <c r="L129">
        <v>142</v>
      </c>
      <c r="M129">
        <v>12</v>
      </c>
      <c r="N129" s="58">
        <v>114.44</v>
      </c>
      <c r="O129" s="58">
        <v>82.774000000000001</v>
      </c>
      <c r="P129" s="58">
        <v>19.1692</v>
      </c>
      <c r="Q129" s="58">
        <v>13.8649916247906</v>
      </c>
      <c r="R129" s="58">
        <v>9.5366666666666706</v>
      </c>
      <c r="S129" s="58">
        <v>0.805915492957746</v>
      </c>
      <c r="T129" t="s">
        <v>176</v>
      </c>
      <c r="U129" s="11">
        <v>66.428600000000003</v>
      </c>
      <c r="V129"/>
      <c r="W129"/>
    </row>
    <row r="130" spans="1:23" x14ac:dyDescent="0.35">
      <c r="A130" s="40">
        <v>45868</v>
      </c>
      <c r="B130">
        <v>2025</v>
      </c>
      <c r="C130" t="s">
        <v>305</v>
      </c>
      <c r="D130">
        <v>5</v>
      </c>
      <c r="E130">
        <v>31</v>
      </c>
      <c r="F130" t="s">
        <v>48</v>
      </c>
      <c r="G130" s="106">
        <v>0.74305555555555558</v>
      </c>
      <c r="H130" t="s">
        <v>80</v>
      </c>
      <c r="I130" t="s">
        <v>249</v>
      </c>
      <c r="J130">
        <v>82</v>
      </c>
      <c r="K130">
        <v>5.42</v>
      </c>
      <c r="L130">
        <v>134</v>
      </c>
      <c r="M130">
        <v>10</v>
      </c>
      <c r="N130" s="58">
        <v>111.37</v>
      </c>
      <c r="O130" s="58">
        <v>81.488</v>
      </c>
      <c r="P130" s="58">
        <v>20.547999999999998</v>
      </c>
      <c r="Q130" s="58">
        <v>15.0346863468635</v>
      </c>
      <c r="R130" s="58">
        <v>11.137</v>
      </c>
      <c r="S130" s="58">
        <v>0.83111940298507503</v>
      </c>
      <c r="T130" t="s">
        <v>176</v>
      </c>
      <c r="U130" s="11">
        <v>65.156999999999996</v>
      </c>
      <c r="V130"/>
      <c r="W130"/>
    </row>
    <row r="131" spans="1:23" x14ac:dyDescent="0.35">
      <c r="A131" s="40">
        <v>45866</v>
      </c>
      <c r="B131">
        <v>2025</v>
      </c>
      <c r="C131" t="s">
        <v>305</v>
      </c>
      <c r="D131">
        <v>5</v>
      </c>
      <c r="E131">
        <v>31</v>
      </c>
      <c r="F131" t="s">
        <v>46</v>
      </c>
      <c r="G131" s="106">
        <v>0.56944444444444442</v>
      </c>
      <c r="H131" t="s">
        <v>85</v>
      </c>
      <c r="I131" t="s">
        <v>249</v>
      </c>
      <c r="J131">
        <v>82</v>
      </c>
      <c r="K131">
        <v>6.18</v>
      </c>
      <c r="L131">
        <v>119</v>
      </c>
      <c r="M131">
        <v>13</v>
      </c>
      <c r="N131" s="58">
        <v>115.44</v>
      </c>
      <c r="O131" s="58">
        <v>88.903000000000006</v>
      </c>
      <c r="P131" s="58">
        <v>18.679600000000001</v>
      </c>
      <c r="Q131" s="58">
        <v>14.3855987055016</v>
      </c>
      <c r="R131" s="58">
        <v>8.8800000000000008</v>
      </c>
      <c r="S131" s="58">
        <v>0.97008403361344497</v>
      </c>
      <c r="T131" t="s">
        <v>176</v>
      </c>
      <c r="U131" s="11">
        <v>66.070999999999998</v>
      </c>
      <c r="V131"/>
      <c r="W131"/>
    </row>
    <row r="132" spans="1:23" x14ac:dyDescent="0.35">
      <c r="A132" s="40">
        <v>45862</v>
      </c>
      <c r="B132">
        <v>2025</v>
      </c>
      <c r="C132" t="s">
        <v>305</v>
      </c>
      <c r="D132">
        <v>4</v>
      </c>
      <c r="E132">
        <v>30</v>
      </c>
      <c r="F132" t="s">
        <v>49</v>
      </c>
      <c r="G132" s="106">
        <v>0.73958333333333337</v>
      </c>
      <c r="H132" t="s">
        <v>85</v>
      </c>
      <c r="I132" t="s">
        <v>230</v>
      </c>
      <c r="J132">
        <v>74</v>
      </c>
      <c r="K132">
        <v>9.92</v>
      </c>
      <c r="L132">
        <v>256</v>
      </c>
      <c r="M132">
        <v>21</v>
      </c>
      <c r="N132" s="58">
        <v>215.68</v>
      </c>
      <c r="O132" s="58">
        <v>158.59200000000001</v>
      </c>
      <c r="P132" s="58">
        <v>21.741900000000001</v>
      </c>
      <c r="Q132" s="58">
        <v>15.987096774193599</v>
      </c>
      <c r="R132" s="58">
        <v>10.270476190476201</v>
      </c>
      <c r="S132" s="58">
        <v>0.84250000000000003</v>
      </c>
      <c r="T132" t="s">
        <v>175</v>
      </c>
      <c r="U132" s="11">
        <v>69.650700000000001</v>
      </c>
      <c r="V132"/>
      <c r="W132"/>
    </row>
    <row r="133" spans="1:23" x14ac:dyDescent="0.35">
      <c r="A133" s="40">
        <v>45860</v>
      </c>
      <c r="B133">
        <v>2025</v>
      </c>
      <c r="C133" t="s">
        <v>305</v>
      </c>
      <c r="D133">
        <v>4</v>
      </c>
      <c r="E133">
        <v>30</v>
      </c>
      <c r="F133" t="s">
        <v>47</v>
      </c>
      <c r="G133" s="106">
        <v>0.78472222222222221</v>
      </c>
      <c r="H133" t="s">
        <v>80</v>
      </c>
      <c r="I133" t="s">
        <v>249</v>
      </c>
      <c r="J133">
        <v>73</v>
      </c>
      <c r="K133">
        <v>5</v>
      </c>
      <c r="L133">
        <v>96</v>
      </c>
      <c r="M133">
        <v>9</v>
      </c>
      <c r="N133" s="58">
        <v>95.64</v>
      </c>
      <c r="O133" s="58">
        <v>74.231999999999999</v>
      </c>
      <c r="P133" s="58">
        <v>19.128</v>
      </c>
      <c r="Q133" s="58">
        <v>14.846399999999999</v>
      </c>
      <c r="R133" s="58">
        <v>10.626666666666701</v>
      </c>
      <c r="S133" s="58">
        <v>0.99624999999999997</v>
      </c>
      <c r="T133" t="s">
        <v>176</v>
      </c>
      <c r="U133" s="11">
        <v>68.0334</v>
      </c>
      <c r="V133"/>
      <c r="W133"/>
    </row>
    <row r="134" spans="1:23" x14ac:dyDescent="0.35">
      <c r="A134" s="40">
        <v>45857</v>
      </c>
      <c r="B134">
        <v>2025</v>
      </c>
      <c r="C134" t="s">
        <v>305</v>
      </c>
      <c r="D134">
        <v>3</v>
      </c>
      <c r="E134">
        <v>29</v>
      </c>
      <c r="F134" t="s">
        <v>51</v>
      </c>
      <c r="G134" s="106">
        <v>0.79861111111111116</v>
      </c>
      <c r="H134" t="s">
        <v>82</v>
      </c>
      <c r="I134" t="s">
        <v>230</v>
      </c>
      <c r="J134">
        <v>75</v>
      </c>
      <c r="K134">
        <v>8.2200000000000006</v>
      </c>
      <c r="L134">
        <v>198</v>
      </c>
      <c r="M134">
        <v>9</v>
      </c>
      <c r="N134" s="58">
        <v>154.04</v>
      </c>
      <c r="O134" s="58">
        <v>109.886</v>
      </c>
      <c r="P134" s="58">
        <v>18.739699999999999</v>
      </c>
      <c r="Q134" s="58">
        <v>13.368126520681299</v>
      </c>
      <c r="R134" s="58">
        <v>17.115555555555598</v>
      </c>
      <c r="S134" s="58">
        <v>0.77797979797979799</v>
      </c>
      <c r="T134" t="s">
        <v>176</v>
      </c>
      <c r="U134" s="11">
        <v>70.443799999999996</v>
      </c>
      <c r="V134"/>
      <c r="W134"/>
    </row>
    <row r="135" spans="1:23" x14ac:dyDescent="0.35">
      <c r="A135" s="40">
        <v>45856</v>
      </c>
      <c r="B135">
        <v>2025</v>
      </c>
      <c r="C135" t="s">
        <v>305</v>
      </c>
      <c r="D135">
        <v>3</v>
      </c>
      <c r="E135">
        <v>29</v>
      </c>
      <c r="F135" t="s">
        <v>50</v>
      </c>
      <c r="G135" s="106">
        <v>0.76388888888888884</v>
      </c>
      <c r="H135" t="s">
        <v>85</v>
      </c>
      <c r="I135" t="s">
        <v>230</v>
      </c>
      <c r="J135">
        <v>77</v>
      </c>
      <c r="K135">
        <v>5.37</v>
      </c>
      <c r="L135">
        <v>131</v>
      </c>
      <c r="M135">
        <v>10</v>
      </c>
      <c r="N135" s="58">
        <v>114.08</v>
      </c>
      <c r="O135" s="58">
        <v>84.867000000000004</v>
      </c>
      <c r="P135" s="58">
        <v>21.2439</v>
      </c>
      <c r="Q135" s="58">
        <v>15.803910614525099</v>
      </c>
      <c r="R135" s="58">
        <v>11.407999999999999</v>
      </c>
      <c r="S135" s="58">
        <v>0.87083969465648903</v>
      </c>
      <c r="T135" t="s">
        <v>176</v>
      </c>
      <c r="U135" s="11">
        <v>68.732200000000006</v>
      </c>
      <c r="V135"/>
      <c r="W135"/>
    </row>
    <row r="136" spans="1:23" x14ac:dyDescent="0.35">
      <c r="A136" s="40">
        <v>45845</v>
      </c>
      <c r="B136">
        <v>2025</v>
      </c>
      <c r="C136" t="s">
        <v>305</v>
      </c>
      <c r="D136">
        <v>2</v>
      </c>
      <c r="E136">
        <v>28</v>
      </c>
      <c r="F136" t="s">
        <v>46</v>
      </c>
      <c r="G136" s="106">
        <v>0.56597222222222221</v>
      </c>
      <c r="H136" t="s">
        <v>85</v>
      </c>
      <c r="I136" t="s">
        <v>249</v>
      </c>
      <c r="J136">
        <v>84</v>
      </c>
      <c r="K136">
        <v>4.93</v>
      </c>
      <c r="L136">
        <v>84</v>
      </c>
      <c r="M136">
        <v>10</v>
      </c>
      <c r="N136" s="58">
        <v>126.22</v>
      </c>
      <c r="O136" s="58">
        <v>107.488</v>
      </c>
      <c r="P136" s="58">
        <v>25.602399999999999</v>
      </c>
      <c r="Q136" s="58">
        <v>21.802839756592299</v>
      </c>
      <c r="R136" s="58">
        <v>12.622</v>
      </c>
      <c r="S136" s="58">
        <v>1.50261904761905</v>
      </c>
      <c r="T136" t="s">
        <v>176</v>
      </c>
      <c r="U136" s="11">
        <v>73.097999999999999</v>
      </c>
      <c r="V136"/>
      <c r="W136"/>
    </row>
    <row r="137" spans="1:23" x14ac:dyDescent="0.35">
      <c r="A137" s="40">
        <v>45841</v>
      </c>
      <c r="B137">
        <v>2025</v>
      </c>
      <c r="C137" t="s">
        <v>305</v>
      </c>
      <c r="D137">
        <v>1</v>
      </c>
      <c r="E137">
        <v>27</v>
      </c>
      <c r="F137" t="s">
        <v>49</v>
      </c>
      <c r="G137" s="106">
        <v>0.82986111111111116</v>
      </c>
      <c r="H137" t="s">
        <v>82</v>
      </c>
      <c r="I137" t="s">
        <v>230</v>
      </c>
      <c r="J137">
        <v>70</v>
      </c>
      <c r="K137">
        <v>2.17</v>
      </c>
      <c r="L137">
        <v>57</v>
      </c>
      <c r="M137">
        <v>3</v>
      </c>
      <c r="N137" s="58">
        <v>50.33</v>
      </c>
      <c r="O137" s="58">
        <v>37.619</v>
      </c>
      <c r="P137" s="58">
        <v>23.1935</v>
      </c>
      <c r="Q137" s="58">
        <v>17.3359447004608</v>
      </c>
      <c r="R137" s="58">
        <v>16.776666666666699</v>
      </c>
      <c r="S137" s="58">
        <v>0.88298245614035098</v>
      </c>
      <c r="T137" t="s">
        <v>175</v>
      </c>
      <c r="U137" s="11">
        <v>74.444800000000001</v>
      </c>
      <c r="V137"/>
      <c r="W137"/>
    </row>
    <row r="138" spans="1:23" x14ac:dyDescent="0.35">
      <c r="A138" s="40">
        <v>45840</v>
      </c>
      <c r="B138">
        <v>2025</v>
      </c>
      <c r="C138" t="s">
        <v>305</v>
      </c>
      <c r="D138">
        <v>1</v>
      </c>
      <c r="E138">
        <v>27</v>
      </c>
      <c r="F138" t="s">
        <v>48</v>
      </c>
      <c r="G138" s="106">
        <v>0.78472222222222221</v>
      </c>
      <c r="H138" t="s">
        <v>80</v>
      </c>
      <c r="I138" t="s">
        <v>230</v>
      </c>
      <c r="J138">
        <v>82</v>
      </c>
      <c r="K138">
        <v>2.98</v>
      </c>
      <c r="L138">
        <v>61</v>
      </c>
      <c r="M138">
        <v>9</v>
      </c>
      <c r="N138" s="58">
        <v>99.11</v>
      </c>
      <c r="O138" s="58">
        <v>85.507000000000005</v>
      </c>
      <c r="P138" s="58">
        <v>33.258400000000002</v>
      </c>
      <c r="Q138" s="58">
        <v>28.693624161073799</v>
      </c>
      <c r="R138" s="58">
        <v>11.012222222222199</v>
      </c>
      <c r="S138" s="58">
        <v>1.6247540983606601</v>
      </c>
      <c r="T138" t="s">
        <v>176</v>
      </c>
      <c r="U138" s="11">
        <v>73.885599999999997</v>
      </c>
      <c r="V138"/>
      <c r="W138"/>
    </row>
    <row r="139" spans="1:23" x14ac:dyDescent="0.35">
      <c r="A139" s="40">
        <v>45839</v>
      </c>
      <c r="B139">
        <v>2025</v>
      </c>
      <c r="C139" t="s">
        <v>305</v>
      </c>
      <c r="D139">
        <v>1</v>
      </c>
      <c r="E139">
        <v>27</v>
      </c>
      <c r="F139" t="s">
        <v>47</v>
      </c>
      <c r="G139" s="106">
        <v>0.76736111111111116</v>
      </c>
      <c r="H139" t="s">
        <v>80</v>
      </c>
      <c r="I139" t="s">
        <v>249</v>
      </c>
      <c r="J139">
        <v>81</v>
      </c>
      <c r="K139">
        <v>5.13</v>
      </c>
      <c r="L139">
        <v>150</v>
      </c>
      <c r="M139">
        <v>8</v>
      </c>
      <c r="N139" s="58">
        <v>98.33</v>
      </c>
      <c r="O139" s="58">
        <v>64.88</v>
      </c>
      <c r="P139" s="58">
        <v>19.1676</v>
      </c>
      <c r="Q139" s="58">
        <v>12.647173489278799</v>
      </c>
      <c r="R139" s="58">
        <v>12.29125</v>
      </c>
      <c r="S139" s="58">
        <v>0.65553333333333297</v>
      </c>
      <c r="T139" t="s">
        <v>175</v>
      </c>
      <c r="U139" s="11">
        <v>72.784300000000002</v>
      </c>
      <c r="V139"/>
      <c r="W139"/>
    </row>
    <row r="140" spans="1:23" x14ac:dyDescent="0.35">
      <c r="A140" s="40">
        <v>45838</v>
      </c>
      <c r="B140">
        <v>2025</v>
      </c>
      <c r="C140" t="s">
        <v>305</v>
      </c>
      <c r="D140">
        <v>1</v>
      </c>
      <c r="E140">
        <v>27</v>
      </c>
      <c r="F140" t="s">
        <v>46</v>
      </c>
      <c r="G140" s="106">
        <v>0.76388888888888884</v>
      </c>
      <c r="H140" t="s">
        <v>85</v>
      </c>
      <c r="I140" t="s">
        <v>230</v>
      </c>
      <c r="J140">
        <v>73</v>
      </c>
      <c r="K140">
        <v>4.72</v>
      </c>
      <c r="L140">
        <v>108</v>
      </c>
      <c r="M140">
        <v>11</v>
      </c>
      <c r="N140" s="58">
        <v>172.47</v>
      </c>
      <c r="O140" s="58">
        <v>148.386</v>
      </c>
      <c r="P140" s="58">
        <v>36.540300000000002</v>
      </c>
      <c r="Q140" s="58">
        <v>31.437711864406801</v>
      </c>
      <c r="R140" s="58">
        <v>15.679090909090901</v>
      </c>
      <c r="S140" s="58">
        <v>1.5969444444444401</v>
      </c>
      <c r="T140" t="s">
        <v>175</v>
      </c>
      <c r="U140" s="11">
        <v>71.691800000000001</v>
      </c>
      <c r="V140"/>
      <c r="W140"/>
    </row>
    <row r="141" spans="1:23" x14ac:dyDescent="0.35">
      <c r="A141" s="40">
        <v>45837</v>
      </c>
      <c r="B141">
        <v>2025</v>
      </c>
      <c r="C141" t="s">
        <v>287</v>
      </c>
      <c r="D141">
        <v>13</v>
      </c>
      <c r="E141">
        <v>26</v>
      </c>
      <c r="F141" t="s">
        <v>45</v>
      </c>
      <c r="G141" s="106">
        <v>0.43402777777777779</v>
      </c>
      <c r="H141" t="s">
        <v>80</v>
      </c>
      <c r="I141" t="s">
        <v>231</v>
      </c>
      <c r="J141">
        <v>75</v>
      </c>
      <c r="K141">
        <v>3.68</v>
      </c>
      <c r="L141">
        <v>89</v>
      </c>
      <c r="M141">
        <v>7</v>
      </c>
      <c r="N141" s="58">
        <v>79.17</v>
      </c>
      <c r="O141" s="58">
        <v>59.323</v>
      </c>
      <c r="P141" s="58">
        <v>21.5136</v>
      </c>
      <c r="Q141" s="58">
        <v>16.1203804347826</v>
      </c>
      <c r="R141" s="58">
        <v>11.31</v>
      </c>
      <c r="S141" s="58">
        <v>0.88955056179775305</v>
      </c>
      <c r="T141" t="s">
        <v>176</v>
      </c>
      <c r="U141" s="11">
        <v>69.775400000000005</v>
      </c>
      <c r="V141"/>
      <c r="W141"/>
    </row>
    <row r="142" spans="1:23" x14ac:dyDescent="0.35">
      <c r="A142" s="40">
        <v>45836</v>
      </c>
      <c r="B142">
        <v>2025</v>
      </c>
      <c r="C142" t="s">
        <v>287</v>
      </c>
      <c r="D142">
        <v>13</v>
      </c>
      <c r="E142">
        <v>26</v>
      </c>
      <c r="F142" t="s">
        <v>51</v>
      </c>
      <c r="G142" s="106">
        <v>0.76736111111111116</v>
      </c>
      <c r="H142" t="s">
        <v>85</v>
      </c>
      <c r="I142" t="s">
        <v>276</v>
      </c>
      <c r="J142">
        <v>61</v>
      </c>
      <c r="K142">
        <v>1.28</v>
      </c>
      <c r="L142">
        <v>36</v>
      </c>
      <c r="M142">
        <v>2</v>
      </c>
      <c r="N142" s="58">
        <v>25.87</v>
      </c>
      <c r="O142" s="58">
        <v>17.841999999999999</v>
      </c>
      <c r="P142" s="58">
        <v>20.210899999999999</v>
      </c>
      <c r="Q142" s="58">
        <v>13.9390625</v>
      </c>
      <c r="R142" s="58">
        <v>12.935</v>
      </c>
      <c r="S142" s="58">
        <v>0.71861111111111098</v>
      </c>
      <c r="T142" t="s">
        <v>175</v>
      </c>
      <c r="U142" s="11">
        <v>68.895799999999994</v>
      </c>
      <c r="V142"/>
      <c r="W142"/>
    </row>
    <row r="143" spans="1:23" x14ac:dyDescent="0.35">
      <c r="A143" s="40">
        <v>45835</v>
      </c>
      <c r="B143">
        <v>2025</v>
      </c>
      <c r="C143" t="s">
        <v>287</v>
      </c>
      <c r="D143">
        <v>13</v>
      </c>
      <c r="E143">
        <v>26</v>
      </c>
      <c r="F143" t="s">
        <v>50</v>
      </c>
      <c r="G143" s="106">
        <v>0.77777777777777779</v>
      </c>
      <c r="H143" t="s">
        <v>85</v>
      </c>
      <c r="I143" t="s">
        <v>249</v>
      </c>
      <c r="J143">
        <v>66</v>
      </c>
      <c r="K143">
        <v>9.07</v>
      </c>
      <c r="L143">
        <v>196</v>
      </c>
      <c r="M143">
        <v>17</v>
      </c>
      <c r="N143" s="58">
        <v>216.81</v>
      </c>
      <c r="O143" s="58">
        <v>173.102</v>
      </c>
      <c r="P143" s="58">
        <v>23.9041</v>
      </c>
      <c r="Q143" s="58">
        <v>19.085115766262401</v>
      </c>
      <c r="R143" s="58">
        <v>12.753529411764699</v>
      </c>
      <c r="S143" s="58">
        <v>1.1061734693877601</v>
      </c>
      <c r="T143" t="s">
        <v>175</v>
      </c>
      <c r="U143" s="11">
        <v>70.315899999999999</v>
      </c>
      <c r="V143"/>
      <c r="W143"/>
    </row>
    <row r="144" spans="1:23" x14ac:dyDescent="0.35">
      <c r="A144" s="40">
        <v>45833</v>
      </c>
      <c r="B144">
        <v>2025</v>
      </c>
      <c r="C144" t="s">
        <v>287</v>
      </c>
      <c r="D144">
        <v>13</v>
      </c>
      <c r="E144">
        <v>26</v>
      </c>
      <c r="F144" t="s">
        <v>48</v>
      </c>
      <c r="G144" s="106">
        <v>0.80902777777777779</v>
      </c>
      <c r="H144" t="s">
        <v>82</v>
      </c>
      <c r="I144" t="s">
        <v>230</v>
      </c>
      <c r="J144">
        <v>86</v>
      </c>
      <c r="K144">
        <v>3.52</v>
      </c>
      <c r="L144">
        <v>75</v>
      </c>
      <c r="M144">
        <v>9</v>
      </c>
      <c r="N144" s="58">
        <v>76.5</v>
      </c>
      <c r="O144" s="58">
        <v>59.774999999999999</v>
      </c>
      <c r="P144" s="58">
        <v>21.733000000000001</v>
      </c>
      <c r="Q144" s="58">
        <v>16.981534090909101</v>
      </c>
      <c r="R144" s="58">
        <v>8.5</v>
      </c>
      <c r="S144" s="58">
        <v>1.02</v>
      </c>
      <c r="T144" t="s">
        <v>175</v>
      </c>
      <c r="U144" s="11">
        <v>68.667900000000003</v>
      </c>
      <c r="V144"/>
      <c r="W144"/>
    </row>
    <row r="145" spans="1:23" x14ac:dyDescent="0.35">
      <c r="A145" s="40">
        <v>45832</v>
      </c>
      <c r="B145">
        <v>2025</v>
      </c>
      <c r="C145" t="s">
        <v>287</v>
      </c>
      <c r="D145">
        <v>13</v>
      </c>
      <c r="E145">
        <v>26</v>
      </c>
      <c r="F145" t="s">
        <v>47</v>
      </c>
      <c r="G145" s="106">
        <v>0.71180555555555558</v>
      </c>
      <c r="H145" t="s">
        <v>85</v>
      </c>
      <c r="I145" t="s">
        <v>230</v>
      </c>
      <c r="J145">
        <v>79</v>
      </c>
      <c r="K145">
        <v>5.53</v>
      </c>
      <c r="L145">
        <v>147</v>
      </c>
      <c r="M145">
        <v>9</v>
      </c>
      <c r="N145" s="58">
        <v>132</v>
      </c>
      <c r="O145" s="58">
        <v>99.218999999999994</v>
      </c>
      <c r="P145" s="58">
        <v>23.869800000000001</v>
      </c>
      <c r="Q145" s="58">
        <v>17.941952983725098</v>
      </c>
      <c r="R145" s="58">
        <v>14.6666666666667</v>
      </c>
      <c r="S145" s="58">
        <v>0.89795918367346905</v>
      </c>
      <c r="T145" t="s">
        <v>175</v>
      </c>
      <c r="U145" s="11">
        <v>67.817899999999995</v>
      </c>
      <c r="V145"/>
      <c r="W145"/>
    </row>
    <row r="146" spans="1:23" x14ac:dyDescent="0.35">
      <c r="A146" s="40">
        <v>45831</v>
      </c>
      <c r="B146">
        <v>2025</v>
      </c>
      <c r="C146" t="s">
        <v>287</v>
      </c>
      <c r="D146">
        <v>13</v>
      </c>
      <c r="E146">
        <v>26</v>
      </c>
      <c r="F146" t="s">
        <v>46</v>
      </c>
      <c r="G146" s="106">
        <v>0.85416666666666663</v>
      </c>
      <c r="H146" t="s">
        <v>80</v>
      </c>
      <c r="I146" t="s">
        <v>230</v>
      </c>
      <c r="J146">
        <v>81</v>
      </c>
      <c r="K146">
        <v>4.63</v>
      </c>
      <c r="L146">
        <v>129</v>
      </c>
      <c r="M146">
        <v>7</v>
      </c>
      <c r="N146" s="58">
        <v>77.540000000000006</v>
      </c>
      <c r="O146" s="58">
        <v>48.773000000000003</v>
      </c>
      <c r="P146" s="58">
        <v>16.747299999999999</v>
      </c>
      <c r="Q146" s="58">
        <v>10.5341252699784</v>
      </c>
      <c r="R146" s="58">
        <v>11.077142857142899</v>
      </c>
      <c r="S146" s="58">
        <v>0.60108527131782996</v>
      </c>
      <c r="T146" t="s">
        <v>176</v>
      </c>
      <c r="U146" s="11">
        <v>66.351200000000006</v>
      </c>
      <c r="V146"/>
      <c r="W146"/>
    </row>
    <row r="147" spans="1:23" x14ac:dyDescent="0.35">
      <c r="A147" s="40">
        <v>45830</v>
      </c>
      <c r="B147">
        <v>2025</v>
      </c>
      <c r="C147" t="s">
        <v>287</v>
      </c>
      <c r="D147">
        <v>12</v>
      </c>
      <c r="E147">
        <v>25</v>
      </c>
      <c r="F147" t="s">
        <v>45</v>
      </c>
      <c r="G147" s="106">
        <v>0.48958333333333331</v>
      </c>
      <c r="H147" t="s">
        <v>80</v>
      </c>
      <c r="I147" t="s">
        <v>231</v>
      </c>
      <c r="J147">
        <v>84</v>
      </c>
      <c r="K147">
        <v>5.0199999999999996</v>
      </c>
      <c r="L147">
        <v>148</v>
      </c>
      <c r="M147">
        <v>9</v>
      </c>
      <c r="N147" s="58">
        <v>85.88</v>
      </c>
      <c r="O147" s="58">
        <v>52.875999999999998</v>
      </c>
      <c r="P147" s="58">
        <v>17.107600000000001</v>
      </c>
      <c r="Q147" s="58">
        <v>10.533067729083699</v>
      </c>
      <c r="R147" s="58">
        <v>9.5422222222222199</v>
      </c>
      <c r="S147" s="58">
        <v>0.58027027027027001</v>
      </c>
      <c r="T147" t="s">
        <v>176</v>
      </c>
      <c r="U147" s="11">
        <v>66.059899999999999</v>
      </c>
      <c r="V147"/>
      <c r="W147"/>
    </row>
    <row r="148" spans="1:23" x14ac:dyDescent="0.35">
      <c r="A148" s="40">
        <v>45829</v>
      </c>
      <c r="B148">
        <v>2025</v>
      </c>
      <c r="C148" t="s">
        <v>287</v>
      </c>
      <c r="D148">
        <v>12</v>
      </c>
      <c r="E148">
        <v>25</v>
      </c>
      <c r="F148" t="s">
        <v>51</v>
      </c>
      <c r="G148" s="106">
        <v>0.66666666666666663</v>
      </c>
      <c r="H148" t="s">
        <v>80</v>
      </c>
      <c r="I148" t="s">
        <v>230</v>
      </c>
      <c r="J148">
        <v>81</v>
      </c>
      <c r="K148">
        <v>7.63</v>
      </c>
      <c r="L148">
        <v>174</v>
      </c>
      <c r="M148">
        <v>13</v>
      </c>
      <c r="N148" s="58">
        <v>185.62</v>
      </c>
      <c r="O148" s="58">
        <v>146.81800000000001</v>
      </c>
      <c r="P148" s="58">
        <v>24.3277</v>
      </c>
      <c r="Q148" s="58">
        <v>19.242201834862399</v>
      </c>
      <c r="R148" s="58">
        <v>14.278461538461499</v>
      </c>
      <c r="S148" s="58">
        <v>1.0667816091954001</v>
      </c>
      <c r="T148" t="s">
        <v>176</v>
      </c>
      <c r="U148" s="11">
        <v>66.311700000000002</v>
      </c>
      <c r="V148"/>
      <c r="W148"/>
    </row>
    <row r="149" spans="1:23" x14ac:dyDescent="0.35">
      <c r="A149" s="40">
        <v>45827</v>
      </c>
      <c r="B149">
        <v>2025</v>
      </c>
      <c r="C149" t="s">
        <v>287</v>
      </c>
      <c r="D149">
        <v>12</v>
      </c>
      <c r="E149">
        <v>25</v>
      </c>
      <c r="F149" t="s">
        <v>49</v>
      </c>
      <c r="G149" s="106">
        <v>0.75694444444444442</v>
      </c>
      <c r="H149" t="s">
        <v>174</v>
      </c>
      <c r="I149" t="s">
        <v>281</v>
      </c>
      <c r="J149">
        <v>73</v>
      </c>
      <c r="K149">
        <v>3.12</v>
      </c>
      <c r="L149">
        <v>86</v>
      </c>
      <c r="M149">
        <v>5</v>
      </c>
      <c r="N149" s="58">
        <v>42.34</v>
      </c>
      <c r="O149" s="58">
        <v>23.161999999999999</v>
      </c>
      <c r="P149" s="58">
        <v>13.570499999999999</v>
      </c>
      <c r="Q149" s="58">
        <v>7.4237179487179503</v>
      </c>
      <c r="R149" s="58">
        <v>8.468</v>
      </c>
      <c r="S149" s="58">
        <v>0.49232558139534899</v>
      </c>
      <c r="T149" t="s">
        <v>176</v>
      </c>
      <c r="U149" s="11">
        <v>65.883600000000001</v>
      </c>
      <c r="V149"/>
      <c r="W149"/>
    </row>
    <row r="150" spans="1:23" x14ac:dyDescent="0.35">
      <c r="A150" s="40">
        <v>45824</v>
      </c>
      <c r="B150">
        <v>2025</v>
      </c>
      <c r="C150" t="s">
        <v>287</v>
      </c>
      <c r="D150">
        <v>12</v>
      </c>
      <c r="E150">
        <v>25</v>
      </c>
      <c r="F150" t="s">
        <v>46</v>
      </c>
      <c r="G150" s="106">
        <v>0.72222222222222221</v>
      </c>
      <c r="H150" t="s">
        <v>80</v>
      </c>
      <c r="I150" t="s">
        <v>281</v>
      </c>
      <c r="J150">
        <v>66</v>
      </c>
      <c r="K150">
        <v>5.23</v>
      </c>
      <c r="L150">
        <v>131</v>
      </c>
      <c r="M150">
        <v>9</v>
      </c>
      <c r="N150" s="58">
        <v>118.6</v>
      </c>
      <c r="O150" s="58">
        <v>89.387</v>
      </c>
      <c r="P150" s="58">
        <v>22.6769</v>
      </c>
      <c r="Q150" s="58">
        <v>17.091204588910099</v>
      </c>
      <c r="R150" s="58">
        <v>13.1777777777778</v>
      </c>
      <c r="S150" s="58">
        <v>0.90534351145038205</v>
      </c>
      <c r="T150" t="s">
        <v>176</v>
      </c>
      <c r="U150" s="11">
        <v>68.138199999999998</v>
      </c>
      <c r="V150"/>
      <c r="W150"/>
    </row>
    <row r="151" spans="1:23" x14ac:dyDescent="0.35">
      <c r="A151" s="40">
        <v>45821</v>
      </c>
      <c r="B151">
        <v>2025</v>
      </c>
      <c r="C151" t="s">
        <v>287</v>
      </c>
      <c r="D151">
        <v>11</v>
      </c>
      <c r="E151">
        <v>24</v>
      </c>
      <c r="F151" t="s">
        <v>50</v>
      </c>
      <c r="G151" s="106">
        <v>0.75347222222222221</v>
      </c>
      <c r="H151" t="s">
        <v>82</v>
      </c>
      <c r="I151" t="s">
        <v>230</v>
      </c>
      <c r="J151">
        <v>68</v>
      </c>
      <c r="K151">
        <v>3.93</v>
      </c>
      <c r="L151">
        <v>64</v>
      </c>
      <c r="M151">
        <v>6</v>
      </c>
      <c r="N151" s="58">
        <v>108.13</v>
      </c>
      <c r="O151" s="58">
        <v>93.858000000000004</v>
      </c>
      <c r="P151" s="58">
        <v>27.513999999999999</v>
      </c>
      <c r="Q151" s="58">
        <v>23.882442748091599</v>
      </c>
      <c r="R151" s="58">
        <v>18.0216666666667</v>
      </c>
      <c r="S151" s="58">
        <v>1.6895312499999999</v>
      </c>
      <c r="T151" t="s">
        <v>175</v>
      </c>
      <c r="U151" s="11">
        <v>71.697199999999995</v>
      </c>
      <c r="V151"/>
      <c r="W151"/>
    </row>
    <row r="152" spans="1:23" x14ac:dyDescent="0.35">
      <c r="A152" s="40">
        <v>45820</v>
      </c>
      <c r="B152">
        <v>2025</v>
      </c>
      <c r="C152" t="s">
        <v>287</v>
      </c>
      <c r="D152">
        <v>11</v>
      </c>
      <c r="E152">
        <v>24</v>
      </c>
      <c r="F152" t="s">
        <v>49</v>
      </c>
      <c r="G152" s="106">
        <v>0.75694444444444442</v>
      </c>
      <c r="H152" t="s">
        <v>80</v>
      </c>
      <c r="I152" t="s">
        <v>230</v>
      </c>
      <c r="J152">
        <v>73</v>
      </c>
      <c r="K152">
        <v>6.82</v>
      </c>
      <c r="L152">
        <v>167</v>
      </c>
      <c r="M152">
        <v>12</v>
      </c>
      <c r="N152" s="58">
        <v>160.47999999999999</v>
      </c>
      <c r="O152" s="58">
        <v>123.239</v>
      </c>
      <c r="P152" s="58">
        <v>23.530799999999999</v>
      </c>
      <c r="Q152" s="58">
        <v>18.0702346041056</v>
      </c>
      <c r="R152" s="58">
        <v>13.373333333333299</v>
      </c>
      <c r="S152" s="58">
        <v>0.96095808383233505</v>
      </c>
      <c r="T152" t="s">
        <v>175</v>
      </c>
      <c r="U152" s="11">
        <v>70.495800000000003</v>
      </c>
      <c r="V152"/>
      <c r="W152"/>
    </row>
    <row r="153" spans="1:23" x14ac:dyDescent="0.35">
      <c r="A153" s="40">
        <v>45818</v>
      </c>
      <c r="B153">
        <v>2025</v>
      </c>
      <c r="C153" t="s">
        <v>287</v>
      </c>
      <c r="D153">
        <v>11</v>
      </c>
      <c r="E153">
        <v>24</v>
      </c>
      <c r="F153" t="s">
        <v>47</v>
      </c>
      <c r="G153" s="106">
        <v>0.75694444444444442</v>
      </c>
      <c r="H153" t="s">
        <v>80</v>
      </c>
      <c r="I153" t="s">
        <v>276</v>
      </c>
      <c r="J153">
        <v>61</v>
      </c>
      <c r="K153">
        <v>3.67</v>
      </c>
      <c r="L153">
        <v>80</v>
      </c>
      <c r="M153">
        <v>8</v>
      </c>
      <c r="N153" s="58">
        <v>93.06</v>
      </c>
      <c r="O153" s="58">
        <v>75.22</v>
      </c>
      <c r="P153" s="58">
        <v>25.3569</v>
      </c>
      <c r="Q153" s="58">
        <v>20.495912806539501</v>
      </c>
      <c r="R153" s="58">
        <v>11.6325</v>
      </c>
      <c r="S153" s="58">
        <v>1.1632499999999999</v>
      </c>
      <c r="T153" t="s">
        <v>176</v>
      </c>
      <c r="U153" s="11">
        <v>69.914000000000001</v>
      </c>
      <c r="V153"/>
      <c r="W153"/>
    </row>
    <row r="154" spans="1:23" x14ac:dyDescent="0.35">
      <c r="A154" s="40">
        <v>45817</v>
      </c>
      <c r="B154">
        <v>2025</v>
      </c>
      <c r="C154" t="s">
        <v>287</v>
      </c>
      <c r="D154">
        <v>11</v>
      </c>
      <c r="E154">
        <v>24</v>
      </c>
      <c r="F154" t="s">
        <v>46</v>
      </c>
      <c r="G154" s="106">
        <v>0.76736111111111116</v>
      </c>
      <c r="H154" t="s">
        <v>82</v>
      </c>
      <c r="I154" t="s">
        <v>231</v>
      </c>
      <c r="J154">
        <v>63</v>
      </c>
      <c r="K154">
        <v>5.8</v>
      </c>
      <c r="L154">
        <v>92</v>
      </c>
      <c r="M154">
        <v>15</v>
      </c>
      <c r="N154" s="58">
        <v>122.51</v>
      </c>
      <c r="O154" s="58">
        <v>101.994</v>
      </c>
      <c r="P154" s="58">
        <v>21.122399999999999</v>
      </c>
      <c r="Q154" s="58">
        <v>17.585172413793099</v>
      </c>
      <c r="R154" s="58">
        <v>8.16733333333333</v>
      </c>
      <c r="S154" s="58">
        <v>1.33163043478261</v>
      </c>
      <c r="T154" t="s">
        <v>176</v>
      </c>
      <c r="U154" s="11">
        <v>69.488</v>
      </c>
      <c r="V154"/>
      <c r="W154"/>
    </row>
    <row r="155" spans="1:23" x14ac:dyDescent="0.35">
      <c r="A155" s="40">
        <v>45815</v>
      </c>
      <c r="B155">
        <v>2025</v>
      </c>
      <c r="C155" t="s">
        <v>287</v>
      </c>
      <c r="D155">
        <v>10</v>
      </c>
      <c r="E155">
        <v>23</v>
      </c>
      <c r="F155" t="s">
        <v>51</v>
      </c>
      <c r="G155" s="106">
        <v>0.51736111111111116</v>
      </c>
      <c r="H155" t="s">
        <v>80</v>
      </c>
      <c r="I155" t="s">
        <v>230</v>
      </c>
      <c r="J155">
        <v>68</v>
      </c>
      <c r="K155">
        <v>5.97</v>
      </c>
      <c r="L155">
        <v>146</v>
      </c>
      <c r="M155">
        <v>13</v>
      </c>
      <c r="N155" s="58">
        <v>137.93</v>
      </c>
      <c r="O155" s="58">
        <v>105.372</v>
      </c>
      <c r="P155" s="58">
        <v>23.103899999999999</v>
      </c>
      <c r="Q155" s="58">
        <v>17.6502512562814</v>
      </c>
      <c r="R155" s="58">
        <v>10.61</v>
      </c>
      <c r="S155" s="58">
        <v>0.94472602739725997</v>
      </c>
      <c r="T155" t="s">
        <v>176</v>
      </c>
      <c r="U155" s="11">
        <v>69.299099999999996</v>
      </c>
      <c r="V155"/>
      <c r="W155"/>
    </row>
    <row r="156" spans="1:23" x14ac:dyDescent="0.35">
      <c r="A156" s="40">
        <v>45814</v>
      </c>
      <c r="B156">
        <v>2025</v>
      </c>
      <c r="C156" t="s">
        <v>287</v>
      </c>
      <c r="D156">
        <v>10</v>
      </c>
      <c r="E156">
        <v>23</v>
      </c>
      <c r="F156" t="s">
        <v>50</v>
      </c>
      <c r="G156" s="106">
        <v>0.74305555555555558</v>
      </c>
      <c r="H156" t="s">
        <v>82</v>
      </c>
      <c r="I156" t="s">
        <v>325</v>
      </c>
      <c r="J156">
        <v>68</v>
      </c>
      <c r="K156">
        <v>4.97</v>
      </c>
      <c r="L156">
        <v>74</v>
      </c>
      <c r="M156">
        <v>14</v>
      </c>
      <c r="N156" s="58">
        <v>90.32</v>
      </c>
      <c r="O156" s="58">
        <v>73.817999999999998</v>
      </c>
      <c r="P156" s="58">
        <v>18.172999999999998</v>
      </c>
      <c r="Q156" s="58">
        <v>14.852716297786699</v>
      </c>
      <c r="R156" s="58">
        <v>6.4514285714285702</v>
      </c>
      <c r="S156" s="58">
        <v>1.2205405405405401</v>
      </c>
      <c r="T156" t="s">
        <v>176</v>
      </c>
      <c r="U156" s="11">
        <v>67.918300000000002</v>
      </c>
      <c r="V156"/>
      <c r="W156"/>
    </row>
    <row r="157" spans="1:23" x14ac:dyDescent="0.35">
      <c r="A157" s="40">
        <v>45812</v>
      </c>
      <c r="B157">
        <v>2025</v>
      </c>
      <c r="C157" t="s">
        <v>287</v>
      </c>
      <c r="D157">
        <v>10</v>
      </c>
      <c r="E157">
        <v>23</v>
      </c>
      <c r="F157" t="s">
        <v>48</v>
      </c>
      <c r="G157" s="106">
        <v>0.75694444444444442</v>
      </c>
      <c r="H157" t="s">
        <v>82</v>
      </c>
      <c r="I157" t="s">
        <v>281</v>
      </c>
      <c r="J157">
        <v>75</v>
      </c>
      <c r="K157">
        <v>4.83</v>
      </c>
      <c r="L157">
        <v>76</v>
      </c>
      <c r="M157">
        <v>12</v>
      </c>
      <c r="N157" s="58">
        <v>109.59</v>
      </c>
      <c r="O157" s="58">
        <v>92.641999999999996</v>
      </c>
      <c r="P157" s="58">
        <v>22.689399999999999</v>
      </c>
      <c r="Q157" s="58">
        <v>19.180538302277402</v>
      </c>
      <c r="R157" s="58">
        <v>9.1325000000000003</v>
      </c>
      <c r="S157" s="58">
        <v>1.44197368421053</v>
      </c>
      <c r="T157" t="s">
        <v>176</v>
      </c>
      <c r="U157" s="11">
        <v>68.556799999999996</v>
      </c>
      <c r="V157"/>
      <c r="W157"/>
    </row>
    <row r="158" spans="1:23" x14ac:dyDescent="0.35">
      <c r="A158" s="40">
        <v>45811</v>
      </c>
      <c r="B158">
        <v>2025</v>
      </c>
      <c r="C158" t="s">
        <v>287</v>
      </c>
      <c r="D158">
        <v>10</v>
      </c>
      <c r="E158">
        <v>23</v>
      </c>
      <c r="F158" t="s">
        <v>47</v>
      </c>
      <c r="G158" s="106">
        <v>0.77777777777777779</v>
      </c>
      <c r="H158" t="s">
        <v>80</v>
      </c>
      <c r="I158" t="s">
        <v>281</v>
      </c>
      <c r="J158">
        <v>70</v>
      </c>
      <c r="K158">
        <v>4.47</v>
      </c>
      <c r="L158">
        <v>110</v>
      </c>
      <c r="M158">
        <v>7</v>
      </c>
      <c r="N158" s="58">
        <v>114.21</v>
      </c>
      <c r="O158" s="58">
        <v>89.68</v>
      </c>
      <c r="P158" s="58">
        <v>25.5503</v>
      </c>
      <c r="Q158" s="58">
        <v>20.062639821029101</v>
      </c>
      <c r="R158" s="58">
        <v>16.3157142857143</v>
      </c>
      <c r="S158" s="58">
        <v>1.0382727272727299</v>
      </c>
      <c r="T158" t="s">
        <v>175</v>
      </c>
      <c r="U158" s="11">
        <v>67.339100000000002</v>
      </c>
      <c r="V158"/>
      <c r="W158"/>
    </row>
    <row r="159" spans="1:23" x14ac:dyDescent="0.35">
      <c r="A159" s="40">
        <v>45810</v>
      </c>
      <c r="B159">
        <v>2025</v>
      </c>
      <c r="C159" t="s">
        <v>287</v>
      </c>
      <c r="D159">
        <v>10</v>
      </c>
      <c r="E159">
        <v>23</v>
      </c>
      <c r="F159" t="s">
        <v>46</v>
      </c>
      <c r="G159" s="106">
        <v>0.75347222222222221</v>
      </c>
      <c r="H159" t="s">
        <v>80</v>
      </c>
      <c r="I159" t="s">
        <v>249</v>
      </c>
      <c r="J159">
        <v>63</v>
      </c>
      <c r="K159">
        <v>4.03</v>
      </c>
      <c r="L159">
        <v>101</v>
      </c>
      <c r="M159">
        <v>7</v>
      </c>
      <c r="N159" s="58">
        <v>101.22</v>
      </c>
      <c r="O159" s="58">
        <v>78.697000000000003</v>
      </c>
      <c r="P159" s="58">
        <v>25.116599999999998</v>
      </c>
      <c r="Q159" s="58">
        <v>19.5277915632754</v>
      </c>
      <c r="R159" s="58">
        <v>14.46</v>
      </c>
      <c r="S159" s="58">
        <v>1.00217821782178</v>
      </c>
      <c r="T159" t="s">
        <v>175</v>
      </c>
      <c r="U159" s="11">
        <v>66.070099999999996</v>
      </c>
      <c r="V159"/>
      <c r="W159"/>
    </row>
    <row r="160" spans="1:23" x14ac:dyDescent="0.35">
      <c r="A160" s="40">
        <v>45809</v>
      </c>
      <c r="B160">
        <v>2025</v>
      </c>
      <c r="C160" t="s">
        <v>287</v>
      </c>
      <c r="D160">
        <v>9</v>
      </c>
      <c r="E160">
        <v>22</v>
      </c>
      <c r="F160" t="s">
        <v>45</v>
      </c>
      <c r="G160" s="106">
        <v>0.75694444444444442</v>
      </c>
      <c r="H160" t="s">
        <v>80</v>
      </c>
      <c r="I160" t="s">
        <v>249</v>
      </c>
      <c r="J160">
        <v>61</v>
      </c>
      <c r="K160">
        <v>3.6</v>
      </c>
      <c r="L160">
        <v>64</v>
      </c>
      <c r="M160">
        <v>9</v>
      </c>
      <c r="N160" s="58">
        <v>67.17</v>
      </c>
      <c r="O160" s="58">
        <v>52.898000000000003</v>
      </c>
      <c r="P160" s="58">
        <v>18.658300000000001</v>
      </c>
      <c r="Q160" s="58">
        <v>14.6938888888889</v>
      </c>
      <c r="R160" s="58">
        <v>7.4633333333333303</v>
      </c>
      <c r="S160" s="58">
        <v>1.04953125</v>
      </c>
      <c r="T160" t="s">
        <v>175</v>
      </c>
      <c r="U160" s="11">
        <v>65.937100000000001</v>
      </c>
      <c r="V160"/>
      <c r="W160"/>
    </row>
    <row r="161" spans="1:23" x14ac:dyDescent="0.35">
      <c r="A161" s="40">
        <v>45807</v>
      </c>
      <c r="B161">
        <v>2025</v>
      </c>
      <c r="C161" t="s">
        <v>287</v>
      </c>
      <c r="D161">
        <v>9</v>
      </c>
      <c r="E161">
        <v>22</v>
      </c>
      <c r="F161" t="s">
        <v>50</v>
      </c>
      <c r="G161" s="106">
        <v>0.75694444444444442</v>
      </c>
      <c r="H161" t="s">
        <v>80</v>
      </c>
      <c r="I161" t="s">
        <v>249</v>
      </c>
      <c r="J161">
        <v>70</v>
      </c>
      <c r="K161">
        <v>6.73</v>
      </c>
      <c r="L161">
        <v>127</v>
      </c>
      <c r="M161">
        <v>14</v>
      </c>
      <c r="N161" s="58">
        <v>144.34</v>
      </c>
      <c r="O161" s="58">
        <v>116.01900000000001</v>
      </c>
      <c r="P161" s="58">
        <v>21.447299999999998</v>
      </c>
      <c r="Q161" s="58">
        <v>17.239078751857399</v>
      </c>
      <c r="R161" s="58">
        <v>10.31</v>
      </c>
      <c r="S161" s="58">
        <v>1.1365354330708699</v>
      </c>
      <c r="T161" t="s">
        <v>176</v>
      </c>
      <c r="U161" s="11">
        <v>66.789299999999997</v>
      </c>
      <c r="V161"/>
      <c r="W161"/>
    </row>
    <row r="162" spans="1:23" x14ac:dyDescent="0.35">
      <c r="A162" s="40">
        <v>45806</v>
      </c>
      <c r="B162">
        <v>2025</v>
      </c>
      <c r="C162" t="s">
        <v>287</v>
      </c>
      <c r="D162">
        <v>9</v>
      </c>
      <c r="E162">
        <v>22</v>
      </c>
      <c r="F162" t="s">
        <v>49</v>
      </c>
      <c r="G162" s="106">
        <v>0.76736111111111116</v>
      </c>
      <c r="H162" t="s">
        <v>80</v>
      </c>
      <c r="I162" t="s">
        <v>249</v>
      </c>
      <c r="J162">
        <v>73</v>
      </c>
      <c r="K162">
        <v>4.82</v>
      </c>
      <c r="L162">
        <v>108</v>
      </c>
      <c r="M162">
        <v>7</v>
      </c>
      <c r="N162" s="58">
        <v>94.79</v>
      </c>
      <c r="O162" s="58">
        <v>70.706000000000003</v>
      </c>
      <c r="P162" s="58">
        <v>19.666</v>
      </c>
      <c r="Q162" s="58">
        <v>14.6692946058091</v>
      </c>
      <c r="R162" s="58">
        <v>13.5414285714286</v>
      </c>
      <c r="S162" s="58">
        <v>0.87768518518518501</v>
      </c>
      <c r="T162" t="s">
        <v>176</v>
      </c>
      <c r="U162" s="11">
        <v>66.78</v>
      </c>
      <c r="V162"/>
      <c r="W162"/>
    </row>
    <row r="163" spans="1:23" x14ac:dyDescent="0.35">
      <c r="A163" s="40">
        <v>45805</v>
      </c>
      <c r="B163">
        <v>2025</v>
      </c>
      <c r="C163" t="s">
        <v>287</v>
      </c>
      <c r="D163">
        <v>9</v>
      </c>
      <c r="E163">
        <v>22</v>
      </c>
      <c r="F163" t="s">
        <v>48</v>
      </c>
      <c r="G163" s="106">
        <v>0.78472222222222221</v>
      </c>
      <c r="H163" t="s">
        <v>85</v>
      </c>
      <c r="I163" t="s">
        <v>230</v>
      </c>
      <c r="J163">
        <v>72</v>
      </c>
      <c r="K163">
        <v>5.77</v>
      </c>
      <c r="L163">
        <v>147</v>
      </c>
      <c r="M163">
        <v>11</v>
      </c>
      <c r="N163" s="58">
        <v>134.22999999999999</v>
      </c>
      <c r="O163" s="58">
        <v>101.449</v>
      </c>
      <c r="P163" s="58">
        <v>23.263400000000001</v>
      </c>
      <c r="Q163" s="58">
        <v>17.582149046793798</v>
      </c>
      <c r="R163" s="58">
        <v>12.2027272727273</v>
      </c>
      <c r="S163" s="58">
        <v>0.91312925170068004</v>
      </c>
      <c r="T163" t="s">
        <v>176</v>
      </c>
      <c r="U163" s="11">
        <v>65.726799999999997</v>
      </c>
      <c r="V163"/>
      <c r="W163"/>
    </row>
    <row r="164" spans="1:23" x14ac:dyDescent="0.35">
      <c r="A164" s="40">
        <v>45804</v>
      </c>
      <c r="B164">
        <v>2025</v>
      </c>
      <c r="C164" t="s">
        <v>287</v>
      </c>
      <c r="D164">
        <v>9</v>
      </c>
      <c r="E164">
        <v>22</v>
      </c>
      <c r="F164" t="s">
        <v>47</v>
      </c>
      <c r="G164" s="106">
        <v>0.76041666666666663</v>
      </c>
      <c r="H164" t="s">
        <v>80</v>
      </c>
      <c r="I164" t="s">
        <v>249</v>
      </c>
      <c r="J164">
        <v>73</v>
      </c>
      <c r="K164">
        <v>5.0199999999999996</v>
      </c>
      <c r="L164">
        <v>120</v>
      </c>
      <c r="M164">
        <v>7</v>
      </c>
      <c r="N164" s="58">
        <v>102.93</v>
      </c>
      <c r="O164" s="58">
        <v>76.17</v>
      </c>
      <c r="P164" s="58">
        <v>20.504000000000001</v>
      </c>
      <c r="Q164" s="58">
        <v>15.173306772908401</v>
      </c>
      <c r="R164" s="58">
        <v>14.7042857142857</v>
      </c>
      <c r="S164" s="58">
        <v>0.85775000000000001</v>
      </c>
      <c r="T164" t="s">
        <v>176</v>
      </c>
      <c r="U164" s="11">
        <v>64.235299999999995</v>
      </c>
      <c r="V164"/>
      <c r="W164"/>
    </row>
    <row r="165" spans="1:23" x14ac:dyDescent="0.35">
      <c r="A165" s="40">
        <v>45803</v>
      </c>
      <c r="B165">
        <v>2025</v>
      </c>
      <c r="C165" t="s">
        <v>287</v>
      </c>
      <c r="D165">
        <v>9</v>
      </c>
      <c r="E165">
        <v>22</v>
      </c>
      <c r="F165" t="s">
        <v>46</v>
      </c>
      <c r="G165" s="106">
        <v>0.49652777777777779</v>
      </c>
      <c r="H165" t="s">
        <v>80</v>
      </c>
      <c r="I165" t="s">
        <v>249</v>
      </c>
      <c r="J165">
        <v>72</v>
      </c>
      <c r="K165">
        <v>5.75</v>
      </c>
      <c r="L165">
        <v>143</v>
      </c>
      <c r="M165">
        <v>10</v>
      </c>
      <c r="N165" s="58">
        <v>118.05</v>
      </c>
      <c r="O165" s="58">
        <v>86.161000000000001</v>
      </c>
      <c r="P165" s="58">
        <v>20.5304</v>
      </c>
      <c r="Q165" s="58">
        <v>14.9845217391304</v>
      </c>
      <c r="R165" s="58">
        <v>11.805</v>
      </c>
      <c r="S165" s="58">
        <v>0.82552447552447605</v>
      </c>
      <c r="T165" t="s">
        <v>176</v>
      </c>
      <c r="U165" s="11">
        <v>64.528599999999997</v>
      </c>
      <c r="V165"/>
      <c r="W165"/>
    </row>
    <row r="166" spans="1:23" x14ac:dyDescent="0.35">
      <c r="A166" s="40">
        <v>45799</v>
      </c>
      <c r="B166">
        <v>2025</v>
      </c>
      <c r="C166" t="s">
        <v>287</v>
      </c>
      <c r="D166">
        <v>8</v>
      </c>
      <c r="E166">
        <v>21</v>
      </c>
      <c r="F166" t="s">
        <v>49</v>
      </c>
      <c r="G166" s="106">
        <v>0.73263888888888884</v>
      </c>
      <c r="H166" t="s">
        <v>80</v>
      </c>
      <c r="I166" t="s">
        <v>231</v>
      </c>
      <c r="J166">
        <v>50</v>
      </c>
      <c r="K166">
        <v>5.53</v>
      </c>
      <c r="L166">
        <v>162</v>
      </c>
      <c r="M166">
        <v>7</v>
      </c>
      <c r="N166" s="58">
        <v>119.87</v>
      </c>
      <c r="O166" s="58">
        <v>83.744</v>
      </c>
      <c r="P166" s="58">
        <v>21.676300000000001</v>
      </c>
      <c r="Q166" s="58">
        <v>15.1435804701627</v>
      </c>
      <c r="R166" s="58">
        <v>17.124285714285701</v>
      </c>
      <c r="S166" s="58">
        <v>0.73993827160493797</v>
      </c>
      <c r="T166" t="s">
        <v>176</v>
      </c>
      <c r="U166" s="11">
        <v>65.904600000000002</v>
      </c>
      <c r="V166"/>
      <c r="W166"/>
    </row>
    <row r="167" spans="1:23" x14ac:dyDescent="0.35">
      <c r="A167" s="40">
        <v>45798</v>
      </c>
      <c r="B167">
        <v>2025</v>
      </c>
      <c r="C167" t="s">
        <v>287</v>
      </c>
      <c r="D167">
        <v>8</v>
      </c>
      <c r="E167">
        <v>21</v>
      </c>
      <c r="F167" t="s">
        <v>48</v>
      </c>
      <c r="G167" s="106">
        <v>0.77777777777777779</v>
      </c>
      <c r="H167" t="s">
        <v>174</v>
      </c>
      <c r="I167" t="s">
        <v>231</v>
      </c>
      <c r="J167">
        <v>52</v>
      </c>
      <c r="K167">
        <v>5.0199999999999996</v>
      </c>
      <c r="L167">
        <v>142</v>
      </c>
      <c r="M167">
        <v>8</v>
      </c>
      <c r="N167" s="58">
        <v>85.78</v>
      </c>
      <c r="O167" s="58">
        <v>54.113999999999997</v>
      </c>
      <c r="P167" s="58">
        <v>17.087599999999998</v>
      </c>
      <c r="Q167" s="58">
        <v>10.779681274900399</v>
      </c>
      <c r="R167" s="58">
        <v>10.7225</v>
      </c>
      <c r="S167" s="58">
        <v>0.60408450704225403</v>
      </c>
      <c r="T167" t="s">
        <v>175</v>
      </c>
      <c r="U167" s="11">
        <v>66.893299999999996</v>
      </c>
      <c r="V167"/>
      <c r="W167"/>
    </row>
    <row r="168" spans="1:23" x14ac:dyDescent="0.35">
      <c r="A168" s="40">
        <v>45797</v>
      </c>
      <c r="B168">
        <v>2025</v>
      </c>
      <c r="C168" t="s">
        <v>287</v>
      </c>
      <c r="D168">
        <v>8</v>
      </c>
      <c r="E168">
        <v>21</v>
      </c>
      <c r="F168" t="s">
        <v>47</v>
      </c>
      <c r="G168" s="106">
        <v>0.73611111111111116</v>
      </c>
      <c r="H168" t="s">
        <v>80</v>
      </c>
      <c r="I168" t="s">
        <v>231</v>
      </c>
      <c r="J168">
        <v>54</v>
      </c>
      <c r="K168">
        <v>5.0999999999999996</v>
      </c>
      <c r="L168">
        <v>104</v>
      </c>
      <c r="M168">
        <v>9</v>
      </c>
      <c r="N168" s="58">
        <v>109.16</v>
      </c>
      <c r="O168" s="58">
        <v>85.968000000000004</v>
      </c>
      <c r="P168" s="58">
        <v>21.4039</v>
      </c>
      <c r="Q168" s="58">
        <v>16.8564705882353</v>
      </c>
      <c r="R168" s="58">
        <v>12.1288888888889</v>
      </c>
      <c r="S168" s="58">
        <v>1.04961538461538</v>
      </c>
      <c r="T168" t="s">
        <v>176</v>
      </c>
      <c r="U168" s="11">
        <v>67.041799999999995</v>
      </c>
      <c r="V168"/>
      <c r="W168"/>
    </row>
    <row r="169" spans="1:23" x14ac:dyDescent="0.35">
      <c r="A169" s="40">
        <v>45794</v>
      </c>
      <c r="B169">
        <v>2025</v>
      </c>
      <c r="C169" t="s">
        <v>287</v>
      </c>
      <c r="D169">
        <v>7</v>
      </c>
      <c r="E169">
        <v>20</v>
      </c>
      <c r="F169" t="s">
        <v>51</v>
      </c>
      <c r="G169" s="106">
        <v>0.70833333333333337</v>
      </c>
      <c r="H169" t="s">
        <v>82</v>
      </c>
      <c r="I169" t="s">
        <v>325</v>
      </c>
      <c r="J169">
        <v>55</v>
      </c>
      <c r="K169">
        <v>5.53</v>
      </c>
      <c r="L169">
        <v>91</v>
      </c>
      <c r="M169">
        <v>15</v>
      </c>
      <c r="N169" s="58">
        <v>134.81</v>
      </c>
      <c r="O169" s="58">
        <v>114.517</v>
      </c>
      <c r="P169" s="58">
        <v>24.3779</v>
      </c>
      <c r="Q169" s="58">
        <v>20.708318264014501</v>
      </c>
      <c r="R169" s="58">
        <v>8.9873333333333392</v>
      </c>
      <c r="S169" s="58">
        <v>1.48142857142857</v>
      </c>
      <c r="T169" t="s">
        <v>176</v>
      </c>
      <c r="U169" s="11">
        <v>67.018000000000001</v>
      </c>
      <c r="V169"/>
      <c r="W169"/>
    </row>
    <row r="170" spans="1:23" x14ac:dyDescent="0.35">
      <c r="A170" s="40">
        <v>45793</v>
      </c>
      <c r="B170">
        <v>2025</v>
      </c>
      <c r="C170" t="s">
        <v>287</v>
      </c>
      <c r="D170">
        <v>7</v>
      </c>
      <c r="E170">
        <v>20</v>
      </c>
      <c r="F170" t="s">
        <v>50</v>
      </c>
      <c r="G170" s="106">
        <v>0.73263888888888884</v>
      </c>
      <c r="H170" t="s">
        <v>80</v>
      </c>
      <c r="I170" t="s">
        <v>249</v>
      </c>
      <c r="J170">
        <v>68</v>
      </c>
      <c r="K170">
        <v>7.08</v>
      </c>
      <c r="L170">
        <v>159</v>
      </c>
      <c r="M170">
        <v>17</v>
      </c>
      <c r="N170" s="58">
        <v>151.47</v>
      </c>
      <c r="O170" s="58">
        <v>116.01300000000001</v>
      </c>
      <c r="P170" s="58">
        <v>21.394100000000002</v>
      </c>
      <c r="Q170" s="58">
        <v>16.386016949152499</v>
      </c>
      <c r="R170" s="58">
        <v>8.91</v>
      </c>
      <c r="S170" s="58">
        <v>0.95264150943396197</v>
      </c>
      <c r="T170" t="s">
        <v>176</v>
      </c>
      <c r="U170" s="11">
        <v>65.520099999999999</v>
      </c>
      <c r="V170"/>
      <c r="W170"/>
    </row>
    <row r="171" spans="1:23" x14ac:dyDescent="0.35">
      <c r="A171" s="40">
        <v>45791</v>
      </c>
      <c r="B171">
        <v>2025</v>
      </c>
      <c r="C171" t="s">
        <v>287</v>
      </c>
      <c r="D171">
        <v>7</v>
      </c>
      <c r="E171">
        <v>20</v>
      </c>
      <c r="F171" t="s">
        <v>48</v>
      </c>
      <c r="G171" s="106">
        <v>0.76041666666666663</v>
      </c>
      <c r="H171" t="s">
        <v>80</v>
      </c>
      <c r="I171" t="s">
        <v>230</v>
      </c>
      <c r="J171">
        <v>66</v>
      </c>
      <c r="K171">
        <v>4.78</v>
      </c>
      <c r="L171">
        <v>101</v>
      </c>
      <c r="M171">
        <v>12</v>
      </c>
      <c r="N171" s="58">
        <v>117.02</v>
      </c>
      <c r="O171" s="58">
        <v>94.497</v>
      </c>
      <c r="P171" s="58">
        <v>24.481200000000001</v>
      </c>
      <c r="Q171" s="58">
        <v>19.769246861924699</v>
      </c>
      <c r="R171" s="58">
        <v>9.7516666666666705</v>
      </c>
      <c r="S171" s="58">
        <v>1.1586138613861401</v>
      </c>
      <c r="T171" t="s">
        <v>176</v>
      </c>
      <c r="U171" s="11">
        <v>64.551100000000005</v>
      </c>
      <c r="V171"/>
      <c r="W171"/>
    </row>
    <row r="172" spans="1:23" x14ac:dyDescent="0.35">
      <c r="A172" s="40">
        <v>45790</v>
      </c>
      <c r="B172">
        <v>2025</v>
      </c>
      <c r="C172" t="s">
        <v>287</v>
      </c>
      <c r="D172">
        <v>7</v>
      </c>
      <c r="E172">
        <v>20</v>
      </c>
      <c r="F172" t="s">
        <v>47</v>
      </c>
      <c r="G172" s="106">
        <v>0.76736111111111116</v>
      </c>
      <c r="H172" t="s">
        <v>80</v>
      </c>
      <c r="I172" t="s">
        <v>230</v>
      </c>
      <c r="J172">
        <v>61</v>
      </c>
      <c r="K172">
        <v>4.53</v>
      </c>
      <c r="L172">
        <v>96</v>
      </c>
      <c r="M172">
        <v>12</v>
      </c>
      <c r="N172" s="58">
        <v>120.34</v>
      </c>
      <c r="O172" s="58">
        <v>98.932000000000002</v>
      </c>
      <c r="P172" s="58">
        <v>26.565100000000001</v>
      </c>
      <c r="Q172" s="58">
        <v>21.839293598234001</v>
      </c>
      <c r="R172" s="58">
        <v>10.0283333333333</v>
      </c>
      <c r="S172" s="58">
        <v>1.2535416666666701</v>
      </c>
      <c r="T172" t="s">
        <v>176</v>
      </c>
      <c r="U172" s="11">
        <v>64.2637</v>
      </c>
      <c r="V172"/>
      <c r="W172"/>
    </row>
    <row r="173" spans="1:23" x14ac:dyDescent="0.35">
      <c r="A173" s="40">
        <v>45789</v>
      </c>
      <c r="B173">
        <v>2025</v>
      </c>
      <c r="C173" t="s">
        <v>287</v>
      </c>
      <c r="D173">
        <v>7</v>
      </c>
      <c r="E173">
        <v>20</v>
      </c>
      <c r="F173" t="s">
        <v>46</v>
      </c>
      <c r="G173" s="106">
        <v>0.72222222222222221</v>
      </c>
      <c r="H173" t="s">
        <v>80</v>
      </c>
      <c r="I173" t="s">
        <v>230</v>
      </c>
      <c r="J173">
        <v>61</v>
      </c>
      <c r="K173">
        <v>3.2</v>
      </c>
      <c r="L173">
        <v>54</v>
      </c>
      <c r="M173">
        <v>6</v>
      </c>
      <c r="N173" s="58">
        <v>71.73</v>
      </c>
      <c r="O173" s="58">
        <v>59.688000000000002</v>
      </c>
      <c r="P173" s="58">
        <v>22.415600000000001</v>
      </c>
      <c r="Q173" s="58">
        <v>18.6525</v>
      </c>
      <c r="R173" s="58">
        <v>11.955</v>
      </c>
      <c r="S173" s="58">
        <v>1.32833333333333</v>
      </c>
      <c r="T173" t="s">
        <v>176</v>
      </c>
      <c r="U173" s="11">
        <v>62.926600000000001</v>
      </c>
      <c r="V173"/>
      <c r="W173"/>
    </row>
    <row r="174" spans="1:23" x14ac:dyDescent="0.35">
      <c r="A174" s="40">
        <v>45788</v>
      </c>
      <c r="B174">
        <v>2025</v>
      </c>
      <c r="C174" t="s">
        <v>287</v>
      </c>
      <c r="D174">
        <v>6</v>
      </c>
      <c r="E174">
        <v>19</v>
      </c>
      <c r="F174" t="s">
        <v>45</v>
      </c>
      <c r="G174" s="106">
        <v>0.54861111111111116</v>
      </c>
      <c r="H174" t="s">
        <v>80</v>
      </c>
      <c r="I174" t="s">
        <v>230</v>
      </c>
      <c r="J174">
        <v>59</v>
      </c>
      <c r="K174">
        <v>4.88</v>
      </c>
      <c r="L174">
        <v>76</v>
      </c>
      <c r="M174">
        <v>10</v>
      </c>
      <c r="N174" s="58">
        <v>126.55</v>
      </c>
      <c r="O174" s="58">
        <v>109.602</v>
      </c>
      <c r="P174" s="58">
        <v>25.932400000000001</v>
      </c>
      <c r="Q174" s="58">
        <v>22.4594262295082</v>
      </c>
      <c r="R174" s="58">
        <v>12.654999999999999</v>
      </c>
      <c r="S174" s="58">
        <v>1.66513157894737</v>
      </c>
      <c r="T174" t="s">
        <v>176</v>
      </c>
      <c r="U174" s="11">
        <v>62.129600000000003</v>
      </c>
      <c r="V174"/>
      <c r="W174"/>
    </row>
    <row r="175" spans="1:23" x14ac:dyDescent="0.35">
      <c r="A175" s="40">
        <v>45787</v>
      </c>
      <c r="B175">
        <v>2025</v>
      </c>
      <c r="C175" t="s">
        <v>287</v>
      </c>
      <c r="D175">
        <v>6</v>
      </c>
      <c r="E175">
        <v>19</v>
      </c>
      <c r="F175" t="s">
        <v>51</v>
      </c>
      <c r="G175" s="106">
        <v>0.74305555555555558</v>
      </c>
      <c r="H175" t="s">
        <v>82</v>
      </c>
      <c r="I175" t="s">
        <v>230</v>
      </c>
      <c r="J175">
        <v>59</v>
      </c>
      <c r="K175">
        <v>4.68</v>
      </c>
      <c r="L175">
        <v>106</v>
      </c>
      <c r="M175">
        <v>6</v>
      </c>
      <c r="N175" s="58">
        <v>96.08</v>
      </c>
      <c r="O175" s="58">
        <v>72.441999999999993</v>
      </c>
      <c r="P175" s="58">
        <v>20.529900000000001</v>
      </c>
      <c r="Q175" s="58">
        <v>15.4790598290598</v>
      </c>
      <c r="R175" s="58">
        <v>16.0133333333333</v>
      </c>
      <c r="S175" s="58">
        <v>0.90641509433962297</v>
      </c>
      <c r="T175" t="s">
        <v>176</v>
      </c>
      <c r="U175" s="11">
        <v>61.905999999999999</v>
      </c>
      <c r="V175"/>
      <c r="W175"/>
    </row>
    <row r="176" spans="1:23" x14ac:dyDescent="0.35">
      <c r="A176" s="40">
        <v>45785</v>
      </c>
      <c r="B176">
        <v>2025</v>
      </c>
      <c r="C176" t="s">
        <v>287</v>
      </c>
      <c r="D176">
        <v>6</v>
      </c>
      <c r="E176">
        <v>19</v>
      </c>
      <c r="F176" t="s">
        <v>49</v>
      </c>
      <c r="G176" s="106">
        <v>0.76041666666666663</v>
      </c>
      <c r="H176" t="s">
        <v>80</v>
      </c>
      <c r="I176" t="s">
        <v>285</v>
      </c>
      <c r="J176">
        <v>61</v>
      </c>
      <c r="K176">
        <v>5.8</v>
      </c>
      <c r="L176">
        <v>155</v>
      </c>
      <c r="M176">
        <v>13</v>
      </c>
      <c r="N176" s="58">
        <v>149.07</v>
      </c>
      <c r="O176" s="58">
        <v>114.505</v>
      </c>
      <c r="P176" s="58">
        <v>25.701699999999999</v>
      </c>
      <c r="Q176" s="58">
        <v>19.7422413793103</v>
      </c>
      <c r="R176" s="58">
        <v>11.4669230769231</v>
      </c>
      <c r="S176" s="58">
        <v>0.96174193548387099</v>
      </c>
      <c r="T176" t="s">
        <v>176</v>
      </c>
      <c r="U176" s="11">
        <v>61.895299999999999</v>
      </c>
      <c r="V176"/>
      <c r="W176"/>
    </row>
    <row r="177" spans="1:23" x14ac:dyDescent="0.35">
      <c r="A177" s="40">
        <v>45784</v>
      </c>
      <c r="B177">
        <v>2025</v>
      </c>
      <c r="C177" t="s">
        <v>287</v>
      </c>
      <c r="D177">
        <v>6</v>
      </c>
      <c r="E177">
        <v>19</v>
      </c>
      <c r="F177" t="s">
        <v>48</v>
      </c>
      <c r="G177" s="106">
        <v>0.77777777777777779</v>
      </c>
      <c r="H177" t="s">
        <v>80</v>
      </c>
      <c r="I177" t="s">
        <v>325</v>
      </c>
      <c r="J177">
        <v>57</v>
      </c>
      <c r="K177">
        <v>5.55</v>
      </c>
      <c r="L177">
        <v>134</v>
      </c>
      <c r="M177">
        <v>11</v>
      </c>
      <c r="N177" s="58">
        <v>106.02</v>
      </c>
      <c r="O177" s="58">
        <v>76.138000000000005</v>
      </c>
      <c r="P177" s="58">
        <v>19.102699999999999</v>
      </c>
      <c r="Q177" s="58">
        <v>13.7185585585586</v>
      </c>
      <c r="R177" s="58">
        <v>9.6381818181818204</v>
      </c>
      <c r="S177" s="58">
        <v>0.79119402985074605</v>
      </c>
      <c r="T177" t="s">
        <v>176</v>
      </c>
      <c r="U177" s="11">
        <v>60.697899999999997</v>
      </c>
      <c r="V177"/>
      <c r="W177"/>
    </row>
    <row r="178" spans="1:23" x14ac:dyDescent="0.35">
      <c r="A178" s="40">
        <v>45783</v>
      </c>
      <c r="B178">
        <v>2025</v>
      </c>
      <c r="C178" t="s">
        <v>287</v>
      </c>
      <c r="D178">
        <v>6</v>
      </c>
      <c r="E178">
        <v>19</v>
      </c>
      <c r="F178" t="s">
        <v>47</v>
      </c>
      <c r="G178" s="106">
        <v>0.72569444444444442</v>
      </c>
      <c r="H178" t="s">
        <v>80</v>
      </c>
      <c r="I178" t="s">
        <v>236</v>
      </c>
      <c r="J178">
        <v>55</v>
      </c>
      <c r="K178">
        <v>4.7699999999999996</v>
      </c>
      <c r="L178">
        <v>103</v>
      </c>
      <c r="M178">
        <v>10</v>
      </c>
      <c r="N178" s="58">
        <v>100.12</v>
      </c>
      <c r="O178" s="58">
        <v>77.150999999999996</v>
      </c>
      <c r="P178" s="58">
        <v>20.9895</v>
      </c>
      <c r="Q178" s="58">
        <v>16.174213836478</v>
      </c>
      <c r="R178" s="58">
        <v>10.012</v>
      </c>
      <c r="S178" s="58">
        <v>0.97203883495145604</v>
      </c>
      <c r="T178" t="s">
        <v>175</v>
      </c>
      <c r="U178" s="11">
        <v>59.731400000000001</v>
      </c>
      <c r="V178"/>
      <c r="W178"/>
    </row>
    <row r="179" spans="1:23" x14ac:dyDescent="0.35">
      <c r="A179" s="40">
        <v>45782</v>
      </c>
      <c r="B179">
        <v>2025</v>
      </c>
      <c r="C179" t="s">
        <v>287</v>
      </c>
      <c r="D179">
        <v>6</v>
      </c>
      <c r="E179">
        <v>19</v>
      </c>
      <c r="F179" t="s">
        <v>46</v>
      </c>
      <c r="G179" s="106">
        <v>0.70833333333333337</v>
      </c>
      <c r="H179" t="s">
        <v>85</v>
      </c>
      <c r="I179" t="s">
        <v>276</v>
      </c>
      <c r="J179">
        <v>50</v>
      </c>
      <c r="K179">
        <v>6.85</v>
      </c>
      <c r="L179">
        <v>211</v>
      </c>
      <c r="M179">
        <v>12</v>
      </c>
      <c r="N179" s="58">
        <v>119.77</v>
      </c>
      <c r="O179" s="58">
        <v>72.716999999999999</v>
      </c>
      <c r="P179" s="58">
        <v>17.4847</v>
      </c>
      <c r="Q179" s="58">
        <v>10.615620437956199</v>
      </c>
      <c r="R179" s="58">
        <v>9.9808333333333294</v>
      </c>
      <c r="S179" s="58">
        <v>0.56763033175355404</v>
      </c>
      <c r="T179" t="s">
        <v>176</v>
      </c>
      <c r="U179" s="11">
        <v>59.189</v>
      </c>
      <c r="V179"/>
      <c r="W179"/>
    </row>
    <row r="180" spans="1:23" x14ac:dyDescent="0.35">
      <c r="A180" s="40">
        <v>45781</v>
      </c>
      <c r="B180">
        <v>2025</v>
      </c>
      <c r="C180" t="s">
        <v>287</v>
      </c>
      <c r="D180">
        <v>5</v>
      </c>
      <c r="E180">
        <v>18</v>
      </c>
      <c r="F180" t="s">
        <v>45</v>
      </c>
      <c r="G180" s="106">
        <v>0.4548611111111111</v>
      </c>
      <c r="H180" t="s">
        <v>80</v>
      </c>
      <c r="I180" t="s">
        <v>325</v>
      </c>
      <c r="J180">
        <v>57</v>
      </c>
      <c r="K180">
        <v>4.22</v>
      </c>
      <c r="L180">
        <v>94</v>
      </c>
      <c r="M180">
        <v>9</v>
      </c>
      <c r="N180" s="58">
        <v>88.98</v>
      </c>
      <c r="O180" s="58">
        <v>68.018000000000001</v>
      </c>
      <c r="P180" s="58">
        <v>21.0853</v>
      </c>
      <c r="Q180" s="58">
        <v>16.118009478672999</v>
      </c>
      <c r="R180" s="58">
        <v>9.8866666666666703</v>
      </c>
      <c r="S180" s="58">
        <v>0.94659574468085095</v>
      </c>
      <c r="T180" t="s">
        <v>176</v>
      </c>
      <c r="U180" s="11">
        <v>57.858199999999997</v>
      </c>
      <c r="V180"/>
      <c r="W180"/>
    </row>
    <row r="181" spans="1:23" x14ac:dyDescent="0.35">
      <c r="A181" s="40">
        <v>45780</v>
      </c>
      <c r="B181">
        <v>2025</v>
      </c>
      <c r="C181" t="s">
        <v>287</v>
      </c>
      <c r="D181">
        <v>5</v>
      </c>
      <c r="E181">
        <v>18</v>
      </c>
      <c r="F181" t="s">
        <v>51</v>
      </c>
      <c r="G181" s="106">
        <v>0.51736111111111116</v>
      </c>
      <c r="H181" t="s">
        <v>80</v>
      </c>
      <c r="I181" t="s">
        <v>285</v>
      </c>
      <c r="J181">
        <v>72</v>
      </c>
      <c r="K181">
        <v>3.42</v>
      </c>
      <c r="L181">
        <v>67</v>
      </c>
      <c r="M181">
        <v>5</v>
      </c>
      <c r="N181" s="58">
        <v>75.36</v>
      </c>
      <c r="O181" s="58">
        <v>60.418999999999997</v>
      </c>
      <c r="P181" s="58">
        <v>22.0351</v>
      </c>
      <c r="Q181" s="58">
        <v>17.6663742690058</v>
      </c>
      <c r="R181" s="58">
        <v>15.071999999999999</v>
      </c>
      <c r="S181" s="58">
        <v>1.1247761194029799</v>
      </c>
      <c r="T181" t="s">
        <v>176</v>
      </c>
      <c r="U181" s="11">
        <v>57.508400000000002</v>
      </c>
      <c r="V181"/>
      <c r="W181"/>
    </row>
    <row r="182" spans="1:23" x14ac:dyDescent="0.35">
      <c r="A182" s="40">
        <v>45778</v>
      </c>
      <c r="B182">
        <v>2025</v>
      </c>
      <c r="C182" t="s">
        <v>287</v>
      </c>
      <c r="D182">
        <v>5</v>
      </c>
      <c r="E182">
        <v>18</v>
      </c>
      <c r="F182" t="s">
        <v>49</v>
      </c>
      <c r="G182" s="106">
        <v>0.79513888888888884</v>
      </c>
      <c r="H182" t="s">
        <v>80</v>
      </c>
      <c r="I182" t="s">
        <v>230</v>
      </c>
      <c r="J182">
        <v>54</v>
      </c>
      <c r="K182">
        <v>4.67</v>
      </c>
      <c r="L182">
        <v>97</v>
      </c>
      <c r="M182">
        <v>9</v>
      </c>
      <c r="N182" s="58">
        <v>108.47</v>
      </c>
      <c r="O182" s="58">
        <v>86.838999999999999</v>
      </c>
      <c r="P182" s="58">
        <v>23.227</v>
      </c>
      <c r="Q182" s="58">
        <v>18.595074946466799</v>
      </c>
      <c r="R182" s="58">
        <v>12.0522222222222</v>
      </c>
      <c r="S182" s="58">
        <v>1.11824742268041</v>
      </c>
      <c r="T182" t="s">
        <v>176</v>
      </c>
      <c r="U182" s="11">
        <v>57.2239</v>
      </c>
      <c r="V182"/>
      <c r="W182"/>
    </row>
    <row r="183" spans="1:23" x14ac:dyDescent="0.35">
      <c r="A183" s="40">
        <v>45777</v>
      </c>
      <c r="B183">
        <v>2025</v>
      </c>
      <c r="C183" t="s">
        <v>287</v>
      </c>
      <c r="D183">
        <v>5</v>
      </c>
      <c r="E183">
        <v>18</v>
      </c>
      <c r="F183" t="s">
        <v>48</v>
      </c>
      <c r="G183" s="106">
        <v>0.81944444444444442</v>
      </c>
      <c r="H183" t="s">
        <v>80</v>
      </c>
      <c r="I183" t="s">
        <v>230</v>
      </c>
      <c r="J183">
        <v>54</v>
      </c>
      <c r="K183">
        <v>4.08</v>
      </c>
      <c r="L183">
        <v>94</v>
      </c>
      <c r="M183">
        <v>8</v>
      </c>
      <c r="N183" s="58">
        <v>85.16</v>
      </c>
      <c r="O183" s="58">
        <v>64.197999999999993</v>
      </c>
      <c r="P183" s="58">
        <v>20.872499999999999</v>
      </c>
      <c r="Q183" s="58">
        <v>15.7348039215686</v>
      </c>
      <c r="R183" s="58">
        <v>10.645</v>
      </c>
      <c r="S183" s="58">
        <v>0.90595744680851098</v>
      </c>
      <c r="T183" t="s">
        <v>175</v>
      </c>
      <c r="U183" s="11">
        <v>56.018700000000003</v>
      </c>
      <c r="V183"/>
      <c r="W183"/>
    </row>
    <row r="184" spans="1:23" x14ac:dyDescent="0.35">
      <c r="A184" s="40">
        <v>45776</v>
      </c>
      <c r="B184">
        <v>2025</v>
      </c>
      <c r="C184" t="s">
        <v>287</v>
      </c>
      <c r="D184">
        <v>5</v>
      </c>
      <c r="E184">
        <v>18</v>
      </c>
      <c r="F184" t="s">
        <v>47</v>
      </c>
      <c r="G184" s="106">
        <v>0.71875</v>
      </c>
      <c r="H184" t="s">
        <v>80</v>
      </c>
      <c r="I184" t="s">
        <v>230</v>
      </c>
      <c r="J184">
        <v>66</v>
      </c>
      <c r="K184">
        <v>5.52</v>
      </c>
      <c r="L184">
        <v>134</v>
      </c>
      <c r="M184">
        <v>11</v>
      </c>
      <c r="N184" s="58">
        <v>116.97</v>
      </c>
      <c r="O184" s="58">
        <v>87.087999999999994</v>
      </c>
      <c r="P184" s="58">
        <v>21.190200000000001</v>
      </c>
      <c r="Q184" s="58">
        <v>15.776811594202901</v>
      </c>
      <c r="R184" s="58">
        <v>10.6336363636364</v>
      </c>
      <c r="S184" s="58">
        <v>0.87291044776119397</v>
      </c>
      <c r="T184" t="s">
        <v>176</v>
      </c>
      <c r="U184" s="11">
        <v>55.072400000000002</v>
      </c>
      <c r="V184"/>
      <c r="W184"/>
    </row>
    <row r="185" spans="1:23" x14ac:dyDescent="0.35">
      <c r="A185" s="40">
        <v>45775</v>
      </c>
      <c r="B185">
        <v>2025</v>
      </c>
      <c r="C185" t="s">
        <v>287</v>
      </c>
      <c r="D185">
        <v>5</v>
      </c>
      <c r="E185">
        <v>18</v>
      </c>
      <c r="F185" t="s">
        <v>46</v>
      </c>
      <c r="G185" s="106">
        <v>0.78125</v>
      </c>
      <c r="H185" t="s">
        <v>85</v>
      </c>
      <c r="I185" t="s">
        <v>230</v>
      </c>
      <c r="J185">
        <v>64</v>
      </c>
      <c r="K185">
        <v>7.02</v>
      </c>
      <c r="L185">
        <v>172</v>
      </c>
      <c r="M185">
        <v>13</v>
      </c>
      <c r="N185" s="58">
        <v>148.66</v>
      </c>
      <c r="O185" s="58">
        <v>110.304</v>
      </c>
      <c r="P185" s="58">
        <v>21.176600000000001</v>
      </c>
      <c r="Q185" s="58">
        <v>15.7128205128205</v>
      </c>
      <c r="R185" s="58">
        <v>11.435384615384599</v>
      </c>
      <c r="S185" s="58">
        <v>0.86430232558139497</v>
      </c>
      <c r="T185" t="s">
        <v>176</v>
      </c>
      <c r="U185" s="11">
        <v>53.772799999999997</v>
      </c>
      <c r="V185"/>
      <c r="W185"/>
    </row>
    <row r="186" spans="1:23" x14ac:dyDescent="0.35">
      <c r="A186" s="40">
        <v>45774</v>
      </c>
      <c r="B186">
        <v>2025</v>
      </c>
      <c r="C186" t="s">
        <v>287</v>
      </c>
      <c r="D186">
        <v>4</v>
      </c>
      <c r="E186">
        <v>17</v>
      </c>
      <c r="F186" t="s">
        <v>45</v>
      </c>
      <c r="G186" s="106">
        <v>0.64930555555555558</v>
      </c>
      <c r="H186" t="s">
        <v>174</v>
      </c>
      <c r="I186" t="s">
        <v>325</v>
      </c>
      <c r="J186">
        <v>43</v>
      </c>
      <c r="K186">
        <v>4.5999999999999996</v>
      </c>
      <c r="L186">
        <v>108</v>
      </c>
      <c r="M186">
        <v>9</v>
      </c>
      <c r="N186" s="58">
        <v>80.69</v>
      </c>
      <c r="O186" s="58">
        <v>56.606000000000002</v>
      </c>
      <c r="P186" s="58">
        <v>17.5413</v>
      </c>
      <c r="Q186" s="58">
        <v>12.305652173913</v>
      </c>
      <c r="R186" s="58">
        <v>8.9655555555555608</v>
      </c>
      <c r="S186" s="58">
        <v>0.74712962962963003</v>
      </c>
      <c r="T186" t="s">
        <v>176</v>
      </c>
      <c r="U186" s="11">
        <v>52.955599999999997</v>
      </c>
      <c r="V186"/>
      <c r="W186"/>
    </row>
    <row r="187" spans="1:23" x14ac:dyDescent="0.35">
      <c r="A187" s="40">
        <v>45773</v>
      </c>
      <c r="B187">
        <v>2025</v>
      </c>
      <c r="C187" t="s">
        <v>287</v>
      </c>
      <c r="D187">
        <v>4</v>
      </c>
      <c r="E187">
        <v>17</v>
      </c>
      <c r="F187" t="s">
        <v>51</v>
      </c>
      <c r="G187" s="106">
        <v>0.65277777777777779</v>
      </c>
      <c r="H187" t="s">
        <v>174</v>
      </c>
      <c r="I187" t="s">
        <v>325</v>
      </c>
      <c r="J187">
        <v>55</v>
      </c>
      <c r="K187">
        <v>4.5999999999999996</v>
      </c>
      <c r="L187">
        <v>115</v>
      </c>
      <c r="M187">
        <v>7</v>
      </c>
      <c r="N187" s="58">
        <v>91.29</v>
      </c>
      <c r="O187" s="58">
        <v>65.644999999999996</v>
      </c>
      <c r="P187" s="58">
        <v>19.845700000000001</v>
      </c>
      <c r="Q187" s="58">
        <v>14.270652173913</v>
      </c>
      <c r="R187" s="58">
        <v>13.0414285714286</v>
      </c>
      <c r="S187" s="58">
        <v>0.79382608695652201</v>
      </c>
      <c r="T187" t="s">
        <v>175</v>
      </c>
      <c r="U187" s="11">
        <v>52.058999999999997</v>
      </c>
      <c r="V187"/>
      <c r="W187"/>
    </row>
    <row r="188" spans="1:23" x14ac:dyDescent="0.35">
      <c r="A188" s="40">
        <v>45772</v>
      </c>
      <c r="B188">
        <v>2025</v>
      </c>
      <c r="C188" t="s">
        <v>287</v>
      </c>
      <c r="D188">
        <v>4</v>
      </c>
      <c r="E188">
        <v>17</v>
      </c>
      <c r="F188" t="s">
        <v>50</v>
      </c>
      <c r="G188" s="106">
        <v>0.74652777777777779</v>
      </c>
      <c r="H188" t="s">
        <v>82</v>
      </c>
      <c r="I188" t="s">
        <v>325</v>
      </c>
      <c r="J188">
        <v>57</v>
      </c>
      <c r="K188">
        <v>4.5199999999999996</v>
      </c>
      <c r="L188">
        <v>59</v>
      </c>
      <c r="M188">
        <v>9</v>
      </c>
      <c r="N188" s="58">
        <v>70.13</v>
      </c>
      <c r="O188" s="58">
        <v>56.972999999999999</v>
      </c>
      <c r="P188" s="58">
        <v>15.515499999999999</v>
      </c>
      <c r="Q188" s="58">
        <v>12.6046460176991</v>
      </c>
      <c r="R188" s="58">
        <v>7.7922222222222199</v>
      </c>
      <c r="S188" s="58">
        <v>1.1886440677966099</v>
      </c>
      <c r="T188" t="s">
        <v>176</v>
      </c>
      <c r="U188" s="11">
        <v>51.549799999999998</v>
      </c>
      <c r="V188"/>
      <c r="W188"/>
    </row>
    <row r="189" spans="1:23" x14ac:dyDescent="0.35">
      <c r="A189" s="40">
        <v>45770</v>
      </c>
      <c r="B189">
        <v>2025</v>
      </c>
      <c r="C189" t="s">
        <v>287</v>
      </c>
      <c r="D189">
        <v>4</v>
      </c>
      <c r="E189">
        <v>17</v>
      </c>
      <c r="F189" t="s">
        <v>48</v>
      </c>
      <c r="G189" s="106">
        <v>0.75</v>
      </c>
      <c r="H189" t="s">
        <v>80</v>
      </c>
      <c r="I189" t="s">
        <v>230</v>
      </c>
      <c r="J189">
        <v>61</v>
      </c>
      <c r="K189">
        <v>5.33</v>
      </c>
      <c r="L189">
        <v>144</v>
      </c>
      <c r="M189">
        <v>11</v>
      </c>
      <c r="N189" s="58">
        <v>147.33000000000001</v>
      </c>
      <c r="O189" s="58">
        <v>115.218</v>
      </c>
      <c r="P189" s="58">
        <v>27.6417</v>
      </c>
      <c r="Q189" s="58">
        <v>21.616885553470901</v>
      </c>
      <c r="R189" s="58">
        <v>13.3936363636364</v>
      </c>
      <c r="S189" s="58">
        <v>1.0231250000000001</v>
      </c>
      <c r="T189" t="s">
        <v>176</v>
      </c>
      <c r="U189" s="11">
        <v>51.648400000000002</v>
      </c>
      <c r="V189"/>
      <c r="W189"/>
    </row>
    <row r="190" spans="1:23" x14ac:dyDescent="0.35">
      <c r="A190" s="40">
        <v>45769</v>
      </c>
      <c r="B190">
        <v>2025</v>
      </c>
      <c r="C190" t="s">
        <v>287</v>
      </c>
      <c r="D190">
        <v>4</v>
      </c>
      <c r="E190">
        <v>17</v>
      </c>
      <c r="F190" t="s">
        <v>47</v>
      </c>
      <c r="G190" s="106">
        <v>0.80902777777777779</v>
      </c>
      <c r="H190" t="s">
        <v>82</v>
      </c>
      <c r="I190" t="s">
        <v>231</v>
      </c>
      <c r="J190">
        <v>61</v>
      </c>
      <c r="K190">
        <v>4.0999999999999996</v>
      </c>
      <c r="L190">
        <v>94</v>
      </c>
      <c r="M190">
        <v>7</v>
      </c>
      <c r="N190" s="58">
        <v>62.21</v>
      </c>
      <c r="O190" s="58">
        <v>41.247999999999998</v>
      </c>
      <c r="P190" s="58">
        <v>15.1732</v>
      </c>
      <c r="Q190" s="58">
        <v>10.060487804878001</v>
      </c>
      <c r="R190" s="58">
        <v>8.8871428571428606</v>
      </c>
      <c r="S190" s="58">
        <v>0.66180851063829804</v>
      </c>
      <c r="T190" t="s">
        <v>176</v>
      </c>
      <c r="U190" s="11">
        <v>50.011400000000002</v>
      </c>
      <c r="V190"/>
      <c r="W190"/>
    </row>
    <row r="191" spans="1:23" x14ac:dyDescent="0.35">
      <c r="A191" s="40">
        <v>45768</v>
      </c>
      <c r="B191">
        <v>2025</v>
      </c>
      <c r="C191" t="s">
        <v>287</v>
      </c>
      <c r="D191">
        <v>4</v>
      </c>
      <c r="E191">
        <v>17</v>
      </c>
      <c r="F191" t="s">
        <v>46</v>
      </c>
      <c r="G191" s="106">
        <v>0.75</v>
      </c>
      <c r="H191" t="s">
        <v>80</v>
      </c>
      <c r="I191" t="s">
        <v>325</v>
      </c>
      <c r="J191">
        <v>48</v>
      </c>
      <c r="K191">
        <v>4.7</v>
      </c>
      <c r="L191">
        <v>137</v>
      </c>
      <c r="M191">
        <v>11</v>
      </c>
      <c r="N191" s="58">
        <v>103.03</v>
      </c>
      <c r="O191" s="58">
        <v>72.478999999999999</v>
      </c>
      <c r="P191" s="58">
        <v>21.921299999999999</v>
      </c>
      <c r="Q191" s="58">
        <v>15.421063829787199</v>
      </c>
      <c r="R191" s="58">
        <v>9.3663636363636407</v>
      </c>
      <c r="S191" s="58">
        <v>0.75204379562043799</v>
      </c>
      <c r="T191" t="s">
        <v>175</v>
      </c>
      <c r="U191" s="11">
        <v>49.834800000000001</v>
      </c>
      <c r="V191"/>
      <c r="W191"/>
    </row>
    <row r="192" spans="1:23" x14ac:dyDescent="0.35">
      <c r="A192" s="40">
        <v>45764</v>
      </c>
      <c r="B192">
        <v>2025</v>
      </c>
      <c r="C192" t="s">
        <v>287</v>
      </c>
      <c r="D192">
        <v>3</v>
      </c>
      <c r="E192">
        <v>16</v>
      </c>
      <c r="F192" t="s">
        <v>49</v>
      </c>
      <c r="G192" s="106">
        <v>0.78472222222222221</v>
      </c>
      <c r="H192" t="s">
        <v>82</v>
      </c>
      <c r="I192" t="s">
        <v>230</v>
      </c>
      <c r="J192">
        <v>52</v>
      </c>
      <c r="K192">
        <v>3.93</v>
      </c>
      <c r="L192">
        <v>81</v>
      </c>
      <c r="M192">
        <v>10</v>
      </c>
      <c r="N192" s="58">
        <v>68.38</v>
      </c>
      <c r="O192" s="58">
        <v>50.317</v>
      </c>
      <c r="P192" s="58">
        <v>17.3995</v>
      </c>
      <c r="Q192" s="58">
        <v>12.803307888040701</v>
      </c>
      <c r="R192" s="58">
        <v>6.8380000000000001</v>
      </c>
      <c r="S192" s="58">
        <v>0.84419753086419802</v>
      </c>
      <c r="T192" t="s">
        <v>176</v>
      </c>
      <c r="U192" s="11">
        <v>51.011800000000001</v>
      </c>
      <c r="V192"/>
      <c r="W192"/>
    </row>
    <row r="193" spans="1:23" x14ac:dyDescent="0.35">
      <c r="A193" s="40">
        <v>45763</v>
      </c>
      <c r="B193">
        <v>2025</v>
      </c>
      <c r="C193" t="s">
        <v>287</v>
      </c>
      <c r="D193">
        <v>3</v>
      </c>
      <c r="E193">
        <v>16</v>
      </c>
      <c r="F193" t="s">
        <v>48</v>
      </c>
      <c r="G193" s="106">
        <v>0.73263888888888884</v>
      </c>
      <c r="H193" t="s">
        <v>82</v>
      </c>
      <c r="I193" t="s">
        <v>249</v>
      </c>
      <c r="J193">
        <v>43</v>
      </c>
      <c r="K193">
        <v>5.28</v>
      </c>
      <c r="L193">
        <v>108</v>
      </c>
      <c r="M193">
        <v>12</v>
      </c>
      <c r="N193" s="58">
        <v>119.21</v>
      </c>
      <c r="O193" s="58">
        <v>95.126000000000005</v>
      </c>
      <c r="P193" s="58">
        <v>22.5777</v>
      </c>
      <c r="Q193" s="58">
        <v>18.0162878787879</v>
      </c>
      <c r="R193" s="58">
        <v>9.9341666666666608</v>
      </c>
      <c r="S193" s="58">
        <v>1.1037962962962999</v>
      </c>
      <c r="T193" t="s">
        <v>175</v>
      </c>
      <c r="U193" s="11">
        <v>51.361400000000003</v>
      </c>
      <c r="V193"/>
      <c r="W193"/>
    </row>
    <row r="194" spans="1:23" x14ac:dyDescent="0.35">
      <c r="A194" s="40">
        <v>45761</v>
      </c>
      <c r="B194">
        <v>2025</v>
      </c>
      <c r="C194" t="s">
        <v>287</v>
      </c>
      <c r="D194">
        <v>3</v>
      </c>
      <c r="E194">
        <v>16</v>
      </c>
      <c r="F194" t="s">
        <v>46</v>
      </c>
      <c r="G194" s="106">
        <v>0.73958333333333337</v>
      </c>
      <c r="H194" t="s">
        <v>80</v>
      </c>
      <c r="I194" t="s">
        <v>230</v>
      </c>
      <c r="J194">
        <v>57</v>
      </c>
      <c r="K194">
        <v>4.9800000000000004</v>
      </c>
      <c r="L194">
        <v>135</v>
      </c>
      <c r="M194">
        <v>10</v>
      </c>
      <c r="N194" s="58">
        <v>148.72999999999999</v>
      </c>
      <c r="O194" s="58">
        <v>118.625</v>
      </c>
      <c r="P194" s="58">
        <v>29.865500000000001</v>
      </c>
      <c r="Q194" s="58">
        <v>23.820281124497999</v>
      </c>
      <c r="R194" s="58">
        <v>14.872999999999999</v>
      </c>
      <c r="S194" s="58">
        <v>1.1017037037037001</v>
      </c>
      <c r="T194" t="s">
        <v>176</v>
      </c>
      <c r="U194" s="11">
        <v>51.013800000000003</v>
      </c>
      <c r="V194"/>
      <c r="W194"/>
    </row>
    <row r="195" spans="1:23" x14ac:dyDescent="0.35">
      <c r="A195" s="40">
        <v>45759</v>
      </c>
      <c r="B195">
        <v>2025</v>
      </c>
      <c r="C195" t="s">
        <v>287</v>
      </c>
      <c r="D195">
        <v>2</v>
      </c>
      <c r="E195">
        <v>15</v>
      </c>
      <c r="F195" t="s">
        <v>51</v>
      </c>
      <c r="G195" s="106">
        <v>0.77083333333333337</v>
      </c>
      <c r="H195" t="s">
        <v>174</v>
      </c>
      <c r="I195" t="s">
        <v>249</v>
      </c>
      <c r="J195">
        <v>37</v>
      </c>
      <c r="K195">
        <v>5.0199999999999996</v>
      </c>
      <c r="L195">
        <v>101</v>
      </c>
      <c r="M195">
        <v>11</v>
      </c>
      <c r="N195" s="58">
        <v>113.41</v>
      </c>
      <c r="O195" s="58">
        <v>90.887</v>
      </c>
      <c r="P195" s="58">
        <v>22.5916</v>
      </c>
      <c r="Q195" s="58">
        <v>18.104980079681301</v>
      </c>
      <c r="R195" s="58">
        <v>10.31</v>
      </c>
      <c r="S195" s="58">
        <v>1.1228712871287101</v>
      </c>
      <c r="T195" t="s">
        <v>175</v>
      </c>
      <c r="U195" s="11">
        <v>50.283999999999999</v>
      </c>
      <c r="V195"/>
      <c r="W195"/>
    </row>
    <row r="196" spans="1:23" x14ac:dyDescent="0.35">
      <c r="A196" s="40">
        <v>45758</v>
      </c>
      <c r="B196">
        <v>2025</v>
      </c>
      <c r="C196" t="s">
        <v>287</v>
      </c>
      <c r="D196">
        <v>2</v>
      </c>
      <c r="E196">
        <v>15</v>
      </c>
      <c r="F196" t="s">
        <v>50</v>
      </c>
      <c r="G196" s="106">
        <v>0.71875</v>
      </c>
      <c r="H196" t="s">
        <v>174</v>
      </c>
      <c r="I196" t="s">
        <v>231</v>
      </c>
      <c r="J196">
        <v>43</v>
      </c>
      <c r="K196">
        <v>3.5</v>
      </c>
      <c r="L196">
        <v>104</v>
      </c>
      <c r="M196">
        <v>6</v>
      </c>
      <c r="N196" s="58">
        <v>57.27</v>
      </c>
      <c r="O196" s="58">
        <v>34.078000000000003</v>
      </c>
      <c r="P196" s="58">
        <v>16.3629</v>
      </c>
      <c r="Q196" s="58">
        <v>9.7365714285714304</v>
      </c>
      <c r="R196" s="58">
        <v>9.5449999999999999</v>
      </c>
      <c r="S196" s="58">
        <v>0.55067307692307699</v>
      </c>
      <c r="T196" t="s">
        <v>175</v>
      </c>
      <c r="U196" s="11">
        <v>49.023899999999998</v>
      </c>
      <c r="V196"/>
      <c r="W196"/>
    </row>
    <row r="197" spans="1:23" x14ac:dyDescent="0.35">
      <c r="A197" s="40">
        <v>45755</v>
      </c>
      <c r="B197">
        <v>2025</v>
      </c>
      <c r="C197" t="s">
        <v>287</v>
      </c>
      <c r="D197">
        <v>2</v>
      </c>
      <c r="E197">
        <v>15</v>
      </c>
      <c r="F197" t="s">
        <v>47</v>
      </c>
      <c r="G197" s="106">
        <v>0.75694444444444442</v>
      </c>
      <c r="H197" t="s">
        <v>174</v>
      </c>
      <c r="I197" t="s">
        <v>232</v>
      </c>
      <c r="J197">
        <v>34</v>
      </c>
      <c r="K197">
        <v>5.57</v>
      </c>
      <c r="L197">
        <v>119</v>
      </c>
      <c r="M197">
        <v>11</v>
      </c>
      <c r="N197" s="58">
        <v>130.44</v>
      </c>
      <c r="O197" s="58">
        <v>103.90300000000001</v>
      </c>
      <c r="P197" s="58">
        <v>23.418299999999999</v>
      </c>
      <c r="Q197" s="58">
        <v>18.654039497307</v>
      </c>
      <c r="R197" s="58">
        <v>11.8581818181818</v>
      </c>
      <c r="S197" s="58">
        <v>1.0961344537815101</v>
      </c>
      <c r="T197" t="s">
        <v>176</v>
      </c>
      <c r="U197" s="11">
        <v>50.192900000000002</v>
      </c>
      <c r="V197"/>
      <c r="W197"/>
    </row>
    <row r="198" spans="1:23" x14ac:dyDescent="0.35">
      <c r="A198" s="40">
        <v>45754</v>
      </c>
      <c r="B198">
        <v>2025</v>
      </c>
      <c r="C198" t="s">
        <v>287</v>
      </c>
      <c r="D198">
        <v>2</v>
      </c>
      <c r="E198">
        <v>15</v>
      </c>
      <c r="F198" t="s">
        <v>46</v>
      </c>
      <c r="G198" s="106">
        <v>0.71527777777777779</v>
      </c>
      <c r="H198" t="s">
        <v>80</v>
      </c>
      <c r="I198" t="s">
        <v>285</v>
      </c>
      <c r="J198">
        <v>39</v>
      </c>
      <c r="K198">
        <v>4.92</v>
      </c>
      <c r="L198">
        <v>105</v>
      </c>
      <c r="M198">
        <v>9</v>
      </c>
      <c r="N198" s="58">
        <v>116.99</v>
      </c>
      <c r="O198" s="58">
        <v>93.575000000000003</v>
      </c>
      <c r="P198" s="58">
        <v>23.778500000000001</v>
      </c>
      <c r="Q198" s="58">
        <v>19.019308943089399</v>
      </c>
      <c r="R198" s="58">
        <v>12.998888888888899</v>
      </c>
      <c r="S198" s="58">
        <v>1.11419047619048</v>
      </c>
      <c r="T198" t="s">
        <v>176</v>
      </c>
      <c r="U198" s="11">
        <v>48.988100000000003</v>
      </c>
      <c r="V198"/>
      <c r="W198"/>
    </row>
    <row r="199" spans="1:23" x14ac:dyDescent="0.35">
      <c r="A199" s="40">
        <v>45746</v>
      </c>
      <c r="B199">
        <v>2025</v>
      </c>
      <c r="C199" t="s">
        <v>278</v>
      </c>
      <c r="D199">
        <v>13</v>
      </c>
      <c r="E199">
        <v>13</v>
      </c>
      <c r="F199" t="s">
        <v>45</v>
      </c>
      <c r="G199" s="106">
        <v>0.71875</v>
      </c>
      <c r="H199" t="s">
        <v>80</v>
      </c>
      <c r="I199" t="s">
        <v>233</v>
      </c>
      <c r="J199">
        <v>34</v>
      </c>
      <c r="K199">
        <v>6.28</v>
      </c>
      <c r="L199">
        <v>115</v>
      </c>
      <c r="M199">
        <v>11</v>
      </c>
      <c r="N199" s="58">
        <v>153.68</v>
      </c>
      <c r="O199" s="58">
        <v>128.035</v>
      </c>
      <c r="P199" s="58">
        <v>24.471299999999999</v>
      </c>
      <c r="Q199" s="58">
        <v>20.387738853503201</v>
      </c>
      <c r="R199" s="58">
        <v>13.9709090909091</v>
      </c>
      <c r="S199" s="58">
        <v>1.3363478260869599</v>
      </c>
      <c r="T199" t="s">
        <v>176</v>
      </c>
      <c r="U199" s="11">
        <v>49.537100000000002</v>
      </c>
      <c r="V199"/>
      <c r="W199"/>
    </row>
    <row r="200" spans="1:23" x14ac:dyDescent="0.35">
      <c r="A200" s="40">
        <v>45744</v>
      </c>
      <c r="B200">
        <v>2025</v>
      </c>
      <c r="C200" t="s">
        <v>278</v>
      </c>
      <c r="D200">
        <v>13</v>
      </c>
      <c r="E200">
        <v>13</v>
      </c>
      <c r="F200" t="s">
        <v>50</v>
      </c>
      <c r="G200" s="106">
        <v>0.72569444444444442</v>
      </c>
      <c r="H200" t="s">
        <v>82</v>
      </c>
      <c r="I200" t="s">
        <v>249</v>
      </c>
      <c r="J200">
        <v>46</v>
      </c>
      <c r="K200">
        <v>3.98</v>
      </c>
      <c r="L200">
        <v>68</v>
      </c>
      <c r="M200">
        <v>9</v>
      </c>
      <c r="N200" s="58">
        <v>68.489999999999995</v>
      </c>
      <c r="O200" s="58">
        <v>53.326000000000001</v>
      </c>
      <c r="P200" s="58">
        <v>17.208500000000001</v>
      </c>
      <c r="Q200" s="58">
        <v>13.3984924623116</v>
      </c>
      <c r="R200" s="58">
        <v>7.61</v>
      </c>
      <c r="S200" s="58">
        <v>1.00720588235294</v>
      </c>
      <c r="T200" t="s">
        <v>176</v>
      </c>
      <c r="U200" s="11">
        <v>47.829599999999999</v>
      </c>
      <c r="V200"/>
      <c r="W200"/>
    </row>
    <row r="201" spans="1:23" x14ac:dyDescent="0.35">
      <c r="A201" s="40">
        <v>45741</v>
      </c>
      <c r="B201">
        <v>2025</v>
      </c>
      <c r="C201" t="s">
        <v>278</v>
      </c>
      <c r="D201">
        <v>13</v>
      </c>
      <c r="E201">
        <v>13</v>
      </c>
      <c r="F201" t="s">
        <v>47</v>
      </c>
      <c r="G201" s="106">
        <v>0.71875</v>
      </c>
      <c r="H201" t="s">
        <v>82</v>
      </c>
      <c r="I201" t="s">
        <v>231</v>
      </c>
      <c r="J201">
        <v>43</v>
      </c>
      <c r="K201">
        <v>2.4500000000000002</v>
      </c>
      <c r="L201">
        <v>59</v>
      </c>
      <c r="M201">
        <v>4</v>
      </c>
      <c r="N201" s="58">
        <v>51.32</v>
      </c>
      <c r="O201" s="58">
        <v>38.162999999999997</v>
      </c>
      <c r="P201" s="58">
        <v>20.946899999999999</v>
      </c>
      <c r="Q201" s="58">
        <v>15.576734693877601</v>
      </c>
      <c r="R201" s="58">
        <v>12.83</v>
      </c>
      <c r="S201" s="58">
        <v>0.86983050847457599</v>
      </c>
      <c r="T201" t="s">
        <v>176</v>
      </c>
      <c r="U201" s="11">
        <v>47.068600000000004</v>
      </c>
      <c r="V201"/>
      <c r="W201"/>
    </row>
    <row r="202" spans="1:23" x14ac:dyDescent="0.35">
      <c r="A202" s="40">
        <v>45740</v>
      </c>
      <c r="B202">
        <v>2025</v>
      </c>
      <c r="C202" t="s">
        <v>278</v>
      </c>
      <c r="D202">
        <v>13</v>
      </c>
      <c r="E202">
        <v>13</v>
      </c>
      <c r="F202" t="s">
        <v>46</v>
      </c>
      <c r="G202" s="106">
        <v>0.72916666666666663</v>
      </c>
      <c r="H202" t="s">
        <v>82</v>
      </c>
      <c r="I202" t="s">
        <v>234</v>
      </c>
      <c r="J202">
        <v>30</v>
      </c>
      <c r="K202">
        <v>5.08</v>
      </c>
      <c r="L202">
        <v>73</v>
      </c>
      <c r="M202">
        <v>11</v>
      </c>
      <c r="N202" s="58">
        <v>108.54</v>
      </c>
      <c r="O202" s="58">
        <v>92.260999999999996</v>
      </c>
      <c r="P202" s="58">
        <v>21.366099999999999</v>
      </c>
      <c r="Q202" s="58">
        <v>18.161614173228301</v>
      </c>
      <c r="R202" s="58">
        <v>9.8672727272727307</v>
      </c>
      <c r="S202" s="58">
        <v>1.4868493150684901</v>
      </c>
      <c r="T202" t="s">
        <v>175</v>
      </c>
      <c r="U202" s="11">
        <v>46.4983</v>
      </c>
      <c r="V202"/>
      <c r="W202"/>
    </row>
    <row r="203" spans="1:23" x14ac:dyDescent="0.35">
      <c r="A203" s="40">
        <v>45739</v>
      </c>
      <c r="B203">
        <v>2025</v>
      </c>
      <c r="C203" t="s">
        <v>278</v>
      </c>
      <c r="D203">
        <v>12</v>
      </c>
      <c r="E203">
        <v>12</v>
      </c>
      <c r="F203" t="s">
        <v>45</v>
      </c>
      <c r="G203" s="106">
        <v>0.75</v>
      </c>
      <c r="H203" t="s">
        <v>80</v>
      </c>
      <c r="I203" t="s">
        <v>230</v>
      </c>
      <c r="J203">
        <v>30</v>
      </c>
      <c r="K203">
        <v>4.43</v>
      </c>
      <c r="L203">
        <v>130</v>
      </c>
      <c r="M203">
        <v>8</v>
      </c>
      <c r="N203" s="58">
        <v>81.540000000000006</v>
      </c>
      <c r="O203" s="58">
        <v>52.55</v>
      </c>
      <c r="P203" s="58">
        <v>18.406300000000002</v>
      </c>
      <c r="Q203" s="58">
        <v>11.86230248307</v>
      </c>
      <c r="R203" s="58">
        <v>10.192500000000001</v>
      </c>
      <c r="S203" s="58">
        <v>0.62723076923076904</v>
      </c>
      <c r="T203" t="s">
        <v>176</v>
      </c>
      <c r="U203" s="11">
        <v>45.292299999999997</v>
      </c>
      <c r="V203"/>
      <c r="W203"/>
    </row>
    <row r="204" spans="1:23" x14ac:dyDescent="0.35">
      <c r="A204" s="40">
        <v>45738</v>
      </c>
      <c r="B204">
        <v>2025</v>
      </c>
      <c r="C204" t="s">
        <v>278</v>
      </c>
      <c r="D204">
        <v>12</v>
      </c>
      <c r="E204">
        <v>12</v>
      </c>
      <c r="F204" t="s">
        <v>51</v>
      </c>
      <c r="G204" s="106">
        <v>0.5493055555555556</v>
      </c>
      <c r="H204" t="s">
        <v>82</v>
      </c>
      <c r="I204" t="s">
        <v>281</v>
      </c>
      <c r="J204">
        <v>57</v>
      </c>
      <c r="K204">
        <v>2.9</v>
      </c>
      <c r="L204">
        <v>32</v>
      </c>
      <c r="M204">
        <v>10</v>
      </c>
      <c r="N204" s="58">
        <v>65.55</v>
      </c>
      <c r="O204" s="58">
        <v>58.414000000000001</v>
      </c>
      <c r="P204" s="58">
        <v>22.603400000000001</v>
      </c>
      <c r="Q204" s="58">
        <v>20.142758620689701</v>
      </c>
      <c r="R204" s="58">
        <v>6.5549999999999997</v>
      </c>
      <c r="S204" s="58">
        <v>2.0484374999999999</v>
      </c>
      <c r="T204" t="s">
        <v>176</v>
      </c>
      <c r="U204" s="11">
        <v>44.386299999999999</v>
      </c>
      <c r="V204"/>
      <c r="W204"/>
    </row>
    <row r="205" spans="1:23" x14ac:dyDescent="0.35">
      <c r="A205" s="40">
        <v>45737</v>
      </c>
      <c r="B205">
        <v>2025</v>
      </c>
      <c r="C205" t="s">
        <v>278</v>
      </c>
      <c r="D205">
        <v>12</v>
      </c>
      <c r="E205">
        <v>12</v>
      </c>
      <c r="F205" t="s">
        <v>50</v>
      </c>
      <c r="G205" s="106">
        <v>0.74652777777777779</v>
      </c>
      <c r="H205" t="s">
        <v>174</v>
      </c>
      <c r="I205" t="s">
        <v>285</v>
      </c>
      <c r="J205">
        <v>37</v>
      </c>
      <c r="K205">
        <v>6.82</v>
      </c>
      <c r="L205">
        <v>152</v>
      </c>
      <c r="M205">
        <v>13</v>
      </c>
      <c r="N205" s="58">
        <v>184.51</v>
      </c>
      <c r="O205" s="58">
        <v>150.614</v>
      </c>
      <c r="P205" s="58">
        <v>27.054300000000001</v>
      </c>
      <c r="Q205" s="58">
        <v>22.084164222873898</v>
      </c>
      <c r="R205" s="58">
        <v>14.1930769230769</v>
      </c>
      <c r="S205" s="58">
        <v>1.21388157894737</v>
      </c>
      <c r="T205" t="s">
        <v>175</v>
      </c>
      <c r="U205" s="11">
        <v>43.658000000000001</v>
      </c>
      <c r="V205"/>
      <c r="W205"/>
    </row>
    <row r="206" spans="1:23" x14ac:dyDescent="0.35">
      <c r="A206" s="40">
        <v>45735</v>
      </c>
      <c r="B206">
        <v>2025</v>
      </c>
      <c r="C206" t="s">
        <v>278</v>
      </c>
      <c r="D206">
        <v>12</v>
      </c>
      <c r="E206">
        <v>12</v>
      </c>
      <c r="F206" t="s">
        <v>48</v>
      </c>
      <c r="G206" s="106">
        <v>0.73611111111111116</v>
      </c>
      <c r="H206" t="s">
        <v>80</v>
      </c>
      <c r="I206" t="s">
        <v>230</v>
      </c>
      <c r="J206">
        <v>46</v>
      </c>
      <c r="K206">
        <v>3.42</v>
      </c>
      <c r="L206">
        <v>80</v>
      </c>
      <c r="M206">
        <v>6</v>
      </c>
      <c r="N206" s="58">
        <v>60.75</v>
      </c>
      <c r="O206" s="58">
        <v>42.91</v>
      </c>
      <c r="P206" s="58">
        <v>17.763200000000001</v>
      </c>
      <c r="Q206" s="58">
        <v>12.546783625731001</v>
      </c>
      <c r="R206" s="58">
        <v>10.125</v>
      </c>
      <c r="S206" s="58">
        <v>0.75937500000000002</v>
      </c>
      <c r="T206" t="s">
        <v>176</v>
      </c>
      <c r="U206" s="11">
        <v>41.607900000000001</v>
      </c>
      <c r="V206"/>
      <c r="W206"/>
    </row>
    <row r="207" spans="1:23" x14ac:dyDescent="0.35">
      <c r="A207" s="40">
        <v>45734</v>
      </c>
      <c r="B207">
        <v>2025</v>
      </c>
      <c r="C207" t="s">
        <v>278</v>
      </c>
      <c r="D207">
        <v>12</v>
      </c>
      <c r="E207">
        <v>12</v>
      </c>
      <c r="F207" t="s">
        <v>47</v>
      </c>
      <c r="G207" s="106">
        <v>0.72222222222222221</v>
      </c>
      <c r="H207" t="s">
        <v>80</v>
      </c>
      <c r="I207" t="s">
        <v>230</v>
      </c>
      <c r="J207">
        <v>45</v>
      </c>
      <c r="K207">
        <v>4.87</v>
      </c>
      <c r="L207">
        <v>92</v>
      </c>
      <c r="M207">
        <v>11</v>
      </c>
      <c r="N207" s="58">
        <v>105.92</v>
      </c>
      <c r="O207" s="58">
        <v>85.403999999999996</v>
      </c>
      <c r="P207" s="58">
        <v>21.749500000000001</v>
      </c>
      <c r="Q207" s="58">
        <v>17.536755646817198</v>
      </c>
      <c r="R207" s="58">
        <v>9.6290909090909107</v>
      </c>
      <c r="S207" s="58">
        <v>1.15130434782609</v>
      </c>
      <c r="T207" t="s">
        <v>176</v>
      </c>
      <c r="U207" s="11">
        <v>40.932899999999997</v>
      </c>
      <c r="V207"/>
      <c r="W207"/>
    </row>
    <row r="208" spans="1:23" x14ac:dyDescent="0.35">
      <c r="A208" s="40">
        <v>45733</v>
      </c>
      <c r="B208">
        <v>2025</v>
      </c>
      <c r="C208" t="s">
        <v>278</v>
      </c>
      <c r="D208">
        <v>12</v>
      </c>
      <c r="E208">
        <v>12</v>
      </c>
      <c r="F208" t="s">
        <v>46</v>
      </c>
      <c r="G208" s="106">
        <v>0.75347222222222221</v>
      </c>
      <c r="H208" t="s">
        <v>80</v>
      </c>
      <c r="I208" t="s">
        <v>325</v>
      </c>
      <c r="J208">
        <v>45</v>
      </c>
      <c r="K208">
        <v>2.78</v>
      </c>
      <c r="L208">
        <v>39</v>
      </c>
      <c r="M208">
        <v>7</v>
      </c>
      <c r="N208" s="58">
        <v>43.5</v>
      </c>
      <c r="O208" s="58">
        <v>34.802999999999997</v>
      </c>
      <c r="P208" s="58">
        <v>15.647500000000001</v>
      </c>
      <c r="Q208" s="58">
        <v>12.5190647482014</v>
      </c>
      <c r="R208" s="58">
        <v>6.2142857142857197</v>
      </c>
      <c r="S208" s="58">
        <v>1.1153846153846201</v>
      </c>
      <c r="T208" t="s">
        <v>176</v>
      </c>
      <c r="U208" s="11">
        <v>39.756</v>
      </c>
      <c r="V208"/>
      <c r="W208"/>
    </row>
    <row r="209" spans="1:23" x14ac:dyDescent="0.35">
      <c r="A209" s="40">
        <v>45732</v>
      </c>
      <c r="B209">
        <v>2025</v>
      </c>
      <c r="C209" t="s">
        <v>278</v>
      </c>
      <c r="D209">
        <v>11</v>
      </c>
      <c r="E209">
        <v>11</v>
      </c>
      <c r="F209" t="s">
        <v>45</v>
      </c>
      <c r="G209" s="106">
        <v>0.67361111111111116</v>
      </c>
      <c r="H209" t="s">
        <v>174</v>
      </c>
      <c r="I209" t="s">
        <v>249</v>
      </c>
      <c r="J209">
        <v>55</v>
      </c>
      <c r="K209">
        <v>8.1300000000000008</v>
      </c>
      <c r="L209">
        <v>205</v>
      </c>
      <c r="M209">
        <v>17</v>
      </c>
      <c r="N209" s="58">
        <v>289.49</v>
      </c>
      <c r="O209" s="58">
        <v>243.77500000000001</v>
      </c>
      <c r="P209" s="58">
        <v>35.607599999999998</v>
      </c>
      <c r="Q209" s="58">
        <v>29.984624846248501</v>
      </c>
      <c r="R209" s="58">
        <v>17.028823529411799</v>
      </c>
      <c r="S209" s="58">
        <v>1.4121463414634099</v>
      </c>
      <c r="T209" t="s">
        <v>176</v>
      </c>
      <c r="U209" s="11">
        <v>39.2727</v>
      </c>
      <c r="V209"/>
      <c r="W209"/>
    </row>
    <row r="210" spans="1:23" x14ac:dyDescent="0.35">
      <c r="A210" s="40">
        <v>45729</v>
      </c>
      <c r="B210">
        <v>2025</v>
      </c>
      <c r="C210" t="s">
        <v>278</v>
      </c>
      <c r="D210">
        <v>11</v>
      </c>
      <c r="E210">
        <v>11</v>
      </c>
      <c r="F210" t="s">
        <v>49</v>
      </c>
      <c r="G210" s="106">
        <v>0.73958333333333337</v>
      </c>
      <c r="H210" t="s">
        <v>80</v>
      </c>
      <c r="I210" t="s">
        <v>230</v>
      </c>
      <c r="J210">
        <v>34</v>
      </c>
      <c r="K210">
        <v>5.03</v>
      </c>
      <c r="L210">
        <v>127</v>
      </c>
      <c r="M210">
        <v>9</v>
      </c>
      <c r="N210" s="58">
        <v>108.12</v>
      </c>
      <c r="O210" s="58">
        <v>79.799000000000007</v>
      </c>
      <c r="P210" s="58">
        <v>21.495000000000001</v>
      </c>
      <c r="Q210" s="58">
        <v>15.8646123260437</v>
      </c>
      <c r="R210" s="58">
        <v>12.0133333333333</v>
      </c>
      <c r="S210" s="58">
        <v>0.851338582677166</v>
      </c>
      <c r="T210" t="s">
        <v>176</v>
      </c>
      <c r="U210" s="11">
        <v>36.056100000000001</v>
      </c>
      <c r="V210"/>
      <c r="W210"/>
    </row>
    <row r="211" spans="1:23" x14ac:dyDescent="0.35">
      <c r="A211" s="40">
        <v>45728</v>
      </c>
      <c r="B211">
        <v>2025</v>
      </c>
      <c r="C211" t="s">
        <v>278</v>
      </c>
      <c r="D211">
        <v>11</v>
      </c>
      <c r="E211">
        <v>11</v>
      </c>
      <c r="F211" t="s">
        <v>48</v>
      </c>
      <c r="G211" s="106">
        <v>0.71527777777777779</v>
      </c>
      <c r="H211" t="s">
        <v>80</v>
      </c>
      <c r="I211" t="s">
        <v>230</v>
      </c>
      <c r="J211">
        <v>36</v>
      </c>
      <c r="K211">
        <v>2.52</v>
      </c>
      <c r="L211">
        <v>33</v>
      </c>
      <c r="M211">
        <v>6</v>
      </c>
      <c r="N211" s="58">
        <v>54.72</v>
      </c>
      <c r="O211" s="58">
        <v>47.360999999999997</v>
      </c>
      <c r="P211" s="58">
        <v>21.714300000000001</v>
      </c>
      <c r="Q211" s="58">
        <v>18.7940476190476</v>
      </c>
      <c r="R211" s="58">
        <v>9.1199999999999992</v>
      </c>
      <c r="S211" s="58">
        <v>1.65818181818182</v>
      </c>
      <c r="T211" t="s">
        <v>176</v>
      </c>
      <c r="U211" s="11">
        <v>34.854799999999997</v>
      </c>
      <c r="V211"/>
      <c r="W211"/>
    </row>
    <row r="212" spans="1:23" x14ac:dyDescent="0.35">
      <c r="A212" s="40">
        <v>45726</v>
      </c>
      <c r="B212">
        <v>2025</v>
      </c>
      <c r="C212" t="s">
        <v>278</v>
      </c>
      <c r="D212">
        <v>11</v>
      </c>
      <c r="E212">
        <v>11</v>
      </c>
      <c r="F212" t="s">
        <v>46</v>
      </c>
      <c r="G212" s="106">
        <v>0.73958333333333337</v>
      </c>
      <c r="H212" t="s">
        <v>80</v>
      </c>
      <c r="I212" t="s">
        <v>249</v>
      </c>
      <c r="J212">
        <v>39</v>
      </c>
      <c r="K212">
        <v>4.4800000000000004</v>
      </c>
      <c r="L212">
        <v>71</v>
      </c>
      <c r="M212">
        <v>8</v>
      </c>
      <c r="N212" s="58">
        <v>105.51</v>
      </c>
      <c r="O212" s="58">
        <v>89.677000000000007</v>
      </c>
      <c r="P212" s="58">
        <v>23.551300000000001</v>
      </c>
      <c r="Q212" s="58">
        <v>20.017187499999999</v>
      </c>
      <c r="R212" s="58">
        <v>13.188750000000001</v>
      </c>
      <c r="S212" s="58">
        <v>1.4860563380281699</v>
      </c>
      <c r="T212" t="s">
        <v>176</v>
      </c>
      <c r="U212" s="11">
        <v>34.648899999999998</v>
      </c>
      <c r="V212"/>
      <c r="W212"/>
    </row>
    <row r="213" spans="1:23" x14ac:dyDescent="0.35">
      <c r="A213" s="40">
        <v>45725</v>
      </c>
      <c r="B213">
        <v>2025</v>
      </c>
      <c r="C213" t="s">
        <v>278</v>
      </c>
      <c r="D213">
        <v>10</v>
      </c>
      <c r="E213">
        <v>10</v>
      </c>
      <c r="F213" t="s">
        <v>45</v>
      </c>
      <c r="G213" s="106">
        <v>0.4236111111111111</v>
      </c>
      <c r="H213" t="s">
        <v>80</v>
      </c>
      <c r="I213" t="s">
        <v>231</v>
      </c>
      <c r="J213">
        <v>37</v>
      </c>
      <c r="K213">
        <v>1.03</v>
      </c>
      <c r="L213">
        <v>29</v>
      </c>
      <c r="M213">
        <v>2</v>
      </c>
      <c r="N213" s="58">
        <v>13.66</v>
      </c>
      <c r="O213" s="58">
        <v>7.1929999999999996</v>
      </c>
      <c r="P213" s="58">
        <v>13.2621</v>
      </c>
      <c r="Q213" s="58">
        <v>6.9834951456310703</v>
      </c>
      <c r="R213" s="58">
        <v>6.83</v>
      </c>
      <c r="S213" s="58">
        <v>0.47103448275862098</v>
      </c>
      <c r="T213" t="s">
        <v>176</v>
      </c>
      <c r="U213" s="11">
        <v>33.476599999999998</v>
      </c>
      <c r="V213"/>
      <c r="W213"/>
    </row>
    <row r="214" spans="1:23" x14ac:dyDescent="0.35">
      <c r="A214" s="40">
        <v>45724</v>
      </c>
      <c r="B214">
        <v>2025</v>
      </c>
      <c r="C214" t="s">
        <v>278</v>
      </c>
      <c r="D214">
        <v>10</v>
      </c>
      <c r="E214">
        <v>10</v>
      </c>
      <c r="F214" t="s">
        <v>51</v>
      </c>
      <c r="G214" s="106">
        <v>0.59027777777777779</v>
      </c>
      <c r="H214" t="s">
        <v>80</v>
      </c>
      <c r="I214" t="s">
        <v>231</v>
      </c>
      <c r="J214">
        <v>28</v>
      </c>
      <c r="K214">
        <v>6.85</v>
      </c>
      <c r="L214">
        <v>134</v>
      </c>
      <c r="M214">
        <v>13</v>
      </c>
      <c r="N214" s="58">
        <v>147.78</v>
      </c>
      <c r="O214" s="58">
        <v>117.898</v>
      </c>
      <c r="P214" s="58">
        <v>21.573699999999999</v>
      </c>
      <c r="Q214" s="58">
        <v>17.211386861313901</v>
      </c>
      <c r="R214" s="58">
        <v>11.3676923076923</v>
      </c>
      <c r="S214" s="58">
        <v>1.10283582089552</v>
      </c>
      <c r="T214" t="s">
        <v>176</v>
      </c>
      <c r="U214" s="11">
        <v>33.978999999999999</v>
      </c>
      <c r="V214"/>
      <c r="W214"/>
    </row>
    <row r="215" spans="1:23" x14ac:dyDescent="0.35">
      <c r="A215" s="40">
        <v>45720</v>
      </c>
      <c r="B215">
        <v>2025</v>
      </c>
      <c r="C215" t="s">
        <v>278</v>
      </c>
      <c r="D215">
        <v>10</v>
      </c>
      <c r="E215">
        <v>10</v>
      </c>
      <c r="F215" t="s">
        <v>47</v>
      </c>
      <c r="G215" s="106">
        <v>0.72569444444444442</v>
      </c>
      <c r="H215" t="s">
        <v>80</v>
      </c>
      <c r="I215" t="s">
        <v>231</v>
      </c>
      <c r="J215">
        <v>37</v>
      </c>
      <c r="K215">
        <v>4.5199999999999996</v>
      </c>
      <c r="L215">
        <v>95</v>
      </c>
      <c r="M215">
        <v>8</v>
      </c>
      <c r="N215" s="58">
        <v>89.25</v>
      </c>
      <c r="O215" s="58">
        <v>68.064999999999998</v>
      </c>
      <c r="P215" s="58">
        <v>19.7456</v>
      </c>
      <c r="Q215" s="58">
        <v>15.0586283185841</v>
      </c>
      <c r="R215" s="58">
        <v>11.15625</v>
      </c>
      <c r="S215" s="58">
        <v>0.93947368421052602</v>
      </c>
      <c r="T215" t="s">
        <v>176</v>
      </c>
      <c r="U215" s="11">
        <v>32.831400000000002</v>
      </c>
      <c r="V215"/>
      <c r="W215"/>
    </row>
    <row r="216" spans="1:23" x14ac:dyDescent="0.35">
      <c r="A216" s="40">
        <v>45719</v>
      </c>
      <c r="B216">
        <v>2025</v>
      </c>
      <c r="C216" t="s">
        <v>278</v>
      </c>
      <c r="D216">
        <v>10</v>
      </c>
      <c r="E216">
        <v>10</v>
      </c>
      <c r="F216" t="s">
        <v>46</v>
      </c>
      <c r="G216" s="106">
        <v>0.74652777777777779</v>
      </c>
      <c r="H216" t="s">
        <v>80</v>
      </c>
      <c r="I216" t="s">
        <v>230</v>
      </c>
      <c r="J216">
        <v>21</v>
      </c>
      <c r="K216">
        <v>5.23</v>
      </c>
      <c r="L216">
        <v>125</v>
      </c>
      <c r="M216">
        <v>13</v>
      </c>
      <c r="N216" s="58">
        <v>143.87</v>
      </c>
      <c r="O216" s="58">
        <v>115.995</v>
      </c>
      <c r="P216" s="58">
        <v>27.508600000000001</v>
      </c>
      <c r="Q216" s="58">
        <v>22.178776290630999</v>
      </c>
      <c r="R216" s="58">
        <v>11.0669230769231</v>
      </c>
      <c r="S216" s="58">
        <v>1.15096</v>
      </c>
      <c r="T216" t="s">
        <v>176</v>
      </c>
      <c r="U216" s="11">
        <v>32.870399999999997</v>
      </c>
      <c r="V216"/>
      <c r="W216"/>
    </row>
    <row r="217" spans="1:23" x14ac:dyDescent="0.35">
      <c r="A217" s="40">
        <v>45717</v>
      </c>
      <c r="B217">
        <v>2025</v>
      </c>
      <c r="C217" t="s">
        <v>278</v>
      </c>
      <c r="D217">
        <v>9</v>
      </c>
      <c r="E217">
        <v>9</v>
      </c>
      <c r="F217" t="s">
        <v>51</v>
      </c>
      <c r="G217" s="106">
        <v>0.67361111111111116</v>
      </c>
      <c r="H217" t="s">
        <v>80</v>
      </c>
      <c r="I217" t="s">
        <v>234</v>
      </c>
      <c r="J217">
        <v>18</v>
      </c>
      <c r="K217">
        <v>5.3</v>
      </c>
      <c r="L217">
        <v>108</v>
      </c>
      <c r="M217">
        <v>12</v>
      </c>
      <c r="N217" s="58">
        <v>143.5</v>
      </c>
      <c r="O217" s="58">
        <v>119.416</v>
      </c>
      <c r="P217" s="58">
        <v>27.075500000000002</v>
      </c>
      <c r="Q217" s="58">
        <v>22.531320754717001</v>
      </c>
      <c r="R217" s="58">
        <v>11.9583333333333</v>
      </c>
      <c r="S217" s="58">
        <v>1.3287037037036999</v>
      </c>
      <c r="T217" t="s">
        <v>176</v>
      </c>
      <c r="U217" s="11">
        <v>32.300600000000003</v>
      </c>
      <c r="V217"/>
      <c r="W217"/>
    </row>
    <row r="218" spans="1:23" x14ac:dyDescent="0.35">
      <c r="A218" s="40">
        <v>45714</v>
      </c>
      <c r="B218">
        <v>2025</v>
      </c>
      <c r="C218" t="s">
        <v>278</v>
      </c>
      <c r="D218">
        <v>9</v>
      </c>
      <c r="E218">
        <v>9</v>
      </c>
      <c r="F218" t="s">
        <v>48</v>
      </c>
      <c r="G218" s="106">
        <v>0.72222222222222221</v>
      </c>
      <c r="H218" t="s">
        <v>174</v>
      </c>
      <c r="I218" t="s">
        <v>230</v>
      </c>
      <c r="J218">
        <v>36</v>
      </c>
      <c r="K218">
        <v>5.25</v>
      </c>
      <c r="L218">
        <v>137</v>
      </c>
      <c r="M218">
        <v>8</v>
      </c>
      <c r="N218" s="58">
        <v>129.32</v>
      </c>
      <c r="O218" s="58">
        <v>98.769000000000005</v>
      </c>
      <c r="P218" s="58">
        <v>24.632400000000001</v>
      </c>
      <c r="Q218" s="58">
        <v>18.8131428571429</v>
      </c>
      <c r="R218" s="58">
        <v>16.164999999999999</v>
      </c>
      <c r="S218" s="58">
        <v>0.943941605839416</v>
      </c>
      <c r="T218" t="s">
        <v>176</v>
      </c>
      <c r="U218" s="11">
        <v>32.375999999999998</v>
      </c>
      <c r="V218"/>
      <c r="W218"/>
    </row>
    <row r="219" spans="1:23" x14ac:dyDescent="0.35">
      <c r="A219" s="40">
        <v>45712</v>
      </c>
      <c r="B219">
        <v>2025</v>
      </c>
      <c r="C219" t="s">
        <v>278</v>
      </c>
      <c r="D219">
        <v>9</v>
      </c>
      <c r="E219">
        <v>9</v>
      </c>
      <c r="F219" t="s">
        <v>46</v>
      </c>
      <c r="G219" s="106">
        <v>0.72916666666666663</v>
      </c>
      <c r="H219" t="s">
        <v>80</v>
      </c>
      <c r="I219" t="s">
        <v>231</v>
      </c>
      <c r="J219">
        <v>37</v>
      </c>
      <c r="K219">
        <v>3.73</v>
      </c>
      <c r="L219">
        <v>66</v>
      </c>
      <c r="M219">
        <v>8</v>
      </c>
      <c r="N219" s="58">
        <v>85.3</v>
      </c>
      <c r="O219" s="58">
        <v>70.581999999999994</v>
      </c>
      <c r="P219" s="58">
        <v>22.868600000000001</v>
      </c>
      <c r="Q219" s="58">
        <v>18.922788203753399</v>
      </c>
      <c r="R219" s="58">
        <v>10.6625</v>
      </c>
      <c r="S219" s="58">
        <v>1.29242424242424</v>
      </c>
      <c r="T219" t="s">
        <v>176</v>
      </c>
      <c r="U219" s="11">
        <v>31.682099999999998</v>
      </c>
      <c r="V219"/>
      <c r="W219"/>
    </row>
    <row r="220" spans="1:23" x14ac:dyDescent="0.35">
      <c r="A220" s="40">
        <v>45710</v>
      </c>
      <c r="B220">
        <v>2025</v>
      </c>
      <c r="C220" t="s">
        <v>278</v>
      </c>
      <c r="D220">
        <v>8</v>
      </c>
      <c r="E220">
        <v>8</v>
      </c>
      <c r="F220" t="s">
        <v>51</v>
      </c>
      <c r="G220" s="106">
        <v>0.58333333333333337</v>
      </c>
      <c r="H220" t="s">
        <v>80</v>
      </c>
      <c r="I220" t="s">
        <v>281</v>
      </c>
      <c r="J220">
        <v>32</v>
      </c>
      <c r="K220">
        <v>5.6</v>
      </c>
      <c r="L220">
        <v>66</v>
      </c>
      <c r="M220">
        <v>11</v>
      </c>
      <c r="N220" s="58">
        <v>156.59</v>
      </c>
      <c r="O220" s="58">
        <v>141.87200000000001</v>
      </c>
      <c r="P220" s="58">
        <v>27.962499999999999</v>
      </c>
      <c r="Q220" s="58">
        <v>25.334285714285699</v>
      </c>
      <c r="R220" s="58">
        <v>14.2354545454545</v>
      </c>
      <c r="S220" s="58">
        <v>2.3725757575757598</v>
      </c>
      <c r="T220" t="s">
        <v>176</v>
      </c>
      <c r="U220" s="11">
        <v>31.4498</v>
      </c>
      <c r="V220"/>
      <c r="W220"/>
    </row>
    <row r="221" spans="1:23" x14ac:dyDescent="0.35">
      <c r="A221" s="40">
        <v>45709</v>
      </c>
      <c r="B221">
        <v>2025</v>
      </c>
      <c r="C221" t="s">
        <v>278</v>
      </c>
      <c r="D221">
        <v>8</v>
      </c>
      <c r="E221">
        <v>8</v>
      </c>
      <c r="F221" t="s">
        <v>50</v>
      </c>
      <c r="G221" s="106">
        <v>0.72222222222222221</v>
      </c>
      <c r="H221" t="s">
        <v>85</v>
      </c>
      <c r="I221" t="s">
        <v>230</v>
      </c>
      <c r="J221">
        <v>25</v>
      </c>
      <c r="K221">
        <v>8.6199999999999992</v>
      </c>
      <c r="L221">
        <v>159</v>
      </c>
      <c r="M221">
        <v>20</v>
      </c>
      <c r="N221" s="58">
        <v>208.86</v>
      </c>
      <c r="O221" s="58">
        <v>173.40299999999999</v>
      </c>
      <c r="P221" s="58">
        <v>24.229700000000001</v>
      </c>
      <c r="Q221" s="58">
        <v>20.1163573085847</v>
      </c>
      <c r="R221" s="58">
        <v>10.443</v>
      </c>
      <c r="S221" s="58">
        <v>1.3135849056603801</v>
      </c>
      <c r="T221" t="s">
        <v>176</v>
      </c>
      <c r="U221" s="11">
        <v>29.709900000000001</v>
      </c>
      <c r="V221"/>
      <c r="W221"/>
    </row>
    <row r="222" spans="1:23" x14ac:dyDescent="0.35">
      <c r="A222" s="40">
        <v>45708</v>
      </c>
      <c r="B222">
        <v>2025</v>
      </c>
      <c r="C222" t="s">
        <v>278</v>
      </c>
      <c r="D222">
        <v>8</v>
      </c>
      <c r="E222">
        <v>8</v>
      </c>
      <c r="F222" t="s">
        <v>49</v>
      </c>
      <c r="G222" s="106">
        <v>0.75347222222222221</v>
      </c>
      <c r="H222" t="s">
        <v>174</v>
      </c>
      <c r="I222" t="s">
        <v>249</v>
      </c>
      <c r="J222">
        <v>28</v>
      </c>
      <c r="K222">
        <v>4.92</v>
      </c>
      <c r="L222">
        <v>118</v>
      </c>
      <c r="M222">
        <v>9</v>
      </c>
      <c r="N222" s="58">
        <v>99.14</v>
      </c>
      <c r="O222" s="58">
        <v>72.825999999999993</v>
      </c>
      <c r="P222" s="58">
        <v>20.150400000000001</v>
      </c>
      <c r="Q222" s="58">
        <v>14.8020325203252</v>
      </c>
      <c r="R222" s="58">
        <v>11.015555555555601</v>
      </c>
      <c r="S222" s="58">
        <v>0.84016949152542397</v>
      </c>
      <c r="T222" t="s">
        <v>176</v>
      </c>
      <c r="U222" s="11">
        <v>27.389199999999999</v>
      </c>
      <c r="V222"/>
      <c r="W222"/>
    </row>
    <row r="223" spans="1:23" x14ac:dyDescent="0.35">
      <c r="A223" s="40">
        <v>45706</v>
      </c>
      <c r="B223">
        <v>2025</v>
      </c>
      <c r="C223" t="s">
        <v>278</v>
      </c>
      <c r="D223">
        <v>8</v>
      </c>
      <c r="E223">
        <v>8</v>
      </c>
      <c r="F223" t="s">
        <v>47</v>
      </c>
      <c r="G223" s="106">
        <v>0.73263888888888884</v>
      </c>
      <c r="H223" t="s">
        <v>80</v>
      </c>
      <c r="I223" t="s">
        <v>230</v>
      </c>
      <c r="J223">
        <v>10</v>
      </c>
      <c r="K223">
        <v>5.2</v>
      </c>
      <c r="L223">
        <v>103</v>
      </c>
      <c r="M223">
        <v>10</v>
      </c>
      <c r="N223" s="58">
        <v>107.02</v>
      </c>
      <c r="O223" s="58">
        <v>84.051000000000002</v>
      </c>
      <c r="P223" s="58">
        <v>20.5808</v>
      </c>
      <c r="Q223" s="58">
        <v>16.1636538461538</v>
      </c>
      <c r="R223" s="58">
        <v>10.702</v>
      </c>
      <c r="S223" s="58">
        <v>1.03902912621359</v>
      </c>
      <c r="T223" t="s">
        <v>176</v>
      </c>
      <c r="U223" s="11">
        <v>27.5518</v>
      </c>
      <c r="V223"/>
      <c r="W223"/>
    </row>
    <row r="224" spans="1:23" x14ac:dyDescent="0.35">
      <c r="A224" s="40">
        <v>45703</v>
      </c>
      <c r="B224">
        <v>2025</v>
      </c>
      <c r="C224" t="s">
        <v>278</v>
      </c>
      <c r="D224">
        <v>7</v>
      </c>
      <c r="E224">
        <v>7</v>
      </c>
      <c r="F224" t="s">
        <v>51</v>
      </c>
      <c r="G224" s="106">
        <v>0.8125</v>
      </c>
      <c r="H224" t="s">
        <v>174</v>
      </c>
      <c r="I224" t="s">
        <v>234</v>
      </c>
      <c r="J224">
        <v>27</v>
      </c>
      <c r="K224">
        <v>3.2</v>
      </c>
      <c r="L224">
        <v>106</v>
      </c>
      <c r="M224">
        <v>6</v>
      </c>
      <c r="N224" s="58">
        <v>64.260000000000005</v>
      </c>
      <c r="O224" s="58">
        <v>40.622</v>
      </c>
      <c r="P224" s="58">
        <v>20.081199999999999</v>
      </c>
      <c r="Q224" s="58">
        <v>12.694375000000001</v>
      </c>
      <c r="R224" s="58">
        <v>10.71</v>
      </c>
      <c r="S224" s="58">
        <v>0.60622641509434005</v>
      </c>
      <c r="T224" t="s">
        <v>175</v>
      </c>
      <c r="U224" s="11">
        <v>27.1266</v>
      </c>
      <c r="V224"/>
      <c r="W224"/>
    </row>
    <row r="225" spans="1:23" x14ac:dyDescent="0.35">
      <c r="A225" s="40">
        <v>45701</v>
      </c>
      <c r="B225">
        <v>2025</v>
      </c>
      <c r="C225" t="s">
        <v>278</v>
      </c>
      <c r="D225">
        <v>7</v>
      </c>
      <c r="E225">
        <v>7</v>
      </c>
      <c r="F225" t="s">
        <v>49</v>
      </c>
      <c r="G225" s="106">
        <v>0.71527777777777779</v>
      </c>
      <c r="H225" t="s">
        <v>82</v>
      </c>
      <c r="I225" t="s">
        <v>231</v>
      </c>
      <c r="J225">
        <v>27</v>
      </c>
      <c r="K225">
        <v>4.07</v>
      </c>
      <c r="L225">
        <v>26</v>
      </c>
      <c r="M225">
        <v>5</v>
      </c>
      <c r="N225" s="58">
        <v>91.15</v>
      </c>
      <c r="O225" s="58">
        <v>85.352000000000004</v>
      </c>
      <c r="P225" s="58">
        <v>22.395600000000002</v>
      </c>
      <c r="Q225" s="58">
        <v>20.971007371007399</v>
      </c>
      <c r="R225" s="58">
        <v>18.23</v>
      </c>
      <c r="S225" s="58">
        <v>3.5057692307692299</v>
      </c>
      <c r="T225" t="s">
        <v>176</v>
      </c>
      <c r="U225" s="11">
        <v>28.349</v>
      </c>
      <c r="V225"/>
      <c r="W225"/>
    </row>
    <row r="226" spans="1:23" x14ac:dyDescent="0.35">
      <c r="A226" s="40">
        <v>45698</v>
      </c>
      <c r="B226">
        <v>2025</v>
      </c>
      <c r="C226" t="s">
        <v>278</v>
      </c>
      <c r="D226">
        <v>7</v>
      </c>
      <c r="E226">
        <v>7</v>
      </c>
      <c r="F226" t="s">
        <v>46</v>
      </c>
      <c r="G226" s="106">
        <v>0.71527777777777779</v>
      </c>
      <c r="H226" t="s">
        <v>80</v>
      </c>
      <c r="I226" t="s">
        <v>230</v>
      </c>
      <c r="J226">
        <v>19</v>
      </c>
      <c r="K226">
        <v>3.75</v>
      </c>
      <c r="L226">
        <v>75</v>
      </c>
      <c r="M226">
        <v>8</v>
      </c>
      <c r="N226" s="58">
        <v>106.43</v>
      </c>
      <c r="O226" s="58">
        <v>89.704999999999998</v>
      </c>
      <c r="P226" s="58">
        <v>28.3813</v>
      </c>
      <c r="Q226" s="58">
        <v>23.921333333333301</v>
      </c>
      <c r="R226" s="58">
        <v>13.303750000000001</v>
      </c>
      <c r="S226" s="58">
        <v>1.41906666666667</v>
      </c>
      <c r="T226" t="s">
        <v>176</v>
      </c>
      <c r="U226" s="11">
        <v>29.005800000000001</v>
      </c>
      <c r="V226"/>
      <c r="W226"/>
    </row>
    <row r="227" spans="1:23" x14ac:dyDescent="0.35">
      <c r="A227" s="40">
        <v>45697</v>
      </c>
      <c r="B227">
        <v>2025</v>
      </c>
      <c r="C227" t="s">
        <v>278</v>
      </c>
      <c r="D227">
        <v>6</v>
      </c>
      <c r="E227">
        <v>6</v>
      </c>
      <c r="F227" t="s">
        <v>45</v>
      </c>
      <c r="G227" s="106">
        <v>0.625</v>
      </c>
      <c r="H227" t="s">
        <v>80</v>
      </c>
      <c r="I227" t="s">
        <v>249</v>
      </c>
      <c r="J227">
        <v>21</v>
      </c>
      <c r="K227">
        <v>3.6</v>
      </c>
      <c r="L227">
        <v>77</v>
      </c>
      <c r="M227">
        <v>6</v>
      </c>
      <c r="N227" s="58">
        <v>95.12</v>
      </c>
      <c r="O227" s="58">
        <v>77.948999999999998</v>
      </c>
      <c r="P227" s="58">
        <v>26.4222</v>
      </c>
      <c r="Q227" s="58">
        <v>21.6525</v>
      </c>
      <c r="R227" s="58">
        <v>15.8533333333333</v>
      </c>
      <c r="S227" s="58">
        <v>1.23532467532468</v>
      </c>
      <c r="T227" t="s">
        <v>176</v>
      </c>
      <c r="U227" s="11">
        <v>28.816700000000001</v>
      </c>
      <c r="V227"/>
      <c r="W227"/>
    </row>
    <row r="228" spans="1:23" x14ac:dyDescent="0.35">
      <c r="A228" s="40">
        <v>45695</v>
      </c>
      <c r="B228">
        <v>2025</v>
      </c>
      <c r="C228" t="s">
        <v>278</v>
      </c>
      <c r="D228">
        <v>6</v>
      </c>
      <c r="E228">
        <v>6</v>
      </c>
      <c r="F228" t="s">
        <v>50</v>
      </c>
      <c r="G228" s="106">
        <v>0.81944444444444442</v>
      </c>
      <c r="H228" t="s">
        <v>82</v>
      </c>
      <c r="I228" t="s">
        <v>231</v>
      </c>
      <c r="J228">
        <v>27</v>
      </c>
      <c r="K228">
        <v>3.6</v>
      </c>
      <c r="L228">
        <v>65</v>
      </c>
      <c r="M228">
        <v>6</v>
      </c>
      <c r="N228" s="58">
        <v>41.3</v>
      </c>
      <c r="O228" s="58">
        <v>26.805</v>
      </c>
      <c r="P228" s="58">
        <v>11.472200000000001</v>
      </c>
      <c r="Q228" s="58">
        <v>7.4458333333333302</v>
      </c>
      <c r="R228" s="58">
        <v>6.8833333333333302</v>
      </c>
      <c r="S228" s="58">
        <v>0.63538461538461499</v>
      </c>
      <c r="T228" t="s">
        <v>176</v>
      </c>
      <c r="U228" s="11">
        <v>29.3552</v>
      </c>
      <c r="V228"/>
      <c r="W228"/>
    </row>
    <row r="229" spans="1:23" x14ac:dyDescent="0.35">
      <c r="A229" s="40">
        <v>45694</v>
      </c>
      <c r="B229">
        <v>2025</v>
      </c>
      <c r="C229" t="s">
        <v>278</v>
      </c>
      <c r="D229">
        <v>6</v>
      </c>
      <c r="E229">
        <v>6</v>
      </c>
      <c r="F229" t="s">
        <v>49</v>
      </c>
      <c r="G229" s="106">
        <v>0.71527777777777779</v>
      </c>
      <c r="H229" t="s">
        <v>82</v>
      </c>
      <c r="I229" t="s">
        <v>232</v>
      </c>
      <c r="J229">
        <v>18</v>
      </c>
      <c r="K229">
        <v>1.1499999999999999</v>
      </c>
      <c r="L229">
        <v>21</v>
      </c>
      <c r="M229">
        <v>4</v>
      </c>
      <c r="N229" s="58">
        <v>19.04</v>
      </c>
      <c r="O229" s="58">
        <v>14.356999999999999</v>
      </c>
      <c r="P229" s="58">
        <v>16.5565</v>
      </c>
      <c r="Q229" s="58">
        <v>12.484347826086999</v>
      </c>
      <c r="R229" s="58">
        <v>4.76</v>
      </c>
      <c r="S229" s="58">
        <v>0.90666666666666595</v>
      </c>
      <c r="T229" t="s">
        <v>176</v>
      </c>
      <c r="U229" s="11">
        <v>28.8963</v>
      </c>
      <c r="V229"/>
      <c r="W229"/>
    </row>
    <row r="230" spans="1:23" x14ac:dyDescent="0.35">
      <c r="A230" s="40">
        <v>45693</v>
      </c>
      <c r="B230">
        <v>2025</v>
      </c>
      <c r="C230" t="s">
        <v>278</v>
      </c>
      <c r="D230">
        <v>6</v>
      </c>
      <c r="E230">
        <v>6</v>
      </c>
      <c r="F230" t="s">
        <v>48</v>
      </c>
      <c r="G230" s="106">
        <v>0.74305555555555558</v>
      </c>
      <c r="H230" t="s">
        <v>85</v>
      </c>
      <c r="I230" t="s">
        <v>230</v>
      </c>
      <c r="J230">
        <v>16</v>
      </c>
      <c r="K230">
        <v>2.7</v>
      </c>
      <c r="L230">
        <v>69</v>
      </c>
      <c r="M230">
        <v>5</v>
      </c>
      <c r="N230" s="58">
        <v>51.3</v>
      </c>
      <c r="O230" s="58">
        <v>35.912999999999997</v>
      </c>
      <c r="P230" s="58">
        <v>19</v>
      </c>
      <c r="Q230" s="58">
        <v>13.3011111111111</v>
      </c>
      <c r="R230" s="58">
        <v>10.26</v>
      </c>
      <c r="S230" s="58">
        <v>0.74347826086956503</v>
      </c>
      <c r="T230" t="s">
        <v>176</v>
      </c>
      <c r="U230" s="11">
        <v>28.684799999999999</v>
      </c>
      <c r="V230"/>
      <c r="W230"/>
    </row>
    <row r="231" spans="1:23" x14ac:dyDescent="0.35">
      <c r="A231" s="40">
        <v>45691</v>
      </c>
      <c r="B231">
        <v>2025</v>
      </c>
      <c r="C231" t="s">
        <v>278</v>
      </c>
      <c r="D231">
        <v>6</v>
      </c>
      <c r="E231">
        <v>6</v>
      </c>
      <c r="F231" t="s">
        <v>46</v>
      </c>
      <c r="G231" s="106">
        <v>0.70486111111111116</v>
      </c>
      <c r="H231" t="s">
        <v>174</v>
      </c>
      <c r="I231" t="s">
        <v>234</v>
      </c>
      <c r="J231">
        <v>34</v>
      </c>
      <c r="K231">
        <v>2.82</v>
      </c>
      <c r="L231">
        <v>68</v>
      </c>
      <c r="M231">
        <v>5</v>
      </c>
      <c r="N231" s="58">
        <v>57.5</v>
      </c>
      <c r="O231" s="58">
        <v>42.335999999999999</v>
      </c>
      <c r="P231" s="58">
        <v>20.3901</v>
      </c>
      <c r="Q231" s="58">
        <v>15.012765957446801</v>
      </c>
      <c r="R231" s="58">
        <v>11.5</v>
      </c>
      <c r="S231" s="58">
        <v>0.84558823529411797</v>
      </c>
      <c r="T231" t="s">
        <v>176</v>
      </c>
      <c r="U231" s="11">
        <v>28.976600000000001</v>
      </c>
      <c r="V231"/>
      <c r="W231"/>
    </row>
    <row r="232" spans="1:23" x14ac:dyDescent="0.35">
      <c r="A232" s="40">
        <v>45689</v>
      </c>
      <c r="B232">
        <v>2025</v>
      </c>
      <c r="C232" t="s">
        <v>278</v>
      </c>
      <c r="D232">
        <v>5</v>
      </c>
      <c r="E232">
        <v>5</v>
      </c>
      <c r="F232" t="s">
        <v>51</v>
      </c>
      <c r="G232" s="106">
        <v>0.63541666666666663</v>
      </c>
      <c r="H232" t="s">
        <v>80</v>
      </c>
      <c r="I232" t="s">
        <v>281</v>
      </c>
      <c r="J232">
        <v>21</v>
      </c>
      <c r="K232">
        <v>2</v>
      </c>
      <c r="L232">
        <v>54</v>
      </c>
      <c r="M232">
        <v>3</v>
      </c>
      <c r="N232" s="58">
        <v>49.75</v>
      </c>
      <c r="O232" s="58">
        <v>37.707999999999998</v>
      </c>
      <c r="P232" s="58">
        <v>24.875</v>
      </c>
      <c r="Q232" s="58">
        <v>18.853999999999999</v>
      </c>
      <c r="R232" s="58">
        <v>16.5833333333333</v>
      </c>
      <c r="S232" s="58">
        <v>0.92129629629629595</v>
      </c>
      <c r="T232" t="s">
        <v>176</v>
      </c>
      <c r="U232" s="11">
        <v>31.537099999999999</v>
      </c>
      <c r="V232"/>
      <c r="W232"/>
    </row>
    <row r="233" spans="1:23" x14ac:dyDescent="0.35">
      <c r="A233" s="40">
        <v>45685</v>
      </c>
      <c r="B233">
        <v>2025</v>
      </c>
      <c r="C233" t="s">
        <v>278</v>
      </c>
      <c r="D233">
        <v>5</v>
      </c>
      <c r="E233">
        <v>5</v>
      </c>
      <c r="F233" t="s">
        <v>47</v>
      </c>
      <c r="G233" s="106">
        <v>0.73958333333333337</v>
      </c>
      <c r="H233" t="s">
        <v>174</v>
      </c>
      <c r="I233" t="s">
        <v>230</v>
      </c>
      <c r="J233">
        <v>12</v>
      </c>
      <c r="K233">
        <v>4.17</v>
      </c>
      <c r="L233">
        <v>130</v>
      </c>
      <c r="M233">
        <v>6</v>
      </c>
      <c r="N233" s="58">
        <v>75.11</v>
      </c>
      <c r="O233" s="58">
        <v>46.12</v>
      </c>
      <c r="P233" s="58">
        <v>18.012</v>
      </c>
      <c r="Q233" s="58">
        <v>11.0599520383693</v>
      </c>
      <c r="R233" s="58">
        <v>12.518333333333301</v>
      </c>
      <c r="S233" s="58">
        <v>0.57776923076923103</v>
      </c>
      <c r="T233" t="s">
        <v>176</v>
      </c>
      <c r="U233" s="11">
        <v>36.535400000000003</v>
      </c>
      <c r="V233"/>
      <c r="W233"/>
    </row>
    <row r="234" spans="1:23" x14ac:dyDescent="0.35">
      <c r="A234" s="40">
        <v>45683</v>
      </c>
      <c r="B234">
        <v>2025</v>
      </c>
      <c r="C234" t="s">
        <v>278</v>
      </c>
      <c r="D234">
        <v>4</v>
      </c>
      <c r="E234">
        <v>4</v>
      </c>
      <c r="F234" t="s">
        <v>45</v>
      </c>
      <c r="G234" s="106">
        <v>0.81597222222222221</v>
      </c>
      <c r="H234" t="s">
        <v>80</v>
      </c>
      <c r="I234" t="s">
        <v>230</v>
      </c>
      <c r="J234">
        <v>30</v>
      </c>
      <c r="K234">
        <v>2.5</v>
      </c>
      <c r="L234">
        <v>71</v>
      </c>
      <c r="M234">
        <v>5</v>
      </c>
      <c r="N234" s="58">
        <v>45.46</v>
      </c>
      <c r="O234" s="58">
        <v>29.626999999999999</v>
      </c>
      <c r="P234" s="58">
        <v>18.184000000000001</v>
      </c>
      <c r="Q234" s="58">
        <v>11.8508</v>
      </c>
      <c r="R234" s="58">
        <v>9.0920000000000005</v>
      </c>
      <c r="S234" s="58">
        <v>0.64028169014084502</v>
      </c>
      <c r="T234" t="s">
        <v>176</v>
      </c>
      <c r="U234" s="11">
        <v>37.690100000000001</v>
      </c>
      <c r="V234"/>
      <c r="W234"/>
    </row>
    <row r="235" spans="1:23" x14ac:dyDescent="0.35">
      <c r="A235" s="40">
        <v>45681</v>
      </c>
      <c r="B235">
        <v>2025</v>
      </c>
      <c r="C235" t="s">
        <v>278</v>
      </c>
      <c r="D235">
        <v>4</v>
      </c>
      <c r="E235">
        <v>4</v>
      </c>
      <c r="F235" t="s">
        <v>50</v>
      </c>
      <c r="G235" s="106">
        <v>0.78819444444444442</v>
      </c>
      <c r="H235" t="s">
        <v>82</v>
      </c>
      <c r="I235" t="s">
        <v>230</v>
      </c>
      <c r="J235">
        <v>19</v>
      </c>
      <c r="K235">
        <v>5.03</v>
      </c>
      <c r="L235">
        <v>67</v>
      </c>
      <c r="M235">
        <v>9</v>
      </c>
      <c r="N235" s="58">
        <v>79.010000000000005</v>
      </c>
      <c r="O235" s="58">
        <v>64.069000000000003</v>
      </c>
      <c r="P235" s="58">
        <v>15.707800000000001</v>
      </c>
      <c r="Q235" s="58">
        <v>12.7373757455268</v>
      </c>
      <c r="R235" s="58">
        <v>8.7788888888888899</v>
      </c>
      <c r="S235" s="58">
        <v>1.17925373134328</v>
      </c>
      <c r="T235" t="s">
        <v>176</v>
      </c>
      <c r="U235" s="11">
        <v>38.747199999999999</v>
      </c>
      <c r="V235"/>
      <c r="W235"/>
    </row>
    <row r="236" spans="1:23" x14ac:dyDescent="0.35">
      <c r="A236" s="40">
        <v>45679</v>
      </c>
      <c r="B236">
        <v>2025</v>
      </c>
      <c r="C236" t="s">
        <v>278</v>
      </c>
      <c r="D236">
        <v>4</v>
      </c>
      <c r="E236">
        <v>4</v>
      </c>
      <c r="F236" t="s">
        <v>48</v>
      </c>
      <c r="G236" s="106">
        <v>0.71875</v>
      </c>
      <c r="H236" t="s">
        <v>80</v>
      </c>
      <c r="I236" t="s">
        <v>230</v>
      </c>
      <c r="J236">
        <v>12</v>
      </c>
      <c r="K236">
        <v>2.35</v>
      </c>
      <c r="L236">
        <v>57</v>
      </c>
      <c r="M236">
        <v>5</v>
      </c>
      <c r="N236" s="58">
        <v>46.31</v>
      </c>
      <c r="O236" s="58">
        <v>33.598999999999997</v>
      </c>
      <c r="P236" s="58">
        <v>19.706399999999999</v>
      </c>
      <c r="Q236" s="58">
        <v>14.2974468085106</v>
      </c>
      <c r="R236" s="58">
        <v>9.2620000000000005</v>
      </c>
      <c r="S236" s="58">
        <v>0.81245614035087699</v>
      </c>
      <c r="T236" t="s">
        <v>176</v>
      </c>
      <c r="U236" s="11">
        <v>39.046399999999998</v>
      </c>
      <c r="V236"/>
      <c r="W236"/>
    </row>
    <row r="237" spans="1:23" x14ac:dyDescent="0.35">
      <c r="A237" s="40">
        <v>45678</v>
      </c>
      <c r="B237">
        <v>2025</v>
      </c>
      <c r="C237" t="s">
        <v>278</v>
      </c>
      <c r="D237">
        <v>4</v>
      </c>
      <c r="E237">
        <v>4</v>
      </c>
      <c r="F237" t="s">
        <v>47</v>
      </c>
      <c r="G237" s="106">
        <v>0.7944444444444444</v>
      </c>
      <c r="H237" t="s">
        <v>85</v>
      </c>
      <c r="I237" t="s">
        <v>230</v>
      </c>
      <c r="J237">
        <v>12</v>
      </c>
      <c r="K237">
        <v>1.7</v>
      </c>
      <c r="L237">
        <v>47</v>
      </c>
      <c r="M237">
        <v>2</v>
      </c>
      <c r="N237" s="58">
        <v>26.9</v>
      </c>
      <c r="O237" s="58">
        <v>16.419</v>
      </c>
      <c r="P237" s="58">
        <v>15.823499999999999</v>
      </c>
      <c r="Q237" s="58">
        <v>9.6582352941176399</v>
      </c>
      <c r="R237" s="58">
        <v>13.45</v>
      </c>
      <c r="S237" s="58">
        <v>0.572340425531915</v>
      </c>
      <c r="T237" t="s">
        <v>176</v>
      </c>
      <c r="U237" s="11">
        <v>38.5319</v>
      </c>
      <c r="V237"/>
      <c r="W237"/>
    </row>
    <row r="238" spans="1:23" x14ac:dyDescent="0.35">
      <c r="A238" s="40">
        <v>45676</v>
      </c>
      <c r="B238">
        <v>2025</v>
      </c>
      <c r="C238" t="s">
        <v>278</v>
      </c>
      <c r="D238">
        <v>3</v>
      </c>
      <c r="E238">
        <v>3</v>
      </c>
      <c r="F238" t="s">
        <v>45</v>
      </c>
      <c r="G238" s="106">
        <v>0.83333333333333337</v>
      </c>
      <c r="H238" t="s">
        <v>85</v>
      </c>
      <c r="I238" t="s">
        <v>232</v>
      </c>
      <c r="J238">
        <v>32</v>
      </c>
      <c r="K238">
        <v>3.53</v>
      </c>
      <c r="L238">
        <v>73</v>
      </c>
      <c r="M238">
        <v>7</v>
      </c>
      <c r="N238" s="58">
        <v>90.9</v>
      </c>
      <c r="O238" s="58">
        <v>74.620999999999995</v>
      </c>
      <c r="P238" s="58">
        <v>25.750699999999998</v>
      </c>
      <c r="Q238" s="58">
        <v>21.139093484419298</v>
      </c>
      <c r="R238" s="58">
        <v>12.9857142857143</v>
      </c>
      <c r="S238" s="58">
        <v>1.24520547945205</v>
      </c>
      <c r="T238" t="s">
        <v>176</v>
      </c>
      <c r="U238" s="11">
        <v>39.353000000000002</v>
      </c>
      <c r="V238"/>
      <c r="W238"/>
    </row>
    <row r="239" spans="1:23" x14ac:dyDescent="0.35">
      <c r="A239" s="40">
        <v>45675</v>
      </c>
      <c r="B239">
        <v>2025</v>
      </c>
      <c r="C239" t="s">
        <v>278</v>
      </c>
      <c r="D239">
        <v>3</v>
      </c>
      <c r="E239">
        <v>3</v>
      </c>
      <c r="F239" t="s">
        <v>51</v>
      </c>
      <c r="G239" s="106">
        <v>0.78819444444444442</v>
      </c>
      <c r="H239" t="s">
        <v>80</v>
      </c>
      <c r="I239" t="s">
        <v>325</v>
      </c>
      <c r="J239">
        <v>39</v>
      </c>
      <c r="K239">
        <v>4.4000000000000004</v>
      </c>
      <c r="L239">
        <v>106</v>
      </c>
      <c r="M239">
        <v>8</v>
      </c>
      <c r="N239" s="58">
        <v>91.16</v>
      </c>
      <c r="O239" s="58">
        <v>67.522000000000006</v>
      </c>
      <c r="P239" s="58">
        <v>20.7182</v>
      </c>
      <c r="Q239" s="58">
        <v>15.3459090909091</v>
      </c>
      <c r="R239" s="58">
        <v>11.395</v>
      </c>
      <c r="S239" s="58">
        <v>0.86</v>
      </c>
      <c r="T239" t="s">
        <v>176</v>
      </c>
      <c r="U239" s="11">
        <v>39.314399999999999</v>
      </c>
      <c r="V239"/>
      <c r="W239"/>
    </row>
    <row r="240" spans="1:23" x14ac:dyDescent="0.35">
      <c r="A240" s="40">
        <v>45674</v>
      </c>
      <c r="B240">
        <v>2025</v>
      </c>
      <c r="C240" t="s">
        <v>278</v>
      </c>
      <c r="D240">
        <v>3</v>
      </c>
      <c r="E240">
        <v>3</v>
      </c>
      <c r="F240" t="s">
        <v>50</v>
      </c>
      <c r="G240" s="106">
        <v>0.76388888888888884</v>
      </c>
      <c r="H240" t="s">
        <v>82</v>
      </c>
      <c r="I240" t="s">
        <v>230</v>
      </c>
      <c r="J240">
        <v>25</v>
      </c>
      <c r="K240">
        <v>5.47</v>
      </c>
      <c r="L240">
        <v>110</v>
      </c>
      <c r="M240">
        <v>9</v>
      </c>
      <c r="N240" s="58">
        <v>99.85</v>
      </c>
      <c r="O240" s="58">
        <v>75.319999999999993</v>
      </c>
      <c r="P240" s="58">
        <v>18.254100000000001</v>
      </c>
      <c r="Q240" s="58">
        <v>13.7696526508227</v>
      </c>
      <c r="R240" s="58">
        <v>11.094444444444401</v>
      </c>
      <c r="S240" s="58">
        <v>0.90772727272727305</v>
      </c>
      <c r="T240" t="s">
        <v>176</v>
      </c>
      <c r="U240" s="11">
        <v>39.262799999999999</v>
      </c>
      <c r="V240"/>
      <c r="W240"/>
    </row>
    <row r="241" spans="1:23" x14ac:dyDescent="0.35">
      <c r="A241" s="40">
        <v>45673</v>
      </c>
      <c r="B241">
        <v>2025</v>
      </c>
      <c r="C241" t="s">
        <v>278</v>
      </c>
      <c r="D241">
        <v>3</v>
      </c>
      <c r="E241">
        <v>3</v>
      </c>
      <c r="F241" t="s">
        <v>49</v>
      </c>
      <c r="G241" s="106">
        <v>0.71527777777777779</v>
      </c>
      <c r="H241" t="s">
        <v>82</v>
      </c>
      <c r="I241" t="s">
        <v>230</v>
      </c>
      <c r="J241">
        <v>16</v>
      </c>
      <c r="K241">
        <v>4.1500000000000004</v>
      </c>
      <c r="L241">
        <v>40</v>
      </c>
      <c r="M241">
        <v>8</v>
      </c>
      <c r="N241" s="58">
        <v>87.92</v>
      </c>
      <c r="O241" s="58">
        <v>79</v>
      </c>
      <c r="P241" s="58">
        <v>21.185500000000001</v>
      </c>
      <c r="Q241" s="58">
        <v>19.036144578313301</v>
      </c>
      <c r="R241" s="58">
        <v>10.99</v>
      </c>
      <c r="S241" s="58">
        <v>2.198</v>
      </c>
      <c r="T241" t="s">
        <v>176</v>
      </c>
      <c r="U241" s="11">
        <v>38.583399999999997</v>
      </c>
      <c r="V241"/>
      <c r="W241"/>
    </row>
    <row r="242" spans="1:23" x14ac:dyDescent="0.35">
      <c r="A242" s="40">
        <v>45670</v>
      </c>
      <c r="B242">
        <v>2025</v>
      </c>
      <c r="C242" t="s">
        <v>278</v>
      </c>
      <c r="D242">
        <v>3</v>
      </c>
      <c r="E242">
        <v>3</v>
      </c>
      <c r="F242" t="s">
        <v>46</v>
      </c>
      <c r="G242" s="106">
        <v>0.73263888888888884</v>
      </c>
      <c r="H242" t="s">
        <v>85</v>
      </c>
      <c r="I242" t="s">
        <v>234</v>
      </c>
      <c r="J242">
        <v>34</v>
      </c>
      <c r="K242">
        <v>4.38</v>
      </c>
      <c r="L242">
        <v>68</v>
      </c>
      <c r="M242">
        <v>7</v>
      </c>
      <c r="N242" s="58">
        <v>83.05</v>
      </c>
      <c r="O242" s="58">
        <v>67.885999999999996</v>
      </c>
      <c r="P242" s="58">
        <v>18.961200000000002</v>
      </c>
      <c r="Q242" s="58">
        <v>15.4990867579909</v>
      </c>
      <c r="R242" s="58">
        <v>11.8642857142857</v>
      </c>
      <c r="S242" s="58">
        <v>1.2213235294117599</v>
      </c>
      <c r="T242" t="s">
        <v>176</v>
      </c>
      <c r="U242" s="11">
        <v>40.534700000000001</v>
      </c>
      <c r="V242"/>
      <c r="W242"/>
    </row>
    <row r="243" spans="1:23" x14ac:dyDescent="0.35">
      <c r="A243" s="40">
        <v>45668</v>
      </c>
      <c r="B243">
        <v>2025</v>
      </c>
      <c r="C243" t="s">
        <v>278</v>
      </c>
      <c r="D243">
        <v>2</v>
      </c>
      <c r="E243">
        <v>2</v>
      </c>
      <c r="F243" t="s">
        <v>51</v>
      </c>
      <c r="G243" s="106">
        <v>0.6875</v>
      </c>
      <c r="H243" t="s">
        <v>85</v>
      </c>
      <c r="I243" t="s">
        <v>234</v>
      </c>
      <c r="J243">
        <v>27</v>
      </c>
      <c r="K243">
        <v>6.78</v>
      </c>
      <c r="L243">
        <v>116</v>
      </c>
      <c r="M243">
        <v>16</v>
      </c>
      <c r="N243" s="58">
        <v>148.96</v>
      </c>
      <c r="O243" s="58">
        <v>123.092</v>
      </c>
      <c r="P243" s="58">
        <v>21.970500000000001</v>
      </c>
      <c r="Q243" s="58">
        <v>18.155162241887901</v>
      </c>
      <c r="R243" s="58">
        <v>9.31</v>
      </c>
      <c r="S243" s="58">
        <v>1.28413793103448</v>
      </c>
      <c r="T243" t="s">
        <v>176</v>
      </c>
      <c r="U243" s="11">
        <v>40.9086</v>
      </c>
      <c r="V243"/>
      <c r="W243"/>
    </row>
    <row r="244" spans="1:23" x14ac:dyDescent="0.35">
      <c r="A244" s="40">
        <v>45666</v>
      </c>
      <c r="B244">
        <v>2025</v>
      </c>
      <c r="C244" t="s">
        <v>278</v>
      </c>
      <c r="D244">
        <v>2</v>
      </c>
      <c r="E244">
        <v>2</v>
      </c>
      <c r="F244" t="s">
        <v>49</v>
      </c>
      <c r="G244" s="106">
        <v>0.73611111111111116</v>
      </c>
      <c r="H244" t="s">
        <v>82</v>
      </c>
      <c r="I244" t="s">
        <v>230</v>
      </c>
      <c r="J244">
        <v>23</v>
      </c>
      <c r="K244">
        <v>2.0699999999999998</v>
      </c>
      <c r="L244">
        <v>23</v>
      </c>
      <c r="M244">
        <v>2</v>
      </c>
      <c r="N244" s="58">
        <v>13.52</v>
      </c>
      <c r="O244" s="58">
        <v>8.391</v>
      </c>
      <c r="P244" s="58">
        <v>6.5313999999999997</v>
      </c>
      <c r="Q244" s="58">
        <v>4.0536231884058003</v>
      </c>
      <c r="R244" s="58">
        <v>6.76</v>
      </c>
      <c r="S244" s="58">
        <v>0.58782608695652205</v>
      </c>
      <c r="T244" t="s">
        <v>176</v>
      </c>
      <c r="U244" s="11">
        <v>40.544600000000003</v>
      </c>
      <c r="V244"/>
      <c r="W244"/>
    </row>
    <row r="245" spans="1:23" x14ac:dyDescent="0.35">
      <c r="A245" s="40">
        <v>45665</v>
      </c>
      <c r="B245">
        <v>2025</v>
      </c>
      <c r="C245" t="s">
        <v>278</v>
      </c>
      <c r="D245">
        <v>2</v>
      </c>
      <c r="E245">
        <v>2</v>
      </c>
      <c r="F245" t="s">
        <v>48</v>
      </c>
      <c r="G245" s="106">
        <v>0.74305555555555558</v>
      </c>
      <c r="H245" t="s">
        <v>80</v>
      </c>
      <c r="I245" t="s">
        <v>231</v>
      </c>
      <c r="J245">
        <v>16</v>
      </c>
      <c r="K245">
        <v>1.38</v>
      </c>
      <c r="L245">
        <v>50</v>
      </c>
      <c r="M245">
        <v>1</v>
      </c>
      <c r="N245" s="58">
        <v>22.01</v>
      </c>
      <c r="O245" s="58">
        <v>10.86</v>
      </c>
      <c r="P245" s="58">
        <v>15.949299999999999</v>
      </c>
      <c r="Q245" s="58">
        <v>7.8695652173913002</v>
      </c>
      <c r="R245" s="58">
        <v>22.01</v>
      </c>
      <c r="S245" s="58">
        <v>0.44019999999999998</v>
      </c>
      <c r="T245" t="s">
        <v>176</v>
      </c>
      <c r="U245" s="11">
        <v>40.394300000000001</v>
      </c>
      <c r="V245"/>
      <c r="W245"/>
    </row>
    <row r="246" spans="1:23" x14ac:dyDescent="0.35">
      <c r="A246" s="40">
        <v>45662</v>
      </c>
      <c r="B246">
        <v>2025</v>
      </c>
      <c r="C246" t="s">
        <v>278</v>
      </c>
      <c r="D246">
        <v>1</v>
      </c>
      <c r="E246">
        <v>1</v>
      </c>
      <c r="F246" t="s">
        <v>45</v>
      </c>
      <c r="G246" s="106">
        <v>0.75347222222222221</v>
      </c>
      <c r="H246" t="s">
        <v>80</v>
      </c>
      <c r="I246" t="s">
        <v>230</v>
      </c>
      <c r="J246">
        <v>9</v>
      </c>
      <c r="K246">
        <v>2.85</v>
      </c>
      <c r="L246">
        <v>62</v>
      </c>
      <c r="M246">
        <v>4</v>
      </c>
      <c r="N246" s="58">
        <v>74.41</v>
      </c>
      <c r="O246" s="58">
        <v>60.584000000000003</v>
      </c>
      <c r="P246" s="58">
        <v>26.108799999999999</v>
      </c>
      <c r="Q246" s="58">
        <v>21.2575438596491</v>
      </c>
      <c r="R246" s="58">
        <v>18.602499999999999</v>
      </c>
      <c r="S246" s="58">
        <v>1.20016129032258</v>
      </c>
      <c r="T246" t="s">
        <v>176</v>
      </c>
      <c r="U246" s="11">
        <v>40.149799999999999</v>
      </c>
      <c r="V246"/>
      <c r="W246"/>
    </row>
    <row r="247" spans="1:23" x14ac:dyDescent="0.35">
      <c r="A247" s="40">
        <v>45660</v>
      </c>
      <c r="B247">
        <v>2025</v>
      </c>
      <c r="C247" t="s">
        <v>278</v>
      </c>
      <c r="D247">
        <v>1</v>
      </c>
      <c r="E247">
        <v>1</v>
      </c>
      <c r="F247" t="s">
        <v>50</v>
      </c>
      <c r="G247" s="106">
        <v>0.77777777777777779</v>
      </c>
      <c r="H247" t="s">
        <v>82</v>
      </c>
      <c r="I247" t="s">
        <v>230</v>
      </c>
      <c r="J247">
        <v>30</v>
      </c>
      <c r="K247">
        <v>1.73</v>
      </c>
      <c r="L247">
        <v>27</v>
      </c>
      <c r="M247">
        <v>4</v>
      </c>
      <c r="N247" s="58">
        <v>30.52</v>
      </c>
      <c r="O247" s="58">
        <v>24.498999999999999</v>
      </c>
      <c r="P247" s="58">
        <v>17.6416</v>
      </c>
      <c r="Q247" s="58">
        <v>14.161271676300601</v>
      </c>
      <c r="R247" s="58">
        <v>7.63</v>
      </c>
      <c r="S247" s="58">
        <v>1.13037037037037</v>
      </c>
      <c r="T247" t="s">
        <v>176</v>
      </c>
      <c r="U247" s="11">
        <v>42.755000000000003</v>
      </c>
      <c r="V247"/>
      <c r="W247"/>
    </row>
    <row r="248" spans="1:23" x14ac:dyDescent="0.35">
      <c r="A248" s="40">
        <v>45659</v>
      </c>
      <c r="B248">
        <v>2025</v>
      </c>
      <c r="C248" t="s">
        <v>278</v>
      </c>
      <c r="D248">
        <v>1</v>
      </c>
      <c r="E248">
        <v>1</v>
      </c>
      <c r="F248" t="s">
        <v>49</v>
      </c>
      <c r="G248" s="106">
        <v>0.72569444444444442</v>
      </c>
      <c r="H248" t="s">
        <v>82</v>
      </c>
      <c r="I248" t="s">
        <v>285</v>
      </c>
      <c r="J248">
        <v>34</v>
      </c>
      <c r="K248">
        <v>2.75</v>
      </c>
      <c r="L248">
        <v>38</v>
      </c>
      <c r="M248">
        <v>5</v>
      </c>
      <c r="N248" s="58">
        <v>61.47</v>
      </c>
      <c r="O248" s="58">
        <v>52.996000000000002</v>
      </c>
      <c r="P248" s="58">
        <v>22.352699999999999</v>
      </c>
      <c r="Q248" s="58">
        <v>19.271272727272699</v>
      </c>
      <c r="R248" s="58">
        <v>12.294</v>
      </c>
      <c r="S248" s="58">
        <v>1.6176315789473701</v>
      </c>
      <c r="T248" t="s">
        <v>176</v>
      </c>
      <c r="U248" s="11">
        <v>44.021900000000002</v>
      </c>
      <c r="V248"/>
      <c r="W248"/>
    </row>
    <row r="249" spans="1:23" x14ac:dyDescent="0.35">
      <c r="A249" s="40">
        <v>45638</v>
      </c>
      <c r="B249">
        <v>2024</v>
      </c>
      <c r="C249" t="s">
        <v>327</v>
      </c>
      <c r="D249">
        <v>11</v>
      </c>
      <c r="E249">
        <v>50</v>
      </c>
      <c r="F249" t="s">
        <v>49</v>
      </c>
      <c r="G249" s="106">
        <v>0.82638888888888884</v>
      </c>
      <c r="H249" t="s">
        <v>80</v>
      </c>
      <c r="I249" t="s">
        <v>230</v>
      </c>
      <c r="J249">
        <v>34</v>
      </c>
      <c r="K249">
        <v>2.12</v>
      </c>
      <c r="L249">
        <v>19</v>
      </c>
      <c r="M249">
        <v>3</v>
      </c>
      <c r="N249" s="58">
        <v>36.19</v>
      </c>
      <c r="O249" s="58">
        <v>31.952999999999999</v>
      </c>
      <c r="P249" s="58">
        <v>17.070799999999998</v>
      </c>
      <c r="Q249" s="58">
        <v>15.0721698113208</v>
      </c>
      <c r="R249" s="58">
        <v>12.063333333333301</v>
      </c>
      <c r="S249" s="58">
        <v>1.90473684210526</v>
      </c>
      <c r="T249" t="s">
        <v>176</v>
      </c>
      <c r="U249" s="11">
        <v>57.261800000000001</v>
      </c>
      <c r="V249"/>
      <c r="W249"/>
    </row>
    <row r="250" spans="1:23" x14ac:dyDescent="0.35">
      <c r="A250" s="40">
        <v>45635</v>
      </c>
      <c r="B250">
        <v>2024</v>
      </c>
      <c r="C250" t="s">
        <v>327</v>
      </c>
      <c r="D250">
        <v>11</v>
      </c>
      <c r="E250">
        <v>50</v>
      </c>
      <c r="F250" t="s">
        <v>46</v>
      </c>
      <c r="G250" s="106">
        <v>0.79861111111111116</v>
      </c>
      <c r="H250" t="s">
        <v>80</v>
      </c>
      <c r="I250" t="s">
        <v>234</v>
      </c>
      <c r="J250">
        <v>28</v>
      </c>
      <c r="K250">
        <v>1.85</v>
      </c>
      <c r="L250">
        <v>32</v>
      </c>
      <c r="M250">
        <v>6</v>
      </c>
      <c r="N250" s="58">
        <v>58.88</v>
      </c>
      <c r="O250" s="58">
        <v>51.744</v>
      </c>
      <c r="P250" s="58">
        <v>31.827000000000002</v>
      </c>
      <c r="Q250" s="58">
        <v>27.9697297297297</v>
      </c>
      <c r="R250" s="58">
        <v>9.8133333333333397</v>
      </c>
      <c r="S250" s="58">
        <v>1.84</v>
      </c>
      <c r="T250" t="s">
        <v>175</v>
      </c>
      <c r="U250" s="11">
        <v>61.726999999999997</v>
      </c>
      <c r="V250"/>
      <c r="W250"/>
    </row>
    <row r="251" spans="1:23" x14ac:dyDescent="0.35">
      <c r="A251" s="40">
        <v>45632</v>
      </c>
      <c r="B251">
        <v>2024</v>
      </c>
      <c r="C251" t="s">
        <v>327</v>
      </c>
      <c r="D251">
        <v>10</v>
      </c>
      <c r="E251">
        <v>49</v>
      </c>
      <c r="F251" t="s">
        <v>50</v>
      </c>
      <c r="G251" s="106">
        <v>0.80555555555555558</v>
      </c>
      <c r="H251" t="s">
        <v>80</v>
      </c>
      <c r="I251" t="s">
        <v>230</v>
      </c>
      <c r="J251">
        <v>19</v>
      </c>
      <c r="K251">
        <v>2.02</v>
      </c>
      <c r="L251">
        <v>55</v>
      </c>
      <c r="M251">
        <v>4</v>
      </c>
      <c r="N251" s="58">
        <v>44.5</v>
      </c>
      <c r="O251" s="58">
        <v>32.234999999999999</v>
      </c>
      <c r="P251" s="58">
        <v>22.029699999999998</v>
      </c>
      <c r="Q251" s="58">
        <v>15.9579207920792</v>
      </c>
      <c r="R251" s="58">
        <v>11.125</v>
      </c>
      <c r="S251" s="58">
        <v>0.80909090909090897</v>
      </c>
      <c r="T251" t="s">
        <v>176</v>
      </c>
      <c r="U251" s="11">
        <v>64.408799999999999</v>
      </c>
      <c r="V251"/>
      <c r="W251"/>
    </row>
    <row r="252" spans="1:23" x14ac:dyDescent="0.35">
      <c r="A252" s="40">
        <v>45630</v>
      </c>
      <c r="B252">
        <v>2024</v>
      </c>
      <c r="C252" t="s">
        <v>327</v>
      </c>
      <c r="D252">
        <v>10</v>
      </c>
      <c r="E252">
        <v>49</v>
      </c>
      <c r="F252" t="s">
        <v>48</v>
      </c>
      <c r="G252" s="106">
        <v>0.81944444444444442</v>
      </c>
      <c r="H252" t="s">
        <v>80</v>
      </c>
      <c r="I252" t="s">
        <v>232</v>
      </c>
      <c r="J252">
        <v>34</v>
      </c>
      <c r="K252">
        <v>3.27</v>
      </c>
      <c r="L252">
        <v>68</v>
      </c>
      <c r="M252">
        <v>12</v>
      </c>
      <c r="N252" s="58">
        <v>92.76</v>
      </c>
      <c r="O252" s="58">
        <v>77.596000000000004</v>
      </c>
      <c r="P252" s="58">
        <v>28.367000000000001</v>
      </c>
      <c r="Q252" s="58">
        <v>23.729663608562699</v>
      </c>
      <c r="R252" s="58">
        <v>7.73</v>
      </c>
      <c r="S252" s="58">
        <v>1.3641176470588201</v>
      </c>
      <c r="T252" t="s">
        <v>176</v>
      </c>
      <c r="U252" s="11">
        <v>66.264200000000002</v>
      </c>
      <c r="V252"/>
      <c r="W252"/>
    </row>
    <row r="253" spans="1:23" x14ac:dyDescent="0.35">
      <c r="A253" s="40">
        <v>45629</v>
      </c>
      <c r="B253">
        <v>2024</v>
      </c>
      <c r="C253" t="s">
        <v>327</v>
      </c>
      <c r="D253">
        <v>10</v>
      </c>
      <c r="E253">
        <v>49</v>
      </c>
      <c r="F253" t="s">
        <v>47</v>
      </c>
      <c r="G253" s="106">
        <v>0.86458333333333337</v>
      </c>
      <c r="H253" t="s">
        <v>80</v>
      </c>
      <c r="I253" t="s">
        <v>285</v>
      </c>
      <c r="J253">
        <v>30</v>
      </c>
      <c r="K253">
        <v>1.23</v>
      </c>
      <c r="L253">
        <v>14</v>
      </c>
      <c r="M253">
        <v>3</v>
      </c>
      <c r="N253" s="58">
        <v>26</v>
      </c>
      <c r="O253" s="58">
        <v>22.878</v>
      </c>
      <c r="P253" s="58">
        <v>21.138200000000001</v>
      </c>
      <c r="Q253" s="58">
        <v>18.600000000000001</v>
      </c>
      <c r="R253" s="58">
        <v>8.6666666666666607</v>
      </c>
      <c r="S253" s="58">
        <v>1.8571428571428601</v>
      </c>
      <c r="T253" t="s">
        <v>176</v>
      </c>
      <c r="U253" s="11">
        <v>66.125799999999998</v>
      </c>
      <c r="V253"/>
      <c r="W253"/>
    </row>
    <row r="254" spans="1:23" x14ac:dyDescent="0.35">
      <c r="A254" s="40">
        <v>45628</v>
      </c>
      <c r="B254">
        <v>2024</v>
      </c>
      <c r="C254" t="s">
        <v>327</v>
      </c>
      <c r="D254">
        <v>10</v>
      </c>
      <c r="E254">
        <v>49</v>
      </c>
      <c r="F254" t="s">
        <v>46</v>
      </c>
      <c r="G254" s="106">
        <v>0.74305555555555558</v>
      </c>
      <c r="H254" t="s">
        <v>80</v>
      </c>
      <c r="I254" t="s">
        <v>249</v>
      </c>
      <c r="J254">
        <v>28</v>
      </c>
      <c r="K254">
        <v>2.23</v>
      </c>
      <c r="L254">
        <v>57</v>
      </c>
      <c r="M254">
        <v>10</v>
      </c>
      <c r="N254" s="58">
        <v>66.58</v>
      </c>
      <c r="O254" s="58">
        <v>53.869</v>
      </c>
      <c r="P254" s="58">
        <v>29.8565</v>
      </c>
      <c r="Q254" s="58">
        <v>24.156502242152499</v>
      </c>
      <c r="R254" s="58">
        <v>6.6580000000000004</v>
      </c>
      <c r="S254" s="58">
        <v>1.1680701754386</v>
      </c>
      <c r="T254" t="s">
        <v>176</v>
      </c>
      <c r="U254" s="11">
        <v>65.8369</v>
      </c>
      <c r="V254"/>
      <c r="W254"/>
    </row>
    <row r="255" spans="1:23" x14ac:dyDescent="0.35">
      <c r="A255" s="40">
        <v>45625</v>
      </c>
      <c r="B255">
        <v>2024</v>
      </c>
      <c r="C255" t="s">
        <v>327</v>
      </c>
      <c r="D255">
        <v>9</v>
      </c>
      <c r="E255">
        <v>48</v>
      </c>
      <c r="F255" t="s">
        <v>50</v>
      </c>
      <c r="G255" s="106">
        <v>0.71180555555555558</v>
      </c>
      <c r="H255" t="s">
        <v>174</v>
      </c>
      <c r="I255" t="s">
        <v>230</v>
      </c>
      <c r="J255">
        <v>36</v>
      </c>
      <c r="K255">
        <v>5.97</v>
      </c>
      <c r="L255">
        <v>116</v>
      </c>
      <c r="M255">
        <v>11</v>
      </c>
      <c r="N255" s="58">
        <v>150.29</v>
      </c>
      <c r="O255" s="58">
        <v>124.422</v>
      </c>
      <c r="P255" s="58">
        <v>25.174199999999999</v>
      </c>
      <c r="Q255" s="58">
        <v>20.841206030150801</v>
      </c>
      <c r="R255" s="58">
        <v>13.662727272727301</v>
      </c>
      <c r="S255" s="58">
        <v>1.29560344827586</v>
      </c>
      <c r="T255" t="s">
        <v>175</v>
      </c>
      <c r="U255" s="11">
        <v>67.284999999999997</v>
      </c>
      <c r="V255"/>
      <c r="W255"/>
    </row>
    <row r="256" spans="1:23" x14ac:dyDescent="0.35">
      <c r="A256" s="40">
        <v>45623</v>
      </c>
      <c r="B256">
        <v>2024</v>
      </c>
      <c r="C256" t="s">
        <v>327</v>
      </c>
      <c r="D256">
        <v>9</v>
      </c>
      <c r="E256">
        <v>48</v>
      </c>
      <c r="F256" t="s">
        <v>48</v>
      </c>
      <c r="G256" s="106">
        <v>0.75347222222222221</v>
      </c>
      <c r="H256" t="s">
        <v>80</v>
      </c>
      <c r="I256" t="s">
        <v>230</v>
      </c>
      <c r="J256">
        <v>34</v>
      </c>
      <c r="K256">
        <v>2.77</v>
      </c>
      <c r="L256">
        <v>56</v>
      </c>
      <c r="M256">
        <v>6</v>
      </c>
      <c r="N256" s="58">
        <v>66.87</v>
      </c>
      <c r="O256" s="58">
        <v>54.381999999999998</v>
      </c>
      <c r="P256" s="58">
        <v>24.140799999999999</v>
      </c>
      <c r="Q256" s="58">
        <v>19.632490974729201</v>
      </c>
      <c r="R256" s="58">
        <v>11.145</v>
      </c>
      <c r="S256" s="58">
        <v>1.1941071428571399</v>
      </c>
      <c r="T256" t="s">
        <v>175</v>
      </c>
      <c r="U256" s="11">
        <v>65.615099999999998</v>
      </c>
      <c r="V256"/>
      <c r="W256"/>
    </row>
    <row r="257" spans="1:23" x14ac:dyDescent="0.35">
      <c r="A257" s="40">
        <v>45621</v>
      </c>
      <c r="B257">
        <v>2024</v>
      </c>
      <c r="C257" t="s">
        <v>327</v>
      </c>
      <c r="D257">
        <v>9</v>
      </c>
      <c r="E257">
        <v>48</v>
      </c>
      <c r="F257" t="s">
        <v>46</v>
      </c>
      <c r="G257" s="106">
        <v>0.72569444444444442</v>
      </c>
      <c r="H257" t="s">
        <v>80</v>
      </c>
      <c r="I257" t="s">
        <v>230</v>
      </c>
      <c r="J257">
        <v>36</v>
      </c>
      <c r="K257">
        <v>3</v>
      </c>
      <c r="L257">
        <v>52</v>
      </c>
      <c r="M257">
        <v>6</v>
      </c>
      <c r="N257" s="58">
        <v>64.39</v>
      </c>
      <c r="O257" s="58">
        <v>52.793999999999997</v>
      </c>
      <c r="P257" s="58">
        <v>21.4633</v>
      </c>
      <c r="Q257" s="58">
        <v>17.597999999999999</v>
      </c>
      <c r="R257" s="58">
        <v>10.731666666666699</v>
      </c>
      <c r="S257" s="58">
        <v>1.23826923076923</v>
      </c>
      <c r="T257" t="s">
        <v>176</v>
      </c>
      <c r="U257" s="11">
        <v>65.562899999999999</v>
      </c>
      <c r="V257"/>
      <c r="W257"/>
    </row>
    <row r="258" spans="1:23" x14ac:dyDescent="0.35">
      <c r="A258" s="40">
        <v>45618</v>
      </c>
      <c r="B258">
        <v>2024</v>
      </c>
      <c r="C258" t="s">
        <v>327</v>
      </c>
      <c r="D258">
        <v>8</v>
      </c>
      <c r="E258">
        <v>47</v>
      </c>
      <c r="F258" t="s">
        <v>50</v>
      </c>
      <c r="G258" s="106">
        <v>0.75</v>
      </c>
      <c r="H258" t="s">
        <v>80</v>
      </c>
      <c r="I258" t="s">
        <v>325</v>
      </c>
      <c r="J258">
        <v>46</v>
      </c>
      <c r="K258">
        <v>3.83</v>
      </c>
      <c r="L258">
        <v>85</v>
      </c>
      <c r="M258">
        <v>8</v>
      </c>
      <c r="N258" s="58">
        <v>105.7</v>
      </c>
      <c r="O258" s="58">
        <v>86.745000000000005</v>
      </c>
      <c r="P258" s="58">
        <v>27.597899999999999</v>
      </c>
      <c r="Q258" s="58">
        <v>22.648825065274199</v>
      </c>
      <c r="R258" s="58">
        <v>13.2125</v>
      </c>
      <c r="S258" s="58">
        <v>1.24352941176471</v>
      </c>
      <c r="T258" t="s">
        <v>176</v>
      </c>
      <c r="U258" s="11">
        <v>69.436999999999998</v>
      </c>
      <c r="V258"/>
      <c r="W258"/>
    </row>
    <row r="259" spans="1:23" x14ac:dyDescent="0.35">
      <c r="A259" s="40">
        <v>45617</v>
      </c>
      <c r="B259">
        <v>2024</v>
      </c>
      <c r="C259" t="s">
        <v>327</v>
      </c>
      <c r="D259">
        <v>8</v>
      </c>
      <c r="E259">
        <v>47</v>
      </c>
      <c r="F259" t="s">
        <v>49</v>
      </c>
      <c r="G259" s="106">
        <v>0.76388888888888884</v>
      </c>
      <c r="H259" t="s">
        <v>80</v>
      </c>
      <c r="I259" t="s">
        <v>276</v>
      </c>
      <c r="J259">
        <v>45</v>
      </c>
      <c r="K259">
        <v>0.6</v>
      </c>
      <c r="L259">
        <v>19</v>
      </c>
      <c r="M259">
        <v>1</v>
      </c>
      <c r="N259" s="58">
        <v>8.07</v>
      </c>
      <c r="O259" s="58">
        <v>3.8330000000000002</v>
      </c>
      <c r="P259" s="58">
        <v>13.45</v>
      </c>
      <c r="Q259" s="58">
        <v>6.3883333333333301</v>
      </c>
      <c r="R259" s="58">
        <v>8.07</v>
      </c>
      <c r="S259" s="58">
        <v>0.42473684210526302</v>
      </c>
      <c r="T259" t="s">
        <v>176</v>
      </c>
      <c r="U259" s="11">
        <v>69.868600000000001</v>
      </c>
      <c r="V259"/>
      <c r="W259"/>
    </row>
    <row r="260" spans="1:23" x14ac:dyDescent="0.35">
      <c r="A260" s="40">
        <v>45614</v>
      </c>
      <c r="B260">
        <v>2024</v>
      </c>
      <c r="C260" t="s">
        <v>327</v>
      </c>
      <c r="D260">
        <v>8</v>
      </c>
      <c r="E260">
        <v>47</v>
      </c>
      <c r="F260" t="s">
        <v>46</v>
      </c>
      <c r="G260" s="106">
        <v>0.76388888888888884</v>
      </c>
      <c r="H260" t="s">
        <v>80</v>
      </c>
      <c r="I260" t="s">
        <v>231</v>
      </c>
      <c r="J260">
        <v>50</v>
      </c>
      <c r="K260">
        <v>3.02</v>
      </c>
      <c r="L260">
        <v>59</v>
      </c>
      <c r="M260">
        <v>5</v>
      </c>
      <c r="N260" s="58">
        <v>68.75</v>
      </c>
      <c r="O260" s="58">
        <v>55.593000000000004</v>
      </c>
      <c r="P260" s="58">
        <v>22.764900000000001</v>
      </c>
      <c r="Q260" s="58">
        <v>18.408278145695402</v>
      </c>
      <c r="R260" s="58">
        <v>13.75</v>
      </c>
      <c r="S260" s="58">
        <v>1.16525423728814</v>
      </c>
      <c r="T260" t="s">
        <v>176</v>
      </c>
      <c r="U260" s="11">
        <v>75.594200000000001</v>
      </c>
      <c r="V260"/>
      <c r="W260"/>
    </row>
    <row r="261" spans="1:23" x14ac:dyDescent="0.35">
      <c r="A261" s="40">
        <v>45612</v>
      </c>
      <c r="B261">
        <v>2024</v>
      </c>
      <c r="C261" t="s">
        <v>327</v>
      </c>
      <c r="D261">
        <v>7</v>
      </c>
      <c r="E261">
        <v>46</v>
      </c>
      <c r="F261" t="s">
        <v>51</v>
      </c>
      <c r="G261" s="106">
        <v>0.71875</v>
      </c>
      <c r="H261" t="s">
        <v>82</v>
      </c>
      <c r="I261" t="s">
        <v>230</v>
      </c>
      <c r="J261">
        <v>46</v>
      </c>
      <c r="K261">
        <v>8</v>
      </c>
      <c r="L261">
        <v>116</v>
      </c>
      <c r="M261">
        <v>20</v>
      </c>
      <c r="N261" s="58">
        <v>174.28</v>
      </c>
      <c r="O261" s="58">
        <v>148.41200000000001</v>
      </c>
      <c r="P261" s="58">
        <v>21.785</v>
      </c>
      <c r="Q261" s="58">
        <v>18.551500000000001</v>
      </c>
      <c r="R261" s="58">
        <v>8.7140000000000004</v>
      </c>
      <c r="S261" s="58">
        <v>1.50241379310345</v>
      </c>
      <c r="T261" t="s">
        <v>176</v>
      </c>
      <c r="U261" s="11">
        <v>74.830299999999994</v>
      </c>
      <c r="V261"/>
      <c r="W261"/>
    </row>
    <row r="262" spans="1:23" x14ac:dyDescent="0.35">
      <c r="A262" s="40">
        <v>45611</v>
      </c>
      <c r="B262">
        <v>2024</v>
      </c>
      <c r="C262" t="s">
        <v>327</v>
      </c>
      <c r="D262">
        <v>7</v>
      </c>
      <c r="E262">
        <v>46</v>
      </c>
      <c r="F262" t="s">
        <v>50</v>
      </c>
      <c r="G262" s="106">
        <v>0.71875</v>
      </c>
      <c r="H262" t="s">
        <v>80</v>
      </c>
      <c r="I262" t="s">
        <v>249</v>
      </c>
      <c r="J262">
        <v>50</v>
      </c>
      <c r="K262">
        <v>6.27</v>
      </c>
      <c r="L262">
        <v>114</v>
      </c>
      <c r="M262">
        <v>17</v>
      </c>
      <c r="N262" s="58">
        <v>150.26</v>
      </c>
      <c r="O262" s="58">
        <v>124.83799999999999</v>
      </c>
      <c r="P262" s="58">
        <v>23.9649</v>
      </c>
      <c r="Q262" s="58">
        <v>19.910366826156299</v>
      </c>
      <c r="R262" s="58">
        <v>8.8388235294117603</v>
      </c>
      <c r="S262" s="58">
        <v>1.3180701754385999</v>
      </c>
      <c r="T262" t="s">
        <v>176</v>
      </c>
      <c r="U262" s="11">
        <v>73.739400000000003</v>
      </c>
      <c r="V262"/>
      <c r="W262"/>
    </row>
    <row r="263" spans="1:23" x14ac:dyDescent="0.35">
      <c r="A263" s="40">
        <v>45608</v>
      </c>
      <c r="B263">
        <v>2024</v>
      </c>
      <c r="C263" t="s">
        <v>327</v>
      </c>
      <c r="D263">
        <v>7</v>
      </c>
      <c r="E263">
        <v>46</v>
      </c>
      <c r="F263" t="s">
        <v>47</v>
      </c>
      <c r="G263" s="106">
        <v>0.78125</v>
      </c>
      <c r="H263" t="s">
        <v>80</v>
      </c>
      <c r="I263" t="s">
        <v>230</v>
      </c>
      <c r="J263">
        <v>34</v>
      </c>
      <c r="K263">
        <v>4.67</v>
      </c>
      <c r="L263">
        <v>71</v>
      </c>
      <c r="M263">
        <v>12</v>
      </c>
      <c r="N263" s="58">
        <v>89.41</v>
      </c>
      <c r="O263" s="58">
        <v>73.576999999999998</v>
      </c>
      <c r="P263" s="58">
        <v>19.145600000000002</v>
      </c>
      <c r="Q263" s="58">
        <v>15.755246252676701</v>
      </c>
      <c r="R263" s="58">
        <v>7.4508333333333301</v>
      </c>
      <c r="S263" s="58">
        <v>1.2592957746478901</v>
      </c>
      <c r="T263" t="s">
        <v>176</v>
      </c>
      <c r="U263" s="11">
        <v>76.7102</v>
      </c>
      <c r="V263"/>
      <c r="W263"/>
    </row>
    <row r="264" spans="1:23" x14ac:dyDescent="0.35">
      <c r="A264" s="40">
        <v>45607</v>
      </c>
      <c r="B264">
        <v>2024</v>
      </c>
      <c r="C264" t="s">
        <v>327</v>
      </c>
      <c r="D264">
        <v>7</v>
      </c>
      <c r="E264">
        <v>46</v>
      </c>
      <c r="F264" t="s">
        <v>46</v>
      </c>
      <c r="G264" s="106">
        <v>0.76736111111111116</v>
      </c>
      <c r="H264" t="s">
        <v>80</v>
      </c>
      <c r="I264" t="s">
        <v>231</v>
      </c>
      <c r="J264">
        <v>55</v>
      </c>
      <c r="K264">
        <v>5.03</v>
      </c>
      <c r="L264">
        <v>88</v>
      </c>
      <c r="M264">
        <v>15</v>
      </c>
      <c r="N264" s="58">
        <v>143.59</v>
      </c>
      <c r="O264" s="58">
        <v>123.96599999999999</v>
      </c>
      <c r="P264" s="58">
        <v>28.546700000000001</v>
      </c>
      <c r="Q264" s="58">
        <v>24.6453280318091</v>
      </c>
      <c r="R264" s="58">
        <v>9.5726666666666702</v>
      </c>
      <c r="S264" s="58">
        <v>1.63170454545455</v>
      </c>
      <c r="T264" t="s">
        <v>176</v>
      </c>
      <c r="U264" s="11">
        <v>77.483599999999996</v>
      </c>
      <c r="V264"/>
      <c r="W264"/>
    </row>
    <row r="265" spans="1:23" x14ac:dyDescent="0.35">
      <c r="A265" s="40">
        <v>45603</v>
      </c>
      <c r="B265">
        <v>2024</v>
      </c>
      <c r="C265" t="s">
        <v>327</v>
      </c>
      <c r="D265">
        <v>6</v>
      </c>
      <c r="E265">
        <v>45</v>
      </c>
      <c r="F265" t="s">
        <v>49</v>
      </c>
      <c r="G265" s="106">
        <v>0.73263888888888884</v>
      </c>
      <c r="H265" t="s">
        <v>80</v>
      </c>
      <c r="I265" t="s">
        <v>230</v>
      </c>
      <c r="J265">
        <v>46</v>
      </c>
      <c r="K265">
        <v>2.58</v>
      </c>
      <c r="L265">
        <v>28</v>
      </c>
      <c r="M265">
        <v>3</v>
      </c>
      <c r="N265" s="58">
        <v>77.56</v>
      </c>
      <c r="O265" s="58">
        <v>71.316000000000003</v>
      </c>
      <c r="P265" s="58">
        <v>30.062000000000001</v>
      </c>
      <c r="Q265" s="58">
        <v>27.641860465116299</v>
      </c>
      <c r="R265" s="58">
        <v>25.8533333333333</v>
      </c>
      <c r="S265" s="58">
        <v>2.77</v>
      </c>
      <c r="T265" t="s">
        <v>176</v>
      </c>
      <c r="U265" s="11">
        <v>81.165800000000004</v>
      </c>
      <c r="V265"/>
      <c r="W265"/>
    </row>
    <row r="266" spans="1:23" x14ac:dyDescent="0.35">
      <c r="A266" s="40">
        <v>45601</v>
      </c>
      <c r="B266">
        <v>2024</v>
      </c>
      <c r="C266" t="s">
        <v>327</v>
      </c>
      <c r="D266">
        <v>6</v>
      </c>
      <c r="E266">
        <v>45</v>
      </c>
      <c r="F266" t="s">
        <v>47</v>
      </c>
      <c r="G266" s="106">
        <v>0.75694444444444442</v>
      </c>
      <c r="H266" t="s">
        <v>80</v>
      </c>
      <c r="I266" t="s">
        <v>230</v>
      </c>
      <c r="J266">
        <v>52</v>
      </c>
      <c r="K266">
        <v>5.07</v>
      </c>
      <c r="L266">
        <v>87</v>
      </c>
      <c r="M266">
        <v>11</v>
      </c>
      <c r="N266" s="58">
        <v>160.63999999999999</v>
      </c>
      <c r="O266" s="58">
        <v>141.239</v>
      </c>
      <c r="P266" s="58">
        <v>31.6844</v>
      </c>
      <c r="Q266" s="58">
        <v>27.8577909270217</v>
      </c>
      <c r="R266" s="58">
        <v>14.603636363636401</v>
      </c>
      <c r="S266" s="58">
        <v>1.8464367816092</v>
      </c>
      <c r="T266" t="s">
        <v>176</v>
      </c>
      <c r="U266" s="11">
        <v>82.0548</v>
      </c>
      <c r="V266"/>
      <c r="W266"/>
    </row>
    <row r="267" spans="1:23" x14ac:dyDescent="0.35">
      <c r="A267" s="40">
        <v>45600</v>
      </c>
      <c r="B267">
        <v>2024</v>
      </c>
      <c r="C267" t="s">
        <v>327</v>
      </c>
      <c r="D267">
        <v>6</v>
      </c>
      <c r="E267">
        <v>45</v>
      </c>
      <c r="F267" t="s">
        <v>46</v>
      </c>
      <c r="G267" s="106">
        <v>0.72569444444444442</v>
      </c>
      <c r="H267" t="s">
        <v>80</v>
      </c>
      <c r="I267" t="s">
        <v>285</v>
      </c>
      <c r="J267">
        <v>43</v>
      </c>
      <c r="K267">
        <v>5.35</v>
      </c>
      <c r="L267">
        <v>87</v>
      </c>
      <c r="M267">
        <v>11</v>
      </c>
      <c r="N267" s="58">
        <v>127.31</v>
      </c>
      <c r="O267" s="58">
        <v>107.90900000000001</v>
      </c>
      <c r="P267" s="58">
        <v>23.796299999999999</v>
      </c>
      <c r="Q267" s="58">
        <v>20.169906542056101</v>
      </c>
      <c r="R267" s="58">
        <v>11.5736363636364</v>
      </c>
      <c r="S267" s="58">
        <v>1.46333333333333</v>
      </c>
      <c r="T267" t="s">
        <v>176</v>
      </c>
      <c r="U267" s="11">
        <v>80.269900000000007</v>
      </c>
      <c r="V267"/>
      <c r="W267"/>
    </row>
    <row r="268" spans="1:23" x14ac:dyDescent="0.35">
      <c r="A268" s="40">
        <v>45599</v>
      </c>
      <c r="B268">
        <v>2024</v>
      </c>
      <c r="C268" t="s">
        <v>327</v>
      </c>
      <c r="D268">
        <v>5</v>
      </c>
      <c r="E268">
        <v>44</v>
      </c>
      <c r="F268" t="s">
        <v>45</v>
      </c>
      <c r="G268" s="106">
        <v>0.69791666666666663</v>
      </c>
      <c r="H268" t="s">
        <v>80</v>
      </c>
      <c r="I268" t="s">
        <v>230</v>
      </c>
      <c r="J268">
        <v>41</v>
      </c>
      <c r="K268">
        <v>6.13</v>
      </c>
      <c r="L268">
        <v>121</v>
      </c>
      <c r="M268">
        <v>16</v>
      </c>
      <c r="N268" s="58">
        <v>175.5</v>
      </c>
      <c r="O268" s="58">
        <v>148.517</v>
      </c>
      <c r="P268" s="58">
        <v>28.6297</v>
      </c>
      <c r="Q268" s="58">
        <v>24.227895595432301</v>
      </c>
      <c r="R268" s="58">
        <v>10.96875</v>
      </c>
      <c r="S268" s="58">
        <v>1.4504132231405</v>
      </c>
      <c r="T268" t="s">
        <v>175</v>
      </c>
      <c r="U268" s="11">
        <v>80.468000000000004</v>
      </c>
      <c r="V268"/>
      <c r="W268"/>
    </row>
    <row r="269" spans="1:23" x14ac:dyDescent="0.35">
      <c r="A269" s="40">
        <v>45598</v>
      </c>
      <c r="B269">
        <v>2024</v>
      </c>
      <c r="C269" t="s">
        <v>327</v>
      </c>
      <c r="D269">
        <v>5</v>
      </c>
      <c r="E269">
        <v>44</v>
      </c>
      <c r="F269" t="s">
        <v>51</v>
      </c>
      <c r="G269" s="106">
        <v>0.57291666666666663</v>
      </c>
      <c r="H269" t="s">
        <v>85</v>
      </c>
      <c r="I269" t="s">
        <v>230</v>
      </c>
      <c r="J269">
        <v>37</v>
      </c>
      <c r="K269">
        <v>6.3</v>
      </c>
      <c r="L269">
        <v>128</v>
      </c>
      <c r="M269">
        <v>13</v>
      </c>
      <c r="N269" s="58">
        <v>100.36</v>
      </c>
      <c r="O269" s="58">
        <v>71.816000000000003</v>
      </c>
      <c r="P269" s="58">
        <v>15.930199999999999</v>
      </c>
      <c r="Q269" s="58">
        <v>11.399365079365101</v>
      </c>
      <c r="R269" s="58">
        <v>7.72</v>
      </c>
      <c r="S269" s="58">
        <v>0.7840625</v>
      </c>
      <c r="T269" t="s">
        <v>176</v>
      </c>
      <c r="U269" s="11">
        <v>78.518000000000001</v>
      </c>
      <c r="V269"/>
      <c r="W269"/>
    </row>
    <row r="270" spans="1:23" x14ac:dyDescent="0.35">
      <c r="A270" s="40">
        <v>45597</v>
      </c>
      <c r="B270">
        <v>2024</v>
      </c>
      <c r="C270" t="s">
        <v>327</v>
      </c>
      <c r="D270">
        <v>5</v>
      </c>
      <c r="E270">
        <v>44</v>
      </c>
      <c r="F270" t="s">
        <v>50</v>
      </c>
      <c r="G270" s="106">
        <v>0.75347222222222221</v>
      </c>
      <c r="H270" t="s">
        <v>80</v>
      </c>
      <c r="I270" t="s">
        <v>230</v>
      </c>
      <c r="J270">
        <v>59</v>
      </c>
      <c r="K270">
        <v>6.88</v>
      </c>
      <c r="L270">
        <v>172</v>
      </c>
      <c r="M270">
        <v>17</v>
      </c>
      <c r="N270" s="58">
        <v>223.74</v>
      </c>
      <c r="O270" s="58">
        <v>185.38399999999999</v>
      </c>
      <c r="P270" s="58">
        <v>32.520299999999999</v>
      </c>
      <c r="Q270" s="58">
        <v>26.945348837209298</v>
      </c>
      <c r="R270" s="58">
        <v>13.161176470588201</v>
      </c>
      <c r="S270" s="58">
        <v>1.30081395348837</v>
      </c>
      <c r="T270" t="s">
        <v>176</v>
      </c>
      <c r="U270" s="11">
        <v>78.732799999999997</v>
      </c>
      <c r="V270"/>
      <c r="W270"/>
    </row>
    <row r="271" spans="1:23" x14ac:dyDescent="0.35">
      <c r="A271" s="40">
        <v>45595</v>
      </c>
      <c r="B271">
        <v>2024</v>
      </c>
      <c r="C271" t="s">
        <v>327</v>
      </c>
      <c r="D271">
        <v>5</v>
      </c>
      <c r="E271">
        <v>44</v>
      </c>
      <c r="F271" t="s">
        <v>48</v>
      </c>
      <c r="G271" s="106">
        <v>0.71527777777777779</v>
      </c>
      <c r="H271" t="s">
        <v>80</v>
      </c>
      <c r="I271" t="s">
        <v>276</v>
      </c>
      <c r="J271">
        <v>54</v>
      </c>
      <c r="K271">
        <v>4.0199999999999996</v>
      </c>
      <c r="L271">
        <v>74</v>
      </c>
      <c r="M271">
        <v>10</v>
      </c>
      <c r="N271" s="58">
        <v>117.5</v>
      </c>
      <c r="O271" s="58">
        <v>100.998</v>
      </c>
      <c r="P271" s="58">
        <v>29.228899999999999</v>
      </c>
      <c r="Q271" s="58">
        <v>25.1238805970149</v>
      </c>
      <c r="R271" s="58">
        <v>11.75</v>
      </c>
      <c r="S271" s="58">
        <v>1.5878378378378399</v>
      </c>
      <c r="T271" t="s">
        <v>175</v>
      </c>
      <c r="U271" s="11">
        <v>78.113200000000006</v>
      </c>
      <c r="V271"/>
      <c r="W271"/>
    </row>
    <row r="272" spans="1:23" x14ac:dyDescent="0.35">
      <c r="A272" s="40">
        <v>45594</v>
      </c>
      <c r="B272">
        <v>2024</v>
      </c>
      <c r="C272" t="s">
        <v>327</v>
      </c>
      <c r="D272">
        <v>5</v>
      </c>
      <c r="E272">
        <v>44</v>
      </c>
      <c r="F272" t="s">
        <v>47</v>
      </c>
      <c r="G272" s="106">
        <v>0.72916666666666663</v>
      </c>
      <c r="H272" t="s">
        <v>85</v>
      </c>
      <c r="I272" t="s">
        <v>231</v>
      </c>
      <c r="J272">
        <v>52</v>
      </c>
      <c r="K272">
        <v>4.9800000000000004</v>
      </c>
      <c r="L272">
        <v>126</v>
      </c>
      <c r="M272">
        <v>8</v>
      </c>
      <c r="N272" s="58">
        <v>61.53</v>
      </c>
      <c r="O272" s="58">
        <v>33.432000000000002</v>
      </c>
      <c r="P272" s="58">
        <v>12.355399999999999</v>
      </c>
      <c r="Q272" s="58">
        <v>6.7132530120481899</v>
      </c>
      <c r="R272" s="58">
        <v>7.6912500000000001</v>
      </c>
      <c r="S272" s="58">
        <v>0.48833333333333301</v>
      </c>
      <c r="T272" t="s">
        <v>176</v>
      </c>
      <c r="U272" s="11">
        <v>77.761399999999995</v>
      </c>
      <c r="V272"/>
      <c r="W272"/>
    </row>
    <row r="273" spans="1:23" x14ac:dyDescent="0.35">
      <c r="A273" s="40">
        <v>45593</v>
      </c>
      <c r="B273">
        <v>2024</v>
      </c>
      <c r="C273" t="s">
        <v>327</v>
      </c>
      <c r="D273">
        <v>5</v>
      </c>
      <c r="E273">
        <v>44</v>
      </c>
      <c r="F273" t="s">
        <v>46</v>
      </c>
      <c r="G273" s="106">
        <v>0.72916666666666663</v>
      </c>
      <c r="H273" t="s">
        <v>80</v>
      </c>
      <c r="I273" t="s">
        <v>230</v>
      </c>
      <c r="J273">
        <v>41</v>
      </c>
      <c r="K273">
        <v>1.42</v>
      </c>
      <c r="L273">
        <v>28</v>
      </c>
      <c r="M273">
        <v>2</v>
      </c>
      <c r="N273" s="58">
        <v>30.26</v>
      </c>
      <c r="O273" s="58">
        <v>24.015999999999998</v>
      </c>
      <c r="P273" s="58">
        <v>21.309899999999999</v>
      </c>
      <c r="Q273" s="58">
        <v>16.912676056338</v>
      </c>
      <c r="R273" s="58">
        <v>15.13</v>
      </c>
      <c r="S273" s="58">
        <v>1.08071428571429</v>
      </c>
      <c r="T273" t="s">
        <v>176</v>
      </c>
      <c r="U273" s="11">
        <v>77.552700000000002</v>
      </c>
      <c r="V273"/>
      <c r="W273"/>
    </row>
    <row r="274" spans="1:23" x14ac:dyDescent="0.35">
      <c r="A274" s="40">
        <v>45592</v>
      </c>
      <c r="B274">
        <v>2024</v>
      </c>
      <c r="C274" t="s">
        <v>327</v>
      </c>
      <c r="D274">
        <v>4</v>
      </c>
      <c r="E274">
        <v>43</v>
      </c>
      <c r="F274" t="s">
        <v>45</v>
      </c>
      <c r="G274" s="106">
        <v>0.75694444444444442</v>
      </c>
      <c r="H274" t="s">
        <v>80</v>
      </c>
      <c r="I274" t="s">
        <v>285</v>
      </c>
      <c r="J274">
        <v>45</v>
      </c>
      <c r="K274">
        <v>4.63</v>
      </c>
      <c r="L274">
        <v>93</v>
      </c>
      <c r="M274">
        <v>14</v>
      </c>
      <c r="N274" s="58">
        <v>110.34</v>
      </c>
      <c r="O274" s="58">
        <v>89.600999999999999</v>
      </c>
      <c r="P274" s="58">
        <v>23.831499999999998</v>
      </c>
      <c r="Q274" s="58">
        <v>19.3522678185745</v>
      </c>
      <c r="R274" s="58">
        <v>7.8814285714285699</v>
      </c>
      <c r="S274" s="58">
        <v>1.1864516129032301</v>
      </c>
      <c r="T274" t="s">
        <v>176</v>
      </c>
      <c r="U274" s="11">
        <v>78.702600000000004</v>
      </c>
      <c r="V274"/>
      <c r="W274"/>
    </row>
    <row r="275" spans="1:23" x14ac:dyDescent="0.35">
      <c r="A275" s="40">
        <v>45590</v>
      </c>
      <c r="B275">
        <v>2024</v>
      </c>
      <c r="C275" t="s">
        <v>327</v>
      </c>
      <c r="D275">
        <v>4</v>
      </c>
      <c r="E275">
        <v>43</v>
      </c>
      <c r="F275" t="s">
        <v>50</v>
      </c>
      <c r="G275" s="106">
        <v>0.76041666666666663</v>
      </c>
      <c r="H275" t="s">
        <v>80</v>
      </c>
      <c r="I275" t="s">
        <v>230</v>
      </c>
      <c r="J275">
        <v>50</v>
      </c>
      <c r="K275">
        <v>5.23</v>
      </c>
      <c r="L275">
        <v>104</v>
      </c>
      <c r="M275">
        <v>11</v>
      </c>
      <c r="N275" s="58">
        <v>105.94</v>
      </c>
      <c r="O275" s="58">
        <v>82.748000000000005</v>
      </c>
      <c r="P275" s="58">
        <v>20.2562</v>
      </c>
      <c r="Q275" s="58">
        <v>15.821797323135799</v>
      </c>
      <c r="R275" s="58">
        <v>9.6309090909090909</v>
      </c>
      <c r="S275" s="58">
        <v>1.0186538461538499</v>
      </c>
      <c r="T275" t="s">
        <v>175</v>
      </c>
      <c r="U275" s="11">
        <v>79.415599999999998</v>
      </c>
      <c r="V275"/>
      <c r="W275"/>
    </row>
    <row r="276" spans="1:23" x14ac:dyDescent="0.35">
      <c r="A276" s="40">
        <v>45587</v>
      </c>
      <c r="B276">
        <v>2024</v>
      </c>
      <c r="C276" t="s">
        <v>327</v>
      </c>
      <c r="D276">
        <v>4</v>
      </c>
      <c r="E276">
        <v>43</v>
      </c>
      <c r="F276" t="s">
        <v>47</v>
      </c>
      <c r="G276" s="106">
        <v>0.75555555555555554</v>
      </c>
      <c r="H276" t="s">
        <v>80</v>
      </c>
      <c r="I276" t="s">
        <v>276</v>
      </c>
      <c r="J276">
        <v>52</v>
      </c>
      <c r="K276">
        <v>4.55</v>
      </c>
      <c r="L276">
        <v>55</v>
      </c>
      <c r="M276">
        <v>11</v>
      </c>
      <c r="N276" s="58">
        <v>100.8</v>
      </c>
      <c r="O276" s="58">
        <v>88.534999999999997</v>
      </c>
      <c r="P276" s="58">
        <v>22.1538</v>
      </c>
      <c r="Q276" s="58">
        <v>19.458241758241801</v>
      </c>
      <c r="R276" s="58">
        <v>9.1636363636363605</v>
      </c>
      <c r="S276" s="58">
        <v>1.8327272727272701</v>
      </c>
      <c r="T276" t="s">
        <v>176</v>
      </c>
      <c r="U276" s="11">
        <v>81.674599999999998</v>
      </c>
      <c r="V276"/>
      <c r="W276"/>
    </row>
    <row r="277" spans="1:23" x14ac:dyDescent="0.35">
      <c r="A277" s="40">
        <v>45586</v>
      </c>
      <c r="B277">
        <v>2024</v>
      </c>
      <c r="C277" t="s">
        <v>327</v>
      </c>
      <c r="D277">
        <v>4</v>
      </c>
      <c r="E277">
        <v>43</v>
      </c>
      <c r="F277" t="s">
        <v>46</v>
      </c>
      <c r="G277" s="106">
        <v>0.74305555555555558</v>
      </c>
      <c r="H277" t="s">
        <v>174</v>
      </c>
      <c r="I277" t="s">
        <v>230</v>
      </c>
      <c r="J277">
        <v>30</v>
      </c>
      <c r="K277">
        <v>4.93</v>
      </c>
      <c r="L277">
        <v>146</v>
      </c>
      <c r="M277">
        <v>7</v>
      </c>
      <c r="N277" s="58">
        <v>87.43</v>
      </c>
      <c r="O277" s="58">
        <v>54.872</v>
      </c>
      <c r="P277" s="58">
        <v>17.734300000000001</v>
      </c>
      <c r="Q277" s="58">
        <v>11.1302231237323</v>
      </c>
      <c r="R277" s="58">
        <v>12.49</v>
      </c>
      <c r="S277" s="58">
        <v>0.59883561643835603</v>
      </c>
      <c r="T277" t="s">
        <v>176</v>
      </c>
      <c r="U277" s="11">
        <v>82.157300000000006</v>
      </c>
      <c r="V277"/>
      <c r="W277"/>
    </row>
    <row r="278" spans="1:23" x14ac:dyDescent="0.35">
      <c r="A278" s="40">
        <v>45585</v>
      </c>
      <c r="B278">
        <v>2024</v>
      </c>
      <c r="C278" t="s">
        <v>327</v>
      </c>
      <c r="D278">
        <v>3</v>
      </c>
      <c r="E278">
        <v>42</v>
      </c>
      <c r="F278" t="s">
        <v>45</v>
      </c>
      <c r="G278" s="106">
        <v>0.82986111111111116</v>
      </c>
      <c r="H278" t="s">
        <v>82</v>
      </c>
      <c r="I278" t="s">
        <v>230</v>
      </c>
      <c r="J278">
        <v>61</v>
      </c>
      <c r="K278">
        <v>3.98</v>
      </c>
      <c r="L278">
        <v>71</v>
      </c>
      <c r="M278">
        <v>11</v>
      </c>
      <c r="N278" s="58">
        <v>86.51</v>
      </c>
      <c r="O278" s="58">
        <v>70.677000000000007</v>
      </c>
      <c r="P278" s="58">
        <v>21.7362</v>
      </c>
      <c r="Q278" s="58">
        <v>17.758040201004999</v>
      </c>
      <c r="R278" s="58">
        <v>7.8645454545454596</v>
      </c>
      <c r="S278" s="58">
        <v>1.2184507042253501</v>
      </c>
      <c r="T278" t="s">
        <v>175</v>
      </c>
      <c r="U278" s="11">
        <v>82.1982</v>
      </c>
      <c r="V278"/>
      <c r="W278"/>
    </row>
    <row r="279" spans="1:23" x14ac:dyDescent="0.35">
      <c r="A279" s="40">
        <v>45584</v>
      </c>
      <c r="B279">
        <v>2024</v>
      </c>
      <c r="C279" t="s">
        <v>327</v>
      </c>
      <c r="D279">
        <v>3</v>
      </c>
      <c r="E279">
        <v>42</v>
      </c>
      <c r="F279" t="s">
        <v>51</v>
      </c>
      <c r="G279" s="106">
        <v>0.86458333333333337</v>
      </c>
      <c r="H279" t="s">
        <v>80</v>
      </c>
      <c r="I279" t="s">
        <v>230</v>
      </c>
      <c r="J279">
        <v>57</v>
      </c>
      <c r="K279">
        <v>1.52</v>
      </c>
      <c r="L279">
        <v>33</v>
      </c>
      <c r="M279">
        <v>4</v>
      </c>
      <c r="N279" s="58">
        <v>38.71</v>
      </c>
      <c r="O279" s="58">
        <v>31.350999999999999</v>
      </c>
      <c r="P279" s="58">
        <v>25.467099999999999</v>
      </c>
      <c r="Q279" s="58">
        <v>20.625657894736801</v>
      </c>
      <c r="R279" s="58">
        <v>9.6775000000000002</v>
      </c>
      <c r="S279" s="58">
        <v>1.1730303030303</v>
      </c>
      <c r="T279" t="s">
        <v>175</v>
      </c>
      <c r="U279" s="11">
        <v>82.6036</v>
      </c>
      <c r="V279"/>
      <c r="W279"/>
    </row>
    <row r="280" spans="1:23" x14ac:dyDescent="0.35">
      <c r="A280" s="40">
        <v>45583</v>
      </c>
      <c r="B280">
        <v>2024</v>
      </c>
      <c r="C280" t="s">
        <v>327</v>
      </c>
      <c r="D280">
        <v>3</v>
      </c>
      <c r="E280">
        <v>42</v>
      </c>
      <c r="F280" t="s">
        <v>50</v>
      </c>
      <c r="G280" s="106">
        <v>0.76736111111111116</v>
      </c>
      <c r="H280" t="s">
        <v>80</v>
      </c>
      <c r="I280" t="s">
        <v>230</v>
      </c>
      <c r="J280">
        <v>55</v>
      </c>
      <c r="K280">
        <v>6.5</v>
      </c>
      <c r="L280">
        <v>102</v>
      </c>
      <c r="M280">
        <v>16</v>
      </c>
      <c r="N280" s="58">
        <v>150.52000000000001</v>
      </c>
      <c r="O280" s="58">
        <v>127.774</v>
      </c>
      <c r="P280" s="58">
        <v>23.1569</v>
      </c>
      <c r="Q280" s="58">
        <v>19.6575384615385</v>
      </c>
      <c r="R280" s="58">
        <v>9.4075000000000006</v>
      </c>
      <c r="S280" s="58">
        <v>1.4756862745098001</v>
      </c>
      <c r="T280" t="s">
        <v>175</v>
      </c>
      <c r="U280" s="11">
        <v>82.173400000000001</v>
      </c>
      <c r="V280"/>
      <c r="W280"/>
    </row>
    <row r="281" spans="1:23" x14ac:dyDescent="0.35">
      <c r="A281" s="40">
        <v>45582</v>
      </c>
      <c r="B281">
        <v>2024</v>
      </c>
      <c r="C281" t="s">
        <v>327</v>
      </c>
      <c r="D281">
        <v>3</v>
      </c>
      <c r="E281">
        <v>42</v>
      </c>
      <c r="F281" t="s">
        <v>49</v>
      </c>
      <c r="G281" s="106">
        <v>0.76388888888888884</v>
      </c>
      <c r="H281" t="s">
        <v>82</v>
      </c>
      <c r="I281" t="s">
        <v>230</v>
      </c>
      <c r="J281">
        <v>54</v>
      </c>
      <c r="K281">
        <v>4.18</v>
      </c>
      <c r="L281">
        <v>81</v>
      </c>
      <c r="M281">
        <v>8</v>
      </c>
      <c r="N281" s="58">
        <v>53.82</v>
      </c>
      <c r="O281" s="58">
        <v>35.756999999999998</v>
      </c>
      <c r="P281" s="58">
        <v>12.8756</v>
      </c>
      <c r="Q281" s="58">
        <v>8.5543062200957003</v>
      </c>
      <c r="R281" s="58">
        <v>6.7275</v>
      </c>
      <c r="S281" s="58">
        <v>0.66444444444444395</v>
      </c>
      <c r="T281" t="s">
        <v>176</v>
      </c>
      <c r="U281" s="11">
        <v>82.241799999999998</v>
      </c>
      <c r="V281"/>
      <c r="W281"/>
    </row>
    <row r="282" spans="1:23" x14ac:dyDescent="0.35">
      <c r="A282" s="40">
        <v>45581</v>
      </c>
      <c r="B282">
        <v>2024</v>
      </c>
      <c r="C282" t="s">
        <v>327</v>
      </c>
      <c r="D282">
        <v>3</v>
      </c>
      <c r="E282">
        <v>42</v>
      </c>
      <c r="F282" t="s">
        <v>48</v>
      </c>
      <c r="G282" s="106">
        <v>0.76736111111111116</v>
      </c>
      <c r="H282" t="s">
        <v>82</v>
      </c>
      <c r="I282" t="s">
        <v>230</v>
      </c>
      <c r="J282">
        <v>45</v>
      </c>
      <c r="K282">
        <v>3.35</v>
      </c>
      <c r="L282">
        <v>68</v>
      </c>
      <c r="M282">
        <v>7</v>
      </c>
      <c r="N282" s="58">
        <v>59.19</v>
      </c>
      <c r="O282" s="58">
        <v>44.026000000000003</v>
      </c>
      <c r="P282" s="58">
        <v>17.668700000000001</v>
      </c>
      <c r="Q282" s="58">
        <v>13.142089552238801</v>
      </c>
      <c r="R282" s="58">
        <v>8.4557142857142793</v>
      </c>
      <c r="S282" s="58">
        <v>0.87044117647058805</v>
      </c>
      <c r="T282" t="s">
        <v>176</v>
      </c>
      <c r="U282" s="11">
        <v>83.283799999999999</v>
      </c>
      <c r="V282"/>
      <c r="W282"/>
    </row>
    <row r="283" spans="1:23" x14ac:dyDescent="0.35">
      <c r="A283" s="40">
        <v>45579</v>
      </c>
      <c r="B283">
        <v>2024</v>
      </c>
      <c r="C283" t="s">
        <v>327</v>
      </c>
      <c r="D283">
        <v>3</v>
      </c>
      <c r="E283">
        <v>42</v>
      </c>
      <c r="F283" t="s">
        <v>46</v>
      </c>
      <c r="G283" s="106">
        <v>0.72916666666666663</v>
      </c>
      <c r="H283" t="s">
        <v>80</v>
      </c>
      <c r="I283" t="s">
        <v>285</v>
      </c>
      <c r="J283">
        <v>46</v>
      </c>
      <c r="K283">
        <v>4</v>
      </c>
      <c r="L283">
        <v>85</v>
      </c>
      <c r="M283">
        <v>10</v>
      </c>
      <c r="N283" s="58">
        <v>116.7</v>
      </c>
      <c r="O283" s="58">
        <v>97.745000000000005</v>
      </c>
      <c r="P283" s="58">
        <v>29.175000000000001</v>
      </c>
      <c r="Q283" s="58">
        <v>24.436250000000001</v>
      </c>
      <c r="R283" s="58">
        <v>11.67</v>
      </c>
      <c r="S283" s="58">
        <v>1.3729411764705901</v>
      </c>
      <c r="T283" t="s">
        <v>176</v>
      </c>
      <c r="U283" s="11">
        <v>84.832400000000007</v>
      </c>
      <c r="V283"/>
      <c r="W283"/>
    </row>
    <row r="284" spans="1:23" x14ac:dyDescent="0.35">
      <c r="A284" s="40">
        <v>45577</v>
      </c>
      <c r="B284">
        <v>2024</v>
      </c>
      <c r="C284" t="s">
        <v>327</v>
      </c>
      <c r="D284">
        <v>2</v>
      </c>
      <c r="E284">
        <v>41</v>
      </c>
      <c r="F284" t="s">
        <v>51</v>
      </c>
      <c r="G284" s="106">
        <v>0.53472222222222221</v>
      </c>
      <c r="H284" t="s">
        <v>85</v>
      </c>
      <c r="I284" t="s">
        <v>249</v>
      </c>
      <c r="J284">
        <v>63</v>
      </c>
      <c r="K284">
        <v>3.82</v>
      </c>
      <c r="L284">
        <v>66</v>
      </c>
      <c r="M284">
        <v>6</v>
      </c>
      <c r="N284" s="58">
        <v>116.2</v>
      </c>
      <c r="O284" s="58">
        <v>101.482</v>
      </c>
      <c r="P284" s="58">
        <v>30.418800000000001</v>
      </c>
      <c r="Q284" s="58">
        <v>26.565968586387399</v>
      </c>
      <c r="R284" s="58">
        <v>19.366666666666699</v>
      </c>
      <c r="S284" s="58">
        <v>1.7606060606060601</v>
      </c>
      <c r="T284" t="s">
        <v>176</v>
      </c>
      <c r="U284" s="11">
        <v>86.156800000000004</v>
      </c>
      <c r="V284"/>
      <c r="W284"/>
    </row>
    <row r="285" spans="1:23" x14ac:dyDescent="0.35">
      <c r="A285" s="40">
        <v>45572</v>
      </c>
      <c r="B285">
        <v>2024</v>
      </c>
      <c r="C285" t="s">
        <v>327</v>
      </c>
      <c r="D285">
        <v>2</v>
      </c>
      <c r="E285">
        <v>41</v>
      </c>
      <c r="F285" t="s">
        <v>46</v>
      </c>
      <c r="G285" s="106">
        <v>0.71875</v>
      </c>
      <c r="H285" t="s">
        <v>80</v>
      </c>
      <c r="I285" t="s">
        <v>276</v>
      </c>
      <c r="J285">
        <v>54</v>
      </c>
      <c r="K285">
        <v>6.13</v>
      </c>
      <c r="L285">
        <v>138</v>
      </c>
      <c r="M285">
        <v>14</v>
      </c>
      <c r="N285" s="58">
        <v>159.58000000000001</v>
      </c>
      <c r="O285" s="58">
        <v>128.80600000000001</v>
      </c>
      <c r="P285" s="58">
        <v>26.032599999999999</v>
      </c>
      <c r="Q285" s="58">
        <v>21.0123980424144</v>
      </c>
      <c r="R285" s="58">
        <v>11.398571428571399</v>
      </c>
      <c r="S285" s="58">
        <v>1.1563768115941999</v>
      </c>
      <c r="T285" t="s">
        <v>176</v>
      </c>
      <c r="U285" s="11">
        <v>86.432900000000004</v>
      </c>
      <c r="V285"/>
      <c r="W285"/>
    </row>
    <row r="286" spans="1:23" x14ac:dyDescent="0.35">
      <c r="A286" s="40">
        <v>45571</v>
      </c>
      <c r="B286">
        <v>2024</v>
      </c>
      <c r="C286" t="s">
        <v>327</v>
      </c>
      <c r="D286">
        <v>1</v>
      </c>
      <c r="E286">
        <v>40</v>
      </c>
      <c r="F286" t="s">
        <v>45</v>
      </c>
      <c r="G286" s="106">
        <v>0.62152777777777779</v>
      </c>
      <c r="H286" t="s">
        <v>80</v>
      </c>
      <c r="I286" t="s">
        <v>231</v>
      </c>
      <c r="J286">
        <v>61</v>
      </c>
      <c r="K286">
        <v>5.9</v>
      </c>
      <c r="L286">
        <v>138</v>
      </c>
      <c r="M286">
        <v>10</v>
      </c>
      <c r="N286" s="58">
        <v>149.30000000000001</v>
      </c>
      <c r="O286" s="58">
        <v>118.526</v>
      </c>
      <c r="P286" s="58">
        <v>25.305099999999999</v>
      </c>
      <c r="Q286" s="58">
        <v>20.089152542372901</v>
      </c>
      <c r="R286" s="58">
        <v>14.93</v>
      </c>
      <c r="S286" s="58">
        <v>1.0818840579710101</v>
      </c>
      <c r="T286" t="s">
        <v>176</v>
      </c>
      <c r="U286" s="11">
        <v>84.9709</v>
      </c>
      <c r="V286"/>
      <c r="W286"/>
    </row>
    <row r="287" spans="1:23" x14ac:dyDescent="0.35">
      <c r="A287" s="40">
        <v>45570</v>
      </c>
      <c r="B287">
        <v>2024</v>
      </c>
      <c r="C287" t="s">
        <v>327</v>
      </c>
      <c r="D287">
        <v>1</v>
      </c>
      <c r="E287">
        <v>40</v>
      </c>
      <c r="F287" t="s">
        <v>51</v>
      </c>
      <c r="G287" s="106">
        <v>0.74305555555555558</v>
      </c>
      <c r="H287" t="s">
        <v>85</v>
      </c>
      <c r="I287" t="s">
        <v>285</v>
      </c>
      <c r="J287">
        <v>53</v>
      </c>
      <c r="K287">
        <v>6.75</v>
      </c>
      <c r="L287">
        <v>173</v>
      </c>
      <c r="M287">
        <v>15</v>
      </c>
      <c r="N287" s="58">
        <v>144.54</v>
      </c>
      <c r="O287" s="58">
        <v>105.961</v>
      </c>
      <c r="P287" s="58">
        <v>21.4133</v>
      </c>
      <c r="Q287" s="58">
        <v>15.697925925925899</v>
      </c>
      <c r="R287" s="58">
        <v>9.6359999999999992</v>
      </c>
      <c r="S287" s="58">
        <v>0.83549132947976901</v>
      </c>
      <c r="T287" t="s">
        <v>176</v>
      </c>
      <c r="U287" s="11">
        <v>83.311999999999998</v>
      </c>
      <c r="V287"/>
      <c r="W287"/>
    </row>
    <row r="288" spans="1:23" x14ac:dyDescent="0.35">
      <c r="A288" s="40">
        <v>45566</v>
      </c>
      <c r="B288">
        <v>2024</v>
      </c>
      <c r="C288" t="s">
        <v>327</v>
      </c>
      <c r="D288">
        <v>1</v>
      </c>
      <c r="E288">
        <v>40</v>
      </c>
      <c r="F288" t="s">
        <v>47</v>
      </c>
      <c r="G288" s="106">
        <v>0.71527777777777779</v>
      </c>
      <c r="H288" t="s">
        <v>174</v>
      </c>
      <c r="I288" t="s">
        <v>230</v>
      </c>
      <c r="J288">
        <v>54</v>
      </c>
      <c r="K288">
        <v>4.55</v>
      </c>
      <c r="L288">
        <v>101</v>
      </c>
      <c r="M288">
        <v>6</v>
      </c>
      <c r="N288" s="58">
        <v>58.59</v>
      </c>
      <c r="O288" s="58">
        <v>36.067</v>
      </c>
      <c r="P288" s="58">
        <v>12.876899999999999</v>
      </c>
      <c r="Q288" s="58">
        <v>7.9268131868131899</v>
      </c>
      <c r="R288" s="58">
        <v>9.7650000000000006</v>
      </c>
      <c r="S288" s="58">
        <v>0.58009900990098995</v>
      </c>
      <c r="T288" t="s">
        <v>176</v>
      </c>
      <c r="U288" s="11">
        <v>83.549700000000001</v>
      </c>
      <c r="V288"/>
      <c r="W288"/>
    </row>
    <row r="289" spans="1:23" x14ac:dyDescent="0.35">
      <c r="A289" s="40">
        <v>45565</v>
      </c>
      <c r="B289">
        <v>2024</v>
      </c>
      <c r="C289" t="s">
        <v>327</v>
      </c>
      <c r="D289">
        <v>1</v>
      </c>
      <c r="E289">
        <v>40</v>
      </c>
      <c r="F289" t="s">
        <v>46</v>
      </c>
      <c r="G289" s="106">
        <v>0.71527777777777779</v>
      </c>
      <c r="H289" t="s">
        <v>85</v>
      </c>
      <c r="I289" t="s">
        <v>249</v>
      </c>
      <c r="J289">
        <v>61</v>
      </c>
      <c r="K289">
        <v>5.32</v>
      </c>
      <c r="L289">
        <v>101</v>
      </c>
      <c r="M289">
        <v>12</v>
      </c>
      <c r="N289" s="58">
        <v>98.1</v>
      </c>
      <c r="O289" s="58">
        <v>75.576999999999998</v>
      </c>
      <c r="P289" s="58">
        <v>18.439800000000002</v>
      </c>
      <c r="Q289" s="58">
        <v>14.2062030075188</v>
      </c>
      <c r="R289" s="58">
        <v>8.1750000000000007</v>
      </c>
      <c r="S289" s="58">
        <v>0.97128712871287104</v>
      </c>
      <c r="T289" t="s">
        <v>176</v>
      </c>
      <c r="U289" s="11">
        <v>84.351900000000001</v>
      </c>
      <c r="V289"/>
      <c r="W289"/>
    </row>
    <row r="290" spans="1:23" x14ac:dyDescent="0.35">
      <c r="A290" s="40">
        <v>45562</v>
      </c>
      <c r="B290">
        <v>2024</v>
      </c>
      <c r="C290" t="s">
        <v>305</v>
      </c>
      <c r="D290">
        <v>13</v>
      </c>
      <c r="E290">
        <v>39</v>
      </c>
      <c r="F290" t="s">
        <v>50</v>
      </c>
      <c r="G290" s="106">
        <v>0.75</v>
      </c>
      <c r="H290" t="s">
        <v>85</v>
      </c>
      <c r="I290" t="s">
        <v>230</v>
      </c>
      <c r="J290">
        <v>64</v>
      </c>
      <c r="K290">
        <v>8.18</v>
      </c>
      <c r="L290">
        <v>166</v>
      </c>
      <c r="M290">
        <v>23</v>
      </c>
      <c r="N290" s="58">
        <v>237.02</v>
      </c>
      <c r="O290" s="58">
        <v>200.00200000000001</v>
      </c>
      <c r="P290" s="58">
        <v>28.9756</v>
      </c>
      <c r="Q290" s="58">
        <v>24.450122249388802</v>
      </c>
      <c r="R290" s="58">
        <v>10.3052173913043</v>
      </c>
      <c r="S290" s="58">
        <v>1.4278313253012</v>
      </c>
      <c r="T290" t="s">
        <v>176</v>
      </c>
      <c r="U290" s="11">
        <v>86.264600000000002</v>
      </c>
      <c r="V290"/>
      <c r="W290"/>
    </row>
    <row r="291" spans="1:23" x14ac:dyDescent="0.35">
      <c r="A291" s="40">
        <v>45560</v>
      </c>
      <c r="B291">
        <v>2024</v>
      </c>
      <c r="C291" t="s">
        <v>305</v>
      </c>
      <c r="D291">
        <v>13</v>
      </c>
      <c r="E291">
        <v>39</v>
      </c>
      <c r="F291" t="s">
        <v>48</v>
      </c>
      <c r="G291" s="106">
        <v>0.71875</v>
      </c>
      <c r="H291" t="s">
        <v>80</v>
      </c>
      <c r="I291" t="s">
        <v>231</v>
      </c>
      <c r="J291">
        <v>57</v>
      </c>
      <c r="K291">
        <v>5.3</v>
      </c>
      <c r="L291">
        <v>104</v>
      </c>
      <c r="M291">
        <v>13</v>
      </c>
      <c r="N291" s="58">
        <v>130.22</v>
      </c>
      <c r="O291" s="58">
        <v>107.02800000000001</v>
      </c>
      <c r="P291" s="58">
        <v>24.569800000000001</v>
      </c>
      <c r="Q291" s="58">
        <v>20.193962264150901</v>
      </c>
      <c r="R291" s="58">
        <v>10.016923076923099</v>
      </c>
      <c r="S291" s="58">
        <v>1.2521153846153801</v>
      </c>
      <c r="T291" t="s">
        <v>176</v>
      </c>
      <c r="U291" s="11">
        <v>83.631</v>
      </c>
      <c r="V291"/>
      <c r="W291"/>
    </row>
    <row r="292" spans="1:23" x14ac:dyDescent="0.35">
      <c r="A292" s="40">
        <v>45559</v>
      </c>
      <c r="B292">
        <v>2024</v>
      </c>
      <c r="C292" t="s">
        <v>305</v>
      </c>
      <c r="D292">
        <v>13</v>
      </c>
      <c r="E292">
        <v>39</v>
      </c>
      <c r="F292" t="s">
        <v>47</v>
      </c>
      <c r="G292" s="106">
        <v>0.72222222222222221</v>
      </c>
      <c r="H292" t="s">
        <v>80</v>
      </c>
      <c r="I292" t="s">
        <v>230</v>
      </c>
      <c r="J292">
        <v>57</v>
      </c>
      <c r="K292">
        <v>3.98</v>
      </c>
      <c r="L292">
        <v>120</v>
      </c>
      <c r="M292">
        <v>9</v>
      </c>
      <c r="N292" s="58">
        <v>120.04</v>
      </c>
      <c r="O292" s="58">
        <v>93.28</v>
      </c>
      <c r="P292" s="58">
        <v>30.160799999999998</v>
      </c>
      <c r="Q292" s="58">
        <v>23.437185929648201</v>
      </c>
      <c r="R292" s="58">
        <v>13.3377777777778</v>
      </c>
      <c r="S292" s="58">
        <v>1.00033333333333</v>
      </c>
      <c r="T292" t="s">
        <v>176</v>
      </c>
      <c r="U292" s="11">
        <v>82.184100000000001</v>
      </c>
      <c r="V292"/>
      <c r="W292"/>
    </row>
    <row r="293" spans="1:23" x14ac:dyDescent="0.35">
      <c r="A293" s="40">
        <v>45558</v>
      </c>
      <c r="B293">
        <v>2024</v>
      </c>
      <c r="C293" t="s">
        <v>305</v>
      </c>
      <c r="D293">
        <v>13</v>
      </c>
      <c r="E293">
        <v>39</v>
      </c>
      <c r="F293" t="s">
        <v>46</v>
      </c>
      <c r="G293" s="106">
        <v>0.71875</v>
      </c>
      <c r="H293" t="s">
        <v>85</v>
      </c>
      <c r="I293" t="s">
        <v>230</v>
      </c>
      <c r="J293">
        <v>61</v>
      </c>
      <c r="K293">
        <v>4.97</v>
      </c>
      <c r="L293">
        <v>118</v>
      </c>
      <c r="M293">
        <v>11</v>
      </c>
      <c r="N293" s="58">
        <v>138.38999999999999</v>
      </c>
      <c r="O293" s="58">
        <v>112.07599999999999</v>
      </c>
      <c r="P293" s="58">
        <v>27.845099999999999</v>
      </c>
      <c r="Q293" s="58">
        <v>22.550503018108699</v>
      </c>
      <c r="R293" s="58">
        <v>12.580909090909101</v>
      </c>
      <c r="S293" s="58">
        <v>1.17279661016949</v>
      </c>
      <c r="T293" t="s">
        <v>176</v>
      </c>
      <c r="U293" s="11">
        <v>80.850300000000004</v>
      </c>
      <c r="V293"/>
      <c r="W293"/>
    </row>
    <row r="294" spans="1:23" x14ac:dyDescent="0.35">
      <c r="A294" s="40">
        <v>45557</v>
      </c>
      <c r="B294">
        <v>2024</v>
      </c>
      <c r="C294" t="s">
        <v>305</v>
      </c>
      <c r="D294">
        <v>12</v>
      </c>
      <c r="E294">
        <v>38</v>
      </c>
      <c r="F294" t="s">
        <v>45</v>
      </c>
      <c r="G294" s="106">
        <v>0.52430555555555558</v>
      </c>
      <c r="H294" t="s">
        <v>80</v>
      </c>
      <c r="I294" t="s">
        <v>249</v>
      </c>
      <c r="J294">
        <v>70</v>
      </c>
      <c r="K294">
        <v>2.5499999999999998</v>
      </c>
      <c r="L294">
        <v>34</v>
      </c>
      <c r="M294">
        <v>5</v>
      </c>
      <c r="N294" s="58">
        <v>68.430000000000007</v>
      </c>
      <c r="O294" s="58">
        <v>60.847999999999999</v>
      </c>
      <c r="P294" s="58">
        <v>26.8353</v>
      </c>
      <c r="Q294" s="58">
        <v>23.861960784313698</v>
      </c>
      <c r="R294" s="58">
        <v>13.686</v>
      </c>
      <c r="S294" s="58">
        <v>2.0126470588235299</v>
      </c>
      <c r="T294" t="s">
        <v>176</v>
      </c>
      <c r="U294" s="11">
        <v>79.312700000000007</v>
      </c>
      <c r="V294"/>
      <c r="W294"/>
    </row>
    <row r="295" spans="1:23" x14ac:dyDescent="0.35">
      <c r="A295" s="40">
        <v>45555</v>
      </c>
      <c r="B295">
        <v>2024</v>
      </c>
      <c r="C295" t="s">
        <v>305</v>
      </c>
      <c r="D295">
        <v>12</v>
      </c>
      <c r="E295">
        <v>38</v>
      </c>
      <c r="F295" t="s">
        <v>50</v>
      </c>
      <c r="G295" s="106">
        <v>0.73611111111111116</v>
      </c>
      <c r="H295" t="s">
        <v>85</v>
      </c>
      <c r="I295" t="s">
        <v>325</v>
      </c>
      <c r="J295">
        <v>63</v>
      </c>
      <c r="K295">
        <v>7.13</v>
      </c>
      <c r="L295">
        <v>141</v>
      </c>
      <c r="M295">
        <v>18</v>
      </c>
      <c r="N295" s="58">
        <v>188.85</v>
      </c>
      <c r="O295" s="58">
        <v>157.40700000000001</v>
      </c>
      <c r="P295" s="58">
        <v>26.486699999999999</v>
      </c>
      <c r="Q295" s="58">
        <v>22.076718092566601</v>
      </c>
      <c r="R295" s="58">
        <v>10.491666666666699</v>
      </c>
      <c r="S295" s="58">
        <v>1.33936170212766</v>
      </c>
      <c r="T295" t="s">
        <v>176</v>
      </c>
      <c r="U295" s="11">
        <v>79.539900000000003</v>
      </c>
      <c r="V295"/>
      <c r="W295"/>
    </row>
    <row r="296" spans="1:23" x14ac:dyDescent="0.35">
      <c r="A296" s="40">
        <v>45550</v>
      </c>
      <c r="B296">
        <v>2024</v>
      </c>
      <c r="C296" t="s">
        <v>305</v>
      </c>
      <c r="D296">
        <v>11</v>
      </c>
      <c r="E296">
        <v>37</v>
      </c>
      <c r="F296" t="s">
        <v>45</v>
      </c>
      <c r="G296" s="106">
        <v>0.46180555555555558</v>
      </c>
      <c r="H296" t="s">
        <v>80</v>
      </c>
      <c r="I296" t="s">
        <v>281</v>
      </c>
      <c r="J296">
        <v>81</v>
      </c>
      <c r="K296">
        <v>4.58</v>
      </c>
      <c r="L296">
        <v>101</v>
      </c>
      <c r="M296">
        <v>11</v>
      </c>
      <c r="N296" s="58">
        <v>93.35</v>
      </c>
      <c r="O296" s="58">
        <v>70.826999999999998</v>
      </c>
      <c r="P296" s="58">
        <v>20.382100000000001</v>
      </c>
      <c r="Q296" s="58">
        <v>15.464410480349301</v>
      </c>
      <c r="R296" s="58">
        <v>8.4863636363636399</v>
      </c>
      <c r="S296" s="58">
        <v>0.92425742574257397</v>
      </c>
      <c r="T296" t="s">
        <v>175</v>
      </c>
      <c r="U296" s="11">
        <v>83.133399999999995</v>
      </c>
      <c r="V296"/>
      <c r="W296"/>
    </row>
    <row r="297" spans="1:23" x14ac:dyDescent="0.35">
      <c r="A297" s="40">
        <v>45549</v>
      </c>
      <c r="B297">
        <v>2024</v>
      </c>
      <c r="C297" t="s">
        <v>305</v>
      </c>
      <c r="D297">
        <v>11</v>
      </c>
      <c r="E297">
        <v>37</v>
      </c>
      <c r="F297" t="s">
        <v>51</v>
      </c>
      <c r="G297" s="106">
        <v>0.68402777777777779</v>
      </c>
      <c r="H297" t="s">
        <v>82</v>
      </c>
      <c r="I297" t="s">
        <v>230</v>
      </c>
      <c r="J297">
        <v>68</v>
      </c>
      <c r="K297">
        <v>5.88</v>
      </c>
      <c r="L297">
        <v>122</v>
      </c>
      <c r="M297">
        <v>14</v>
      </c>
      <c r="N297" s="58">
        <v>120.07</v>
      </c>
      <c r="O297" s="58">
        <v>92.864000000000004</v>
      </c>
      <c r="P297" s="58">
        <v>20.420100000000001</v>
      </c>
      <c r="Q297" s="58">
        <v>15.793197278911601</v>
      </c>
      <c r="R297" s="58">
        <v>8.5764285714285702</v>
      </c>
      <c r="S297" s="58">
        <v>0.98418032786885201</v>
      </c>
      <c r="T297" t="s">
        <v>175</v>
      </c>
      <c r="U297" s="11">
        <v>83.4054</v>
      </c>
      <c r="V297"/>
      <c r="W297"/>
    </row>
    <row r="298" spans="1:23" x14ac:dyDescent="0.35">
      <c r="A298" s="40">
        <v>45548</v>
      </c>
      <c r="B298">
        <v>2024</v>
      </c>
      <c r="C298" t="s">
        <v>305</v>
      </c>
      <c r="D298">
        <v>11</v>
      </c>
      <c r="E298">
        <v>37</v>
      </c>
      <c r="F298" t="s">
        <v>50</v>
      </c>
      <c r="G298" s="106">
        <v>0.73958333333333337</v>
      </c>
      <c r="H298" t="s">
        <v>82</v>
      </c>
      <c r="I298" t="s">
        <v>230</v>
      </c>
      <c r="J298">
        <v>79</v>
      </c>
      <c r="K298">
        <v>7.1</v>
      </c>
      <c r="L298">
        <v>147</v>
      </c>
      <c r="M298">
        <v>14</v>
      </c>
      <c r="N298" s="58">
        <v>172.95</v>
      </c>
      <c r="O298" s="58">
        <v>140.16900000000001</v>
      </c>
      <c r="P298" s="58">
        <v>24.359200000000001</v>
      </c>
      <c r="Q298" s="58">
        <v>19.742112676056301</v>
      </c>
      <c r="R298" s="58">
        <v>12.353571428571399</v>
      </c>
      <c r="S298" s="58">
        <v>1.1765306122449</v>
      </c>
      <c r="T298" t="s">
        <v>176</v>
      </c>
      <c r="U298" s="11">
        <v>82.071299999999994</v>
      </c>
      <c r="V298"/>
      <c r="W298"/>
    </row>
    <row r="299" spans="1:23" x14ac:dyDescent="0.35">
      <c r="A299" s="40">
        <v>45547</v>
      </c>
      <c r="B299">
        <v>2024</v>
      </c>
      <c r="C299" t="s">
        <v>305</v>
      </c>
      <c r="D299">
        <v>11</v>
      </c>
      <c r="E299">
        <v>37</v>
      </c>
      <c r="F299" t="s">
        <v>49</v>
      </c>
      <c r="G299" s="106">
        <v>0.72222222222222221</v>
      </c>
      <c r="H299" t="s">
        <v>82</v>
      </c>
      <c r="I299" t="s">
        <v>230</v>
      </c>
      <c r="J299">
        <v>70</v>
      </c>
      <c r="K299">
        <v>6.2</v>
      </c>
      <c r="L299">
        <v>101</v>
      </c>
      <c r="M299">
        <v>19</v>
      </c>
      <c r="N299" s="58">
        <v>154.49</v>
      </c>
      <c r="O299" s="58">
        <v>131.96700000000001</v>
      </c>
      <c r="P299" s="58">
        <v>24.9177</v>
      </c>
      <c r="Q299" s="58">
        <v>21.285</v>
      </c>
      <c r="R299" s="58">
        <v>8.1310526315789495</v>
      </c>
      <c r="S299" s="58">
        <v>1.5296039603960401</v>
      </c>
      <c r="T299" t="s">
        <v>175</v>
      </c>
      <c r="U299" s="11">
        <v>81.737200000000001</v>
      </c>
      <c r="V299"/>
      <c r="W299"/>
    </row>
    <row r="300" spans="1:23" x14ac:dyDescent="0.35">
      <c r="A300" s="40">
        <v>45546</v>
      </c>
      <c r="B300">
        <v>2024</v>
      </c>
      <c r="C300" t="s">
        <v>305</v>
      </c>
      <c r="D300">
        <v>11</v>
      </c>
      <c r="E300">
        <v>37</v>
      </c>
      <c r="F300" t="s">
        <v>48</v>
      </c>
      <c r="G300" s="106">
        <v>0.71527777777777779</v>
      </c>
      <c r="H300" t="s">
        <v>80</v>
      </c>
      <c r="I300" t="s">
        <v>230</v>
      </c>
      <c r="J300">
        <v>66</v>
      </c>
      <c r="K300">
        <v>5.98</v>
      </c>
      <c r="L300">
        <v>119</v>
      </c>
      <c r="M300">
        <v>13</v>
      </c>
      <c r="N300" s="58">
        <v>110.62</v>
      </c>
      <c r="O300" s="58">
        <v>84.082999999999998</v>
      </c>
      <c r="P300" s="58">
        <v>18.4983</v>
      </c>
      <c r="Q300" s="58">
        <v>14.0607023411371</v>
      </c>
      <c r="R300" s="58">
        <v>8.5092307692307703</v>
      </c>
      <c r="S300" s="58">
        <v>0.92957983193277305</v>
      </c>
      <c r="T300" t="s">
        <v>176</v>
      </c>
      <c r="U300" s="11">
        <v>82.318299999999994</v>
      </c>
      <c r="V300"/>
      <c r="W300"/>
    </row>
    <row r="301" spans="1:23" x14ac:dyDescent="0.35">
      <c r="A301" s="40">
        <v>45545</v>
      </c>
      <c r="B301">
        <v>2024</v>
      </c>
      <c r="C301" t="s">
        <v>305</v>
      </c>
      <c r="D301">
        <v>11</v>
      </c>
      <c r="E301">
        <v>37</v>
      </c>
      <c r="F301" t="s">
        <v>47</v>
      </c>
      <c r="G301" s="106">
        <v>0.73611111111111116</v>
      </c>
      <c r="H301" t="s">
        <v>80</v>
      </c>
      <c r="I301" t="s">
        <v>230</v>
      </c>
      <c r="J301">
        <v>63</v>
      </c>
      <c r="K301">
        <v>5.3</v>
      </c>
      <c r="L301">
        <v>119</v>
      </c>
      <c r="M301">
        <v>10</v>
      </c>
      <c r="N301" s="58">
        <v>96.5</v>
      </c>
      <c r="O301" s="58">
        <v>69.962999999999994</v>
      </c>
      <c r="P301" s="58">
        <v>18.2075</v>
      </c>
      <c r="Q301" s="58">
        <v>13.200566037735801</v>
      </c>
      <c r="R301" s="58">
        <v>9.65</v>
      </c>
      <c r="S301" s="58">
        <v>0.81092436974789905</v>
      </c>
      <c r="T301" t="s">
        <v>176</v>
      </c>
      <c r="U301" s="11">
        <v>82.578100000000006</v>
      </c>
      <c r="V301"/>
      <c r="W301"/>
    </row>
    <row r="302" spans="1:23" x14ac:dyDescent="0.35">
      <c r="A302" s="40">
        <v>45544</v>
      </c>
      <c r="B302">
        <v>2024</v>
      </c>
      <c r="C302" t="s">
        <v>305</v>
      </c>
      <c r="D302">
        <v>11</v>
      </c>
      <c r="E302">
        <v>37</v>
      </c>
      <c r="F302" t="s">
        <v>46</v>
      </c>
      <c r="G302" s="106">
        <v>0.74305555555555558</v>
      </c>
      <c r="H302" t="s">
        <v>80</v>
      </c>
      <c r="I302" t="s">
        <v>249</v>
      </c>
      <c r="J302">
        <v>64</v>
      </c>
      <c r="K302">
        <v>5.8</v>
      </c>
      <c r="L302">
        <v>133</v>
      </c>
      <c r="M302">
        <v>16</v>
      </c>
      <c r="N302" s="58">
        <v>203.74</v>
      </c>
      <c r="O302" s="58">
        <v>174.08099999999999</v>
      </c>
      <c r="P302" s="58">
        <v>35.127600000000001</v>
      </c>
      <c r="Q302" s="58">
        <v>30.013965517241399</v>
      </c>
      <c r="R302" s="58">
        <v>12.733750000000001</v>
      </c>
      <c r="S302" s="58">
        <v>1.5318796992481201</v>
      </c>
      <c r="T302" t="s">
        <v>176</v>
      </c>
      <c r="U302" s="11">
        <v>82.672300000000007</v>
      </c>
      <c r="V302"/>
      <c r="W302"/>
    </row>
    <row r="303" spans="1:23" x14ac:dyDescent="0.35">
      <c r="A303" s="40">
        <v>45542</v>
      </c>
      <c r="B303">
        <v>2024</v>
      </c>
      <c r="C303" t="s">
        <v>305</v>
      </c>
      <c r="D303">
        <v>10</v>
      </c>
      <c r="E303">
        <v>36</v>
      </c>
      <c r="F303" t="s">
        <v>51</v>
      </c>
      <c r="G303" s="106">
        <v>0.80555555555555558</v>
      </c>
      <c r="H303" t="s">
        <v>85</v>
      </c>
      <c r="I303" t="s">
        <v>285</v>
      </c>
      <c r="J303">
        <v>64</v>
      </c>
      <c r="K303">
        <v>3.95</v>
      </c>
      <c r="L303">
        <v>104</v>
      </c>
      <c r="M303">
        <v>7</v>
      </c>
      <c r="N303" s="58">
        <v>81.209999999999994</v>
      </c>
      <c r="O303" s="58">
        <v>58.018000000000001</v>
      </c>
      <c r="P303" s="58">
        <v>20.5595</v>
      </c>
      <c r="Q303" s="58">
        <v>14.6881012658228</v>
      </c>
      <c r="R303" s="58">
        <v>11.601428571428601</v>
      </c>
      <c r="S303" s="58">
        <v>0.78086538461538402</v>
      </c>
      <c r="T303" t="s">
        <v>176</v>
      </c>
      <c r="U303" s="11">
        <v>82.977099999999993</v>
      </c>
      <c r="V303"/>
      <c r="W303"/>
    </row>
    <row r="304" spans="1:23" x14ac:dyDescent="0.35">
      <c r="A304" s="40">
        <v>45541</v>
      </c>
      <c r="B304">
        <v>2024</v>
      </c>
      <c r="C304" t="s">
        <v>305</v>
      </c>
      <c r="D304">
        <v>10</v>
      </c>
      <c r="E304">
        <v>36</v>
      </c>
      <c r="F304" t="s">
        <v>50</v>
      </c>
      <c r="G304" s="106">
        <v>0.72222222222222221</v>
      </c>
      <c r="H304" t="s">
        <v>85</v>
      </c>
      <c r="I304" t="s">
        <v>249</v>
      </c>
      <c r="J304">
        <v>63</v>
      </c>
      <c r="K304">
        <v>6.05</v>
      </c>
      <c r="L304">
        <v>109</v>
      </c>
      <c r="M304">
        <v>13</v>
      </c>
      <c r="N304" s="58">
        <v>130.28</v>
      </c>
      <c r="O304" s="58">
        <v>105.973</v>
      </c>
      <c r="P304" s="58">
        <v>21.533899999999999</v>
      </c>
      <c r="Q304" s="58">
        <v>17.516198347107402</v>
      </c>
      <c r="R304" s="58">
        <v>10.021538461538499</v>
      </c>
      <c r="S304" s="58">
        <v>1.1952293577981701</v>
      </c>
      <c r="T304" t="s">
        <v>175</v>
      </c>
      <c r="U304" s="11">
        <v>84.008899999999997</v>
      </c>
      <c r="V304"/>
      <c r="W304"/>
    </row>
    <row r="305" spans="1:23" x14ac:dyDescent="0.35">
      <c r="A305" s="40">
        <v>45540</v>
      </c>
      <c r="B305">
        <v>2024</v>
      </c>
      <c r="C305" t="s">
        <v>305</v>
      </c>
      <c r="D305">
        <v>10</v>
      </c>
      <c r="E305">
        <v>36</v>
      </c>
      <c r="F305" t="s">
        <v>49</v>
      </c>
      <c r="G305" s="106">
        <v>0.78472222222222221</v>
      </c>
      <c r="H305" t="s">
        <v>82</v>
      </c>
      <c r="I305" t="s">
        <v>230</v>
      </c>
      <c r="J305">
        <v>70</v>
      </c>
      <c r="K305">
        <v>3.58</v>
      </c>
      <c r="L305">
        <v>46</v>
      </c>
      <c r="M305">
        <v>8</v>
      </c>
      <c r="N305" s="58">
        <v>80.3</v>
      </c>
      <c r="O305" s="58">
        <v>70.042000000000002</v>
      </c>
      <c r="P305" s="58">
        <v>22.430199999999999</v>
      </c>
      <c r="Q305" s="58">
        <v>19.5648044692737</v>
      </c>
      <c r="R305" s="58">
        <v>10.0375</v>
      </c>
      <c r="S305" s="58">
        <v>1.74565217391304</v>
      </c>
      <c r="T305" t="s">
        <v>176</v>
      </c>
      <c r="U305" s="11">
        <v>84.073400000000007</v>
      </c>
      <c r="V305"/>
      <c r="W305"/>
    </row>
    <row r="306" spans="1:23" x14ac:dyDescent="0.35">
      <c r="A306" s="40">
        <v>45537</v>
      </c>
      <c r="B306">
        <v>2024</v>
      </c>
      <c r="C306" t="s">
        <v>305</v>
      </c>
      <c r="D306">
        <v>10</v>
      </c>
      <c r="E306">
        <v>36</v>
      </c>
      <c r="F306" t="s">
        <v>46</v>
      </c>
      <c r="G306" s="106">
        <v>0.65277777777777779</v>
      </c>
      <c r="H306" t="s">
        <v>85</v>
      </c>
      <c r="I306" t="s">
        <v>230</v>
      </c>
      <c r="J306">
        <v>64</v>
      </c>
      <c r="K306">
        <v>6.78</v>
      </c>
      <c r="L306">
        <v>103</v>
      </c>
      <c r="M306">
        <v>17</v>
      </c>
      <c r="N306" s="58">
        <v>196.91</v>
      </c>
      <c r="O306" s="58">
        <v>173.941</v>
      </c>
      <c r="P306" s="58">
        <v>29.0428</v>
      </c>
      <c r="Q306" s="58">
        <v>25.655014749262499</v>
      </c>
      <c r="R306" s="58">
        <v>11.5829411764706</v>
      </c>
      <c r="S306" s="58">
        <v>1.91174757281553</v>
      </c>
      <c r="T306" t="s">
        <v>176</v>
      </c>
      <c r="U306" s="11">
        <v>87.577600000000004</v>
      </c>
      <c r="V306"/>
      <c r="W306"/>
    </row>
    <row r="307" spans="1:23" x14ac:dyDescent="0.35">
      <c r="A307" s="40">
        <v>45532</v>
      </c>
      <c r="B307">
        <v>2024</v>
      </c>
      <c r="C307" t="s">
        <v>305</v>
      </c>
      <c r="D307">
        <v>9</v>
      </c>
      <c r="E307">
        <v>35</v>
      </c>
      <c r="F307" t="s">
        <v>48</v>
      </c>
      <c r="G307" s="106">
        <v>0.70486111111111116</v>
      </c>
      <c r="H307" t="s">
        <v>80</v>
      </c>
      <c r="I307" t="s">
        <v>230</v>
      </c>
      <c r="J307">
        <v>66</v>
      </c>
      <c r="K307">
        <v>2.73</v>
      </c>
      <c r="L307">
        <v>50</v>
      </c>
      <c r="M307">
        <v>8</v>
      </c>
      <c r="N307" s="58">
        <v>62.17</v>
      </c>
      <c r="O307" s="58">
        <v>51.02</v>
      </c>
      <c r="P307" s="58">
        <v>22.7729</v>
      </c>
      <c r="Q307" s="58">
        <v>18.6886446886447</v>
      </c>
      <c r="R307" s="58">
        <v>7.7712500000000002</v>
      </c>
      <c r="S307" s="58">
        <v>1.2434000000000001</v>
      </c>
      <c r="T307" t="s">
        <v>176</v>
      </c>
      <c r="U307" s="11">
        <v>91.822400000000002</v>
      </c>
      <c r="V307"/>
      <c r="W307"/>
    </row>
    <row r="308" spans="1:23" x14ac:dyDescent="0.35">
      <c r="A308" s="40">
        <v>45531</v>
      </c>
      <c r="B308">
        <v>2024</v>
      </c>
      <c r="C308" t="s">
        <v>305</v>
      </c>
      <c r="D308">
        <v>9</v>
      </c>
      <c r="E308">
        <v>35</v>
      </c>
      <c r="F308" t="s">
        <v>47</v>
      </c>
      <c r="G308" s="106">
        <v>0.71875</v>
      </c>
      <c r="H308" t="s">
        <v>85</v>
      </c>
      <c r="I308" t="s">
        <v>230</v>
      </c>
      <c r="J308">
        <v>68</v>
      </c>
      <c r="K308">
        <v>5.47</v>
      </c>
      <c r="L308">
        <v>90</v>
      </c>
      <c r="M308">
        <v>11</v>
      </c>
      <c r="N308" s="58">
        <v>106.47</v>
      </c>
      <c r="O308" s="58">
        <v>86.4</v>
      </c>
      <c r="P308" s="58">
        <v>19.464400000000001</v>
      </c>
      <c r="Q308" s="58">
        <v>15.7952468007313</v>
      </c>
      <c r="R308" s="58">
        <v>9.6790909090909096</v>
      </c>
      <c r="S308" s="58">
        <v>1.1830000000000001</v>
      </c>
      <c r="T308" t="s">
        <v>176</v>
      </c>
      <c r="U308" s="11">
        <v>92.864199999999997</v>
      </c>
      <c r="V308"/>
      <c r="W308"/>
    </row>
    <row r="309" spans="1:23" x14ac:dyDescent="0.35">
      <c r="A309" s="40">
        <v>45530</v>
      </c>
      <c r="B309">
        <v>2024</v>
      </c>
      <c r="C309" t="s">
        <v>305</v>
      </c>
      <c r="D309">
        <v>9</v>
      </c>
      <c r="E309">
        <v>35</v>
      </c>
      <c r="F309" t="s">
        <v>46</v>
      </c>
      <c r="G309" s="106">
        <v>0.72569444444444442</v>
      </c>
      <c r="H309" t="s">
        <v>85</v>
      </c>
      <c r="I309" t="s">
        <v>276</v>
      </c>
      <c r="J309">
        <v>66</v>
      </c>
      <c r="K309">
        <v>5.7</v>
      </c>
      <c r="L309">
        <v>145</v>
      </c>
      <c r="M309">
        <v>13</v>
      </c>
      <c r="N309" s="58">
        <v>147.57</v>
      </c>
      <c r="O309" s="58">
        <v>115.235</v>
      </c>
      <c r="P309" s="58">
        <v>25.889500000000002</v>
      </c>
      <c r="Q309" s="58">
        <v>20.216666666666701</v>
      </c>
      <c r="R309" s="58">
        <v>11.3515384615385</v>
      </c>
      <c r="S309" s="58">
        <v>1.01772413793103</v>
      </c>
      <c r="T309" t="s">
        <v>176</v>
      </c>
      <c r="U309" s="11">
        <v>92.217100000000002</v>
      </c>
      <c r="V309"/>
      <c r="W309"/>
    </row>
    <row r="310" spans="1:23" x14ac:dyDescent="0.35">
      <c r="A310" s="40">
        <v>45529</v>
      </c>
      <c r="B310">
        <v>2024</v>
      </c>
      <c r="C310" t="s">
        <v>305</v>
      </c>
      <c r="D310">
        <v>8</v>
      </c>
      <c r="E310">
        <v>34</v>
      </c>
      <c r="F310" t="s">
        <v>45</v>
      </c>
      <c r="G310" s="106">
        <v>0.72569444444444442</v>
      </c>
      <c r="H310" t="s">
        <v>85</v>
      </c>
      <c r="I310" t="s">
        <v>285</v>
      </c>
      <c r="J310">
        <v>72</v>
      </c>
      <c r="K310">
        <v>5.92</v>
      </c>
      <c r="L310">
        <v>144</v>
      </c>
      <c r="M310">
        <v>15</v>
      </c>
      <c r="N310" s="58">
        <v>159.02000000000001</v>
      </c>
      <c r="O310" s="58">
        <v>126.908</v>
      </c>
      <c r="P310" s="58">
        <v>26.861499999999999</v>
      </c>
      <c r="Q310" s="58">
        <v>21.437162162162199</v>
      </c>
      <c r="R310" s="58">
        <v>10.601333333333301</v>
      </c>
      <c r="S310" s="58">
        <v>1.1043055555555601</v>
      </c>
      <c r="T310" t="s">
        <v>176</v>
      </c>
      <c r="U310" s="11">
        <v>91.924300000000002</v>
      </c>
      <c r="V310"/>
      <c r="W310"/>
    </row>
    <row r="311" spans="1:23" x14ac:dyDescent="0.35">
      <c r="A311" s="40">
        <v>45528</v>
      </c>
      <c r="B311">
        <v>2024</v>
      </c>
      <c r="C311" t="s">
        <v>305</v>
      </c>
      <c r="D311">
        <v>8</v>
      </c>
      <c r="E311">
        <v>34</v>
      </c>
      <c r="F311" t="s">
        <v>51</v>
      </c>
      <c r="G311" s="106">
        <v>0.68402777777777779</v>
      </c>
      <c r="H311" t="s">
        <v>85</v>
      </c>
      <c r="I311" t="s">
        <v>249</v>
      </c>
      <c r="J311">
        <v>70</v>
      </c>
      <c r="K311">
        <v>6.93</v>
      </c>
      <c r="L311">
        <v>131</v>
      </c>
      <c r="M311">
        <v>16</v>
      </c>
      <c r="N311" s="58">
        <v>144.54</v>
      </c>
      <c r="O311" s="58">
        <v>115.327</v>
      </c>
      <c r="P311" s="58">
        <v>20.857099999999999</v>
      </c>
      <c r="Q311" s="58">
        <v>16.641702741702701</v>
      </c>
      <c r="R311" s="58">
        <v>9.0337499999999995</v>
      </c>
      <c r="S311" s="58">
        <v>1.10335877862595</v>
      </c>
      <c r="T311" t="s">
        <v>176</v>
      </c>
      <c r="U311" s="11">
        <v>91.196200000000005</v>
      </c>
      <c r="V311"/>
      <c r="W311"/>
    </row>
    <row r="312" spans="1:23" x14ac:dyDescent="0.35">
      <c r="A312" s="40">
        <v>45527</v>
      </c>
      <c r="B312">
        <v>2024</v>
      </c>
      <c r="C312" t="s">
        <v>305</v>
      </c>
      <c r="D312">
        <v>8</v>
      </c>
      <c r="E312">
        <v>34</v>
      </c>
      <c r="F312" t="s">
        <v>50</v>
      </c>
      <c r="G312" s="106">
        <v>0.71180555555555558</v>
      </c>
      <c r="H312" t="s">
        <v>85</v>
      </c>
      <c r="I312" t="s">
        <v>249</v>
      </c>
      <c r="J312">
        <v>68</v>
      </c>
      <c r="K312">
        <v>7.52</v>
      </c>
      <c r="L312">
        <v>163</v>
      </c>
      <c r="M312">
        <v>16</v>
      </c>
      <c r="N312" s="58">
        <v>234.59</v>
      </c>
      <c r="O312" s="58">
        <v>198.24100000000001</v>
      </c>
      <c r="P312" s="58">
        <v>31.195499999999999</v>
      </c>
      <c r="Q312" s="58">
        <v>26.361835106383001</v>
      </c>
      <c r="R312" s="58">
        <v>14.661875</v>
      </c>
      <c r="S312" s="58">
        <v>1.4392024539877299</v>
      </c>
      <c r="T312" t="s">
        <v>176</v>
      </c>
      <c r="U312" s="11">
        <v>89.590199999999996</v>
      </c>
      <c r="V312"/>
      <c r="W312"/>
    </row>
    <row r="313" spans="1:23" x14ac:dyDescent="0.35">
      <c r="A313" s="40">
        <v>45526</v>
      </c>
      <c r="B313">
        <v>2024</v>
      </c>
      <c r="C313" t="s">
        <v>305</v>
      </c>
      <c r="D313">
        <v>8</v>
      </c>
      <c r="E313">
        <v>34</v>
      </c>
      <c r="F313" t="s">
        <v>49</v>
      </c>
      <c r="G313" s="106">
        <v>0.73958333333333337</v>
      </c>
      <c r="H313" t="s">
        <v>85</v>
      </c>
      <c r="I313" t="s">
        <v>249</v>
      </c>
      <c r="J313">
        <v>68</v>
      </c>
      <c r="K313">
        <v>6.22</v>
      </c>
      <c r="L313">
        <v>112</v>
      </c>
      <c r="M313">
        <v>15</v>
      </c>
      <c r="N313" s="58">
        <v>145.18</v>
      </c>
      <c r="O313" s="58">
        <v>120.20399999999999</v>
      </c>
      <c r="P313" s="58">
        <v>23.340800000000002</v>
      </c>
      <c r="Q313" s="58">
        <v>19.325401929260401</v>
      </c>
      <c r="R313" s="58">
        <v>9.6786666666666701</v>
      </c>
      <c r="S313" s="58">
        <v>1.2962499999999999</v>
      </c>
      <c r="T313" t="s">
        <v>176</v>
      </c>
      <c r="U313" s="11">
        <v>86.983699999999999</v>
      </c>
      <c r="V313"/>
      <c r="W313"/>
    </row>
    <row r="314" spans="1:23" x14ac:dyDescent="0.35">
      <c r="A314" s="40">
        <v>45525</v>
      </c>
      <c r="B314">
        <v>2024</v>
      </c>
      <c r="C314" t="s">
        <v>305</v>
      </c>
      <c r="D314">
        <v>8</v>
      </c>
      <c r="E314">
        <v>34</v>
      </c>
      <c r="F314" t="s">
        <v>48</v>
      </c>
      <c r="G314" s="106">
        <v>0.71875</v>
      </c>
      <c r="H314" t="s">
        <v>85</v>
      </c>
      <c r="I314" t="s">
        <v>230</v>
      </c>
      <c r="J314">
        <v>64</v>
      </c>
      <c r="K314">
        <v>6.02</v>
      </c>
      <c r="L314">
        <v>136</v>
      </c>
      <c r="M314">
        <v>12</v>
      </c>
      <c r="N314" s="58">
        <v>143.61000000000001</v>
      </c>
      <c r="O314" s="58">
        <v>113.282</v>
      </c>
      <c r="P314" s="58">
        <v>23.855499999999999</v>
      </c>
      <c r="Q314" s="58">
        <v>18.8176079734219</v>
      </c>
      <c r="R314" s="58">
        <v>11.967499999999999</v>
      </c>
      <c r="S314" s="58">
        <v>1.05595588235294</v>
      </c>
      <c r="T314" t="s">
        <v>176</v>
      </c>
      <c r="U314" s="11">
        <v>86.172700000000006</v>
      </c>
      <c r="V314"/>
      <c r="W314"/>
    </row>
    <row r="315" spans="1:23" x14ac:dyDescent="0.35">
      <c r="A315" s="40">
        <v>45522</v>
      </c>
      <c r="B315">
        <v>2024</v>
      </c>
      <c r="C315" t="s">
        <v>305</v>
      </c>
      <c r="D315">
        <v>7</v>
      </c>
      <c r="E315">
        <v>33</v>
      </c>
      <c r="F315" t="s">
        <v>45</v>
      </c>
      <c r="G315" s="106">
        <v>0.80208333333333337</v>
      </c>
      <c r="H315" t="s">
        <v>85</v>
      </c>
      <c r="I315" t="s">
        <v>249</v>
      </c>
      <c r="J315">
        <v>68</v>
      </c>
      <c r="K315">
        <v>4.1500000000000004</v>
      </c>
      <c r="L315">
        <v>64</v>
      </c>
      <c r="M315">
        <v>11</v>
      </c>
      <c r="N315" s="58">
        <v>76.099999999999994</v>
      </c>
      <c r="O315" s="58">
        <v>61.828000000000003</v>
      </c>
      <c r="P315" s="58">
        <v>18.337299999999999</v>
      </c>
      <c r="Q315" s="58">
        <v>14.898313253012001</v>
      </c>
      <c r="R315" s="58">
        <v>6.9181818181818198</v>
      </c>
      <c r="S315" s="58">
        <v>1.1890624999999999</v>
      </c>
      <c r="T315" t="s">
        <v>175</v>
      </c>
      <c r="U315" s="11">
        <v>86.558599999999998</v>
      </c>
      <c r="V315"/>
      <c r="W315"/>
    </row>
    <row r="316" spans="1:23" x14ac:dyDescent="0.35">
      <c r="A316" s="40">
        <v>45521</v>
      </c>
      <c r="B316">
        <v>2024</v>
      </c>
      <c r="C316" t="s">
        <v>305</v>
      </c>
      <c r="D316">
        <v>7</v>
      </c>
      <c r="E316">
        <v>33</v>
      </c>
      <c r="F316" t="s">
        <v>51</v>
      </c>
      <c r="G316" s="106">
        <v>0.72222222222222221</v>
      </c>
      <c r="H316" t="s">
        <v>85</v>
      </c>
      <c r="I316" t="s">
        <v>249</v>
      </c>
      <c r="J316">
        <v>66</v>
      </c>
      <c r="K316">
        <v>6.35</v>
      </c>
      <c r="L316">
        <v>131</v>
      </c>
      <c r="M316">
        <v>17</v>
      </c>
      <c r="N316" s="58">
        <v>165.45</v>
      </c>
      <c r="O316" s="58">
        <v>136.23699999999999</v>
      </c>
      <c r="P316" s="58">
        <v>26.055099999999999</v>
      </c>
      <c r="Q316" s="58">
        <v>21.454645669291299</v>
      </c>
      <c r="R316" s="58">
        <v>9.7323529411764707</v>
      </c>
      <c r="S316" s="58">
        <v>1.26297709923664</v>
      </c>
      <c r="T316" t="s">
        <v>176</v>
      </c>
      <c r="U316" s="11">
        <v>85.957400000000007</v>
      </c>
      <c r="V316"/>
      <c r="W316"/>
    </row>
    <row r="317" spans="1:23" x14ac:dyDescent="0.35">
      <c r="A317" s="40">
        <v>45520</v>
      </c>
      <c r="B317">
        <v>2024</v>
      </c>
      <c r="C317" t="s">
        <v>305</v>
      </c>
      <c r="D317">
        <v>7</v>
      </c>
      <c r="E317">
        <v>33</v>
      </c>
      <c r="F317" t="s">
        <v>50</v>
      </c>
      <c r="G317" s="106">
        <v>0.72222222222222221</v>
      </c>
      <c r="H317" t="s">
        <v>85</v>
      </c>
      <c r="I317" t="s">
        <v>276</v>
      </c>
      <c r="J317">
        <v>66</v>
      </c>
      <c r="K317">
        <v>6.57</v>
      </c>
      <c r="L317">
        <v>140</v>
      </c>
      <c r="M317">
        <v>15</v>
      </c>
      <c r="N317" s="58">
        <v>141.51</v>
      </c>
      <c r="O317" s="58">
        <v>110.29</v>
      </c>
      <c r="P317" s="58">
        <v>21.538799999999998</v>
      </c>
      <c r="Q317" s="58">
        <v>16.786910197869101</v>
      </c>
      <c r="R317" s="58">
        <v>9.4339999999999993</v>
      </c>
      <c r="S317" s="58">
        <v>1.01078571428571</v>
      </c>
      <c r="T317" t="s">
        <v>175</v>
      </c>
      <c r="U317" s="11">
        <v>84.119100000000003</v>
      </c>
      <c r="V317"/>
      <c r="W317"/>
    </row>
    <row r="318" spans="1:23" x14ac:dyDescent="0.35">
      <c r="A318" s="40">
        <v>45519</v>
      </c>
      <c r="B318">
        <v>2024</v>
      </c>
      <c r="C318" t="s">
        <v>305</v>
      </c>
      <c r="D318">
        <v>7</v>
      </c>
      <c r="E318">
        <v>33</v>
      </c>
      <c r="F318" t="s">
        <v>49</v>
      </c>
      <c r="G318" s="106">
        <v>0.71527777777777779</v>
      </c>
      <c r="H318" t="s">
        <v>82</v>
      </c>
      <c r="I318" t="s">
        <v>276</v>
      </c>
      <c r="J318">
        <v>68</v>
      </c>
      <c r="K318">
        <v>6.3</v>
      </c>
      <c r="L318">
        <v>92</v>
      </c>
      <c r="M318">
        <v>18</v>
      </c>
      <c r="N318" s="58">
        <v>110.67</v>
      </c>
      <c r="O318" s="58">
        <v>90.153999999999996</v>
      </c>
      <c r="P318" s="58">
        <v>17.566700000000001</v>
      </c>
      <c r="Q318" s="58">
        <v>14.310158730158699</v>
      </c>
      <c r="R318" s="58">
        <v>6.1483333333333299</v>
      </c>
      <c r="S318" s="58">
        <v>1.2029347826087</v>
      </c>
      <c r="T318" t="s">
        <v>176</v>
      </c>
      <c r="U318" s="11">
        <v>82.546800000000005</v>
      </c>
      <c r="V318"/>
      <c r="W318"/>
    </row>
    <row r="319" spans="1:23" x14ac:dyDescent="0.35">
      <c r="A319" s="40">
        <v>45518</v>
      </c>
      <c r="B319">
        <v>2024</v>
      </c>
      <c r="C319" t="s">
        <v>305</v>
      </c>
      <c r="D319">
        <v>7</v>
      </c>
      <c r="E319">
        <v>33</v>
      </c>
      <c r="F319" t="s">
        <v>48</v>
      </c>
      <c r="G319" s="106">
        <v>0.70486111111111116</v>
      </c>
      <c r="H319" t="s">
        <v>85</v>
      </c>
      <c r="I319" t="s">
        <v>249</v>
      </c>
      <c r="J319">
        <v>70</v>
      </c>
      <c r="K319">
        <v>7.1</v>
      </c>
      <c r="L319">
        <v>137</v>
      </c>
      <c r="M319">
        <v>14</v>
      </c>
      <c r="N319" s="58">
        <v>159.01</v>
      </c>
      <c r="O319" s="58">
        <v>128.459</v>
      </c>
      <c r="P319" s="58">
        <v>22.395800000000001</v>
      </c>
      <c r="Q319" s="58">
        <v>18.092816901408401</v>
      </c>
      <c r="R319" s="58">
        <v>11.3578571428571</v>
      </c>
      <c r="S319" s="58">
        <v>1.16065693430657</v>
      </c>
      <c r="T319" t="s">
        <v>176</v>
      </c>
      <c r="U319" s="11">
        <v>83.000299999999996</v>
      </c>
      <c r="V319"/>
      <c r="W319"/>
    </row>
    <row r="320" spans="1:23" x14ac:dyDescent="0.35">
      <c r="A320" s="40">
        <v>45517</v>
      </c>
      <c r="B320">
        <v>2024</v>
      </c>
      <c r="C320" t="s">
        <v>305</v>
      </c>
      <c r="D320">
        <v>7</v>
      </c>
      <c r="E320">
        <v>33</v>
      </c>
      <c r="F320" t="s">
        <v>47</v>
      </c>
      <c r="G320" s="106">
        <v>0.71875</v>
      </c>
      <c r="H320" t="s">
        <v>82</v>
      </c>
      <c r="I320" t="s">
        <v>230</v>
      </c>
      <c r="J320">
        <v>79</v>
      </c>
      <c r="K320">
        <v>3.77</v>
      </c>
      <c r="L320">
        <v>99</v>
      </c>
      <c r="M320">
        <v>6</v>
      </c>
      <c r="N320" s="58">
        <v>39.75</v>
      </c>
      <c r="O320" s="58">
        <v>17.672999999999998</v>
      </c>
      <c r="P320" s="58">
        <v>10.543799999999999</v>
      </c>
      <c r="Q320" s="58">
        <v>4.6877984084880602</v>
      </c>
      <c r="R320" s="58">
        <v>6.625</v>
      </c>
      <c r="S320" s="58">
        <v>0.40151515151515199</v>
      </c>
      <c r="T320" t="s">
        <v>176</v>
      </c>
      <c r="U320" s="11">
        <v>82.674300000000002</v>
      </c>
      <c r="V320"/>
      <c r="W320"/>
    </row>
    <row r="321" spans="1:23" x14ac:dyDescent="0.35">
      <c r="A321" s="40">
        <v>45516</v>
      </c>
      <c r="B321">
        <v>2024</v>
      </c>
      <c r="C321" t="s">
        <v>305</v>
      </c>
      <c r="D321">
        <v>7</v>
      </c>
      <c r="E321">
        <v>33</v>
      </c>
      <c r="F321" t="s">
        <v>46</v>
      </c>
      <c r="G321" s="106">
        <v>0.71180555555555558</v>
      </c>
      <c r="H321" t="s">
        <v>85</v>
      </c>
      <c r="I321" t="s">
        <v>230</v>
      </c>
      <c r="J321">
        <v>72</v>
      </c>
      <c r="K321">
        <v>6.45</v>
      </c>
      <c r="L321">
        <v>104</v>
      </c>
      <c r="M321">
        <v>14</v>
      </c>
      <c r="N321" s="58">
        <v>133.61000000000001</v>
      </c>
      <c r="O321" s="58">
        <v>110.41800000000001</v>
      </c>
      <c r="P321" s="58">
        <v>20.714700000000001</v>
      </c>
      <c r="Q321" s="58">
        <v>17.1190697674419</v>
      </c>
      <c r="R321" s="58">
        <v>9.5435714285714308</v>
      </c>
      <c r="S321" s="58">
        <v>1.28471153846154</v>
      </c>
      <c r="T321" t="s">
        <v>176</v>
      </c>
      <c r="U321" s="11">
        <v>83.623199999999997</v>
      </c>
      <c r="V321"/>
      <c r="W321"/>
    </row>
    <row r="322" spans="1:23" x14ac:dyDescent="0.35">
      <c r="A322" s="40">
        <v>45515</v>
      </c>
      <c r="B322">
        <v>2024</v>
      </c>
      <c r="C322" t="s">
        <v>305</v>
      </c>
      <c r="D322">
        <v>6</v>
      </c>
      <c r="E322">
        <v>32</v>
      </c>
      <c r="F322" t="s">
        <v>45</v>
      </c>
      <c r="G322" s="106">
        <v>0.71180555555555558</v>
      </c>
      <c r="H322" t="s">
        <v>85</v>
      </c>
      <c r="I322" t="s">
        <v>249</v>
      </c>
      <c r="J322">
        <v>72</v>
      </c>
      <c r="K322">
        <v>6.45</v>
      </c>
      <c r="L322">
        <v>163</v>
      </c>
      <c r="M322">
        <v>13</v>
      </c>
      <c r="N322" s="58">
        <v>171.04</v>
      </c>
      <c r="O322" s="58">
        <v>134.691</v>
      </c>
      <c r="P322" s="58">
        <v>26.517800000000001</v>
      </c>
      <c r="Q322" s="58">
        <v>20.8823255813953</v>
      </c>
      <c r="R322" s="58">
        <v>13.1569230769231</v>
      </c>
      <c r="S322" s="58">
        <v>1.04932515337423</v>
      </c>
      <c r="T322" t="s">
        <v>176</v>
      </c>
      <c r="U322" s="11">
        <v>83.721800000000002</v>
      </c>
      <c r="V322"/>
      <c r="W322"/>
    </row>
    <row r="323" spans="1:23" x14ac:dyDescent="0.35">
      <c r="A323" s="40">
        <v>45514</v>
      </c>
      <c r="B323">
        <v>2024</v>
      </c>
      <c r="C323" t="s">
        <v>305</v>
      </c>
      <c r="D323">
        <v>6</v>
      </c>
      <c r="E323">
        <v>32</v>
      </c>
      <c r="F323" t="s">
        <v>51</v>
      </c>
      <c r="G323" s="106">
        <v>0.72916666666666663</v>
      </c>
      <c r="H323" t="s">
        <v>82</v>
      </c>
      <c r="I323" t="s">
        <v>230</v>
      </c>
      <c r="J323">
        <v>81</v>
      </c>
      <c r="K323">
        <v>7.63</v>
      </c>
      <c r="L323">
        <v>119</v>
      </c>
      <c r="M323">
        <v>17</v>
      </c>
      <c r="N323" s="58">
        <v>130.59</v>
      </c>
      <c r="O323" s="58">
        <v>104.053</v>
      </c>
      <c r="P323" s="58">
        <v>17.115300000000001</v>
      </c>
      <c r="Q323" s="58">
        <v>13.637352555701201</v>
      </c>
      <c r="R323" s="58">
        <v>7.6817647058823502</v>
      </c>
      <c r="S323" s="58">
        <v>1.0973949579831901</v>
      </c>
      <c r="T323" t="s">
        <v>176</v>
      </c>
      <c r="U323" s="11">
        <v>83.419399999999996</v>
      </c>
      <c r="V323"/>
      <c r="W323"/>
    </row>
    <row r="324" spans="1:23" x14ac:dyDescent="0.35">
      <c r="A324" s="40">
        <v>45513</v>
      </c>
      <c r="B324">
        <v>2024</v>
      </c>
      <c r="C324" t="s">
        <v>305</v>
      </c>
      <c r="D324">
        <v>6</v>
      </c>
      <c r="E324">
        <v>32</v>
      </c>
      <c r="F324" t="s">
        <v>50</v>
      </c>
      <c r="G324" s="106">
        <v>0.71180555555555558</v>
      </c>
      <c r="H324" t="s">
        <v>85</v>
      </c>
      <c r="I324" t="s">
        <v>276</v>
      </c>
      <c r="J324">
        <v>73</v>
      </c>
      <c r="K324">
        <v>7.78</v>
      </c>
      <c r="L324">
        <v>129</v>
      </c>
      <c r="M324">
        <v>19</v>
      </c>
      <c r="N324" s="58">
        <v>157.57</v>
      </c>
      <c r="O324" s="58">
        <v>128.803</v>
      </c>
      <c r="P324" s="58">
        <v>20.2532</v>
      </c>
      <c r="Q324" s="58">
        <v>16.5556555269923</v>
      </c>
      <c r="R324" s="58">
        <v>8.2931578947368401</v>
      </c>
      <c r="S324" s="58">
        <v>1.2214728682170499</v>
      </c>
      <c r="T324" t="s">
        <v>176</v>
      </c>
      <c r="U324" s="11">
        <v>81.968400000000003</v>
      </c>
      <c r="V324"/>
      <c r="W324"/>
    </row>
    <row r="325" spans="1:23" x14ac:dyDescent="0.35">
      <c r="A325" s="40">
        <v>45510</v>
      </c>
      <c r="B325">
        <v>2024</v>
      </c>
      <c r="C325" t="s">
        <v>305</v>
      </c>
      <c r="D325">
        <v>6</v>
      </c>
      <c r="E325">
        <v>32</v>
      </c>
      <c r="F325" t="s">
        <v>47</v>
      </c>
      <c r="G325" s="106">
        <v>0.70138888888888884</v>
      </c>
      <c r="H325" t="s">
        <v>85</v>
      </c>
      <c r="I325" t="s">
        <v>249</v>
      </c>
      <c r="J325">
        <v>64</v>
      </c>
      <c r="K325">
        <v>6.52</v>
      </c>
      <c r="L325">
        <v>119</v>
      </c>
      <c r="M325">
        <v>14</v>
      </c>
      <c r="N325" s="58">
        <v>145.13999999999999</v>
      </c>
      <c r="O325" s="58">
        <v>118.60299999999999</v>
      </c>
      <c r="P325" s="58">
        <v>22.2607</v>
      </c>
      <c r="Q325" s="58">
        <v>18.190644171779098</v>
      </c>
      <c r="R325" s="58">
        <v>10.3671428571429</v>
      </c>
      <c r="S325" s="58">
        <v>1.21966386554622</v>
      </c>
      <c r="T325" t="s">
        <v>176</v>
      </c>
      <c r="U325" s="11">
        <v>81.234899999999996</v>
      </c>
      <c r="V325"/>
      <c r="W325"/>
    </row>
    <row r="326" spans="1:23" x14ac:dyDescent="0.35">
      <c r="A326" s="40">
        <v>45508</v>
      </c>
      <c r="B326">
        <v>2024</v>
      </c>
      <c r="C326" t="s">
        <v>305</v>
      </c>
      <c r="D326">
        <v>5</v>
      </c>
      <c r="E326">
        <v>31</v>
      </c>
      <c r="F326" t="s">
        <v>45</v>
      </c>
      <c r="G326" s="106">
        <v>0.57986111111111116</v>
      </c>
      <c r="H326" t="s">
        <v>174</v>
      </c>
      <c r="I326" t="s">
        <v>281</v>
      </c>
      <c r="J326">
        <v>77</v>
      </c>
      <c r="K326">
        <v>6.18</v>
      </c>
      <c r="L326">
        <v>164</v>
      </c>
      <c r="M326">
        <v>12</v>
      </c>
      <c r="N326" s="58">
        <v>119.69</v>
      </c>
      <c r="O326" s="58">
        <v>83.117999999999995</v>
      </c>
      <c r="P326" s="58">
        <v>19.3673</v>
      </c>
      <c r="Q326" s="58">
        <v>13.449514563106799</v>
      </c>
      <c r="R326" s="58">
        <v>9.9741666666666706</v>
      </c>
      <c r="S326" s="58">
        <v>0.72981707317073197</v>
      </c>
      <c r="T326" t="s">
        <v>176</v>
      </c>
      <c r="U326" s="11">
        <v>80.455799999999996</v>
      </c>
      <c r="V326"/>
      <c r="W326"/>
    </row>
    <row r="327" spans="1:23" x14ac:dyDescent="0.35">
      <c r="A327" s="40">
        <v>45507</v>
      </c>
      <c r="B327">
        <v>2024</v>
      </c>
      <c r="C327" t="s">
        <v>305</v>
      </c>
      <c r="D327">
        <v>5</v>
      </c>
      <c r="E327">
        <v>31</v>
      </c>
      <c r="F327" t="s">
        <v>51</v>
      </c>
      <c r="G327" s="106">
        <v>0.64583333333333337</v>
      </c>
      <c r="H327" t="s">
        <v>82</v>
      </c>
      <c r="I327" t="s">
        <v>281</v>
      </c>
      <c r="J327">
        <v>82</v>
      </c>
      <c r="K327">
        <v>7.62</v>
      </c>
      <c r="L327">
        <v>123</v>
      </c>
      <c r="M327">
        <v>18</v>
      </c>
      <c r="N327" s="58">
        <v>167.98</v>
      </c>
      <c r="O327" s="58">
        <v>140.55099999999999</v>
      </c>
      <c r="P327" s="58">
        <v>22.044599999999999</v>
      </c>
      <c r="Q327" s="58">
        <v>18.445013123359601</v>
      </c>
      <c r="R327" s="58">
        <v>9.3322222222222209</v>
      </c>
      <c r="S327" s="58">
        <v>1.36569105691057</v>
      </c>
      <c r="T327" t="s">
        <v>176</v>
      </c>
      <c r="U327" s="11">
        <v>80.604200000000006</v>
      </c>
      <c r="V327"/>
      <c r="W327"/>
    </row>
    <row r="328" spans="1:23" x14ac:dyDescent="0.35">
      <c r="A328" s="40">
        <v>45505</v>
      </c>
      <c r="B328">
        <v>2024</v>
      </c>
      <c r="C328" t="s">
        <v>305</v>
      </c>
      <c r="D328">
        <v>5</v>
      </c>
      <c r="E328">
        <v>31</v>
      </c>
      <c r="F328" t="s">
        <v>49</v>
      </c>
      <c r="G328" s="106">
        <v>0.75347222222222221</v>
      </c>
      <c r="H328" t="s">
        <v>82</v>
      </c>
      <c r="I328" t="s">
        <v>230</v>
      </c>
      <c r="J328">
        <v>88</v>
      </c>
      <c r="K328">
        <v>4.7699999999999996</v>
      </c>
      <c r="L328">
        <v>73</v>
      </c>
      <c r="M328">
        <v>14</v>
      </c>
      <c r="N328" s="58">
        <v>85.84</v>
      </c>
      <c r="O328" s="58">
        <v>69.561000000000007</v>
      </c>
      <c r="P328" s="58">
        <v>17.995799999999999</v>
      </c>
      <c r="Q328" s="58">
        <v>14.583018867924499</v>
      </c>
      <c r="R328" s="58">
        <v>6.1314285714285699</v>
      </c>
      <c r="S328" s="58">
        <v>1.1758904109588999</v>
      </c>
      <c r="T328" t="s">
        <v>176</v>
      </c>
      <c r="U328" s="11">
        <v>81.123099999999994</v>
      </c>
      <c r="V328"/>
      <c r="W328"/>
    </row>
    <row r="329" spans="1:23" x14ac:dyDescent="0.35">
      <c r="A329" s="40">
        <v>45504</v>
      </c>
      <c r="B329">
        <v>2024</v>
      </c>
      <c r="C329" t="s">
        <v>305</v>
      </c>
      <c r="D329">
        <v>5</v>
      </c>
      <c r="E329">
        <v>31</v>
      </c>
      <c r="F329" t="s">
        <v>48</v>
      </c>
      <c r="G329" s="106">
        <v>0.77083333333333337</v>
      </c>
      <c r="H329" t="s">
        <v>80</v>
      </c>
      <c r="I329" t="s">
        <v>249</v>
      </c>
      <c r="J329">
        <v>75</v>
      </c>
      <c r="K329">
        <v>2.93</v>
      </c>
      <c r="L329">
        <v>82</v>
      </c>
      <c r="M329">
        <v>5</v>
      </c>
      <c r="N329" s="58">
        <v>42.74</v>
      </c>
      <c r="O329" s="58">
        <v>24.454000000000001</v>
      </c>
      <c r="P329" s="58">
        <v>14.587</v>
      </c>
      <c r="Q329" s="58">
        <v>8.3460750853242303</v>
      </c>
      <c r="R329" s="58">
        <v>8.548</v>
      </c>
      <c r="S329" s="58">
        <v>0.52121951219512197</v>
      </c>
      <c r="T329" t="s">
        <v>176</v>
      </c>
      <c r="U329" s="11">
        <v>81.542000000000002</v>
      </c>
      <c r="V329"/>
      <c r="W329"/>
    </row>
    <row r="330" spans="1:23" x14ac:dyDescent="0.35">
      <c r="A330" s="40">
        <v>45503</v>
      </c>
      <c r="B330">
        <v>2024</v>
      </c>
      <c r="C330" t="s">
        <v>305</v>
      </c>
      <c r="D330">
        <v>5</v>
      </c>
      <c r="E330">
        <v>31</v>
      </c>
      <c r="F330" t="s">
        <v>47</v>
      </c>
      <c r="G330" s="106">
        <v>0.74652777777777779</v>
      </c>
      <c r="H330" t="s">
        <v>80</v>
      </c>
      <c r="I330" t="s">
        <v>249</v>
      </c>
      <c r="J330">
        <v>79</v>
      </c>
      <c r="K330">
        <v>4.9000000000000004</v>
      </c>
      <c r="L330">
        <v>93</v>
      </c>
      <c r="M330">
        <v>14</v>
      </c>
      <c r="N330" s="58">
        <v>133.75</v>
      </c>
      <c r="O330" s="58">
        <v>113.011</v>
      </c>
      <c r="P330" s="58">
        <v>27.2959</v>
      </c>
      <c r="Q330" s="58">
        <v>23.063469387755099</v>
      </c>
      <c r="R330" s="58">
        <v>9.5535714285714306</v>
      </c>
      <c r="S330" s="58">
        <v>1.4381720430107501</v>
      </c>
      <c r="T330" t="s">
        <v>176</v>
      </c>
      <c r="U330" s="11">
        <v>82.263000000000005</v>
      </c>
      <c r="V330"/>
      <c r="W330"/>
    </row>
    <row r="331" spans="1:23" x14ac:dyDescent="0.35">
      <c r="A331" s="40">
        <v>45502</v>
      </c>
      <c r="B331">
        <v>2024</v>
      </c>
      <c r="C331" t="s">
        <v>305</v>
      </c>
      <c r="D331">
        <v>5</v>
      </c>
      <c r="E331">
        <v>31</v>
      </c>
      <c r="F331" t="s">
        <v>46</v>
      </c>
      <c r="G331" s="106">
        <v>0.73263888888888884</v>
      </c>
      <c r="H331" t="s">
        <v>85</v>
      </c>
      <c r="I331" t="s">
        <v>285</v>
      </c>
      <c r="J331">
        <v>64</v>
      </c>
      <c r="K331">
        <v>5.83</v>
      </c>
      <c r="L331">
        <v>121</v>
      </c>
      <c r="M331">
        <v>11</v>
      </c>
      <c r="N331" s="58">
        <v>174.51</v>
      </c>
      <c r="O331" s="58">
        <v>147.52699999999999</v>
      </c>
      <c r="P331" s="58">
        <v>29.9331</v>
      </c>
      <c r="Q331" s="58">
        <v>25.304802744425398</v>
      </c>
      <c r="R331" s="58">
        <v>15.8645454545455</v>
      </c>
      <c r="S331" s="58">
        <v>1.44223140495868</v>
      </c>
      <c r="T331" t="s">
        <v>176</v>
      </c>
      <c r="U331" s="11">
        <v>82.059200000000004</v>
      </c>
      <c r="V331"/>
      <c r="W331"/>
    </row>
    <row r="332" spans="1:23" x14ac:dyDescent="0.35">
      <c r="A332" s="40">
        <v>45500</v>
      </c>
      <c r="B332">
        <v>2024</v>
      </c>
      <c r="C332" t="s">
        <v>305</v>
      </c>
      <c r="D332">
        <v>4</v>
      </c>
      <c r="E332">
        <v>30</v>
      </c>
      <c r="F332" t="s">
        <v>51</v>
      </c>
      <c r="G332" s="106">
        <v>0.6875</v>
      </c>
      <c r="H332" t="s">
        <v>82</v>
      </c>
      <c r="I332" t="s">
        <v>230</v>
      </c>
      <c r="J332">
        <v>81</v>
      </c>
      <c r="K332">
        <v>5.45</v>
      </c>
      <c r="L332">
        <v>87</v>
      </c>
      <c r="M332">
        <v>17</v>
      </c>
      <c r="N332" s="58">
        <v>128.94999999999999</v>
      </c>
      <c r="O332" s="58">
        <v>109.54900000000001</v>
      </c>
      <c r="P332" s="58">
        <v>23.660599999999999</v>
      </c>
      <c r="Q332" s="58">
        <v>20.100733944954101</v>
      </c>
      <c r="R332" s="58">
        <v>7.5852941176470603</v>
      </c>
      <c r="S332" s="58">
        <v>1.48218390804598</v>
      </c>
      <c r="T332" t="s">
        <v>176</v>
      </c>
      <c r="U332" s="11">
        <v>81.060199999999995</v>
      </c>
      <c r="V332"/>
      <c r="W332"/>
    </row>
    <row r="333" spans="1:23" x14ac:dyDescent="0.35">
      <c r="A333" s="40">
        <v>45499</v>
      </c>
      <c r="B333">
        <v>2024</v>
      </c>
      <c r="C333" t="s">
        <v>305</v>
      </c>
      <c r="D333">
        <v>4</v>
      </c>
      <c r="E333">
        <v>30</v>
      </c>
      <c r="F333" t="s">
        <v>50</v>
      </c>
      <c r="G333" s="106">
        <v>0.72222222222222221</v>
      </c>
      <c r="H333" t="s">
        <v>85</v>
      </c>
      <c r="I333" t="s">
        <v>230</v>
      </c>
      <c r="J333">
        <v>81</v>
      </c>
      <c r="K333">
        <v>8.6999999999999993</v>
      </c>
      <c r="L333">
        <v>230</v>
      </c>
      <c r="M333">
        <v>14</v>
      </c>
      <c r="N333" s="58">
        <v>180.3</v>
      </c>
      <c r="O333" s="58">
        <v>129.01</v>
      </c>
      <c r="P333" s="58">
        <v>20.7241</v>
      </c>
      <c r="Q333" s="58">
        <v>14.8287356321839</v>
      </c>
      <c r="R333" s="58">
        <v>12.8785714285714</v>
      </c>
      <c r="S333" s="58">
        <v>0.78391304347826096</v>
      </c>
      <c r="T333" t="s">
        <v>176</v>
      </c>
      <c r="U333" s="11">
        <v>80.197100000000006</v>
      </c>
      <c r="V333"/>
      <c r="W333"/>
    </row>
    <row r="334" spans="1:23" x14ac:dyDescent="0.35">
      <c r="A334" s="40">
        <v>45497</v>
      </c>
      <c r="B334">
        <v>2024</v>
      </c>
      <c r="C334" t="s">
        <v>305</v>
      </c>
      <c r="D334">
        <v>4</v>
      </c>
      <c r="E334">
        <v>30</v>
      </c>
      <c r="F334" t="s">
        <v>48</v>
      </c>
      <c r="G334" s="106">
        <v>0.71875</v>
      </c>
      <c r="H334" t="s">
        <v>80</v>
      </c>
      <c r="I334" t="s">
        <v>231</v>
      </c>
      <c r="J334">
        <v>74</v>
      </c>
      <c r="K334">
        <v>6.45</v>
      </c>
      <c r="L334">
        <v>142</v>
      </c>
      <c r="M334">
        <v>16</v>
      </c>
      <c r="N334" s="58">
        <v>144.25</v>
      </c>
      <c r="O334" s="58">
        <v>112.584</v>
      </c>
      <c r="P334" s="58">
        <v>22.3643</v>
      </c>
      <c r="Q334" s="58">
        <v>17.454883720930201</v>
      </c>
      <c r="R334" s="58">
        <v>9.015625</v>
      </c>
      <c r="S334" s="58">
        <v>1.0158450704225399</v>
      </c>
      <c r="T334" t="s">
        <v>176</v>
      </c>
      <c r="U334" s="11">
        <v>80.881100000000004</v>
      </c>
      <c r="V334"/>
      <c r="W334"/>
    </row>
    <row r="335" spans="1:23" x14ac:dyDescent="0.35">
      <c r="A335" s="40">
        <v>45496</v>
      </c>
      <c r="B335">
        <v>2024</v>
      </c>
      <c r="C335" t="s">
        <v>305</v>
      </c>
      <c r="D335">
        <v>4</v>
      </c>
      <c r="E335">
        <v>30</v>
      </c>
      <c r="F335" t="s">
        <v>47</v>
      </c>
      <c r="G335" s="106">
        <v>0.72222222222222221</v>
      </c>
      <c r="H335" t="s">
        <v>80</v>
      </c>
      <c r="I335" t="s">
        <v>285</v>
      </c>
      <c r="J335">
        <v>73</v>
      </c>
      <c r="K335">
        <v>4.87</v>
      </c>
      <c r="L335">
        <v>96</v>
      </c>
      <c r="M335">
        <v>9</v>
      </c>
      <c r="N335" s="58">
        <v>91.11</v>
      </c>
      <c r="O335" s="58">
        <v>69.701999999999998</v>
      </c>
      <c r="P335" s="58">
        <v>18.708400000000001</v>
      </c>
      <c r="Q335" s="58">
        <v>14.3125256673511</v>
      </c>
      <c r="R335" s="58">
        <v>10.123333333333299</v>
      </c>
      <c r="S335" s="58">
        <v>0.94906250000000003</v>
      </c>
      <c r="T335" t="s">
        <v>176</v>
      </c>
      <c r="U335" s="11">
        <v>80.040700000000001</v>
      </c>
      <c r="V335"/>
      <c r="W335"/>
    </row>
    <row r="336" spans="1:23" x14ac:dyDescent="0.35">
      <c r="A336" s="40">
        <v>45495</v>
      </c>
      <c r="B336">
        <v>2024</v>
      </c>
      <c r="C336" t="s">
        <v>305</v>
      </c>
      <c r="D336">
        <v>4</v>
      </c>
      <c r="E336">
        <v>30</v>
      </c>
      <c r="F336" t="s">
        <v>46</v>
      </c>
      <c r="G336" s="106">
        <v>0.72569444444444442</v>
      </c>
      <c r="H336" t="s">
        <v>85</v>
      </c>
      <c r="I336" t="s">
        <v>230</v>
      </c>
      <c r="J336">
        <v>73</v>
      </c>
      <c r="K336">
        <v>6.08</v>
      </c>
      <c r="L336">
        <v>137</v>
      </c>
      <c r="M336">
        <v>12</v>
      </c>
      <c r="N336" s="58">
        <v>122.99</v>
      </c>
      <c r="O336" s="58">
        <v>92.438999999999993</v>
      </c>
      <c r="P336" s="58">
        <v>20.2286</v>
      </c>
      <c r="Q336" s="58">
        <v>15.203782894736801</v>
      </c>
      <c r="R336" s="58">
        <v>10.249166666666699</v>
      </c>
      <c r="S336" s="58">
        <v>0.89773722627737196</v>
      </c>
      <c r="T336" t="s">
        <v>176</v>
      </c>
      <c r="U336" s="11">
        <v>79.028300000000002</v>
      </c>
      <c r="V336"/>
      <c r="W336"/>
    </row>
    <row r="337" spans="1:23" x14ac:dyDescent="0.35">
      <c r="A337" s="40">
        <v>45493</v>
      </c>
      <c r="B337">
        <v>2024</v>
      </c>
      <c r="C337" t="s">
        <v>305</v>
      </c>
      <c r="D337">
        <v>3</v>
      </c>
      <c r="E337">
        <v>29</v>
      </c>
      <c r="F337" t="s">
        <v>51</v>
      </c>
      <c r="G337" s="106">
        <v>0.57638888888888884</v>
      </c>
      <c r="H337" t="s">
        <v>174</v>
      </c>
      <c r="I337" t="s">
        <v>230</v>
      </c>
      <c r="J337">
        <v>81</v>
      </c>
      <c r="K337">
        <v>6.92</v>
      </c>
      <c r="L337">
        <v>170</v>
      </c>
      <c r="M337">
        <v>12</v>
      </c>
      <c r="N337" s="58">
        <v>156.66999999999999</v>
      </c>
      <c r="O337" s="58">
        <v>118.76</v>
      </c>
      <c r="P337" s="58">
        <v>22.6402</v>
      </c>
      <c r="Q337" s="58">
        <v>17.1618497109827</v>
      </c>
      <c r="R337" s="58">
        <v>13.0558333333333</v>
      </c>
      <c r="S337" s="58">
        <v>0.92158823529411804</v>
      </c>
      <c r="T337" t="s">
        <v>176</v>
      </c>
      <c r="U337" s="11">
        <v>79.103999999999999</v>
      </c>
      <c r="V337"/>
      <c r="W337"/>
    </row>
    <row r="338" spans="1:23" x14ac:dyDescent="0.35">
      <c r="A338" s="40">
        <v>45492</v>
      </c>
      <c r="B338">
        <v>2024</v>
      </c>
      <c r="C338" t="s">
        <v>305</v>
      </c>
      <c r="D338">
        <v>3</v>
      </c>
      <c r="E338">
        <v>29</v>
      </c>
      <c r="F338" t="s">
        <v>50</v>
      </c>
      <c r="G338" s="106">
        <v>0.71875</v>
      </c>
      <c r="H338" t="s">
        <v>80</v>
      </c>
      <c r="I338" t="s">
        <v>249</v>
      </c>
      <c r="J338">
        <v>81</v>
      </c>
      <c r="K338">
        <v>7.23</v>
      </c>
      <c r="L338">
        <v>158</v>
      </c>
      <c r="M338">
        <v>16</v>
      </c>
      <c r="N338" s="58">
        <v>147.6</v>
      </c>
      <c r="O338" s="58">
        <v>112.366</v>
      </c>
      <c r="P338" s="58">
        <v>20.414899999999999</v>
      </c>
      <c r="Q338" s="58">
        <v>15.5416320885201</v>
      </c>
      <c r="R338" s="58">
        <v>9.2249999999999996</v>
      </c>
      <c r="S338" s="58">
        <v>0.93417721518987396</v>
      </c>
      <c r="T338" t="s">
        <v>176</v>
      </c>
      <c r="U338" s="11">
        <v>78.7928</v>
      </c>
      <c r="V338"/>
      <c r="W338"/>
    </row>
    <row r="339" spans="1:23" x14ac:dyDescent="0.35">
      <c r="A339" s="40">
        <v>45491</v>
      </c>
      <c r="B339">
        <v>2024</v>
      </c>
      <c r="C339" t="s">
        <v>305</v>
      </c>
      <c r="D339">
        <v>3</v>
      </c>
      <c r="E339">
        <v>29</v>
      </c>
      <c r="F339" t="s">
        <v>49</v>
      </c>
      <c r="G339" s="106">
        <v>0.70833333333333337</v>
      </c>
      <c r="H339" t="s">
        <v>85</v>
      </c>
      <c r="I339" t="s">
        <v>249</v>
      </c>
      <c r="J339">
        <v>81</v>
      </c>
      <c r="K339">
        <v>6.3</v>
      </c>
      <c r="L339">
        <v>146</v>
      </c>
      <c r="M339">
        <v>10</v>
      </c>
      <c r="N339" s="58">
        <v>139.69</v>
      </c>
      <c r="O339" s="58">
        <v>107.13200000000001</v>
      </c>
      <c r="P339" s="58">
        <v>22.172999999999998</v>
      </c>
      <c r="Q339" s="58">
        <v>17.0050793650794</v>
      </c>
      <c r="R339" s="58">
        <v>13.968999999999999</v>
      </c>
      <c r="S339" s="58">
        <v>0.956780821917808</v>
      </c>
      <c r="T339" t="s">
        <v>176</v>
      </c>
      <c r="U339" s="11">
        <v>78.316299999999998</v>
      </c>
      <c r="V339"/>
      <c r="W339"/>
    </row>
    <row r="340" spans="1:23" x14ac:dyDescent="0.35">
      <c r="A340" s="40">
        <v>45490</v>
      </c>
      <c r="B340">
        <v>2024</v>
      </c>
      <c r="C340" t="s">
        <v>305</v>
      </c>
      <c r="D340">
        <v>3</v>
      </c>
      <c r="E340">
        <v>29</v>
      </c>
      <c r="F340" t="s">
        <v>48</v>
      </c>
      <c r="G340" s="106">
        <v>0.71875</v>
      </c>
      <c r="H340" t="s">
        <v>82</v>
      </c>
      <c r="I340" t="s">
        <v>249</v>
      </c>
      <c r="J340">
        <v>81</v>
      </c>
      <c r="K340">
        <v>3.37</v>
      </c>
      <c r="L340">
        <v>76</v>
      </c>
      <c r="M340">
        <v>8</v>
      </c>
      <c r="N340" s="58">
        <v>58.88</v>
      </c>
      <c r="O340" s="58">
        <v>41.932000000000002</v>
      </c>
      <c r="P340" s="58">
        <v>17.471800000000002</v>
      </c>
      <c r="Q340" s="58">
        <v>12.4427299703264</v>
      </c>
      <c r="R340" s="58">
        <v>7.36</v>
      </c>
      <c r="S340" s="58">
        <v>0.77473684210526295</v>
      </c>
      <c r="T340" t="s">
        <v>176</v>
      </c>
      <c r="U340" s="11">
        <v>77.594800000000006</v>
      </c>
      <c r="V340"/>
      <c r="W340"/>
    </row>
    <row r="341" spans="1:23" x14ac:dyDescent="0.35">
      <c r="A341" s="40">
        <v>45489</v>
      </c>
      <c r="B341">
        <v>2024</v>
      </c>
      <c r="C341" t="s">
        <v>305</v>
      </c>
      <c r="D341">
        <v>3</v>
      </c>
      <c r="E341">
        <v>29</v>
      </c>
      <c r="F341" t="s">
        <v>47</v>
      </c>
      <c r="G341" s="106">
        <v>0.70486111111111116</v>
      </c>
      <c r="H341" t="s">
        <v>80</v>
      </c>
      <c r="I341" t="s">
        <v>281</v>
      </c>
      <c r="J341">
        <v>82</v>
      </c>
      <c r="K341">
        <v>5</v>
      </c>
      <c r="L341">
        <v>110</v>
      </c>
      <c r="M341">
        <v>10</v>
      </c>
      <c r="N341" s="58">
        <v>116.21</v>
      </c>
      <c r="O341" s="58">
        <v>91.68</v>
      </c>
      <c r="P341" s="58">
        <v>23.242000000000001</v>
      </c>
      <c r="Q341" s="58">
        <v>18.335999999999999</v>
      </c>
      <c r="R341" s="58">
        <v>11.621</v>
      </c>
      <c r="S341" s="58">
        <v>1.05645454545455</v>
      </c>
      <c r="T341" t="s">
        <v>176</v>
      </c>
      <c r="U341" s="11">
        <v>76.940600000000003</v>
      </c>
      <c r="V341"/>
      <c r="W341"/>
    </row>
    <row r="342" spans="1:23" x14ac:dyDescent="0.35">
      <c r="A342" s="40">
        <v>45488</v>
      </c>
      <c r="B342">
        <v>2024</v>
      </c>
      <c r="C342" t="s">
        <v>305</v>
      </c>
      <c r="D342">
        <v>3</v>
      </c>
      <c r="E342">
        <v>29</v>
      </c>
      <c r="F342" t="s">
        <v>46</v>
      </c>
      <c r="G342" s="106">
        <v>0.70138888888888884</v>
      </c>
      <c r="H342" t="s">
        <v>85</v>
      </c>
      <c r="I342" t="s">
        <v>230</v>
      </c>
      <c r="J342">
        <v>79</v>
      </c>
      <c r="K342">
        <v>6.17</v>
      </c>
      <c r="L342">
        <v>136</v>
      </c>
      <c r="M342">
        <v>12</v>
      </c>
      <c r="N342" s="58">
        <v>119.68</v>
      </c>
      <c r="O342" s="58">
        <v>89.352000000000004</v>
      </c>
      <c r="P342" s="58">
        <v>19.397099999999998</v>
      </c>
      <c r="Q342" s="58">
        <v>14.4816855753647</v>
      </c>
      <c r="R342" s="58">
        <v>9.9733333333333398</v>
      </c>
      <c r="S342" s="58">
        <v>0.88</v>
      </c>
      <c r="T342" t="s">
        <v>176</v>
      </c>
      <c r="U342" s="11">
        <v>76.209800000000001</v>
      </c>
      <c r="V342"/>
      <c r="W342"/>
    </row>
    <row r="343" spans="1:23" x14ac:dyDescent="0.35">
      <c r="A343" s="40">
        <v>45485</v>
      </c>
      <c r="B343">
        <v>2024</v>
      </c>
      <c r="C343" t="s">
        <v>305</v>
      </c>
      <c r="D343">
        <v>2</v>
      </c>
      <c r="E343">
        <v>28</v>
      </c>
      <c r="F343" t="s">
        <v>50</v>
      </c>
      <c r="G343" s="106">
        <v>0.72222222222222221</v>
      </c>
      <c r="H343" t="s">
        <v>85</v>
      </c>
      <c r="I343" t="s">
        <v>249</v>
      </c>
      <c r="J343">
        <v>81</v>
      </c>
      <c r="K343">
        <v>6.28</v>
      </c>
      <c r="L343">
        <v>134</v>
      </c>
      <c r="M343">
        <v>12</v>
      </c>
      <c r="N343" s="58">
        <v>127.66</v>
      </c>
      <c r="O343" s="58">
        <v>97.778000000000006</v>
      </c>
      <c r="P343" s="58">
        <v>20.327999999999999</v>
      </c>
      <c r="Q343" s="58">
        <v>15.5697452229299</v>
      </c>
      <c r="R343" s="58">
        <v>10.6383333333333</v>
      </c>
      <c r="S343" s="58">
        <v>0.95268656716417899</v>
      </c>
      <c r="T343" t="s">
        <v>176</v>
      </c>
      <c r="U343" s="11">
        <v>75.894199999999998</v>
      </c>
      <c r="V343"/>
      <c r="W343"/>
    </row>
    <row r="344" spans="1:23" x14ac:dyDescent="0.35">
      <c r="A344" s="40">
        <v>45484</v>
      </c>
      <c r="B344">
        <v>2024</v>
      </c>
      <c r="C344" t="s">
        <v>305</v>
      </c>
      <c r="D344">
        <v>2</v>
      </c>
      <c r="E344">
        <v>28</v>
      </c>
      <c r="F344" t="s">
        <v>49</v>
      </c>
      <c r="G344" s="106">
        <v>0.75694444444444442</v>
      </c>
      <c r="H344" t="s">
        <v>80</v>
      </c>
      <c r="I344" t="s">
        <v>249</v>
      </c>
      <c r="J344">
        <v>81</v>
      </c>
      <c r="K344">
        <v>0.6</v>
      </c>
      <c r="L344">
        <v>19</v>
      </c>
      <c r="M344">
        <v>1</v>
      </c>
      <c r="N344" s="58">
        <v>13.39</v>
      </c>
      <c r="O344" s="58">
        <v>9.1530000000000005</v>
      </c>
      <c r="P344" s="58">
        <v>22.316700000000001</v>
      </c>
      <c r="Q344" s="58">
        <v>15.255000000000001</v>
      </c>
      <c r="R344" s="58">
        <v>13.39</v>
      </c>
      <c r="S344" s="58">
        <v>0.70473684210526299</v>
      </c>
      <c r="T344" t="s">
        <v>176</v>
      </c>
      <c r="U344" s="11">
        <v>75.306299999999993</v>
      </c>
      <c r="V344"/>
      <c r="W344"/>
    </row>
    <row r="345" spans="1:23" x14ac:dyDescent="0.35">
      <c r="A345" s="40">
        <v>45482</v>
      </c>
      <c r="B345">
        <v>2024</v>
      </c>
      <c r="C345" t="s">
        <v>305</v>
      </c>
      <c r="D345">
        <v>2</v>
      </c>
      <c r="E345">
        <v>28</v>
      </c>
      <c r="F345" t="s">
        <v>47</v>
      </c>
      <c r="G345" s="106">
        <v>0.72569444444444442</v>
      </c>
      <c r="H345" t="s">
        <v>85</v>
      </c>
      <c r="I345" t="s">
        <v>230</v>
      </c>
      <c r="J345">
        <v>79</v>
      </c>
      <c r="K345">
        <v>2.2799999999999998</v>
      </c>
      <c r="L345">
        <v>62</v>
      </c>
      <c r="M345">
        <v>3</v>
      </c>
      <c r="N345" s="58">
        <v>28</v>
      </c>
      <c r="O345" s="58">
        <v>14.173999999999999</v>
      </c>
      <c r="P345" s="58">
        <v>12.2807</v>
      </c>
      <c r="Q345" s="58">
        <v>6.2166666666666703</v>
      </c>
      <c r="R345" s="58">
        <v>9.3333333333333393</v>
      </c>
      <c r="S345" s="58">
        <v>0.45161290322580599</v>
      </c>
      <c r="T345" t="s">
        <v>176</v>
      </c>
      <c r="U345" s="11">
        <v>77.135300000000001</v>
      </c>
      <c r="V345"/>
      <c r="W345"/>
    </row>
    <row r="346" spans="1:23" x14ac:dyDescent="0.35">
      <c r="A346" s="40">
        <v>45477</v>
      </c>
      <c r="B346">
        <v>2024</v>
      </c>
      <c r="C346" t="s">
        <v>305</v>
      </c>
      <c r="D346">
        <v>1</v>
      </c>
      <c r="E346">
        <v>27</v>
      </c>
      <c r="F346" t="s">
        <v>49</v>
      </c>
      <c r="G346" s="106">
        <v>0.69097222222222221</v>
      </c>
      <c r="H346" t="s">
        <v>85</v>
      </c>
      <c r="I346" t="s">
        <v>230</v>
      </c>
      <c r="J346">
        <v>68</v>
      </c>
      <c r="K346">
        <v>5.98</v>
      </c>
      <c r="L346">
        <v>131</v>
      </c>
      <c r="M346">
        <v>10</v>
      </c>
      <c r="N346" s="58">
        <v>165.93</v>
      </c>
      <c r="O346" s="58">
        <v>136.71700000000001</v>
      </c>
      <c r="P346" s="58">
        <v>27.747499999999999</v>
      </c>
      <c r="Q346" s="58">
        <v>22.8623745819398</v>
      </c>
      <c r="R346" s="58">
        <v>16.593</v>
      </c>
      <c r="S346" s="58">
        <v>1.2666412213740501</v>
      </c>
      <c r="T346" t="s">
        <v>176</v>
      </c>
      <c r="U346" s="11">
        <v>79.721599999999995</v>
      </c>
      <c r="V346"/>
      <c r="W346"/>
    </row>
    <row r="347" spans="1:23" x14ac:dyDescent="0.35">
      <c r="A347" s="40">
        <v>45476</v>
      </c>
      <c r="B347">
        <v>2024</v>
      </c>
      <c r="C347" t="s">
        <v>305</v>
      </c>
      <c r="D347">
        <v>1</v>
      </c>
      <c r="E347">
        <v>27</v>
      </c>
      <c r="F347" t="s">
        <v>48</v>
      </c>
      <c r="G347" s="106">
        <v>0.73611111111111116</v>
      </c>
      <c r="H347" t="s">
        <v>80</v>
      </c>
      <c r="I347" t="s">
        <v>230</v>
      </c>
      <c r="J347">
        <v>75</v>
      </c>
      <c r="K347">
        <v>5.3</v>
      </c>
      <c r="L347">
        <v>109</v>
      </c>
      <c r="M347">
        <v>14</v>
      </c>
      <c r="N347" s="58">
        <v>130.79</v>
      </c>
      <c r="O347" s="58">
        <v>106.483</v>
      </c>
      <c r="P347" s="58">
        <v>24.677399999999999</v>
      </c>
      <c r="Q347" s="58">
        <v>20.091132075471702</v>
      </c>
      <c r="R347" s="58">
        <v>9.3421428571428606</v>
      </c>
      <c r="S347" s="58">
        <v>1.19990825688073</v>
      </c>
      <c r="T347" t="s">
        <v>176</v>
      </c>
      <c r="U347" s="11">
        <v>80.380700000000004</v>
      </c>
      <c r="V347"/>
      <c r="W347"/>
    </row>
    <row r="348" spans="1:23" x14ac:dyDescent="0.35">
      <c r="A348" s="40">
        <v>45475</v>
      </c>
      <c r="B348">
        <v>2024</v>
      </c>
      <c r="C348" t="s">
        <v>305</v>
      </c>
      <c r="D348">
        <v>1</v>
      </c>
      <c r="E348">
        <v>27</v>
      </c>
      <c r="F348" t="s">
        <v>47</v>
      </c>
      <c r="G348" s="106">
        <v>0.73611111111111116</v>
      </c>
      <c r="H348" t="s">
        <v>85</v>
      </c>
      <c r="I348" t="s">
        <v>230</v>
      </c>
      <c r="J348">
        <v>77</v>
      </c>
      <c r="K348">
        <v>5.48</v>
      </c>
      <c r="L348">
        <v>104</v>
      </c>
      <c r="M348">
        <v>12</v>
      </c>
      <c r="N348" s="58">
        <v>153.74</v>
      </c>
      <c r="O348" s="58">
        <v>130.548</v>
      </c>
      <c r="P348" s="58">
        <v>28.0547</v>
      </c>
      <c r="Q348" s="58">
        <v>23.822627737226298</v>
      </c>
      <c r="R348" s="58">
        <v>12.811666666666699</v>
      </c>
      <c r="S348" s="58">
        <v>1.47826923076923</v>
      </c>
      <c r="T348" t="s">
        <v>176</v>
      </c>
      <c r="U348" s="11">
        <v>78.927400000000006</v>
      </c>
      <c r="V348"/>
      <c r="W348"/>
    </row>
    <row r="349" spans="1:23" x14ac:dyDescent="0.35">
      <c r="A349" s="40">
        <v>45474</v>
      </c>
      <c r="B349">
        <v>2024</v>
      </c>
      <c r="C349" t="s">
        <v>305</v>
      </c>
      <c r="D349">
        <v>1</v>
      </c>
      <c r="E349">
        <v>27</v>
      </c>
      <c r="F349" t="s">
        <v>46</v>
      </c>
      <c r="G349" s="106">
        <v>0.75347222222222221</v>
      </c>
      <c r="H349" t="s">
        <v>82</v>
      </c>
      <c r="I349" t="s">
        <v>281</v>
      </c>
      <c r="J349">
        <v>79</v>
      </c>
      <c r="K349">
        <v>5.0199999999999996</v>
      </c>
      <c r="L349">
        <v>92</v>
      </c>
      <c r="M349">
        <v>14</v>
      </c>
      <c r="N349" s="58">
        <v>116.5</v>
      </c>
      <c r="O349" s="58">
        <v>95.983999999999995</v>
      </c>
      <c r="P349" s="58">
        <v>23.2072</v>
      </c>
      <c r="Q349" s="58">
        <v>19.120318725099601</v>
      </c>
      <c r="R349" s="58">
        <v>8.3214285714285694</v>
      </c>
      <c r="S349" s="58">
        <v>1.26630434782609</v>
      </c>
      <c r="T349" t="s">
        <v>176</v>
      </c>
      <c r="U349" s="11">
        <v>77.644199999999998</v>
      </c>
      <c r="V349"/>
      <c r="W349"/>
    </row>
    <row r="350" spans="1:23" x14ac:dyDescent="0.35">
      <c r="A350" s="40">
        <v>45466</v>
      </c>
      <c r="B350">
        <v>2024</v>
      </c>
      <c r="C350" t="s">
        <v>287</v>
      </c>
      <c r="D350">
        <v>12</v>
      </c>
      <c r="E350">
        <v>25</v>
      </c>
      <c r="F350" t="s">
        <v>45</v>
      </c>
      <c r="G350" s="106">
        <v>0.58680555555555558</v>
      </c>
      <c r="H350" t="s">
        <v>85</v>
      </c>
      <c r="I350" t="s">
        <v>249</v>
      </c>
      <c r="J350">
        <v>79</v>
      </c>
      <c r="K350">
        <v>5.18</v>
      </c>
      <c r="L350">
        <v>95</v>
      </c>
      <c r="M350">
        <v>8</v>
      </c>
      <c r="N350" s="58">
        <v>88.88</v>
      </c>
      <c r="O350" s="58">
        <v>67.694999999999993</v>
      </c>
      <c r="P350" s="58">
        <v>17.158300000000001</v>
      </c>
      <c r="Q350" s="58">
        <v>13.0685328185328</v>
      </c>
      <c r="R350" s="58">
        <v>11.11</v>
      </c>
      <c r="S350" s="58">
        <v>0.93557894736842095</v>
      </c>
      <c r="T350" t="s">
        <v>176</v>
      </c>
      <c r="U350" s="11">
        <v>81.927599999999998</v>
      </c>
      <c r="V350"/>
      <c r="W350"/>
    </row>
    <row r="351" spans="1:23" x14ac:dyDescent="0.35">
      <c r="A351" s="40">
        <v>45464</v>
      </c>
      <c r="B351">
        <v>2024</v>
      </c>
      <c r="C351" t="s">
        <v>287</v>
      </c>
      <c r="D351">
        <v>12</v>
      </c>
      <c r="E351">
        <v>25</v>
      </c>
      <c r="F351" t="s">
        <v>50</v>
      </c>
      <c r="G351" s="106">
        <v>0.71180555555555558</v>
      </c>
      <c r="H351" t="s">
        <v>80</v>
      </c>
      <c r="I351" t="s">
        <v>231</v>
      </c>
      <c r="J351">
        <v>75</v>
      </c>
      <c r="K351">
        <v>4.7699999999999996</v>
      </c>
      <c r="L351">
        <v>117</v>
      </c>
      <c r="M351">
        <v>11</v>
      </c>
      <c r="N351" s="58">
        <v>113.5</v>
      </c>
      <c r="O351" s="58">
        <v>87.409000000000006</v>
      </c>
      <c r="P351" s="58">
        <v>23.794499999999999</v>
      </c>
      <c r="Q351" s="58">
        <v>18.3247379454927</v>
      </c>
      <c r="R351" s="58">
        <v>10.318181818181801</v>
      </c>
      <c r="S351" s="58">
        <v>0.97008547008546997</v>
      </c>
      <c r="T351" t="s">
        <v>176</v>
      </c>
      <c r="U351" s="11">
        <v>82.073099999999997</v>
      </c>
      <c r="V351"/>
      <c r="W351"/>
    </row>
    <row r="352" spans="1:23" x14ac:dyDescent="0.35">
      <c r="A352" s="40">
        <v>45463</v>
      </c>
      <c r="B352">
        <v>2024</v>
      </c>
      <c r="C352" t="s">
        <v>287</v>
      </c>
      <c r="D352">
        <v>12</v>
      </c>
      <c r="E352">
        <v>25</v>
      </c>
      <c r="F352" t="s">
        <v>49</v>
      </c>
      <c r="G352" s="106">
        <v>0.70833333333333337</v>
      </c>
      <c r="H352" t="s">
        <v>80</v>
      </c>
      <c r="I352" t="s">
        <v>245</v>
      </c>
      <c r="J352">
        <v>82</v>
      </c>
      <c r="K352">
        <v>5.55</v>
      </c>
      <c r="L352">
        <v>102</v>
      </c>
      <c r="M352">
        <v>12</v>
      </c>
      <c r="N352" s="58">
        <v>142.94</v>
      </c>
      <c r="O352" s="58">
        <v>120.194</v>
      </c>
      <c r="P352" s="58">
        <v>25.754999999999999</v>
      </c>
      <c r="Q352" s="58">
        <v>21.656576576576601</v>
      </c>
      <c r="R352" s="58">
        <v>11.911666666666701</v>
      </c>
      <c r="S352" s="58">
        <v>1.4013725490196101</v>
      </c>
      <c r="T352" t="s">
        <v>176</v>
      </c>
      <c r="U352" s="11">
        <v>80.811999999999998</v>
      </c>
      <c r="V352"/>
      <c r="W352"/>
    </row>
    <row r="353" spans="1:23" x14ac:dyDescent="0.35">
      <c r="A353" s="40">
        <v>45462</v>
      </c>
      <c r="B353">
        <v>2024</v>
      </c>
      <c r="C353" t="s">
        <v>287</v>
      </c>
      <c r="D353">
        <v>12</v>
      </c>
      <c r="E353">
        <v>25</v>
      </c>
      <c r="F353" t="s">
        <v>48</v>
      </c>
      <c r="G353" s="106">
        <v>0.73611111111111116</v>
      </c>
      <c r="H353" t="s">
        <v>80</v>
      </c>
      <c r="I353" t="s">
        <v>230</v>
      </c>
      <c r="J353">
        <v>82</v>
      </c>
      <c r="K353">
        <v>5.85</v>
      </c>
      <c r="L353">
        <v>122</v>
      </c>
      <c r="M353">
        <v>12</v>
      </c>
      <c r="N353" s="58">
        <v>138.86000000000001</v>
      </c>
      <c r="O353" s="58">
        <v>111.654</v>
      </c>
      <c r="P353" s="58">
        <v>23.736799999999999</v>
      </c>
      <c r="Q353" s="58">
        <v>19.086153846153799</v>
      </c>
      <c r="R353" s="58">
        <v>11.571666666666699</v>
      </c>
      <c r="S353" s="58">
        <v>1.1381967213114801</v>
      </c>
      <c r="T353" t="s">
        <v>176</v>
      </c>
      <c r="U353" s="11">
        <v>79.223799999999997</v>
      </c>
      <c r="V353"/>
      <c r="W353"/>
    </row>
    <row r="354" spans="1:23" x14ac:dyDescent="0.35">
      <c r="A354" s="40">
        <v>45461</v>
      </c>
      <c r="B354">
        <v>2024</v>
      </c>
      <c r="C354" t="s">
        <v>287</v>
      </c>
      <c r="D354">
        <v>12</v>
      </c>
      <c r="E354">
        <v>25</v>
      </c>
      <c r="F354" t="s">
        <v>47</v>
      </c>
      <c r="G354" s="106">
        <v>0.72916666666666663</v>
      </c>
      <c r="H354" t="s">
        <v>80</v>
      </c>
      <c r="I354" t="s">
        <v>230</v>
      </c>
      <c r="J354">
        <v>84</v>
      </c>
      <c r="K354">
        <v>5.28</v>
      </c>
      <c r="L354">
        <v>122</v>
      </c>
      <c r="M354">
        <v>14</v>
      </c>
      <c r="N354" s="58">
        <v>116.97</v>
      </c>
      <c r="O354" s="58">
        <v>89.763999999999996</v>
      </c>
      <c r="P354" s="58">
        <v>22.153400000000001</v>
      </c>
      <c r="Q354" s="58">
        <v>17.0007575757576</v>
      </c>
      <c r="R354" s="58">
        <v>8.3550000000000004</v>
      </c>
      <c r="S354" s="58">
        <v>0.958770491803279</v>
      </c>
      <c r="T354" t="s">
        <v>176</v>
      </c>
      <c r="U354" s="11">
        <v>77.680899999999994</v>
      </c>
      <c r="V354"/>
      <c r="W354"/>
    </row>
    <row r="355" spans="1:23" x14ac:dyDescent="0.35">
      <c r="A355" s="40">
        <v>45460</v>
      </c>
      <c r="B355">
        <v>2024</v>
      </c>
      <c r="C355" t="s">
        <v>287</v>
      </c>
      <c r="D355">
        <v>12</v>
      </c>
      <c r="E355">
        <v>25</v>
      </c>
      <c r="F355" t="s">
        <v>46</v>
      </c>
      <c r="G355" s="106">
        <v>0.73958333333333337</v>
      </c>
      <c r="H355" t="s">
        <v>85</v>
      </c>
      <c r="I355" t="s">
        <v>249</v>
      </c>
      <c r="J355">
        <v>66</v>
      </c>
      <c r="K355">
        <v>5.38</v>
      </c>
      <c r="L355">
        <v>104</v>
      </c>
      <c r="M355">
        <v>11</v>
      </c>
      <c r="N355" s="58">
        <v>117.83</v>
      </c>
      <c r="O355" s="58">
        <v>94.638000000000005</v>
      </c>
      <c r="P355" s="58">
        <v>21.901499999999999</v>
      </c>
      <c r="Q355" s="58">
        <v>17.590706319702601</v>
      </c>
      <c r="R355" s="58">
        <v>10.711818181818201</v>
      </c>
      <c r="S355" s="58">
        <v>1.1329807692307701</v>
      </c>
      <c r="T355" t="s">
        <v>176</v>
      </c>
      <c r="U355" s="11">
        <v>76.381200000000007</v>
      </c>
      <c r="V355"/>
      <c r="W355"/>
    </row>
    <row r="356" spans="1:23" x14ac:dyDescent="0.35">
      <c r="A356" s="40">
        <v>45458</v>
      </c>
      <c r="B356">
        <v>2024</v>
      </c>
      <c r="C356" t="s">
        <v>287</v>
      </c>
      <c r="D356">
        <v>11</v>
      </c>
      <c r="E356">
        <v>24</v>
      </c>
      <c r="F356" t="s">
        <v>51</v>
      </c>
      <c r="G356" s="106">
        <v>0.69444444444444442</v>
      </c>
      <c r="H356" t="s">
        <v>80</v>
      </c>
      <c r="I356" t="s">
        <v>230</v>
      </c>
      <c r="J356">
        <v>66</v>
      </c>
      <c r="K356">
        <v>5.93</v>
      </c>
      <c r="L356">
        <v>174</v>
      </c>
      <c r="M356">
        <v>11</v>
      </c>
      <c r="N356" s="58">
        <v>142.88</v>
      </c>
      <c r="O356" s="58">
        <v>104.078</v>
      </c>
      <c r="P356" s="58">
        <v>24.0944</v>
      </c>
      <c r="Q356" s="58">
        <v>17.551096121416499</v>
      </c>
      <c r="R356" s="58">
        <v>12.989090909090899</v>
      </c>
      <c r="S356" s="58">
        <v>0.82114942528735602</v>
      </c>
      <c r="T356" t="s">
        <v>175</v>
      </c>
      <c r="U356" s="11">
        <v>76.343599999999995</v>
      </c>
      <c r="V356"/>
      <c r="W356"/>
    </row>
    <row r="357" spans="1:23" x14ac:dyDescent="0.35">
      <c r="A357" s="40">
        <v>45457</v>
      </c>
      <c r="B357">
        <v>2024</v>
      </c>
      <c r="C357" t="s">
        <v>287</v>
      </c>
      <c r="D357">
        <v>11</v>
      </c>
      <c r="E357">
        <v>24</v>
      </c>
      <c r="F357" t="s">
        <v>50</v>
      </c>
      <c r="G357" s="106">
        <v>0.73263888888888884</v>
      </c>
      <c r="H357" t="s">
        <v>80</v>
      </c>
      <c r="I357" t="s">
        <v>245</v>
      </c>
      <c r="J357">
        <v>79</v>
      </c>
      <c r="K357">
        <v>7.62</v>
      </c>
      <c r="L357">
        <v>185</v>
      </c>
      <c r="M357">
        <v>17</v>
      </c>
      <c r="N357" s="58">
        <v>206.79</v>
      </c>
      <c r="O357" s="58">
        <v>165.535</v>
      </c>
      <c r="P357" s="58">
        <v>27.137799999999999</v>
      </c>
      <c r="Q357" s="58">
        <v>21.723753280839901</v>
      </c>
      <c r="R357" s="58">
        <v>12.1641176470588</v>
      </c>
      <c r="S357" s="58">
        <v>1.1177837837837801</v>
      </c>
      <c r="T357" t="s">
        <v>176</v>
      </c>
      <c r="U357" s="11">
        <v>74.756</v>
      </c>
      <c r="V357"/>
      <c r="W357"/>
    </row>
    <row r="358" spans="1:23" x14ac:dyDescent="0.35">
      <c r="A358" s="40">
        <v>45456</v>
      </c>
      <c r="B358">
        <v>2024</v>
      </c>
      <c r="C358" t="s">
        <v>287</v>
      </c>
      <c r="D358">
        <v>11</v>
      </c>
      <c r="E358">
        <v>24</v>
      </c>
      <c r="F358" t="s">
        <v>49</v>
      </c>
      <c r="G358" s="106">
        <v>0.70833333333333337</v>
      </c>
      <c r="H358" t="s">
        <v>80</v>
      </c>
      <c r="I358" t="s">
        <v>230</v>
      </c>
      <c r="J358">
        <v>73</v>
      </c>
      <c r="K358">
        <v>5.8</v>
      </c>
      <c r="L358">
        <v>123</v>
      </c>
      <c r="M358">
        <v>14</v>
      </c>
      <c r="N358" s="58">
        <v>134</v>
      </c>
      <c r="O358" s="58">
        <v>106.571</v>
      </c>
      <c r="P358" s="58">
        <v>23.103400000000001</v>
      </c>
      <c r="Q358" s="58">
        <v>18.374310344827599</v>
      </c>
      <c r="R358" s="58">
        <v>9.5714285714285694</v>
      </c>
      <c r="S358" s="58">
        <v>1.0894308943089399</v>
      </c>
      <c r="T358" t="s">
        <v>176</v>
      </c>
      <c r="U358" s="11">
        <v>73.393299999999996</v>
      </c>
      <c r="V358"/>
      <c r="W358"/>
    </row>
    <row r="359" spans="1:23" x14ac:dyDescent="0.35">
      <c r="A359" s="40">
        <v>45455</v>
      </c>
      <c r="B359">
        <v>2024</v>
      </c>
      <c r="C359" t="s">
        <v>287</v>
      </c>
      <c r="D359">
        <v>11</v>
      </c>
      <c r="E359">
        <v>24</v>
      </c>
      <c r="F359" t="s">
        <v>48</v>
      </c>
      <c r="G359" s="106">
        <v>0.72222222222222221</v>
      </c>
      <c r="H359" t="s">
        <v>80</v>
      </c>
      <c r="I359" t="s">
        <v>231</v>
      </c>
      <c r="J359">
        <v>64</v>
      </c>
      <c r="K359">
        <v>5.72</v>
      </c>
      <c r="L359">
        <v>104</v>
      </c>
      <c r="M359">
        <v>12</v>
      </c>
      <c r="N359" s="58">
        <v>104.98</v>
      </c>
      <c r="O359" s="58">
        <v>81.787999999999997</v>
      </c>
      <c r="P359" s="58">
        <v>18.353100000000001</v>
      </c>
      <c r="Q359" s="58">
        <v>14.2986013986014</v>
      </c>
      <c r="R359" s="58">
        <v>8.7483333333333295</v>
      </c>
      <c r="S359" s="58">
        <v>1.0094230769230801</v>
      </c>
      <c r="T359" t="s">
        <v>176</v>
      </c>
      <c r="U359" s="11">
        <v>72.9161</v>
      </c>
      <c r="V359"/>
      <c r="W359"/>
    </row>
    <row r="360" spans="1:23" x14ac:dyDescent="0.35">
      <c r="A360" s="40">
        <v>45454</v>
      </c>
      <c r="B360">
        <v>2024</v>
      </c>
      <c r="C360" t="s">
        <v>287</v>
      </c>
      <c r="D360">
        <v>11</v>
      </c>
      <c r="E360">
        <v>24</v>
      </c>
      <c r="F360" t="s">
        <v>47</v>
      </c>
      <c r="G360" s="106">
        <v>0.77083333333333337</v>
      </c>
      <c r="H360" t="s">
        <v>80</v>
      </c>
      <c r="I360" t="s">
        <v>231</v>
      </c>
      <c r="J360">
        <v>70</v>
      </c>
      <c r="K360">
        <v>5.12</v>
      </c>
      <c r="L360">
        <v>124</v>
      </c>
      <c r="M360">
        <v>9</v>
      </c>
      <c r="N360" s="58">
        <v>100.4</v>
      </c>
      <c r="O360" s="58">
        <v>72.748000000000005</v>
      </c>
      <c r="P360" s="58">
        <v>19.609400000000001</v>
      </c>
      <c r="Q360" s="58">
        <v>14.20859375</v>
      </c>
      <c r="R360" s="58">
        <v>11.155555555555599</v>
      </c>
      <c r="S360" s="58">
        <v>0.80967741935483895</v>
      </c>
      <c r="T360" t="s">
        <v>176</v>
      </c>
      <c r="U360" s="11">
        <v>72.594099999999997</v>
      </c>
      <c r="V360"/>
      <c r="W360"/>
    </row>
    <row r="361" spans="1:23" x14ac:dyDescent="0.35">
      <c r="A361" s="40">
        <v>45453</v>
      </c>
      <c r="B361">
        <v>2024</v>
      </c>
      <c r="C361" t="s">
        <v>287</v>
      </c>
      <c r="D361">
        <v>11</v>
      </c>
      <c r="E361">
        <v>24</v>
      </c>
      <c r="F361" t="s">
        <v>46</v>
      </c>
      <c r="G361" s="106">
        <v>0.72916666666666663</v>
      </c>
      <c r="H361" t="s">
        <v>85</v>
      </c>
      <c r="I361" t="s">
        <v>230</v>
      </c>
      <c r="J361">
        <v>68</v>
      </c>
      <c r="K361">
        <v>5.16</v>
      </c>
      <c r="L361">
        <v>111</v>
      </c>
      <c r="M361">
        <v>8</v>
      </c>
      <c r="N361" s="58">
        <v>130.77000000000001</v>
      </c>
      <c r="O361" s="58">
        <v>106.017</v>
      </c>
      <c r="P361" s="58">
        <v>25.343</v>
      </c>
      <c r="Q361" s="58">
        <v>20.545930232558099</v>
      </c>
      <c r="R361" s="58">
        <v>16.346250000000001</v>
      </c>
      <c r="S361" s="58">
        <v>1.17810810810811</v>
      </c>
      <c r="T361" t="s">
        <v>176</v>
      </c>
      <c r="U361" s="11">
        <v>72.751000000000005</v>
      </c>
      <c r="V361"/>
      <c r="W361"/>
    </row>
    <row r="362" spans="1:23" x14ac:dyDescent="0.35">
      <c r="A362" s="40">
        <v>45452</v>
      </c>
      <c r="B362">
        <v>2024</v>
      </c>
      <c r="C362" t="s">
        <v>287</v>
      </c>
      <c r="D362">
        <v>10</v>
      </c>
      <c r="E362">
        <v>23</v>
      </c>
      <c r="F362" t="s">
        <v>45</v>
      </c>
      <c r="G362" s="106">
        <v>0.66319444444444442</v>
      </c>
      <c r="H362" t="s">
        <v>85</v>
      </c>
      <c r="I362" t="s">
        <v>249</v>
      </c>
      <c r="J362">
        <v>61</v>
      </c>
      <c r="K362">
        <v>6.62</v>
      </c>
      <c r="L362">
        <v>155</v>
      </c>
      <c r="M362">
        <v>13</v>
      </c>
      <c r="N362" s="58">
        <v>174.07</v>
      </c>
      <c r="O362" s="58">
        <v>139.505</v>
      </c>
      <c r="P362" s="58">
        <v>26.294599999999999</v>
      </c>
      <c r="Q362" s="58">
        <v>21.073262839879199</v>
      </c>
      <c r="R362" s="58">
        <v>13.39</v>
      </c>
      <c r="S362" s="58">
        <v>1.12303225806452</v>
      </c>
      <c r="T362" t="s">
        <v>176</v>
      </c>
      <c r="U362" s="11">
        <v>71.298000000000002</v>
      </c>
      <c r="V362"/>
      <c r="W362"/>
    </row>
    <row r="363" spans="1:23" x14ac:dyDescent="0.35">
      <c r="A363" s="40">
        <v>45451</v>
      </c>
      <c r="B363">
        <v>2024</v>
      </c>
      <c r="C363" t="s">
        <v>287</v>
      </c>
      <c r="D363">
        <v>10</v>
      </c>
      <c r="E363">
        <v>23</v>
      </c>
      <c r="F363" t="s">
        <v>51</v>
      </c>
      <c r="G363" s="106">
        <v>0.61111111111111116</v>
      </c>
      <c r="H363" t="s">
        <v>80</v>
      </c>
      <c r="I363" t="s">
        <v>230</v>
      </c>
      <c r="J363">
        <v>66</v>
      </c>
      <c r="K363">
        <v>7.35</v>
      </c>
      <c r="L363">
        <v>153</v>
      </c>
      <c r="M363">
        <v>17</v>
      </c>
      <c r="N363" s="58">
        <v>136.09</v>
      </c>
      <c r="O363" s="58">
        <v>101.971</v>
      </c>
      <c r="P363" s="58">
        <v>18.515599999999999</v>
      </c>
      <c r="Q363" s="58">
        <v>13.873605442176901</v>
      </c>
      <c r="R363" s="58">
        <v>8.0052941176470593</v>
      </c>
      <c r="S363" s="58">
        <v>0.88947712418300595</v>
      </c>
      <c r="T363" t="s">
        <v>175</v>
      </c>
      <c r="U363" s="11">
        <v>70.438199999999995</v>
      </c>
      <c r="V363"/>
      <c r="W363"/>
    </row>
    <row r="364" spans="1:23" x14ac:dyDescent="0.35">
      <c r="A364" s="40">
        <v>45450</v>
      </c>
      <c r="B364">
        <v>2024</v>
      </c>
      <c r="C364" t="s">
        <v>287</v>
      </c>
      <c r="D364">
        <v>10</v>
      </c>
      <c r="E364">
        <v>23</v>
      </c>
      <c r="F364" t="s">
        <v>50</v>
      </c>
      <c r="G364" s="106">
        <v>0.74652777777777779</v>
      </c>
      <c r="H364" t="s">
        <v>80</v>
      </c>
      <c r="I364" t="s">
        <v>249</v>
      </c>
      <c r="J364">
        <v>64</v>
      </c>
      <c r="K364">
        <v>6.08</v>
      </c>
      <c r="L364">
        <v>165</v>
      </c>
      <c r="M364">
        <v>13</v>
      </c>
      <c r="N364" s="58">
        <v>143.56</v>
      </c>
      <c r="O364" s="58">
        <v>106.765</v>
      </c>
      <c r="P364" s="58">
        <v>23.611799999999999</v>
      </c>
      <c r="Q364" s="58">
        <v>17.5600328947368</v>
      </c>
      <c r="R364" s="58">
        <v>11.043076923076899</v>
      </c>
      <c r="S364" s="58">
        <v>0.87006060606060598</v>
      </c>
      <c r="T364" t="s">
        <v>176</v>
      </c>
      <c r="U364" s="11">
        <v>68.926100000000005</v>
      </c>
      <c r="V364"/>
      <c r="W364"/>
    </row>
    <row r="365" spans="1:23" x14ac:dyDescent="0.35">
      <c r="A365" s="40">
        <v>45449</v>
      </c>
      <c r="B365">
        <v>2024</v>
      </c>
      <c r="C365" t="s">
        <v>287</v>
      </c>
      <c r="D365">
        <v>10</v>
      </c>
      <c r="E365">
        <v>23</v>
      </c>
      <c r="F365" t="s">
        <v>49</v>
      </c>
      <c r="G365" s="106">
        <v>0.70833333333333337</v>
      </c>
      <c r="H365" t="s">
        <v>85</v>
      </c>
      <c r="I365" t="s">
        <v>276</v>
      </c>
      <c r="J365">
        <v>59</v>
      </c>
      <c r="K365">
        <v>6.13</v>
      </c>
      <c r="L365">
        <v>119</v>
      </c>
      <c r="M365">
        <v>10</v>
      </c>
      <c r="N365" s="58">
        <v>139.02000000000001</v>
      </c>
      <c r="O365" s="58">
        <v>112.483</v>
      </c>
      <c r="P365" s="58">
        <v>22.678599999999999</v>
      </c>
      <c r="Q365" s="58">
        <v>18.349592169657399</v>
      </c>
      <c r="R365" s="58">
        <v>13.901999999999999</v>
      </c>
      <c r="S365" s="58">
        <v>1.1682352941176499</v>
      </c>
      <c r="T365" t="s">
        <v>176</v>
      </c>
      <c r="U365" s="11">
        <v>69.795699999999997</v>
      </c>
      <c r="V365"/>
      <c r="W365"/>
    </row>
    <row r="366" spans="1:23" x14ac:dyDescent="0.35">
      <c r="A366" s="40">
        <v>45448</v>
      </c>
      <c r="B366">
        <v>2024</v>
      </c>
      <c r="C366" t="s">
        <v>287</v>
      </c>
      <c r="D366">
        <v>10</v>
      </c>
      <c r="E366">
        <v>23</v>
      </c>
      <c r="F366" t="s">
        <v>48</v>
      </c>
      <c r="G366" s="106">
        <v>0.71875</v>
      </c>
      <c r="H366" t="s">
        <v>85</v>
      </c>
      <c r="I366" t="s">
        <v>249</v>
      </c>
      <c r="J366">
        <v>70</v>
      </c>
      <c r="K366">
        <v>5.6</v>
      </c>
      <c r="L366">
        <v>121</v>
      </c>
      <c r="M366">
        <v>13</v>
      </c>
      <c r="N366" s="58">
        <v>113.09</v>
      </c>
      <c r="O366" s="58">
        <v>86.106999999999999</v>
      </c>
      <c r="P366" s="58">
        <v>20.194600000000001</v>
      </c>
      <c r="Q366" s="58">
        <v>15.376250000000001</v>
      </c>
      <c r="R366" s="58">
        <v>8.6992307692307698</v>
      </c>
      <c r="S366" s="58">
        <v>0.93462809917355405</v>
      </c>
      <c r="T366" t="s">
        <v>176</v>
      </c>
      <c r="U366" s="11">
        <v>68.251000000000005</v>
      </c>
      <c r="V366"/>
      <c r="W366"/>
    </row>
    <row r="367" spans="1:23" x14ac:dyDescent="0.35">
      <c r="A367" s="40">
        <v>45447</v>
      </c>
      <c r="B367">
        <v>2024</v>
      </c>
      <c r="C367" t="s">
        <v>287</v>
      </c>
      <c r="D367">
        <v>10</v>
      </c>
      <c r="E367">
        <v>23</v>
      </c>
      <c r="F367" t="s">
        <v>47</v>
      </c>
      <c r="G367" s="106">
        <v>0.73263888888888884</v>
      </c>
      <c r="H367" t="s">
        <v>80</v>
      </c>
      <c r="I367" t="s">
        <v>230</v>
      </c>
      <c r="J367">
        <v>70</v>
      </c>
      <c r="K367">
        <v>4.2300000000000004</v>
      </c>
      <c r="L367">
        <v>120</v>
      </c>
      <c r="M367">
        <v>10</v>
      </c>
      <c r="N367" s="58">
        <v>104.54</v>
      </c>
      <c r="O367" s="58">
        <v>77.78</v>
      </c>
      <c r="P367" s="58">
        <v>24.713899999999999</v>
      </c>
      <c r="Q367" s="58">
        <v>18.387706855792</v>
      </c>
      <c r="R367" s="58">
        <v>10.454000000000001</v>
      </c>
      <c r="S367" s="58">
        <v>0.87116666666666698</v>
      </c>
      <c r="T367" t="s">
        <v>176</v>
      </c>
      <c r="U367" s="11">
        <v>66.994399999999999</v>
      </c>
      <c r="V367"/>
      <c r="W367"/>
    </row>
    <row r="368" spans="1:23" x14ac:dyDescent="0.35">
      <c r="A368" s="40">
        <v>45446</v>
      </c>
      <c r="B368">
        <v>2024</v>
      </c>
      <c r="C368" t="s">
        <v>287</v>
      </c>
      <c r="D368">
        <v>10</v>
      </c>
      <c r="E368">
        <v>23</v>
      </c>
      <c r="F368" t="s">
        <v>46</v>
      </c>
      <c r="G368" s="106">
        <v>0.72569444444444442</v>
      </c>
      <c r="H368" t="s">
        <v>80</v>
      </c>
      <c r="I368" t="s">
        <v>230</v>
      </c>
      <c r="J368">
        <v>70</v>
      </c>
      <c r="K368">
        <v>5.33</v>
      </c>
      <c r="L368">
        <v>139</v>
      </c>
      <c r="M368">
        <v>10</v>
      </c>
      <c r="N368" s="58">
        <v>96</v>
      </c>
      <c r="O368" s="58">
        <v>65.003</v>
      </c>
      <c r="P368" s="58">
        <v>18.011299999999999</v>
      </c>
      <c r="Q368" s="58">
        <v>12.1956848030019</v>
      </c>
      <c r="R368" s="58">
        <v>9.6</v>
      </c>
      <c r="S368" s="58">
        <v>0.69064748201438797</v>
      </c>
      <c r="T368" t="s">
        <v>176</v>
      </c>
      <c r="U368" s="11">
        <v>65.832899999999995</v>
      </c>
      <c r="V368"/>
      <c r="W368"/>
    </row>
    <row r="369" spans="1:23" x14ac:dyDescent="0.35">
      <c r="A369" s="40">
        <v>45445</v>
      </c>
      <c r="B369">
        <v>2024</v>
      </c>
      <c r="C369" t="s">
        <v>287</v>
      </c>
      <c r="D369">
        <v>9</v>
      </c>
      <c r="E369">
        <v>22</v>
      </c>
      <c r="F369" t="s">
        <v>45</v>
      </c>
      <c r="G369" s="106">
        <v>0.74305555555555558</v>
      </c>
      <c r="H369" t="s">
        <v>82</v>
      </c>
      <c r="I369" t="s">
        <v>230</v>
      </c>
      <c r="J369">
        <v>77</v>
      </c>
      <c r="K369">
        <v>5.25</v>
      </c>
      <c r="L369">
        <v>93</v>
      </c>
      <c r="M369">
        <v>12</v>
      </c>
      <c r="N369" s="58">
        <v>94.56</v>
      </c>
      <c r="O369" s="58">
        <v>73.820999999999998</v>
      </c>
      <c r="P369" s="58">
        <v>18.011399999999998</v>
      </c>
      <c r="Q369" s="58">
        <v>14.061142857142899</v>
      </c>
      <c r="R369" s="58">
        <v>7.88</v>
      </c>
      <c r="S369" s="58">
        <v>1.01677419354839</v>
      </c>
      <c r="T369" t="s">
        <v>176</v>
      </c>
      <c r="U369" s="11">
        <v>65.492000000000004</v>
      </c>
      <c r="V369"/>
      <c r="W369"/>
    </row>
    <row r="370" spans="1:23" x14ac:dyDescent="0.35">
      <c r="A370" s="40">
        <v>45444</v>
      </c>
      <c r="B370">
        <v>2024</v>
      </c>
      <c r="C370" t="s">
        <v>287</v>
      </c>
      <c r="D370">
        <v>9</v>
      </c>
      <c r="E370">
        <v>22</v>
      </c>
      <c r="F370" t="s">
        <v>51</v>
      </c>
      <c r="G370" s="106">
        <v>0.67013888888888884</v>
      </c>
      <c r="H370" t="s">
        <v>85</v>
      </c>
      <c r="I370" t="s">
        <v>249</v>
      </c>
      <c r="J370">
        <v>63</v>
      </c>
      <c r="K370">
        <v>5.05</v>
      </c>
      <c r="L370">
        <v>142</v>
      </c>
      <c r="M370">
        <v>8</v>
      </c>
      <c r="N370" s="58">
        <v>152.72</v>
      </c>
      <c r="O370" s="58">
        <v>121.054</v>
      </c>
      <c r="P370" s="58">
        <v>30.241599999999998</v>
      </c>
      <c r="Q370" s="58">
        <v>23.971089108910899</v>
      </c>
      <c r="R370" s="58">
        <v>19.09</v>
      </c>
      <c r="S370" s="58">
        <v>1.07549295774648</v>
      </c>
      <c r="T370" t="s">
        <v>176</v>
      </c>
      <c r="U370" s="11">
        <v>64.441299999999998</v>
      </c>
      <c r="V370"/>
      <c r="W370"/>
    </row>
    <row r="371" spans="1:23" x14ac:dyDescent="0.35">
      <c r="A371" s="40">
        <v>45443</v>
      </c>
      <c r="B371">
        <v>2024</v>
      </c>
      <c r="C371" t="s">
        <v>287</v>
      </c>
      <c r="D371">
        <v>9</v>
      </c>
      <c r="E371">
        <v>22</v>
      </c>
      <c r="F371" t="s">
        <v>50</v>
      </c>
      <c r="G371" s="106">
        <v>0.75</v>
      </c>
      <c r="H371" t="s">
        <v>80</v>
      </c>
      <c r="I371" t="s">
        <v>230</v>
      </c>
      <c r="J371">
        <v>70</v>
      </c>
      <c r="K371">
        <v>5.9</v>
      </c>
      <c r="L371">
        <v>126</v>
      </c>
      <c r="M371">
        <v>13</v>
      </c>
      <c r="N371" s="58">
        <v>131.13</v>
      </c>
      <c r="O371" s="58">
        <v>103.032</v>
      </c>
      <c r="P371" s="58">
        <v>22.2254</v>
      </c>
      <c r="Q371" s="58">
        <v>17.463050847457598</v>
      </c>
      <c r="R371" s="58">
        <v>10.0869230769231</v>
      </c>
      <c r="S371" s="58">
        <v>1.0407142857142899</v>
      </c>
      <c r="T371" t="s">
        <v>176</v>
      </c>
      <c r="U371" s="11">
        <v>63.626199999999997</v>
      </c>
      <c r="V371"/>
      <c r="W371"/>
    </row>
    <row r="372" spans="1:23" x14ac:dyDescent="0.35">
      <c r="A372" s="40">
        <v>45442</v>
      </c>
      <c r="B372">
        <v>2024</v>
      </c>
      <c r="C372" t="s">
        <v>287</v>
      </c>
      <c r="D372">
        <v>9</v>
      </c>
      <c r="E372">
        <v>22</v>
      </c>
      <c r="F372" t="s">
        <v>49</v>
      </c>
      <c r="G372" s="106">
        <v>0.73958333333333337</v>
      </c>
      <c r="H372" t="s">
        <v>80</v>
      </c>
      <c r="I372" t="s">
        <v>281</v>
      </c>
      <c r="J372">
        <v>64</v>
      </c>
      <c r="K372">
        <v>5.53</v>
      </c>
      <c r="L372">
        <v>127</v>
      </c>
      <c r="M372">
        <v>11</v>
      </c>
      <c r="N372" s="58">
        <v>155.93</v>
      </c>
      <c r="O372" s="58">
        <v>127.60899999999999</v>
      </c>
      <c r="P372" s="58">
        <v>28.197099999999999</v>
      </c>
      <c r="Q372" s="58">
        <v>23.075768535262199</v>
      </c>
      <c r="R372" s="58">
        <v>14.1754545454545</v>
      </c>
      <c r="S372" s="58">
        <v>1.2277952755905499</v>
      </c>
      <c r="T372" t="s">
        <v>176</v>
      </c>
      <c r="U372" s="11">
        <v>63.604100000000003</v>
      </c>
      <c r="V372"/>
      <c r="W372"/>
    </row>
    <row r="373" spans="1:23" x14ac:dyDescent="0.35">
      <c r="A373" s="40">
        <v>45441</v>
      </c>
      <c r="B373">
        <v>2024</v>
      </c>
      <c r="C373" t="s">
        <v>287</v>
      </c>
      <c r="D373">
        <v>9</v>
      </c>
      <c r="E373">
        <v>22</v>
      </c>
      <c r="F373" t="s">
        <v>48</v>
      </c>
      <c r="G373" s="106">
        <v>0.75694444444444442</v>
      </c>
      <c r="H373" t="s">
        <v>80</v>
      </c>
      <c r="I373" t="s">
        <v>230</v>
      </c>
      <c r="J373">
        <v>72</v>
      </c>
      <c r="K373">
        <v>2.97</v>
      </c>
      <c r="L373">
        <v>58</v>
      </c>
      <c r="M373">
        <v>7</v>
      </c>
      <c r="N373" s="58">
        <v>48.23</v>
      </c>
      <c r="O373" s="58">
        <v>35.295999999999999</v>
      </c>
      <c r="P373" s="58">
        <v>16.239100000000001</v>
      </c>
      <c r="Q373" s="58">
        <v>11.8841750841751</v>
      </c>
      <c r="R373" s="58">
        <v>6.89</v>
      </c>
      <c r="S373" s="58">
        <v>0.83155172413793099</v>
      </c>
      <c r="T373" t="s">
        <v>176</v>
      </c>
      <c r="U373" s="11">
        <v>62.817599999999999</v>
      </c>
      <c r="V373"/>
      <c r="W373"/>
    </row>
    <row r="374" spans="1:23" x14ac:dyDescent="0.35">
      <c r="A374" s="40">
        <v>45440</v>
      </c>
      <c r="B374">
        <v>2024</v>
      </c>
      <c r="C374" t="s">
        <v>287</v>
      </c>
      <c r="D374">
        <v>9</v>
      </c>
      <c r="E374">
        <v>22</v>
      </c>
      <c r="F374" t="s">
        <v>47</v>
      </c>
      <c r="G374" s="106">
        <v>0.71180555555555558</v>
      </c>
      <c r="H374" t="s">
        <v>80</v>
      </c>
      <c r="I374" t="s">
        <v>249</v>
      </c>
      <c r="J374">
        <v>75</v>
      </c>
      <c r="K374">
        <v>6.1</v>
      </c>
      <c r="L374">
        <v>164</v>
      </c>
      <c r="M374">
        <v>11</v>
      </c>
      <c r="N374" s="58">
        <v>121.22</v>
      </c>
      <c r="O374" s="58">
        <v>84.647999999999996</v>
      </c>
      <c r="P374" s="58">
        <v>19.8721</v>
      </c>
      <c r="Q374" s="58">
        <v>13.8767213114754</v>
      </c>
      <c r="R374" s="58">
        <v>11.02</v>
      </c>
      <c r="S374" s="58">
        <v>0.73914634146341496</v>
      </c>
      <c r="T374" t="s">
        <v>176</v>
      </c>
      <c r="U374" s="11">
        <v>62.281700000000001</v>
      </c>
      <c r="V374"/>
      <c r="W374"/>
    </row>
    <row r="375" spans="1:23" x14ac:dyDescent="0.35">
      <c r="A375" s="40">
        <v>45439</v>
      </c>
      <c r="B375">
        <v>2024</v>
      </c>
      <c r="C375" t="s">
        <v>287</v>
      </c>
      <c r="D375">
        <v>9</v>
      </c>
      <c r="E375">
        <v>22</v>
      </c>
      <c r="F375" t="s">
        <v>46</v>
      </c>
      <c r="G375" s="106">
        <v>0.69791666666666663</v>
      </c>
      <c r="H375" t="s">
        <v>174</v>
      </c>
      <c r="I375" t="s">
        <v>249</v>
      </c>
      <c r="J375">
        <v>75</v>
      </c>
      <c r="K375">
        <v>6.37</v>
      </c>
      <c r="L375">
        <v>172</v>
      </c>
      <c r="M375">
        <v>10</v>
      </c>
      <c r="N375" s="58">
        <v>93.49</v>
      </c>
      <c r="O375" s="58">
        <v>55.134</v>
      </c>
      <c r="P375" s="58">
        <v>14.676600000000001</v>
      </c>
      <c r="Q375" s="58">
        <v>8.6552590266876006</v>
      </c>
      <c r="R375" s="58">
        <v>9.3490000000000002</v>
      </c>
      <c r="S375" s="58">
        <v>0.54354651162790701</v>
      </c>
      <c r="T375" t="s">
        <v>175</v>
      </c>
      <c r="U375" s="11">
        <v>61.738999999999997</v>
      </c>
      <c r="V375"/>
      <c r="W375"/>
    </row>
    <row r="376" spans="1:23" x14ac:dyDescent="0.35">
      <c r="A376" s="40">
        <v>45436</v>
      </c>
      <c r="B376">
        <v>2024</v>
      </c>
      <c r="C376" t="s">
        <v>287</v>
      </c>
      <c r="D376">
        <v>8</v>
      </c>
      <c r="E376">
        <v>21</v>
      </c>
      <c r="F376" t="s">
        <v>50</v>
      </c>
      <c r="G376" s="106">
        <v>0.73611111111111116</v>
      </c>
      <c r="H376" t="s">
        <v>80</v>
      </c>
      <c r="I376" t="s">
        <v>230</v>
      </c>
      <c r="J376">
        <v>73</v>
      </c>
      <c r="K376">
        <v>4.45</v>
      </c>
      <c r="L376">
        <v>111</v>
      </c>
      <c r="M376">
        <v>8</v>
      </c>
      <c r="N376" s="58">
        <v>72.19</v>
      </c>
      <c r="O376" s="58">
        <v>47.436999999999998</v>
      </c>
      <c r="P376" s="58">
        <v>16.2225</v>
      </c>
      <c r="Q376" s="58">
        <v>10.66</v>
      </c>
      <c r="R376" s="58">
        <v>9.0237499999999997</v>
      </c>
      <c r="S376" s="58">
        <v>0.65036036036036005</v>
      </c>
      <c r="T376" t="s">
        <v>176</v>
      </c>
      <c r="U376" s="11">
        <v>62.084099999999999</v>
      </c>
      <c r="V376"/>
      <c r="W376"/>
    </row>
    <row r="377" spans="1:23" x14ac:dyDescent="0.35">
      <c r="A377" s="40">
        <v>45435</v>
      </c>
      <c r="B377">
        <v>2024</v>
      </c>
      <c r="C377" t="s">
        <v>287</v>
      </c>
      <c r="D377">
        <v>8</v>
      </c>
      <c r="E377">
        <v>21</v>
      </c>
      <c r="F377" t="s">
        <v>49</v>
      </c>
      <c r="G377" s="106">
        <v>0.73611111111111116</v>
      </c>
      <c r="H377" t="s">
        <v>80</v>
      </c>
      <c r="I377" t="s">
        <v>230</v>
      </c>
      <c r="J377">
        <v>72</v>
      </c>
      <c r="K377">
        <v>3.67</v>
      </c>
      <c r="L377">
        <v>77</v>
      </c>
      <c r="M377">
        <v>10</v>
      </c>
      <c r="N377" s="58">
        <v>72.94</v>
      </c>
      <c r="O377" s="58">
        <v>55.768999999999998</v>
      </c>
      <c r="P377" s="58">
        <v>19.874700000000001</v>
      </c>
      <c r="Q377" s="58">
        <v>15.1959128065395</v>
      </c>
      <c r="R377" s="58">
        <v>7.2939999999999996</v>
      </c>
      <c r="S377" s="58">
        <v>0.94727272727272704</v>
      </c>
      <c r="T377" t="s">
        <v>176</v>
      </c>
      <c r="U377" s="11">
        <v>62.463999999999999</v>
      </c>
      <c r="V377"/>
      <c r="W377"/>
    </row>
    <row r="378" spans="1:23" x14ac:dyDescent="0.35">
      <c r="A378" s="40">
        <v>45434</v>
      </c>
      <c r="B378">
        <v>2024</v>
      </c>
      <c r="C378" t="s">
        <v>287</v>
      </c>
      <c r="D378">
        <v>8</v>
      </c>
      <c r="E378">
        <v>21</v>
      </c>
      <c r="F378" t="s">
        <v>48</v>
      </c>
      <c r="G378" s="106">
        <v>0.76736111111111116</v>
      </c>
      <c r="H378" t="s">
        <v>80</v>
      </c>
      <c r="I378" t="s">
        <v>249</v>
      </c>
      <c r="J378">
        <v>79</v>
      </c>
      <c r="K378">
        <v>5.22</v>
      </c>
      <c r="L378">
        <v>158</v>
      </c>
      <c r="M378">
        <v>9</v>
      </c>
      <c r="N378" s="58">
        <v>105.4</v>
      </c>
      <c r="O378" s="58">
        <v>70.165999999999997</v>
      </c>
      <c r="P378" s="58">
        <v>20.191600000000001</v>
      </c>
      <c r="Q378" s="58">
        <v>13.4417624521073</v>
      </c>
      <c r="R378" s="58">
        <v>11.7111111111111</v>
      </c>
      <c r="S378" s="58">
        <v>0.66708860759493704</v>
      </c>
      <c r="T378" t="s">
        <v>176</v>
      </c>
      <c r="U378" s="11">
        <v>61.653599999999997</v>
      </c>
      <c r="V378"/>
      <c r="W378"/>
    </row>
    <row r="379" spans="1:23" x14ac:dyDescent="0.35">
      <c r="A379" s="40">
        <v>45432</v>
      </c>
      <c r="B379">
        <v>2024</v>
      </c>
      <c r="C379" t="s">
        <v>287</v>
      </c>
      <c r="D379">
        <v>8</v>
      </c>
      <c r="E379">
        <v>21</v>
      </c>
      <c r="F379" t="s">
        <v>46</v>
      </c>
      <c r="G379" s="106">
        <v>0.60416666666666663</v>
      </c>
      <c r="H379" t="s">
        <v>80</v>
      </c>
      <c r="I379" t="s">
        <v>281</v>
      </c>
      <c r="J379">
        <v>73</v>
      </c>
      <c r="K379">
        <v>1.58</v>
      </c>
      <c r="L379">
        <v>31</v>
      </c>
      <c r="M379">
        <v>4</v>
      </c>
      <c r="N379" s="58">
        <v>22</v>
      </c>
      <c r="O379" s="58">
        <v>15.087</v>
      </c>
      <c r="P379" s="58">
        <v>13.924099999999999</v>
      </c>
      <c r="Q379" s="58">
        <v>9.5487341772151897</v>
      </c>
      <c r="R379" s="58">
        <v>5.5</v>
      </c>
      <c r="S379" s="58">
        <v>0.70967741935483897</v>
      </c>
      <c r="T379" t="s">
        <v>176</v>
      </c>
      <c r="U379" s="11">
        <v>62.071300000000001</v>
      </c>
      <c r="V379"/>
      <c r="W379"/>
    </row>
    <row r="380" spans="1:23" x14ac:dyDescent="0.35">
      <c r="A380" s="40">
        <v>45429</v>
      </c>
      <c r="B380">
        <v>2024</v>
      </c>
      <c r="C380" t="s">
        <v>287</v>
      </c>
      <c r="D380">
        <v>7</v>
      </c>
      <c r="E380">
        <v>20</v>
      </c>
      <c r="F380" t="s">
        <v>50</v>
      </c>
      <c r="G380" s="106">
        <v>0.74305555555555558</v>
      </c>
      <c r="H380" t="s">
        <v>85</v>
      </c>
      <c r="I380" t="s">
        <v>249</v>
      </c>
      <c r="J380">
        <v>57</v>
      </c>
      <c r="K380">
        <v>6.28</v>
      </c>
      <c r="L380">
        <v>121</v>
      </c>
      <c r="M380">
        <v>17</v>
      </c>
      <c r="N380" s="58">
        <v>151.49</v>
      </c>
      <c r="O380" s="58">
        <v>124.50700000000001</v>
      </c>
      <c r="P380" s="58">
        <v>24.122599999999998</v>
      </c>
      <c r="Q380" s="58">
        <v>19.8259554140127</v>
      </c>
      <c r="R380" s="58">
        <v>8.9111764705882397</v>
      </c>
      <c r="S380" s="58">
        <v>1.25198347107438</v>
      </c>
      <c r="T380" t="s">
        <v>176</v>
      </c>
      <c r="U380" s="11">
        <v>64.096400000000003</v>
      </c>
      <c r="V380"/>
      <c r="W380"/>
    </row>
    <row r="381" spans="1:23" x14ac:dyDescent="0.35">
      <c r="A381" s="40">
        <v>45428</v>
      </c>
      <c r="B381">
        <v>2024</v>
      </c>
      <c r="C381" t="s">
        <v>287</v>
      </c>
      <c r="D381">
        <v>7</v>
      </c>
      <c r="E381">
        <v>20</v>
      </c>
      <c r="F381" t="s">
        <v>49</v>
      </c>
      <c r="G381" s="106">
        <v>0.72916666666666663</v>
      </c>
      <c r="H381" t="s">
        <v>80</v>
      </c>
      <c r="I381" t="s">
        <v>230</v>
      </c>
      <c r="J381">
        <v>70</v>
      </c>
      <c r="K381">
        <v>5.62</v>
      </c>
      <c r="L381">
        <v>155</v>
      </c>
      <c r="M381">
        <v>11</v>
      </c>
      <c r="N381" s="58">
        <v>129.66999999999999</v>
      </c>
      <c r="O381" s="58">
        <v>95.105000000000004</v>
      </c>
      <c r="P381" s="58">
        <v>23.073</v>
      </c>
      <c r="Q381" s="58">
        <v>16.922597864768701</v>
      </c>
      <c r="R381" s="58">
        <v>11.788181818181799</v>
      </c>
      <c r="S381" s="58">
        <v>0.83658064516129005</v>
      </c>
      <c r="T381" t="s">
        <v>176</v>
      </c>
      <c r="U381" s="11">
        <v>63.881999999999998</v>
      </c>
      <c r="V381"/>
      <c r="W381"/>
    </row>
    <row r="382" spans="1:23" x14ac:dyDescent="0.35">
      <c r="A382" s="40">
        <v>45427</v>
      </c>
      <c r="B382">
        <v>2024</v>
      </c>
      <c r="C382" t="s">
        <v>287</v>
      </c>
      <c r="D382">
        <v>7</v>
      </c>
      <c r="E382">
        <v>20</v>
      </c>
      <c r="F382" t="s">
        <v>48</v>
      </c>
      <c r="G382" s="106">
        <v>0.76041666666666663</v>
      </c>
      <c r="H382" t="s">
        <v>80</v>
      </c>
      <c r="I382" t="s">
        <v>249</v>
      </c>
      <c r="J382">
        <v>66</v>
      </c>
      <c r="K382">
        <v>5.35</v>
      </c>
      <c r="L382">
        <v>105</v>
      </c>
      <c r="M382">
        <v>15</v>
      </c>
      <c r="N382" s="58">
        <v>125.15</v>
      </c>
      <c r="O382" s="58">
        <v>101.735</v>
      </c>
      <c r="P382" s="58">
        <v>23.392499999999998</v>
      </c>
      <c r="Q382" s="58">
        <v>19.015887850467301</v>
      </c>
      <c r="R382" s="58">
        <v>8.3433333333333408</v>
      </c>
      <c r="S382" s="58">
        <v>1.19190476190476</v>
      </c>
      <c r="T382" t="s">
        <v>176</v>
      </c>
      <c r="U382" s="11">
        <v>63.347200000000001</v>
      </c>
      <c r="V382"/>
      <c r="W382"/>
    </row>
    <row r="383" spans="1:23" x14ac:dyDescent="0.35">
      <c r="A383" s="40">
        <v>45426</v>
      </c>
      <c r="B383">
        <v>2024</v>
      </c>
      <c r="C383" t="s">
        <v>287</v>
      </c>
      <c r="D383">
        <v>7</v>
      </c>
      <c r="E383">
        <v>20</v>
      </c>
      <c r="F383" t="s">
        <v>47</v>
      </c>
      <c r="G383" s="106">
        <v>0.72222222222222221</v>
      </c>
      <c r="H383" t="s">
        <v>80</v>
      </c>
      <c r="I383" t="s">
        <v>285</v>
      </c>
      <c r="J383">
        <v>64</v>
      </c>
      <c r="K383">
        <v>6.35</v>
      </c>
      <c r="L383">
        <v>130</v>
      </c>
      <c r="M383">
        <v>16</v>
      </c>
      <c r="N383" s="58">
        <v>142.47999999999999</v>
      </c>
      <c r="O383" s="58">
        <v>113.49</v>
      </c>
      <c r="P383" s="58">
        <v>22.437799999999999</v>
      </c>
      <c r="Q383" s="58">
        <v>17.872440944881902</v>
      </c>
      <c r="R383" s="58">
        <v>8.9049999999999994</v>
      </c>
      <c r="S383" s="58">
        <v>1.0960000000000001</v>
      </c>
      <c r="T383" t="s">
        <v>176</v>
      </c>
      <c r="U383" s="11">
        <v>61.956699999999998</v>
      </c>
      <c r="V383"/>
      <c r="W383"/>
    </row>
    <row r="384" spans="1:23" x14ac:dyDescent="0.35">
      <c r="A384" s="40">
        <v>45425</v>
      </c>
      <c r="B384">
        <v>2024</v>
      </c>
      <c r="C384" t="s">
        <v>287</v>
      </c>
      <c r="D384">
        <v>7</v>
      </c>
      <c r="E384">
        <v>20</v>
      </c>
      <c r="F384" t="s">
        <v>46</v>
      </c>
      <c r="G384" s="106">
        <v>0.73263888888888884</v>
      </c>
      <c r="H384" t="s">
        <v>80</v>
      </c>
      <c r="I384" t="s">
        <v>230</v>
      </c>
      <c r="J384">
        <v>59</v>
      </c>
      <c r="K384">
        <v>5.32</v>
      </c>
      <c r="L384">
        <v>115</v>
      </c>
      <c r="M384">
        <v>13</v>
      </c>
      <c r="N384" s="58">
        <v>143.83000000000001</v>
      </c>
      <c r="O384" s="58">
        <v>118.185</v>
      </c>
      <c r="P384" s="58">
        <v>27.035699999999999</v>
      </c>
      <c r="Q384" s="58">
        <v>22.215225563909801</v>
      </c>
      <c r="R384" s="58">
        <v>11.0638461538462</v>
      </c>
      <c r="S384" s="58">
        <v>1.2506956521739101</v>
      </c>
      <c r="T384" t="s">
        <v>176</v>
      </c>
      <c r="U384" s="11">
        <v>62.508600000000001</v>
      </c>
      <c r="V384"/>
      <c r="W384"/>
    </row>
    <row r="385" spans="1:23" x14ac:dyDescent="0.35">
      <c r="A385" s="40">
        <v>45421</v>
      </c>
      <c r="B385">
        <v>2024</v>
      </c>
      <c r="C385" t="s">
        <v>287</v>
      </c>
      <c r="D385">
        <v>6</v>
      </c>
      <c r="E385">
        <v>19</v>
      </c>
      <c r="F385" t="s">
        <v>49</v>
      </c>
      <c r="G385" s="106">
        <v>0.77083333333333337</v>
      </c>
      <c r="H385" t="s">
        <v>80</v>
      </c>
      <c r="I385" t="s">
        <v>230</v>
      </c>
      <c r="J385">
        <v>52</v>
      </c>
      <c r="K385">
        <v>4.2</v>
      </c>
      <c r="L385">
        <v>78</v>
      </c>
      <c r="M385">
        <v>8</v>
      </c>
      <c r="N385" s="58">
        <v>91.55</v>
      </c>
      <c r="O385" s="58">
        <v>74.156000000000006</v>
      </c>
      <c r="P385" s="58">
        <v>21.797599999999999</v>
      </c>
      <c r="Q385" s="58">
        <v>17.656190476190499</v>
      </c>
      <c r="R385" s="58">
        <v>11.44375</v>
      </c>
      <c r="S385" s="58">
        <v>1.1737179487179501</v>
      </c>
      <c r="T385" t="s">
        <v>176</v>
      </c>
      <c r="U385" s="11">
        <v>62.794400000000003</v>
      </c>
      <c r="V385"/>
      <c r="W385"/>
    </row>
    <row r="386" spans="1:23" x14ac:dyDescent="0.35">
      <c r="A386" s="40">
        <v>45419</v>
      </c>
      <c r="B386">
        <v>2024</v>
      </c>
      <c r="C386" t="s">
        <v>287</v>
      </c>
      <c r="D386">
        <v>6</v>
      </c>
      <c r="E386">
        <v>19</v>
      </c>
      <c r="F386" t="s">
        <v>47</v>
      </c>
      <c r="G386" s="106">
        <v>0.71875</v>
      </c>
      <c r="H386" t="s">
        <v>85</v>
      </c>
      <c r="I386" t="s">
        <v>230</v>
      </c>
      <c r="J386">
        <v>61</v>
      </c>
      <c r="K386">
        <v>3.73</v>
      </c>
      <c r="L386">
        <v>104</v>
      </c>
      <c r="M386">
        <v>7</v>
      </c>
      <c r="N386" s="58">
        <v>75.02</v>
      </c>
      <c r="O386" s="58">
        <v>51.828000000000003</v>
      </c>
      <c r="P386" s="58">
        <v>20.1126</v>
      </c>
      <c r="Q386" s="58">
        <v>13.894906166219799</v>
      </c>
      <c r="R386" s="58">
        <v>10.7171428571429</v>
      </c>
      <c r="S386" s="58">
        <v>0.72134615384615397</v>
      </c>
      <c r="T386" t="s">
        <v>176</v>
      </c>
      <c r="U386" s="11">
        <v>64.436300000000003</v>
      </c>
      <c r="V386"/>
      <c r="W386"/>
    </row>
    <row r="387" spans="1:23" x14ac:dyDescent="0.35">
      <c r="A387" s="40">
        <v>45418</v>
      </c>
      <c r="B387">
        <v>2024</v>
      </c>
      <c r="C387" t="s">
        <v>287</v>
      </c>
      <c r="D387">
        <v>6</v>
      </c>
      <c r="E387">
        <v>19</v>
      </c>
      <c r="F387" t="s">
        <v>46</v>
      </c>
      <c r="G387" s="106">
        <v>0.73958333333333337</v>
      </c>
      <c r="H387" t="s">
        <v>80</v>
      </c>
      <c r="I387" t="s">
        <v>230</v>
      </c>
      <c r="J387">
        <v>66</v>
      </c>
      <c r="K387">
        <v>5.22</v>
      </c>
      <c r="L387">
        <v>114</v>
      </c>
      <c r="M387">
        <v>13</v>
      </c>
      <c r="N387" s="58">
        <v>133.05000000000001</v>
      </c>
      <c r="O387" s="58">
        <v>107.628</v>
      </c>
      <c r="P387" s="58">
        <v>25.488499999999998</v>
      </c>
      <c r="Q387" s="58">
        <v>20.618390804597698</v>
      </c>
      <c r="R387" s="58">
        <v>10.234615384615401</v>
      </c>
      <c r="S387" s="58">
        <v>1.16710526315789</v>
      </c>
      <c r="T387" t="s">
        <v>176</v>
      </c>
      <c r="U387" s="11">
        <v>64.208799999999997</v>
      </c>
      <c r="V387"/>
      <c r="W387"/>
    </row>
    <row r="388" spans="1:23" x14ac:dyDescent="0.35">
      <c r="A388" s="40">
        <v>45417</v>
      </c>
      <c r="B388">
        <v>2024</v>
      </c>
      <c r="C388" t="s">
        <v>287</v>
      </c>
      <c r="D388">
        <v>5</v>
      </c>
      <c r="E388">
        <v>18</v>
      </c>
      <c r="F388" t="s">
        <v>45</v>
      </c>
      <c r="G388" s="106">
        <v>0.74652777777777779</v>
      </c>
      <c r="H388" t="s">
        <v>80</v>
      </c>
      <c r="I388" t="s">
        <v>236</v>
      </c>
      <c r="J388">
        <v>46</v>
      </c>
      <c r="K388">
        <v>4.97</v>
      </c>
      <c r="L388">
        <v>88</v>
      </c>
      <c r="M388">
        <v>10</v>
      </c>
      <c r="N388" s="58">
        <v>141.63</v>
      </c>
      <c r="O388" s="58">
        <v>122.006</v>
      </c>
      <c r="P388" s="58">
        <v>28.497</v>
      </c>
      <c r="Q388" s="58">
        <v>24.548490945674001</v>
      </c>
      <c r="R388" s="58">
        <v>14.163</v>
      </c>
      <c r="S388" s="58">
        <v>1.6094318181818199</v>
      </c>
      <c r="T388" t="s">
        <v>176</v>
      </c>
      <c r="U388" s="11">
        <v>62.730400000000003</v>
      </c>
      <c r="V388"/>
      <c r="W388"/>
    </row>
    <row r="389" spans="1:23" x14ac:dyDescent="0.35">
      <c r="A389" s="40">
        <v>45416</v>
      </c>
      <c r="B389">
        <v>2024</v>
      </c>
      <c r="C389" t="s">
        <v>287</v>
      </c>
      <c r="D389">
        <v>5</v>
      </c>
      <c r="E389">
        <v>18</v>
      </c>
      <c r="F389" t="s">
        <v>51</v>
      </c>
      <c r="G389" s="106">
        <v>0.78819444444444442</v>
      </c>
      <c r="H389" t="s">
        <v>80</v>
      </c>
      <c r="I389" t="s">
        <v>231</v>
      </c>
      <c r="J389">
        <v>54</v>
      </c>
      <c r="K389">
        <v>3.63</v>
      </c>
      <c r="L389">
        <v>103</v>
      </c>
      <c r="M389">
        <v>8</v>
      </c>
      <c r="N389" s="58">
        <v>73.05</v>
      </c>
      <c r="O389" s="58">
        <v>50.081000000000003</v>
      </c>
      <c r="P389" s="58">
        <v>20.123999999999999</v>
      </c>
      <c r="Q389" s="58">
        <v>13.796418732782399</v>
      </c>
      <c r="R389" s="58">
        <v>9.1312499999999996</v>
      </c>
      <c r="S389" s="58">
        <v>0.70922330097087405</v>
      </c>
      <c r="T389" t="s">
        <v>175</v>
      </c>
      <c r="U389" s="11">
        <v>61.599200000000003</v>
      </c>
      <c r="V389"/>
      <c r="W389"/>
    </row>
    <row r="390" spans="1:23" x14ac:dyDescent="0.35">
      <c r="A390" s="40">
        <v>45415</v>
      </c>
      <c r="B390">
        <v>2024</v>
      </c>
      <c r="C390" t="s">
        <v>287</v>
      </c>
      <c r="D390">
        <v>5</v>
      </c>
      <c r="E390">
        <v>18</v>
      </c>
      <c r="F390" t="s">
        <v>50</v>
      </c>
      <c r="G390" s="106">
        <v>0.75347222222222221</v>
      </c>
      <c r="H390" t="s">
        <v>82</v>
      </c>
      <c r="I390" t="s">
        <v>230</v>
      </c>
      <c r="J390">
        <v>63</v>
      </c>
      <c r="K390">
        <v>5.45</v>
      </c>
      <c r="L390">
        <v>91</v>
      </c>
      <c r="M390">
        <v>15</v>
      </c>
      <c r="N390" s="58">
        <v>123.54</v>
      </c>
      <c r="O390" s="58">
        <v>103.247</v>
      </c>
      <c r="P390" s="58">
        <v>22.667899999999999</v>
      </c>
      <c r="Q390" s="58">
        <v>18.944403669724799</v>
      </c>
      <c r="R390" s="58">
        <v>8.2360000000000007</v>
      </c>
      <c r="S390" s="58">
        <v>1.35758241758242</v>
      </c>
      <c r="T390" t="s">
        <v>176</v>
      </c>
      <c r="U390" s="11">
        <v>60.787599999999998</v>
      </c>
      <c r="V390"/>
      <c r="W390"/>
    </row>
    <row r="391" spans="1:23" x14ac:dyDescent="0.35">
      <c r="A391" s="40">
        <v>45414</v>
      </c>
      <c r="B391">
        <v>2024</v>
      </c>
      <c r="C391" t="s">
        <v>287</v>
      </c>
      <c r="D391">
        <v>5</v>
      </c>
      <c r="E391">
        <v>18</v>
      </c>
      <c r="F391" t="s">
        <v>49</v>
      </c>
      <c r="G391" s="106">
        <v>0.73263888888888884</v>
      </c>
      <c r="H391" t="s">
        <v>174</v>
      </c>
      <c r="I391" t="s">
        <v>231</v>
      </c>
      <c r="J391">
        <v>48</v>
      </c>
      <c r="K391">
        <v>5</v>
      </c>
      <c r="L391">
        <v>119</v>
      </c>
      <c r="M391">
        <v>13</v>
      </c>
      <c r="N391" s="58">
        <v>107.63</v>
      </c>
      <c r="O391" s="58">
        <v>81.093000000000004</v>
      </c>
      <c r="P391" s="58">
        <v>21.526</v>
      </c>
      <c r="Q391" s="58">
        <v>16.218599999999999</v>
      </c>
      <c r="R391" s="58">
        <v>8.2792307692307698</v>
      </c>
      <c r="S391" s="58">
        <v>0.90445378151260503</v>
      </c>
      <c r="T391" t="s">
        <v>176</v>
      </c>
      <c r="U391" s="11">
        <v>59.414900000000003</v>
      </c>
      <c r="V391"/>
      <c r="W391"/>
    </row>
    <row r="392" spans="1:23" x14ac:dyDescent="0.35">
      <c r="A392" s="40">
        <v>45413</v>
      </c>
      <c r="B392">
        <v>2024</v>
      </c>
      <c r="C392" t="s">
        <v>287</v>
      </c>
      <c r="D392">
        <v>5</v>
      </c>
      <c r="E392">
        <v>18</v>
      </c>
      <c r="F392" t="s">
        <v>48</v>
      </c>
      <c r="G392" s="106">
        <v>0.72916666666666663</v>
      </c>
      <c r="H392" t="s">
        <v>80</v>
      </c>
      <c r="I392" t="s">
        <v>230</v>
      </c>
      <c r="J392">
        <v>54</v>
      </c>
      <c r="K392">
        <v>5.3</v>
      </c>
      <c r="L392">
        <v>91</v>
      </c>
      <c r="M392">
        <v>12</v>
      </c>
      <c r="N392" s="58">
        <v>115.41</v>
      </c>
      <c r="O392" s="58">
        <v>95.117000000000004</v>
      </c>
      <c r="P392" s="58">
        <v>21.775500000000001</v>
      </c>
      <c r="Q392" s="58">
        <v>17.946603773584901</v>
      </c>
      <c r="R392" s="58">
        <v>9.6174999999999997</v>
      </c>
      <c r="S392" s="58">
        <v>1.26824175824176</v>
      </c>
      <c r="T392" t="s">
        <v>176</v>
      </c>
      <c r="U392" s="11">
        <v>59.203899999999997</v>
      </c>
      <c r="V392"/>
      <c r="W392"/>
    </row>
    <row r="393" spans="1:23" x14ac:dyDescent="0.35">
      <c r="A393" s="40">
        <v>45412</v>
      </c>
      <c r="B393">
        <v>2024</v>
      </c>
      <c r="C393" t="s">
        <v>287</v>
      </c>
      <c r="D393">
        <v>5</v>
      </c>
      <c r="E393">
        <v>18</v>
      </c>
      <c r="F393" t="s">
        <v>47</v>
      </c>
      <c r="G393" s="106">
        <v>0.75</v>
      </c>
      <c r="H393" t="s">
        <v>80</v>
      </c>
      <c r="I393" t="s">
        <v>236</v>
      </c>
      <c r="J393">
        <v>48</v>
      </c>
      <c r="K393">
        <v>4.03</v>
      </c>
      <c r="L393">
        <v>99</v>
      </c>
      <c r="M393">
        <v>10</v>
      </c>
      <c r="N393" s="58">
        <v>84.6</v>
      </c>
      <c r="O393" s="58">
        <v>62.523000000000003</v>
      </c>
      <c r="P393" s="58">
        <v>20.992599999999999</v>
      </c>
      <c r="Q393" s="58">
        <v>15.5143920595533</v>
      </c>
      <c r="R393" s="58">
        <v>8.4600000000000009</v>
      </c>
      <c r="S393" s="58">
        <v>0.85454545454545405</v>
      </c>
      <c r="T393" t="s">
        <v>176</v>
      </c>
      <c r="U393" s="11">
        <v>58.575200000000002</v>
      </c>
      <c r="V393"/>
      <c r="W393"/>
    </row>
    <row r="394" spans="1:23" x14ac:dyDescent="0.35">
      <c r="A394" s="40">
        <v>45410</v>
      </c>
      <c r="B394">
        <v>2024</v>
      </c>
      <c r="C394" t="s">
        <v>287</v>
      </c>
      <c r="D394">
        <v>4</v>
      </c>
      <c r="E394">
        <v>17</v>
      </c>
      <c r="F394" t="s">
        <v>45</v>
      </c>
      <c r="G394" s="106">
        <v>0.73263888888888884</v>
      </c>
      <c r="H394" t="s">
        <v>174</v>
      </c>
      <c r="I394" t="s">
        <v>285</v>
      </c>
      <c r="J394">
        <v>52</v>
      </c>
      <c r="K394">
        <v>3.75</v>
      </c>
      <c r="L394">
        <v>90</v>
      </c>
      <c r="M394">
        <v>7</v>
      </c>
      <c r="N394" s="58">
        <v>51.27</v>
      </c>
      <c r="O394" s="58">
        <v>31.2</v>
      </c>
      <c r="P394" s="58">
        <v>13.672000000000001</v>
      </c>
      <c r="Q394" s="58">
        <v>8.32</v>
      </c>
      <c r="R394" s="58">
        <v>7.3242857142857201</v>
      </c>
      <c r="S394" s="58">
        <v>0.56966666666666699</v>
      </c>
      <c r="T394" t="s">
        <v>176</v>
      </c>
      <c r="U394" s="11">
        <v>60.097700000000003</v>
      </c>
      <c r="V394"/>
      <c r="W394"/>
    </row>
    <row r="395" spans="1:23" x14ac:dyDescent="0.35">
      <c r="A395" s="40">
        <v>45409</v>
      </c>
      <c r="B395">
        <v>2024</v>
      </c>
      <c r="C395" t="s">
        <v>287</v>
      </c>
      <c r="D395">
        <v>4</v>
      </c>
      <c r="E395">
        <v>17</v>
      </c>
      <c r="F395" t="s">
        <v>51</v>
      </c>
      <c r="G395" s="106">
        <v>0.73611111111111116</v>
      </c>
      <c r="H395" t="s">
        <v>80</v>
      </c>
      <c r="I395" t="s">
        <v>230</v>
      </c>
      <c r="J395">
        <v>54</v>
      </c>
      <c r="K395">
        <v>4.9000000000000004</v>
      </c>
      <c r="L395">
        <v>116</v>
      </c>
      <c r="M395">
        <v>12</v>
      </c>
      <c r="N395" s="58">
        <v>121.16</v>
      </c>
      <c r="O395" s="58">
        <v>95.292000000000002</v>
      </c>
      <c r="P395" s="58">
        <v>24.726500000000001</v>
      </c>
      <c r="Q395" s="58">
        <v>19.4473469387755</v>
      </c>
      <c r="R395" s="58">
        <v>10.0966666666667</v>
      </c>
      <c r="S395" s="58">
        <v>1.04448275862069</v>
      </c>
      <c r="T395" t="s">
        <v>176</v>
      </c>
      <c r="U395" s="11">
        <v>59.527999999999999</v>
      </c>
      <c r="V395"/>
      <c r="W395"/>
    </row>
    <row r="396" spans="1:23" x14ac:dyDescent="0.35">
      <c r="A396" s="40">
        <v>45408</v>
      </c>
      <c r="B396">
        <v>2024</v>
      </c>
      <c r="C396" t="s">
        <v>287</v>
      </c>
      <c r="D396">
        <v>4</v>
      </c>
      <c r="E396">
        <v>17</v>
      </c>
      <c r="F396" t="s">
        <v>50</v>
      </c>
      <c r="G396" s="106">
        <v>0.71875</v>
      </c>
      <c r="H396" t="s">
        <v>80</v>
      </c>
      <c r="I396" t="s">
        <v>230</v>
      </c>
      <c r="J396">
        <v>55</v>
      </c>
      <c r="K396">
        <v>5.08</v>
      </c>
      <c r="L396">
        <v>109</v>
      </c>
      <c r="M396">
        <v>14</v>
      </c>
      <c r="N396" s="58">
        <v>120.7</v>
      </c>
      <c r="O396" s="58">
        <v>96.393000000000001</v>
      </c>
      <c r="P396" s="58">
        <v>23.759799999999998</v>
      </c>
      <c r="Q396" s="58">
        <v>18.975000000000001</v>
      </c>
      <c r="R396" s="58">
        <v>8.6214285714285701</v>
      </c>
      <c r="S396" s="58">
        <v>1.1073394495412801</v>
      </c>
      <c r="T396" t="s">
        <v>176</v>
      </c>
      <c r="U396" s="11">
        <v>58.181800000000003</v>
      </c>
      <c r="V396"/>
      <c r="W396"/>
    </row>
    <row r="397" spans="1:23" x14ac:dyDescent="0.35">
      <c r="A397" s="40">
        <v>45407</v>
      </c>
      <c r="B397">
        <v>2024</v>
      </c>
      <c r="C397" t="s">
        <v>287</v>
      </c>
      <c r="D397">
        <v>4</v>
      </c>
      <c r="E397">
        <v>17</v>
      </c>
      <c r="F397" t="s">
        <v>49</v>
      </c>
      <c r="G397" s="106">
        <v>0.74652777777777779</v>
      </c>
      <c r="H397" t="s">
        <v>82</v>
      </c>
      <c r="I397" t="s">
        <v>230</v>
      </c>
      <c r="J397">
        <v>48</v>
      </c>
      <c r="K397">
        <v>3.83</v>
      </c>
      <c r="L397">
        <v>85</v>
      </c>
      <c r="M397">
        <v>6</v>
      </c>
      <c r="N397" s="58">
        <v>68.61</v>
      </c>
      <c r="O397" s="58">
        <v>49.655000000000001</v>
      </c>
      <c r="P397" s="58">
        <v>17.913799999999998</v>
      </c>
      <c r="Q397" s="58">
        <v>12.9647519582245</v>
      </c>
      <c r="R397" s="58">
        <v>11.435</v>
      </c>
      <c r="S397" s="58">
        <v>0.80717647058823505</v>
      </c>
      <c r="T397" t="s">
        <v>176</v>
      </c>
      <c r="U397" s="11">
        <v>58.070900000000002</v>
      </c>
      <c r="V397"/>
      <c r="W397"/>
    </row>
    <row r="398" spans="1:23" x14ac:dyDescent="0.35">
      <c r="A398" s="40">
        <v>45405</v>
      </c>
      <c r="B398">
        <v>2024</v>
      </c>
      <c r="C398" t="s">
        <v>287</v>
      </c>
      <c r="D398">
        <v>4</v>
      </c>
      <c r="E398">
        <v>17</v>
      </c>
      <c r="F398" t="s">
        <v>47</v>
      </c>
      <c r="G398" s="106">
        <v>0.76041666666666663</v>
      </c>
      <c r="H398" t="s">
        <v>82</v>
      </c>
      <c r="I398" t="s">
        <v>230</v>
      </c>
      <c r="J398">
        <v>50</v>
      </c>
      <c r="K398">
        <v>4.2</v>
      </c>
      <c r="L398">
        <v>81</v>
      </c>
      <c r="M398">
        <v>11</v>
      </c>
      <c r="N398" s="58">
        <v>72.8</v>
      </c>
      <c r="O398" s="58">
        <v>54.737000000000002</v>
      </c>
      <c r="P398" s="58">
        <v>17.333300000000001</v>
      </c>
      <c r="Q398" s="58">
        <v>13.032619047619001</v>
      </c>
      <c r="R398" s="58">
        <v>6.6181818181818199</v>
      </c>
      <c r="S398" s="58">
        <v>0.89876543209876503</v>
      </c>
      <c r="T398" t="s">
        <v>176</v>
      </c>
      <c r="U398" s="11">
        <v>59.42</v>
      </c>
      <c r="V398"/>
      <c r="W398"/>
    </row>
    <row r="399" spans="1:23" x14ac:dyDescent="0.35">
      <c r="A399" s="40">
        <v>45404</v>
      </c>
      <c r="B399">
        <v>2024</v>
      </c>
      <c r="C399" t="s">
        <v>287</v>
      </c>
      <c r="D399">
        <v>4</v>
      </c>
      <c r="E399">
        <v>17</v>
      </c>
      <c r="F399" t="s">
        <v>46</v>
      </c>
      <c r="G399" s="106">
        <v>0.76388888888888884</v>
      </c>
      <c r="H399" t="s">
        <v>80</v>
      </c>
      <c r="I399" t="s">
        <v>230</v>
      </c>
      <c r="J399">
        <v>48</v>
      </c>
      <c r="K399">
        <v>3.22</v>
      </c>
      <c r="L399">
        <v>60</v>
      </c>
      <c r="M399">
        <v>9</v>
      </c>
      <c r="N399" s="58">
        <v>57</v>
      </c>
      <c r="O399" s="58">
        <v>43.62</v>
      </c>
      <c r="P399" s="58">
        <v>17.701899999999998</v>
      </c>
      <c r="Q399" s="58">
        <v>13.5465838509317</v>
      </c>
      <c r="R399" s="58">
        <v>6.3333333333333304</v>
      </c>
      <c r="S399" s="58">
        <v>0.95</v>
      </c>
      <c r="T399" t="s">
        <v>176</v>
      </c>
      <c r="U399" s="11">
        <v>58.6111</v>
      </c>
      <c r="V399"/>
      <c r="W399"/>
    </row>
    <row r="400" spans="1:23" x14ac:dyDescent="0.35">
      <c r="A400" s="40">
        <v>45403</v>
      </c>
      <c r="B400">
        <v>2024</v>
      </c>
      <c r="C400" t="s">
        <v>287</v>
      </c>
      <c r="D400">
        <v>3</v>
      </c>
      <c r="E400">
        <v>16</v>
      </c>
      <c r="F400" t="s">
        <v>45</v>
      </c>
      <c r="G400" s="106">
        <v>0.71527777777777779</v>
      </c>
      <c r="H400" t="s">
        <v>80</v>
      </c>
      <c r="I400" t="s">
        <v>230</v>
      </c>
      <c r="J400">
        <v>50</v>
      </c>
      <c r="K400">
        <v>4.8499999999999996</v>
      </c>
      <c r="L400">
        <v>111</v>
      </c>
      <c r="M400">
        <v>10</v>
      </c>
      <c r="N400" s="58">
        <v>128.66</v>
      </c>
      <c r="O400" s="58">
        <v>103.907</v>
      </c>
      <c r="P400" s="58">
        <v>26.527799999999999</v>
      </c>
      <c r="Q400" s="58">
        <v>21.424123711340201</v>
      </c>
      <c r="R400" s="58">
        <v>12.866</v>
      </c>
      <c r="S400" s="58">
        <v>1.1590990990990999</v>
      </c>
      <c r="T400" t="s">
        <v>176</v>
      </c>
      <c r="U400" s="11">
        <v>58.4482</v>
      </c>
      <c r="V400"/>
      <c r="W400"/>
    </row>
    <row r="401" spans="1:23" x14ac:dyDescent="0.35">
      <c r="A401" s="40">
        <v>45402</v>
      </c>
      <c r="B401">
        <v>2024</v>
      </c>
      <c r="C401" t="s">
        <v>287</v>
      </c>
      <c r="D401">
        <v>3</v>
      </c>
      <c r="E401">
        <v>16</v>
      </c>
      <c r="F401" t="s">
        <v>51</v>
      </c>
      <c r="G401" s="106">
        <v>0.71180555555555558</v>
      </c>
      <c r="H401" t="s">
        <v>80</v>
      </c>
      <c r="I401" t="s">
        <v>231</v>
      </c>
      <c r="J401">
        <v>50</v>
      </c>
      <c r="K401">
        <v>5.28</v>
      </c>
      <c r="L401">
        <v>102</v>
      </c>
      <c r="M401">
        <v>10</v>
      </c>
      <c r="N401" s="58">
        <v>104.72</v>
      </c>
      <c r="O401" s="58">
        <v>81.974000000000004</v>
      </c>
      <c r="P401" s="58">
        <v>19.833300000000001</v>
      </c>
      <c r="Q401" s="58">
        <v>15.5253787878788</v>
      </c>
      <c r="R401" s="58">
        <v>10.472</v>
      </c>
      <c r="S401" s="58">
        <v>1.0266666666666699</v>
      </c>
      <c r="T401" t="s">
        <v>176</v>
      </c>
      <c r="U401" s="11">
        <v>58.1111</v>
      </c>
      <c r="V401"/>
      <c r="W401"/>
    </row>
    <row r="402" spans="1:23" x14ac:dyDescent="0.35">
      <c r="A402" s="40">
        <v>45401</v>
      </c>
      <c r="B402">
        <v>2024</v>
      </c>
      <c r="C402" t="s">
        <v>287</v>
      </c>
      <c r="D402">
        <v>3</v>
      </c>
      <c r="E402">
        <v>16</v>
      </c>
      <c r="F402" t="s">
        <v>50</v>
      </c>
      <c r="G402" s="106">
        <v>0.72222222222222221</v>
      </c>
      <c r="H402" t="s">
        <v>80</v>
      </c>
      <c r="I402" t="s">
        <v>231</v>
      </c>
      <c r="J402">
        <v>48</v>
      </c>
      <c r="K402">
        <v>4.0199999999999996</v>
      </c>
      <c r="L402">
        <v>75</v>
      </c>
      <c r="M402">
        <v>6</v>
      </c>
      <c r="N402" s="58">
        <v>74.75</v>
      </c>
      <c r="O402" s="58">
        <v>58.024999999999999</v>
      </c>
      <c r="P402" s="58">
        <v>18.5945</v>
      </c>
      <c r="Q402" s="58">
        <v>14.43407960199</v>
      </c>
      <c r="R402" s="58">
        <v>12.4583333333333</v>
      </c>
      <c r="S402" s="58">
        <v>0.99666666666666703</v>
      </c>
      <c r="T402" t="s">
        <v>176</v>
      </c>
      <c r="U402" s="11">
        <v>56.947600000000001</v>
      </c>
      <c r="V402"/>
      <c r="W402"/>
    </row>
    <row r="403" spans="1:23" x14ac:dyDescent="0.35">
      <c r="A403" s="40">
        <v>45399</v>
      </c>
      <c r="B403">
        <v>2024</v>
      </c>
      <c r="C403" t="s">
        <v>287</v>
      </c>
      <c r="D403">
        <v>3</v>
      </c>
      <c r="E403">
        <v>16</v>
      </c>
      <c r="F403" t="s">
        <v>48</v>
      </c>
      <c r="G403" s="106">
        <v>0.72916666666666663</v>
      </c>
      <c r="H403" t="s">
        <v>174</v>
      </c>
      <c r="I403" t="s">
        <v>230</v>
      </c>
      <c r="J403">
        <v>54</v>
      </c>
      <c r="K403">
        <v>3.42</v>
      </c>
      <c r="L403">
        <v>93</v>
      </c>
      <c r="M403">
        <v>4</v>
      </c>
      <c r="N403" s="58">
        <v>50.44</v>
      </c>
      <c r="O403" s="58">
        <v>29.701000000000001</v>
      </c>
      <c r="P403" s="58">
        <v>14.7485</v>
      </c>
      <c r="Q403" s="58">
        <v>8.6845029239766092</v>
      </c>
      <c r="R403" s="58">
        <v>12.61</v>
      </c>
      <c r="S403" s="58">
        <v>0.54236559139784901</v>
      </c>
      <c r="T403" t="s">
        <v>176</v>
      </c>
      <c r="U403" s="11">
        <v>57.199199999999998</v>
      </c>
      <c r="V403"/>
      <c r="W403"/>
    </row>
    <row r="404" spans="1:23" x14ac:dyDescent="0.35">
      <c r="A404" s="40">
        <v>45398</v>
      </c>
      <c r="B404">
        <v>2024</v>
      </c>
      <c r="C404" t="s">
        <v>287</v>
      </c>
      <c r="D404">
        <v>3</v>
      </c>
      <c r="E404">
        <v>16</v>
      </c>
      <c r="F404" t="s">
        <v>47</v>
      </c>
      <c r="G404" s="106">
        <v>0.74305555555555558</v>
      </c>
      <c r="H404" t="s">
        <v>80</v>
      </c>
      <c r="I404" t="s">
        <v>231</v>
      </c>
      <c r="J404">
        <v>54</v>
      </c>
      <c r="K404">
        <v>5.75</v>
      </c>
      <c r="L404">
        <v>126</v>
      </c>
      <c r="M404">
        <v>8</v>
      </c>
      <c r="N404" s="58">
        <v>91.28</v>
      </c>
      <c r="O404" s="58">
        <v>63.182000000000002</v>
      </c>
      <c r="P404" s="58">
        <v>15.8748</v>
      </c>
      <c r="Q404" s="58">
        <v>10.9881739130435</v>
      </c>
      <c r="R404" s="58">
        <v>11.41</v>
      </c>
      <c r="S404" s="58">
        <v>0.724444444444444</v>
      </c>
      <c r="T404" t="s">
        <v>176</v>
      </c>
      <c r="U404" s="11">
        <v>56.638800000000003</v>
      </c>
      <c r="V404"/>
      <c r="W404"/>
    </row>
    <row r="405" spans="1:23" x14ac:dyDescent="0.35">
      <c r="A405" s="40">
        <v>45395</v>
      </c>
      <c r="B405">
        <v>2024</v>
      </c>
      <c r="C405" t="s">
        <v>287</v>
      </c>
      <c r="D405">
        <v>2</v>
      </c>
      <c r="E405">
        <v>15</v>
      </c>
      <c r="F405" t="s">
        <v>51</v>
      </c>
      <c r="G405" s="106">
        <v>0.75347222222222221</v>
      </c>
      <c r="H405" t="s">
        <v>174</v>
      </c>
      <c r="I405" t="s">
        <v>231</v>
      </c>
      <c r="J405">
        <v>48</v>
      </c>
      <c r="K405">
        <v>3.42</v>
      </c>
      <c r="L405">
        <v>83</v>
      </c>
      <c r="M405">
        <v>13</v>
      </c>
      <c r="N405" s="58">
        <v>74.75</v>
      </c>
      <c r="O405" s="58">
        <v>56.241</v>
      </c>
      <c r="P405" s="58">
        <v>21.8567</v>
      </c>
      <c r="Q405" s="58">
        <v>16.4447368421053</v>
      </c>
      <c r="R405" s="58">
        <v>5.75</v>
      </c>
      <c r="S405" s="58">
        <v>0.90060240963855398</v>
      </c>
      <c r="T405" t="s">
        <v>176</v>
      </c>
      <c r="U405" s="11">
        <v>58.51</v>
      </c>
      <c r="V405"/>
      <c r="W405"/>
    </row>
    <row r="406" spans="1:23" x14ac:dyDescent="0.35">
      <c r="A406" s="40">
        <v>45394</v>
      </c>
      <c r="B406">
        <v>2024</v>
      </c>
      <c r="C406" t="s">
        <v>287</v>
      </c>
      <c r="D406">
        <v>2</v>
      </c>
      <c r="E406">
        <v>15</v>
      </c>
      <c r="F406" t="s">
        <v>50</v>
      </c>
      <c r="G406" s="106">
        <v>0.72916666666666663</v>
      </c>
      <c r="H406" t="s">
        <v>80</v>
      </c>
      <c r="I406" t="s">
        <v>276</v>
      </c>
      <c r="J406">
        <v>54</v>
      </c>
      <c r="K406">
        <v>7.7</v>
      </c>
      <c r="L406">
        <v>163</v>
      </c>
      <c r="M406">
        <v>14</v>
      </c>
      <c r="N406" s="58">
        <v>178</v>
      </c>
      <c r="O406" s="58">
        <v>141.65100000000001</v>
      </c>
      <c r="P406" s="58">
        <v>23.116900000000001</v>
      </c>
      <c r="Q406" s="58">
        <v>18.396233766233799</v>
      </c>
      <c r="R406" s="58">
        <v>12.714285714285699</v>
      </c>
      <c r="S406" s="58">
        <v>1.0920245398773001</v>
      </c>
      <c r="T406" t="s">
        <v>176</v>
      </c>
      <c r="U406" s="11">
        <v>58.629600000000003</v>
      </c>
      <c r="V406"/>
      <c r="W406"/>
    </row>
    <row r="407" spans="1:23" x14ac:dyDescent="0.35">
      <c r="A407" s="40">
        <v>45391</v>
      </c>
      <c r="B407">
        <v>2024</v>
      </c>
      <c r="C407" t="s">
        <v>287</v>
      </c>
      <c r="D407">
        <v>2</v>
      </c>
      <c r="E407">
        <v>15</v>
      </c>
      <c r="F407" t="s">
        <v>47</v>
      </c>
      <c r="G407" s="106">
        <v>0.74305555555555558</v>
      </c>
      <c r="H407" t="s">
        <v>80</v>
      </c>
      <c r="I407" t="s">
        <v>230</v>
      </c>
      <c r="J407">
        <v>52</v>
      </c>
      <c r="K407">
        <v>3.98</v>
      </c>
      <c r="L407">
        <v>113</v>
      </c>
      <c r="M407">
        <v>9</v>
      </c>
      <c r="N407" s="58">
        <v>105.11</v>
      </c>
      <c r="O407" s="58">
        <v>79.911000000000001</v>
      </c>
      <c r="P407" s="58">
        <v>26.409500000000001</v>
      </c>
      <c r="Q407" s="58">
        <v>20.078140703517601</v>
      </c>
      <c r="R407" s="58">
        <v>11.678888888888901</v>
      </c>
      <c r="S407" s="58">
        <v>0.93017699115044195</v>
      </c>
      <c r="T407" t="s">
        <v>176</v>
      </c>
      <c r="U407" s="11">
        <v>58.077100000000002</v>
      </c>
      <c r="V407"/>
      <c r="W407"/>
    </row>
    <row r="408" spans="1:23" x14ac:dyDescent="0.35">
      <c r="A408" s="40">
        <v>45390</v>
      </c>
      <c r="B408">
        <v>2024</v>
      </c>
      <c r="C408" t="s">
        <v>287</v>
      </c>
      <c r="D408">
        <v>2</v>
      </c>
      <c r="E408">
        <v>15</v>
      </c>
      <c r="F408" t="s">
        <v>46</v>
      </c>
      <c r="G408" s="106">
        <v>0.72916666666666663</v>
      </c>
      <c r="H408" t="s">
        <v>85</v>
      </c>
      <c r="I408" t="s">
        <v>249</v>
      </c>
      <c r="J408">
        <v>45</v>
      </c>
      <c r="K408">
        <v>4.42</v>
      </c>
      <c r="L408">
        <v>102</v>
      </c>
      <c r="M408">
        <v>8</v>
      </c>
      <c r="N408" s="58">
        <v>89.75</v>
      </c>
      <c r="O408" s="58">
        <v>67.004000000000005</v>
      </c>
      <c r="P408" s="58">
        <v>20.305399999999999</v>
      </c>
      <c r="Q408" s="58">
        <v>15.1592760180996</v>
      </c>
      <c r="R408" s="58">
        <v>11.21875</v>
      </c>
      <c r="S408" s="58">
        <v>0.87990196078431404</v>
      </c>
      <c r="T408" t="s">
        <v>176</v>
      </c>
      <c r="U408" s="11">
        <v>57.124400000000001</v>
      </c>
      <c r="V408"/>
      <c r="W408"/>
    </row>
    <row r="409" spans="1:23" x14ac:dyDescent="0.35">
      <c r="A409" s="40">
        <v>45388</v>
      </c>
      <c r="B409">
        <v>2024</v>
      </c>
      <c r="C409" t="s">
        <v>287</v>
      </c>
      <c r="D409">
        <v>1</v>
      </c>
      <c r="E409">
        <v>14</v>
      </c>
      <c r="F409" t="s">
        <v>51</v>
      </c>
      <c r="G409" s="106">
        <v>0.72916666666666663</v>
      </c>
      <c r="H409" t="s">
        <v>82</v>
      </c>
      <c r="I409" t="s">
        <v>231</v>
      </c>
      <c r="J409">
        <v>37</v>
      </c>
      <c r="K409">
        <v>3.6</v>
      </c>
      <c r="L409">
        <v>55</v>
      </c>
      <c r="M409">
        <v>8</v>
      </c>
      <c r="N409" s="58">
        <v>65.900000000000006</v>
      </c>
      <c r="O409" s="58">
        <v>53.634999999999998</v>
      </c>
      <c r="P409" s="58">
        <v>18.305599999999998</v>
      </c>
      <c r="Q409" s="58">
        <v>14.8986111111111</v>
      </c>
      <c r="R409" s="58">
        <v>8.2375000000000007</v>
      </c>
      <c r="S409" s="58">
        <v>1.19818181818182</v>
      </c>
      <c r="T409" t="s">
        <v>176</v>
      </c>
      <c r="U409" s="11">
        <v>57.717599999999997</v>
      </c>
      <c r="V409"/>
      <c r="W409"/>
    </row>
    <row r="410" spans="1:23" x14ac:dyDescent="0.35">
      <c r="A410" s="40">
        <v>45387</v>
      </c>
      <c r="B410">
        <v>2024</v>
      </c>
      <c r="C410" t="s">
        <v>287</v>
      </c>
      <c r="D410">
        <v>1</v>
      </c>
      <c r="E410">
        <v>14</v>
      </c>
      <c r="F410" t="s">
        <v>50</v>
      </c>
      <c r="G410" s="106">
        <v>0.74305555555555558</v>
      </c>
      <c r="H410" t="s">
        <v>80</v>
      </c>
      <c r="I410" t="s">
        <v>285</v>
      </c>
      <c r="J410">
        <v>37</v>
      </c>
      <c r="K410">
        <v>6.05</v>
      </c>
      <c r="L410">
        <v>141</v>
      </c>
      <c r="M410">
        <v>14</v>
      </c>
      <c r="N410" s="58">
        <v>225.25</v>
      </c>
      <c r="O410" s="58">
        <v>193.80699999999999</v>
      </c>
      <c r="P410" s="58">
        <v>37.231400000000001</v>
      </c>
      <c r="Q410" s="58">
        <v>32.034214876033097</v>
      </c>
      <c r="R410" s="58">
        <v>16.089285714285701</v>
      </c>
      <c r="S410" s="58">
        <v>1.5975177304964501</v>
      </c>
      <c r="T410" t="s">
        <v>176</v>
      </c>
      <c r="U410" s="11">
        <v>58.015700000000002</v>
      </c>
      <c r="V410"/>
      <c r="W410"/>
    </row>
    <row r="411" spans="1:23" x14ac:dyDescent="0.35">
      <c r="A411" s="40">
        <v>45385</v>
      </c>
      <c r="B411">
        <v>2024</v>
      </c>
      <c r="C411" t="s">
        <v>287</v>
      </c>
      <c r="D411">
        <v>1</v>
      </c>
      <c r="E411">
        <v>14</v>
      </c>
      <c r="F411" t="s">
        <v>48</v>
      </c>
      <c r="G411" s="106">
        <v>0.78125</v>
      </c>
      <c r="H411" t="s">
        <v>82</v>
      </c>
      <c r="I411" t="s">
        <v>232</v>
      </c>
      <c r="J411">
        <v>39</v>
      </c>
      <c r="K411">
        <v>2.25</v>
      </c>
      <c r="L411">
        <v>28</v>
      </c>
      <c r="M411">
        <v>5</v>
      </c>
      <c r="N411" s="58">
        <v>38.25</v>
      </c>
      <c r="O411" s="58">
        <v>32.006</v>
      </c>
      <c r="P411" s="58">
        <v>17</v>
      </c>
      <c r="Q411" s="58">
        <v>14.2248888888889</v>
      </c>
      <c r="R411" s="58">
        <v>7.65</v>
      </c>
      <c r="S411" s="58">
        <v>1.3660714285714299</v>
      </c>
      <c r="T411" t="s">
        <v>176</v>
      </c>
      <c r="U411" s="11">
        <v>57.506300000000003</v>
      </c>
      <c r="V411"/>
      <c r="W411"/>
    </row>
    <row r="412" spans="1:23" x14ac:dyDescent="0.35">
      <c r="A412" s="40">
        <v>45384</v>
      </c>
      <c r="B412">
        <v>2024</v>
      </c>
      <c r="C412" t="s">
        <v>287</v>
      </c>
      <c r="D412">
        <v>1</v>
      </c>
      <c r="E412">
        <v>14</v>
      </c>
      <c r="F412" t="s">
        <v>47</v>
      </c>
      <c r="G412" s="106">
        <v>0.73958333333333337</v>
      </c>
      <c r="H412" t="s">
        <v>80</v>
      </c>
      <c r="I412" t="s">
        <v>230</v>
      </c>
      <c r="J412">
        <v>46</v>
      </c>
      <c r="K412">
        <v>3.9</v>
      </c>
      <c r="L412">
        <v>52</v>
      </c>
      <c r="M412">
        <v>12</v>
      </c>
      <c r="N412" s="58">
        <v>81.7</v>
      </c>
      <c r="O412" s="58">
        <v>70.103999999999999</v>
      </c>
      <c r="P412" s="58">
        <v>20.948699999999999</v>
      </c>
      <c r="Q412" s="58">
        <v>17.975384615384598</v>
      </c>
      <c r="R412" s="58">
        <v>6.80833333333333</v>
      </c>
      <c r="S412" s="58">
        <v>1.5711538461538499</v>
      </c>
      <c r="T412" t="s">
        <v>176</v>
      </c>
      <c r="U412" s="11">
        <v>57.081299999999999</v>
      </c>
      <c r="V412"/>
      <c r="W412"/>
    </row>
    <row r="413" spans="1:23" x14ac:dyDescent="0.35">
      <c r="A413" s="40">
        <v>45383</v>
      </c>
      <c r="B413">
        <v>2024</v>
      </c>
      <c r="C413" t="s">
        <v>287</v>
      </c>
      <c r="D413">
        <v>1</v>
      </c>
      <c r="E413">
        <v>14</v>
      </c>
      <c r="F413" t="s">
        <v>46</v>
      </c>
      <c r="G413" s="106">
        <v>0.72569444444444442</v>
      </c>
      <c r="H413" t="s">
        <v>82</v>
      </c>
      <c r="I413" t="s">
        <v>249</v>
      </c>
      <c r="J413">
        <v>48</v>
      </c>
      <c r="K413">
        <v>4.53</v>
      </c>
      <c r="L413">
        <v>87</v>
      </c>
      <c r="M413">
        <v>7</v>
      </c>
      <c r="N413" s="58">
        <v>68.83</v>
      </c>
      <c r="O413" s="58">
        <v>49.429000000000002</v>
      </c>
      <c r="P413" s="58">
        <v>15.1943</v>
      </c>
      <c r="Q413" s="58">
        <v>10.911479028697601</v>
      </c>
      <c r="R413" s="58">
        <v>9.8328571428571401</v>
      </c>
      <c r="S413" s="58">
        <v>0.79114942528735599</v>
      </c>
      <c r="T413" t="s">
        <v>176</v>
      </c>
      <c r="U413" s="11">
        <v>57.195900000000002</v>
      </c>
      <c r="V413"/>
      <c r="W413"/>
    </row>
    <row r="414" spans="1:23" x14ac:dyDescent="0.35">
      <c r="A414" s="40">
        <v>45380</v>
      </c>
      <c r="B414">
        <v>2024</v>
      </c>
      <c r="C414" t="s">
        <v>278</v>
      </c>
      <c r="D414">
        <v>13</v>
      </c>
      <c r="E414">
        <v>13</v>
      </c>
      <c r="F414" t="s">
        <v>50</v>
      </c>
      <c r="G414" s="106">
        <v>0.73958333333333337</v>
      </c>
      <c r="H414" t="s">
        <v>85</v>
      </c>
      <c r="I414" t="s">
        <v>231</v>
      </c>
      <c r="J414">
        <v>45</v>
      </c>
      <c r="K414">
        <v>5.23</v>
      </c>
      <c r="L414">
        <v>136</v>
      </c>
      <c r="M414">
        <v>9</v>
      </c>
      <c r="N414" s="58">
        <v>155.94</v>
      </c>
      <c r="O414" s="58">
        <v>125.61199999999999</v>
      </c>
      <c r="P414" s="58">
        <v>29.816400000000002</v>
      </c>
      <c r="Q414" s="58">
        <v>24.017590822179699</v>
      </c>
      <c r="R414" s="58">
        <v>17.3266666666667</v>
      </c>
      <c r="S414" s="58">
        <v>1.1466176470588201</v>
      </c>
      <c r="T414" t="s">
        <v>176</v>
      </c>
      <c r="U414" s="11">
        <v>58.0426</v>
      </c>
      <c r="V414"/>
      <c r="W414"/>
    </row>
    <row r="415" spans="1:23" x14ac:dyDescent="0.35">
      <c r="A415" s="40">
        <v>45378</v>
      </c>
      <c r="B415">
        <v>2024</v>
      </c>
      <c r="C415" t="s">
        <v>278</v>
      </c>
      <c r="D415">
        <v>13</v>
      </c>
      <c r="E415">
        <v>13</v>
      </c>
      <c r="F415" t="s">
        <v>48</v>
      </c>
      <c r="G415" s="106">
        <v>0.74305555555555558</v>
      </c>
      <c r="H415" t="s">
        <v>80</v>
      </c>
      <c r="I415" t="s">
        <v>236</v>
      </c>
      <c r="J415">
        <v>46</v>
      </c>
      <c r="K415">
        <v>3.32</v>
      </c>
      <c r="L415">
        <v>77</v>
      </c>
      <c r="M415">
        <v>7</v>
      </c>
      <c r="N415" s="58">
        <v>126.36</v>
      </c>
      <c r="O415" s="58">
        <v>109.18899999999999</v>
      </c>
      <c r="P415" s="58">
        <v>38.060200000000002</v>
      </c>
      <c r="Q415" s="58">
        <v>32.888253012048203</v>
      </c>
      <c r="R415" s="58">
        <v>18.051428571428598</v>
      </c>
      <c r="S415" s="58">
        <v>1.64103896103896</v>
      </c>
      <c r="T415" t="s">
        <v>176</v>
      </c>
      <c r="U415" s="11">
        <v>58.290900000000001</v>
      </c>
      <c r="V415"/>
      <c r="W415"/>
    </row>
    <row r="416" spans="1:23" x14ac:dyDescent="0.35">
      <c r="A416" s="40">
        <v>45377</v>
      </c>
      <c r="B416">
        <v>2024</v>
      </c>
      <c r="C416" t="s">
        <v>278</v>
      </c>
      <c r="D416">
        <v>13</v>
      </c>
      <c r="E416">
        <v>13</v>
      </c>
      <c r="F416" t="s">
        <v>47</v>
      </c>
      <c r="G416" s="106">
        <v>0.72916666666666663</v>
      </c>
      <c r="H416" t="s">
        <v>80</v>
      </c>
      <c r="I416" t="s">
        <v>276</v>
      </c>
      <c r="J416">
        <v>37</v>
      </c>
      <c r="K416">
        <v>2.75</v>
      </c>
      <c r="L416">
        <v>51</v>
      </c>
      <c r="M416">
        <v>7</v>
      </c>
      <c r="N416" s="58">
        <v>69.17</v>
      </c>
      <c r="O416" s="58">
        <v>57.796999999999997</v>
      </c>
      <c r="P416" s="58">
        <v>25.152699999999999</v>
      </c>
      <c r="Q416" s="58">
        <v>21.0170909090909</v>
      </c>
      <c r="R416" s="58">
        <v>9.8814285714285699</v>
      </c>
      <c r="S416" s="58">
        <v>1.3562745098039199</v>
      </c>
      <c r="T416" t="s">
        <v>176</v>
      </c>
      <c r="U416" s="11">
        <v>56.886899999999997</v>
      </c>
      <c r="V416"/>
      <c r="W416"/>
    </row>
    <row r="417" spans="1:23" x14ac:dyDescent="0.35">
      <c r="A417" s="40">
        <v>45376</v>
      </c>
      <c r="B417">
        <v>2024</v>
      </c>
      <c r="C417" t="s">
        <v>278</v>
      </c>
      <c r="D417">
        <v>13</v>
      </c>
      <c r="E417">
        <v>13</v>
      </c>
      <c r="F417" t="s">
        <v>46</v>
      </c>
      <c r="G417" s="106">
        <v>0.76041666666666663</v>
      </c>
      <c r="H417" t="s">
        <v>80</v>
      </c>
      <c r="I417" t="s">
        <v>230</v>
      </c>
      <c r="J417">
        <v>37</v>
      </c>
      <c r="K417">
        <v>3.25</v>
      </c>
      <c r="L417">
        <v>71</v>
      </c>
      <c r="M417">
        <v>6</v>
      </c>
      <c r="N417" s="58">
        <v>101.98</v>
      </c>
      <c r="O417" s="58">
        <v>86.147000000000006</v>
      </c>
      <c r="P417" s="58">
        <v>31.378499999999999</v>
      </c>
      <c r="Q417" s="58">
        <v>26.506769230769201</v>
      </c>
      <c r="R417" s="58">
        <v>16.996666666666702</v>
      </c>
      <c r="S417" s="58">
        <v>1.4363380281690099</v>
      </c>
      <c r="T417" t="s">
        <v>175</v>
      </c>
      <c r="U417" s="11">
        <v>57.224600000000002</v>
      </c>
      <c r="V417"/>
      <c r="W417"/>
    </row>
    <row r="418" spans="1:23" x14ac:dyDescent="0.35">
      <c r="A418" s="40">
        <v>45370</v>
      </c>
      <c r="B418">
        <v>2024</v>
      </c>
      <c r="C418" t="s">
        <v>278</v>
      </c>
      <c r="D418">
        <v>12</v>
      </c>
      <c r="E418">
        <v>12</v>
      </c>
      <c r="F418" t="s">
        <v>47</v>
      </c>
      <c r="G418" s="106">
        <v>0.76736111111111116</v>
      </c>
      <c r="H418" t="s">
        <v>80</v>
      </c>
      <c r="I418" t="s">
        <v>230</v>
      </c>
      <c r="J418">
        <v>36</v>
      </c>
      <c r="K418">
        <v>3.38</v>
      </c>
      <c r="L418">
        <v>79</v>
      </c>
      <c r="M418">
        <v>8</v>
      </c>
      <c r="N418" s="58">
        <v>114.44</v>
      </c>
      <c r="O418" s="58">
        <v>96.822999999999993</v>
      </c>
      <c r="P418" s="58">
        <v>33.857999999999997</v>
      </c>
      <c r="Q418" s="58">
        <v>28.645857988165702</v>
      </c>
      <c r="R418" s="58">
        <v>14.305</v>
      </c>
      <c r="S418" s="58">
        <v>1.4486075949367101</v>
      </c>
      <c r="T418" t="s">
        <v>176</v>
      </c>
      <c r="U418" s="11">
        <v>58.671700000000001</v>
      </c>
      <c r="V418"/>
      <c r="W418"/>
    </row>
    <row r="419" spans="1:23" x14ac:dyDescent="0.35">
      <c r="A419" s="40">
        <v>45367</v>
      </c>
      <c r="B419">
        <v>2024</v>
      </c>
      <c r="C419" t="s">
        <v>278</v>
      </c>
      <c r="D419">
        <v>11</v>
      </c>
      <c r="E419">
        <v>11</v>
      </c>
      <c r="F419" t="s">
        <v>51</v>
      </c>
      <c r="G419" s="106">
        <v>0.61111111111111116</v>
      </c>
      <c r="H419" t="s">
        <v>80</v>
      </c>
      <c r="I419" t="s">
        <v>285</v>
      </c>
      <c r="J419">
        <v>52</v>
      </c>
      <c r="K419">
        <v>4.03</v>
      </c>
      <c r="L419">
        <v>94</v>
      </c>
      <c r="M419">
        <v>6</v>
      </c>
      <c r="N419" s="58">
        <v>84.15</v>
      </c>
      <c r="O419" s="58">
        <v>63.188000000000002</v>
      </c>
      <c r="P419" s="58">
        <v>20.8809</v>
      </c>
      <c r="Q419" s="58">
        <v>15.6794044665012</v>
      </c>
      <c r="R419" s="58">
        <v>14.025</v>
      </c>
      <c r="S419" s="58">
        <v>0.89521276595744703</v>
      </c>
      <c r="T419" t="s">
        <v>176</v>
      </c>
      <c r="U419" s="11">
        <v>58.3752</v>
      </c>
      <c r="V419"/>
      <c r="W419"/>
    </row>
    <row r="420" spans="1:23" x14ac:dyDescent="0.35">
      <c r="A420" s="40">
        <v>45366</v>
      </c>
      <c r="B420">
        <v>2024</v>
      </c>
      <c r="C420" t="s">
        <v>278</v>
      </c>
      <c r="D420">
        <v>11</v>
      </c>
      <c r="E420">
        <v>11</v>
      </c>
      <c r="F420" t="s">
        <v>50</v>
      </c>
      <c r="G420" s="106">
        <v>0.73263888888888884</v>
      </c>
      <c r="H420" t="s">
        <v>82</v>
      </c>
      <c r="I420" t="s">
        <v>231</v>
      </c>
      <c r="J420">
        <v>37</v>
      </c>
      <c r="K420">
        <v>3.77</v>
      </c>
      <c r="L420">
        <v>59</v>
      </c>
      <c r="M420">
        <v>12</v>
      </c>
      <c r="N420" s="58">
        <v>91.05</v>
      </c>
      <c r="O420" s="58">
        <v>77.893000000000001</v>
      </c>
      <c r="P420" s="58">
        <v>24.151199999999999</v>
      </c>
      <c r="Q420" s="58">
        <v>20.661273209549101</v>
      </c>
      <c r="R420" s="58">
        <v>7.5875000000000004</v>
      </c>
      <c r="S420" s="58">
        <v>1.5432203389830501</v>
      </c>
      <c r="T420" t="s">
        <v>176</v>
      </c>
      <c r="U420" s="11">
        <v>57.440199999999997</v>
      </c>
      <c r="V420"/>
      <c r="W420"/>
    </row>
    <row r="421" spans="1:23" x14ac:dyDescent="0.35">
      <c r="A421" s="40">
        <v>45365</v>
      </c>
      <c r="B421">
        <v>2024</v>
      </c>
      <c r="C421" t="s">
        <v>278</v>
      </c>
      <c r="D421">
        <v>11</v>
      </c>
      <c r="E421">
        <v>11</v>
      </c>
      <c r="F421" t="s">
        <v>49</v>
      </c>
      <c r="G421" s="106">
        <v>0.72222222222222221</v>
      </c>
      <c r="H421" t="s">
        <v>85</v>
      </c>
      <c r="I421" t="s">
        <v>249</v>
      </c>
      <c r="J421">
        <v>41</v>
      </c>
      <c r="K421">
        <v>4.1500000000000004</v>
      </c>
      <c r="L421">
        <v>109.8</v>
      </c>
      <c r="M421">
        <v>6</v>
      </c>
      <c r="N421" s="58">
        <v>76</v>
      </c>
      <c r="O421" s="58">
        <v>51.514600000000002</v>
      </c>
      <c r="P421" s="58">
        <v>18.313300000000002</v>
      </c>
      <c r="Q421" s="58">
        <v>12.413156626506</v>
      </c>
      <c r="R421" s="58">
        <v>12.6666666666667</v>
      </c>
      <c r="S421" s="58">
        <v>0.69216757741347901</v>
      </c>
      <c r="T421" t="s">
        <v>176</v>
      </c>
      <c r="U421" s="11">
        <v>57.1477</v>
      </c>
      <c r="V421"/>
      <c r="W421"/>
    </row>
    <row r="422" spans="1:23" x14ac:dyDescent="0.35">
      <c r="A422" s="40">
        <v>45364</v>
      </c>
      <c r="B422">
        <v>2024</v>
      </c>
      <c r="C422" t="s">
        <v>278</v>
      </c>
      <c r="D422">
        <v>11</v>
      </c>
      <c r="E422">
        <v>11</v>
      </c>
      <c r="F422" t="s">
        <v>48</v>
      </c>
      <c r="G422" s="106">
        <v>0.71875</v>
      </c>
      <c r="H422" t="s">
        <v>80</v>
      </c>
      <c r="I422" t="s">
        <v>231</v>
      </c>
      <c r="J422">
        <v>52</v>
      </c>
      <c r="K422">
        <v>4.2300000000000004</v>
      </c>
      <c r="L422">
        <v>69</v>
      </c>
      <c r="M422">
        <v>9</v>
      </c>
      <c r="N422" s="58">
        <v>114.52</v>
      </c>
      <c r="O422" s="58">
        <v>99.132999999999996</v>
      </c>
      <c r="P422" s="58">
        <v>27.0733</v>
      </c>
      <c r="Q422" s="58">
        <v>23.4356973995272</v>
      </c>
      <c r="R422" s="58">
        <v>12.7244444444444</v>
      </c>
      <c r="S422" s="58">
        <v>1.65971014492754</v>
      </c>
      <c r="T422" t="s">
        <v>176</v>
      </c>
      <c r="U422" s="11">
        <v>56.303199999999997</v>
      </c>
      <c r="V422"/>
      <c r="W422"/>
    </row>
    <row r="423" spans="1:23" x14ac:dyDescent="0.35">
      <c r="A423" s="40">
        <v>45362</v>
      </c>
      <c r="B423">
        <v>2024</v>
      </c>
      <c r="C423" t="s">
        <v>278</v>
      </c>
      <c r="D423">
        <v>11</v>
      </c>
      <c r="E423">
        <v>11</v>
      </c>
      <c r="F423" t="s">
        <v>46</v>
      </c>
      <c r="G423" s="106">
        <v>0.73263888888888884</v>
      </c>
      <c r="H423" t="s">
        <v>80</v>
      </c>
      <c r="I423" t="s">
        <v>249</v>
      </c>
      <c r="J423">
        <v>36</v>
      </c>
      <c r="K423">
        <v>4.03</v>
      </c>
      <c r="L423">
        <v>81</v>
      </c>
      <c r="M423">
        <v>10</v>
      </c>
      <c r="N423" s="58">
        <v>96.69</v>
      </c>
      <c r="O423" s="58">
        <v>78.626999999999995</v>
      </c>
      <c r="P423" s="58">
        <v>23.992599999999999</v>
      </c>
      <c r="Q423" s="58">
        <v>19.5104218362283</v>
      </c>
      <c r="R423" s="58">
        <v>9.6690000000000005</v>
      </c>
      <c r="S423" s="58">
        <v>1.1937037037036999</v>
      </c>
      <c r="T423" t="s">
        <v>176</v>
      </c>
      <c r="U423" s="11">
        <v>56.882599999999996</v>
      </c>
      <c r="V423"/>
      <c r="W423"/>
    </row>
    <row r="424" spans="1:23" x14ac:dyDescent="0.35">
      <c r="A424" s="40">
        <v>45360</v>
      </c>
      <c r="B424">
        <v>2024</v>
      </c>
      <c r="C424" t="s">
        <v>278</v>
      </c>
      <c r="D424">
        <v>10</v>
      </c>
      <c r="E424">
        <v>10</v>
      </c>
      <c r="F424" t="s">
        <v>51</v>
      </c>
      <c r="G424" s="106">
        <v>0.54166666666666663</v>
      </c>
      <c r="H424" t="s">
        <v>80</v>
      </c>
      <c r="I424" t="s">
        <v>231</v>
      </c>
      <c r="J424">
        <v>37</v>
      </c>
      <c r="K424">
        <v>7.55</v>
      </c>
      <c r="L424">
        <v>192</v>
      </c>
      <c r="M424">
        <v>17</v>
      </c>
      <c r="N424" s="58">
        <v>221.82</v>
      </c>
      <c r="O424" s="58">
        <v>179.00399999999999</v>
      </c>
      <c r="P424" s="58">
        <v>29.380099999999999</v>
      </c>
      <c r="Q424" s="58">
        <v>23.709139072847702</v>
      </c>
      <c r="R424" s="58">
        <v>13.0482352941176</v>
      </c>
      <c r="S424" s="58">
        <v>1.1553125</v>
      </c>
      <c r="T424" t="s">
        <v>176</v>
      </c>
      <c r="U424" s="11">
        <v>55.808199999999999</v>
      </c>
      <c r="V424"/>
      <c r="W424"/>
    </row>
    <row r="425" spans="1:23" x14ac:dyDescent="0.35">
      <c r="A425" s="40">
        <v>45356</v>
      </c>
      <c r="B425">
        <v>2024</v>
      </c>
      <c r="C425" t="s">
        <v>278</v>
      </c>
      <c r="D425">
        <v>10</v>
      </c>
      <c r="E425">
        <v>10</v>
      </c>
      <c r="F425" t="s">
        <v>47</v>
      </c>
      <c r="G425" s="106">
        <v>0.73263888888888884</v>
      </c>
      <c r="H425" t="s">
        <v>80</v>
      </c>
      <c r="I425" t="s">
        <v>236</v>
      </c>
      <c r="J425">
        <v>39</v>
      </c>
      <c r="K425">
        <v>3.45</v>
      </c>
      <c r="L425">
        <v>80</v>
      </c>
      <c r="M425">
        <v>8</v>
      </c>
      <c r="N425" s="58">
        <v>65.319999999999993</v>
      </c>
      <c r="O425" s="58">
        <v>47.48</v>
      </c>
      <c r="P425" s="58">
        <v>18.933299999999999</v>
      </c>
      <c r="Q425" s="58">
        <v>13.762318840579701</v>
      </c>
      <c r="R425" s="58">
        <v>8.1649999999999991</v>
      </c>
      <c r="S425" s="58">
        <v>0.8165</v>
      </c>
      <c r="T425" t="s">
        <v>176</v>
      </c>
      <c r="U425" s="11">
        <v>55.628700000000002</v>
      </c>
      <c r="V425"/>
      <c r="W425"/>
    </row>
    <row r="426" spans="1:23" x14ac:dyDescent="0.35">
      <c r="A426" s="40">
        <v>45354</v>
      </c>
      <c r="B426">
        <v>2024</v>
      </c>
      <c r="C426" t="s">
        <v>278</v>
      </c>
      <c r="D426">
        <v>9</v>
      </c>
      <c r="E426">
        <v>9</v>
      </c>
      <c r="F426" t="s">
        <v>45</v>
      </c>
      <c r="G426" s="106">
        <v>0.70486111111111116</v>
      </c>
      <c r="H426" t="s">
        <v>82</v>
      </c>
      <c r="I426" t="s">
        <v>236</v>
      </c>
      <c r="J426">
        <v>37</v>
      </c>
      <c r="K426">
        <v>3.77</v>
      </c>
      <c r="L426">
        <v>66</v>
      </c>
      <c r="M426">
        <v>9</v>
      </c>
      <c r="N426" s="58">
        <v>79.36</v>
      </c>
      <c r="O426" s="58">
        <v>64.641999999999996</v>
      </c>
      <c r="P426" s="58">
        <v>21.0504</v>
      </c>
      <c r="Q426" s="58">
        <v>17.146419098143198</v>
      </c>
      <c r="R426" s="58">
        <v>8.8177777777777795</v>
      </c>
      <c r="S426" s="58">
        <v>1.20242424242424</v>
      </c>
      <c r="T426" t="s">
        <v>176</v>
      </c>
      <c r="U426" s="11">
        <v>55.749000000000002</v>
      </c>
      <c r="V426"/>
      <c r="W426"/>
    </row>
    <row r="427" spans="1:23" x14ac:dyDescent="0.35">
      <c r="A427" s="40">
        <v>45353</v>
      </c>
      <c r="B427">
        <v>2024</v>
      </c>
      <c r="C427" t="s">
        <v>278</v>
      </c>
      <c r="D427">
        <v>9</v>
      </c>
      <c r="E427">
        <v>9</v>
      </c>
      <c r="F427" t="s">
        <v>51</v>
      </c>
      <c r="G427" s="106">
        <v>0.74652777777777779</v>
      </c>
      <c r="H427" t="s">
        <v>80</v>
      </c>
      <c r="I427" t="s">
        <v>236</v>
      </c>
      <c r="J427">
        <v>41</v>
      </c>
      <c r="K427">
        <v>4.4800000000000004</v>
      </c>
      <c r="L427">
        <v>100</v>
      </c>
      <c r="M427">
        <v>9</v>
      </c>
      <c r="N427" s="58">
        <v>129.13999999999999</v>
      </c>
      <c r="O427" s="58">
        <v>106.84</v>
      </c>
      <c r="P427" s="58">
        <v>28.825900000000001</v>
      </c>
      <c r="Q427" s="58">
        <v>23.848214285714299</v>
      </c>
      <c r="R427" s="58">
        <v>14.348888888888901</v>
      </c>
      <c r="S427" s="58">
        <v>1.2914000000000001</v>
      </c>
      <c r="T427" t="s">
        <v>176</v>
      </c>
      <c r="U427" s="11">
        <v>54.867199999999997</v>
      </c>
      <c r="V427"/>
      <c r="W427"/>
    </row>
    <row r="428" spans="1:23" x14ac:dyDescent="0.35">
      <c r="A428" s="40">
        <v>45352</v>
      </c>
      <c r="B428">
        <v>2024</v>
      </c>
      <c r="C428" t="s">
        <v>278</v>
      </c>
      <c r="D428">
        <v>9</v>
      </c>
      <c r="E428">
        <v>9</v>
      </c>
      <c r="F428" t="s">
        <v>50</v>
      </c>
      <c r="G428" s="106">
        <v>0.71875</v>
      </c>
      <c r="H428" t="s">
        <v>80</v>
      </c>
      <c r="I428" t="s">
        <v>230</v>
      </c>
      <c r="J428">
        <v>32</v>
      </c>
      <c r="K428">
        <v>3.32</v>
      </c>
      <c r="L428">
        <v>75</v>
      </c>
      <c r="M428">
        <v>6</v>
      </c>
      <c r="N428" s="58">
        <v>85.14</v>
      </c>
      <c r="O428" s="58">
        <v>68.415000000000006</v>
      </c>
      <c r="P428" s="58">
        <v>25.644600000000001</v>
      </c>
      <c r="Q428" s="58">
        <v>20.606927710843401</v>
      </c>
      <c r="R428" s="58">
        <v>14.19</v>
      </c>
      <c r="S428" s="58">
        <v>1.1352</v>
      </c>
      <c r="T428" t="s">
        <v>176</v>
      </c>
      <c r="U428" s="11">
        <v>53.432299999999998</v>
      </c>
      <c r="V428"/>
      <c r="W428"/>
    </row>
    <row r="429" spans="1:23" x14ac:dyDescent="0.35">
      <c r="A429" s="40">
        <v>45350</v>
      </c>
      <c r="B429">
        <v>2024</v>
      </c>
      <c r="C429" t="s">
        <v>278</v>
      </c>
      <c r="D429">
        <v>9</v>
      </c>
      <c r="E429">
        <v>9</v>
      </c>
      <c r="F429" t="s">
        <v>48</v>
      </c>
      <c r="G429" s="106">
        <v>0.75</v>
      </c>
      <c r="H429" t="s">
        <v>80</v>
      </c>
      <c r="I429" t="s">
        <v>236</v>
      </c>
      <c r="J429">
        <v>50</v>
      </c>
      <c r="K429">
        <v>3.08</v>
      </c>
      <c r="L429">
        <v>62</v>
      </c>
      <c r="M429">
        <v>8</v>
      </c>
      <c r="N429" s="58">
        <v>72.38</v>
      </c>
      <c r="O429" s="58">
        <v>58.554000000000002</v>
      </c>
      <c r="P429" s="58">
        <v>23.5</v>
      </c>
      <c r="Q429" s="58">
        <v>19.011038961038999</v>
      </c>
      <c r="R429" s="58">
        <v>9.0474999999999994</v>
      </c>
      <c r="S429" s="58">
        <v>1.16741935483871</v>
      </c>
      <c r="T429" t="s">
        <v>176</v>
      </c>
      <c r="U429" s="11">
        <v>52.4863</v>
      </c>
      <c r="V429"/>
      <c r="W429"/>
    </row>
    <row r="430" spans="1:23" x14ac:dyDescent="0.35">
      <c r="A430" s="40">
        <v>45349</v>
      </c>
      <c r="B430">
        <v>2024</v>
      </c>
      <c r="C430" t="s">
        <v>278</v>
      </c>
      <c r="D430">
        <v>9</v>
      </c>
      <c r="E430">
        <v>9</v>
      </c>
      <c r="F430" t="s">
        <v>47</v>
      </c>
      <c r="G430" s="106">
        <v>0.75694444444444442</v>
      </c>
      <c r="H430" t="s">
        <v>80</v>
      </c>
      <c r="I430" t="s">
        <v>276</v>
      </c>
      <c r="J430">
        <v>43</v>
      </c>
      <c r="K430">
        <v>4.12</v>
      </c>
      <c r="L430">
        <v>89</v>
      </c>
      <c r="M430">
        <v>10</v>
      </c>
      <c r="N430" s="58">
        <v>124.55</v>
      </c>
      <c r="O430" s="58">
        <v>104.703</v>
      </c>
      <c r="P430" s="58">
        <v>30.230599999999999</v>
      </c>
      <c r="Q430" s="58">
        <v>25.413349514563102</v>
      </c>
      <c r="R430" s="58">
        <v>12.455</v>
      </c>
      <c r="S430" s="58">
        <v>1.3994382022471901</v>
      </c>
      <c r="T430" t="s">
        <v>176</v>
      </c>
      <c r="U430" s="11">
        <v>52.439100000000003</v>
      </c>
      <c r="V430"/>
      <c r="W430"/>
    </row>
    <row r="431" spans="1:23" x14ac:dyDescent="0.35">
      <c r="A431" s="40">
        <v>45346</v>
      </c>
      <c r="B431">
        <v>2024</v>
      </c>
      <c r="C431" t="s">
        <v>278</v>
      </c>
      <c r="D431">
        <v>8</v>
      </c>
      <c r="E431">
        <v>8</v>
      </c>
      <c r="F431" t="s">
        <v>51</v>
      </c>
      <c r="G431" s="106">
        <v>0.70138888888888884</v>
      </c>
      <c r="H431" t="s">
        <v>80</v>
      </c>
      <c r="I431" t="s">
        <v>230</v>
      </c>
      <c r="J431">
        <v>18</v>
      </c>
      <c r="K431">
        <v>3.25</v>
      </c>
      <c r="L431">
        <v>74</v>
      </c>
      <c r="M431">
        <v>10</v>
      </c>
      <c r="N431" s="58">
        <v>106.38</v>
      </c>
      <c r="O431" s="58">
        <v>89.878</v>
      </c>
      <c r="P431" s="58">
        <v>32.732300000000002</v>
      </c>
      <c r="Q431" s="58">
        <v>27.654769230769201</v>
      </c>
      <c r="R431" s="58">
        <v>10.638</v>
      </c>
      <c r="S431" s="58">
        <v>1.4375675675675701</v>
      </c>
      <c r="T431" t="s">
        <v>176</v>
      </c>
      <c r="U431" s="11">
        <v>54.006599999999999</v>
      </c>
      <c r="V431"/>
      <c r="W431"/>
    </row>
    <row r="432" spans="1:23" x14ac:dyDescent="0.35">
      <c r="A432" s="40">
        <v>45344</v>
      </c>
      <c r="B432">
        <v>2024</v>
      </c>
      <c r="C432" t="s">
        <v>278</v>
      </c>
      <c r="D432">
        <v>8</v>
      </c>
      <c r="E432">
        <v>8</v>
      </c>
      <c r="F432" t="s">
        <v>49</v>
      </c>
      <c r="G432" s="106">
        <v>0.72916666666666663</v>
      </c>
      <c r="H432" t="s">
        <v>82</v>
      </c>
      <c r="I432" t="s">
        <v>231</v>
      </c>
      <c r="J432">
        <v>32</v>
      </c>
      <c r="K432">
        <v>4.58</v>
      </c>
      <c r="L432">
        <v>68</v>
      </c>
      <c r="M432">
        <v>10</v>
      </c>
      <c r="N432" s="58">
        <v>105.34</v>
      </c>
      <c r="O432" s="58">
        <v>90.176000000000002</v>
      </c>
      <c r="P432" s="58">
        <v>23</v>
      </c>
      <c r="Q432" s="58">
        <v>19.689082969432299</v>
      </c>
      <c r="R432" s="58">
        <v>10.534000000000001</v>
      </c>
      <c r="S432" s="58">
        <v>1.5491176470588199</v>
      </c>
      <c r="T432" t="s">
        <v>176</v>
      </c>
      <c r="U432" s="11">
        <v>52.824599999999997</v>
      </c>
      <c r="V432"/>
      <c r="W432"/>
    </row>
    <row r="433" spans="1:23" x14ac:dyDescent="0.35">
      <c r="A433" s="40">
        <v>45343</v>
      </c>
      <c r="B433">
        <v>2024</v>
      </c>
      <c r="C433" t="s">
        <v>278</v>
      </c>
      <c r="D433">
        <v>8</v>
      </c>
      <c r="E433">
        <v>8</v>
      </c>
      <c r="F433" t="s">
        <v>48</v>
      </c>
      <c r="G433" s="106">
        <v>0.73611111111111116</v>
      </c>
      <c r="H433" t="s">
        <v>82</v>
      </c>
      <c r="I433" t="s">
        <v>230</v>
      </c>
      <c r="J433">
        <v>30</v>
      </c>
      <c r="K433">
        <v>2.98</v>
      </c>
      <c r="L433">
        <v>66</v>
      </c>
      <c r="M433">
        <v>5</v>
      </c>
      <c r="N433" s="58">
        <v>37.659999999999997</v>
      </c>
      <c r="O433" s="58">
        <v>22.942</v>
      </c>
      <c r="P433" s="58">
        <v>12.637600000000001</v>
      </c>
      <c r="Q433" s="58">
        <v>7.6986577181208</v>
      </c>
      <c r="R433" s="58">
        <v>7.532</v>
      </c>
      <c r="S433" s="58">
        <v>0.57060606060606001</v>
      </c>
      <c r="T433" t="s">
        <v>175</v>
      </c>
      <c r="U433" s="11">
        <v>53.6402</v>
      </c>
      <c r="V433"/>
      <c r="W433"/>
    </row>
    <row r="434" spans="1:23" x14ac:dyDescent="0.35">
      <c r="A434" s="40">
        <v>45342</v>
      </c>
      <c r="B434">
        <v>2024</v>
      </c>
      <c r="C434" t="s">
        <v>278</v>
      </c>
      <c r="D434">
        <v>8</v>
      </c>
      <c r="E434">
        <v>8</v>
      </c>
      <c r="F434" t="s">
        <v>47</v>
      </c>
      <c r="G434" s="106">
        <v>0.72916666666666663</v>
      </c>
      <c r="H434" t="s">
        <v>82</v>
      </c>
      <c r="I434" t="s">
        <v>230</v>
      </c>
      <c r="J434">
        <v>27</v>
      </c>
      <c r="K434">
        <v>2.4500000000000002</v>
      </c>
      <c r="L434">
        <v>45</v>
      </c>
      <c r="M434">
        <v>6</v>
      </c>
      <c r="N434" s="58">
        <v>39.32</v>
      </c>
      <c r="O434" s="58">
        <v>29.285</v>
      </c>
      <c r="P434" s="58">
        <v>16.048999999999999</v>
      </c>
      <c r="Q434" s="58">
        <v>11.953061224489799</v>
      </c>
      <c r="R434" s="58">
        <v>6.5533333333333301</v>
      </c>
      <c r="S434" s="58">
        <v>0.87377777777777799</v>
      </c>
      <c r="T434" t="s">
        <v>175</v>
      </c>
      <c r="U434" s="11">
        <v>53.221800000000002</v>
      </c>
      <c r="V434"/>
      <c r="W434"/>
    </row>
    <row r="435" spans="1:23" x14ac:dyDescent="0.35">
      <c r="A435" s="40">
        <v>45341</v>
      </c>
      <c r="B435">
        <v>2024</v>
      </c>
      <c r="C435" t="s">
        <v>278</v>
      </c>
      <c r="D435">
        <v>8</v>
      </c>
      <c r="E435">
        <v>8</v>
      </c>
      <c r="F435" t="s">
        <v>46</v>
      </c>
      <c r="G435" s="106">
        <v>0.72569444444444442</v>
      </c>
      <c r="H435" t="s">
        <v>80</v>
      </c>
      <c r="I435" t="s">
        <v>230</v>
      </c>
      <c r="J435">
        <v>19</v>
      </c>
      <c r="K435">
        <v>4.18</v>
      </c>
      <c r="L435">
        <v>98</v>
      </c>
      <c r="M435">
        <v>10</v>
      </c>
      <c r="N435" s="58">
        <v>112.49</v>
      </c>
      <c r="O435" s="58">
        <v>90.635999999999996</v>
      </c>
      <c r="P435" s="58">
        <v>26.9115</v>
      </c>
      <c r="Q435" s="58">
        <v>21.683253588516699</v>
      </c>
      <c r="R435" s="58">
        <v>11.249000000000001</v>
      </c>
      <c r="S435" s="58">
        <v>1.14785714285714</v>
      </c>
      <c r="T435" t="s">
        <v>176</v>
      </c>
      <c r="U435" s="11">
        <v>53.142400000000002</v>
      </c>
      <c r="V435"/>
      <c r="W435"/>
    </row>
    <row r="436" spans="1:23" x14ac:dyDescent="0.35">
      <c r="A436" s="40">
        <v>45340</v>
      </c>
      <c r="B436">
        <v>2024</v>
      </c>
      <c r="C436" t="s">
        <v>278</v>
      </c>
      <c r="D436">
        <v>7</v>
      </c>
      <c r="E436">
        <v>7</v>
      </c>
      <c r="F436" t="s">
        <v>45</v>
      </c>
      <c r="G436" s="106">
        <v>0.53472222222222221</v>
      </c>
      <c r="H436" t="s">
        <v>174</v>
      </c>
      <c r="I436" t="s">
        <v>281</v>
      </c>
      <c r="J436">
        <v>30</v>
      </c>
      <c r="K436">
        <v>3.02</v>
      </c>
      <c r="L436">
        <v>83</v>
      </c>
      <c r="M436">
        <v>6</v>
      </c>
      <c r="N436" s="58">
        <v>52.45</v>
      </c>
      <c r="O436" s="58">
        <v>33.941000000000003</v>
      </c>
      <c r="P436" s="58">
        <v>17.3675</v>
      </c>
      <c r="Q436" s="58">
        <v>11.2387417218543</v>
      </c>
      <c r="R436" s="58">
        <v>8.7416666666666707</v>
      </c>
      <c r="S436" s="58">
        <v>0.63192771084337396</v>
      </c>
      <c r="T436" t="s">
        <v>175</v>
      </c>
      <c r="U436" s="11">
        <v>52.709200000000003</v>
      </c>
      <c r="V436"/>
      <c r="W436"/>
    </row>
    <row r="437" spans="1:23" x14ac:dyDescent="0.35">
      <c r="A437" s="40">
        <v>45339</v>
      </c>
      <c r="B437">
        <v>2024</v>
      </c>
      <c r="C437" t="s">
        <v>278</v>
      </c>
      <c r="D437">
        <v>7</v>
      </c>
      <c r="E437">
        <v>7</v>
      </c>
      <c r="F437" t="s">
        <v>51</v>
      </c>
      <c r="G437" s="106">
        <v>0.78125</v>
      </c>
      <c r="H437" t="s">
        <v>80</v>
      </c>
      <c r="I437" t="s">
        <v>233</v>
      </c>
      <c r="J437">
        <v>21</v>
      </c>
      <c r="K437">
        <v>4.88</v>
      </c>
      <c r="L437">
        <v>120</v>
      </c>
      <c r="M437">
        <v>11</v>
      </c>
      <c r="N437" s="58">
        <v>132.19</v>
      </c>
      <c r="O437" s="58">
        <v>105.43</v>
      </c>
      <c r="P437" s="58">
        <v>27.088100000000001</v>
      </c>
      <c r="Q437" s="58">
        <v>21.604508196721302</v>
      </c>
      <c r="R437" s="58">
        <v>12.017272727272699</v>
      </c>
      <c r="S437" s="58">
        <v>1.10158333333333</v>
      </c>
      <c r="T437" t="s">
        <v>176</v>
      </c>
      <c r="U437" s="11">
        <v>53.386600000000001</v>
      </c>
      <c r="V437"/>
      <c r="W437"/>
    </row>
    <row r="438" spans="1:23" x14ac:dyDescent="0.35">
      <c r="A438" s="40">
        <v>45338</v>
      </c>
      <c r="B438">
        <v>2024</v>
      </c>
      <c r="C438" t="s">
        <v>278</v>
      </c>
      <c r="D438">
        <v>7</v>
      </c>
      <c r="E438">
        <v>7</v>
      </c>
      <c r="F438" t="s">
        <v>50</v>
      </c>
      <c r="G438" s="106">
        <v>0.72222222222222221</v>
      </c>
      <c r="H438" t="s">
        <v>82</v>
      </c>
      <c r="I438" t="s">
        <v>230</v>
      </c>
      <c r="J438">
        <v>25</v>
      </c>
      <c r="K438">
        <v>4.4800000000000004</v>
      </c>
      <c r="L438">
        <v>51</v>
      </c>
      <c r="M438">
        <v>15</v>
      </c>
      <c r="N438" s="58">
        <v>81.540000000000006</v>
      </c>
      <c r="O438" s="58">
        <v>70.167000000000002</v>
      </c>
      <c r="P438" s="58">
        <v>18.200900000000001</v>
      </c>
      <c r="Q438" s="58">
        <v>15.662276785714299</v>
      </c>
      <c r="R438" s="58">
        <v>5.4359999999999999</v>
      </c>
      <c r="S438" s="58">
        <v>1.5988235294117601</v>
      </c>
      <c r="T438" t="s">
        <v>176</v>
      </c>
      <c r="U438" s="11">
        <v>51.9178</v>
      </c>
      <c r="V438"/>
      <c r="W438"/>
    </row>
    <row r="439" spans="1:23" x14ac:dyDescent="0.35">
      <c r="A439" s="40">
        <v>45336</v>
      </c>
      <c r="B439">
        <v>2024</v>
      </c>
      <c r="C439" t="s">
        <v>278</v>
      </c>
      <c r="D439">
        <v>7</v>
      </c>
      <c r="E439">
        <v>7</v>
      </c>
      <c r="F439" t="s">
        <v>48</v>
      </c>
      <c r="G439" s="106">
        <v>0.72916666666666663</v>
      </c>
      <c r="H439" t="s">
        <v>80</v>
      </c>
      <c r="I439" t="s">
        <v>230</v>
      </c>
      <c r="J439">
        <v>21</v>
      </c>
      <c r="K439">
        <v>5.18</v>
      </c>
      <c r="L439">
        <v>90</v>
      </c>
      <c r="M439">
        <v>14</v>
      </c>
      <c r="N439" s="58">
        <v>192.15</v>
      </c>
      <c r="O439" s="58">
        <v>172.08</v>
      </c>
      <c r="P439" s="58">
        <v>37.0946</v>
      </c>
      <c r="Q439" s="58">
        <v>33.220077220077201</v>
      </c>
      <c r="R439" s="58">
        <v>13.725</v>
      </c>
      <c r="S439" s="58">
        <v>2.1349999999999998</v>
      </c>
      <c r="T439" t="s">
        <v>176</v>
      </c>
      <c r="U439" s="11">
        <v>51.198099999999997</v>
      </c>
      <c r="V439"/>
      <c r="W439"/>
    </row>
    <row r="440" spans="1:23" x14ac:dyDescent="0.35">
      <c r="A440" s="40">
        <v>45335</v>
      </c>
      <c r="B440">
        <v>2024</v>
      </c>
      <c r="C440" t="s">
        <v>278</v>
      </c>
      <c r="D440">
        <v>7</v>
      </c>
      <c r="E440">
        <v>7</v>
      </c>
      <c r="F440" t="s">
        <v>47</v>
      </c>
      <c r="G440" s="106">
        <v>0.73263888888888884</v>
      </c>
      <c r="H440" t="s">
        <v>80</v>
      </c>
      <c r="I440" t="s">
        <v>230</v>
      </c>
      <c r="J440">
        <v>30</v>
      </c>
      <c r="K440">
        <v>4.1500000000000004</v>
      </c>
      <c r="L440">
        <v>92</v>
      </c>
      <c r="M440">
        <v>10</v>
      </c>
      <c r="N440" s="58">
        <v>100.54</v>
      </c>
      <c r="O440" s="58">
        <v>80.024000000000001</v>
      </c>
      <c r="P440" s="58">
        <v>24.226500000000001</v>
      </c>
      <c r="Q440" s="58">
        <v>19.2828915662651</v>
      </c>
      <c r="R440" s="58">
        <v>10.054</v>
      </c>
      <c r="S440" s="58">
        <v>1.0928260869565201</v>
      </c>
      <c r="T440" t="s">
        <v>176</v>
      </c>
      <c r="U440" s="11">
        <v>49.367600000000003</v>
      </c>
      <c r="V440"/>
      <c r="W440"/>
    </row>
    <row r="441" spans="1:23" x14ac:dyDescent="0.35">
      <c r="A441" s="40">
        <v>45332</v>
      </c>
      <c r="B441">
        <v>2024</v>
      </c>
      <c r="C441" t="s">
        <v>278</v>
      </c>
      <c r="D441">
        <v>6</v>
      </c>
      <c r="E441">
        <v>6</v>
      </c>
      <c r="F441" t="s">
        <v>51</v>
      </c>
      <c r="G441" s="106">
        <v>0.73958333333333337</v>
      </c>
      <c r="H441" t="s">
        <v>80</v>
      </c>
      <c r="I441" t="s">
        <v>230</v>
      </c>
      <c r="J441">
        <v>43</v>
      </c>
      <c r="K441">
        <v>3.13</v>
      </c>
      <c r="L441">
        <v>62</v>
      </c>
      <c r="M441">
        <v>8</v>
      </c>
      <c r="N441" s="58">
        <v>69.02</v>
      </c>
      <c r="O441" s="58">
        <v>55.194000000000003</v>
      </c>
      <c r="P441" s="58">
        <v>22.051100000000002</v>
      </c>
      <c r="Q441" s="58">
        <v>17.633865814696499</v>
      </c>
      <c r="R441" s="58">
        <v>8.6274999999999995</v>
      </c>
      <c r="S441" s="58">
        <v>1.1132258064516101</v>
      </c>
      <c r="T441" t="s">
        <v>176</v>
      </c>
      <c r="U441" s="11">
        <v>50.758099999999999</v>
      </c>
      <c r="V441"/>
      <c r="W441"/>
    </row>
    <row r="442" spans="1:23" x14ac:dyDescent="0.35">
      <c r="A442" s="40">
        <v>45331</v>
      </c>
      <c r="B442">
        <v>2024</v>
      </c>
      <c r="C442" t="s">
        <v>278</v>
      </c>
      <c r="D442">
        <v>6</v>
      </c>
      <c r="E442">
        <v>6</v>
      </c>
      <c r="F442" t="s">
        <v>50</v>
      </c>
      <c r="G442" s="106">
        <v>0.74305555555555558</v>
      </c>
      <c r="H442" t="s">
        <v>82</v>
      </c>
      <c r="I442" t="s">
        <v>249</v>
      </c>
      <c r="J442">
        <v>36</v>
      </c>
      <c r="K442">
        <v>5.83</v>
      </c>
      <c r="L442">
        <v>117</v>
      </c>
      <c r="M442">
        <v>13</v>
      </c>
      <c r="N442" s="58">
        <v>120.59</v>
      </c>
      <c r="O442" s="58">
        <v>94.498999999999995</v>
      </c>
      <c r="P442" s="58">
        <v>20.6844</v>
      </c>
      <c r="Q442" s="58">
        <v>16.2090909090909</v>
      </c>
      <c r="R442" s="58">
        <v>9.27615384615385</v>
      </c>
      <c r="S442" s="58">
        <v>1.03068376068376</v>
      </c>
      <c r="T442" t="s">
        <v>176</v>
      </c>
      <c r="U442" s="11">
        <v>51.76</v>
      </c>
      <c r="V442"/>
      <c r="W442"/>
    </row>
    <row r="443" spans="1:23" x14ac:dyDescent="0.35">
      <c r="A443" s="40">
        <v>45330</v>
      </c>
      <c r="B443">
        <v>2024</v>
      </c>
      <c r="C443" t="s">
        <v>278</v>
      </c>
      <c r="D443">
        <v>6</v>
      </c>
      <c r="E443">
        <v>6</v>
      </c>
      <c r="F443" t="s">
        <v>49</v>
      </c>
      <c r="G443" s="106">
        <v>0.71527777777777779</v>
      </c>
      <c r="H443" t="s">
        <v>82</v>
      </c>
      <c r="I443" t="s">
        <v>230</v>
      </c>
      <c r="J443">
        <v>36</v>
      </c>
      <c r="K443">
        <v>5.45</v>
      </c>
      <c r="L443">
        <v>104</v>
      </c>
      <c r="M443">
        <v>13</v>
      </c>
      <c r="N443" s="58">
        <v>118.73</v>
      </c>
      <c r="O443" s="58">
        <v>95.537999999999997</v>
      </c>
      <c r="P443" s="58">
        <v>21.785299999999999</v>
      </c>
      <c r="Q443" s="58">
        <v>17.529908256880699</v>
      </c>
      <c r="R443" s="58">
        <v>9.1330769230769207</v>
      </c>
      <c r="S443" s="58">
        <v>1.14163461538462</v>
      </c>
      <c r="T443" t="s">
        <v>176</v>
      </c>
      <c r="U443" s="11">
        <v>51.681199999999997</v>
      </c>
      <c r="V443"/>
      <c r="W443"/>
    </row>
    <row r="444" spans="1:23" x14ac:dyDescent="0.35">
      <c r="A444" s="40">
        <v>45329</v>
      </c>
      <c r="B444">
        <v>2024</v>
      </c>
      <c r="C444" t="s">
        <v>278</v>
      </c>
      <c r="D444">
        <v>6</v>
      </c>
      <c r="E444">
        <v>6</v>
      </c>
      <c r="F444" t="s">
        <v>48</v>
      </c>
      <c r="G444" s="106">
        <v>0.71875</v>
      </c>
      <c r="H444" t="s">
        <v>80</v>
      </c>
      <c r="I444" t="s">
        <v>230</v>
      </c>
      <c r="J444">
        <v>32</v>
      </c>
      <c r="K444">
        <v>2.37</v>
      </c>
      <c r="L444">
        <v>52</v>
      </c>
      <c r="M444">
        <v>5</v>
      </c>
      <c r="N444" s="58">
        <v>54.54</v>
      </c>
      <c r="O444" s="58">
        <v>42.944000000000003</v>
      </c>
      <c r="P444" s="58">
        <v>23.012699999999999</v>
      </c>
      <c r="Q444" s="58">
        <v>18.119831223628701</v>
      </c>
      <c r="R444" s="58">
        <v>10.907999999999999</v>
      </c>
      <c r="S444" s="58">
        <v>1.04884615384615</v>
      </c>
      <c r="T444" t="s">
        <v>175</v>
      </c>
      <c r="U444" s="11">
        <v>51.899299999999997</v>
      </c>
      <c r="V444"/>
      <c r="W444"/>
    </row>
    <row r="445" spans="1:23" x14ac:dyDescent="0.35">
      <c r="A445" s="40">
        <v>45327</v>
      </c>
      <c r="B445">
        <v>2024</v>
      </c>
      <c r="C445" t="s">
        <v>278</v>
      </c>
      <c r="D445">
        <v>6</v>
      </c>
      <c r="E445">
        <v>6</v>
      </c>
      <c r="F445" t="s">
        <v>46</v>
      </c>
      <c r="G445" s="106">
        <v>0.72916666666666663</v>
      </c>
      <c r="H445" t="s">
        <v>82</v>
      </c>
      <c r="I445" t="s">
        <v>231</v>
      </c>
      <c r="J445">
        <v>30</v>
      </c>
      <c r="K445">
        <v>2.3199999999999998</v>
      </c>
      <c r="L445">
        <v>36</v>
      </c>
      <c r="M445">
        <v>5</v>
      </c>
      <c r="N445" s="58">
        <v>39.82</v>
      </c>
      <c r="O445" s="58">
        <v>31.792000000000002</v>
      </c>
      <c r="P445" s="58">
        <v>17.163799999999998</v>
      </c>
      <c r="Q445" s="58">
        <v>13.703448275862099</v>
      </c>
      <c r="R445" s="58">
        <v>7.9640000000000004</v>
      </c>
      <c r="S445" s="58">
        <v>1.1061111111111099</v>
      </c>
      <c r="T445" t="s">
        <v>175</v>
      </c>
      <c r="U445" s="11">
        <v>52.491799999999998</v>
      </c>
      <c r="V445"/>
      <c r="W445"/>
    </row>
    <row r="446" spans="1:23" x14ac:dyDescent="0.35">
      <c r="A446" s="40">
        <v>45324</v>
      </c>
      <c r="B446">
        <v>2024</v>
      </c>
      <c r="C446" t="s">
        <v>278</v>
      </c>
      <c r="D446">
        <v>5</v>
      </c>
      <c r="E446">
        <v>5</v>
      </c>
      <c r="F446" t="s">
        <v>50</v>
      </c>
      <c r="G446" s="106">
        <v>0.74305555555555558</v>
      </c>
      <c r="H446" t="s">
        <v>82</v>
      </c>
      <c r="I446" t="s">
        <v>231</v>
      </c>
      <c r="J446">
        <v>36</v>
      </c>
      <c r="K446">
        <v>5.3</v>
      </c>
      <c r="L446">
        <v>89</v>
      </c>
      <c r="M446">
        <v>12</v>
      </c>
      <c r="N446" s="58">
        <v>88.64</v>
      </c>
      <c r="O446" s="58">
        <v>68.793000000000006</v>
      </c>
      <c r="P446" s="58">
        <v>16.724499999999999</v>
      </c>
      <c r="Q446" s="58">
        <v>12.979811320754701</v>
      </c>
      <c r="R446" s="58">
        <v>7.3866666666666703</v>
      </c>
      <c r="S446" s="58">
        <v>0.99595505617977498</v>
      </c>
      <c r="T446" t="s">
        <v>175</v>
      </c>
      <c r="U446" s="11">
        <v>53.144100000000002</v>
      </c>
      <c r="V446"/>
      <c r="W446"/>
    </row>
    <row r="447" spans="1:23" x14ac:dyDescent="0.35">
      <c r="A447" s="40">
        <v>45323</v>
      </c>
      <c r="B447">
        <v>2024</v>
      </c>
      <c r="C447" t="s">
        <v>278</v>
      </c>
      <c r="D447">
        <v>5</v>
      </c>
      <c r="E447">
        <v>5</v>
      </c>
      <c r="F447" t="s">
        <v>49</v>
      </c>
      <c r="G447" s="106">
        <v>0.73263888888888884</v>
      </c>
      <c r="H447" t="s">
        <v>82</v>
      </c>
      <c r="I447" t="s">
        <v>234</v>
      </c>
      <c r="J447">
        <v>34</v>
      </c>
      <c r="K447">
        <v>3.23</v>
      </c>
      <c r="L447">
        <v>71</v>
      </c>
      <c r="M447">
        <v>9</v>
      </c>
      <c r="N447" s="58">
        <v>58.83</v>
      </c>
      <c r="O447" s="58">
        <v>42.997</v>
      </c>
      <c r="P447" s="58">
        <v>18.2136</v>
      </c>
      <c r="Q447" s="58">
        <v>13.3117647058824</v>
      </c>
      <c r="R447" s="58">
        <v>6.5366666666666697</v>
      </c>
      <c r="S447" s="58">
        <v>0.82859154929577505</v>
      </c>
      <c r="T447" t="s">
        <v>175</v>
      </c>
      <c r="U447" s="11">
        <v>52.159199999999998</v>
      </c>
      <c r="V447"/>
      <c r="W447"/>
    </row>
    <row r="448" spans="1:23" x14ac:dyDescent="0.35">
      <c r="A448" s="40">
        <v>45322</v>
      </c>
      <c r="B448">
        <v>2024</v>
      </c>
      <c r="C448" t="s">
        <v>278</v>
      </c>
      <c r="D448">
        <v>5</v>
      </c>
      <c r="E448">
        <v>5</v>
      </c>
      <c r="F448" t="s">
        <v>48</v>
      </c>
      <c r="G448" s="106">
        <v>0.73263888888888884</v>
      </c>
      <c r="H448" t="s">
        <v>174</v>
      </c>
      <c r="I448" t="s">
        <v>231</v>
      </c>
      <c r="J448">
        <v>27</v>
      </c>
      <c r="K448">
        <v>3.57</v>
      </c>
      <c r="L448">
        <v>96</v>
      </c>
      <c r="M448">
        <v>6</v>
      </c>
      <c r="N448" s="58">
        <v>50.35</v>
      </c>
      <c r="O448" s="58">
        <v>28.942</v>
      </c>
      <c r="P448" s="58">
        <v>14.1036</v>
      </c>
      <c r="Q448" s="58">
        <v>8.1070028011204496</v>
      </c>
      <c r="R448" s="58">
        <v>8.3916666666666693</v>
      </c>
      <c r="S448" s="58">
        <v>0.52447916666666705</v>
      </c>
      <c r="T448" t="s">
        <v>175</v>
      </c>
      <c r="U448" s="11">
        <v>52.796300000000002</v>
      </c>
      <c r="V448"/>
      <c r="W448"/>
    </row>
    <row r="449" spans="1:23" x14ac:dyDescent="0.35">
      <c r="A449" s="40">
        <v>45321</v>
      </c>
      <c r="B449">
        <v>2024</v>
      </c>
      <c r="C449" t="s">
        <v>278</v>
      </c>
      <c r="D449">
        <v>5</v>
      </c>
      <c r="E449">
        <v>5</v>
      </c>
      <c r="F449" t="s">
        <v>47</v>
      </c>
      <c r="G449" s="106">
        <v>0.77083333333333337</v>
      </c>
      <c r="H449" t="s">
        <v>80</v>
      </c>
      <c r="I449" t="s">
        <v>230</v>
      </c>
      <c r="J449">
        <v>13</v>
      </c>
      <c r="K449">
        <v>4.75</v>
      </c>
      <c r="L449">
        <v>128</v>
      </c>
      <c r="M449">
        <v>10</v>
      </c>
      <c r="N449" s="58">
        <v>171.27</v>
      </c>
      <c r="O449" s="58">
        <v>142.726</v>
      </c>
      <c r="P449" s="58">
        <v>36.056800000000003</v>
      </c>
      <c r="Q449" s="58">
        <v>30.0475789473684</v>
      </c>
      <c r="R449" s="58">
        <v>17.126999999999999</v>
      </c>
      <c r="S449" s="58">
        <v>1.3380468750000001</v>
      </c>
      <c r="T449" t="s">
        <v>176</v>
      </c>
      <c r="U449" s="11">
        <v>52.236899999999999</v>
      </c>
      <c r="V449"/>
      <c r="W449"/>
    </row>
    <row r="450" spans="1:23" x14ac:dyDescent="0.35">
      <c r="A450" s="40">
        <v>45318</v>
      </c>
      <c r="B450">
        <v>2024</v>
      </c>
      <c r="C450" t="s">
        <v>278</v>
      </c>
      <c r="D450">
        <v>4</v>
      </c>
      <c r="E450">
        <v>4</v>
      </c>
      <c r="F450" t="s">
        <v>51</v>
      </c>
      <c r="G450" s="106">
        <v>0.67708333333333337</v>
      </c>
      <c r="H450" t="s">
        <v>80</v>
      </c>
      <c r="I450" t="s">
        <v>231</v>
      </c>
      <c r="J450">
        <v>34</v>
      </c>
      <c r="K450">
        <v>4.47</v>
      </c>
      <c r="L450">
        <v>126</v>
      </c>
      <c r="M450">
        <v>8</v>
      </c>
      <c r="N450" s="58">
        <v>110.72</v>
      </c>
      <c r="O450" s="58">
        <v>82.622</v>
      </c>
      <c r="P450" s="58">
        <v>24.769600000000001</v>
      </c>
      <c r="Q450" s="58">
        <v>18.4836689038031</v>
      </c>
      <c r="R450" s="58">
        <v>13.84</v>
      </c>
      <c r="S450" s="58">
        <v>0.87873015873015903</v>
      </c>
      <c r="T450" t="s">
        <v>176</v>
      </c>
      <c r="U450" s="11">
        <v>53.912100000000002</v>
      </c>
      <c r="V450"/>
      <c r="W450"/>
    </row>
    <row r="451" spans="1:23" x14ac:dyDescent="0.35">
      <c r="A451" s="40">
        <v>45317</v>
      </c>
      <c r="B451">
        <v>2024</v>
      </c>
      <c r="C451" t="s">
        <v>278</v>
      </c>
      <c r="D451">
        <v>4</v>
      </c>
      <c r="E451">
        <v>4</v>
      </c>
      <c r="F451" t="s">
        <v>50</v>
      </c>
      <c r="G451" s="106">
        <v>0.72569444444444442</v>
      </c>
      <c r="H451" t="s">
        <v>82</v>
      </c>
      <c r="I451" t="s">
        <v>231</v>
      </c>
      <c r="J451">
        <v>34</v>
      </c>
      <c r="K451">
        <v>5.43</v>
      </c>
      <c r="L451">
        <v>116</v>
      </c>
      <c r="M451">
        <v>12</v>
      </c>
      <c r="N451" s="58">
        <v>96.81</v>
      </c>
      <c r="O451" s="58">
        <v>70.941999999999993</v>
      </c>
      <c r="P451" s="58">
        <v>17.828700000000001</v>
      </c>
      <c r="Q451" s="58">
        <v>13.0648250460405</v>
      </c>
      <c r="R451" s="58">
        <v>8.0675000000000008</v>
      </c>
      <c r="S451" s="58">
        <v>0.83456896551724102</v>
      </c>
      <c r="T451" t="s">
        <v>175</v>
      </c>
      <c r="U451" s="11">
        <v>54.503700000000002</v>
      </c>
      <c r="V451"/>
      <c r="W451"/>
    </row>
    <row r="452" spans="1:23" x14ac:dyDescent="0.35">
      <c r="A452" s="40">
        <v>45316</v>
      </c>
      <c r="B452">
        <v>2024</v>
      </c>
      <c r="C452" t="s">
        <v>278</v>
      </c>
      <c r="D452">
        <v>4</v>
      </c>
      <c r="E452">
        <v>4</v>
      </c>
      <c r="F452" t="s">
        <v>49</v>
      </c>
      <c r="G452" s="106">
        <v>0.72916666666666663</v>
      </c>
      <c r="H452" t="s">
        <v>80</v>
      </c>
      <c r="I452" t="s">
        <v>231</v>
      </c>
      <c r="J452">
        <v>37</v>
      </c>
      <c r="K452">
        <v>3.87</v>
      </c>
      <c r="L452">
        <v>77</v>
      </c>
      <c r="M452">
        <v>6</v>
      </c>
      <c r="N452" s="58">
        <v>93.22</v>
      </c>
      <c r="O452" s="58">
        <v>76.049000000000007</v>
      </c>
      <c r="P452" s="58">
        <v>24.087900000000001</v>
      </c>
      <c r="Q452" s="58">
        <v>19.6509043927649</v>
      </c>
      <c r="R452" s="58">
        <v>15.536666666666701</v>
      </c>
      <c r="S452" s="58">
        <v>1.2106493506493501</v>
      </c>
      <c r="T452" t="s">
        <v>176</v>
      </c>
      <c r="U452" s="11">
        <v>55.063600000000001</v>
      </c>
      <c r="V452"/>
      <c r="W452"/>
    </row>
    <row r="453" spans="1:23" x14ac:dyDescent="0.35">
      <c r="A453" s="40">
        <v>45314</v>
      </c>
      <c r="B453">
        <v>2024</v>
      </c>
      <c r="C453" t="s">
        <v>278</v>
      </c>
      <c r="D453">
        <v>4</v>
      </c>
      <c r="E453">
        <v>4</v>
      </c>
      <c r="F453" t="s">
        <v>47</v>
      </c>
      <c r="G453" s="106">
        <v>0.73263888888888884</v>
      </c>
      <c r="H453" t="s">
        <v>80</v>
      </c>
      <c r="I453" t="s">
        <v>230</v>
      </c>
      <c r="J453">
        <v>28</v>
      </c>
      <c r="K453">
        <v>2.27</v>
      </c>
      <c r="L453">
        <v>69</v>
      </c>
      <c r="M453">
        <v>5</v>
      </c>
      <c r="N453" s="58">
        <v>42.34</v>
      </c>
      <c r="O453" s="58">
        <v>26.952999999999999</v>
      </c>
      <c r="P453" s="58">
        <v>18.652000000000001</v>
      </c>
      <c r="Q453" s="58">
        <v>11.873568281938301</v>
      </c>
      <c r="R453" s="58">
        <v>8.468</v>
      </c>
      <c r="S453" s="58">
        <v>0.61362318840579699</v>
      </c>
      <c r="T453" t="s">
        <v>175</v>
      </c>
      <c r="U453" s="11">
        <v>54.027799999999999</v>
      </c>
      <c r="V453"/>
      <c r="W453"/>
    </row>
    <row r="454" spans="1:23" x14ac:dyDescent="0.35">
      <c r="A454" s="40">
        <v>45313</v>
      </c>
      <c r="B454">
        <v>2024</v>
      </c>
      <c r="C454" t="s">
        <v>278</v>
      </c>
      <c r="D454">
        <v>4</v>
      </c>
      <c r="E454">
        <v>4</v>
      </c>
      <c r="F454" t="s">
        <v>46</v>
      </c>
      <c r="G454" s="106">
        <v>0.71875</v>
      </c>
      <c r="H454" t="s">
        <v>80</v>
      </c>
      <c r="I454" t="s">
        <v>249</v>
      </c>
      <c r="J454">
        <v>34</v>
      </c>
      <c r="K454">
        <v>4.88</v>
      </c>
      <c r="L454">
        <v>116</v>
      </c>
      <c r="M454">
        <v>9</v>
      </c>
      <c r="N454" s="58">
        <v>98.32</v>
      </c>
      <c r="O454" s="58">
        <v>72.451999999999998</v>
      </c>
      <c r="P454" s="58">
        <v>20.147500000000001</v>
      </c>
      <c r="Q454" s="58">
        <v>14.846721311475401</v>
      </c>
      <c r="R454" s="58">
        <v>10.924444444444401</v>
      </c>
      <c r="S454" s="58">
        <v>0.84758620689655195</v>
      </c>
      <c r="T454" t="s">
        <v>175</v>
      </c>
      <c r="U454" s="11">
        <v>54.121200000000002</v>
      </c>
      <c r="V454"/>
      <c r="W454"/>
    </row>
    <row r="455" spans="1:23" x14ac:dyDescent="0.35">
      <c r="A455" s="40">
        <v>45311</v>
      </c>
      <c r="B455">
        <v>2024</v>
      </c>
      <c r="C455" t="s">
        <v>278</v>
      </c>
      <c r="D455">
        <v>3</v>
      </c>
      <c r="E455">
        <v>3</v>
      </c>
      <c r="F455" t="s">
        <v>51</v>
      </c>
      <c r="G455" s="106">
        <v>0.70833333333333337</v>
      </c>
      <c r="H455" t="s">
        <v>80</v>
      </c>
      <c r="I455" t="s">
        <v>234</v>
      </c>
      <c r="J455">
        <v>16</v>
      </c>
      <c r="K455">
        <v>5.08</v>
      </c>
      <c r="L455">
        <v>134</v>
      </c>
      <c r="M455">
        <v>12</v>
      </c>
      <c r="N455" s="58">
        <v>97.4</v>
      </c>
      <c r="O455" s="58">
        <v>67.518000000000001</v>
      </c>
      <c r="P455" s="58">
        <v>19.173200000000001</v>
      </c>
      <c r="Q455" s="58">
        <v>13.2909448818898</v>
      </c>
      <c r="R455" s="58">
        <v>8.1166666666666707</v>
      </c>
      <c r="S455" s="58">
        <v>0.72686567164179094</v>
      </c>
      <c r="T455" t="s">
        <v>175</v>
      </c>
      <c r="U455" s="11">
        <v>55.063600000000001</v>
      </c>
      <c r="V455"/>
      <c r="W455"/>
    </row>
    <row r="456" spans="1:23" x14ac:dyDescent="0.35">
      <c r="A456" s="40">
        <v>45307</v>
      </c>
      <c r="B456">
        <v>2024</v>
      </c>
      <c r="C456" t="s">
        <v>278</v>
      </c>
      <c r="D456">
        <v>3</v>
      </c>
      <c r="E456">
        <v>3</v>
      </c>
      <c r="F456" t="s">
        <v>47</v>
      </c>
      <c r="G456" s="106">
        <v>0.70833333333333337</v>
      </c>
      <c r="H456" t="s">
        <v>80</v>
      </c>
      <c r="I456" t="s">
        <v>232</v>
      </c>
      <c r="J456">
        <v>27</v>
      </c>
      <c r="K456">
        <v>4.97</v>
      </c>
      <c r="L456">
        <v>117</v>
      </c>
      <c r="M456">
        <v>9</v>
      </c>
      <c r="N456" s="58">
        <v>177.49</v>
      </c>
      <c r="O456" s="58">
        <v>151.399</v>
      </c>
      <c r="P456" s="58">
        <v>35.712299999999999</v>
      </c>
      <c r="Q456" s="58">
        <v>30.462575452716301</v>
      </c>
      <c r="R456" s="58">
        <v>19.721111111111099</v>
      </c>
      <c r="S456" s="58">
        <v>1.5170085470085499</v>
      </c>
      <c r="T456" t="s">
        <v>176</v>
      </c>
      <c r="U456" s="11">
        <v>53.981299999999997</v>
      </c>
      <c r="V456"/>
      <c r="W456"/>
    </row>
    <row r="457" spans="1:23" x14ac:dyDescent="0.35">
      <c r="A457" s="40">
        <v>45306</v>
      </c>
      <c r="B457">
        <v>2024</v>
      </c>
      <c r="C457" t="s">
        <v>278</v>
      </c>
      <c r="D457">
        <v>3</v>
      </c>
      <c r="E457">
        <v>3</v>
      </c>
      <c r="F457" t="s">
        <v>46</v>
      </c>
      <c r="G457" s="106">
        <v>0.71875</v>
      </c>
      <c r="H457" t="s">
        <v>80</v>
      </c>
      <c r="I457" t="s">
        <v>230</v>
      </c>
      <c r="J457">
        <v>25</v>
      </c>
      <c r="K457">
        <v>3.57</v>
      </c>
      <c r="L457">
        <v>86</v>
      </c>
      <c r="M457">
        <v>8</v>
      </c>
      <c r="N457" s="58">
        <v>82.2</v>
      </c>
      <c r="O457" s="58">
        <v>63.021999999999998</v>
      </c>
      <c r="P457" s="58">
        <v>23.025200000000002</v>
      </c>
      <c r="Q457" s="58">
        <v>17.6532212885154</v>
      </c>
      <c r="R457" s="58">
        <v>10.275</v>
      </c>
      <c r="S457" s="58">
        <v>0.95581395348837195</v>
      </c>
      <c r="T457" t="s">
        <v>175</v>
      </c>
      <c r="U457" s="11">
        <v>53.2928</v>
      </c>
      <c r="V457"/>
      <c r="W457"/>
    </row>
    <row r="458" spans="1:23" x14ac:dyDescent="0.35">
      <c r="A458" s="40">
        <v>45305</v>
      </c>
      <c r="B458">
        <v>2024</v>
      </c>
      <c r="C458" t="s">
        <v>278</v>
      </c>
      <c r="D458">
        <v>2</v>
      </c>
      <c r="E458">
        <v>2</v>
      </c>
      <c r="F458" t="s">
        <v>45</v>
      </c>
      <c r="G458" s="106">
        <v>0.72222222222222221</v>
      </c>
      <c r="H458" t="s">
        <v>80</v>
      </c>
      <c r="I458" t="s">
        <v>230</v>
      </c>
      <c r="J458">
        <v>30</v>
      </c>
      <c r="K458">
        <v>3.1</v>
      </c>
      <c r="L458">
        <v>81</v>
      </c>
      <c r="M458">
        <v>7</v>
      </c>
      <c r="N458" s="58">
        <v>85.51</v>
      </c>
      <c r="O458" s="58">
        <v>67.447000000000003</v>
      </c>
      <c r="P458" s="58">
        <v>27.5839</v>
      </c>
      <c r="Q458" s="58">
        <v>21.757096774193599</v>
      </c>
      <c r="R458" s="58">
        <v>12.2157142857143</v>
      </c>
      <c r="S458" s="58">
        <v>1.0556790123456801</v>
      </c>
      <c r="T458" t="s">
        <v>175</v>
      </c>
      <c r="U458" s="11">
        <v>53.782200000000003</v>
      </c>
      <c r="V458"/>
      <c r="W458"/>
    </row>
    <row r="459" spans="1:23" x14ac:dyDescent="0.35">
      <c r="A459" s="40">
        <v>45304</v>
      </c>
      <c r="B459">
        <v>2024</v>
      </c>
      <c r="C459" t="s">
        <v>278</v>
      </c>
      <c r="D459">
        <v>2</v>
      </c>
      <c r="E459">
        <v>2</v>
      </c>
      <c r="F459" t="s">
        <v>51</v>
      </c>
      <c r="G459" s="106">
        <v>0.69791666666666663</v>
      </c>
      <c r="H459" t="s">
        <v>82</v>
      </c>
      <c r="I459" t="s">
        <v>230</v>
      </c>
      <c r="J459">
        <v>28</v>
      </c>
      <c r="K459">
        <v>2.1</v>
      </c>
      <c r="L459">
        <v>46</v>
      </c>
      <c r="M459">
        <v>6</v>
      </c>
      <c r="N459" s="58">
        <v>56.12</v>
      </c>
      <c r="O459" s="58">
        <v>45.862000000000002</v>
      </c>
      <c r="P459" s="58">
        <v>26.723800000000001</v>
      </c>
      <c r="Q459" s="58">
        <v>21.839047619047602</v>
      </c>
      <c r="R459" s="58">
        <v>9.3533333333333299</v>
      </c>
      <c r="S459" s="58">
        <v>1.22</v>
      </c>
      <c r="T459" t="s">
        <v>175</v>
      </c>
      <c r="U459" s="11">
        <v>52.832099999999997</v>
      </c>
      <c r="V459"/>
      <c r="W459"/>
    </row>
    <row r="460" spans="1:23" x14ac:dyDescent="0.35">
      <c r="A460" s="40">
        <v>45302</v>
      </c>
      <c r="B460">
        <v>2024</v>
      </c>
      <c r="C460" t="s">
        <v>278</v>
      </c>
      <c r="D460">
        <v>2</v>
      </c>
      <c r="E460">
        <v>2</v>
      </c>
      <c r="F460" t="s">
        <v>49</v>
      </c>
      <c r="G460" s="106">
        <v>0.71875</v>
      </c>
      <c r="H460" t="s">
        <v>174</v>
      </c>
      <c r="I460" t="s">
        <v>231</v>
      </c>
      <c r="J460">
        <v>36</v>
      </c>
      <c r="K460">
        <v>3.27</v>
      </c>
      <c r="L460">
        <v>77</v>
      </c>
      <c r="M460">
        <v>5</v>
      </c>
      <c r="N460" s="58">
        <v>72.16</v>
      </c>
      <c r="O460" s="58">
        <v>54.988999999999997</v>
      </c>
      <c r="P460" s="58">
        <v>22.067299999999999</v>
      </c>
      <c r="Q460" s="58">
        <v>16.8162079510703</v>
      </c>
      <c r="R460" s="58">
        <v>14.432</v>
      </c>
      <c r="S460" s="58">
        <v>0.93714285714285706</v>
      </c>
      <c r="T460" t="s">
        <v>176</v>
      </c>
      <c r="U460" s="11">
        <v>52.772399999999998</v>
      </c>
      <c r="V460"/>
      <c r="W460"/>
    </row>
    <row r="461" spans="1:23" x14ac:dyDescent="0.35">
      <c r="A461" s="40">
        <v>45301</v>
      </c>
      <c r="B461">
        <v>2024</v>
      </c>
      <c r="C461" t="s">
        <v>278</v>
      </c>
      <c r="D461">
        <v>2</v>
      </c>
      <c r="E461">
        <v>2</v>
      </c>
      <c r="F461" t="s">
        <v>48</v>
      </c>
      <c r="G461" s="106">
        <v>0.75694444444444442</v>
      </c>
      <c r="H461" t="s">
        <v>80</v>
      </c>
      <c r="I461" t="s">
        <v>249</v>
      </c>
      <c r="J461">
        <v>39</v>
      </c>
      <c r="K461">
        <v>0.75</v>
      </c>
      <c r="L461">
        <v>9</v>
      </c>
      <c r="M461">
        <v>2</v>
      </c>
      <c r="N461" s="58">
        <v>19.37</v>
      </c>
      <c r="O461" s="58">
        <v>17.363</v>
      </c>
      <c r="P461" s="58">
        <v>25.826699999999999</v>
      </c>
      <c r="Q461" s="58">
        <v>23.150666666666702</v>
      </c>
      <c r="R461" s="58">
        <v>9.6850000000000005</v>
      </c>
      <c r="S461" s="58">
        <v>2.1522222222222198</v>
      </c>
      <c r="T461" t="s">
        <v>175</v>
      </c>
      <c r="U461" s="11">
        <v>53.474299999999999</v>
      </c>
      <c r="V461"/>
      <c r="W461"/>
    </row>
    <row r="462" spans="1:23" x14ac:dyDescent="0.35">
      <c r="A462" s="40">
        <v>45300</v>
      </c>
      <c r="B462">
        <v>2024</v>
      </c>
      <c r="C462" t="s">
        <v>278</v>
      </c>
      <c r="D462">
        <v>2</v>
      </c>
      <c r="E462">
        <v>2</v>
      </c>
      <c r="F462" t="s">
        <v>47</v>
      </c>
      <c r="G462" s="106">
        <v>0.71875</v>
      </c>
      <c r="H462" t="s">
        <v>80</v>
      </c>
      <c r="I462" t="s">
        <v>234</v>
      </c>
      <c r="J462">
        <v>34</v>
      </c>
      <c r="K462">
        <v>2.95</v>
      </c>
      <c r="L462">
        <v>78</v>
      </c>
      <c r="M462">
        <v>5</v>
      </c>
      <c r="N462" s="58">
        <v>66.290000000000006</v>
      </c>
      <c r="O462" s="58">
        <v>48.896000000000001</v>
      </c>
      <c r="P462" s="58">
        <v>22.4712</v>
      </c>
      <c r="Q462" s="58">
        <v>16.5749152542373</v>
      </c>
      <c r="R462" s="58">
        <v>13.257999999999999</v>
      </c>
      <c r="S462" s="58">
        <v>0.84987179487179498</v>
      </c>
      <c r="T462" t="s">
        <v>175</v>
      </c>
      <c r="U462" s="11">
        <v>53.259099999999997</v>
      </c>
      <c r="V462"/>
      <c r="W462"/>
    </row>
    <row r="463" spans="1:23" x14ac:dyDescent="0.35">
      <c r="A463" s="40">
        <v>45299</v>
      </c>
      <c r="B463">
        <v>2024</v>
      </c>
      <c r="C463" t="s">
        <v>278</v>
      </c>
      <c r="D463">
        <v>2</v>
      </c>
      <c r="E463">
        <v>2</v>
      </c>
      <c r="F463" t="s">
        <v>46</v>
      </c>
      <c r="G463" s="106">
        <v>0.72569444444444442</v>
      </c>
      <c r="H463" t="s">
        <v>80</v>
      </c>
      <c r="I463" t="s">
        <v>230</v>
      </c>
      <c r="J463">
        <v>27</v>
      </c>
      <c r="K463">
        <v>2.9</v>
      </c>
      <c r="L463">
        <v>64</v>
      </c>
      <c r="M463">
        <v>6</v>
      </c>
      <c r="N463" s="58">
        <v>76.84</v>
      </c>
      <c r="O463" s="58">
        <v>62.567999999999998</v>
      </c>
      <c r="P463" s="58">
        <v>26.496600000000001</v>
      </c>
      <c r="Q463" s="58">
        <v>21.575172413793101</v>
      </c>
      <c r="R463" s="58">
        <v>12.8066666666667</v>
      </c>
      <c r="S463" s="58">
        <v>1.2006250000000001</v>
      </c>
      <c r="T463" t="s">
        <v>175</v>
      </c>
      <c r="U463" s="11">
        <v>52.522599999999997</v>
      </c>
      <c r="V463"/>
      <c r="W463"/>
    </row>
    <row r="464" spans="1:23" x14ac:dyDescent="0.35">
      <c r="A464" s="40">
        <v>45298</v>
      </c>
      <c r="B464">
        <v>2024</v>
      </c>
      <c r="C464" t="s">
        <v>278</v>
      </c>
      <c r="D464">
        <v>1</v>
      </c>
      <c r="E464">
        <v>1</v>
      </c>
      <c r="F464" t="s">
        <v>45</v>
      </c>
      <c r="G464" s="106">
        <v>0.52777777777777779</v>
      </c>
      <c r="H464" t="s">
        <v>80</v>
      </c>
      <c r="I464" t="s">
        <v>232</v>
      </c>
      <c r="J464">
        <v>19</v>
      </c>
      <c r="K464">
        <v>3.9</v>
      </c>
      <c r="L464">
        <v>72</v>
      </c>
      <c r="M464">
        <v>7</v>
      </c>
      <c r="N464" s="58">
        <v>92.73</v>
      </c>
      <c r="O464" s="58">
        <v>76.674000000000007</v>
      </c>
      <c r="P464" s="58">
        <v>23.776900000000001</v>
      </c>
      <c r="Q464" s="58">
        <v>19.66</v>
      </c>
      <c r="R464" s="58">
        <v>13.247142857142901</v>
      </c>
      <c r="S464" s="58">
        <v>1.2879166666666699</v>
      </c>
      <c r="T464" t="s">
        <v>176</v>
      </c>
      <c r="U464" s="11">
        <v>52.3626</v>
      </c>
      <c r="V464"/>
      <c r="W464"/>
    </row>
    <row r="465" spans="1:23" x14ac:dyDescent="0.35">
      <c r="A465" s="40">
        <v>45297</v>
      </c>
      <c r="B465">
        <v>2024</v>
      </c>
      <c r="C465" t="s">
        <v>278</v>
      </c>
      <c r="D465">
        <v>1</v>
      </c>
      <c r="E465">
        <v>1</v>
      </c>
      <c r="F465" t="s">
        <v>51</v>
      </c>
      <c r="G465" s="106">
        <v>0.63541666666666663</v>
      </c>
      <c r="H465" t="s">
        <v>85</v>
      </c>
      <c r="I465" t="s">
        <v>231</v>
      </c>
      <c r="J465">
        <v>25</v>
      </c>
      <c r="K465">
        <v>5.32</v>
      </c>
      <c r="L465">
        <v>122</v>
      </c>
      <c r="M465">
        <v>10</v>
      </c>
      <c r="N465" s="58">
        <v>135.41</v>
      </c>
      <c r="O465" s="58">
        <v>108.20399999999999</v>
      </c>
      <c r="P465" s="58">
        <v>25.452999999999999</v>
      </c>
      <c r="Q465" s="58">
        <v>20.339097744360899</v>
      </c>
      <c r="R465" s="58">
        <v>13.541</v>
      </c>
      <c r="S465" s="58">
        <v>1.1099180327868901</v>
      </c>
      <c r="T465" t="s">
        <v>175</v>
      </c>
      <c r="U465" s="11">
        <v>52.686999999999998</v>
      </c>
      <c r="V465"/>
      <c r="W465"/>
    </row>
    <row r="466" spans="1:23" x14ac:dyDescent="0.35">
      <c r="A466" s="40">
        <v>45296</v>
      </c>
      <c r="B466">
        <v>2024</v>
      </c>
      <c r="C466" t="s">
        <v>278</v>
      </c>
      <c r="D466">
        <v>1</v>
      </c>
      <c r="E466">
        <v>1</v>
      </c>
      <c r="F466" t="s">
        <v>50</v>
      </c>
      <c r="G466" s="106">
        <v>0.79861111111111116</v>
      </c>
      <c r="H466" t="s">
        <v>80</v>
      </c>
      <c r="I466" t="s">
        <v>230</v>
      </c>
      <c r="J466">
        <v>25</v>
      </c>
      <c r="K466">
        <v>2.63</v>
      </c>
      <c r="L466">
        <v>57</v>
      </c>
      <c r="M466">
        <v>4</v>
      </c>
      <c r="N466" s="58">
        <v>44</v>
      </c>
      <c r="O466" s="58">
        <v>31.289000000000001</v>
      </c>
      <c r="P466" s="58">
        <v>16.73</v>
      </c>
      <c r="Q466" s="58">
        <v>11.896958174904899</v>
      </c>
      <c r="R466" s="58">
        <v>11</v>
      </c>
      <c r="S466" s="58">
        <v>0.77192982456140402</v>
      </c>
      <c r="T466" t="s">
        <v>176</v>
      </c>
      <c r="U466" s="11">
        <v>51.182400000000001</v>
      </c>
      <c r="V466"/>
      <c r="W466"/>
    </row>
    <row r="467" spans="1:23" x14ac:dyDescent="0.35">
      <c r="A467" s="40">
        <v>45294</v>
      </c>
      <c r="B467">
        <v>2024</v>
      </c>
      <c r="C467" t="s">
        <v>278</v>
      </c>
      <c r="D467">
        <v>1</v>
      </c>
      <c r="E467">
        <v>1</v>
      </c>
      <c r="F467" t="s">
        <v>48</v>
      </c>
      <c r="G467" s="106">
        <v>0.71527777777777779</v>
      </c>
      <c r="H467" t="s">
        <v>80</v>
      </c>
      <c r="I467" t="s">
        <v>231</v>
      </c>
      <c r="J467">
        <v>34</v>
      </c>
      <c r="K467">
        <v>3.72</v>
      </c>
      <c r="L467">
        <v>58</v>
      </c>
      <c r="M467">
        <v>9</v>
      </c>
      <c r="N467" s="58">
        <v>92.01</v>
      </c>
      <c r="O467" s="58">
        <v>79.075999999999993</v>
      </c>
      <c r="P467" s="58">
        <v>24.733899999999998</v>
      </c>
      <c r="Q467" s="58">
        <v>21.2569892473118</v>
      </c>
      <c r="R467" s="58">
        <v>10.223333333333301</v>
      </c>
      <c r="S467" s="58">
        <v>1.58637931034483</v>
      </c>
      <c r="T467" t="s">
        <v>176</v>
      </c>
      <c r="U467" s="11">
        <v>51.220100000000002</v>
      </c>
      <c r="V467"/>
      <c r="W467"/>
    </row>
    <row r="468" spans="1:23" x14ac:dyDescent="0.35">
      <c r="A468" s="40">
        <v>45293</v>
      </c>
      <c r="B468">
        <v>2024</v>
      </c>
      <c r="C468" t="s">
        <v>278</v>
      </c>
      <c r="D468">
        <v>1</v>
      </c>
      <c r="E468">
        <v>1</v>
      </c>
      <c r="F468" t="s">
        <v>47</v>
      </c>
      <c r="G468" s="106">
        <v>0.70138888888888884</v>
      </c>
      <c r="H468" t="s">
        <v>85</v>
      </c>
      <c r="I468" t="s">
        <v>230</v>
      </c>
      <c r="J468">
        <v>28</v>
      </c>
      <c r="K468">
        <v>3.55</v>
      </c>
      <c r="L468">
        <v>91</v>
      </c>
      <c r="M468">
        <v>7</v>
      </c>
      <c r="N468" s="58">
        <v>83.03</v>
      </c>
      <c r="O468" s="58">
        <v>62.737000000000002</v>
      </c>
      <c r="P468" s="58">
        <v>23.3887</v>
      </c>
      <c r="Q468" s="58">
        <v>17.672394366197199</v>
      </c>
      <c r="R468" s="58">
        <v>11.861428571428601</v>
      </c>
      <c r="S468" s="58">
        <v>0.91241758241758197</v>
      </c>
      <c r="T468" t="s">
        <v>176</v>
      </c>
      <c r="U468" s="11">
        <v>51.245600000000003</v>
      </c>
      <c r="V468"/>
      <c r="W468"/>
    </row>
    <row r="469" spans="1:23" x14ac:dyDescent="0.35">
      <c r="A469" s="40">
        <v>45292</v>
      </c>
      <c r="B469">
        <v>2024</v>
      </c>
      <c r="C469" t="s">
        <v>278</v>
      </c>
      <c r="D469">
        <v>1</v>
      </c>
      <c r="E469">
        <v>1</v>
      </c>
      <c r="F469" t="s">
        <v>46</v>
      </c>
      <c r="G469" s="106">
        <v>0.77777777777777779</v>
      </c>
      <c r="H469" t="s">
        <v>85</v>
      </c>
      <c r="I469" t="s">
        <v>231</v>
      </c>
      <c r="J469">
        <v>27</v>
      </c>
      <c r="K469">
        <v>3.35</v>
      </c>
      <c r="L469">
        <v>83</v>
      </c>
      <c r="M469">
        <v>7</v>
      </c>
      <c r="N469" s="58">
        <v>62</v>
      </c>
      <c r="O469" s="58">
        <v>43.491</v>
      </c>
      <c r="P469" s="58">
        <v>18.5075</v>
      </c>
      <c r="Q469" s="58">
        <v>12.982388059701499</v>
      </c>
      <c r="R469" s="58">
        <v>8.8571428571428594</v>
      </c>
      <c r="S469" s="58">
        <v>0.74698795180722899</v>
      </c>
      <c r="T469" t="s">
        <v>176</v>
      </c>
      <c r="U469" s="11">
        <v>50.323</v>
      </c>
      <c r="V469"/>
      <c r="W469"/>
    </row>
    <row r="470" spans="1:23" x14ac:dyDescent="0.35">
      <c r="A470" s="40">
        <v>45289</v>
      </c>
      <c r="B470">
        <v>2023</v>
      </c>
      <c r="C470" t="s">
        <v>327</v>
      </c>
      <c r="D470">
        <v>14</v>
      </c>
      <c r="E470">
        <v>53</v>
      </c>
      <c r="F470" t="s">
        <v>50</v>
      </c>
      <c r="G470" s="106">
        <v>0.72569444444444442</v>
      </c>
      <c r="H470" t="s">
        <v>80</v>
      </c>
      <c r="I470" t="s">
        <v>276</v>
      </c>
      <c r="J470">
        <v>36</v>
      </c>
      <c r="K470">
        <v>6.8</v>
      </c>
      <c r="L470">
        <v>150</v>
      </c>
      <c r="M470">
        <v>14</v>
      </c>
      <c r="N470" s="58">
        <v>178.29</v>
      </c>
      <c r="O470" s="58">
        <v>144.84</v>
      </c>
      <c r="P470" s="58">
        <v>26.219100000000001</v>
      </c>
      <c r="Q470" s="58">
        <v>21.3</v>
      </c>
      <c r="R470" s="58">
        <v>12.734999999999999</v>
      </c>
      <c r="S470" s="58">
        <v>1.1886000000000001</v>
      </c>
      <c r="T470" t="s">
        <v>176</v>
      </c>
      <c r="U470" s="11">
        <v>50.498600000000003</v>
      </c>
      <c r="V470"/>
      <c r="W470"/>
    </row>
    <row r="471" spans="1:23" x14ac:dyDescent="0.35">
      <c r="A471" s="40">
        <v>45287</v>
      </c>
      <c r="B471">
        <v>2023</v>
      </c>
      <c r="C471" t="s">
        <v>327</v>
      </c>
      <c r="D471">
        <v>14</v>
      </c>
      <c r="E471">
        <v>53</v>
      </c>
      <c r="F471" t="s">
        <v>48</v>
      </c>
      <c r="G471" s="106">
        <v>0.72916666666666663</v>
      </c>
      <c r="H471" t="s">
        <v>80</v>
      </c>
      <c r="I471" t="s">
        <v>276</v>
      </c>
      <c r="J471">
        <v>39</v>
      </c>
      <c r="K471">
        <v>4.25</v>
      </c>
      <c r="L471">
        <v>80</v>
      </c>
      <c r="M471">
        <v>8</v>
      </c>
      <c r="N471" s="58">
        <v>99.56</v>
      </c>
      <c r="O471" s="58">
        <v>81.72</v>
      </c>
      <c r="P471" s="58">
        <v>23.425899999999999</v>
      </c>
      <c r="Q471" s="58">
        <v>19.228235294117599</v>
      </c>
      <c r="R471" s="58">
        <v>12.445</v>
      </c>
      <c r="S471" s="58">
        <v>1.2444999999999999</v>
      </c>
      <c r="T471" t="s">
        <v>176</v>
      </c>
      <c r="U471" s="11">
        <v>50.261800000000001</v>
      </c>
      <c r="V471"/>
      <c r="W471"/>
    </row>
    <row r="472" spans="1:23" x14ac:dyDescent="0.35">
      <c r="A472" s="40">
        <v>45284</v>
      </c>
      <c r="B472">
        <v>2023</v>
      </c>
      <c r="C472" t="s">
        <v>327</v>
      </c>
      <c r="D472">
        <v>13</v>
      </c>
      <c r="E472">
        <v>52</v>
      </c>
      <c r="F472" t="s">
        <v>45</v>
      </c>
      <c r="G472" s="106">
        <v>0.625</v>
      </c>
      <c r="H472" t="s">
        <v>80</v>
      </c>
      <c r="I472" t="s">
        <v>231</v>
      </c>
      <c r="J472">
        <v>43</v>
      </c>
      <c r="K472">
        <v>1.43</v>
      </c>
      <c r="L472">
        <v>30</v>
      </c>
      <c r="M472">
        <v>2</v>
      </c>
      <c r="N472" s="58">
        <v>26.08</v>
      </c>
      <c r="O472" s="58">
        <v>19.39</v>
      </c>
      <c r="P472" s="58">
        <v>18.2378</v>
      </c>
      <c r="Q472" s="58">
        <v>13.559440559440599</v>
      </c>
      <c r="R472" s="58">
        <v>13.04</v>
      </c>
      <c r="S472" s="58">
        <v>0.86933333333333296</v>
      </c>
      <c r="T472" t="s">
        <v>176</v>
      </c>
      <c r="U472" s="11">
        <v>50.786900000000003</v>
      </c>
      <c r="V472"/>
      <c r="W472"/>
    </row>
    <row r="473" spans="1:23" x14ac:dyDescent="0.35">
      <c r="A473" s="40">
        <v>45283</v>
      </c>
      <c r="B473">
        <v>2023</v>
      </c>
      <c r="C473" t="s">
        <v>327</v>
      </c>
      <c r="D473">
        <v>13</v>
      </c>
      <c r="E473">
        <v>52</v>
      </c>
      <c r="F473" t="s">
        <v>51</v>
      </c>
      <c r="G473" s="106">
        <v>0.75</v>
      </c>
      <c r="H473" t="s">
        <v>80</v>
      </c>
      <c r="I473" t="s">
        <v>249</v>
      </c>
      <c r="J473">
        <v>32</v>
      </c>
      <c r="K473">
        <v>3.82</v>
      </c>
      <c r="L473">
        <v>75</v>
      </c>
      <c r="M473">
        <v>7</v>
      </c>
      <c r="N473" s="58">
        <v>83.1</v>
      </c>
      <c r="O473" s="58">
        <v>66.375</v>
      </c>
      <c r="P473" s="58">
        <v>21.753900000000002</v>
      </c>
      <c r="Q473" s="58">
        <v>17.375654450261798</v>
      </c>
      <c r="R473" s="58">
        <v>11.8714285714286</v>
      </c>
      <c r="S473" s="58">
        <v>1.1080000000000001</v>
      </c>
      <c r="T473" t="s">
        <v>175</v>
      </c>
      <c r="U473" s="11">
        <v>51.285699999999999</v>
      </c>
      <c r="V473"/>
      <c r="W473"/>
    </row>
    <row r="474" spans="1:23" x14ac:dyDescent="0.35">
      <c r="A474" s="40">
        <v>45282</v>
      </c>
      <c r="B474">
        <v>2023</v>
      </c>
      <c r="C474" t="s">
        <v>327</v>
      </c>
      <c r="D474">
        <v>13</v>
      </c>
      <c r="E474">
        <v>52</v>
      </c>
      <c r="F474" t="s">
        <v>50</v>
      </c>
      <c r="G474" s="106">
        <v>0.74305555555555558</v>
      </c>
      <c r="H474" t="s">
        <v>80</v>
      </c>
      <c r="I474" t="s">
        <v>230</v>
      </c>
      <c r="J474">
        <v>25</v>
      </c>
      <c r="K474">
        <v>4.9000000000000004</v>
      </c>
      <c r="L474">
        <v>92</v>
      </c>
      <c r="M474">
        <v>10</v>
      </c>
      <c r="N474" s="58">
        <v>123.04</v>
      </c>
      <c r="O474" s="58">
        <v>102.524</v>
      </c>
      <c r="P474" s="58">
        <v>25.110199999999999</v>
      </c>
      <c r="Q474" s="58">
        <v>20.923265306122399</v>
      </c>
      <c r="R474" s="58">
        <v>12.304</v>
      </c>
      <c r="S474" s="58">
        <v>1.33739130434783</v>
      </c>
      <c r="T474" t="s">
        <v>176</v>
      </c>
      <c r="U474" s="11">
        <v>50.362299999999998</v>
      </c>
      <c r="V474"/>
      <c r="W474"/>
    </row>
    <row r="475" spans="1:23" x14ac:dyDescent="0.35">
      <c r="A475" s="40">
        <v>45278</v>
      </c>
      <c r="B475">
        <v>2023</v>
      </c>
      <c r="C475" t="s">
        <v>327</v>
      </c>
      <c r="D475">
        <v>13</v>
      </c>
      <c r="E475">
        <v>52</v>
      </c>
      <c r="F475" t="s">
        <v>46</v>
      </c>
      <c r="G475" s="106">
        <v>0.75694444444444442</v>
      </c>
      <c r="H475" t="s">
        <v>80</v>
      </c>
      <c r="I475" t="s">
        <v>245</v>
      </c>
      <c r="J475">
        <v>52</v>
      </c>
      <c r="K475">
        <v>4.3499999999999996</v>
      </c>
      <c r="L475">
        <v>65</v>
      </c>
      <c r="M475">
        <v>8</v>
      </c>
      <c r="N475" s="58">
        <v>87.76</v>
      </c>
      <c r="O475" s="58">
        <v>73.265000000000001</v>
      </c>
      <c r="P475" s="58">
        <v>20.174700000000001</v>
      </c>
      <c r="Q475" s="58">
        <v>16.8425287356322</v>
      </c>
      <c r="R475" s="58">
        <v>10.97</v>
      </c>
      <c r="S475" s="58">
        <v>1.35015384615385</v>
      </c>
      <c r="T475" t="s">
        <v>175</v>
      </c>
      <c r="U475" s="11">
        <v>52.011299999999999</v>
      </c>
      <c r="V475"/>
      <c r="W475"/>
    </row>
    <row r="476" spans="1:23" x14ac:dyDescent="0.35">
      <c r="A476" s="40">
        <v>45276</v>
      </c>
      <c r="B476">
        <v>2023</v>
      </c>
      <c r="C476" t="s">
        <v>327</v>
      </c>
      <c r="D476">
        <v>12</v>
      </c>
      <c r="E476">
        <v>51</v>
      </c>
      <c r="F476" t="s">
        <v>51</v>
      </c>
      <c r="G476" s="106">
        <v>0.72222222222222221</v>
      </c>
      <c r="H476" t="s">
        <v>174</v>
      </c>
      <c r="I476" t="s">
        <v>230</v>
      </c>
      <c r="J476">
        <v>34</v>
      </c>
      <c r="K476">
        <v>3.13</v>
      </c>
      <c r="L476">
        <v>65</v>
      </c>
      <c r="M476">
        <v>6</v>
      </c>
      <c r="N476" s="58">
        <v>64.72</v>
      </c>
      <c r="O476" s="58">
        <v>50.225000000000001</v>
      </c>
      <c r="P476" s="58">
        <v>20.677299999999999</v>
      </c>
      <c r="Q476" s="58">
        <v>16.0463258785942</v>
      </c>
      <c r="R476" s="58">
        <v>10.786666666666701</v>
      </c>
      <c r="S476" s="58">
        <v>0.99569230769230799</v>
      </c>
      <c r="T476" t="s">
        <v>175</v>
      </c>
      <c r="U476" s="11">
        <v>51.646799999999999</v>
      </c>
      <c r="V476"/>
      <c r="W476"/>
    </row>
    <row r="477" spans="1:23" x14ac:dyDescent="0.35">
      <c r="A477" s="40">
        <v>45274</v>
      </c>
      <c r="B477">
        <v>2023</v>
      </c>
      <c r="C477" t="s">
        <v>327</v>
      </c>
      <c r="D477">
        <v>12</v>
      </c>
      <c r="E477">
        <v>51</v>
      </c>
      <c r="F477" t="s">
        <v>49</v>
      </c>
      <c r="G477" s="106">
        <v>0.71180555555555558</v>
      </c>
      <c r="H477" t="s">
        <v>80</v>
      </c>
      <c r="I477" t="s">
        <v>249</v>
      </c>
      <c r="J477">
        <v>28</v>
      </c>
      <c r="K477">
        <v>6.25</v>
      </c>
      <c r="L477">
        <v>144</v>
      </c>
      <c r="M477">
        <v>12</v>
      </c>
      <c r="N477" s="58">
        <v>166.66</v>
      </c>
      <c r="O477" s="58">
        <v>134.548</v>
      </c>
      <c r="P477" s="58">
        <v>26.665600000000001</v>
      </c>
      <c r="Q477" s="58">
        <v>21.52768</v>
      </c>
      <c r="R477" s="58">
        <v>13.8883333333333</v>
      </c>
      <c r="S477" s="58">
        <v>1.15736111111111</v>
      </c>
      <c r="T477" t="s">
        <v>176</v>
      </c>
      <c r="U477" s="11">
        <v>52.094000000000001</v>
      </c>
      <c r="V477"/>
      <c r="W477"/>
    </row>
    <row r="478" spans="1:23" x14ac:dyDescent="0.35">
      <c r="A478" s="40">
        <v>45269</v>
      </c>
      <c r="B478">
        <v>2023</v>
      </c>
      <c r="C478" t="s">
        <v>327</v>
      </c>
      <c r="D478">
        <v>11</v>
      </c>
      <c r="E478">
        <v>50</v>
      </c>
      <c r="F478" t="s">
        <v>51</v>
      </c>
      <c r="G478" s="106">
        <v>0.73611111111111116</v>
      </c>
      <c r="H478" t="s">
        <v>82</v>
      </c>
      <c r="I478" t="s">
        <v>249</v>
      </c>
      <c r="J478">
        <v>34</v>
      </c>
      <c r="K478">
        <v>2.25</v>
      </c>
      <c r="L478">
        <v>36</v>
      </c>
      <c r="M478">
        <v>7</v>
      </c>
      <c r="N478" s="58">
        <v>38.44</v>
      </c>
      <c r="O478" s="58">
        <v>30.411999999999999</v>
      </c>
      <c r="P478" s="58">
        <v>17.084399999999999</v>
      </c>
      <c r="Q478" s="58">
        <v>13.516444444444399</v>
      </c>
      <c r="R478" s="58">
        <v>5.4914285714285702</v>
      </c>
      <c r="S478" s="58">
        <v>1.0677777777777799</v>
      </c>
      <c r="T478" t="s">
        <v>175</v>
      </c>
      <c r="U478" s="11">
        <v>52.781599999999997</v>
      </c>
      <c r="V478"/>
      <c r="W478"/>
    </row>
    <row r="479" spans="1:23" x14ac:dyDescent="0.35">
      <c r="A479" s="40">
        <v>45268</v>
      </c>
      <c r="B479">
        <v>2023</v>
      </c>
      <c r="C479" t="s">
        <v>327</v>
      </c>
      <c r="D479">
        <v>11</v>
      </c>
      <c r="E479">
        <v>50</v>
      </c>
      <c r="F479" t="s">
        <v>50</v>
      </c>
      <c r="G479" s="106">
        <v>0.72916666666666663</v>
      </c>
      <c r="H479" t="s">
        <v>85</v>
      </c>
      <c r="I479" t="s">
        <v>249</v>
      </c>
      <c r="J479">
        <v>27</v>
      </c>
      <c r="K479">
        <v>3.08</v>
      </c>
      <c r="L479">
        <v>74</v>
      </c>
      <c r="M479">
        <v>6</v>
      </c>
      <c r="N479" s="58">
        <v>54.34</v>
      </c>
      <c r="O479" s="58">
        <v>37.838000000000001</v>
      </c>
      <c r="P479" s="58">
        <v>17.642900000000001</v>
      </c>
      <c r="Q479" s="58">
        <v>12.2850649350649</v>
      </c>
      <c r="R479" s="58">
        <v>9.0566666666666702</v>
      </c>
      <c r="S479" s="58">
        <v>0.73432432432432404</v>
      </c>
      <c r="T479" t="s">
        <v>176</v>
      </c>
      <c r="U479" s="11">
        <v>53.6342</v>
      </c>
      <c r="V479"/>
      <c r="W479"/>
    </row>
    <row r="480" spans="1:23" x14ac:dyDescent="0.35">
      <c r="A480" s="40">
        <v>45267</v>
      </c>
      <c r="B480">
        <v>2023</v>
      </c>
      <c r="C480" t="s">
        <v>327</v>
      </c>
      <c r="D480">
        <v>11</v>
      </c>
      <c r="E480">
        <v>50</v>
      </c>
      <c r="F480" t="s">
        <v>49</v>
      </c>
      <c r="G480" s="106">
        <v>0.72569444444444442</v>
      </c>
      <c r="H480" t="s">
        <v>80</v>
      </c>
      <c r="I480" t="s">
        <v>230</v>
      </c>
      <c r="J480">
        <v>16</v>
      </c>
      <c r="K480">
        <v>4.25</v>
      </c>
      <c r="L480">
        <v>102</v>
      </c>
      <c r="M480">
        <v>9</v>
      </c>
      <c r="N480" s="58">
        <v>112.88</v>
      </c>
      <c r="O480" s="58">
        <v>90.134</v>
      </c>
      <c r="P480" s="58">
        <v>26.56</v>
      </c>
      <c r="Q480" s="58">
        <v>21.207999999999998</v>
      </c>
      <c r="R480" s="58">
        <v>12.5422222222222</v>
      </c>
      <c r="S480" s="58">
        <v>1.10666666666667</v>
      </c>
      <c r="T480" t="s">
        <v>176</v>
      </c>
      <c r="U480" s="11">
        <v>53.0304</v>
      </c>
      <c r="V480"/>
      <c r="W480"/>
    </row>
    <row r="481" spans="1:23" x14ac:dyDescent="0.35">
      <c r="A481" s="40">
        <v>45266</v>
      </c>
      <c r="B481">
        <v>2023</v>
      </c>
      <c r="C481" t="s">
        <v>327</v>
      </c>
      <c r="D481">
        <v>11</v>
      </c>
      <c r="E481">
        <v>50</v>
      </c>
      <c r="F481" t="s">
        <v>48</v>
      </c>
      <c r="G481" s="106">
        <v>0.71180555555555558</v>
      </c>
      <c r="H481" t="s">
        <v>85</v>
      </c>
      <c r="I481" t="s">
        <v>230</v>
      </c>
      <c r="J481">
        <v>21</v>
      </c>
      <c r="K481">
        <v>3.85</v>
      </c>
      <c r="L481">
        <v>80</v>
      </c>
      <c r="M481">
        <v>7</v>
      </c>
      <c r="N481" s="58">
        <v>76.150000000000006</v>
      </c>
      <c r="O481" s="58">
        <v>58.31</v>
      </c>
      <c r="P481" s="58">
        <v>19.779199999999999</v>
      </c>
      <c r="Q481" s="58">
        <v>15.1454545454545</v>
      </c>
      <c r="R481" s="58">
        <v>10.8785714285714</v>
      </c>
      <c r="S481" s="58">
        <v>0.95187500000000003</v>
      </c>
      <c r="T481" t="s">
        <v>175</v>
      </c>
      <c r="U481" s="11">
        <v>53.332000000000001</v>
      </c>
      <c r="V481"/>
      <c r="W481"/>
    </row>
    <row r="482" spans="1:23" x14ac:dyDescent="0.35">
      <c r="A482" s="40">
        <v>45260</v>
      </c>
      <c r="B482">
        <v>2023</v>
      </c>
      <c r="C482" t="s">
        <v>327</v>
      </c>
      <c r="D482">
        <v>10</v>
      </c>
      <c r="E482">
        <v>49</v>
      </c>
      <c r="F482" t="s">
        <v>49</v>
      </c>
      <c r="G482" s="106">
        <v>0.71180555555555558</v>
      </c>
      <c r="H482" t="s">
        <v>85</v>
      </c>
      <c r="I482" t="s">
        <v>249</v>
      </c>
      <c r="J482">
        <v>37</v>
      </c>
      <c r="K482">
        <v>4.0199999999999996</v>
      </c>
      <c r="L482">
        <v>99</v>
      </c>
      <c r="M482">
        <v>8</v>
      </c>
      <c r="N482" s="58">
        <v>68.13</v>
      </c>
      <c r="O482" s="58">
        <v>46.052999999999997</v>
      </c>
      <c r="P482" s="58">
        <v>16.947800000000001</v>
      </c>
      <c r="Q482" s="58">
        <v>11.4559701492537</v>
      </c>
      <c r="R482" s="58">
        <v>8.5162499999999994</v>
      </c>
      <c r="S482" s="58">
        <v>0.68818181818181801</v>
      </c>
      <c r="T482" t="s">
        <v>175</v>
      </c>
      <c r="U482" s="11">
        <v>57.529200000000003</v>
      </c>
      <c r="V482"/>
      <c r="W482"/>
    </row>
    <row r="483" spans="1:23" x14ac:dyDescent="0.35">
      <c r="A483" s="40">
        <v>45258</v>
      </c>
      <c r="B483">
        <v>2023</v>
      </c>
      <c r="C483" t="s">
        <v>327</v>
      </c>
      <c r="D483">
        <v>10</v>
      </c>
      <c r="E483">
        <v>49</v>
      </c>
      <c r="F483" t="s">
        <v>47</v>
      </c>
      <c r="G483" s="106">
        <v>0.71527777777777779</v>
      </c>
      <c r="H483" t="s">
        <v>80</v>
      </c>
      <c r="I483" t="s">
        <v>230</v>
      </c>
      <c r="J483">
        <v>30</v>
      </c>
      <c r="K483">
        <v>4.97</v>
      </c>
      <c r="L483">
        <v>142</v>
      </c>
      <c r="M483">
        <v>8</v>
      </c>
      <c r="N483" s="58">
        <v>153.41</v>
      </c>
      <c r="O483" s="58">
        <v>121.744</v>
      </c>
      <c r="P483" s="58">
        <v>30.8672</v>
      </c>
      <c r="Q483" s="58">
        <v>24.495774647887298</v>
      </c>
      <c r="R483" s="58">
        <v>19.17625</v>
      </c>
      <c r="S483" s="58">
        <v>1.08035211267606</v>
      </c>
      <c r="T483" t="s">
        <v>176</v>
      </c>
      <c r="U483" s="11">
        <v>59.161900000000003</v>
      </c>
      <c r="V483"/>
      <c r="W483"/>
    </row>
    <row r="484" spans="1:23" x14ac:dyDescent="0.35">
      <c r="A484" s="40">
        <v>45257</v>
      </c>
      <c r="B484">
        <v>2023</v>
      </c>
      <c r="C484" t="s">
        <v>327</v>
      </c>
      <c r="D484">
        <v>10</v>
      </c>
      <c r="E484">
        <v>49</v>
      </c>
      <c r="F484" t="s">
        <v>46</v>
      </c>
      <c r="G484" s="106">
        <v>0.72222222222222221</v>
      </c>
      <c r="H484" t="s">
        <v>80</v>
      </c>
      <c r="I484" t="s">
        <v>231</v>
      </c>
      <c r="J484">
        <v>43</v>
      </c>
      <c r="K484">
        <v>4.13</v>
      </c>
      <c r="L484">
        <v>108</v>
      </c>
      <c r="M484">
        <v>9</v>
      </c>
      <c r="N484" s="58">
        <v>112.21</v>
      </c>
      <c r="O484" s="58">
        <v>88.126000000000005</v>
      </c>
      <c r="P484" s="58">
        <v>27.169499999999999</v>
      </c>
      <c r="Q484" s="58">
        <v>21.338014527845001</v>
      </c>
      <c r="R484" s="58">
        <v>12.467777777777799</v>
      </c>
      <c r="S484" s="58">
        <v>1.03898148148148</v>
      </c>
      <c r="T484" t="s">
        <v>176</v>
      </c>
      <c r="U484" s="11">
        <v>58.636200000000002</v>
      </c>
      <c r="V484"/>
      <c r="W484"/>
    </row>
    <row r="485" spans="1:23" x14ac:dyDescent="0.35">
      <c r="A485" s="40">
        <v>45254</v>
      </c>
      <c r="B485">
        <v>2023</v>
      </c>
      <c r="C485" t="s">
        <v>327</v>
      </c>
      <c r="D485">
        <v>9</v>
      </c>
      <c r="E485">
        <v>48</v>
      </c>
      <c r="F485" t="s">
        <v>50</v>
      </c>
      <c r="G485" s="106">
        <v>0.73611111111111116</v>
      </c>
      <c r="H485" t="s">
        <v>80</v>
      </c>
      <c r="I485" t="s">
        <v>230</v>
      </c>
      <c r="J485">
        <v>25</v>
      </c>
      <c r="K485">
        <v>6.55</v>
      </c>
      <c r="L485">
        <v>158</v>
      </c>
      <c r="M485">
        <v>15</v>
      </c>
      <c r="N485" s="58">
        <v>178.75</v>
      </c>
      <c r="O485" s="58">
        <v>143.51599999999999</v>
      </c>
      <c r="P485" s="58">
        <v>27.290099999999999</v>
      </c>
      <c r="Q485" s="58">
        <v>21.910839694656499</v>
      </c>
      <c r="R485" s="58">
        <v>11.9166666666667</v>
      </c>
      <c r="S485" s="58">
        <v>1.13132911392405</v>
      </c>
      <c r="T485" t="s">
        <v>176</v>
      </c>
      <c r="U485" s="11">
        <v>58.288800000000002</v>
      </c>
      <c r="V485"/>
      <c r="W485"/>
    </row>
    <row r="486" spans="1:23" x14ac:dyDescent="0.35">
      <c r="A486" s="40">
        <v>45252</v>
      </c>
      <c r="B486">
        <v>2023</v>
      </c>
      <c r="C486" t="s">
        <v>327</v>
      </c>
      <c r="D486">
        <v>9</v>
      </c>
      <c r="E486">
        <v>48</v>
      </c>
      <c r="F486" t="s">
        <v>48</v>
      </c>
      <c r="G486" s="106">
        <v>0.71180555555555558</v>
      </c>
      <c r="H486" t="s">
        <v>80</v>
      </c>
      <c r="I486" t="s">
        <v>236</v>
      </c>
      <c r="J486">
        <v>37</v>
      </c>
      <c r="K486">
        <v>1.83</v>
      </c>
      <c r="L486">
        <v>38</v>
      </c>
      <c r="M486">
        <v>3</v>
      </c>
      <c r="N486" s="58">
        <v>32.18</v>
      </c>
      <c r="O486" s="58">
        <v>23.706</v>
      </c>
      <c r="P486" s="58">
        <v>17.584700000000002</v>
      </c>
      <c r="Q486" s="58">
        <v>12.954098360655699</v>
      </c>
      <c r="R486" s="58">
        <v>10.7266666666667</v>
      </c>
      <c r="S486" s="58">
        <v>0.84684210526315795</v>
      </c>
      <c r="T486" t="s">
        <v>176</v>
      </c>
      <c r="U486" s="11">
        <v>59.895099999999999</v>
      </c>
      <c r="V486"/>
      <c r="W486"/>
    </row>
    <row r="487" spans="1:23" x14ac:dyDescent="0.35">
      <c r="A487" s="40">
        <v>45251</v>
      </c>
      <c r="B487">
        <v>2023</v>
      </c>
      <c r="C487" t="s">
        <v>327</v>
      </c>
      <c r="D487">
        <v>9</v>
      </c>
      <c r="E487">
        <v>48</v>
      </c>
      <c r="F487" t="s">
        <v>47</v>
      </c>
      <c r="G487" s="106">
        <v>0.73958333333333337</v>
      </c>
      <c r="H487" t="s">
        <v>82</v>
      </c>
      <c r="I487" t="s">
        <v>231</v>
      </c>
      <c r="J487">
        <v>30</v>
      </c>
      <c r="K487">
        <v>4.0199999999999996</v>
      </c>
      <c r="L487">
        <v>71</v>
      </c>
      <c r="M487">
        <v>9</v>
      </c>
      <c r="N487" s="58">
        <v>73.5</v>
      </c>
      <c r="O487" s="58">
        <v>57.667000000000002</v>
      </c>
      <c r="P487" s="58">
        <v>18.2836</v>
      </c>
      <c r="Q487" s="58">
        <v>14.345024875621901</v>
      </c>
      <c r="R487" s="58">
        <v>8.1666666666666607</v>
      </c>
      <c r="S487" s="58">
        <v>1.03521126760563</v>
      </c>
      <c r="T487" t="s">
        <v>175</v>
      </c>
      <c r="U487" s="11">
        <v>60.156199999999998</v>
      </c>
      <c r="V487"/>
      <c r="W487"/>
    </row>
    <row r="488" spans="1:23" x14ac:dyDescent="0.35">
      <c r="A488" s="40">
        <v>45250</v>
      </c>
      <c r="B488">
        <v>2023</v>
      </c>
      <c r="C488" t="s">
        <v>327</v>
      </c>
      <c r="D488">
        <v>9</v>
      </c>
      <c r="E488">
        <v>48</v>
      </c>
      <c r="F488" t="s">
        <v>46</v>
      </c>
      <c r="G488" s="106">
        <v>0.72569444444444442</v>
      </c>
      <c r="H488" t="s">
        <v>174</v>
      </c>
      <c r="I488" t="s">
        <v>230</v>
      </c>
      <c r="J488">
        <v>28</v>
      </c>
      <c r="K488">
        <v>5.05</v>
      </c>
      <c r="L488">
        <v>137</v>
      </c>
      <c r="M488">
        <v>10</v>
      </c>
      <c r="N488" s="58">
        <v>113.41</v>
      </c>
      <c r="O488" s="58">
        <v>82.858999999999995</v>
      </c>
      <c r="P488" s="58">
        <v>22.4574</v>
      </c>
      <c r="Q488" s="58">
        <v>16.4077227722772</v>
      </c>
      <c r="R488" s="58">
        <v>11.340999999999999</v>
      </c>
      <c r="S488" s="58">
        <v>0.82781021897810203</v>
      </c>
      <c r="T488" t="s">
        <v>175</v>
      </c>
      <c r="U488" s="11">
        <v>60.257399999999997</v>
      </c>
      <c r="V488"/>
      <c r="W488"/>
    </row>
    <row r="489" spans="1:23" x14ac:dyDescent="0.35">
      <c r="A489" s="40">
        <v>45247</v>
      </c>
      <c r="B489">
        <v>2023</v>
      </c>
      <c r="C489" t="s">
        <v>327</v>
      </c>
      <c r="D489">
        <v>8</v>
      </c>
      <c r="E489">
        <v>47</v>
      </c>
      <c r="F489" t="s">
        <v>50</v>
      </c>
      <c r="G489" s="106">
        <v>0.72916666666666663</v>
      </c>
      <c r="H489" t="s">
        <v>80</v>
      </c>
      <c r="I489" t="s">
        <v>231</v>
      </c>
      <c r="J489">
        <v>55</v>
      </c>
      <c r="K489">
        <v>0.87</v>
      </c>
      <c r="L489">
        <v>17</v>
      </c>
      <c r="M489">
        <v>2</v>
      </c>
      <c r="N489" s="58">
        <v>16.77</v>
      </c>
      <c r="O489" s="58">
        <v>12.978999999999999</v>
      </c>
      <c r="P489" s="58">
        <v>19.2759</v>
      </c>
      <c r="Q489" s="58">
        <v>14.918390804597699</v>
      </c>
      <c r="R489" s="58">
        <v>8.3849999999999998</v>
      </c>
      <c r="S489" s="58">
        <v>0.98647058823529399</v>
      </c>
      <c r="T489" t="s">
        <v>176</v>
      </c>
      <c r="U489" s="11">
        <v>59.2239</v>
      </c>
      <c r="V489"/>
      <c r="W489"/>
    </row>
    <row r="490" spans="1:23" x14ac:dyDescent="0.35">
      <c r="A490" s="40">
        <v>45246</v>
      </c>
      <c r="B490">
        <v>2023</v>
      </c>
      <c r="C490" t="s">
        <v>327</v>
      </c>
      <c r="D490">
        <v>8</v>
      </c>
      <c r="E490">
        <v>47</v>
      </c>
      <c r="F490" t="s">
        <v>49</v>
      </c>
      <c r="G490" s="106">
        <v>0.71527777777777779</v>
      </c>
      <c r="H490" t="s">
        <v>82</v>
      </c>
      <c r="I490" t="s">
        <v>230</v>
      </c>
      <c r="J490">
        <v>39</v>
      </c>
      <c r="K490">
        <v>2.15</v>
      </c>
      <c r="L490">
        <v>22</v>
      </c>
      <c r="M490">
        <v>5</v>
      </c>
      <c r="N490" s="58">
        <v>27.4</v>
      </c>
      <c r="O490" s="58">
        <v>22.494</v>
      </c>
      <c r="P490" s="58">
        <v>12.744199999999999</v>
      </c>
      <c r="Q490" s="58">
        <v>10.462325581395399</v>
      </c>
      <c r="R490" s="58">
        <v>5.48</v>
      </c>
      <c r="S490" s="58">
        <v>1.24545454545455</v>
      </c>
      <c r="T490" t="s">
        <v>175</v>
      </c>
      <c r="U490" s="11">
        <v>60.195900000000002</v>
      </c>
      <c r="V490"/>
      <c r="W490"/>
    </row>
    <row r="491" spans="1:23" x14ac:dyDescent="0.35">
      <c r="A491" s="40">
        <v>45244</v>
      </c>
      <c r="B491">
        <v>2023</v>
      </c>
      <c r="C491" t="s">
        <v>327</v>
      </c>
      <c r="D491">
        <v>8</v>
      </c>
      <c r="E491">
        <v>47</v>
      </c>
      <c r="F491" t="s">
        <v>47</v>
      </c>
      <c r="G491" s="106">
        <v>0.71875</v>
      </c>
      <c r="H491" t="s">
        <v>80</v>
      </c>
      <c r="I491" t="s">
        <v>230</v>
      </c>
      <c r="J491">
        <v>36</v>
      </c>
      <c r="K491">
        <v>3.57</v>
      </c>
      <c r="L491">
        <v>65.3</v>
      </c>
      <c r="M491">
        <v>8</v>
      </c>
      <c r="N491" s="58">
        <v>81.62</v>
      </c>
      <c r="O491" s="58">
        <v>67.058099999999996</v>
      </c>
      <c r="P491" s="58">
        <v>22.8627</v>
      </c>
      <c r="Q491" s="58">
        <v>18.783781512605</v>
      </c>
      <c r="R491" s="58">
        <v>10.202500000000001</v>
      </c>
      <c r="S491" s="58">
        <v>1.24992343032159</v>
      </c>
      <c r="T491" t="s">
        <v>175</v>
      </c>
      <c r="U491" s="11">
        <v>62.200899999999997</v>
      </c>
      <c r="V491"/>
      <c r="W491"/>
    </row>
    <row r="492" spans="1:23" x14ac:dyDescent="0.35">
      <c r="A492" s="40">
        <v>45243</v>
      </c>
      <c r="B492">
        <v>2023</v>
      </c>
      <c r="C492" t="s">
        <v>327</v>
      </c>
      <c r="D492">
        <v>8</v>
      </c>
      <c r="E492">
        <v>47</v>
      </c>
      <c r="F492" t="s">
        <v>46</v>
      </c>
      <c r="G492" s="106">
        <v>0.70833333333333337</v>
      </c>
      <c r="H492" t="s">
        <v>174</v>
      </c>
      <c r="I492" t="s">
        <v>249</v>
      </c>
      <c r="J492">
        <v>30</v>
      </c>
      <c r="K492">
        <v>5.07</v>
      </c>
      <c r="L492">
        <v>115</v>
      </c>
      <c r="M492">
        <v>10</v>
      </c>
      <c r="N492" s="58">
        <v>144.07</v>
      </c>
      <c r="O492" s="58">
        <v>118.425</v>
      </c>
      <c r="P492" s="58">
        <v>28.4162</v>
      </c>
      <c r="Q492" s="58">
        <v>23.357988165680499</v>
      </c>
      <c r="R492" s="58">
        <v>14.407</v>
      </c>
      <c r="S492" s="58">
        <v>1.2527826086956499</v>
      </c>
      <c r="T492" t="s">
        <v>176</v>
      </c>
      <c r="U492" s="11">
        <v>62.754399999999997</v>
      </c>
      <c r="V492"/>
      <c r="W492"/>
    </row>
    <row r="493" spans="1:23" x14ac:dyDescent="0.35">
      <c r="A493" s="40">
        <v>45242</v>
      </c>
      <c r="B493">
        <v>2023</v>
      </c>
      <c r="C493" t="s">
        <v>327</v>
      </c>
      <c r="D493">
        <v>7</v>
      </c>
      <c r="E493">
        <v>46</v>
      </c>
      <c r="F493" t="s">
        <v>45</v>
      </c>
      <c r="G493" s="106">
        <v>0.63888888888888884</v>
      </c>
      <c r="H493" t="s">
        <v>80</v>
      </c>
      <c r="I493" t="s">
        <v>230</v>
      </c>
      <c r="J493">
        <v>28</v>
      </c>
      <c r="K493">
        <v>6.2</v>
      </c>
      <c r="L493">
        <v>119</v>
      </c>
      <c r="M493">
        <v>16</v>
      </c>
      <c r="N493" s="58">
        <v>159.19</v>
      </c>
      <c r="O493" s="58">
        <v>132.65299999999999</v>
      </c>
      <c r="P493" s="58">
        <v>25.675799999999999</v>
      </c>
      <c r="Q493" s="58">
        <v>21.3956451612903</v>
      </c>
      <c r="R493" s="58">
        <v>9.9493749999999999</v>
      </c>
      <c r="S493" s="58">
        <v>1.3377310924369701</v>
      </c>
      <c r="T493" t="s">
        <v>175</v>
      </c>
      <c r="U493" s="11">
        <v>61.153700000000001</v>
      </c>
      <c r="V493"/>
      <c r="W493"/>
    </row>
    <row r="494" spans="1:23" x14ac:dyDescent="0.35">
      <c r="A494" s="40">
        <v>45241</v>
      </c>
      <c r="B494">
        <v>2023</v>
      </c>
      <c r="C494" t="s">
        <v>327</v>
      </c>
      <c r="D494">
        <v>7</v>
      </c>
      <c r="E494">
        <v>46</v>
      </c>
      <c r="F494" t="s">
        <v>51</v>
      </c>
      <c r="G494" s="106">
        <v>0.73611111111111116</v>
      </c>
      <c r="H494" t="s">
        <v>85</v>
      </c>
      <c r="I494" t="s">
        <v>249</v>
      </c>
      <c r="J494">
        <v>32</v>
      </c>
      <c r="K494">
        <v>5.42</v>
      </c>
      <c r="L494">
        <v>110</v>
      </c>
      <c r="M494">
        <v>13</v>
      </c>
      <c r="N494" s="58">
        <v>113.5</v>
      </c>
      <c r="O494" s="58">
        <v>88.97</v>
      </c>
      <c r="P494" s="58">
        <v>20.940999999999999</v>
      </c>
      <c r="Q494" s="58">
        <v>16.415129151291499</v>
      </c>
      <c r="R494" s="58">
        <v>8.7307692307692299</v>
      </c>
      <c r="S494" s="58">
        <v>1.03181818181818</v>
      </c>
      <c r="T494" t="s">
        <v>176</v>
      </c>
      <c r="U494" s="11">
        <v>59.384900000000002</v>
      </c>
      <c r="V494"/>
      <c r="W494"/>
    </row>
    <row r="495" spans="1:23" x14ac:dyDescent="0.35">
      <c r="A495" s="40">
        <v>45240</v>
      </c>
      <c r="B495">
        <v>2023</v>
      </c>
      <c r="C495" t="s">
        <v>327</v>
      </c>
      <c r="D495">
        <v>7</v>
      </c>
      <c r="E495">
        <v>46</v>
      </c>
      <c r="F495" t="s">
        <v>50</v>
      </c>
      <c r="G495" s="106">
        <v>0.71875</v>
      </c>
      <c r="H495" t="s">
        <v>82</v>
      </c>
      <c r="I495" t="s">
        <v>231</v>
      </c>
      <c r="J495">
        <v>43</v>
      </c>
      <c r="K495">
        <v>6.3</v>
      </c>
      <c r="L495">
        <v>117</v>
      </c>
      <c r="M495">
        <v>15</v>
      </c>
      <c r="N495" s="58">
        <v>138.36000000000001</v>
      </c>
      <c r="O495" s="58">
        <v>112.26900000000001</v>
      </c>
      <c r="P495" s="58">
        <v>21.9619</v>
      </c>
      <c r="Q495" s="58">
        <v>17.820476190476199</v>
      </c>
      <c r="R495" s="58">
        <v>9.2240000000000002</v>
      </c>
      <c r="S495" s="58">
        <v>1.1825641025641001</v>
      </c>
      <c r="T495" t="s">
        <v>175</v>
      </c>
      <c r="U495" s="11">
        <v>58.123800000000003</v>
      </c>
      <c r="V495"/>
      <c r="W495"/>
    </row>
    <row r="496" spans="1:23" x14ac:dyDescent="0.35">
      <c r="A496" s="40">
        <v>45238</v>
      </c>
      <c r="B496">
        <v>2023</v>
      </c>
      <c r="C496" t="s">
        <v>327</v>
      </c>
      <c r="D496">
        <v>7</v>
      </c>
      <c r="E496">
        <v>46</v>
      </c>
      <c r="F496" t="s">
        <v>48</v>
      </c>
      <c r="G496" s="106">
        <v>0.73958333333333337</v>
      </c>
      <c r="H496" t="s">
        <v>80</v>
      </c>
      <c r="I496" t="s">
        <v>230</v>
      </c>
      <c r="J496">
        <v>34</v>
      </c>
      <c r="K496">
        <v>5.18</v>
      </c>
      <c r="L496">
        <v>128</v>
      </c>
      <c r="M496">
        <v>9</v>
      </c>
      <c r="N496" s="58">
        <v>107.86</v>
      </c>
      <c r="O496" s="58">
        <v>79.316000000000003</v>
      </c>
      <c r="P496" s="58">
        <v>20.822399999999998</v>
      </c>
      <c r="Q496" s="58">
        <v>15.3119691119691</v>
      </c>
      <c r="R496" s="58">
        <v>11.984444444444399</v>
      </c>
      <c r="S496" s="58">
        <v>0.84265625</v>
      </c>
      <c r="T496" t="s">
        <v>175</v>
      </c>
      <c r="U496" s="11">
        <v>57.1616</v>
      </c>
      <c r="V496"/>
      <c r="W496"/>
    </row>
    <row r="497" spans="1:23" x14ac:dyDescent="0.35">
      <c r="A497" s="40">
        <v>45236</v>
      </c>
      <c r="B497">
        <v>2023</v>
      </c>
      <c r="C497" t="s">
        <v>327</v>
      </c>
      <c r="D497">
        <v>7</v>
      </c>
      <c r="E497">
        <v>46</v>
      </c>
      <c r="F497" t="s">
        <v>46</v>
      </c>
      <c r="G497" s="106">
        <v>0.72222222222222221</v>
      </c>
      <c r="H497" t="s">
        <v>80</v>
      </c>
      <c r="I497" t="s">
        <v>231</v>
      </c>
      <c r="J497">
        <v>39</v>
      </c>
      <c r="K497">
        <v>4.03</v>
      </c>
      <c r="L497">
        <v>103</v>
      </c>
      <c r="M497">
        <v>8</v>
      </c>
      <c r="N497" s="58">
        <v>98.53</v>
      </c>
      <c r="O497" s="58">
        <v>75.561000000000007</v>
      </c>
      <c r="P497" s="58">
        <v>24.449100000000001</v>
      </c>
      <c r="Q497" s="58">
        <v>18.749627791563299</v>
      </c>
      <c r="R497" s="58">
        <v>12.31625</v>
      </c>
      <c r="S497" s="58">
        <v>0.95660194174757296</v>
      </c>
      <c r="T497" t="s">
        <v>176</v>
      </c>
      <c r="U497" s="11">
        <v>56.6</v>
      </c>
      <c r="V497"/>
      <c r="W497"/>
    </row>
    <row r="498" spans="1:23" x14ac:dyDescent="0.35">
      <c r="A498" s="40">
        <v>45233</v>
      </c>
      <c r="B498">
        <v>2023</v>
      </c>
      <c r="C498" t="s">
        <v>327</v>
      </c>
      <c r="D498">
        <v>6</v>
      </c>
      <c r="E498">
        <v>45</v>
      </c>
      <c r="F498" t="s">
        <v>50</v>
      </c>
      <c r="G498" s="106">
        <v>0.76388888888888884</v>
      </c>
      <c r="H498" t="s">
        <v>80</v>
      </c>
      <c r="I498" t="s">
        <v>230</v>
      </c>
      <c r="J498">
        <v>48</v>
      </c>
      <c r="K498">
        <v>4.67</v>
      </c>
      <c r="L498">
        <v>119</v>
      </c>
      <c r="M498">
        <v>9</v>
      </c>
      <c r="N498" s="58">
        <v>116.17</v>
      </c>
      <c r="O498" s="58">
        <v>89.632999999999996</v>
      </c>
      <c r="P498" s="58">
        <v>24.875800000000002</v>
      </c>
      <c r="Q498" s="58">
        <v>19.193361884368301</v>
      </c>
      <c r="R498" s="58">
        <v>12.907777777777801</v>
      </c>
      <c r="S498" s="58">
        <v>0.97621848739495798</v>
      </c>
      <c r="T498" t="s">
        <v>176</v>
      </c>
      <c r="U498" s="11">
        <v>58.519599999999997</v>
      </c>
      <c r="V498"/>
      <c r="W498"/>
    </row>
    <row r="499" spans="1:23" x14ac:dyDescent="0.35">
      <c r="A499" s="40">
        <v>45231</v>
      </c>
      <c r="B499">
        <v>2023</v>
      </c>
      <c r="C499" t="s">
        <v>327</v>
      </c>
      <c r="D499">
        <v>6</v>
      </c>
      <c r="E499">
        <v>45</v>
      </c>
      <c r="F499" t="s">
        <v>48</v>
      </c>
      <c r="G499" s="106">
        <v>0.72222222222222221</v>
      </c>
      <c r="H499" t="s">
        <v>80</v>
      </c>
      <c r="I499" t="s">
        <v>230</v>
      </c>
      <c r="J499">
        <v>36</v>
      </c>
      <c r="K499">
        <v>4.12</v>
      </c>
      <c r="L499">
        <v>99</v>
      </c>
      <c r="M499">
        <v>10</v>
      </c>
      <c r="N499" s="58">
        <v>99.39</v>
      </c>
      <c r="O499" s="58">
        <v>77.313000000000002</v>
      </c>
      <c r="P499" s="58">
        <v>24.123799999999999</v>
      </c>
      <c r="Q499" s="58">
        <v>18.7652912621359</v>
      </c>
      <c r="R499" s="58">
        <v>9.9390000000000001</v>
      </c>
      <c r="S499" s="58">
        <v>1.0039393939393899</v>
      </c>
      <c r="T499" t="s">
        <v>175</v>
      </c>
      <c r="U499" s="11">
        <v>60.178400000000003</v>
      </c>
      <c r="V499"/>
      <c r="W499"/>
    </row>
    <row r="500" spans="1:23" x14ac:dyDescent="0.35">
      <c r="A500" s="40">
        <v>45230</v>
      </c>
      <c r="B500">
        <v>2023</v>
      </c>
      <c r="C500" t="s">
        <v>327</v>
      </c>
      <c r="D500">
        <v>6</v>
      </c>
      <c r="E500">
        <v>45</v>
      </c>
      <c r="F500" t="s">
        <v>47</v>
      </c>
      <c r="G500" s="106">
        <v>0.75694444444444442</v>
      </c>
      <c r="H500" t="s">
        <v>80</v>
      </c>
      <c r="I500" t="s">
        <v>231</v>
      </c>
      <c r="J500">
        <v>36</v>
      </c>
      <c r="K500">
        <v>3.97</v>
      </c>
      <c r="L500">
        <v>88</v>
      </c>
      <c r="M500">
        <v>10</v>
      </c>
      <c r="N500" s="58">
        <v>93.91</v>
      </c>
      <c r="O500" s="58">
        <v>74.286000000000001</v>
      </c>
      <c r="P500" s="58">
        <v>23.654900000000001</v>
      </c>
      <c r="Q500" s="58">
        <v>18.711838790931999</v>
      </c>
      <c r="R500" s="58">
        <v>9.391</v>
      </c>
      <c r="S500" s="58">
        <v>1.06715909090909</v>
      </c>
      <c r="T500" t="s">
        <v>175</v>
      </c>
      <c r="U500" s="11">
        <v>59.074100000000001</v>
      </c>
      <c r="V500"/>
      <c r="W500"/>
    </row>
    <row r="501" spans="1:23" x14ac:dyDescent="0.35">
      <c r="A501" s="40">
        <v>45229</v>
      </c>
      <c r="B501">
        <v>2023</v>
      </c>
      <c r="C501" t="s">
        <v>327</v>
      </c>
      <c r="D501">
        <v>6</v>
      </c>
      <c r="E501">
        <v>45</v>
      </c>
      <c r="F501" t="s">
        <v>46</v>
      </c>
      <c r="G501" s="106">
        <v>0.76041666666666663</v>
      </c>
      <c r="H501" t="s">
        <v>80</v>
      </c>
      <c r="I501" t="s">
        <v>231</v>
      </c>
      <c r="J501">
        <v>36</v>
      </c>
      <c r="K501">
        <v>4.4800000000000004</v>
      </c>
      <c r="L501">
        <v>98</v>
      </c>
      <c r="M501">
        <v>10</v>
      </c>
      <c r="N501" s="58">
        <v>128.74</v>
      </c>
      <c r="O501" s="58">
        <v>106.886</v>
      </c>
      <c r="P501" s="58">
        <v>28.736599999999999</v>
      </c>
      <c r="Q501" s="58">
        <v>23.858482142857099</v>
      </c>
      <c r="R501" s="58">
        <v>12.874000000000001</v>
      </c>
      <c r="S501" s="58">
        <v>1.3136734693877601</v>
      </c>
      <c r="T501" t="s">
        <v>176</v>
      </c>
      <c r="U501" s="11">
        <v>58.771700000000003</v>
      </c>
      <c r="V501"/>
      <c r="W501"/>
    </row>
    <row r="502" spans="1:23" x14ac:dyDescent="0.35">
      <c r="A502" s="40">
        <v>45228</v>
      </c>
      <c r="B502">
        <v>2023</v>
      </c>
      <c r="C502" t="s">
        <v>327</v>
      </c>
      <c r="D502">
        <v>5</v>
      </c>
      <c r="E502">
        <v>44</v>
      </c>
      <c r="F502" t="s">
        <v>45</v>
      </c>
      <c r="G502" s="106">
        <v>0.625</v>
      </c>
      <c r="H502" t="s">
        <v>80</v>
      </c>
      <c r="I502" t="s">
        <v>231</v>
      </c>
      <c r="J502">
        <v>45</v>
      </c>
      <c r="K502">
        <v>5.33</v>
      </c>
      <c r="L502">
        <v>126</v>
      </c>
      <c r="M502">
        <v>12</v>
      </c>
      <c r="N502" s="58">
        <v>163.96</v>
      </c>
      <c r="O502" s="58">
        <v>135.86199999999999</v>
      </c>
      <c r="P502" s="58">
        <v>30.761700000000001</v>
      </c>
      <c r="Q502" s="58">
        <v>25.490056285178198</v>
      </c>
      <c r="R502" s="58">
        <v>13.6633333333333</v>
      </c>
      <c r="S502" s="58">
        <v>1.30126984126984</v>
      </c>
      <c r="T502" t="s">
        <v>176</v>
      </c>
      <c r="U502" s="11">
        <v>57.341200000000001</v>
      </c>
      <c r="V502"/>
      <c r="W502"/>
    </row>
    <row r="503" spans="1:23" x14ac:dyDescent="0.35">
      <c r="A503" s="40">
        <v>45227</v>
      </c>
      <c r="B503">
        <v>2023</v>
      </c>
      <c r="C503" t="s">
        <v>327</v>
      </c>
      <c r="D503">
        <v>5</v>
      </c>
      <c r="E503">
        <v>44</v>
      </c>
      <c r="F503" t="s">
        <v>51</v>
      </c>
      <c r="G503" s="106">
        <v>0.64930555555555558</v>
      </c>
      <c r="H503" t="s">
        <v>80</v>
      </c>
      <c r="I503" t="s">
        <v>230</v>
      </c>
      <c r="J503">
        <v>66</v>
      </c>
      <c r="K503">
        <v>6.63</v>
      </c>
      <c r="L503">
        <v>126</v>
      </c>
      <c r="M503">
        <v>10</v>
      </c>
      <c r="N503" s="58">
        <v>147.19999999999999</v>
      </c>
      <c r="O503" s="58">
        <v>119.102</v>
      </c>
      <c r="P503" s="58">
        <v>22.202100000000002</v>
      </c>
      <c r="Q503" s="58">
        <v>17.9641025641026</v>
      </c>
      <c r="R503" s="58">
        <v>14.72</v>
      </c>
      <c r="S503" s="58">
        <v>1.1682539682539701</v>
      </c>
      <c r="T503" t="s">
        <v>176</v>
      </c>
      <c r="U503" s="11">
        <v>56.685000000000002</v>
      </c>
      <c r="V503"/>
      <c r="W503"/>
    </row>
    <row r="504" spans="1:23" x14ac:dyDescent="0.35">
      <c r="A504" s="40">
        <v>45224</v>
      </c>
      <c r="B504">
        <v>2023</v>
      </c>
      <c r="C504" t="s">
        <v>327</v>
      </c>
      <c r="D504">
        <v>5</v>
      </c>
      <c r="E504">
        <v>44</v>
      </c>
      <c r="F504" t="s">
        <v>48</v>
      </c>
      <c r="G504" s="106">
        <v>0.70833333333333337</v>
      </c>
      <c r="H504" t="s">
        <v>174</v>
      </c>
      <c r="I504" t="s">
        <v>230</v>
      </c>
      <c r="J504">
        <v>61</v>
      </c>
      <c r="K504">
        <v>3.52</v>
      </c>
      <c r="L504">
        <v>94</v>
      </c>
      <c r="M504">
        <v>6</v>
      </c>
      <c r="N504" s="58">
        <v>50.75</v>
      </c>
      <c r="O504" s="58">
        <v>29.788</v>
      </c>
      <c r="P504" s="58">
        <v>14.4176</v>
      </c>
      <c r="Q504" s="58">
        <v>8.4625000000000004</v>
      </c>
      <c r="R504" s="58">
        <v>8.4583333333333393</v>
      </c>
      <c r="S504" s="58">
        <v>0.53989361702127703</v>
      </c>
      <c r="T504" t="s">
        <v>176</v>
      </c>
      <c r="U504" s="11">
        <v>57.250300000000003</v>
      </c>
      <c r="V504"/>
      <c r="W504"/>
    </row>
    <row r="505" spans="1:23" x14ac:dyDescent="0.35">
      <c r="A505" s="40">
        <v>45223</v>
      </c>
      <c r="B505">
        <v>2023</v>
      </c>
      <c r="C505" t="s">
        <v>327</v>
      </c>
      <c r="D505">
        <v>5</v>
      </c>
      <c r="E505">
        <v>44</v>
      </c>
      <c r="F505" t="s">
        <v>47</v>
      </c>
      <c r="G505" s="106">
        <v>0.75</v>
      </c>
      <c r="H505" t="s">
        <v>80</v>
      </c>
      <c r="I505" t="s">
        <v>231</v>
      </c>
      <c r="J505">
        <v>50</v>
      </c>
      <c r="K505">
        <v>3.33</v>
      </c>
      <c r="L505">
        <v>64</v>
      </c>
      <c r="M505">
        <v>10</v>
      </c>
      <c r="N505" s="58">
        <v>89.18</v>
      </c>
      <c r="O505" s="58">
        <v>74.908000000000001</v>
      </c>
      <c r="P505" s="58">
        <v>26.780799999999999</v>
      </c>
      <c r="Q505" s="58">
        <v>22.494894894894902</v>
      </c>
      <c r="R505" s="58">
        <v>8.9179999999999993</v>
      </c>
      <c r="S505" s="58">
        <v>1.3934375000000001</v>
      </c>
      <c r="T505" t="s">
        <v>176</v>
      </c>
      <c r="U505" s="11">
        <v>56.686399999999999</v>
      </c>
      <c r="V505"/>
      <c r="W505"/>
    </row>
    <row r="506" spans="1:23" x14ac:dyDescent="0.35">
      <c r="A506" s="40">
        <v>45222</v>
      </c>
      <c r="B506">
        <v>2023</v>
      </c>
      <c r="C506" t="s">
        <v>327</v>
      </c>
      <c r="D506">
        <v>5</v>
      </c>
      <c r="E506">
        <v>44</v>
      </c>
      <c r="F506" t="s">
        <v>46</v>
      </c>
      <c r="G506" s="106">
        <v>0.75694444444444442</v>
      </c>
      <c r="H506" t="s">
        <v>80</v>
      </c>
      <c r="I506" t="s">
        <v>249</v>
      </c>
      <c r="J506">
        <v>48</v>
      </c>
      <c r="K506">
        <v>3.28</v>
      </c>
      <c r="L506">
        <v>54</v>
      </c>
      <c r="M506">
        <v>9</v>
      </c>
      <c r="N506" s="58">
        <v>93.95</v>
      </c>
      <c r="O506" s="58">
        <v>81.908000000000001</v>
      </c>
      <c r="P506" s="58">
        <v>28.6433</v>
      </c>
      <c r="Q506" s="58">
        <v>24.971951219512199</v>
      </c>
      <c r="R506" s="58">
        <v>10.438888888888901</v>
      </c>
      <c r="S506" s="58">
        <v>1.73981481481482</v>
      </c>
      <c r="T506" t="s">
        <v>176</v>
      </c>
      <c r="U506" s="11">
        <v>55.695599999999999</v>
      </c>
      <c r="V506"/>
      <c r="W506"/>
    </row>
    <row r="507" spans="1:23" x14ac:dyDescent="0.35">
      <c r="A507" s="40">
        <v>45217</v>
      </c>
      <c r="B507">
        <v>2023</v>
      </c>
      <c r="C507" t="s">
        <v>327</v>
      </c>
      <c r="D507">
        <v>4</v>
      </c>
      <c r="E507">
        <v>43</v>
      </c>
      <c r="F507" t="s">
        <v>48</v>
      </c>
      <c r="G507" s="106">
        <v>0.74652777777777779</v>
      </c>
      <c r="H507" t="s">
        <v>80</v>
      </c>
      <c r="I507" t="s">
        <v>231</v>
      </c>
      <c r="J507">
        <v>54</v>
      </c>
      <c r="K507">
        <v>4.5</v>
      </c>
      <c r="L507">
        <v>111</v>
      </c>
      <c r="M507">
        <v>9</v>
      </c>
      <c r="N507" s="58">
        <v>115.52</v>
      </c>
      <c r="O507" s="58">
        <v>90.766999999999996</v>
      </c>
      <c r="P507" s="58">
        <v>25.671099999999999</v>
      </c>
      <c r="Q507" s="58">
        <v>20.170444444444399</v>
      </c>
      <c r="R507" s="58">
        <v>12.835555555555599</v>
      </c>
      <c r="S507" s="58">
        <v>1.0407207207207201</v>
      </c>
      <c r="T507" t="s">
        <v>176</v>
      </c>
      <c r="U507" s="11">
        <v>57.367699999999999</v>
      </c>
      <c r="V507"/>
      <c r="W507"/>
    </row>
    <row r="508" spans="1:23" x14ac:dyDescent="0.35">
      <c r="A508" s="40">
        <v>45216</v>
      </c>
      <c r="B508">
        <v>2023</v>
      </c>
      <c r="C508" t="s">
        <v>327</v>
      </c>
      <c r="D508">
        <v>4</v>
      </c>
      <c r="E508">
        <v>43</v>
      </c>
      <c r="F508" t="s">
        <v>47</v>
      </c>
      <c r="G508" s="106">
        <v>0.73611111111111116</v>
      </c>
      <c r="H508" t="s">
        <v>85</v>
      </c>
      <c r="I508" t="s">
        <v>231</v>
      </c>
      <c r="J508">
        <v>52</v>
      </c>
      <c r="K508">
        <v>5.42</v>
      </c>
      <c r="L508">
        <v>92</v>
      </c>
      <c r="M508">
        <v>15</v>
      </c>
      <c r="N508" s="58">
        <v>126.25</v>
      </c>
      <c r="O508" s="58">
        <v>105.73399999999999</v>
      </c>
      <c r="P508" s="58">
        <v>23.293399999999998</v>
      </c>
      <c r="Q508" s="58">
        <v>19.5081180811808</v>
      </c>
      <c r="R508" s="58">
        <v>8.4166666666666607</v>
      </c>
      <c r="S508" s="58">
        <v>1.3722826086956501</v>
      </c>
      <c r="T508" t="s">
        <v>176</v>
      </c>
      <c r="U508" s="11">
        <v>56.084099999999999</v>
      </c>
      <c r="V508"/>
      <c r="W508"/>
    </row>
    <row r="509" spans="1:23" x14ac:dyDescent="0.35">
      <c r="A509" s="40">
        <v>45214</v>
      </c>
      <c r="B509">
        <v>2023</v>
      </c>
      <c r="C509" t="s">
        <v>327</v>
      </c>
      <c r="D509">
        <v>3</v>
      </c>
      <c r="E509">
        <v>42</v>
      </c>
      <c r="F509" t="s">
        <v>45</v>
      </c>
      <c r="G509" s="106">
        <v>0.73958333333333337</v>
      </c>
      <c r="H509" t="s">
        <v>80</v>
      </c>
      <c r="I509" t="s">
        <v>231</v>
      </c>
      <c r="J509">
        <v>54</v>
      </c>
      <c r="K509">
        <v>1.68</v>
      </c>
      <c r="L509">
        <v>33</v>
      </c>
      <c r="M509">
        <v>4</v>
      </c>
      <c r="N509" s="58">
        <v>50.75</v>
      </c>
      <c r="O509" s="58">
        <v>43.390999999999998</v>
      </c>
      <c r="P509" s="58">
        <v>30.208300000000001</v>
      </c>
      <c r="Q509" s="58">
        <v>25.8279761904762</v>
      </c>
      <c r="R509" s="58">
        <v>12.6875</v>
      </c>
      <c r="S509" s="58">
        <v>1.5378787878787901</v>
      </c>
      <c r="T509" t="s">
        <v>176</v>
      </c>
      <c r="U509" s="11">
        <v>55.9679</v>
      </c>
      <c r="V509"/>
      <c r="W509"/>
    </row>
    <row r="510" spans="1:23" x14ac:dyDescent="0.35">
      <c r="A510" s="40">
        <v>45212</v>
      </c>
      <c r="B510">
        <v>2023</v>
      </c>
      <c r="C510" t="s">
        <v>327</v>
      </c>
      <c r="D510">
        <v>3</v>
      </c>
      <c r="E510">
        <v>42</v>
      </c>
      <c r="F510" t="s">
        <v>50</v>
      </c>
      <c r="G510" s="106">
        <v>0.72916666666666663</v>
      </c>
      <c r="H510" t="s">
        <v>174</v>
      </c>
      <c r="I510" t="s">
        <v>230</v>
      </c>
      <c r="J510">
        <v>54</v>
      </c>
      <c r="K510">
        <v>5.67</v>
      </c>
      <c r="L510">
        <v>127</v>
      </c>
      <c r="M510">
        <v>11</v>
      </c>
      <c r="N510" s="58">
        <v>135.33000000000001</v>
      </c>
      <c r="O510" s="58">
        <v>107.009</v>
      </c>
      <c r="P510" s="58">
        <v>23.867699999999999</v>
      </c>
      <c r="Q510" s="58">
        <v>18.872839506172799</v>
      </c>
      <c r="R510" s="58">
        <v>12.302727272727299</v>
      </c>
      <c r="S510" s="58">
        <v>1.0655905511810999</v>
      </c>
      <c r="T510" t="s">
        <v>175</v>
      </c>
      <c r="U510" s="11">
        <v>57.871000000000002</v>
      </c>
      <c r="V510"/>
      <c r="W510"/>
    </row>
    <row r="511" spans="1:23" x14ac:dyDescent="0.35">
      <c r="A511" s="40">
        <v>45209</v>
      </c>
      <c r="B511">
        <v>2023</v>
      </c>
      <c r="C511" t="s">
        <v>327</v>
      </c>
      <c r="D511">
        <v>3</v>
      </c>
      <c r="E511">
        <v>42</v>
      </c>
      <c r="F511" t="s">
        <v>47</v>
      </c>
      <c r="G511" s="106">
        <v>0.73263888888888884</v>
      </c>
      <c r="H511" t="s">
        <v>80</v>
      </c>
      <c r="I511" t="s">
        <v>231</v>
      </c>
      <c r="J511">
        <v>55</v>
      </c>
      <c r="K511">
        <v>3.87</v>
      </c>
      <c r="L511">
        <v>48</v>
      </c>
      <c r="M511">
        <v>7</v>
      </c>
      <c r="N511" s="58">
        <v>62.44</v>
      </c>
      <c r="O511" s="58">
        <v>51.735999999999997</v>
      </c>
      <c r="P511" s="58">
        <v>16.134399999999999</v>
      </c>
      <c r="Q511" s="58">
        <v>13.3684754521964</v>
      </c>
      <c r="R511" s="58">
        <v>8.92</v>
      </c>
      <c r="S511" s="58">
        <v>1.30083333333333</v>
      </c>
      <c r="T511" t="s">
        <v>176</v>
      </c>
      <c r="U511" s="11">
        <v>59.726999999999997</v>
      </c>
      <c r="V511"/>
      <c r="W511"/>
    </row>
    <row r="512" spans="1:23" x14ac:dyDescent="0.35">
      <c r="A512" s="40">
        <v>45208</v>
      </c>
      <c r="B512">
        <v>2023</v>
      </c>
      <c r="C512" t="s">
        <v>327</v>
      </c>
      <c r="D512">
        <v>3</v>
      </c>
      <c r="E512">
        <v>42</v>
      </c>
      <c r="F512" t="s">
        <v>46</v>
      </c>
      <c r="G512" s="106">
        <v>0.72916666666666663</v>
      </c>
      <c r="H512" t="s">
        <v>80</v>
      </c>
      <c r="I512" t="s">
        <v>230</v>
      </c>
      <c r="J512">
        <v>52</v>
      </c>
      <c r="K512">
        <v>4.37</v>
      </c>
      <c r="L512">
        <v>69</v>
      </c>
      <c r="M512">
        <v>10</v>
      </c>
      <c r="N512" s="58">
        <v>121.93</v>
      </c>
      <c r="O512" s="58">
        <v>106.54300000000001</v>
      </c>
      <c r="P512" s="58">
        <v>27.901599999999998</v>
      </c>
      <c r="Q512" s="58">
        <v>24.380549199084701</v>
      </c>
      <c r="R512" s="58">
        <v>12.193</v>
      </c>
      <c r="S512" s="58">
        <v>1.7671014492753601</v>
      </c>
      <c r="T512" t="s">
        <v>176</v>
      </c>
      <c r="U512" s="11">
        <v>60.188600000000001</v>
      </c>
      <c r="V512"/>
      <c r="W512"/>
    </row>
    <row r="513" spans="1:23" x14ac:dyDescent="0.35">
      <c r="A513" s="40">
        <v>45205</v>
      </c>
      <c r="B513">
        <v>2023</v>
      </c>
      <c r="C513" t="s">
        <v>327</v>
      </c>
      <c r="D513">
        <v>2</v>
      </c>
      <c r="E513">
        <v>41</v>
      </c>
      <c r="F513" t="s">
        <v>50</v>
      </c>
      <c r="G513" s="106">
        <v>0.72569444444444442</v>
      </c>
      <c r="H513" t="s">
        <v>80</v>
      </c>
      <c r="I513" t="s">
        <v>249</v>
      </c>
      <c r="J513">
        <v>63</v>
      </c>
      <c r="K513">
        <v>1.8</v>
      </c>
      <c r="L513">
        <v>35</v>
      </c>
      <c r="M513">
        <v>5</v>
      </c>
      <c r="N513" s="58">
        <v>47.39</v>
      </c>
      <c r="O513" s="58">
        <v>39.585000000000001</v>
      </c>
      <c r="P513" s="58">
        <v>26.3278</v>
      </c>
      <c r="Q513" s="58">
        <v>21.991666666666699</v>
      </c>
      <c r="R513" s="58">
        <v>9.4779999999999998</v>
      </c>
      <c r="S513" s="58">
        <v>1.3540000000000001</v>
      </c>
      <c r="T513" t="s">
        <v>175</v>
      </c>
      <c r="U513" s="11">
        <v>61.053800000000003</v>
      </c>
      <c r="V513"/>
      <c r="W513"/>
    </row>
    <row r="514" spans="1:23" x14ac:dyDescent="0.35">
      <c r="A514" s="40">
        <v>45204</v>
      </c>
      <c r="B514">
        <v>2023</v>
      </c>
      <c r="C514" t="s">
        <v>327</v>
      </c>
      <c r="D514">
        <v>2</v>
      </c>
      <c r="E514">
        <v>41</v>
      </c>
      <c r="F514" t="s">
        <v>49</v>
      </c>
      <c r="G514" s="106">
        <v>0.75</v>
      </c>
      <c r="H514" t="s">
        <v>80</v>
      </c>
      <c r="I514" t="s">
        <v>231</v>
      </c>
      <c r="J514">
        <v>63</v>
      </c>
      <c r="K514">
        <v>4.08</v>
      </c>
      <c r="L514">
        <v>88</v>
      </c>
      <c r="M514">
        <v>9</v>
      </c>
      <c r="N514" s="58">
        <v>94.3</v>
      </c>
      <c r="O514" s="58">
        <v>74.676000000000002</v>
      </c>
      <c r="P514" s="58">
        <v>23.1127</v>
      </c>
      <c r="Q514" s="58">
        <v>18.3029411764706</v>
      </c>
      <c r="R514" s="58">
        <v>10.477777777777799</v>
      </c>
      <c r="S514" s="58">
        <v>1.0715909090909099</v>
      </c>
      <c r="T514" t="s">
        <v>176</v>
      </c>
      <c r="U514" s="11">
        <v>61.607599999999998</v>
      </c>
      <c r="V514"/>
      <c r="W514"/>
    </row>
    <row r="515" spans="1:23" x14ac:dyDescent="0.35">
      <c r="A515" s="40">
        <v>45201</v>
      </c>
      <c r="B515">
        <v>2023</v>
      </c>
      <c r="C515" t="s">
        <v>327</v>
      </c>
      <c r="D515">
        <v>2</v>
      </c>
      <c r="E515">
        <v>41</v>
      </c>
      <c r="F515" t="s">
        <v>46</v>
      </c>
      <c r="G515" s="106">
        <v>0.72569444444444442</v>
      </c>
      <c r="H515" t="s">
        <v>82</v>
      </c>
      <c r="I515" t="s">
        <v>230</v>
      </c>
      <c r="J515">
        <v>64</v>
      </c>
      <c r="K515">
        <v>5.22</v>
      </c>
      <c r="L515">
        <v>106</v>
      </c>
      <c r="M515">
        <v>10</v>
      </c>
      <c r="N515" s="58">
        <v>77.8</v>
      </c>
      <c r="O515" s="58">
        <v>54.161999999999999</v>
      </c>
      <c r="P515" s="58">
        <v>14.904199999999999</v>
      </c>
      <c r="Q515" s="58">
        <v>10.3758620689655</v>
      </c>
      <c r="R515" s="58">
        <v>7.78</v>
      </c>
      <c r="S515" s="58">
        <v>0.73396226415094301</v>
      </c>
      <c r="T515" t="s">
        <v>175</v>
      </c>
      <c r="U515" s="11">
        <v>63.844999999999999</v>
      </c>
      <c r="V515"/>
      <c r="W515"/>
    </row>
    <row r="516" spans="1:23" x14ac:dyDescent="0.35">
      <c r="A516" s="40">
        <v>45198</v>
      </c>
      <c r="B516">
        <v>2023</v>
      </c>
      <c r="C516" t="s">
        <v>327</v>
      </c>
      <c r="D516">
        <v>1</v>
      </c>
      <c r="E516">
        <v>40</v>
      </c>
      <c r="F516" t="s">
        <v>50</v>
      </c>
      <c r="G516" s="106">
        <v>0.74305555555555558</v>
      </c>
      <c r="H516" t="s">
        <v>80</v>
      </c>
      <c r="I516" t="s">
        <v>249</v>
      </c>
      <c r="J516">
        <v>61</v>
      </c>
      <c r="K516">
        <v>6.72</v>
      </c>
      <c r="L516">
        <v>145</v>
      </c>
      <c r="M516">
        <v>14</v>
      </c>
      <c r="N516" s="58">
        <v>156.97999999999999</v>
      </c>
      <c r="O516" s="58">
        <v>124.645</v>
      </c>
      <c r="P516" s="58">
        <v>23.360099999999999</v>
      </c>
      <c r="Q516" s="58">
        <v>18.548363095238098</v>
      </c>
      <c r="R516" s="58">
        <v>11.2128571428571</v>
      </c>
      <c r="S516" s="58">
        <v>1.08262068965517</v>
      </c>
      <c r="T516" t="s">
        <v>175</v>
      </c>
      <c r="U516" s="11">
        <v>62.980600000000003</v>
      </c>
      <c r="V516"/>
      <c r="W516"/>
    </row>
    <row r="517" spans="1:23" x14ac:dyDescent="0.35">
      <c r="A517" s="40">
        <v>45197</v>
      </c>
      <c r="B517">
        <v>2023</v>
      </c>
      <c r="C517" t="s">
        <v>327</v>
      </c>
      <c r="D517">
        <v>1</v>
      </c>
      <c r="E517">
        <v>40</v>
      </c>
      <c r="F517" t="s">
        <v>49</v>
      </c>
      <c r="G517" s="106">
        <v>0.72569444444444442</v>
      </c>
      <c r="H517" t="s">
        <v>85</v>
      </c>
      <c r="I517" t="s">
        <v>249</v>
      </c>
      <c r="J517">
        <v>55</v>
      </c>
      <c r="K517">
        <v>1.25</v>
      </c>
      <c r="L517">
        <v>48</v>
      </c>
      <c r="M517">
        <v>2</v>
      </c>
      <c r="N517" s="58">
        <v>24.99</v>
      </c>
      <c r="O517" s="58">
        <v>14.286</v>
      </c>
      <c r="P517" s="58">
        <v>19.992000000000001</v>
      </c>
      <c r="Q517" s="58">
        <v>11.428800000000001</v>
      </c>
      <c r="R517" s="58">
        <v>12.494999999999999</v>
      </c>
      <c r="S517" s="58">
        <v>0.520625</v>
      </c>
      <c r="T517" t="s">
        <v>176</v>
      </c>
      <c r="U517" s="11">
        <v>61.2363</v>
      </c>
      <c r="V517"/>
      <c r="W517"/>
    </row>
    <row r="518" spans="1:23" x14ac:dyDescent="0.35">
      <c r="A518" s="40">
        <v>45196</v>
      </c>
      <c r="B518">
        <v>2023</v>
      </c>
      <c r="C518" t="s">
        <v>327</v>
      </c>
      <c r="D518">
        <v>1</v>
      </c>
      <c r="E518">
        <v>40</v>
      </c>
      <c r="F518" t="s">
        <v>48</v>
      </c>
      <c r="G518" s="106">
        <v>0.71180555555555558</v>
      </c>
      <c r="H518" t="s">
        <v>80</v>
      </c>
      <c r="I518" t="s">
        <v>230</v>
      </c>
      <c r="J518">
        <v>63</v>
      </c>
      <c r="K518">
        <v>3.18</v>
      </c>
      <c r="L518">
        <v>81</v>
      </c>
      <c r="M518">
        <v>7</v>
      </c>
      <c r="N518" s="58">
        <v>61.66</v>
      </c>
      <c r="O518" s="58">
        <v>43.597000000000001</v>
      </c>
      <c r="P518" s="58">
        <v>19.389900000000001</v>
      </c>
      <c r="Q518" s="58">
        <v>13.709748427673</v>
      </c>
      <c r="R518" s="58">
        <v>8.8085714285714296</v>
      </c>
      <c r="S518" s="58">
        <v>0.761234567901234</v>
      </c>
      <c r="T518" t="s">
        <v>175</v>
      </c>
      <c r="U518" s="11">
        <v>60.9587</v>
      </c>
      <c r="V518"/>
      <c r="W518"/>
    </row>
    <row r="519" spans="1:23" x14ac:dyDescent="0.35">
      <c r="A519" s="40">
        <v>45195</v>
      </c>
      <c r="B519">
        <v>2023</v>
      </c>
      <c r="C519" t="s">
        <v>327</v>
      </c>
      <c r="D519">
        <v>1</v>
      </c>
      <c r="E519">
        <v>40</v>
      </c>
      <c r="F519" t="s">
        <v>47</v>
      </c>
      <c r="G519" s="106">
        <v>0.76041666666666663</v>
      </c>
      <c r="H519" t="s">
        <v>82</v>
      </c>
      <c r="I519" t="s">
        <v>230</v>
      </c>
      <c r="J519">
        <v>61</v>
      </c>
      <c r="K519">
        <v>3.5</v>
      </c>
      <c r="L519">
        <v>63</v>
      </c>
      <c r="M519">
        <v>8</v>
      </c>
      <c r="N519" s="58">
        <v>60.17</v>
      </c>
      <c r="O519" s="58">
        <v>46.121000000000002</v>
      </c>
      <c r="P519" s="58">
        <v>17.191400000000002</v>
      </c>
      <c r="Q519" s="58">
        <v>13.177428571428599</v>
      </c>
      <c r="R519" s="58">
        <v>7.5212500000000002</v>
      </c>
      <c r="S519" s="58">
        <v>0.95507936507936497</v>
      </c>
      <c r="T519" t="s">
        <v>175</v>
      </c>
      <c r="U519" s="11">
        <v>60.273600000000002</v>
      </c>
      <c r="V519"/>
      <c r="W519"/>
    </row>
    <row r="520" spans="1:23" x14ac:dyDescent="0.35">
      <c r="A520" s="40">
        <v>45194</v>
      </c>
      <c r="B520">
        <v>2023</v>
      </c>
      <c r="C520" t="s">
        <v>327</v>
      </c>
      <c r="D520">
        <v>1</v>
      </c>
      <c r="E520">
        <v>40</v>
      </c>
      <c r="F520" t="s">
        <v>46</v>
      </c>
      <c r="G520" s="106">
        <v>0.75</v>
      </c>
      <c r="H520" t="s">
        <v>80</v>
      </c>
      <c r="I520" t="s">
        <v>230</v>
      </c>
      <c r="J520">
        <v>59</v>
      </c>
      <c r="K520">
        <v>2.92</v>
      </c>
      <c r="L520">
        <v>75</v>
      </c>
      <c r="M520">
        <v>5</v>
      </c>
      <c r="N520" s="58">
        <v>70.97</v>
      </c>
      <c r="O520" s="58">
        <v>54.244999999999997</v>
      </c>
      <c r="P520" s="58">
        <v>24.3048</v>
      </c>
      <c r="Q520" s="58">
        <v>18.5770547945205</v>
      </c>
      <c r="R520" s="58">
        <v>14.194000000000001</v>
      </c>
      <c r="S520" s="58">
        <v>0.94626666666666703</v>
      </c>
      <c r="T520" t="s">
        <v>176</v>
      </c>
      <c r="U520" s="11">
        <v>59.604999999999997</v>
      </c>
      <c r="V520"/>
      <c r="W520"/>
    </row>
    <row r="521" spans="1:23" x14ac:dyDescent="0.35">
      <c r="A521" s="40">
        <v>45192</v>
      </c>
      <c r="B521">
        <v>2023</v>
      </c>
      <c r="C521" t="s">
        <v>305</v>
      </c>
      <c r="D521">
        <v>13</v>
      </c>
      <c r="E521">
        <v>39</v>
      </c>
      <c r="F521" t="s">
        <v>51</v>
      </c>
      <c r="G521" s="106">
        <v>0.66319444444444442</v>
      </c>
      <c r="H521" t="s">
        <v>82</v>
      </c>
      <c r="I521" t="s">
        <v>230</v>
      </c>
      <c r="J521">
        <v>57</v>
      </c>
      <c r="K521">
        <v>9.42</v>
      </c>
      <c r="L521">
        <v>126</v>
      </c>
      <c r="M521">
        <v>26</v>
      </c>
      <c r="N521" s="58">
        <v>213.76</v>
      </c>
      <c r="O521" s="58">
        <v>185.66200000000001</v>
      </c>
      <c r="P521" s="58">
        <v>22.6921</v>
      </c>
      <c r="Q521" s="58">
        <v>19.7093418259023</v>
      </c>
      <c r="R521" s="58">
        <v>8.2215384615384597</v>
      </c>
      <c r="S521" s="58">
        <v>1.6965079365079401</v>
      </c>
      <c r="T521" t="s">
        <v>176</v>
      </c>
      <c r="U521" s="11">
        <v>58.816400000000002</v>
      </c>
      <c r="V521"/>
      <c r="W521"/>
    </row>
    <row r="522" spans="1:23" x14ac:dyDescent="0.35">
      <c r="A522" s="40">
        <v>45191</v>
      </c>
      <c r="B522">
        <v>2023</v>
      </c>
      <c r="C522" t="s">
        <v>305</v>
      </c>
      <c r="D522">
        <v>13</v>
      </c>
      <c r="E522">
        <v>39</v>
      </c>
      <c r="F522" t="s">
        <v>50</v>
      </c>
      <c r="G522" s="106">
        <v>0.71180555555555558</v>
      </c>
      <c r="H522" t="s">
        <v>80</v>
      </c>
      <c r="I522" t="s">
        <v>230</v>
      </c>
      <c r="J522">
        <v>59</v>
      </c>
      <c r="K522">
        <v>0.63</v>
      </c>
      <c r="L522">
        <v>14</v>
      </c>
      <c r="M522">
        <v>1</v>
      </c>
      <c r="N522" s="58">
        <v>11.5</v>
      </c>
      <c r="O522" s="58">
        <v>8.3780000000000001</v>
      </c>
      <c r="P522" s="58">
        <v>18.254000000000001</v>
      </c>
      <c r="Q522" s="58">
        <v>13.298412698412699</v>
      </c>
      <c r="R522" s="58">
        <v>11.5</v>
      </c>
      <c r="S522" s="58">
        <v>0.82142857142857095</v>
      </c>
      <c r="T522" t="s">
        <v>176</v>
      </c>
      <c r="U522" s="11">
        <v>56.441299999999998</v>
      </c>
      <c r="V522"/>
      <c r="W522"/>
    </row>
    <row r="523" spans="1:23" x14ac:dyDescent="0.35">
      <c r="A523" s="40">
        <v>45190</v>
      </c>
      <c r="B523">
        <v>2023</v>
      </c>
      <c r="C523" t="s">
        <v>305</v>
      </c>
      <c r="D523">
        <v>13</v>
      </c>
      <c r="E523">
        <v>39</v>
      </c>
      <c r="F523" t="s">
        <v>49</v>
      </c>
      <c r="G523" s="106">
        <v>0.72916666666666663</v>
      </c>
      <c r="H523" t="s">
        <v>85</v>
      </c>
      <c r="I523" t="s">
        <v>249</v>
      </c>
      <c r="J523">
        <v>63</v>
      </c>
      <c r="K523">
        <v>2.5499999999999998</v>
      </c>
      <c r="L523">
        <v>71</v>
      </c>
      <c r="M523">
        <v>5</v>
      </c>
      <c r="N523" s="58">
        <v>46.19</v>
      </c>
      <c r="O523" s="58">
        <v>30.356999999999999</v>
      </c>
      <c r="P523" s="58">
        <v>18.113700000000001</v>
      </c>
      <c r="Q523" s="58">
        <v>11.9047058823529</v>
      </c>
      <c r="R523" s="58">
        <v>9.2379999999999995</v>
      </c>
      <c r="S523" s="58">
        <v>0.65056338028169003</v>
      </c>
      <c r="T523" t="s">
        <v>176</v>
      </c>
      <c r="U523" s="11">
        <v>56.313600000000001</v>
      </c>
      <c r="V523"/>
      <c r="W523"/>
    </row>
    <row r="524" spans="1:23" x14ac:dyDescent="0.35">
      <c r="A524" s="40">
        <v>45188</v>
      </c>
      <c r="B524">
        <v>2023</v>
      </c>
      <c r="C524" t="s">
        <v>305</v>
      </c>
      <c r="D524">
        <v>13</v>
      </c>
      <c r="E524">
        <v>39</v>
      </c>
      <c r="F524" t="s">
        <v>47</v>
      </c>
      <c r="G524" s="106">
        <v>0.71875</v>
      </c>
      <c r="H524" t="s">
        <v>174</v>
      </c>
      <c r="I524" t="s">
        <v>230</v>
      </c>
      <c r="J524">
        <v>63</v>
      </c>
      <c r="K524">
        <v>3.72</v>
      </c>
      <c r="L524">
        <v>87</v>
      </c>
      <c r="M524">
        <v>6</v>
      </c>
      <c r="N524" s="58">
        <v>54.95</v>
      </c>
      <c r="O524" s="58">
        <v>35.548999999999999</v>
      </c>
      <c r="P524" s="58">
        <v>14.7715</v>
      </c>
      <c r="Q524" s="58">
        <v>9.5561827956989198</v>
      </c>
      <c r="R524" s="58">
        <v>9.1583333333333297</v>
      </c>
      <c r="S524" s="58">
        <v>0.63160919540229898</v>
      </c>
      <c r="T524" t="s">
        <v>176</v>
      </c>
      <c r="U524" s="11">
        <v>57.016599999999997</v>
      </c>
      <c r="V524"/>
      <c r="W524"/>
    </row>
    <row r="525" spans="1:23" x14ac:dyDescent="0.35">
      <c r="A525" s="40">
        <v>45185</v>
      </c>
      <c r="B525">
        <v>2023</v>
      </c>
      <c r="C525" t="s">
        <v>305</v>
      </c>
      <c r="D525">
        <v>12</v>
      </c>
      <c r="E525">
        <v>38</v>
      </c>
      <c r="F525" t="s">
        <v>51</v>
      </c>
      <c r="G525" s="106">
        <v>0.63888888888888884</v>
      </c>
      <c r="H525" t="s">
        <v>80</v>
      </c>
      <c r="I525" t="s">
        <v>236</v>
      </c>
      <c r="J525">
        <v>66</v>
      </c>
      <c r="K525">
        <v>5.17</v>
      </c>
      <c r="L525">
        <v>109</v>
      </c>
      <c r="M525">
        <v>10</v>
      </c>
      <c r="N525" s="58">
        <v>104.97</v>
      </c>
      <c r="O525" s="58">
        <v>80.662999999999997</v>
      </c>
      <c r="P525" s="58">
        <v>20.303699999999999</v>
      </c>
      <c r="Q525" s="58">
        <v>15.602127659574499</v>
      </c>
      <c r="R525" s="58">
        <v>10.497</v>
      </c>
      <c r="S525" s="58">
        <v>0.96302752293577998</v>
      </c>
      <c r="T525" t="s">
        <v>175</v>
      </c>
      <c r="U525" s="11">
        <v>58.256</v>
      </c>
      <c r="V525"/>
      <c r="W525"/>
    </row>
    <row r="526" spans="1:23" x14ac:dyDescent="0.35">
      <c r="A526" s="40">
        <v>45183</v>
      </c>
      <c r="B526">
        <v>2023</v>
      </c>
      <c r="C526" t="s">
        <v>305</v>
      </c>
      <c r="D526">
        <v>12</v>
      </c>
      <c r="E526">
        <v>38</v>
      </c>
      <c r="F526" t="s">
        <v>49</v>
      </c>
      <c r="G526" s="106">
        <v>0.74305555555555558</v>
      </c>
      <c r="H526" t="s">
        <v>80</v>
      </c>
      <c r="I526" t="s">
        <v>230</v>
      </c>
      <c r="J526">
        <v>66</v>
      </c>
      <c r="K526">
        <v>0.9</v>
      </c>
      <c r="L526">
        <v>22</v>
      </c>
      <c r="M526">
        <v>1</v>
      </c>
      <c r="N526" s="58">
        <v>21.98</v>
      </c>
      <c r="O526" s="58">
        <v>17.074000000000002</v>
      </c>
      <c r="P526" s="58">
        <v>24.4222</v>
      </c>
      <c r="Q526" s="58">
        <v>18.971111111111099</v>
      </c>
      <c r="R526" s="58">
        <v>21.98</v>
      </c>
      <c r="S526" s="58">
        <v>0.99909090909090903</v>
      </c>
      <c r="T526" t="s">
        <v>176</v>
      </c>
      <c r="U526" s="11">
        <v>57.089700000000001</v>
      </c>
      <c r="V526"/>
      <c r="W526"/>
    </row>
    <row r="527" spans="1:23" x14ac:dyDescent="0.35">
      <c r="A527" s="40">
        <v>45182</v>
      </c>
      <c r="B527">
        <v>2023</v>
      </c>
      <c r="C527" t="s">
        <v>305</v>
      </c>
      <c r="D527">
        <v>12</v>
      </c>
      <c r="E527">
        <v>38</v>
      </c>
      <c r="F527" t="s">
        <v>48</v>
      </c>
      <c r="G527" s="106">
        <v>0.72569444444444442</v>
      </c>
      <c r="H527" t="s">
        <v>80</v>
      </c>
      <c r="I527" t="s">
        <v>231</v>
      </c>
      <c r="J527">
        <v>70</v>
      </c>
      <c r="K527">
        <v>3.55</v>
      </c>
      <c r="L527">
        <v>79</v>
      </c>
      <c r="M527">
        <v>8</v>
      </c>
      <c r="N527" s="58">
        <v>90</v>
      </c>
      <c r="O527" s="58">
        <v>72.382999999999996</v>
      </c>
      <c r="P527" s="58">
        <v>25.3521</v>
      </c>
      <c r="Q527" s="58">
        <v>20.389577464788701</v>
      </c>
      <c r="R527" s="58">
        <v>11.25</v>
      </c>
      <c r="S527" s="58">
        <v>1.13924050632911</v>
      </c>
      <c r="T527" t="s">
        <v>176</v>
      </c>
      <c r="U527" s="11">
        <v>56.845399999999998</v>
      </c>
      <c r="V527"/>
      <c r="W527"/>
    </row>
    <row r="528" spans="1:23" x14ac:dyDescent="0.35">
      <c r="A528" s="40">
        <v>45180</v>
      </c>
      <c r="B528">
        <v>2023</v>
      </c>
      <c r="C528" t="s">
        <v>305</v>
      </c>
      <c r="D528">
        <v>12</v>
      </c>
      <c r="E528">
        <v>38</v>
      </c>
      <c r="F528" t="s">
        <v>46</v>
      </c>
      <c r="G528" s="106">
        <v>0.73263888888888884</v>
      </c>
      <c r="H528" t="s">
        <v>80</v>
      </c>
      <c r="I528" t="s">
        <v>236</v>
      </c>
      <c r="J528">
        <v>72</v>
      </c>
      <c r="K528">
        <v>4.58</v>
      </c>
      <c r="L528">
        <v>124</v>
      </c>
      <c r="M528">
        <v>10</v>
      </c>
      <c r="N528" s="58">
        <v>116.56</v>
      </c>
      <c r="O528" s="58">
        <v>88.908000000000001</v>
      </c>
      <c r="P528" s="58">
        <v>25.4498</v>
      </c>
      <c r="Q528" s="58">
        <v>19.412227074235801</v>
      </c>
      <c r="R528" s="58">
        <v>11.656000000000001</v>
      </c>
      <c r="S528" s="58">
        <v>0.94</v>
      </c>
      <c r="T528" t="s">
        <v>176</v>
      </c>
      <c r="U528" s="11">
        <v>55.845399999999998</v>
      </c>
      <c r="V528"/>
      <c r="W528"/>
    </row>
    <row r="529" spans="1:23" x14ac:dyDescent="0.35">
      <c r="A529" s="40">
        <v>45179</v>
      </c>
      <c r="B529">
        <v>2023</v>
      </c>
      <c r="C529" t="s">
        <v>305</v>
      </c>
      <c r="D529">
        <v>11</v>
      </c>
      <c r="E529">
        <v>37</v>
      </c>
      <c r="F529" t="s">
        <v>45</v>
      </c>
      <c r="G529" s="106">
        <v>0.74305555555555558</v>
      </c>
      <c r="H529" t="s">
        <v>85</v>
      </c>
      <c r="I529" t="s">
        <v>242</v>
      </c>
      <c r="J529">
        <v>64</v>
      </c>
      <c r="K529">
        <v>4.6500000000000004</v>
      </c>
      <c r="L529">
        <v>111</v>
      </c>
      <c r="M529">
        <v>8</v>
      </c>
      <c r="N529" s="58">
        <v>115.18</v>
      </c>
      <c r="O529" s="58">
        <v>90.427000000000007</v>
      </c>
      <c r="P529" s="58">
        <v>24.7699</v>
      </c>
      <c r="Q529" s="58">
        <v>19.446666666666701</v>
      </c>
      <c r="R529" s="58">
        <v>14.397500000000001</v>
      </c>
      <c r="S529" s="58">
        <v>1.0376576576576599</v>
      </c>
      <c r="T529" t="s">
        <v>176</v>
      </c>
      <c r="U529" s="11">
        <v>54.5503</v>
      </c>
      <c r="V529"/>
      <c r="W529"/>
    </row>
    <row r="530" spans="1:23" x14ac:dyDescent="0.35">
      <c r="A530" s="40">
        <v>45177</v>
      </c>
      <c r="B530">
        <v>2023</v>
      </c>
      <c r="C530" t="s">
        <v>305</v>
      </c>
      <c r="D530">
        <v>11</v>
      </c>
      <c r="E530">
        <v>37</v>
      </c>
      <c r="F530" t="s">
        <v>50</v>
      </c>
      <c r="G530" s="106">
        <v>0.75347222222222221</v>
      </c>
      <c r="H530" t="s">
        <v>80</v>
      </c>
      <c r="I530" t="s">
        <v>245</v>
      </c>
      <c r="J530">
        <v>79</v>
      </c>
      <c r="K530">
        <v>5.2</v>
      </c>
      <c r="L530">
        <v>84</v>
      </c>
      <c r="M530">
        <v>11</v>
      </c>
      <c r="N530" s="58">
        <v>140.02000000000001</v>
      </c>
      <c r="O530" s="58">
        <v>121.288</v>
      </c>
      <c r="P530" s="58">
        <v>26.9269</v>
      </c>
      <c r="Q530" s="58">
        <v>23.324615384615399</v>
      </c>
      <c r="R530" s="58">
        <v>12.7290909090909</v>
      </c>
      <c r="S530" s="58">
        <v>1.6669047619047599</v>
      </c>
      <c r="T530" t="s">
        <v>176</v>
      </c>
      <c r="U530" s="11">
        <v>53.270600000000002</v>
      </c>
      <c r="V530"/>
      <c r="W530"/>
    </row>
    <row r="531" spans="1:23" x14ac:dyDescent="0.35">
      <c r="A531" s="40">
        <v>45176</v>
      </c>
      <c r="B531">
        <v>2023</v>
      </c>
      <c r="C531" t="s">
        <v>305</v>
      </c>
      <c r="D531">
        <v>11</v>
      </c>
      <c r="E531">
        <v>37</v>
      </c>
      <c r="F531" t="s">
        <v>49</v>
      </c>
      <c r="G531" s="106">
        <v>0.71527777777777779</v>
      </c>
      <c r="H531" t="s">
        <v>85</v>
      </c>
      <c r="I531" t="s">
        <v>242</v>
      </c>
      <c r="J531">
        <v>75</v>
      </c>
      <c r="K531">
        <v>5.38</v>
      </c>
      <c r="L531">
        <v>107</v>
      </c>
      <c r="M531">
        <v>13</v>
      </c>
      <c r="N531" s="58">
        <v>134.9</v>
      </c>
      <c r="O531" s="58">
        <v>111.039</v>
      </c>
      <c r="P531" s="58">
        <v>25.074300000000001</v>
      </c>
      <c r="Q531" s="58">
        <v>20.639219330854999</v>
      </c>
      <c r="R531" s="58">
        <v>10.3769230769231</v>
      </c>
      <c r="S531" s="58">
        <v>1.2607476635514001</v>
      </c>
      <c r="T531" t="s">
        <v>176</v>
      </c>
      <c r="U531" s="11">
        <v>53.034799999999997</v>
      </c>
      <c r="V531"/>
      <c r="W531"/>
    </row>
    <row r="532" spans="1:23" x14ac:dyDescent="0.35">
      <c r="A532" s="40">
        <v>45175</v>
      </c>
      <c r="B532">
        <v>2023</v>
      </c>
      <c r="C532" t="s">
        <v>305</v>
      </c>
      <c r="D532">
        <v>11</v>
      </c>
      <c r="E532">
        <v>37</v>
      </c>
      <c r="F532" t="s">
        <v>48</v>
      </c>
      <c r="G532" s="106">
        <v>0.71527777777777779</v>
      </c>
      <c r="H532" t="s">
        <v>80</v>
      </c>
      <c r="I532" t="s">
        <v>242</v>
      </c>
      <c r="J532">
        <v>81</v>
      </c>
      <c r="K532">
        <v>4.75</v>
      </c>
      <c r="L532">
        <v>119</v>
      </c>
      <c r="M532">
        <v>10</v>
      </c>
      <c r="N532" s="58">
        <v>145.09</v>
      </c>
      <c r="O532" s="58">
        <v>118.553</v>
      </c>
      <c r="P532" s="58">
        <v>30.545300000000001</v>
      </c>
      <c r="Q532" s="58">
        <v>24.958526315789499</v>
      </c>
      <c r="R532" s="58">
        <v>14.509</v>
      </c>
      <c r="S532" s="58">
        <v>1.21924369747899</v>
      </c>
      <c r="T532" t="s">
        <v>176</v>
      </c>
      <c r="U532" s="11">
        <v>52.790100000000002</v>
      </c>
      <c r="V532"/>
      <c r="W532"/>
    </row>
    <row r="533" spans="1:23" x14ac:dyDescent="0.35">
      <c r="A533" s="40">
        <v>45171</v>
      </c>
      <c r="B533">
        <v>2023</v>
      </c>
      <c r="C533" t="s">
        <v>305</v>
      </c>
      <c r="D533">
        <v>10</v>
      </c>
      <c r="E533">
        <v>36</v>
      </c>
      <c r="F533" t="s">
        <v>51</v>
      </c>
      <c r="G533" s="106">
        <v>0.67013888888888884</v>
      </c>
      <c r="H533" t="s">
        <v>80</v>
      </c>
      <c r="I533" t="s">
        <v>230</v>
      </c>
      <c r="J533">
        <v>70</v>
      </c>
      <c r="K533">
        <v>7.38</v>
      </c>
      <c r="L533">
        <v>177</v>
      </c>
      <c r="M533">
        <v>18</v>
      </c>
      <c r="N533" s="58">
        <v>173.91</v>
      </c>
      <c r="O533" s="58">
        <v>134.43899999999999</v>
      </c>
      <c r="P533" s="58">
        <v>23.565000000000001</v>
      </c>
      <c r="Q533" s="58">
        <v>18.216666666666701</v>
      </c>
      <c r="R533" s="58">
        <v>9.6616666666666706</v>
      </c>
      <c r="S533" s="58">
        <v>0.98254237288135604</v>
      </c>
      <c r="T533" t="s">
        <v>175</v>
      </c>
      <c r="U533" s="11">
        <v>51.177999999999997</v>
      </c>
      <c r="V533"/>
      <c r="W533"/>
    </row>
    <row r="534" spans="1:23" x14ac:dyDescent="0.35">
      <c r="A534" s="40">
        <v>45170</v>
      </c>
      <c r="B534">
        <v>2023</v>
      </c>
      <c r="C534" t="s">
        <v>305</v>
      </c>
      <c r="D534">
        <v>10</v>
      </c>
      <c r="E534">
        <v>36</v>
      </c>
      <c r="F534" t="s">
        <v>50</v>
      </c>
      <c r="G534" s="106">
        <v>0.67013888888888884</v>
      </c>
      <c r="H534" t="s">
        <v>82</v>
      </c>
      <c r="I534" t="s">
        <v>230</v>
      </c>
      <c r="J534">
        <v>73</v>
      </c>
      <c r="K534">
        <v>3.87</v>
      </c>
      <c r="L534">
        <v>75</v>
      </c>
      <c r="M534">
        <v>8</v>
      </c>
      <c r="N534" s="58">
        <v>63.02</v>
      </c>
      <c r="O534" s="58">
        <v>46.295000000000002</v>
      </c>
      <c r="P534" s="58">
        <v>16.284199999999998</v>
      </c>
      <c r="Q534" s="58">
        <v>11.9625322997416</v>
      </c>
      <c r="R534" s="58">
        <v>7.8775000000000004</v>
      </c>
      <c r="S534" s="58">
        <v>0.84026666666666705</v>
      </c>
      <c r="T534" t="s">
        <v>175</v>
      </c>
      <c r="U534" s="11">
        <v>49.245699999999999</v>
      </c>
      <c r="V534"/>
      <c r="W534"/>
    </row>
    <row r="535" spans="1:23" x14ac:dyDescent="0.35">
      <c r="A535" s="40">
        <v>45169</v>
      </c>
      <c r="B535">
        <v>2023</v>
      </c>
      <c r="C535" t="s">
        <v>305</v>
      </c>
      <c r="D535">
        <v>10</v>
      </c>
      <c r="E535">
        <v>36</v>
      </c>
      <c r="F535" t="s">
        <v>49</v>
      </c>
      <c r="G535" s="106">
        <v>0.71527777777777779</v>
      </c>
      <c r="H535" t="s">
        <v>85</v>
      </c>
      <c r="I535" t="s">
        <v>230</v>
      </c>
      <c r="J535">
        <v>64</v>
      </c>
      <c r="K535">
        <v>7.45</v>
      </c>
      <c r="L535">
        <v>111</v>
      </c>
      <c r="M535">
        <v>15</v>
      </c>
      <c r="N535" s="58">
        <v>152.05000000000001</v>
      </c>
      <c r="O535" s="58">
        <v>127.297</v>
      </c>
      <c r="P535" s="58">
        <v>20.409400000000002</v>
      </c>
      <c r="Q535" s="58">
        <v>17.086845637583899</v>
      </c>
      <c r="R535" s="58">
        <v>10.1366666666667</v>
      </c>
      <c r="S535" s="58">
        <v>1.3698198198198199</v>
      </c>
      <c r="T535" t="s">
        <v>176</v>
      </c>
      <c r="U535" s="11">
        <v>48.545400000000001</v>
      </c>
      <c r="V535"/>
      <c r="W535"/>
    </row>
    <row r="536" spans="1:23" x14ac:dyDescent="0.35">
      <c r="A536" s="40">
        <v>45168</v>
      </c>
      <c r="B536">
        <v>2023</v>
      </c>
      <c r="C536" t="s">
        <v>305</v>
      </c>
      <c r="D536">
        <v>10</v>
      </c>
      <c r="E536">
        <v>36</v>
      </c>
      <c r="F536" t="s">
        <v>48</v>
      </c>
      <c r="G536" s="106">
        <v>0.72222222222222221</v>
      </c>
      <c r="H536" t="s">
        <v>85</v>
      </c>
      <c r="I536" t="s">
        <v>242</v>
      </c>
      <c r="J536">
        <v>72</v>
      </c>
      <c r="K536">
        <v>5.17</v>
      </c>
      <c r="L536">
        <v>98</v>
      </c>
      <c r="M536">
        <v>10</v>
      </c>
      <c r="N536" s="58">
        <v>106.1</v>
      </c>
      <c r="O536" s="58">
        <v>84.245999999999995</v>
      </c>
      <c r="P536" s="58">
        <v>20.522200000000002</v>
      </c>
      <c r="Q536" s="58">
        <v>16.295164410058</v>
      </c>
      <c r="R536" s="58">
        <v>10.61</v>
      </c>
      <c r="S536" s="58">
        <v>1.08265306122449</v>
      </c>
      <c r="T536" t="s">
        <v>176</v>
      </c>
      <c r="U536" s="11">
        <v>48.118000000000002</v>
      </c>
      <c r="V536"/>
      <c r="W536"/>
    </row>
    <row r="537" spans="1:23" x14ac:dyDescent="0.35">
      <c r="A537" s="40">
        <v>45167</v>
      </c>
      <c r="B537">
        <v>2023</v>
      </c>
      <c r="C537" t="s">
        <v>305</v>
      </c>
      <c r="D537">
        <v>10</v>
      </c>
      <c r="E537">
        <v>36</v>
      </c>
      <c r="F537" t="s">
        <v>47</v>
      </c>
      <c r="G537" s="106">
        <v>0.71527777777777779</v>
      </c>
      <c r="H537" t="s">
        <v>80</v>
      </c>
      <c r="I537" t="s">
        <v>249</v>
      </c>
      <c r="J537">
        <v>72</v>
      </c>
      <c r="K537">
        <v>3.82</v>
      </c>
      <c r="L537">
        <v>71</v>
      </c>
      <c r="M537">
        <v>12</v>
      </c>
      <c r="N537" s="58">
        <v>80.94</v>
      </c>
      <c r="O537" s="58">
        <v>65.106999999999999</v>
      </c>
      <c r="P537" s="58">
        <v>21.188500000000001</v>
      </c>
      <c r="Q537" s="58">
        <v>17.043717277486898</v>
      </c>
      <c r="R537" s="58">
        <v>6.7450000000000001</v>
      </c>
      <c r="S537" s="58">
        <v>1.1399999999999999</v>
      </c>
      <c r="T537" t="s">
        <v>176</v>
      </c>
      <c r="U537" s="11">
        <v>48.139099999999999</v>
      </c>
      <c r="V537"/>
      <c r="W537"/>
    </row>
    <row r="538" spans="1:23" x14ac:dyDescent="0.35">
      <c r="A538" s="40">
        <v>45164</v>
      </c>
      <c r="B538">
        <v>2023</v>
      </c>
      <c r="C538" t="s">
        <v>305</v>
      </c>
      <c r="D538">
        <v>9</v>
      </c>
      <c r="E538">
        <v>35</v>
      </c>
      <c r="F538" t="s">
        <v>51</v>
      </c>
      <c r="G538" s="106">
        <v>0.64236111111111116</v>
      </c>
      <c r="H538" t="s">
        <v>85</v>
      </c>
      <c r="I538" t="s">
        <v>243</v>
      </c>
      <c r="J538">
        <v>72</v>
      </c>
      <c r="K538">
        <v>8.0299999999999994</v>
      </c>
      <c r="L538">
        <v>181</v>
      </c>
      <c r="M538">
        <v>16</v>
      </c>
      <c r="N538" s="58">
        <v>149.58000000000001</v>
      </c>
      <c r="O538" s="58">
        <v>109.217</v>
      </c>
      <c r="P538" s="58">
        <v>18.627600000000001</v>
      </c>
      <c r="Q538" s="58">
        <v>13.6011207970112</v>
      </c>
      <c r="R538" s="58">
        <v>9.3487500000000008</v>
      </c>
      <c r="S538" s="58">
        <v>0.82640883977900603</v>
      </c>
      <c r="T538" t="s">
        <v>176</v>
      </c>
      <c r="U538" s="11">
        <v>47.821800000000003</v>
      </c>
      <c r="V538"/>
      <c r="W538"/>
    </row>
    <row r="539" spans="1:23" x14ac:dyDescent="0.35">
      <c r="A539" s="40">
        <v>45163</v>
      </c>
      <c r="B539">
        <v>2023</v>
      </c>
      <c r="C539" t="s">
        <v>305</v>
      </c>
      <c r="D539">
        <v>9</v>
      </c>
      <c r="E539">
        <v>35</v>
      </c>
      <c r="F539" t="s">
        <v>50</v>
      </c>
      <c r="G539" s="106">
        <v>0.71180555555555558</v>
      </c>
      <c r="H539" t="s">
        <v>80</v>
      </c>
      <c r="I539" t="s">
        <v>236</v>
      </c>
      <c r="J539">
        <v>66</v>
      </c>
      <c r="K539">
        <v>7.03</v>
      </c>
      <c r="L539">
        <v>117</v>
      </c>
      <c r="M539">
        <v>13</v>
      </c>
      <c r="N539" s="58">
        <v>173.74</v>
      </c>
      <c r="O539" s="58">
        <v>147.649</v>
      </c>
      <c r="P539" s="58">
        <v>24.714099999999998</v>
      </c>
      <c r="Q539" s="58">
        <v>21.002702702702699</v>
      </c>
      <c r="R539" s="58">
        <v>13.3646153846154</v>
      </c>
      <c r="S539" s="58">
        <v>1.48495726495726</v>
      </c>
      <c r="T539" t="s">
        <v>176</v>
      </c>
      <c r="U539" s="11">
        <v>46.159799999999997</v>
      </c>
      <c r="V539"/>
      <c r="W539"/>
    </row>
    <row r="540" spans="1:23" x14ac:dyDescent="0.35">
      <c r="A540" s="40">
        <v>45162</v>
      </c>
      <c r="B540">
        <v>2023</v>
      </c>
      <c r="C540" t="s">
        <v>305</v>
      </c>
      <c r="D540">
        <v>9</v>
      </c>
      <c r="E540">
        <v>35</v>
      </c>
      <c r="F540" t="s">
        <v>49</v>
      </c>
      <c r="G540" s="106">
        <v>0.73263888888888884</v>
      </c>
      <c r="H540" t="s">
        <v>85</v>
      </c>
      <c r="I540" t="s">
        <v>231</v>
      </c>
      <c r="J540">
        <v>68</v>
      </c>
      <c r="K540">
        <v>3.25</v>
      </c>
      <c r="L540">
        <v>67</v>
      </c>
      <c r="M540">
        <v>6</v>
      </c>
      <c r="N540" s="58">
        <v>55.68</v>
      </c>
      <c r="O540" s="58">
        <v>40.738999999999997</v>
      </c>
      <c r="P540" s="58">
        <v>17.132300000000001</v>
      </c>
      <c r="Q540" s="58">
        <v>12.5350769230769</v>
      </c>
      <c r="R540" s="58">
        <v>9.2799999999999994</v>
      </c>
      <c r="S540" s="58">
        <v>0.83104477611940297</v>
      </c>
      <c r="T540" t="s">
        <v>176</v>
      </c>
      <c r="U540" s="11">
        <v>44.229300000000002</v>
      </c>
      <c r="V540"/>
      <c r="W540"/>
    </row>
    <row r="541" spans="1:23" x14ac:dyDescent="0.35">
      <c r="A541" s="40">
        <v>45161</v>
      </c>
      <c r="B541">
        <v>2023</v>
      </c>
      <c r="C541" t="s">
        <v>305</v>
      </c>
      <c r="D541">
        <v>9</v>
      </c>
      <c r="E541">
        <v>35</v>
      </c>
      <c r="F541" t="s">
        <v>48</v>
      </c>
      <c r="G541" s="106">
        <v>0.74305555555555558</v>
      </c>
      <c r="H541" t="s">
        <v>80</v>
      </c>
      <c r="I541" t="s">
        <v>230</v>
      </c>
      <c r="J541">
        <v>73</v>
      </c>
      <c r="K541">
        <v>4.0199999999999996</v>
      </c>
      <c r="L541">
        <v>104</v>
      </c>
      <c r="M541">
        <v>8</v>
      </c>
      <c r="N541" s="58">
        <v>82.61</v>
      </c>
      <c r="O541" s="58">
        <v>59.417999999999999</v>
      </c>
      <c r="P541" s="58">
        <v>20.549800000000001</v>
      </c>
      <c r="Q541" s="58">
        <v>14.7805970149254</v>
      </c>
      <c r="R541" s="58">
        <v>10.32625</v>
      </c>
      <c r="S541" s="58">
        <v>0.79432692307692299</v>
      </c>
      <c r="T541" t="s">
        <v>175</v>
      </c>
      <c r="U541" s="11">
        <v>45.640099999999997</v>
      </c>
      <c r="V541"/>
      <c r="W541"/>
    </row>
    <row r="542" spans="1:23" x14ac:dyDescent="0.35">
      <c r="A542" s="40">
        <v>45158</v>
      </c>
      <c r="B542">
        <v>2023</v>
      </c>
      <c r="C542" t="s">
        <v>305</v>
      </c>
      <c r="D542">
        <v>8</v>
      </c>
      <c r="E542">
        <v>34</v>
      </c>
      <c r="F542" t="s">
        <v>45</v>
      </c>
      <c r="G542" s="106">
        <v>0.69791666666666663</v>
      </c>
      <c r="H542" t="s">
        <v>82</v>
      </c>
      <c r="I542" t="s">
        <v>230</v>
      </c>
      <c r="J542">
        <v>79</v>
      </c>
      <c r="K542">
        <v>1.38</v>
      </c>
      <c r="L542">
        <v>29</v>
      </c>
      <c r="M542">
        <v>2</v>
      </c>
      <c r="N542" s="58">
        <v>20.39</v>
      </c>
      <c r="O542" s="58">
        <v>13.923</v>
      </c>
      <c r="P542" s="58">
        <v>14.775399999999999</v>
      </c>
      <c r="Q542" s="58">
        <v>10.0891304347826</v>
      </c>
      <c r="R542" s="58">
        <v>10.195</v>
      </c>
      <c r="S542" s="58">
        <v>0.70310344827586202</v>
      </c>
      <c r="T542" t="s">
        <v>175</v>
      </c>
      <c r="U542" s="11">
        <v>45.836199999999998</v>
      </c>
      <c r="V542"/>
      <c r="W542"/>
    </row>
    <row r="543" spans="1:23" x14ac:dyDescent="0.35">
      <c r="A543" s="40">
        <v>45157</v>
      </c>
      <c r="B543">
        <v>2023</v>
      </c>
      <c r="C543" t="s">
        <v>305</v>
      </c>
      <c r="D543">
        <v>8</v>
      </c>
      <c r="E543">
        <v>34</v>
      </c>
      <c r="F543" t="s">
        <v>51</v>
      </c>
      <c r="G543" s="106">
        <v>0.69791666666666663</v>
      </c>
      <c r="H543" t="s">
        <v>82</v>
      </c>
      <c r="I543" t="s">
        <v>231</v>
      </c>
      <c r="J543">
        <v>68</v>
      </c>
      <c r="K543">
        <v>5.37</v>
      </c>
      <c r="L543">
        <v>64</v>
      </c>
      <c r="M543">
        <v>15</v>
      </c>
      <c r="N543" s="58">
        <v>104.25</v>
      </c>
      <c r="O543" s="58">
        <v>89.977999999999994</v>
      </c>
      <c r="P543" s="58">
        <v>19.413399999999999</v>
      </c>
      <c r="Q543" s="58">
        <v>16.755679702048401</v>
      </c>
      <c r="R543" s="58">
        <v>6.95</v>
      </c>
      <c r="S543" s="58">
        <v>1.62890625</v>
      </c>
      <c r="T543" t="s">
        <v>175</v>
      </c>
      <c r="U543" s="11">
        <v>46.613700000000001</v>
      </c>
      <c r="V543"/>
      <c r="W543"/>
    </row>
    <row r="544" spans="1:23" x14ac:dyDescent="0.35">
      <c r="A544" s="40">
        <v>45156</v>
      </c>
      <c r="B544">
        <v>2023</v>
      </c>
      <c r="C544" t="s">
        <v>305</v>
      </c>
      <c r="D544">
        <v>8</v>
      </c>
      <c r="E544">
        <v>34</v>
      </c>
      <c r="F544" t="s">
        <v>50</v>
      </c>
      <c r="G544" s="106">
        <v>0.70833333333333337</v>
      </c>
      <c r="H544" t="s">
        <v>174</v>
      </c>
      <c r="I544" t="s">
        <v>231</v>
      </c>
      <c r="J544">
        <v>70</v>
      </c>
      <c r="K544">
        <v>5.6</v>
      </c>
      <c r="L544">
        <v>133</v>
      </c>
      <c r="M544">
        <v>12</v>
      </c>
      <c r="N544" s="58">
        <v>110.05</v>
      </c>
      <c r="O544" s="58">
        <v>80.391000000000005</v>
      </c>
      <c r="P544" s="58">
        <v>19.651800000000001</v>
      </c>
      <c r="Q544" s="58">
        <v>14.355535714285701</v>
      </c>
      <c r="R544" s="58">
        <v>9.1708333333333307</v>
      </c>
      <c r="S544" s="58">
        <v>0.82744360902255598</v>
      </c>
      <c r="T544" t="s">
        <v>175</v>
      </c>
      <c r="U544" s="11">
        <v>45.6753</v>
      </c>
      <c r="V544"/>
      <c r="W544"/>
    </row>
    <row r="545" spans="1:23" x14ac:dyDescent="0.35">
      <c r="A545" s="40">
        <v>45155</v>
      </c>
      <c r="B545">
        <v>2023</v>
      </c>
      <c r="C545" t="s">
        <v>305</v>
      </c>
      <c r="D545">
        <v>8</v>
      </c>
      <c r="E545">
        <v>34</v>
      </c>
      <c r="F545" t="s">
        <v>49</v>
      </c>
      <c r="G545" s="106">
        <v>0.77430555555555558</v>
      </c>
      <c r="H545" t="s">
        <v>85</v>
      </c>
      <c r="I545" t="s">
        <v>231</v>
      </c>
      <c r="J545">
        <v>66</v>
      </c>
      <c r="K545">
        <v>4.0199999999999996</v>
      </c>
      <c r="L545">
        <v>88</v>
      </c>
      <c r="M545">
        <v>11</v>
      </c>
      <c r="N545" s="58">
        <v>97.8</v>
      </c>
      <c r="O545" s="58">
        <v>78.176000000000002</v>
      </c>
      <c r="P545" s="58">
        <v>24.328399999999998</v>
      </c>
      <c r="Q545" s="58">
        <v>19.446766169154198</v>
      </c>
      <c r="R545" s="58">
        <v>8.8909090909090907</v>
      </c>
      <c r="S545" s="58">
        <v>1.1113636363636401</v>
      </c>
      <c r="T545" t="s">
        <v>175</v>
      </c>
      <c r="U545" s="11">
        <v>44.452599999999997</v>
      </c>
      <c r="V545"/>
      <c r="W545"/>
    </row>
    <row r="546" spans="1:23" x14ac:dyDescent="0.35">
      <c r="A546" s="40">
        <v>45154</v>
      </c>
      <c r="B546">
        <v>2023</v>
      </c>
      <c r="C546" t="s">
        <v>305</v>
      </c>
      <c r="D546">
        <v>8</v>
      </c>
      <c r="E546">
        <v>34</v>
      </c>
      <c r="F546" t="s">
        <v>48</v>
      </c>
      <c r="G546" s="106">
        <v>0.73263888888888884</v>
      </c>
      <c r="H546" t="s">
        <v>85</v>
      </c>
      <c r="I546" t="s">
        <v>231</v>
      </c>
      <c r="J546">
        <v>66</v>
      </c>
      <c r="K546">
        <v>5.57</v>
      </c>
      <c r="L546">
        <v>95</v>
      </c>
      <c r="M546">
        <v>14</v>
      </c>
      <c r="N546" s="58">
        <v>131.44</v>
      </c>
      <c r="O546" s="58">
        <v>110.255</v>
      </c>
      <c r="P546" s="58">
        <v>23.597799999999999</v>
      </c>
      <c r="Q546" s="58">
        <v>19.794434470376999</v>
      </c>
      <c r="R546" s="58">
        <v>9.3885714285714297</v>
      </c>
      <c r="S546" s="58">
        <v>1.3835789473684199</v>
      </c>
      <c r="T546" t="s">
        <v>176</v>
      </c>
      <c r="U546" s="11">
        <v>43.365900000000003</v>
      </c>
      <c r="V546"/>
      <c r="W546"/>
    </row>
    <row r="547" spans="1:23" x14ac:dyDescent="0.35">
      <c r="A547" s="40">
        <v>45149</v>
      </c>
      <c r="B547">
        <v>2023</v>
      </c>
      <c r="C547" t="s">
        <v>305</v>
      </c>
      <c r="D547">
        <v>7</v>
      </c>
      <c r="E547">
        <v>33</v>
      </c>
      <c r="F547" t="s">
        <v>50</v>
      </c>
      <c r="G547" s="106">
        <v>0.72916666666666663</v>
      </c>
      <c r="H547" t="s">
        <v>80</v>
      </c>
      <c r="I547" t="s">
        <v>230</v>
      </c>
      <c r="J547">
        <v>73</v>
      </c>
      <c r="K547">
        <v>3.27</v>
      </c>
      <c r="L547">
        <v>67</v>
      </c>
      <c r="M547">
        <v>5</v>
      </c>
      <c r="N547" s="58">
        <v>51.76</v>
      </c>
      <c r="O547" s="58">
        <v>36.819000000000003</v>
      </c>
      <c r="P547" s="58">
        <v>15.8287</v>
      </c>
      <c r="Q547" s="58">
        <v>11.2596330275229</v>
      </c>
      <c r="R547" s="58">
        <v>10.352</v>
      </c>
      <c r="S547" s="58">
        <v>0.77253731343283605</v>
      </c>
      <c r="T547" t="s">
        <v>175</v>
      </c>
      <c r="U547" s="11">
        <v>42.564</v>
      </c>
      <c r="V547"/>
      <c r="W547"/>
    </row>
    <row r="548" spans="1:23" x14ac:dyDescent="0.35">
      <c r="A548" s="40">
        <v>45148</v>
      </c>
      <c r="B548">
        <v>2023</v>
      </c>
      <c r="C548" t="s">
        <v>305</v>
      </c>
      <c r="D548">
        <v>7</v>
      </c>
      <c r="E548">
        <v>33</v>
      </c>
      <c r="F548" t="s">
        <v>49</v>
      </c>
      <c r="G548" s="106">
        <v>0.76041666666666663</v>
      </c>
      <c r="H548" t="s">
        <v>85</v>
      </c>
      <c r="I548" t="s">
        <v>231</v>
      </c>
      <c r="J548">
        <v>73</v>
      </c>
      <c r="K548">
        <v>2.92</v>
      </c>
      <c r="L548">
        <v>69</v>
      </c>
      <c r="M548">
        <v>5</v>
      </c>
      <c r="N548" s="58">
        <v>57.32</v>
      </c>
      <c r="O548" s="58">
        <v>41.933</v>
      </c>
      <c r="P548" s="58">
        <v>19.630099999999999</v>
      </c>
      <c r="Q548" s="58">
        <v>14.3606164383562</v>
      </c>
      <c r="R548" s="58">
        <v>11.464</v>
      </c>
      <c r="S548" s="58">
        <v>0.83072463768115901</v>
      </c>
      <c r="T548" t="s">
        <v>176</v>
      </c>
      <c r="U548" s="11">
        <v>41.988900000000001</v>
      </c>
      <c r="V548"/>
      <c r="W548"/>
    </row>
    <row r="549" spans="1:23" x14ac:dyDescent="0.35">
      <c r="A549" s="40">
        <v>45146</v>
      </c>
      <c r="B549">
        <v>2023</v>
      </c>
      <c r="C549" t="s">
        <v>305</v>
      </c>
      <c r="D549">
        <v>7</v>
      </c>
      <c r="E549">
        <v>33</v>
      </c>
      <c r="F549" t="s">
        <v>47</v>
      </c>
      <c r="G549" s="106">
        <v>0.70138888888888884</v>
      </c>
      <c r="H549" t="s">
        <v>80</v>
      </c>
      <c r="I549" t="s">
        <v>236</v>
      </c>
      <c r="J549">
        <v>68</v>
      </c>
      <c r="K549">
        <v>4.97</v>
      </c>
      <c r="L549">
        <v>124</v>
      </c>
      <c r="M549">
        <v>9</v>
      </c>
      <c r="N549" s="58">
        <v>106.42</v>
      </c>
      <c r="O549" s="58">
        <v>78.768000000000001</v>
      </c>
      <c r="P549" s="58">
        <v>21.412500000000001</v>
      </c>
      <c r="Q549" s="58">
        <v>15.848692152917501</v>
      </c>
      <c r="R549" s="58">
        <v>11.824444444444399</v>
      </c>
      <c r="S549" s="58">
        <v>0.85822580645161295</v>
      </c>
      <c r="T549" t="s">
        <v>176</v>
      </c>
      <c r="U549" s="11">
        <v>42.771999999999998</v>
      </c>
      <c r="V549"/>
      <c r="W549"/>
    </row>
    <row r="550" spans="1:23" x14ac:dyDescent="0.35">
      <c r="A550" s="40">
        <v>45145</v>
      </c>
      <c r="B550">
        <v>2023</v>
      </c>
      <c r="C550" t="s">
        <v>305</v>
      </c>
      <c r="D550">
        <v>7</v>
      </c>
      <c r="E550">
        <v>33</v>
      </c>
      <c r="F550" t="s">
        <v>46</v>
      </c>
      <c r="G550" s="106">
        <v>0.71527777777777779</v>
      </c>
      <c r="H550" t="s">
        <v>174</v>
      </c>
      <c r="I550" t="s">
        <v>230</v>
      </c>
      <c r="J550">
        <v>70</v>
      </c>
      <c r="K550">
        <v>5.48</v>
      </c>
      <c r="L550">
        <v>132</v>
      </c>
      <c r="M550">
        <v>9</v>
      </c>
      <c r="N550" s="58">
        <v>85.91</v>
      </c>
      <c r="O550" s="58">
        <v>56.473999999999997</v>
      </c>
      <c r="P550" s="58">
        <v>15.677</v>
      </c>
      <c r="Q550" s="58">
        <v>10.3054744525547</v>
      </c>
      <c r="R550" s="58">
        <v>9.5455555555555591</v>
      </c>
      <c r="S550" s="58">
        <v>0.65083333333333304</v>
      </c>
      <c r="T550" t="s">
        <v>175</v>
      </c>
      <c r="U550" s="11">
        <v>42.478000000000002</v>
      </c>
      <c r="V550"/>
      <c r="W550"/>
    </row>
    <row r="551" spans="1:23" x14ac:dyDescent="0.35">
      <c r="A551" s="40">
        <v>45144</v>
      </c>
      <c r="B551">
        <v>2023</v>
      </c>
      <c r="C551" t="s">
        <v>305</v>
      </c>
      <c r="D551">
        <v>6</v>
      </c>
      <c r="E551">
        <v>32</v>
      </c>
      <c r="F551" t="s">
        <v>45</v>
      </c>
      <c r="G551" s="106">
        <v>0.65625</v>
      </c>
      <c r="H551" t="s">
        <v>82</v>
      </c>
      <c r="I551" t="s">
        <v>230</v>
      </c>
      <c r="J551">
        <v>79</v>
      </c>
      <c r="K551">
        <v>4.05</v>
      </c>
      <c r="L551">
        <v>68</v>
      </c>
      <c r="M551">
        <v>7</v>
      </c>
      <c r="N551" s="58">
        <v>78.959999999999994</v>
      </c>
      <c r="O551" s="58">
        <v>63.795999999999999</v>
      </c>
      <c r="P551" s="58">
        <v>19.496300000000002</v>
      </c>
      <c r="Q551" s="58">
        <v>15.7520987654321</v>
      </c>
      <c r="R551" s="58">
        <v>11.28</v>
      </c>
      <c r="S551" s="58">
        <v>1.1611764705882399</v>
      </c>
      <c r="T551" t="s">
        <v>176</v>
      </c>
      <c r="U551" s="11">
        <v>41.523400000000002</v>
      </c>
      <c r="V551"/>
      <c r="W551"/>
    </row>
    <row r="552" spans="1:23" x14ac:dyDescent="0.35">
      <c r="A552" s="40">
        <v>45143</v>
      </c>
      <c r="B552">
        <v>2023</v>
      </c>
      <c r="C552" t="s">
        <v>305</v>
      </c>
      <c r="D552">
        <v>6</v>
      </c>
      <c r="E552">
        <v>32</v>
      </c>
      <c r="F552" t="s">
        <v>51</v>
      </c>
      <c r="G552" s="106">
        <v>0.65972222222222221</v>
      </c>
      <c r="H552" t="s">
        <v>82</v>
      </c>
      <c r="I552" t="s">
        <v>230</v>
      </c>
      <c r="J552">
        <v>73</v>
      </c>
      <c r="K552">
        <v>9.2200000000000006</v>
      </c>
      <c r="L552">
        <v>162</v>
      </c>
      <c r="M552">
        <v>18</v>
      </c>
      <c r="N552" s="58">
        <v>191.78</v>
      </c>
      <c r="O552" s="58">
        <v>155.654</v>
      </c>
      <c r="P552" s="58">
        <v>20.8004</v>
      </c>
      <c r="Q552" s="58">
        <v>16.882212581344898</v>
      </c>
      <c r="R552" s="58">
        <v>10.654444444444399</v>
      </c>
      <c r="S552" s="58">
        <v>1.18382716049383</v>
      </c>
      <c r="T552" t="s">
        <v>176</v>
      </c>
      <c r="U552" s="11">
        <v>40.646099999999997</v>
      </c>
      <c r="V552"/>
      <c r="W552"/>
    </row>
    <row r="553" spans="1:23" x14ac:dyDescent="0.35">
      <c r="A553" s="40">
        <v>45142</v>
      </c>
      <c r="B553">
        <v>2023</v>
      </c>
      <c r="C553" t="s">
        <v>305</v>
      </c>
      <c r="D553">
        <v>6</v>
      </c>
      <c r="E553">
        <v>32</v>
      </c>
      <c r="F553" t="s">
        <v>50</v>
      </c>
      <c r="G553" s="106">
        <v>0.73611111111111116</v>
      </c>
      <c r="H553" t="s">
        <v>80</v>
      </c>
      <c r="I553" t="s">
        <v>245</v>
      </c>
      <c r="J553">
        <v>66</v>
      </c>
      <c r="K553">
        <v>4.28</v>
      </c>
      <c r="L553">
        <v>85</v>
      </c>
      <c r="M553">
        <v>11</v>
      </c>
      <c r="N553" s="58">
        <v>73.69</v>
      </c>
      <c r="O553" s="58">
        <v>54.734999999999999</v>
      </c>
      <c r="P553" s="58">
        <v>17.217300000000002</v>
      </c>
      <c r="Q553" s="58">
        <v>12.788551401869199</v>
      </c>
      <c r="R553" s="58">
        <v>6.6990909090909101</v>
      </c>
      <c r="S553" s="58">
        <v>0.86694117647058799</v>
      </c>
      <c r="T553" t="s">
        <v>176</v>
      </c>
      <c r="U553" s="11">
        <v>39.335999999999999</v>
      </c>
      <c r="V553"/>
      <c r="W553"/>
    </row>
    <row r="554" spans="1:23" x14ac:dyDescent="0.35">
      <c r="A554" s="40">
        <v>45140</v>
      </c>
      <c r="B554">
        <v>2023</v>
      </c>
      <c r="C554" t="s">
        <v>305</v>
      </c>
      <c r="D554">
        <v>6</v>
      </c>
      <c r="E554">
        <v>32</v>
      </c>
      <c r="F554" t="s">
        <v>48</v>
      </c>
      <c r="G554" s="106">
        <v>0.74305555555555558</v>
      </c>
      <c r="H554" t="s">
        <v>174</v>
      </c>
      <c r="I554" t="s">
        <v>230</v>
      </c>
      <c r="J554">
        <v>72</v>
      </c>
      <c r="K554">
        <v>4.45</v>
      </c>
      <c r="L554">
        <v>109</v>
      </c>
      <c r="M554">
        <v>8</v>
      </c>
      <c r="N554" s="58">
        <v>66.69</v>
      </c>
      <c r="O554" s="58">
        <v>42.383000000000003</v>
      </c>
      <c r="P554" s="58">
        <v>14.986499999999999</v>
      </c>
      <c r="Q554" s="58">
        <v>9.5242696629213501</v>
      </c>
      <c r="R554" s="58">
        <v>8.3362499999999997</v>
      </c>
      <c r="S554" s="58">
        <v>0.61183486238532103</v>
      </c>
      <c r="T554" t="s">
        <v>176</v>
      </c>
      <c r="U554" s="11">
        <v>40.238799999999998</v>
      </c>
      <c r="V554"/>
      <c r="W554"/>
    </row>
    <row r="555" spans="1:23" x14ac:dyDescent="0.35">
      <c r="A555" s="40">
        <v>45138</v>
      </c>
      <c r="B555">
        <v>2023</v>
      </c>
      <c r="C555" t="s">
        <v>305</v>
      </c>
      <c r="D555">
        <v>6</v>
      </c>
      <c r="E555">
        <v>32</v>
      </c>
      <c r="F555" t="s">
        <v>46</v>
      </c>
      <c r="G555" s="106">
        <v>0.71180555555555558</v>
      </c>
      <c r="H555" t="s">
        <v>85</v>
      </c>
      <c r="I555" t="s">
        <v>242</v>
      </c>
      <c r="J555">
        <v>68</v>
      </c>
      <c r="K555">
        <v>5.53</v>
      </c>
      <c r="L555">
        <v>113</v>
      </c>
      <c r="M555">
        <v>9</v>
      </c>
      <c r="N555" s="58">
        <v>104.9</v>
      </c>
      <c r="O555" s="58">
        <v>79.700999999999993</v>
      </c>
      <c r="P555" s="58">
        <v>18.9693</v>
      </c>
      <c r="Q555" s="58">
        <v>14.4124773960217</v>
      </c>
      <c r="R555" s="58">
        <v>11.655555555555599</v>
      </c>
      <c r="S555" s="58">
        <v>0.92831858407079604</v>
      </c>
      <c r="T555" t="s">
        <v>176</v>
      </c>
      <c r="U555" s="11">
        <v>41.482300000000002</v>
      </c>
      <c r="V555"/>
      <c r="W555"/>
    </row>
    <row r="556" spans="1:23" x14ac:dyDescent="0.35">
      <c r="A556" s="40">
        <v>45136</v>
      </c>
      <c r="B556">
        <v>2023</v>
      </c>
      <c r="C556" t="s">
        <v>305</v>
      </c>
      <c r="D556">
        <v>5</v>
      </c>
      <c r="E556">
        <v>31</v>
      </c>
      <c r="F556" t="s">
        <v>51</v>
      </c>
      <c r="G556" s="106">
        <v>0.59722222222222221</v>
      </c>
      <c r="H556" t="s">
        <v>82</v>
      </c>
      <c r="I556" t="s">
        <v>236</v>
      </c>
      <c r="J556">
        <v>64</v>
      </c>
      <c r="K556">
        <v>8.57</v>
      </c>
      <c r="L556">
        <v>116</v>
      </c>
      <c r="M556">
        <v>19</v>
      </c>
      <c r="N556" s="58">
        <v>198.08</v>
      </c>
      <c r="O556" s="58">
        <v>172.21199999999999</v>
      </c>
      <c r="P556" s="58">
        <v>23.113199999999999</v>
      </c>
      <c r="Q556" s="58">
        <v>20.094749124854101</v>
      </c>
      <c r="R556" s="58">
        <v>10.425263157894699</v>
      </c>
      <c r="S556" s="58">
        <v>1.7075862068965499</v>
      </c>
      <c r="T556" t="s">
        <v>176</v>
      </c>
      <c r="U556" s="11">
        <v>41.214799999999997</v>
      </c>
      <c r="V556"/>
      <c r="W556"/>
    </row>
    <row r="557" spans="1:23" x14ac:dyDescent="0.35">
      <c r="A557" s="40">
        <v>45131</v>
      </c>
      <c r="B557">
        <v>2023</v>
      </c>
      <c r="C557" t="s">
        <v>305</v>
      </c>
      <c r="D557">
        <v>5</v>
      </c>
      <c r="E557">
        <v>31</v>
      </c>
      <c r="F557" t="s">
        <v>46</v>
      </c>
      <c r="G557" s="106">
        <v>0.71180555555555558</v>
      </c>
      <c r="H557" t="s">
        <v>85</v>
      </c>
      <c r="I557" t="s">
        <v>230</v>
      </c>
      <c r="J557">
        <v>79</v>
      </c>
      <c r="K557">
        <v>3.43</v>
      </c>
      <c r="L557">
        <v>78.8</v>
      </c>
      <c r="M557">
        <v>6</v>
      </c>
      <c r="N557" s="58">
        <v>50.69</v>
      </c>
      <c r="O557" s="58">
        <v>33.117600000000003</v>
      </c>
      <c r="P557" s="58">
        <v>14.7784</v>
      </c>
      <c r="Q557" s="58">
        <v>9.6552769679300301</v>
      </c>
      <c r="R557" s="58">
        <v>8.4483333333333306</v>
      </c>
      <c r="S557" s="58">
        <v>0.64327411167512705</v>
      </c>
      <c r="T557" t="s">
        <v>176</v>
      </c>
      <c r="U557" s="11">
        <v>43.295900000000003</v>
      </c>
      <c r="V557"/>
      <c r="W557"/>
    </row>
    <row r="558" spans="1:23" x14ac:dyDescent="0.35">
      <c r="A558" s="40">
        <v>45129</v>
      </c>
      <c r="B558">
        <v>2023</v>
      </c>
      <c r="C558" t="s">
        <v>305</v>
      </c>
      <c r="D558">
        <v>4</v>
      </c>
      <c r="E558">
        <v>30</v>
      </c>
      <c r="F558" t="s">
        <v>51</v>
      </c>
      <c r="G558" s="106">
        <v>0.57986111111111116</v>
      </c>
      <c r="H558" t="s">
        <v>82</v>
      </c>
      <c r="I558" t="s">
        <v>243</v>
      </c>
      <c r="J558">
        <v>75</v>
      </c>
      <c r="K558">
        <v>8.92</v>
      </c>
      <c r="L558">
        <v>171</v>
      </c>
      <c r="M558">
        <v>19</v>
      </c>
      <c r="N558" s="58">
        <v>193.75</v>
      </c>
      <c r="O558" s="58">
        <v>155.61699999999999</v>
      </c>
      <c r="P558" s="58">
        <v>21.7209</v>
      </c>
      <c r="Q558" s="58">
        <v>17.445852017937199</v>
      </c>
      <c r="R558" s="58">
        <v>10.1973684210526</v>
      </c>
      <c r="S558" s="58">
        <v>1.13304093567251</v>
      </c>
      <c r="T558" t="s">
        <v>176</v>
      </c>
      <c r="U558" s="11">
        <v>42.732700000000001</v>
      </c>
      <c r="V558"/>
      <c r="W558"/>
    </row>
    <row r="559" spans="1:23" x14ac:dyDescent="0.35">
      <c r="A559" s="40">
        <v>45125</v>
      </c>
      <c r="B559">
        <v>2023</v>
      </c>
      <c r="C559" t="s">
        <v>305</v>
      </c>
      <c r="D559">
        <v>4</v>
      </c>
      <c r="E559">
        <v>30</v>
      </c>
      <c r="F559" t="s">
        <v>47</v>
      </c>
      <c r="G559" s="106">
        <v>0.72569444444444442</v>
      </c>
      <c r="H559" t="s">
        <v>85</v>
      </c>
      <c r="I559" t="s">
        <v>230</v>
      </c>
      <c r="J559">
        <v>73</v>
      </c>
      <c r="K559">
        <v>5.88</v>
      </c>
      <c r="L559">
        <v>123</v>
      </c>
      <c r="M559">
        <v>9</v>
      </c>
      <c r="N559" s="58">
        <v>115.79</v>
      </c>
      <c r="O559" s="58">
        <v>88.361000000000004</v>
      </c>
      <c r="P559" s="58">
        <v>19.6922</v>
      </c>
      <c r="Q559" s="58">
        <v>15.027380952381</v>
      </c>
      <c r="R559" s="58">
        <v>12.8655555555556</v>
      </c>
      <c r="S559" s="58">
        <v>0.94138211382113801</v>
      </c>
      <c r="T559" t="s">
        <v>176</v>
      </c>
      <c r="U559" s="11">
        <v>45.8123</v>
      </c>
      <c r="V559"/>
      <c r="W559"/>
    </row>
    <row r="560" spans="1:23" x14ac:dyDescent="0.35">
      <c r="A560" s="40">
        <v>45124</v>
      </c>
      <c r="B560">
        <v>2023</v>
      </c>
      <c r="C560" t="s">
        <v>305</v>
      </c>
      <c r="D560">
        <v>4</v>
      </c>
      <c r="E560">
        <v>30</v>
      </c>
      <c r="F560" t="s">
        <v>46</v>
      </c>
      <c r="G560" s="106">
        <v>0.72222222222222221</v>
      </c>
      <c r="H560" t="s">
        <v>85</v>
      </c>
      <c r="I560" t="s">
        <v>242</v>
      </c>
      <c r="J560">
        <v>81</v>
      </c>
      <c r="K560">
        <v>7.18</v>
      </c>
      <c r="L560">
        <v>156.1</v>
      </c>
      <c r="M560">
        <v>14</v>
      </c>
      <c r="N560" s="58">
        <v>163.4</v>
      </c>
      <c r="O560" s="58">
        <v>128.58969999999999</v>
      </c>
      <c r="P560" s="58">
        <v>22.7577</v>
      </c>
      <c r="Q560" s="58">
        <v>17.909428969359301</v>
      </c>
      <c r="R560" s="58">
        <v>11.671428571428599</v>
      </c>
      <c r="S560" s="58">
        <v>1.0467648942985299</v>
      </c>
      <c r="T560" t="s">
        <v>176</v>
      </c>
      <c r="U560" s="11">
        <v>45.539000000000001</v>
      </c>
      <c r="V560"/>
      <c r="W560"/>
    </row>
    <row r="561" spans="1:23" x14ac:dyDescent="0.35">
      <c r="A561" s="40">
        <v>45123</v>
      </c>
      <c r="B561">
        <v>2023</v>
      </c>
      <c r="C561" t="s">
        <v>305</v>
      </c>
      <c r="D561">
        <v>3</v>
      </c>
      <c r="E561">
        <v>29</v>
      </c>
      <c r="F561" t="s">
        <v>45</v>
      </c>
      <c r="G561" s="106">
        <v>0.62152777777777779</v>
      </c>
      <c r="H561" t="s">
        <v>80</v>
      </c>
      <c r="I561" t="s">
        <v>236</v>
      </c>
      <c r="J561">
        <v>75</v>
      </c>
      <c r="K561">
        <v>2.65</v>
      </c>
      <c r="L561">
        <v>62</v>
      </c>
      <c r="M561">
        <v>5</v>
      </c>
      <c r="N561" s="58">
        <v>58.63</v>
      </c>
      <c r="O561" s="58">
        <v>44.804000000000002</v>
      </c>
      <c r="P561" s="58">
        <v>22.124500000000001</v>
      </c>
      <c r="Q561" s="58">
        <v>16.907169811320799</v>
      </c>
      <c r="R561" s="58">
        <v>11.726000000000001</v>
      </c>
      <c r="S561" s="58">
        <v>0.94564516129032306</v>
      </c>
      <c r="T561" t="s">
        <v>176</v>
      </c>
      <c r="U561" s="11">
        <v>43.723399999999998</v>
      </c>
      <c r="V561"/>
      <c r="W561"/>
    </row>
    <row r="562" spans="1:23" x14ac:dyDescent="0.35">
      <c r="A562" s="40">
        <v>45122</v>
      </c>
      <c r="B562">
        <v>2023</v>
      </c>
      <c r="C562" t="s">
        <v>305</v>
      </c>
      <c r="D562">
        <v>3</v>
      </c>
      <c r="E562">
        <v>29</v>
      </c>
      <c r="F562" t="s">
        <v>51</v>
      </c>
      <c r="G562" s="106">
        <v>0.52430555555555558</v>
      </c>
      <c r="H562" t="s">
        <v>82</v>
      </c>
      <c r="I562" t="s">
        <v>243</v>
      </c>
      <c r="J562">
        <v>78</v>
      </c>
      <c r="K562">
        <v>6.95</v>
      </c>
      <c r="L562">
        <v>95</v>
      </c>
      <c r="M562">
        <v>16</v>
      </c>
      <c r="N562" s="58">
        <v>123.79</v>
      </c>
      <c r="O562" s="58">
        <v>102.605</v>
      </c>
      <c r="P562" s="58">
        <v>17.811499999999999</v>
      </c>
      <c r="Q562" s="58">
        <v>14.763309352518</v>
      </c>
      <c r="R562" s="58">
        <v>7.7368750000000004</v>
      </c>
      <c r="S562" s="58">
        <v>1.3030526315789499</v>
      </c>
      <c r="T562" t="s">
        <v>176</v>
      </c>
      <c r="U562" s="11">
        <v>43.072000000000003</v>
      </c>
      <c r="V562"/>
      <c r="W562"/>
    </row>
    <row r="563" spans="1:23" x14ac:dyDescent="0.35">
      <c r="A563" s="40">
        <v>45121</v>
      </c>
      <c r="B563">
        <v>2023</v>
      </c>
      <c r="C563" t="s">
        <v>305</v>
      </c>
      <c r="D563">
        <v>3</v>
      </c>
      <c r="E563">
        <v>29</v>
      </c>
      <c r="F563" t="s">
        <v>50</v>
      </c>
      <c r="G563" s="106">
        <v>0.73611111111111116</v>
      </c>
      <c r="H563" t="s">
        <v>85</v>
      </c>
      <c r="I563" t="s">
        <v>249</v>
      </c>
      <c r="J563">
        <v>73</v>
      </c>
      <c r="K563">
        <v>6.6</v>
      </c>
      <c r="L563">
        <v>147.19999999999999</v>
      </c>
      <c r="M563">
        <v>13</v>
      </c>
      <c r="N563" s="58">
        <v>113.83</v>
      </c>
      <c r="O563" s="58">
        <v>81.004400000000004</v>
      </c>
      <c r="P563" s="58">
        <v>17.247</v>
      </c>
      <c r="Q563" s="58">
        <v>12.2733939393939</v>
      </c>
      <c r="R563" s="58">
        <v>8.7561538461538504</v>
      </c>
      <c r="S563" s="58">
        <v>0.77330163043478295</v>
      </c>
      <c r="T563" t="s">
        <v>176</v>
      </c>
      <c r="U563" s="11">
        <v>41.696599999999997</v>
      </c>
      <c r="V563"/>
      <c r="W563"/>
    </row>
    <row r="564" spans="1:23" x14ac:dyDescent="0.35">
      <c r="A564" s="40">
        <v>45120</v>
      </c>
      <c r="B564">
        <v>2023</v>
      </c>
      <c r="C564" t="s">
        <v>305</v>
      </c>
      <c r="D564">
        <v>3</v>
      </c>
      <c r="E564">
        <v>29</v>
      </c>
      <c r="F564" t="s">
        <v>49</v>
      </c>
      <c r="G564" s="106">
        <v>0.71875</v>
      </c>
      <c r="H564" t="s">
        <v>174</v>
      </c>
      <c r="I564" t="s">
        <v>242</v>
      </c>
      <c r="J564">
        <v>79</v>
      </c>
      <c r="K564">
        <v>5.05</v>
      </c>
      <c r="L564">
        <v>117</v>
      </c>
      <c r="M564">
        <v>8</v>
      </c>
      <c r="N564" s="58">
        <v>64.75</v>
      </c>
      <c r="O564" s="58">
        <v>38.658999999999999</v>
      </c>
      <c r="P564" s="58">
        <v>12.8218</v>
      </c>
      <c r="Q564" s="58">
        <v>7.6552475247524798</v>
      </c>
      <c r="R564" s="58">
        <v>8.09375</v>
      </c>
      <c r="S564" s="58">
        <v>0.55341880341880301</v>
      </c>
      <c r="T564" t="s">
        <v>176</v>
      </c>
      <c r="U564" s="11">
        <v>41.892800000000001</v>
      </c>
      <c r="V564"/>
      <c r="W564"/>
    </row>
    <row r="565" spans="1:23" x14ac:dyDescent="0.35">
      <c r="A565" s="40">
        <v>45119</v>
      </c>
      <c r="B565">
        <v>2023</v>
      </c>
      <c r="C565" t="s">
        <v>305</v>
      </c>
      <c r="D565">
        <v>3</v>
      </c>
      <c r="E565">
        <v>29</v>
      </c>
      <c r="F565" t="s">
        <v>48</v>
      </c>
      <c r="G565" s="106">
        <v>0.72569444444444442</v>
      </c>
      <c r="H565" t="s">
        <v>85</v>
      </c>
      <c r="I565" t="s">
        <v>242</v>
      </c>
      <c r="J565">
        <v>75</v>
      </c>
      <c r="K565">
        <v>5.6</v>
      </c>
      <c r="L565">
        <v>129</v>
      </c>
      <c r="M565">
        <v>12</v>
      </c>
      <c r="N565" s="58">
        <v>103.98</v>
      </c>
      <c r="O565" s="58">
        <v>75.212999999999994</v>
      </c>
      <c r="P565" s="58">
        <v>18.567900000000002</v>
      </c>
      <c r="Q565" s="58">
        <v>13.430892857142901</v>
      </c>
      <c r="R565" s="58">
        <v>8.6649999999999991</v>
      </c>
      <c r="S565" s="58">
        <v>0.80604651162790697</v>
      </c>
      <c r="T565" t="s">
        <v>176</v>
      </c>
      <c r="U565" s="11">
        <v>41.173299999999998</v>
      </c>
      <c r="V565"/>
      <c r="W565"/>
    </row>
    <row r="566" spans="1:23" x14ac:dyDescent="0.35">
      <c r="A566" s="40">
        <v>45118</v>
      </c>
      <c r="B566">
        <v>2023</v>
      </c>
      <c r="C566" t="s">
        <v>305</v>
      </c>
      <c r="D566">
        <v>3</v>
      </c>
      <c r="E566">
        <v>29</v>
      </c>
      <c r="F566" t="s">
        <v>47</v>
      </c>
      <c r="G566" s="106">
        <v>0.71875</v>
      </c>
      <c r="H566" t="s">
        <v>85</v>
      </c>
      <c r="I566" t="s">
        <v>230</v>
      </c>
      <c r="J566">
        <v>82</v>
      </c>
      <c r="K566">
        <v>5.98</v>
      </c>
      <c r="L566">
        <v>115</v>
      </c>
      <c r="M566">
        <v>12</v>
      </c>
      <c r="N566" s="58">
        <v>112.93</v>
      </c>
      <c r="O566" s="58">
        <v>87.284999999999997</v>
      </c>
      <c r="P566" s="58">
        <v>18.884599999999999</v>
      </c>
      <c r="Q566" s="58">
        <v>14.596153846153801</v>
      </c>
      <c r="R566" s="58">
        <v>9.4108333333333398</v>
      </c>
      <c r="S566" s="58">
        <v>0.98199999999999998</v>
      </c>
      <c r="T566" t="s">
        <v>176</v>
      </c>
      <c r="U566" s="11">
        <v>41.180999999999997</v>
      </c>
      <c r="V566"/>
      <c r="W566"/>
    </row>
    <row r="567" spans="1:23" x14ac:dyDescent="0.35">
      <c r="A567" s="40">
        <v>45116</v>
      </c>
      <c r="B567">
        <v>2023</v>
      </c>
      <c r="C567" t="s">
        <v>305</v>
      </c>
      <c r="D567">
        <v>2</v>
      </c>
      <c r="E567">
        <v>28</v>
      </c>
      <c r="F567" t="s">
        <v>45</v>
      </c>
      <c r="G567" s="106">
        <v>0.71875</v>
      </c>
      <c r="H567" t="s">
        <v>82</v>
      </c>
      <c r="I567" t="s">
        <v>243</v>
      </c>
      <c r="J567">
        <v>72</v>
      </c>
      <c r="K567">
        <v>4.95</v>
      </c>
      <c r="L567">
        <v>81</v>
      </c>
      <c r="M567">
        <v>11</v>
      </c>
      <c r="N567" s="58">
        <v>86.87</v>
      </c>
      <c r="O567" s="58">
        <v>68.807000000000002</v>
      </c>
      <c r="P567" s="58">
        <v>17.549499999999998</v>
      </c>
      <c r="Q567" s="58">
        <v>13.900404040404</v>
      </c>
      <c r="R567" s="58">
        <v>7.8972727272727301</v>
      </c>
      <c r="S567" s="58">
        <v>1.0724691358024701</v>
      </c>
      <c r="T567" t="s">
        <v>176</v>
      </c>
      <c r="U567" s="11">
        <v>39.926200000000001</v>
      </c>
      <c r="V567"/>
      <c r="W567"/>
    </row>
    <row r="568" spans="1:23" x14ac:dyDescent="0.35">
      <c r="A568" s="40">
        <v>45115</v>
      </c>
      <c r="B568">
        <v>2023</v>
      </c>
      <c r="C568" t="s">
        <v>305</v>
      </c>
      <c r="D568">
        <v>2</v>
      </c>
      <c r="E568">
        <v>28</v>
      </c>
      <c r="F568" t="s">
        <v>51</v>
      </c>
      <c r="G568" s="106">
        <v>0.72916666666666663</v>
      </c>
      <c r="H568" t="s">
        <v>174</v>
      </c>
      <c r="I568" t="s">
        <v>242</v>
      </c>
      <c r="J568">
        <v>69</v>
      </c>
      <c r="K568">
        <v>5.38</v>
      </c>
      <c r="L568">
        <v>116</v>
      </c>
      <c r="M568">
        <v>12</v>
      </c>
      <c r="N568" s="58">
        <v>97.23</v>
      </c>
      <c r="O568" s="58">
        <v>71.361999999999995</v>
      </c>
      <c r="P568" s="58">
        <v>18.072500000000002</v>
      </c>
      <c r="Q568" s="58">
        <v>13.264312267657999</v>
      </c>
      <c r="R568" s="58">
        <v>8.1024999999999991</v>
      </c>
      <c r="S568" s="58">
        <v>0.83818965517241395</v>
      </c>
      <c r="T568" t="s">
        <v>176</v>
      </c>
      <c r="U568" s="11">
        <v>38.960999999999999</v>
      </c>
      <c r="V568"/>
      <c r="W568"/>
    </row>
    <row r="569" spans="1:23" x14ac:dyDescent="0.35">
      <c r="A569" s="40">
        <v>45114</v>
      </c>
      <c r="B569">
        <v>2023</v>
      </c>
      <c r="C569" t="s">
        <v>305</v>
      </c>
      <c r="D569">
        <v>2</v>
      </c>
      <c r="E569">
        <v>28</v>
      </c>
      <c r="F569" t="s">
        <v>50</v>
      </c>
      <c r="G569" s="106">
        <v>0.73263888888888884</v>
      </c>
      <c r="H569" t="s">
        <v>85</v>
      </c>
      <c r="I569" t="s">
        <v>242</v>
      </c>
      <c r="J569">
        <v>72</v>
      </c>
      <c r="K569">
        <v>7.85</v>
      </c>
      <c r="L569">
        <v>140.80000000000001</v>
      </c>
      <c r="M569">
        <v>11</v>
      </c>
      <c r="N569" s="58">
        <v>175.13</v>
      </c>
      <c r="O569" s="58">
        <v>143.73159999999999</v>
      </c>
      <c r="P569" s="58">
        <v>22.3096</v>
      </c>
      <c r="Q569" s="58">
        <v>18.309757961783401</v>
      </c>
      <c r="R569" s="58">
        <v>15.920909090909101</v>
      </c>
      <c r="S569" s="58">
        <v>1.2438210227272699</v>
      </c>
      <c r="T569" t="s">
        <v>176</v>
      </c>
      <c r="U569" s="11">
        <v>37.880699999999997</v>
      </c>
      <c r="V569"/>
      <c r="W569"/>
    </row>
    <row r="570" spans="1:23" x14ac:dyDescent="0.35">
      <c r="A570" s="40">
        <v>45112</v>
      </c>
      <c r="B570">
        <v>2023</v>
      </c>
      <c r="C570" t="s">
        <v>305</v>
      </c>
      <c r="D570">
        <v>2</v>
      </c>
      <c r="E570">
        <v>28</v>
      </c>
      <c r="F570" t="s">
        <v>48</v>
      </c>
      <c r="G570" s="106">
        <v>0.72222222222222221</v>
      </c>
      <c r="H570" t="s">
        <v>85</v>
      </c>
      <c r="I570" t="s">
        <v>242</v>
      </c>
      <c r="J570">
        <v>77</v>
      </c>
      <c r="K570">
        <v>5.93</v>
      </c>
      <c r="L570">
        <v>109</v>
      </c>
      <c r="M570">
        <v>13</v>
      </c>
      <c r="N570" s="58">
        <v>120.54</v>
      </c>
      <c r="O570" s="58">
        <v>96.233000000000004</v>
      </c>
      <c r="P570" s="58">
        <v>20.327200000000001</v>
      </c>
      <c r="Q570" s="58">
        <v>16.2281618887015</v>
      </c>
      <c r="R570" s="58">
        <v>9.2723076923076899</v>
      </c>
      <c r="S570" s="58">
        <v>1.10587155963303</v>
      </c>
      <c r="T570" t="s">
        <v>176</v>
      </c>
      <c r="U570" s="11">
        <v>35.934800000000003</v>
      </c>
      <c r="V570"/>
      <c r="W570"/>
    </row>
    <row r="571" spans="1:23" x14ac:dyDescent="0.35">
      <c r="A571" s="40">
        <v>45100</v>
      </c>
      <c r="B571">
        <v>2023</v>
      </c>
      <c r="C571" t="s">
        <v>287</v>
      </c>
      <c r="D571">
        <v>13</v>
      </c>
      <c r="E571">
        <v>26</v>
      </c>
      <c r="F571" t="s">
        <v>50</v>
      </c>
      <c r="G571" s="106">
        <v>0.71736111111111112</v>
      </c>
      <c r="H571" t="s">
        <v>174</v>
      </c>
      <c r="I571" t="s">
        <v>236</v>
      </c>
      <c r="J571">
        <v>78</v>
      </c>
      <c r="K571">
        <v>5.07</v>
      </c>
      <c r="L571">
        <v>114</v>
      </c>
      <c r="M571">
        <v>8</v>
      </c>
      <c r="N571" s="58">
        <v>109.46</v>
      </c>
      <c r="O571" s="58">
        <v>84.037999999999997</v>
      </c>
      <c r="P571" s="58">
        <v>21.589700000000001</v>
      </c>
      <c r="Q571" s="58">
        <v>16.575542406311602</v>
      </c>
      <c r="R571" s="58">
        <v>13.682499999999999</v>
      </c>
      <c r="S571" s="58">
        <v>0.96017543859649102</v>
      </c>
      <c r="T571" t="s">
        <v>176</v>
      </c>
      <c r="U571" s="11">
        <v>41.215000000000003</v>
      </c>
      <c r="V571"/>
      <c r="W571"/>
    </row>
    <row r="572" spans="1:23" x14ac:dyDescent="0.35">
      <c r="A572" s="40">
        <v>45098</v>
      </c>
      <c r="B572">
        <v>2023</v>
      </c>
      <c r="C572" t="s">
        <v>287</v>
      </c>
      <c r="D572">
        <v>13</v>
      </c>
      <c r="E572">
        <v>26</v>
      </c>
      <c r="F572" t="s">
        <v>48</v>
      </c>
      <c r="G572" s="106">
        <v>0.76249999999999996</v>
      </c>
      <c r="H572" t="s">
        <v>85</v>
      </c>
      <c r="I572" t="s">
        <v>231</v>
      </c>
      <c r="J572">
        <v>78</v>
      </c>
      <c r="K572">
        <v>4.07</v>
      </c>
      <c r="L572">
        <v>93</v>
      </c>
      <c r="M572">
        <v>7</v>
      </c>
      <c r="N572" s="58">
        <v>61.18</v>
      </c>
      <c r="O572" s="58">
        <v>40.441000000000003</v>
      </c>
      <c r="P572" s="58">
        <v>15.0319</v>
      </c>
      <c r="Q572" s="58">
        <v>9.9363636363636392</v>
      </c>
      <c r="R572" s="58">
        <v>8.74</v>
      </c>
      <c r="S572" s="58">
        <v>0.65784946236559105</v>
      </c>
      <c r="T572" t="s">
        <v>176</v>
      </c>
      <c r="U572" s="11">
        <v>42.025700000000001</v>
      </c>
      <c r="V572"/>
      <c r="W572"/>
    </row>
    <row r="573" spans="1:23" x14ac:dyDescent="0.35">
      <c r="A573" s="40">
        <v>45097</v>
      </c>
      <c r="B573">
        <v>2023</v>
      </c>
      <c r="C573" t="s">
        <v>287</v>
      </c>
      <c r="D573">
        <v>13</v>
      </c>
      <c r="E573">
        <v>26</v>
      </c>
      <c r="F573" t="s">
        <v>47</v>
      </c>
      <c r="G573" s="106">
        <v>0.71180555555555558</v>
      </c>
      <c r="H573" t="s">
        <v>174</v>
      </c>
      <c r="I573" t="s">
        <v>249</v>
      </c>
      <c r="J573">
        <v>69</v>
      </c>
      <c r="K573">
        <v>5.45</v>
      </c>
      <c r="L573">
        <v>120</v>
      </c>
      <c r="M573">
        <v>10</v>
      </c>
      <c r="N573" s="58">
        <v>105.32</v>
      </c>
      <c r="O573" s="58">
        <v>78.56</v>
      </c>
      <c r="P573" s="58">
        <v>19.3248</v>
      </c>
      <c r="Q573" s="58">
        <v>14.414678899082601</v>
      </c>
      <c r="R573" s="58">
        <v>10.532</v>
      </c>
      <c r="S573" s="58">
        <v>0.87766666666666604</v>
      </c>
      <c r="T573" t="s">
        <v>176</v>
      </c>
      <c r="U573" s="11">
        <v>42.437399999999997</v>
      </c>
      <c r="V573"/>
      <c r="W573"/>
    </row>
    <row r="574" spans="1:23" x14ac:dyDescent="0.35">
      <c r="A574" s="40">
        <v>45087</v>
      </c>
      <c r="B574">
        <v>2023</v>
      </c>
      <c r="C574" t="s">
        <v>287</v>
      </c>
      <c r="D574">
        <v>11</v>
      </c>
      <c r="E574">
        <v>24</v>
      </c>
      <c r="F574" t="s">
        <v>51</v>
      </c>
      <c r="G574" s="106">
        <v>0.72916666666666663</v>
      </c>
      <c r="H574" t="s">
        <v>80</v>
      </c>
      <c r="I574" t="s">
        <v>249</v>
      </c>
      <c r="J574">
        <v>64</v>
      </c>
      <c r="K574">
        <v>4.2</v>
      </c>
      <c r="L574">
        <v>81</v>
      </c>
      <c r="M574">
        <v>14</v>
      </c>
      <c r="N574" s="58">
        <v>118.8</v>
      </c>
      <c r="O574" s="58">
        <v>100.73699999999999</v>
      </c>
      <c r="P574" s="58">
        <v>28.285699999999999</v>
      </c>
      <c r="Q574" s="58">
        <v>23.984999999999999</v>
      </c>
      <c r="R574" s="58">
        <v>8.4857142857142893</v>
      </c>
      <c r="S574" s="58">
        <v>1.4666666666666699</v>
      </c>
      <c r="T574" t="s">
        <v>176</v>
      </c>
      <c r="U574" s="11">
        <v>45.3003</v>
      </c>
      <c r="V574"/>
      <c r="W574"/>
    </row>
    <row r="575" spans="1:23" x14ac:dyDescent="0.35">
      <c r="A575" s="40">
        <v>45086</v>
      </c>
      <c r="B575">
        <v>2023</v>
      </c>
      <c r="C575" t="s">
        <v>287</v>
      </c>
      <c r="D575">
        <v>11</v>
      </c>
      <c r="E575">
        <v>24</v>
      </c>
      <c r="F575" t="s">
        <v>50</v>
      </c>
      <c r="G575" s="106">
        <v>0.72569444444444442</v>
      </c>
      <c r="H575" t="s">
        <v>80</v>
      </c>
      <c r="I575" t="s">
        <v>231</v>
      </c>
      <c r="J575">
        <v>62</v>
      </c>
      <c r="K575">
        <v>5.43</v>
      </c>
      <c r="L575">
        <v>112</v>
      </c>
      <c r="M575">
        <v>10</v>
      </c>
      <c r="N575" s="58">
        <v>112.88</v>
      </c>
      <c r="O575" s="58">
        <v>87.903999999999996</v>
      </c>
      <c r="P575" s="58">
        <v>20.7882</v>
      </c>
      <c r="Q575" s="58">
        <v>16.1885819521179</v>
      </c>
      <c r="R575" s="58">
        <v>11.288</v>
      </c>
      <c r="S575" s="58">
        <v>1.0078571428571399</v>
      </c>
      <c r="T575" t="s">
        <v>175</v>
      </c>
      <c r="U575" s="11">
        <v>43.9803</v>
      </c>
      <c r="V575"/>
      <c r="W575"/>
    </row>
    <row r="576" spans="1:23" x14ac:dyDescent="0.35">
      <c r="A576" s="40">
        <v>45079</v>
      </c>
      <c r="B576">
        <v>2023</v>
      </c>
      <c r="C576" t="s">
        <v>287</v>
      </c>
      <c r="D576">
        <v>10</v>
      </c>
      <c r="E576">
        <v>23</v>
      </c>
      <c r="F576" t="s">
        <v>50</v>
      </c>
      <c r="G576" s="106">
        <v>0.72916666666666663</v>
      </c>
      <c r="H576" t="s">
        <v>80</v>
      </c>
      <c r="I576" t="s">
        <v>236</v>
      </c>
      <c r="J576">
        <v>46</v>
      </c>
      <c r="K576">
        <v>5.08</v>
      </c>
      <c r="L576">
        <v>118</v>
      </c>
      <c r="M576">
        <v>9</v>
      </c>
      <c r="N576" s="58">
        <v>113.58</v>
      </c>
      <c r="O576" s="58">
        <v>87.266000000000005</v>
      </c>
      <c r="P576" s="58">
        <v>22.3583</v>
      </c>
      <c r="Q576" s="58">
        <v>17.1783464566929</v>
      </c>
      <c r="R576" s="58">
        <v>12.62</v>
      </c>
      <c r="S576" s="58">
        <v>0.96254237288135602</v>
      </c>
      <c r="T576" t="s">
        <v>176</v>
      </c>
      <c r="U576" s="11">
        <v>46.207900000000002</v>
      </c>
      <c r="V576"/>
      <c r="W576"/>
    </row>
    <row r="577" spans="1:23" x14ac:dyDescent="0.35">
      <c r="A577" s="40">
        <v>45078</v>
      </c>
      <c r="B577">
        <v>2023</v>
      </c>
      <c r="C577" t="s">
        <v>287</v>
      </c>
      <c r="D577">
        <v>10</v>
      </c>
      <c r="E577">
        <v>23</v>
      </c>
      <c r="F577" t="s">
        <v>49</v>
      </c>
      <c r="G577" s="106">
        <v>0.72916666666666663</v>
      </c>
      <c r="H577" t="s">
        <v>80</v>
      </c>
      <c r="I577" t="s">
        <v>236</v>
      </c>
      <c r="J577">
        <v>85</v>
      </c>
      <c r="K577">
        <v>4.87</v>
      </c>
      <c r="L577">
        <v>64</v>
      </c>
      <c r="M577">
        <v>13</v>
      </c>
      <c r="N577" s="58">
        <v>108</v>
      </c>
      <c r="O577" s="58">
        <v>93.727999999999994</v>
      </c>
      <c r="P577" s="58">
        <v>22.176600000000001</v>
      </c>
      <c r="Q577" s="58">
        <v>19.2459958932238</v>
      </c>
      <c r="R577" s="58">
        <v>8.3076923076923102</v>
      </c>
      <c r="S577" s="58">
        <v>1.6875</v>
      </c>
      <c r="T577" t="s">
        <v>176</v>
      </c>
      <c r="U577" s="11">
        <v>46.686399999999999</v>
      </c>
      <c r="V577"/>
      <c r="W577"/>
    </row>
    <row r="578" spans="1:23" x14ac:dyDescent="0.35">
      <c r="A578" s="40">
        <v>45077</v>
      </c>
      <c r="B578">
        <v>2023</v>
      </c>
      <c r="C578" t="s">
        <v>287</v>
      </c>
      <c r="D578">
        <v>10</v>
      </c>
      <c r="E578">
        <v>23</v>
      </c>
      <c r="F578" t="s">
        <v>48</v>
      </c>
      <c r="G578" s="106">
        <v>0.72569444444444442</v>
      </c>
      <c r="H578" t="s">
        <v>85</v>
      </c>
      <c r="I578" t="s">
        <v>236</v>
      </c>
      <c r="J578">
        <v>87.4</v>
      </c>
      <c r="K578">
        <v>3.97</v>
      </c>
      <c r="L578">
        <v>81</v>
      </c>
      <c r="M578">
        <v>5</v>
      </c>
      <c r="N578" s="58">
        <v>52.38</v>
      </c>
      <c r="O578" s="58">
        <v>34.317</v>
      </c>
      <c r="P578" s="58">
        <v>13.194000000000001</v>
      </c>
      <c r="Q578" s="58">
        <v>8.6440806045340093</v>
      </c>
      <c r="R578" s="58">
        <v>10.476000000000001</v>
      </c>
      <c r="S578" s="58">
        <v>0.64666666666666694</v>
      </c>
      <c r="T578" t="s">
        <v>176</v>
      </c>
      <c r="U578" s="11">
        <v>45.941200000000002</v>
      </c>
      <c r="V578"/>
      <c r="W578"/>
    </row>
    <row r="579" spans="1:23" x14ac:dyDescent="0.35">
      <c r="A579" s="40">
        <v>45072</v>
      </c>
      <c r="B579">
        <v>2023</v>
      </c>
      <c r="C579" t="s">
        <v>287</v>
      </c>
      <c r="D579">
        <v>9</v>
      </c>
      <c r="E579">
        <v>22</v>
      </c>
      <c r="F579" t="s">
        <v>50</v>
      </c>
      <c r="G579" s="106">
        <v>0.46527777777777779</v>
      </c>
      <c r="H579" t="s">
        <v>80</v>
      </c>
      <c r="I579" t="s">
        <v>230</v>
      </c>
      <c r="J579">
        <v>79.900000000000006</v>
      </c>
      <c r="K579">
        <v>7.85</v>
      </c>
      <c r="L579">
        <v>167</v>
      </c>
      <c r="M579">
        <v>15</v>
      </c>
      <c r="N579" s="58">
        <v>182.65</v>
      </c>
      <c r="O579" s="58">
        <v>145.40899999999999</v>
      </c>
      <c r="P579" s="58">
        <v>23.267499999999998</v>
      </c>
      <c r="Q579" s="58">
        <v>18.523439490445899</v>
      </c>
      <c r="R579" s="58">
        <v>12.1766666666667</v>
      </c>
      <c r="S579" s="58">
        <v>1.0937125748503</v>
      </c>
      <c r="T579" t="s">
        <v>175</v>
      </c>
      <c r="U579" s="11">
        <v>50.682600000000001</v>
      </c>
      <c r="V579"/>
      <c r="W579"/>
    </row>
    <row r="580" spans="1:23" x14ac:dyDescent="0.35">
      <c r="A580" s="40">
        <v>45070</v>
      </c>
      <c r="B580">
        <v>2023</v>
      </c>
      <c r="C580" t="s">
        <v>287</v>
      </c>
      <c r="D580">
        <v>9</v>
      </c>
      <c r="E580">
        <v>22</v>
      </c>
      <c r="F580" t="s">
        <v>48</v>
      </c>
      <c r="G580" s="106">
        <v>0.73263888888888884</v>
      </c>
      <c r="H580" t="s">
        <v>85</v>
      </c>
      <c r="I580" t="s">
        <v>236</v>
      </c>
      <c r="J580">
        <v>62.1</v>
      </c>
      <c r="K580">
        <v>4.63</v>
      </c>
      <c r="L580">
        <v>92</v>
      </c>
      <c r="M580">
        <v>11</v>
      </c>
      <c r="N580" s="58">
        <v>100.26</v>
      </c>
      <c r="O580" s="58">
        <v>79.744</v>
      </c>
      <c r="P580" s="58">
        <v>21.654399999999999</v>
      </c>
      <c r="Q580" s="58">
        <v>17.2233261339093</v>
      </c>
      <c r="R580" s="58">
        <v>9.1145454545454605</v>
      </c>
      <c r="S580" s="58">
        <v>1.0897826086956499</v>
      </c>
      <c r="T580" t="s">
        <v>176</v>
      </c>
      <c r="U580" s="11">
        <v>49.261400000000002</v>
      </c>
      <c r="V580"/>
      <c r="W580"/>
    </row>
    <row r="581" spans="1:23" x14ac:dyDescent="0.35">
      <c r="A581" s="40">
        <v>45068</v>
      </c>
      <c r="B581">
        <v>2023</v>
      </c>
      <c r="C581" t="s">
        <v>287</v>
      </c>
      <c r="D581">
        <v>9</v>
      </c>
      <c r="E581">
        <v>22</v>
      </c>
      <c r="F581" t="s">
        <v>46</v>
      </c>
      <c r="G581" s="106">
        <v>0.72569444444444442</v>
      </c>
      <c r="H581" t="s">
        <v>174</v>
      </c>
      <c r="I581" t="s">
        <v>230</v>
      </c>
      <c r="J581">
        <v>63.1</v>
      </c>
      <c r="K581">
        <v>4.4000000000000004</v>
      </c>
      <c r="L581">
        <v>106</v>
      </c>
      <c r="M581">
        <v>8</v>
      </c>
      <c r="N581" s="58">
        <v>90.36</v>
      </c>
      <c r="O581" s="58">
        <v>66.721999999999994</v>
      </c>
      <c r="P581" s="58">
        <v>20.5364</v>
      </c>
      <c r="Q581" s="58">
        <v>15.1640909090909</v>
      </c>
      <c r="R581" s="58">
        <v>11.295</v>
      </c>
      <c r="S581" s="58">
        <v>0.85245283018867901</v>
      </c>
      <c r="T581" t="s">
        <v>176</v>
      </c>
      <c r="U581" s="11">
        <v>49.439100000000003</v>
      </c>
      <c r="V581"/>
      <c r="W581"/>
    </row>
    <row r="582" spans="1:23" x14ac:dyDescent="0.35">
      <c r="A582" s="40">
        <v>45067</v>
      </c>
      <c r="B582">
        <v>2023</v>
      </c>
      <c r="C582" t="s">
        <v>287</v>
      </c>
      <c r="D582">
        <v>8</v>
      </c>
      <c r="E582">
        <v>21</v>
      </c>
      <c r="F582" t="s">
        <v>45</v>
      </c>
      <c r="G582" s="106">
        <v>0.71527777777777779</v>
      </c>
      <c r="H582" t="s">
        <v>85</v>
      </c>
      <c r="I582" t="s">
        <v>230</v>
      </c>
      <c r="J582">
        <v>64.5</v>
      </c>
      <c r="K582">
        <v>2.2799999999999998</v>
      </c>
      <c r="L582">
        <v>46.9</v>
      </c>
      <c r="M582">
        <v>3</v>
      </c>
      <c r="N582" s="58">
        <v>19.8</v>
      </c>
      <c r="O582" s="58">
        <v>9.3413000000000004</v>
      </c>
      <c r="P582" s="58">
        <v>8.6842000000000006</v>
      </c>
      <c r="Q582" s="58">
        <v>4.0970614035087696</v>
      </c>
      <c r="R582" s="58">
        <v>6.6</v>
      </c>
      <c r="S582" s="58">
        <v>0.42217484008528799</v>
      </c>
      <c r="T582" t="s">
        <v>176</v>
      </c>
      <c r="U582" s="11">
        <v>48.435099999999998</v>
      </c>
      <c r="V582"/>
      <c r="W582"/>
    </row>
    <row r="583" spans="1:23" x14ac:dyDescent="0.35">
      <c r="A583" s="40">
        <v>45064</v>
      </c>
      <c r="B583">
        <v>2023</v>
      </c>
      <c r="C583" t="s">
        <v>287</v>
      </c>
      <c r="D583">
        <v>8</v>
      </c>
      <c r="E583">
        <v>21</v>
      </c>
      <c r="F583" t="s">
        <v>49</v>
      </c>
      <c r="G583" s="106">
        <v>0.74305555555555558</v>
      </c>
      <c r="H583" t="s">
        <v>85</v>
      </c>
      <c r="I583" t="s">
        <v>230</v>
      </c>
      <c r="J583">
        <v>62.4</v>
      </c>
      <c r="K583">
        <v>3.7</v>
      </c>
      <c r="L583">
        <v>87</v>
      </c>
      <c r="M583">
        <v>7</v>
      </c>
      <c r="N583" s="58">
        <v>59.27</v>
      </c>
      <c r="O583" s="58">
        <v>39.869</v>
      </c>
      <c r="P583" s="58">
        <v>16.018899999999999</v>
      </c>
      <c r="Q583" s="58">
        <v>10.775405405405399</v>
      </c>
      <c r="R583" s="58">
        <v>8.4671428571428606</v>
      </c>
      <c r="S583" s="58">
        <v>0.68126436781609201</v>
      </c>
      <c r="T583" t="s">
        <v>176</v>
      </c>
      <c r="U583" s="11">
        <v>48.2151</v>
      </c>
      <c r="V583"/>
      <c r="W583"/>
    </row>
    <row r="584" spans="1:23" x14ac:dyDescent="0.35">
      <c r="A584" s="40">
        <v>45058</v>
      </c>
      <c r="B584">
        <v>2023</v>
      </c>
      <c r="C584" t="s">
        <v>287</v>
      </c>
      <c r="D584">
        <v>7</v>
      </c>
      <c r="E584">
        <v>20</v>
      </c>
      <c r="F584" t="s">
        <v>50</v>
      </c>
      <c r="G584" s="106">
        <v>0.74305555555555558</v>
      </c>
      <c r="H584" t="s">
        <v>80</v>
      </c>
      <c r="I584" t="s">
        <v>230</v>
      </c>
      <c r="J584">
        <v>70.099999999999994</v>
      </c>
      <c r="K584">
        <v>6.35</v>
      </c>
      <c r="L584">
        <v>147</v>
      </c>
      <c r="M584">
        <v>13</v>
      </c>
      <c r="N584" s="58">
        <v>127.8</v>
      </c>
      <c r="O584" s="58">
        <v>95.019000000000005</v>
      </c>
      <c r="P584" s="58">
        <v>20.126000000000001</v>
      </c>
      <c r="Q584" s="58">
        <v>14.963622047244099</v>
      </c>
      <c r="R584" s="58">
        <v>9.8307692307692296</v>
      </c>
      <c r="S584" s="58">
        <v>0.86938775510204103</v>
      </c>
      <c r="T584" t="s">
        <v>175</v>
      </c>
      <c r="U584" s="11">
        <v>54.407200000000003</v>
      </c>
      <c r="V584"/>
      <c r="W584"/>
    </row>
    <row r="585" spans="1:23" x14ac:dyDescent="0.35">
      <c r="A585" s="40">
        <v>45056</v>
      </c>
      <c r="B585">
        <v>2023</v>
      </c>
      <c r="C585" t="s">
        <v>287</v>
      </c>
      <c r="D585">
        <v>7</v>
      </c>
      <c r="E585">
        <v>20</v>
      </c>
      <c r="F585" t="s">
        <v>48</v>
      </c>
      <c r="G585" s="106">
        <v>0.70486111111111116</v>
      </c>
      <c r="H585" t="s">
        <v>80</v>
      </c>
      <c r="I585" t="s">
        <v>230</v>
      </c>
      <c r="J585">
        <v>78.7</v>
      </c>
      <c r="K585">
        <v>4.43</v>
      </c>
      <c r="L585">
        <v>111</v>
      </c>
      <c r="M585">
        <v>6</v>
      </c>
      <c r="N585" s="58">
        <v>79.959999999999994</v>
      </c>
      <c r="O585" s="58">
        <v>55.207000000000001</v>
      </c>
      <c r="P585" s="58">
        <v>18.049700000000001</v>
      </c>
      <c r="Q585" s="58">
        <v>12.462076749435701</v>
      </c>
      <c r="R585" s="58">
        <v>13.3266666666667</v>
      </c>
      <c r="S585" s="58">
        <v>0.72036036036036</v>
      </c>
      <c r="T585" t="s">
        <v>176</v>
      </c>
      <c r="U585" s="11">
        <v>55.780900000000003</v>
      </c>
      <c r="V585"/>
      <c r="W585"/>
    </row>
    <row r="586" spans="1:23" x14ac:dyDescent="0.35">
      <c r="A586" s="40">
        <v>45053</v>
      </c>
      <c r="B586">
        <v>2023</v>
      </c>
      <c r="C586" t="s">
        <v>287</v>
      </c>
      <c r="D586">
        <v>6</v>
      </c>
      <c r="E586">
        <v>19</v>
      </c>
      <c r="F586" t="s">
        <v>45</v>
      </c>
      <c r="G586" s="106">
        <v>0.69791666666666663</v>
      </c>
      <c r="H586" t="s">
        <v>85</v>
      </c>
      <c r="I586" t="s">
        <v>230</v>
      </c>
      <c r="J586">
        <v>66.8</v>
      </c>
      <c r="K586">
        <v>3.93</v>
      </c>
      <c r="L586">
        <v>75</v>
      </c>
      <c r="M586">
        <v>7</v>
      </c>
      <c r="N586" s="58">
        <v>73.87</v>
      </c>
      <c r="O586" s="58">
        <v>57.145000000000003</v>
      </c>
      <c r="P586" s="58">
        <v>18.796399999999998</v>
      </c>
      <c r="Q586" s="58">
        <v>14.5407124681934</v>
      </c>
      <c r="R586" s="58">
        <v>10.5528571428571</v>
      </c>
      <c r="S586" s="58">
        <v>0.98493333333333399</v>
      </c>
      <c r="T586" t="s">
        <v>176</v>
      </c>
      <c r="U586" s="11">
        <v>58.250999999999998</v>
      </c>
      <c r="V586"/>
      <c r="W586"/>
    </row>
    <row r="587" spans="1:23" x14ac:dyDescent="0.35">
      <c r="A587" s="40">
        <v>45051</v>
      </c>
      <c r="B587">
        <v>2023</v>
      </c>
      <c r="C587" t="s">
        <v>287</v>
      </c>
      <c r="D587">
        <v>6</v>
      </c>
      <c r="E587">
        <v>19</v>
      </c>
      <c r="F587" t="s">
        <v>50</v>
      </c>
      <c r="G587" s="106">
        <v>0.73958333333333337</v>
      </c>
      <c r="H587" t="s">
        <v>85</v>
      </c>
      <c r="I587" t="s">
        <v>230</v>
      </c>
      <c r="J587">
        <v>74.7</v>
      </c>
      <c r="K587">
        <v>7.35</v>
      </c>
      <c r="L587">
        <v>155</v>
      </c>
      <c r="M587">
        <v>15</v>
      </c>
      <c r="N587" s="58">
        <v>154.94</v>
      </c>
      <c r="O587" s="58">
        <v>120.375</v>
      </c>
      <c r="P587" s="58">
        <v>21.080300000000001</v>
      </c>
      <c r="Q587" s="58">
        <v>16.377551020408202</v>
      </c>
      <c r="R587" s="58">
        <v>10.329333333333301</v>
      </c>
      <c r="S587" s="58">
        <v>0.99961290322580598</v>
      </c>
      <c r="T587" t="s">
        <v>176</v>
      </c>
      <c r="U587" s="11">
        <v>57.430199999999999</v>
      </c>
      <c r="V587"/>
      <c r="W587"/>
    </row>
    <row r="588" spans="1:23" x14ac:dyDescent="0.35">
      <c r="A588" s="40">
        <v>45050</v>
      </c>
      <c r="B588">
        <v>2023</v>
      </c>
      <c r="C588" t="s">
        <v>287</v>
      </c>
      <c r="D588">
        <v>6</v>
      </c>
      <c r="E588">
        <v>19</v>
      </c>
      <c r="F588" t="s">
        <v>49</v>
      </c>
      <c r="G588" s="106">
        <v>0.73958333333333337</v>
      </c>
      <c r="H588" t="s">
        <v>80</v>
      </c>
      <c r="I588" t="s">
        <v>236</v>
      </c>
      <c r="J588">
        <v>63.4</v>
      </c>
      <c r="K588">
        <v>3.32</v>
      </c>
      <c r="L588">
        <v>63</v>
      </c>
      <c r="M588">
        <v>8</v>
      </c>
      <c r="N588" s="58">
        <v>69.290000000000006</v>
      </c>
      <c r="O588" s="58">
        <v>55.241</v>
      </c>
      <c r="P588" s="58">
        <v>20.8705</v>
      </c>
      <c r="Q588" s="58">
        <v>16.638855421686799</v>
      </c>
      <c r="R588" s="58">
        <v>8.6612500000000008</v>
      </c>
      <c r="S588" s="58">
        <v>1.0998412698412701</v>
      </c>
      <c r="T588" t="s">
        <v>176</v>
      </c>
      <c r="U588" s="11">
        <v>55.7087</v>
      </c>
      <c r="V588"/>
      <c r="W588"/>
    </row>
    <row r="589" spans="1:23" x14ac:dyDescent="0.35">
      <c r="A589" s="40">
        <v>45049</v>
      </c>
      <c r="B589">
        <v>2023</v>
      </c>
      <c r="C589" t="s">
        <v>287</v>
      </c>
      <c r="D589">
        <v>6</v>
      </c>
      <c r="E589">
        <v>19</v>
      </c>
      <c r="F589" t="s">
        <v>48</v>
      </c>
      <c r="G589" s="106">
        <v>0.72569444444444442</v>
      </c>
      <c r="H589" t="s">
        <v>85</v>
      </c>
      <c r="I589" t="s">
        <v>236</v>
      </c>
      <c r="J589">
        <v>50.6</v>
      </c>
      <c r="K589">
        <v>5.63</v>
      </c>
      <c r="L589">
        <v>93</v>
      </c>
      <c r="M589">
        <v>16</v>
      </c>
      <c r="N589" s="58">
        <v>109.32</v>
      </c>
      <c r="O589" s="58">
        <v>88.581000000000003</v>
      </c>
      <c r="P589" s="58">
        <v>19.417400000000001</v>
      </c>
      <c r="Q589" s="58">
        <v>15.733747779751299</v>
      </c>
      <c r="R589" s="58">
        <v>6.8324999999999996</v>
      </c>
      <c r="S589" s="58">
        <v>1.17548387096774</v>
      </c>
      <c r="T589" t="s">
        <v>176</v>
      </c>
      <c r="U589" s="11">
        <v>54.938800000000001</v>
      </c>
      <c r="V589"/>
      <c r="W589"/>
    </row>
    <row r="590" spans="1:23" x14ac:dyDescent="0.35">
      <c r="A590" s="40">
        <v>45048</v>
      </c>
      <c r="B590">
        <v>2023</v>
      </c>
      <c r="C590" t="s">
        <v>287</v>
      </c>
      <c r="D590">
        <v>6</v>
      </c>
      <c r="E590">
        <v>19</v>
      </c>
      <c r="F590" t="s">
        <v>47</v>
      </c>
      <c r="G590" s="106">
        <v>0.71875</v>
      </c>
      <c r="H590" t="s">
        <v>174</v>
      </c>
      <c r="I590" t="s">
        <v>236</v>
      </c>
      <c r="J590">
        <v>40.9</v>
      </c>
      <c r="K590">
        <v>5.28</v>
      </c>
      <c r="L590">
        <v>130.5</v>
      </c>
      <c r="M590">
        <v>9</v>
      </c>
      <c r="N590" s="58">
        <v>80.819999999999993</v>
      </c>
      <c r="O590" s="58">
        <v>51.718499999999999</v>
      </c>
      <c r="P590" s="58">
        <v>15.306800000000001</v>
      </c>
      <c r="Q590" s="58">
        <v>9.7951704545454508</v>
      </c>
      <c r="R590" s="58">
        <v>8.98</v>
      </c>
      <c r="S590" s="58">
        <v>0.61931034482758596</v>
      </c>
      <c r="T590" t="s">
        <v>176</v>
      </c>
      <c r="U590" s="11">
        <v>53.7241</v>
      </c>
      <c r="V590"/>
      <c r="W590"/>
    </row>
    <row r="591" spans="1:23" x14ac:dyDescent="0.35">
      <c r="A591" s="40">
        <v>45046</v>
      </c>
      <c r="B591">
        <v>2023</v>
      </c>
      <c r="C591" t="s">
        <v>287</v>
      </c>
      <c r="D591">
        <v>5</v>
      </c>
      <c r="E591">
        <v>18</v>
      </c>
      <c r="F591" t="s">
        <v>45</v>
      </c>
      <c r="G591" s="106">
        <v>0.72222222222222221</v>
      </c>
      <c r="H591" t="s">
        <v>174</v>
      </c>
      <c r="I591" t="s">
        <v>236</v>
      </c>
      <c r="J591">
        <v>61.9</v>
      </c>
      <c r="K591">
        <v>4.32</v>
      </c>
      <c r="L591">
        <v>90</v>
      </c>
      <c r="M591">
        <v>8</v>
      </c>
      <c r="N591" s="58">
        <v>67.78</v>
      </c>
      <c r="O591" s="58">
        <v>47.71</v>
      </c>
      <c r="P591" s="58">
        <v>15.6898</v>
      </c>
      <c r="Q591" s="58">
        <v>11.0439814814815</v>
      </c>
      <c r="R591" s="58">
        <v>8.4725000000000001</v>
      </c>
      <c r="S591" s="58">
        <v>0.75311111111111095</v>
      </c>
      <c r="T591" t="s">
        <v>176</v>
      </c>
      <c r="U591" s="11">
        <v>56.218299999999999</v>
      </c>
      <c r="V591"/>
      <c r="W591"/>
    </row>
    <row r="592" spans="1:23" x14ac:dyDescent="0.35">
      <c r="A592" s="40">
        <v>45045</v>
      </c>
      <c r="B592">
        <v>2023</v>
      </c>
      <c r="C592" t="s">
        <v>287</v>
      </c>
      <c r="D592">
        <v>5</v>
      </c>
      <c r="E592">
        <v>18</v>
      </c>
      <c r="F592" t="s">
        <v>51</v>
      </c>
      <c r="G592" s="106">
        <v>0.74305555555555558</v>
      </c>
      <c r="H592" t="s">
        <v>80</v>
      </c>
      <c r="I592" t="s">
        <v>236</v>
      </c>
      <c r="J592">
        <v>45.5</v>
      </c>
      <c r="K592">
        <v>1.1299999999999999</v>
      </c>
      <c r="L592">
        <v>26</v>
      </c>
      <c r="M592">
        <v>3</v>
      </c>
      <c r="N592" s="58">
        <v>37.67</v>
      </c>
      <c r="O592" s="58">
        <v>31.872</v>
      </c>
      <c r="P592" s="58">
        <v>33.336300000000001</v>
      </c>
      <c r="Q592" s="58">
        <v>28.2053097345133</v>
      </c>
      <c r="R592" s="58">
        <v>12.5566666666667</v>
      </c>
      <c r="S592" s="58">
        <v>1.4488461538461499</v>
      </c>
      <c r="T592" t="s">
        <v>176</v>
      </c>
      <c r="U592" s="11">
        <v>55.465200000000003</v>
      </c>
      <c r="V592"/>
      <c r="W592"/>
    </row>
    <row r="593" spans="1:23" x14ac:dyDescent="0.35">
      <c r="A593" s="40">
        <v>45044</v>
      </c>
      <c r="B593">
        <v>2023</v>
      </c>
      <c r="C593" t="s">
        <v>287</v>
      </c>
      <c r="D593">
        <v>5</v>
      </c>
      <c r="E593">
        <v>18</v>
      </c>
      <c r="F593" t="s">
        <v>50</v>
      </c>
      <c r="G593" s="106">
        <v>0.75347222222222221</v>
      </c>
      <c r="H593" t="s">
        <v>80</v>
      </c>
      <c r="I593" t="s">
        <v>249</v>
      </c>
      <c r="J593">
        <v>57.2</v>
      </c>
      <c r="K593">
        <v>3.43</v>
      </c>
      <c r="L593">
        <v>63</v>
      </c>
      <c r="M593">
        <v>9</v>
      </c>
      <c r="N593" s="58">
        <v>116.42</v>
      </c>
      <c r="O593" s="58">
        <v>102.371</v>
      </c>
      <c r="P593" s="58">
        <v>33.941699999999997</v>
      </c>
      <c r="Q593" s="58">
        <v>29.845772594752201</v>
      </c>
      <c r="R593" s="58">
        <v>12.935555555555601</v>
      </c>
      <c r="S593" s="58">
        <v>1.84793650793651</v>
      </c>
      <c r="T593" t="s">
        <v>176</v>
      </c>
      <c r="U593" s="11">
        <v>55.046700000000001</v>
      </c>
      <c r="V593"/>
      <c r="W593"/>
    </row>
    <row r="594" spans="1:23" x14ac:dyDescent="0.35">
      <c r="A594" s="40">
        <v>45043</v>
      </c>
      <c r="B594">
        <v>2023</v>
      </c>
      <c r="C594" t="s">
        <v>287</v>
      </c>
      <c r="D594">
        <v>5</v>
      </c>
      <c r="E594">
        <v>18</v>
      </c>
      <c r="F594" t="s">
        <v>49</v>
      </c>
      <c r="G594" s="106">
        <v>0.73958333333333337</v>
      </c>
      <c r="H594" t="s">
        <v>174</v>
      </c>
      <c r="I594" t="s">
        <v>230</v>
      </c>
      <c r="J594">
        <v>62.7</v>
      </c>
      <c r="K594">
        <v>3.12</v>
      </c>
      <c r="L594">
        <v>78</v>
      </c>
      <c r="M594">
        <v>4</v>
      </c>
      <c r="N594" s="58">
        <v>42.45</v>
      </c>
      <c r="O594" s="58">
        <v>25.056000000000001</v>
      </c>
      <c r="P594" s="58">
        <v>13.6058</v>
      </c>
      <c r="Q594" s="58">
        <v>8.0307692307692307</v>
      </c>
      <c r="R594" s="58">
        <v>10.612500000000001</v>
      </c>
      <c r="S594" s="58">
        <v>0.54423076923076896</v>
      </c>
      <c r="T594" t="s">
        <v>176</v>
      </c>
      <c r="U594" s="11">
        <v>54.832099999999997</v>
      </c>
      <c r="V594"/>
      <c r="W594"/>
    </row>
    <row r="595" spans="1:23" x14ac:dyDescent="0.35">
      <c r="A595" s="40">
        <v>45042</v>
      </c>
      <c r="B595">
        <v>2023</v>
      </c>
      <c r="C595" t="s">
        <v>287</v>
      </c>
      <c r="D595">
        <v>5</v>
      </c>
      <c r="E595">
        <v>18</v>
      </c>
      <c r="F595" t="s">
        <v>48</v>
      </c>
      <c r="G595" s="106">
        <v>0.72569444444444442</v>
      </c>
      <c r="H595" t="s">
        <v>85</v>
      </c>
      <c r="I595" t="s">
        <v>236</v>
      </c>
      <c r="J595">
        <v>55.1</v>
      </c>
      <c r="K595">
        <v>4.97</v>
      </c>
      <c r="L595">
        <v>100</v>
      </c>
      <c r="M595">
        <v>12</v>
      </c>
      <c r="N595" s="58">
        <v>121.06</v>
      </c>
      <c r="O595" s="58">
        <v>98.76</v>
      </c>
      <c r="P595" s="58">
        <v>24.3581</v>
      </c>
      <c r="Q595" s="58">
        <v>19.871227364185099</v>
      </c>
      <c r="R595" s="58">
        <v>10.088333333333299</v>
      </c>
      <c r="S595" s="58">
        <v>1.2105999999999999</v>
      </c>
      <c r="T595" t="s">
        <v>176</v>
      </c>
      <c r="U595" s="11">
        <v>55.2836</v>
      </c>
      <c r="V595"/>
      <c r="W595"/>
    </row>
    <row r="596" spans="1:23" x14ac:dyDescent="0.35">
      <c r="A596" s="40">
        <v>45039</v>
      </c>
      <c r="B596">
        <v>2023</v>
      </c>
      <c r="C596" t="s">
        <v>287</v>
      </c>
      <c r="D596">
        <v>4</v>
      </c>
      <c r="E596">
        <v>17</v>
      </c>
      <c r="F596" t="s">
        <v>45</v>
      </c>
      <c r="G596" s="106">
        <v>0.75</v>
      </c>
      <c r="H596" t="s">
        <v>174</v>
      </c>
      <c r="I596" t="s">
        <v>236</v>
      </c>
      <c r="J596">
        <v>42.4</v>
      </c>
      <c r="K596">
        <v>4.3</v>
      </c>
      <c r="L596">
        <v>82</v>
      </c>
      <c r="M596">
        <v>9</v>
      </c>
      <c r="N596" s="58">
        <v>99.08</v>
      </c>
      <c r="O596" s="58">
        <v>80.793999999999997</v>
      </c>
      <c r="P596" s="58">
        <v>23.041899999999998</v>
      </c>
      <c r="Q596" s="58">
        <v>18.789302325581399</v>
      </c>
      <c r="R596" s="58">
        <v>11.008888888888899</v>
      </c>
      <c r="S596" s="58">
        <v>1.2082926829268299</v>
      </c>
      <c r="T596" t="s">
        <v>176</v>
      </c>
      <c r="U596" s="11">
        <v>55.870199999999997</v>
      </c>
      <c r="V596"/>
      <c r="W596"/>
    </row>
    <row r="597" spans="1:23" x14ac:dyDescent="0.35">
      <c r="A597" s="40">
        <v>45038</v>
      </c>
      <c r="B597">
        <v>2023</v>
      </c>
      <c r="C597" t="s">
        <v>287</v>
      </c>
      <c r="D597">
        <v>4</v>
      </c>
      <c r="E597">
        <v>17</v>
      </c>
      <c r="F597" t="s">
        <v>51</v>
      </c>
      <c r="G597" s="106">
        <v>0.66319444444444442</v>
      </c>
      <c r="H597" t="s">
        <v>80</v>
      </c>
      <c r="I597" t="s">
        <v>236</v>
      </c>
      <c r="J597">
        <v>52.3</v>
      </c>
      <c r="K597">
        <v>6.2</v>
      </c>
      <c r="L597">
        <v>138</v>
      </c>
      <c r="M597">
        <v>15</v>
      </c>
      <c r="N597" s="58">
        <v>161</v>
      </c>
      <c r="O597" s="58">
        <v>130.226</v>
      </c>
      <c r="P597" s="58">
        <v>25.967700000000001</v>
      </c>
      <c r="Q597" s="58">
        <v>21.0041935483871</v>
      </c>
      <c r="R597" s="58">
        <v>10.733333333333301</v>
      </c>
      <c r="S597" s="58">
        <v>1.1666666666666701</v>
      </c>
      <c r="T597" t="s">
        <v>176</v>
      </c>
      <c r="U597" s="11">
        <v>54.769300000000001</v>
      </c>
      <c r="V597"/>
      <c r="W597"/>
    </row>
    <row r="598" spans="1:23" x14ac:dyDescent="0.35">
      <c r="A598" s="40">
        <v>45037</v>
      </c>
      <c r="B598">
        <v>2023</v>
      </c>
      <c r="C598" t="s">
        <v>287</v>
      </c>
      <c r="D598">
        <v>4</v>
      </c>
      <c r="E598">
        <v>17</v>
      </c>
      <c r="F598" t="s">
        <v>50</v>
      </c>
      <c r="G598" s="106">
        <v>0.76388888888888884</v>
      </c>
      <c r="H598" t="s">
        <v>80</v>
      </c>
      <c r="I598" t="s">
        <v>249</v>
      </c>
      <c r="J598">
        <v>53.2</v>
      </c>
      <c r="K598">
        <v>2.8</v>
      </c>
      <c r="L598">
        <v>65</v>
      </c>
      <c r="M598">
        <v>7</v>
      </c>
      <c r="N598" s="58">
        <v>76.42</v>
      </c>
      <c r="O598" s="58">
        <v>61.924999999999997</v>
      </c>
      <c r="P598" s="58">
        <v>27.292899999999999</v>
      </c>
      <c r="Q598" s="58">
        <v>22.116071428571399</v>
      </c>
      <c r="R598" s="58">
        <v>10.917142857142901</v>
      </c>
      <c r="S598" s="58">
        <v>1.17569230769231</v>
      </c>
      <c r="T598" t="s">
        <v>176</v>
      </c>
      <c r="U598" s="11">
        <v>52.980400000000003</v>
      </c>
      <c r="V598"/>
      <c r="W598"/>
    </row>
    <row r="599" spans="1:23" x14ac:dyDescent="0.35">
      <c r="A599" s="40">
        <v>45036</v>
      </c>
      <c r="B599">
        <v>2023</v>
      </c>
      <c r="C599" t="s">
        <v>287</v>
      </c>
      <c r="D599">
        <v>4</v>
      </c>
      <c r="E599">
        <v>17</v>
      </c>
      <c r="F599" t="s">
        <v>49</v>
      </c>
      <c r="G599" s="106">
        <v>0.72222222222222221</v>
      </c>
      <c r="H599" t="s">
        <v>80</v>
      </c>
      <c r="I599" t="s">
        <v>249</v>
      </c>
      <c r="J599">
        <v>53.7</v>
      </c>
      <c r="K599">
        <v>5.6</v>
      </c>
      <c r="L599">
        <v>128</v>
      </c>
      <c r="M599">
        <v>14</v>
      </c>
      <c r="N599" s="58">
        <v>134.41999999999999</v>
      </c>
      <c r="O599" s="58">
        <v>105.876</v>
      </c>
      <c r="P599" s="58">
        <v>24.003599999999999</v>
      </c>
      <c r="Q599" s="58">
        <v>18.906428571428599</v>
      </c>
      <c r="R599" s="58">
        <v>9.6014285714285705</v>
      </c>
      <c r="S599" s="58">
        <v>1.0501562499999999</v>
      </c>
      <c r="T599" t="s">
        <v>176</v>
      </c>
      <c r="U599" s="11">
        <v>53.781100000000002</v>
      </c>
      <c r="V599"/>
      <c r="W599"/>
    </row>
    <row r="600" spans="1:23" x14ac:dyDescent="0.35">
      <c r="A600" s="40">
        <v>45035</v>
      </c>
      <c r="B600">
        <v>2023</v>
      </c>
      <c r="C600" t="s">
        <v>287</v>
      </c>
      <c r="D600">
        <v>4</v>
      </c>
      <c r="E600">
        <v>17</v>
      </c>
      <c r="F600" t="s">
        <v>48</v>
      </c>
      <c r="G600" s="106">
        <v>0.73263888888888884</v>
      </c>
      <c r="H600" t="s">
        <v>80</v>
      </c>
      <c r="I600" t="s">
        <v>249</v>
      </c>
      <c r="J600">
        <v>54.3</v>
      </c>
      <c r="K600">
        <v>4.8499999999999996</v>
      </c>
      <c r="L600">
        <v>110.8</v>
      </c>
      <c r="M600">
        <v>10</v>
      </c>
      <c r="N600" s="58">
        <v>91.19</v>
      </c>
      <c r="O600" s="58">
        <v>66.4816</v>
      </c>
      <c r="P600" s="58">
        <v>18.802099999999999</v>
      </c>
      <c r="Q600" s="58">
        <v>13.707546391752601</v>
      </c>
      <c r="R600" s="58">
        <v>9.1189999999999998</v>
      </c>
      <c r="S600" s="58">
        <v>0.82301444043321303</v>
      </c>
      <c r="T600" t="s">
        <v>176</v>
      </c>
      <c r="U600" s="11">
        <v>52.287599999999998</v>
      </c>
      <c r="V600"/>
      <c r="W600"/>
    </row>
    <row r="601" spans="1:23" x14ac:dyDescent="0.35">
      <c r="A601" s="40">
        <v>45031</v>
      </c>
      <c r="B601">
        <v>2023</v>
      </c>
      <c r="C601" t="s">
        <v>287</v>
      </c>
      <c r="D601">
        <v>3</v>
      </c>
      <c r="E601">
        <v>16</v>
      </c>
      <c r="F601" t="s">
        <v>51</v>
      </c>
      <c r="G601" s="106">
        <v>0.6958333333333333</v>
      </c>
      <c r="H601" t="s">
        <v>80</v>
      </c>
      <c r="I601" t="s">
        <v>236</v>
      </c>
      <c r="J601">
        <v>66</v>
      </c>
      <c r="K601">
        <v>5.62</v>
      </c>
      <c r="L601">
        <v>101</v>
      </c>
      <c r="M601">
        <v>13</v>
      </c>
      <c r="N601" s="58">
        <v>131.49</v>
      </c>
      <c r="O601" s="58">
        <v>108.967</v>
      </c>
      <c r="P601" s="58">
        <v>23.396799999999999</v>
      </c>
      <c r="Q601" s="58">
        <v>19.389145907473299</v>
      </c>
      <c r="R601" s="58">
        <v>10.1146153846154</v>
      </c>
      <c r="S601" s="58">
        <v>1.3018811881188099</v>
      </c>
      <c r="T601" t="s">
        <v>176</v>
      </c>
      <c r="U601" s="11">
        <v>53.747</v>
      </c>
      <c r="V601"/>
      <c r="W601"/>
    </row>
    <row r="602" spans="1:23" x14ac:dyDescent="0.35">
      <c r="A602" s="40">
        <v>45029</v>
      </c>
      <c r="B602">
        <v>2023</v>
      </c>
      <c r="C602" t="s">
        <v>287</v>
      </c>
      <c r="D602">
        <v>3</v>
      </c>
      <c r="E602">
        <v>16</v>
      </c>
      <c r="F602" t="s">
        <v>49</v>
      </c>
      <c r="G602" s="106">
        <v>0.74444444444444446</v>
      </c>
      <c r="H602" t="s">
        <v>80</v>
      </c>
      <c r="I602" t="s">
        <v>230</v>
      </c>
      <c r="J602">
        <v>78.400000000000006</v>
      </c>
      <c r="K602">
        <v>4.3</v>
      </c>
      <c r="L602">
        <v>105.8</v>
      </c>
      <c r="M602">
        <v>8</v>
      </c>
      <c r="N602" s="58">
        <v>104.67</v>
      </c>
      <c r="O602" s="58">
        <v>81.076599999999999</v>
      </c>
      <c r="P602" s="58">
        <v>24.341899999999999</v>
      </c>
      <c r="Q602" s="58">
        <v>18.855023255814</v>
      </c>
      <c r="R602" s="58">
        <v>13.08375</v>
      </c>
      <c r="S602" s="58">
        <v>0.98931947069943305</v>
      </c>
      <c r="T602" t="s">
        <v>176</v>
      </c>
      <c r="U602" s="11">
        <v>52.286000000000001</v>
      </c>
      <c r="V602"/>
      <c r="W602"/>
    </row>
    <row r="603" spans="1:23" x14ac:dyDescent="0.35">
      <c r="A603" s="40">
        <v>45020</v>
      </c>
      <c r="B603">
        <v>2023</v>
      </c>
      <c r="C603" t="s">
        <v>287</v>
      </c>
      <c r="D603">
        <v>2</v>
      </c>
      <c r="E603">
        <v>15</v>
      </c>
      <c r="F603" t="s">
        <v>47</v>
      </c>
      <c r="G603" s="106">
        <v>0.73263888888888884</v>
      </c>
      <c r="H603" t="s">
        <v>80</v>
      </c>
      <c r="I603" t="s">
        <v>233</v>
      </c>
      <c r="J603">
        <v>43.8</v>
      </c>
      <c r="K603">
        <v>1.9</v>
      </c>
      <c r="L603">
        <v>36.4</v>
      </c>
      <c r="M603">
        <v>3</v>
      </c>
      <c r="N603" s="58">
        <v>25.5</v>
      </c>
      <c r="O603" s="58">
        <v>17.3828</v>
      </c>
      <c r="P603" s="58">
        <v>13.421099999999999</v>
      </c>
      <c r="Q603" s="58">
        <v>9.1488421052631601</v>
      </c>
      <c r="R603" s="58">
        <v>8.5</v>
      </c>
      <c r="S603" s="58">
        <v>0.70054945054945095</v>
      </c>
      <c r="T603" t="s">
        <v>176</v>
      </c>
      <c r="U603" s="11">
        <v>58.3812</v>
      </c>
      <c r="V603"/>
      <c r="W603"/>
    </row>
    <row r="604" spans="1:23" x14ac:dyDescent="0.35">
      <c r="A604" s="40">
        <v>45017</v>
      </c>
      <c r="B604">
        <v>2023</v>
      </c>
      <c r="C604" t="s">
        <v>287</v>
      </c>
      <c r="D604">
        <v>1</v>
      </c>
      <c r="E604">
        <v>14</v>
      </c>
      <c r="F604" t="s">
        <v>51</v>
      </c>
      <c r="G604" s="106">
        <v>0.76041666666666663</v>
      </c>
      <c r="H604" t="s">
        <v>85</v>
      </c>
      <c r="I604" t="s">
        <v>249</v>
      </c>
      <c r="J604">
        <v>37.799999999999997</v>
      </c>
      <c r="K604">
        <v>4.58</v>
      </c>
      <c r="L604">
        <v>81</v>
      </c>
      <c r="M604">
        <v>10</v>
      </c>
      <c r="N604" s="58">
        <v>78.900000000000006</v>
      </c>
      <c r="O604" s="58">
        <v>60.837000000000003</v>
      </c>
      <c r="P604" s="58">
        <v>17.2271</v>
      </c>
      <c r="Q604" s="58">
        <v>13.2831877729258</v>
      </c>
      <c r="R604" s="58">
        <v>7.89</v>
      </c>
      <c r="S604" s="58">
        <v>0.97407407407407398</v>
      </c>
      <c r="T604" t="s">
        <v>176</v>
      </c>
      <c r="U604" s="11">
        <v>60.490200000000002</v>
      </c>
      <c r="V604"/>
      <c r="W604"/>
    </row>
    <row r="605" spans="1:23" x14ac:dyDescent="0.35">
      <c r="A605" s="40">
        <v>45016</v>
      </c>
      <c r="B605">
        <v>2023</v>
      </c>
      <c r="C605" t="s">
        <v>287</v>
      </c>
      <c r="D605">
        <v>1</v>
      </c>
      <c r="E605">
        <v>14</v>
      </c>
      <c r="F605" t="s">
        <v>50</v>
      </c>
      <c r="G605" s="106">
        <v>0.73263888888888884</v>
      </c>
      <c r="H605" t="s">
        <v>85</v>
      </c>
      <c r="I605" t="s">
        <v>235</v>
      </c>
      <c r="J605">
        <v>42.3</v>
      </c>
      <c r="K605">
        <v>8.9499999999999993</v>
      </c>
      <c r="L605">
        <v>166</v>
      </c>
      <c r="M605">
        <v>18</v>
      </c>
      <c r="N605" s="58">
        <v>206.46</v>
      </c>
      <c r="O605" s="58">
        <v>169.44200000000001</v>
      </c>
      <c r="P605" s="58">
        <v>23.068200000000001</v>
      </c>
      <c r="Q605" s="58">
        <v>18.932067039106101</v>
      </c>
      <c r="R605" s="58">
        <v>11.47</v>
      </c>
      <c r="S605" s="58">
        <v>1.24373493975904</v>
      </c>
      <c r="T605" t="s">
        <v>176</v>
      </c>
      <c r="U605" s="11">
        <v>61.341000000000001</v>
      </c>
      <c r="V605"/>
      <c r="W605"/>
    </row>
    <row r="606" spans="1:23" x14ac:dyDescent="0.35">
      <c r="A606" s="40">
        <v>45015</v>
      </c>
      <c r="B606">
        <v>2023</v>
      </c>
      <c r="C606" t="s">
        <v>287</v>
      </c>
      <c r="D606">
        <v>1</v>
      </c>
      <c r="E606">
        <v>14</v>
      </c>
      <c r="F606" t="s">
        <v>49</v>
      </c>
      <c r="G606" s="106">
        <v>0.74652777777777779</v>
      </c>
      <c r="H606" t="s">
        <v>82</v>
      </c>
      <c r="I606" t="s">
        <v>234</v>
      </c>
      <c r="J606">
        <v>38.6</v>
      </c>
      <c r="K606">
        <v>4.92</v>
      </c>
      <c r="L606">
        <v>80</v>
      </c>
      <c r="M606">
        <v>11</v>
      </c>
      <c r="N606" s="58">
        <v>103.39</v>
      </c>
      <c r="O606" s="58">
        <v>85.55</v>
      </c>
      <c r="P606" s="58">
        <v>21.014199999999999</v>
      </c>
      <c r="Q606" s="58">
        <v>17.388211382113798</v>
      </c>
      <c r="R606" s="58">
        <v>9.3990909090909103</v>
      </c>
      <c r="S606" s="58">
        <v>1.2923750000000001</v>
      </c>
      <c r="T606" t="s">
        <v>176</v>
      </c>
      <c r="U606" s="11">
        <v>59.046999999999997</v>
      </c>
      <c r="V606"/>
      <c r="W606"/>
    </row>
    <row r="607" spans="1:23" x14ac:dyDescent="0.35">
      <c r="A607" s="40">
        <v>45014</v>
      </c>
      <c r="B607">
        <v>2023</v>
      </c>
      <c r="C607" t="s">
        <v>287</v>
      </c>
      <c r="D607">
        <v>1</v>
      </c>
      <c r="E607">
        <v>14</v>
      </c>
      <c r="F607" t="s">
        <v>48</v>
      </c>
      <c r="G607" s="106">
        <v>0.72569444444444442</v>
      </c>
      <c r="H607" t="s">
        <v>85</v>
      </c>
      <c r="I607" t="s">
        <v>235</v>
      </c>
      <c r="J607">
        <v>33</v>
      </c>
      <c r="K607">
        <v>4.7300000000000004</v>
      </c>
      <c r="L607">
        <v>71.8</v>
      </c>
      <c r="M607">
        <v>10</v>
      </c>
      <c r="N607" s="58">
        <v>66.98</v>
      </c>
      <c r="O607" s="58">
        <v>50.968600000000002</v>
      </c>
      <c r="P607" s="58">
        <v>14.1607</v>
      </c>
      <c r="Q607" s="58">
        <v>10.7756025369979</v>
      </c>
      <c r="R607" s="58">
        <v>6.6980000000000004</v>
      </c>
      <c r="S607" s="58">
        <v>0.93286908077994402</v>
      </c>
      <c r="T607" t="s">
        <v>176</v>
      </c>
      <c r="U607" s="11">
        <v>59.152200000000001</v>
      </c>
      <c r="V607"/>
      <c r="W607"/>
    </row>
    <row r="608" spans="1:23" x14ac:dyDescent="0.35">
      <c r="A608" s="40">
        <v>45011</v>
      </c>
      <c r="B608">
        <v>2023</v>
      </c>
      <c r="C608" t="s">
        <v>278</v>
      </c>
      <c r="D608">
        <v>13</v>
      </c>
      <c r="E608">
        <v>13</v>
      </c>
      <c r="F608" t="s">
        <v>45</v>
      </c>
      <c r="G608" s="106">
        <v>0.76041666666666663</v>
      </c>
      <c r="H608" t="s">
        <v>85</v>
      </c>
      <c r="I608" t="s">
        <v>249</v>
      </c>
      <c r="J608">
        <v>52.3</v>
      </c>
      <c r="K608">
        <v>4.5999999999999996</v>
      </c>
      <c r="L608">
        <v>77</v>
      </c>
      <c r="M608">
        <v>10</v>
      </c>
      <c r="N608" s="58">
        <v>114.53</v>
      </c>
      <c r="O608" s="58">
        <v>97.358999999999995</v>
      </c>
      <c r="P608" s="58">
        <v>24.8978</v>
      </c>
      <c r="Q608" s="58">
        <v>21.164999999999999</v>
      </c>
      <c r="R608" s="58">
        <v>11.452999999999999</v>
      </c>
      <c r="S608" s="58">
        <v>1.4874025974025999</v>
      </c>
      <c r="T608" t="s">
        <v>176</v>
      </c>
      <c r="U608" s="11">
        <v>60.259900000000002</v>
      </c>
      <c r="V608"/>
      <c r="W608"/>
    </row>
    <row r="609" spans="1:23" x14ac:dyDescent="0.35">
      <c r="A609" s="40">
        <v>45010</v>
      </c>
      <c r="B609">
        <v>2023</v>
      </c>
      <c r="C609" t="s">
        <v>278</v>
      </c>
      <c r="D609">
        <v>13</v>
      </c>
      <c r="E609">
        <v>13</v>
      </c>
      <c r="F609" t="s">
        <v>51</v>
      </c>
      <c r="G609" s="106">
        <v>0.79513888888888884</v>
      </c>
      <c r="H609" t="s">
        <v>80</v>
      </c>
      <c r="I609" t="s">
        <v>235</v>
      </c>
      <c r="J609">
        <v>41.9</v>
      </c>
      <c r="K609">
        <v>4.03</v>
      </c>
      <c r="L609">
        <v>81</v>
      </c>
      <c r="M609">
        <v>8</v>
      </c>
      <c r="N609" s="58">
        <v>116.67</v>
      </c>
      <c r="O609" s="58">
        <v>98.606999999999999</v>
      </c>
      <c r="P609" s="58">
        <v>28.950399999999998</v>
      </c>
      <c r="Q609" s="58">
        <v>24.468238213399498</v>
      </c>
      <c r="R609" s="58">
        <v>14.58375</v>
      </c>
      <c r="S609" s="58">
        <v>1.4403703703703701</v>
      </c>
      <c r="T609" t="s">
        <v>176</v>
      </c>
      <c r="U609" s="11">
        <v>58.987299999999998</v>
      </c>
      <c r="V609"/>
      <c r="W609"/>
    </row>
    <row r="610" spans="1:23" x14ac:dyDescent="0.35">
      <c r="A610" s="40">
        <v>45009</v>
      </c>
      <c r="B610">
        <v>2023</v>
      </c>
      <c r="C610" t="s">
        <v>278</v>
      </c>
      <c r="D610">
        <v>13</v>
      </c>
      <c r="E610">
        <v>13</v>
      </c>
      <c r="F610" t="s">
        <v>50</v>
      </c>
      <c r="G610" s="106">
        <v>0.78472222222222221</v>
      </c>
      <c r="H610" t="s">
        <v>80</v>
      </c>
      <c r="I610" t="s">
        <v>234</v>
      </c>
      <c r="J610">
        <v>33.5</v>
      </c>
      <c r="K610">
        <v>3.18</v>
      </c>
      <c r="L610">
        <v>51</v>
      </c>
      <c r="M610">
        <v>8</v>
      </c>
      <c r="N610" s="58">
        <v>65.75</v>
      </c>
      <c r="O610" s="58">
        <v>54.377000000000002</v>
      </c>
      <c r="P610" s="58">
        <v>20.676100000000002</v>
      </c>
      <c r="Q610" s="58">
        <v>17.099685534591199</v>
      </c>
      <c r="R610" s="58">
        <v>8.21875</v>
      </c>
      <c r="S610" s="58">
        <v>1.2892156862745101</v>
      </c>
      <c r="T610" t="s">
        <v>176</v>
      </c>
      <c r="U610" s="11">
        <v>57.691000000000003</v>
      </c>
      <c r="V610"/>
      <c r="W610"/>
    </row>
    <row r="611" spans="1:23" x14ac:dyDescent="0.35">
      <c r="A611" s="40">
        <v>45008</v>
      </c>
      <c r="B611">
        <v>2023</v>
      </c>
      <c r="C611" t="s">
        <v>278</v>
      </c>
      <c r="D611">
        <v>13</v>
      </c>
      <c r="E611">
        <v>13</v>
      </c>
      <c r="F611" t="s">
        <v>49</v>
      </c>
      <c r="G611" s="106">
        <v>0.78819444444444442</v>
      </c>
      <c r="H611" t="s">
        <v>85</v>
      </c>
      <c r="I611" t="s">
        <v>236</v>
      </c>
      <c r="J611">
        <v>38.9</v>
      </c>
      <c r="K611">
        <v>4.97</v>
      </c>
      <c r="L611">
        <v>61</v>
      </c>
      <c r="M611">
        <v>10</v>
      </c>
      <c r="N611" s="58">
        <v>98.24</v>
      </c>
      <c r="O611" s="58">
        <v>84.637</v>
      </c>
      <c r="P611" s="58">
        <v>19.7666</v>
      </c>
      <c r="Q611" s="58">
        <v>17.029577464788701</v>
      </c>
      <c r="R611" s="58">
        <v>9.8239999999999998</v>
      </c>
      <c r="S611" s="58">
        <v>1.6104918032786899</v>
      </c>
      <c r="T611" t="s">
        <v>176</v>
      </c>
      <c r="U611" s="11">
        <v>56.9604</v>
      </c>
      <c r="V611"/>
      <c r="W611"/>
    </row>
    <row r="612" spans="1:23" x14ac:dyDescent="0.35">
      <c r="A612" s="40">
        <v>45003</v>
      </c>
      <c r="B612">
        <v>2023</v>
      </c>
      <c r="C612" t="s">
        <v>278</v>
      </c>
      <c r="D612">
        <v>12</v>
      </c>
      <c r="E612">
        <v>12</v>
      </c>
      <c r="F612" t="s">
        <v>51</v>
      </c>
      <c r="G612" s="106">
        <v>0.75</v>
      </c>
      <c r="H612" t="s">
        <v>80</v>
      </c>
      <c r="I612" t="s">
        <v>234</v>
      </c>
      <c r="J612">
        <v>31.3</v>
      </c>
      <c r="K612">
        <v>6.23</v>
      </c>
      <c r="L612">
        <v>145</v>
      </c>
      <c r="M612">
        <v>9</v>
      </c>
      <c r="N612" s="58">
        <v>94.91</v>
      </c>
      <c r="O612" s="58">
        <v>62.575000000000003</v>
      </c>
      <c r="P612" s="58">
        <v>15.234299999999999</v>
      </c>
      <c r="Q612" s="58">
        <v>10.0441412520064</v>
      </c>
      <c r="R612" s="58">
        <v>10.5455555555556</v>
      </c>
      <c r="S612" s="58">
        <v>0.65455172413793095</v>
      </c>
      <c r="T612" t="s">
        <v>176</v>
      </c>
      <c r="U612" s="11">
        <v>57.603999999999999</v>
      </c>
      <c r="V612"/>
      <c r="W612"/>
    </row>
    <row r="613" spans="1:23" x14ac:dyDescent="0.35">
      <c r="A613" s="40">
        <v>45002</v>
      </c>
      <c r="B613">
        <v>2023</v>
      </c>
      <c r="C613" t="s">
        <v>278</v>
      </c>
      <c r="D613">
        <v>12</v>
      </c>
      <c r="E613">
        <v>12</v>
      </c>
      <c r="F613" t="s">
        <v>50</v>
      </c>
      <c r="G613" s="106">
        <v>0.73611111111111116</v>
      </c>
      <c r="H613" t="s">
        <v>82</v>
      </c>
      <c r="I613" t="s">
        <v>235</v>
      </c>
      <c r="J613">
        <v>49.1</v>
      </c>
      <c r="K613">
        <v>3.85</v>
      </c>
      <c r="L613">
        <v>54</v>
      </c>
      <c r="M613">
        <v>8</v>
      </c>
      <c r="N613" s="58">
        <v>51.5</v>
      </c>
      <c r="O613" s="58">
        <v>39.457999999999998</v>
      </c>
      <c r="P613" s="58">
        <v>13.3766</v>
      </c>
      <c r="Q613" s="58">
        <v>10.248831168831201</v>
      </c>
      <c r="R613" s="58">
        <v>6.4375</v>
      </c>
      <c r="S613" s="58">
        <v>0.95370370370370405</v>
      </c>
      <c r="T613" t="s">
        <v>176</v>
      </c>
      <c r="U613" s="11">
        <v>58.195399999999999</v>
      </c>
      <c r="V613"/>
      <c r="W613"/>
    </row>
    <row r="614" spans="1:23" x14ac:dyDescent="0.35">
      <c r="A614" s="40">
        <v>45001</v>
      </c>
      <c r="B614">
        <v>2023</v>
      </c>
      <c r="C614" t="s">
        <v>278</v>
      </c>
      <c r="D614">
        <v>12</v>
      </c>
      <c r="E614">
        <v>12</v>
      </c>
      <c r="F614" t="s">
        <v>49</v>
      </c>
      <c r="G614" s="106">
        <v>0.73263888888888884</v>
      </c>
      <c r="H614" t="s">
        <v>80</v>
      </c>
      <c r="I614" t="s">
        <v>236</v>
      </c>
      <c r="J614">
        <v>39.9</v>
      </c>
      <c r="K614">
        <v>5.12</v>
      </c>
      <c r="L614">
        <v>116.7</v>
      </c>
      <c r="M614">
        <v>4</v>
      </c>
      <c r="N614" s="58">
        <v>70.19</v>
      </c>
      <c r="O614" s="58">
        <v>44.165900000000001</v>
      </c>
      <c r="P614" s="58">
        <v>13.709</v>
      </c>
      <c r="Q614" s="58">
        <v>8.6261523437500003</v>
      </c>
      <c r="R614" s="58">
        <v>17.547499999999999</v>
      </c>
      <c r="S614" s="58">
        <v>0.60145672664952898</v>
      </c>
      <c r="T614" t="s">
        <v>176</v>
      </c>
      <c r="U614" s="11">
        <v>57.767800000000001</v>
      </c>
      <c r="V614"/>
      <c r="W614"/>
    </row>
    <row r="615" spans="1:23" x14ac:dyDescent="0.35">
      <c r="A615" s="40">
        <v>45000</v>
      </c>
      <c r="B615">
        <v>2023</v>
      </c>
      <c r="C615" t="s">
        <v>278</v>
      </c>
      <c r="D615">
        <v>12</v>
      </c>
      <c r="E615">
        <v>12</v>
      </c>
      <c r="F615" t="s">
        <v>48</v>
      </c>
      <c r="G615" s="106">
        <v>0.74652777777777779</v>
      </c>
      <c r="H615" t="s">
        <v>82</v>
      </c>
      <c r="I615" t="s">
        <v>230</v>
      </c>
      <c r="J615">
        <v>42.5</v>
      </c>
      <c r="K615">
        <v>4.1500000000000004</v>
      </c>
      <c r="L615">
        <v>73</v>
      </c>
      <c r="M615">
        <v>13</v>
      </c>
      <c r="N615" s="58">
        <v>85.96</v>
      </c>
      <c r="O615" s="58">
        <v>69.680999999999997</v>
      </c>
      <c r="P615" s="58">
        <v>20.7133</v>
      </c>
      <c r="Q615" s="58">
        <v>16.790602409638598</v>
      </c>
      <c r="R615" s="58">
        <v>6.6123076923076898</v>
      </c>
      <c r="S615" s="58">
        <v>1.17753424657534</v>
      </c>
      <c r="T615" t="s">
        <v>176</v>
      </c>
      <c r="U615" s="11">
        <v>58.498199999999997</v>
      </c>
      <c r="V615"/>
      <c r="W615"/>
    </row>
    <row r="616" spans="1:23" x14ac:dyDescent="0.35">
      <c r="A616" s="40">
        <v>44999</v>
      </c>
      <c r="B616">
        <v>2023</v>
      </c>
      <c r="C616" t="s">
        <v>278</v>
      </c>
      <c r="D616">
        <v>12</v>
      </c>
      <c r="E616">
        <v>12</v>
      </c>
      <c r="F616" t="s">
        <v>47</v>
      </c>
      <c r="G616" s="106">
        <v>0.73263888888888884</v>
      </c>
      <c r="H616" t="s">
        <v>80</v>
      </c>
      <c r="I616" t="s">
        <v>232</v>
      </c>
      <c r="J616">
        <v>28.4</v>
      </c>
      <c r="K616">
        <v>3.02</v>
      </c>
      <c r="L616">
        <v>75</v>
      </c>
      <c r="M616">
        <v>3</v>
      </c>
      <c r="N616" s="58">
        <v>60.42</v>
      </c>
      <c r="O616" s="58">
        <v>43.695</v>
      </c>
      <c r="P616" s="58">
        <v>20.006599999999999</v>
      </c>
      <c r="Q616" s="58">
        <v>14.468543046357601</v>
      </c>
      <c r="R616" s="58">
        <v>20.14</v>
      </c>
      <c r="S616" s="58">
        <v>0.80559999999999998</v>
      </c>
      <c r="T616" t="s">
        <v>176</v>
      </c>
      <c r="U616" s="11">
        <v>59.374099999999999</v>
      </c>
      <c r="V616"/>
      <c r="W616"/>
    </row>
    <row r="617" spans="1:23" x14ac:dyDescent="0.35">
      <c r="A617" s="40">
        <v>44996</v>
      </c>
      <c r="B617">
        <v>2023</v>
      </c>
      <c r="C617" t="s">
        <v>278</v>
      </c>
      <c r="D617">
        <v>11</v>
      </c>
      <c r="E617">
        <v>11</v>
      </c>
      <c r="F617" t="s">
        <v>51</v>
      </c>
      <c r="G617" s="106">
        <v>0.70833333333333337</v>
      </c>
      <c r="H617" t="s">
        <v>80</v>
      </c>
      <c r="I617" t="s">
        <v>236</v>
      </c>
      <c r="J617">
        <v>45</v>
      </c>
      <c r="K617">
        <v>6.2</v>
      </c>
      <c r="L617">
        <v>112</v>
      </c>
      <c r="M617">
        <v>11</v>
      </c>
      <c r="N617" s="58">
        <v>122.45</v>
      </c>
      <c r="O617" s="58">
        <v>97.474000000000004</v>
      </c>
      <c r="P617" s="58">
        <v>19.75</v>
      </c>
      <c r="Q617" s="58">
        <v>15.7216129032258</v>
      </c>
      <c r="R617" s="58">
        <v>11.1318181818182</v>
      </c>
      <c r="S617" s="58">
        <v>1.0933035714285699</v>
      </c>
      <c r="T617" t="s">
        <v>176</v>
      </c>
      <c r="U617" s="11">
        <v>61.747900000000001</v>
      </c>
      <c r="V617"/>
      <c r="W617"/>
    </row>
    <row r="618" spans="1:23" x14ac:dyDescent="0.35">
      <c r="A618" s="40">
        <v>44995</v>
      </c>
      <c r="B618">
        <v>2023</v>
      </c>
      <c r="C618" t="s">
        <v>278</v>
      </c>
      <c r="D618">
        <v>11</v>
      </c>
      <c r="E618">
        <v>11</v>
      </c>
      <c r="F618" t="s">
        <v>50</v>
      </c>
      <c r="G618" s="106">
        <v>0.77430555555555558</v>
      </c>
      <c r="H618" t="s">
        <v>82</v>
      </c>
      <c r="I618" t="s">
        <v>234</v>
      </c>
      <c r="J618">
        <v>38.299999999999997</v>
      </c>
      <c r="K618">
        <v>3.63</v>
      </c>
      <c r="L618">
        <v>49</v>
      </c>
      <c r="M618">
        <v>9</v>
      </c>
      <c r="N618" s="58">
        <v>64.08</v>
      </c>
      <c r="O618" s="58">
        <v>53.152999999999999</v>
      </c>
      <c r="P618" s="58">
        <v>17.652899999999999</v>
      </c>
      <c r="Q618" s="58">
        <v>14.6426997245179</v>
      </c>
      <c r="R618" s="58">
        <v>7.12</v>
      </c>
      <c r="S618" s="58">
        <v>1.30775510204082</v>
      </c>
      <c r="T618" t="s">
        <v>176</v>
      </c>
      <c r="U618" s="11">
        <v>60.955399999999997</v>
      </c>
      <c r="V618"/>
      <c r="W618"/>
    </row>
    <row r="619" spans="1:23" x14ac:dyDescent="0.35">
      <c r="A619" s="40">
        <v>44994</v>
      </c>
      <c r="B619">
        <v>2023</v>
      </c>
      <c r="C619" t="s">
        <v>278</v>
      </c>
      <c r="D619">
        <v>11</v>
      </c>
      <c r="E619">
        <v>11</v>
      </c>
      <c r="F619" t="s">
        <v>49</v>
      </c>
      <c r="G619" s="106">
        <v>0.71527777777777779</v>
      </c>
      <c r="H619" t="s">
        <v>85</v>
      </c>
      <c r="I619" t="s">
        <v>230</v>
      </c>
      <c r="J619">
        <v>44.3</v>
      </c>
      <c r="K619">
        <v>2.4300000000000002</v>
      </c>
      <c r="L619">
        <v>59.2</v>
      </c>
      <c r="M619">
        <v>5</v>
      </c>
      <c r="N619" s="58">
        <v>58.83</v>
      </c>
      <c r="O619" s="58">
        <v>45.628399999999999</v>
      </c>
      <c r="P619" s="58">
        <v>24.209900000000001</v>
      </c>
      <c r="Q619" s="58">
        <v>18.7771193415638</v>
      </c>
      <c r="R619" s="58">
        <v>11.766</v>
      </c>
      <c r="S619" s="58">
        <v>0.99375000000000002</v>
      </c>
      <c r="T619" t="s">
        <v>176</v>
      </c>
      <c r="U619" s="11">
        <v>60.243400000000001</v>
      </c>
      <c r="V619"/>
      <c r="W619"/>
    </row>
    <row r="620" spans="1:23" x14ac:dyDescent="0.35">
      <c r="A620" s="40">
        <v>44992</v>
      </c>
      <c r="B620">
        <v>2023</v>
      </c>
      <c r="C620" t="s">
        <v>278</v>
      </c>
      <c r="D620">
        <v>11</v>
      </c>
      <c r="E620">
        <v>11</v>
      </c>
      <c r="F620" t="s">
        <v>47</v>
      </c>
      <c r="G620" s="106">
        <v>0.74305555555555558</v>
      </c>
      <c r="H620" t="s">
        <v>80</v>
      </c>
      <c r="I620" t="s">
        <v>236</v>
      </c>
      <c r="J620">
        <v>39.9</v>
      </c>
      <c r="K620">
        <v>4.22</v>
      </c>
      <c r="L620">
        <v>78</v>
      </c>
      <c r="M620">
        <v>8</v>
      </c>
      <c r="N620" s="58">
        <v>68</v>
      </c>
      <c r="O620" s="58">
        <v>50.606000000000002</v>
      </c>
      <c r="P620" s="58">
        <v>16.113700000000001</v>
      </c>
      <c r="Q620" s="58">
        <v>11.9919431279621</v>
      </c>
      <c r="R620" s="58">
        <v>8.5</v>
      </c>
      <c r="S620" s="58">
        <v>0.87179487179487203</v>
      </c>
      <c r="T620" t="s">
        <v>176</v>
      </c>
      <c r="U620" s="11">
        <v>62.244900000000001</v>
      </c>
      <c r="V620"/>
      <c r="W620"/>
    </row>
    <row r="621" spans="1:23" x14ac:dyDescent="0.35">
      <c r="A621" s="40">
        <v>44989</v>
      </c>
      <c r="B621">
        <v>2023</v>
      </c>
      <c r="C621" t="s">
        <v>278</v>
      </c>
      <c r="D621">
        <v>10</v>
      </c>
      <c r="E621">
        <v>10</v>
      </c>
      <c r="F621" t="s">
        <v>51</v>
      </c>
      <c r="G621" s="106">
        <v>0.56597222222222221</v>
      </c>
      <c r="H621" t="s">
        <v>80</v>
      </c>
      <c r="I621" t="s">
        <v>235</v>
      </c>
      <c r="J621">
        <v>35.9</v>
      </c>
      <c r="K621">
        <v>5.72</v>
      </c>
      <c r="L621">
        <v>124</v>
      </c>
      <c r="M621">
        <v>7</v>
      </c>
      <c r="N621" s="58">
        <v>156.65</v>
      </c>
      <c r="O621" s="58">
        <v>128.99799999999999</v>
      </c>
      <c r="P621" s="58">
        <v>27.386399999999998</v>
      </c>
      <c r="Q621" s="58">
        <v>22.552097902097898</v>
      </c>
      <c r="R621" s="58">
        <v>22.378571428571401</v>
      </c>
      <c r="S621" s="58">
        <v>1.2633064516129</v>
      </c>
      <c r="T621" t="s">
        <v>176</v>
      </c>
      <c r="U621" s="11">
        <v>64.121099999999998</v>
      </c>
      <c r="V621"/>
      <c r="W621"/>
    </row>
    <row r="622" spans="1:23" x14ac:dyDescent="0.35">
      <c r="A622" s="40">
        <v>44988</v>
      </c>
      <c r="B622">
        <v>2023</v>
      </c>
      <c r="C622" t="s">
        <v>278</v>
      </c>
      <c r="D622">
        <v>10</v>
      </c>
      <c r="E622">
        <v>10</v>
      </c>
      <c r="F622" t="s">
        <v>50</v>
      </c>
      <c r="G622" s="106">
        <v>0.71527777777777779</v>
      </c>
      <c r="H622" t="s">
        <v>82</v>
      </c>
      <c r="I622" t="s">
        <v>232</v>
      </c>
      <c r="J622">
        <v>29.3</v>
      </c>
      <c r="K622">
        <v>1.17</v>
      </c>
      <c r="L622">
        <v>22</v>
      </c>
      <c r="M622">
        <v>3</v>
      </c>
      <c r="N622" s="58">
        <v>40.93</v>
      </c>
      <c r="O622" s="58">
        <v>36.024000000000001</v>
      </c>
      <c r="P622" s="58">
        <v>34.982900000000001</v>
      </c>
      <c r="Q622" s="58">
        <v>30.789743589743601</v>
      </c>
      <c r="R622" s="58">
        <v>13.643333333333301</v>
      </c>
      <c r="S622" s="58">
        <v>1.86045454545455</v>
      </c>
      <c r="T622" t="s">
        <v>176</v>
      </c>
      <c r="U622" s="11">
        <v>62.380600000000001</v>
      </c>
      <c r="V622"/>
      <c r="W622"/>
    </row>
    <row r="623" spans="1:23" x14ac:dyDescent="0.35">
      <c r="A623" s="40">
        <v>44986</v>
      </c>
      <c r="B623">
        <v>2023</v>
      </c>
      <c r="C623" t="s">
        <v>278</v>
      </c>
      <c r="D623">
        <v>10</v>
      </c>
      <c r="E623">
        <v>10</v>
      </c>
      <c r="F623" t="s">
        <v>48</v>
      </c>
      <c r="G623" s="106">
        <v>0.70486111111111116</v>
      </c>
      <c r="H623" t="s">
        <v>174</v>
      </c>
      <c r="I623" t="s">
        <v>232</v>
      </c>
      <c r="J623">
        <v>34.4</v>
      </c>
      <c r="K623">
        <v>4.3499999999999996</v>
      </c>
      <c r="L623">
        <v>96</v>
      </c>
      <c r="M623">
        <v>8</v>
      </c>
      <c r="N623" s="58">
        <v>75.75</v>
      </c>
      <c r="O623" s="58">
        <v>54.341999999999999</v>
      </c>
      <c r="P623" s="58">
        <v>17.413799999999998</v>
      </c>
      <c r="Q623" s="58">
        <v>12.492413793103401</v>
      </c>
      <c r="R623" s="58">
        <v>9.46875</v>
      </c>
      <c r="S623" s="58">
        <v>0.7890625</v>
      </c>
      <c r="T623" t="s">
        <v>176</v>
      </c>
      <c r="U623" s="11">
        <v>63.804400000000001</v>
      </c>
      <c r="V623"/>
      <c r="W623"/>
    </row>
    <row r="624" spans="1:23" x14ac:dyDescent="0.35">
      <c r="A624" s="40">
        <v>44985</v>
      </c>
      <c r="B624">
        <v>2023</v>
      </c>
      <c r="C624" t="s">
        <v>278</v>
      </c>
      <c r="D624">
        <v>10</v>
      </c>
      <c r="E624">
        <v>10</v>
      </c>
      <c r="F624" t="s">
        <v>47</v>
      </c>
      <c r="G624" s="106">
        <v>0.75</v>
      </c>
      <c r="H624" t="s">
        <v>80</v>
      </c>
      <c r="I624" t="s">
        <v>232</v>
      </c>
      <c r="J624">
        <v>38.9</v>
      </c>
      <c r="K624">
        <v>5.15</v>
      </c>
      <c r="L624">
        <v>92</v>
      </c>
      <c r="M624">
        <v>9</v>
      </c>
      <c r="N624" s="58">
        <v>125.47</v>
      </c>
      <c r="O624" s="58">
        <v>104.95399999999999</v>
      </c>
      <c r="P624" s="58">
        <v>24.363099999999999</v>
      </c>
      <c r="Q624" s="58">
        <v>20.3794174757282</v>
      </c>
      <c r="R624" s="58">
        <v>13.9411111111111</v>
      </c>
      <c r="S624" s="58">
        <v>1.3638043478260899</v>
      </c>
      <c r="T624" t="s">
        <v>176</v>
      </c>
      <c r="U624" s="11">
        <v>63.7836</v>
      </c>
      <c r="V624"/>
      <c r="W624"/>
    </row>
    <row r="625" spans="1:23" x14ac:dyDescent="0.35">
      <c r="A625" s="40">
        <v>44983</v>
      </c>
      <c r="B625">
        <v>2023</v>
      </c>
      <c r="C625" t="s">
        <v>278</v>
      </c>
      <c r="D625">
        <v>9</v>
      </c>
      <c r="E625">
        <v>9</v>
      </c>
      <c r="F625" t="s">
        <v>45</v>
      </c>
      <c r="G625" s="106">
        <v>0.64583333333333337</v>
      </c>
      <c r="H625" t="s">
        <v>80</v>
      </c>
      <c r="I625" t="s">
        <v>234</v>
      </c>
      <c r="J625">
        <v>26.8</v>
      </c>
      <c r="K625">
        <v>7.68</v>
      </c>
      <c r="L625">
        <v>128</v>
      </c>
      <c r="M625">
        <v>21</v>
      </c>
      <c r="N625" s="58">
        <v>277.88</v>
      </c>
      <c r="O625" s="58">
        <v>249.33600000000001</v>
      </c>
      <c r="P625" s="58">
        <v>36.182299999999998</v>
      </c>
      <c r="Q625" s="58">
        <v>32.465625000000003</v>
      </c>
      <c r="R625" s="58">
        <v>13.232380952381</v>
      </c>
      <c r="S625" s="58">
        <v>2.1709375</v>
      </c>
      <c r="T625" t="s">
        <v>176</v>
      </c>
      <c r="U625" s="11">
        <v>62.389400000000002</v>
      </c>
      <c r="V625"/>
      <c r="W625"/>
    </row>
    <row r="626" spans="1:23" x14ac:dyDescent="0.35">
      <c r="A626" s="40">
        <v>44981</v>
      </c>
      <c r="B626">
        <v>2023</v>
      </c>
      <c r="C626" t="s">
        <v>278</v>
      </c>
      <c r="D626">
        <v>9</v>
      </c>
      <c r="E626">
        <v>9</v>
      </c>
      <c r="F626" t="s">
        <v>50</v>
      </c>
      <c r="G626" s="106">
        <v>0.77430555555555558</v>
      </c>
      <c r="H626" t="s">
        <v>82</v>
      </c>
      <c r="I626" t="s">
        <v>234</v>
      </c>
      <c r="J626">
        <v>18.399999999999999</v>
      </c>
      <c r="K626">
        <v>3.13</v>
      </c>
      <c r="L626">
        <v>58</v>
      </c>
      <c r="M626">
        <v>8</v>
      </c>
      <c r="N626" s="58">
        <v>54.75</v>
      </c>
      <c r="O626" s="58">
        <v>41.816000000000003</v>
      </c>
      <c r="P626" s="58">
        <v>17.492000000000001</v>
      </c>
      <c r="Q626" s="58">
        <v>13.3597444089457</v>
      </c>
      <c r="R626" s="58">
        <v>6.84375</v>
      </c>
      <c r="S626" s="58">
        <v>0.943965517241379</v>
      </c>
      <c r="T626" t="s">
        <v>176</v>
      </c>
      <c r="U626" s="11">
        <v>60.92</v>
      </c>
      <c r="V626"/>
      <c r="W626"/>
    </row>
    <row r="627" spans="1:23" x14ac:dyDescent="0.35">
      <c r="A627" s="40">
        <v>44980</v>
      </c>
      <c r="B627">
        <v>2023</v>
      </c>
      <c r="C627" t="s">
        <v>278</v>
      </c>
      <c r="D627">
        <v>9</v>
      </c>
      <c r="E627">
        <v>9</v>
      </c>
      <c r="F627" t="s">
        <v>49</v>
      </c>
      <c r="G627" s="106">
        <v>0.74305555555555558</v>
      </c>
      <c r="H627" t="s">
        <v>82</v>
      </c>
      <c r="I627" t="s">
        <v>232</v>
      </c>
      <c r="J627">
        <v>14.3</v>
      </c>
      <c r="K627">
        <v>4.17</v>
      </c>
      <c r="L627">
        <v>45.6</v>
      </c>
      <c r="M627">
        <v>12</v>
      </c>
      <c r="N627" s="58">
        <v>116.25</v>
      </c>
      <c r="O627" s="58">
        <v>106.0812</v>
      </c>
      <c r="P627" s="58">
        <v>27.877700000000001</v>
      </c>
      <c r="Q627" s="58">
        <v>25.439136690647501</v>
      </c>
      <c r="R627" s="58">
        <v>9.6875</v>
      </c>
      <c r="S627" s="58">
        <v>2.5493421052631602</v>
      </c>
      <c r="T627" t="s">
        <v>176</v>
      </c>
      <c r="U627" s="11">
        <v>61.5124</v>
      </c>
      <c r="V627"/>
      <c r="W627"/>
    </row>
    <row r="628" spans="1:23" x14ac:dyDescent="0.35">
      <c r="A628" s="40">
        <v>44974</v>
      </c>
      <c r="B628">
        <v>2023</v>
      </c>
      <c r="C628" t="s">
        <v>278</v>
      </c>
      <c r="D628">
        <v>8</v>
      </c>
      <c r="E628">
        <v>8</v>
      </c>
      <c r="F628" t="s">
        <v>50</v>
      </c>
      <c r="G628" s="106">
        <v>0.77430555555555558</v>
      </c>
      <c r="H628" t="s">
        <v>82</v>
      </c>
      <c r="I628" t="s">
        <v>230</v>
      </c>
      <c r="J628">
        <v>27.3</v>
      </c>
      <c r="K628">
        <v>6.03</v>
      </c>
      <c r="L628">
        <v>116</v>
      </c>
      <c r="M628">
        <v>12</v>
      </c>
      <c r="N628" s="58">
        <v>107.77</v>
      </c>
      <c r="O628" s="58">
        <v>81.902000000000001</v>
      </c>
      <c r="P628" s="58">
        <v>17.872299999999999</v>
      </c>
      <c r="Q628" s="58">
        <v>13.582421227197299</v>
      </c>
      <c r="R628" s="58">
        <v>8.9808333333333294</v>
      </c>
      <c r="S628" s="58">
        <v>0.92905172413793102</v>
      </c>
      <c r="T628" t="s">
        <v>176</v>
      </c>
      <c r="U628" s="11">
        <v>64.191299999999998</v>
      </c>
      <c r="V628"/>
      <c r="W628"/>
    </row>
    <row r="629" spans="1:23" x14ac:dyDescent="0.35">
      <c r="A629" s="40">
        <v>44973</v>
      </c>
      <c r="B629">
        <v>2023</v>
      </c>
      <c r="C629" t="s">
        <v>278</v>
      </c>
      <c r="D629">
        <v>8</v>
      </c>
      <c r="E629">
        <v>8</v>
      </c>
      <c r="F629" t="s">
        <v>49</v>
      </c>
      <c r="G629" s="106">
        <v>0.74305555555555558</v>
      </c>
      <c r="H629" t="s">
        <v>82</v>
      </c>
      <c r="I629" t="s">
        <v>233</v>
      </c>
      <c r="J629">
        <v>40</v>
      </c>
      <c r="K629">
        <v>5.12</v>
      </c>
      <c r="L629">
        <v>102</v>
      </c>
      <c r="M629">
        <v>10</v>
      </c>
      <c r="N629" s="58">
        <v>105.27</v>
      </c>
      <c r="O629" s="58">
        <v>82.524000000000001</v>
      </c>
      <c r="P629" s="58">
        <v>20.560500000000001</v>
      </c>
      <c r="Q629" s="58">
        <v>16.117968749999999</v>
      </c>
      <c r="R629" s="58">
        <v>10.526999999999999</v>
      </c>
      <c r="S629" s="58">
        <v>1.0320588235294099</v>
      </c>
      <c r="T629" t="s">
        <v>176</v>
      </c>
      <c r="U629" s="11">
        <v>62.993899999999996</v>
      </c>
      <c r="V629"/>
      <c r="W629"/>
    </row>
    <row r="630" spans="1:23" x14ac:dyDescent="0.35">
      <c r="A630" s="40">
        <v>44972</v>
      </c>
      <c r="B630">
        <v>2023</v>
      </c>
      <c r="C630" t="s">
        <v>278</v>
      </c>
      <c r="D630">
        <v>8</v>
      </c>
      <c r="E630">
        <v>8</v>
      </c>
      <c r="F630" t="s">
        <v>48</v>
      </c>
      <c r="G630" s="106">
        <v>0.72916666666666663</v>
      </c>
      <c r="H630" t="s">
        <v>80</v>
      </c>
      <c r="I630" t="s">
        <v>236</v>
      </c>
      <c r="J630">
        <v>56.3</v>
      </c>
      <c r="K630">
        <v>4.32</v>
      </c>
      <c r="L630">
        <v>92</v>
      </c>
      <c r="M630">
        <v>11</v>
      </c>
      <c r="N630" s="58">
        <v>103.23</v>
      </c>
      <c r="O630" s="58">
        <v>82.713999999999999</v>
      </c>
      <c r="P630" s="58">
        <v>23.895800000000001</v>
      </c>
      <c r="Q630" s="58">
        <v>19.146759259259301</v>
      </c>
      <c r="R630" s="58">
        <v>9.3845454545454601</v>
      </c>
      <c r="S630" s="58">
        <v>1.1220652173912999</v>
      </c>
      <c r="T630" t="s">
        <v>176</v>
      </c>
      <c r="U630" s="11">
        <v>64.212900000000005</v>
      </c>
      <c r="V630"/>
      <c r="W630"/>
    </row>
    <row r="631" spans="1:23" x14ac:dyDescent="0.35">
      <c r="A631" s="40">
        <v>44971</v>
      </c>
      <c r="B631">
        <v>2023</v>
      </c>
      <c r="C631" t="s">
        <v>278</v>
      </c>
      <c r="D631">
        <v>8</v>
      </c>
      <c r="E631">
        <v>8</v>
      </c>
      <c r="F631" t="s">
        <v>47</v>
      </c>
      <c r="G631" s="106">
        <v>0.72916666666666663</v>
      </c>
      <c r="H631" t="s">
        <v>80</v>
      </c>
      <c r="I631" t="s">
        <v>249</v>
      </c>
      <c r="J631">
        <v>42.9</v>
      </c>
      <c r="K631">
        <v>5.03</v>
      </c>
      <c r="L631">
        <v>70.8</v>
      </c>
      <c r="M631">
        <v>14</v>
      </c>
      <c r="N631" s="58">
        <v>194.62</v>
      </c>
      <c r="O631" s="58">
        <v>178.83160000000001</v>
      </c>
      <c r="P631" s="58">
        <v>38.691800000000001</v>
      </c>
      <c r="Q631" s="58">
        <v>35.5530019880716</v>
      </c>
      <c r="R631" s="58">
        <v>13.9014285714286</v>
      </c>
      <c r="S631" s="58">
        <v>2.74887005649718</v>
      </c>
      <c r="T631" t="s">
        <v>176</v>
      </c>
      <c r="U631" s="11">
        <v>64.310699999999997</v>
      </c>
      <c r="V631"/>
      <c r="W631"/>
    </row>
    <row r="632" spans="1:23" x14ac:dyDescent="0.35">
      <c r="A632" s="40">
        <v>44969</v>
      </c>
      <c r="B632">
        <v>2023</v>
      </c>
      <c r="C632" t="s">
        <v>278</v>
      </c>
      <c r="D632">
        <v>7</v>
      </c>
      <c r="E632">
        <v>7</v>
      </c>
      <c r="F632" t="s">
        <v>45</v>
      </c>
      <c r="G632" s="106">
        <v>0.74305555555555558</v>
      </c>
      <c r="H632" t="s">
        <v>82</v>
      </c>
      <c r="I632" t="s">
        <v>249</v>
      </c>
      <c r="J632">
        <v>53</v>
      </c>
      <c r="K632">
        <v>4.7699999999999996</v>
      </c>
      <c r="L632">
        <v>62</v>
      </c>
      <c r="M632">
        <v>11</v>
      </c>
      <c r="N632" s="58">
        <v>105.67</v>
      </c>
      <c r="O632" s="58">
        <v>91.843999999999994</v>
      </c>
      <c r="P632" s="58">
        <v>22.152999999999999</v>
      </c>
      <c r="Q632" s="58">
        <v>19.254507337526199</v>
      </c>
      <c r="R632" s="58">
        <v>9.6063636363636409</v>
      </c>
      <c r="S632" s="58">
        <v>1.7043548387096801</v>
      </c>
      <c r="T632" t="s">
        <v>176</v>
      </c>
      <c r="U632" s="11">
        <v>62.148200000000003</v>
      </c>
      <c r="V632"/>
      <c r="W632"/>
    </row>
    <row r="633" spans="1:23" x14ac:dyDescent="0.35">
      <c r="A633" s="40">
        <v>44968</v>
      </c>
      <c r="B633">
        <v>2023</v>
      </c>
      <c r="C633" t="s">
        <v>278</v>
      </c>
      <c r="D633">
        <v>7</v>
      </c>
      <c r="E633">
        <v>7</v>
      </c>
      <c r="F633" t="s">
        <v>51</v>
      </c>
      <c r="G633" s="106">
        <v>0.78125</v>
      </c>
      <c r="H633" t="s">
        <v>80</v>
      </c>
      <c r="I633" t="s">
        <v>230</v>
      </c>
      <c r="J633">
        <v>42.1</v>
      </c>
      <c r="K633">
        <v>4.13</v>
      </c>
      <c r="L633">
        <v>104</v>
      </c>
      <c r="M633">
        <v>10</v>
      </c>
      <c r="N633" s="58">
        <v>118.03</v>
      </c>
      <c r="O633" s="58">
        <v>94.837999999999994</v>
      </c>
      <c r="P633" s="58">
        <v>28.578700000000001</v>
      </c>
      <c r="Q633" s="58">
        <v>22.963196125907999</v>
      </c>
      <c r="R633" s="58">
        <v>11.803000000000001</v>
      </c>
      <c r="S633" s="58">
        <v>1.1349038461538501</v>
      </c>
      <c r="T633" t="s">
        <v>176</v>
      </c>
      <c r="U633" s="11">
        <v>60.9741</v>
      </c>
      <c r="V633"/>
      <c r="W633"/>
    </row>
    <row r="634" spans="1:23" x14ac:dyDescent="0.35">
      <c r="A634" s="40">
        <v>44967</v>
      </c>
      <c r="B634">
        <v>2023</v>
      </c>
      <c r="C634" t="s">
        <v>278</v>
      </c>
      <c r="D634">
        <v>7</v>
      </c>
      <c r="E634">
        <v>7</v>
      </c>
      <c r="F634" t="s">
        <v>50</v>
      </c>
      <c r="G634" s="106">
        <v>0.72569444444444442</v>
      </c>
      <c r="H634" t="s">
        <v>82</v>
      </c>
      <c r="I634" t="s">
        <v>235</v>
      </c>
      <c r="J634">
        <v>37.200000000000003</v>
      </c>
      <c r="K634">
        <v>6.45</v>
      </c>
      <c r="L634">
        <v>94</v>
      </c>
      <c r="M634">
        <v>19</v>
      </c>
      <c r="N634" s="58">
        <v>133.4</v>
      </c>
      <c r="O634" s="58">
        <v>112.438</v>
      </c>
      <c r="P634" s="58">
        <v>20.682200000000002</v>
      </c>
      <c r="Q634" s="58">
        <v>17.4322480620155</v>
      </c>
      <c r="R634" s="58">
        <v>7.0210526315789501</v>
      </c>
      <c r="S634" s="58">
        <v>1.4191489361702101</v>
      </c>
      <c r="T634" t="s">
        <v>176</v>
      </c>
      <c r="U634" s="11">
        <v>59.662700000000001</v>
      </c>
      <c r="V634"/>
      <c r="W634"/>
    </row>
    <row r="635" spans="1:23" x14ac:dyDescent="0.35">
      <c r="A635" s="40">
        <v>44966</v>
      </c>
      <c r="B635">
        <v>2023</v>
      </c>
      <c r="C635" t="s">
        <v>278</v>
      </c>
      <c r="D635">
        <v>7</v>
      </c>
      <c r="E635">
        <v>7</v>
      </c>
      <c r="F635" t="s">
        <v>49</v>
      </c>
      <c r="G635" s="106">
        <v>0.74305555555555558</v>
      </c>
      <c r="H635" t="s">
        <v>82</v>
      </c>
      <c r="I635" t="s">
        <v>236</v>
      </c>
      <c r="J635">
        <v>51.4</v>
      </c>
      <c r="K635">
        <v>3.22</v>
      </c>
      <c r="L635">
        <v>49</v>
      </c>
      <c r="M635">
        <v>9</v>
      </c>
      <c r="N635" s="58">
        <v>75.209999999999994</v>
      </c>
      <c r="O635" s="58">
        <v>64.283000000000001</v>
      </c>
      <c r="P635" s="58">
        <v>23.357099999999999</v>
      </c>
      <c r="Q635" s="58">
        <v>19.963664596273301</v>
      </c>
      <c r="R635" s="58">
        <v>8.3566666666666602</v>
      </c>
      <c r="S635" s="58">
        <v>1.53489795918367</v>
      </c>
      <c r="T635" t="s">
        <v>176</v>
      </c>
      <c r="U635" s="11">
        <v>58.180399999999999</v>
      </c>
      <c r="V635"/>
      <c r="W635"/>
    </row>
    <row r="636" spans="1:23" x14ac:dyDescent="0.35">
      <c r="A636" s="40">
        <v>44965</v>
      </c>
      <c r="B636">
        <v>2023</v>
      </c>
      <c r="C636" t="s">
        <v>278</v>
      </c>
      <c r="D636">
        <v>7</v>
      </c>
      <c r="E636">
        <v>7</v>
      </c>
      <c r="F636" t="s">
        <v>48</v>
      </c>
      <c r="G636" s="106">
        <v>0.71875</v>
      </c>
      <c r="H636" t="s">
        <v>80</v>
      </c>
      <c r="I636" t="s">
        <v>235</v>
      </c>
      <c r="J636">
        <v>37.1</v>
      </c>
      <c r="K636">
        <v>4.2300000000000004</v>
      </c>
      <c r="L636">
        <v>102</v>
      </c>
      <c r="M636">
        <v>8</v>
      </c>
      <c r="N636" s="58">
        <v>100.95</v>
      </c>
      <c r="O636" s="58">
        <v>78.203999999999994</v>
      </c>
      <c r="P636" s="58">
        <v>23.865200000000002</v>
      </c>
      <c r="Q636" s="58">
        <v>18.487943262411399</v>
      </c>
      <c r="R636" s="58">
        <v>12.61875</v>
      </c>
      <c r="S636" s="58">
        <v>0.98970588235294099</v>
      </c>
      <c r="T636" t="s">
        <v>176</v>
      </c>
      <c r="U636" s="11">
        <v>58.882399999999997</v>
      </c>
      <c r="V636"/>
      <c r="W636"/>
    </row>
    <row r="637" spans="1:23" x14ac:dyDescent="0.35">
      <c r="A637" s="40">
        <v>44964</v>
      </c>
      <c r="B637">
        <v>2023</v>
      </c>
      <c r="C637" t="s">
        <v>278</v>
      </c>
      <c r="D637">
        <v>7</v>
      </c>
      <c r="E637">
        <v>7</v>
      </c>
      <c r="F637" t="s">
        <v>47</v>
      </c>
      <c r="G637" s="106">
        <v>0.72222222222222221</v>
      </c>
      <c r="H637" t="s">
        <v>82</v>
      </c>
      <c r="I637" t="s">
        <v>235</v>
      </c>
      <c r="J637">
        <v>39.5</v>
      </c>
      <c r="K637">
        <v>5.38</v>
      </c>
      <c r="L637">
        <v>78</v>
      </c>
      <c r="M637">
        <v>12</v>
      </c>
      <c r="N637" s="58">
        <v>126.11</v>
      </c>
      <c r="O637" s="58">
        <v>108.71599999999999</v>
      </c>
      <c r="P637" s="58">
        <v>23.4405</v>
      </c>
      <c r="Q637" s="58">
        <v>20.2074349442379</v>
      </c>
      <c r="R637" s="58">
        <v>10.509166666666699</v>
      </c>
      <c r="S637" s="58">
        <v>1.6167948717948699</v>
      </c>
      <c r="T637" t="s">
        <v>176</v>
      </c>
      <c r="U637" s="11">
        <v>58.670299999999997</v>
      </c>
      <c r="V637"/>
      <c r="W637"/>
    </row>
    <row r="638" spans="1:23" x14ac:dyDescent="0.35">
      <c r="A638" s="40">
        <v>44958</v>
      </c>
      <c r="B638">
        <v>2023</v>
      </c>
      <c r="C638" t="s">
        <v>278</v>
      </c>
      <c r="D638">
        <v>6</v>
      </c>
      <c r="E638">
        <v>6</v>
      </c>
      <c r="F638" t="s">
        <v>48</v>
      </c>
      <c r="G638" s="106">
        <v>0.73263888888888884</v>
      </c>
      <c r="H638" t="s">
        <v>82</v>
      </c>
      <c r="I638" t="s">
        <v>249</v>
      </c>
      <c r="J638">
        <v>26.1</v>
      </c>
      <c r="K638">
        <v>4.47</v>
      </c>
      <c r="L638">
        <v>53</v>
      </c>
      <c r="M638">
        <v>11</v>
      </c>
      <c r="N638" s="58">
        <v>106.4</v>
      </c>
      <c r="O638" s="58">
        <v>94.581000000000003</v>
      </c>
      <c r="P638" s="58">
        <v>23.803100000000001</v>
      </c>
      <c r="Q638" s="58">
        <v>21.159060402684599</v>
      </c>
      <c r="R638" s="58">
        <v>9.6727272727272702</v>
      </c>
      <c r="S638" s="58">
        <v>2.0075471698113199</v>
      </c>
      <c r="T638" t="s">
        <v>176</v>
      </c>
      <c r="U638" s="11">
        <v>60.263199999999998</v>
      </c>
      <c r="V638"/>
      <c r="W638"/>
    </row>
    <row r="639" spans="1:23" x14ac:dyDescent="0.35">
      <c r="A639" s="40">
        <v>44957</v>
      </c>
      <c r="B639">
        <v>2023</v>
      </c>
      <c r="C639" t="s">
        <v>278</v>
      </c>
      <c r="D639">
        <v>6</v>
      </c>
      <c r="E639">
        <v>6</v>
      </c>
      <c r="F639" t="s">
        <v>47</v>
      </c>
      <c r="G639" s="106">
        <v>0.70833333333333337</v>
      </c>
      <c r="H639" t="s">
        <v>80</v>
      </c>
      <c r="I639" t="s">
        <v>234</v>
      </c>
      <c r="J639">
        <v>19.7</v>
      </c>
      <c r="K639">
        <v>5.43</v>
      </c>
      <c r="L639">
        <v>110</v>
      </c>
      <c r="M639">
        <v>11</v>
      </c>
      <c r="N639" s="58">
        <v>198.9</v>
      </c>
      <c r="O639" s="58">
        <v>174.37</v>
      </c>
      <c r="P639" s="58">
        <v>36.629800000000003</v>
      </c>
      <c r="Q639" s="58">
        <v>32.112338858195201</v>
      </c>
      <c r="R639" s="58">
        <v>18.0818181818182</v>
      </c>
      <c r="S639" s="58">
        <v>1.8081818181818201</v>
      </c>
      <c r="T639" t="s">
        <v>176</v>
      </c>
      <c r="U639" s="11">
        <v>59.081000000000003</v>
      </c>
      <c r="V639"/>
      <c r="W639"/>
    </row>
    <row r="640" spans="1:23" x14ac:dyDescent="0.35">
      <c r="A640" s="40">
        <v>44954</v>
      </c>
      <c r="B640">
        <v>2023</v>
      </c>
      <c r="C640" t="s">
        <v>278</v>
      </c>
      <c r="D640">
        <v>5</v>
      </c>
      <c r="E640">
        <v>5</v>
      </c>
      <c r="F640" t="s">
        <v>51</v>
      </c>
      <c r="G640" s="106">
        <v>0.73263888888888884</v>
      </c>
      <c r="H640" t="s">
        <v>80</v>
      </c>
      <c r="I640" t="s">
        <v>236</v>
      </c>
      <c r="J640">
        <v>40.799999999999997</v>
      </c>
      <c r="K640">
        <v>5.33</v>
      </c>
      <c r="L640">
        <v>118</v>
      </c>
      <c r="M640">
        <v>11</v>
      </c>
      <c r="N640" s="58">
        <v>97.11</v>
      </c>
      <c r="O640" s="58">
        <v>70.796000000000006</v>
      </c>
      <c r="P640" s="58">
        <v>18.2195</v>
      </c>
      <c r="Q640" s="58">
        <v>13.2825515947467</v>
      </c>
      <c r="R640" s="58">
        <v>8.8281818181818199</v>
      </c>
      <c r="S640" s="58">
        <v>0.82296610169491502</v>
      </c>
      <c r="T640" t="s">
        <v>175</v>
      </c>
      <c r="U640" s="11">
        <v>56.871000000000002</v>
      </c>
      <c r="V640"/>
      <c r="W640"/>
    </row>
    <row r="641" spans="1:23" x14ac:dyDescent="0.35">
      <c r="A641" s="40">
        <v>44953</v>
      </c>
      <c r="B641">
        <v>2023</v>
      </c>
      <c r="C641" t="s">
        <v>278</v>
      </c>
      <c r="D641">
        <v>5</v>
      </c>
      <c r="E641">
        <v>5</v>
      </c>
      <c r="F641" t="s">
        <v>50</v>
      </c>
      <c r="G641" s="106">
        <v>0.77777777777777779</v>
      </c>
      <c r="H641" t="s">
        <v>174</v>
      </c>
      <c r="I641" t="s">
        <v>249</v>
      </c>
      <c r="J641">
        <v>38.9</v>
      </c>
      <c r="K641">
        <v>5.88</v>
      </c>
      <c r="L641">
        <v>116</v>
      </c>
      <c r="M641">
        <v>11</v>
      </c>
      <c r="N641" s="58">
        <v>83.08</v>
      </c>
      <c r="O641" s="58">
        <v>57.212000000000003</v>
      </c>
      <c r="P641" s="58">
        <v>14.129300000000001</v>
      </c>
      <c r="Q641" s="58">
        <v>9.7299319727891191</v>
      </c>
      <c r="R641" s="58">
        <v>7.5527272727272701</v>
      </c>
      <c r="S641" s="58">
        <v>0.71620689655172398</v>
      </c>
      <c r="T641" t="s">
        <v>176</v>
      </c>
      <c r="U641" s="11">
        <v>55.792000000000002</v>
      </c>
      <c r="V641"/>
      <c r="W641"/>
    </row>
    <row r="642" spans="1:23" x14ac:dyDescent="0.35">
      <c r="A642" s="40">
        <v>44952</v>
      </c>
      <c r="B642">
        <v>2023</v>
      </c>
      <c r="C642" t="s">
        <v>278</v>
      </c>
      <c r="D642">
        <v>5</v>
      </c>
      <c r="E642">
        <v>5</v>
      </c>
      <c r="F642" t="s">
        <v>49</v>
      </c>
      <c r="G642" s="106">
        <v>0.70486111111111116</v>
      </c>
      <c r="H642" t="s">
        <v>82</v>
      </c>
      <c r="I642" t="s">
        <v>249</v>
      </c>
      <c r="J642">
        <v>32.4</v>
      </c>
      <c r="K642">
        <v>6.28</v>
      </c>
      <c r="L642">
        <v>83</v>
      </c>
      <c r="M642">
        <v>13</v>
      </c>
      <c r="N642" s="58">
        <v>130.32</v>
      </c>
      <c r="O642" s="58">
        <v>111.81100000000001</v>
      </c>
      <c r="P642" s="58">
        <v>20.7516</v>
      </c>
      <c r="Q642" s="58">
        <v>17.8042993630573</v>
      </c>
      <c r="R642" s="58">
        <v>10.0246153846154</v>
      </c>
      <c r="S642" s="58">
        <v>1.5701204819277099</v>
      </c>
      <c r="T642" t="s">
        <v>176</v>
      </c>
      <c r="U642" s="11">
        <v>54.868899999999996</v>
      </c>
      <c r="V642"/>
      <c r="W642"/>
    </row>
    <row r="643" spans="1:23" x14ac:dyDescent="0.35">
      <c r="A643" s="40">
        <v>44951</v>
      </c>
      <c r="B643">
        <v>2023</v>
      </c>
      <c r="C643" t="s">
        <v>278</v>
      </c>
      <c r="D643">
        <v>5</v>
      </c>
      <c r="E643">
        <v>5</v>
      </c>
      <c r="F643" t="s">
        <v>48</v>
      </c>
      <c r="G643" s="106">
        <v>0.71875</v>
      </c>
      <c r="H643" t="s">
        <v>174</v>
      </c>
      <c r="I643" t="s">
        <v>232</v>
      </c>
      <c r="J643">
        <v>42</v>
      </c>
      <c r="K643">
        <v>2.52</v>
      </c>
      <c r="L643">
        <v>60</v>
      </c>
      <c r="M643">
        <v>6</v>
      </c>
      <c r="N643" s="58">
        <v>43.54</v>
      </c>
      <c r="O643" s="58">
        <v>30.16</v>
      </c>
      <c r="P643" s="58">
        <v>17.277799999999999</v>
      </c>
      <c r="Q643" s="58">
        <v>11.968253968254</v>
      </c>
      <c r="R643" s="58">
        <v>7.2566666666666704</v>
      </c>
      <c r="S643" s="58">
        <v>0.72566666666666702</v>
      </c>
      <c r="T643" t="s">
        <v>176</v>
      </c>
      <c r="U643" s="11">
        <v>53.420900000000003</v>
      </c>
      <c r="V643"/>
      <c r="W643"/>
    </row>
    <row r="644" spans="1:23" x14ac:dyDescent="0.35">
      <c r="A644" s="40">
        <v>44947</v>
      </c>
      <c r="B644">
        <v>2023</v>
      </c>
      <c r="C644" t="s">
        <v>278</v>
      </c>
      <c r="D644">
        <v>4</v>
      </c>
      <c r="E644">
        <v>4</v>
      </c>
      <c r="F644" t="s">
        <v>51</v>
      </c>
      <c r="G644" s="106">
        <v>0.72569444444444442</v>
      </c>
      <c r="H644" t="s">
        <v>174</v>
      </c>
      <c r="I644" t="s">
        <v>234</v>
      </c>
      <c r="J644">
        <v>29.3</v>
      </c>
      <c r="K644">
        <v>7.9</v>
      </c>
      <c r="L644">
        <v>194</v>
      </c>
      <c r="M644">
        <v>13</v>
      </c>
      <c r="N644" s="58">
        <v>148.47999999999999</v>
      </c>
      <c r="O644" s="58">
        <v>105.218</v>
      </c>
      <c r="P644" s="58">
        <v>18.794899999999998</v>
      </c>
      <c r="Q644" s="58">
        <v>13.3187341772152</v>
      </c>
      <c r="R644" s="58">
        <v>11.4215384615385</v>
      </c>
      <c r="S644" s="58">
        <v>0.76536082474226796</v>
      </c>
      <c r="T644" t="s">
        <v>176</v>
      </c>
      <c r="U644" s="11">
        <v>52.937100000000001</v>
      </c>
      <c r="V644"/>
      <c r="W644"/>
    </row>
    <row r="645" spans="1:23" x14ac:dyDescent="0.35">
      <c r="A645" s="40">
        <v>44945</v>
      </c>
      <c r="B645">
        <v>2023</v>
      </c>
      <c r="C645" t="s">
        <v>278</v>
      </c>
      <c r="D645">
        <v>4</v>
      </c>
      <c r="E645">
        <v>4</v>
      </c>
      <c r="F645" t="s">
        <v>49</v>
      </c>
      <c r="G645" s="106">
        <v>0.71180555555555558</v>
      </c>
      <c r="H645" t="s">
        <v>82</v>
      </c>
      <c r="I645" t="s">
        <v>232</v>
      </c>
      <c r="J645">
        <v>26.6</v>
      </c>
      <c r="K645">
        <v>6.52</v>
      </c>
      <c r="L645">
        <v>82</v>
      </c>
      <c r="M645">
        <v>14</v>
      </c>
      <c r="N645" s="58">
        <v>129.25</v>
      </c>
      <c r="O645" s="58">
        <v>110.964</v>
      </c>
      <c r="P645" s="58">
        <v>19.823599999999999</v>
      </c>
      <c r="Q645" s="58">
        <v>17.019018404908</v>
      </c>
      <c r="R645" s="58">
        <v>9.2321428571428594</v>
      </c>
      <c r="S645" s="58">
        <v>1.5762195121951199</v>
      </c>
      <c r="T645" t="s">
        <v>176</v>
      </c>
      <c r="U645" s="11">
        <v>51.287300000000002</v>
      </c>
      <c r="V645"/>
      <c r="W645"/>
    </row>
    <row r="646" spans="1:23" x14ac:dyDescent="0.35">
      <c r="A646" s="40">
        <v>44942</v>
      </c>
      <c r="B646">
        <v>2023</v>
      </c>
      <c r="C646" t="s">
        <v>278</v>
      </c>
      <c r="D646">
        <v>4</v>
      </c>
      <c r="E646">
        <v>4</v>
      </c>
      <c r="F646" t="s">
        <v>46</v>
      </c>
      <c r="G646" s="106">
        <v>0.70138888888888884</v>
      </c>
      <c r="H646" t="s">
        <v>174</v>
      </c>
      <c r="I646" t="s">
        <v>233</v>
      </c>
      <c r="J646">
        <v>37.1</v>
      </c>
      <c r="K646">
        <v>6.15</v>
      </c>
      <c r="L646">
        <v>141</v>
      </c>
      <c r="M646">
        <v>10</v>
      </c>
      <c r="N646" s="58">
        <v>93.29</v>
      </c>
      <c r="O646" s="58">
        <v>61.847000000000001</v>
      </c>
      <c r="P646" s="58">
        <v>15.1691</v>
      </c>
      <c r="Q646" s="58">
        <v>10.0564227642276</v>
      </c>
      <c r="R646" s="58">
        <v>9.3290000000000006</v>
      </c>
      <c r="S646" s="58">
        <v>0.66163120567375899</v>
      </c>
      <c r="T646" t="s">
        <v>176</v>
      </c>
      <c r="U646" s="11">
        <v>49.851199999999999</v>
      </c>
      <c r="V646"/>
      <c r="W646"/>
    </row>
    <row r="647" spans="1:23" x14ac:dyDescent="0.35">
      <c r="A647" s="40">
        <v>44939</v>
      </c>
      <c r="B647">
        <v>2023</v>
      </c>
      <c r="C647" t="s">
        <v>278</v>
      </c>
      <c r="D647">
        <v>3</v>
      </c>
      <c r="E647">
        <v>3</v>
      </c>
      <c r="F647" t="s">
        <v>50</v>
      </c>
      <c r="G647" s="106">
        <v>0.72569444444444442</v>
      </c>
      <c r="H647" t="s">
        <v>82</v>
      </c>
      <c r="I647" t="s">
        <v>233</v>
      </c>
      <c r="J647">
        <v>27.9</v>
      </c>
      <c r="K647">
        <v>9.07</v>
      </c>
      <c r="L647">
        <v>109</v>
      </c>
      <c r="M647">
        <v>21</v>
      </c>
      <c r="N647" s="58">
        <v>208.07</v>
      </c>
      <c r="O647" s="58">
        <v>183.76300000000001</v>
      </c>
      <c r="P647" s="58">
        <v>22.9405</v>
      </c>
      <c r="Q647" s="58">
        <v>20.260529217199601</v>
      </c>
      <c r="R647" s="58">
        <v>9.9080952380952407</v>
      </c>
      <c r="S647" s="58">
        <v>1.9088990825688099</v>
      </c>
      <c r="T647" t="s">
        <v>176</v>
      </c>
      <c r="U647" s="11">
        <v>48.814700000000002</v>
      </c>
      <c r="V647"/>
      <c r="W647"/>
    </row>
    <row r="648" spans="1:23" x14ac:dyDescent="0.35">
      <c r="A648" s="40">
        <v>44938</v>
      </c>
      <c r="B648">
        <v>2023</v>
      </c>
      <c r="C648" t="s">
        <v>278</v>
      </c>
      <c r="D648">
        <v>3</v>
      </c>
      <c r="E648">
        <v>3</v>
      </c>
      <c r="F648" t="s">
        <v>49</v>
      </c>
      <c r="G648" s="106">
        <v>0.72916666666666663</v>
      </c>
      <c r="H648" t="s">
        <v>174</v>
      </c>
      <c r="I648" t="s">
        <v>236</v>
      </c>
      <c r="J648">
        <v>51.9</v>
      </c>
      <c r="K648">
        <v>6.23</v>
      </c>
      <c r="L648">
        <v>122</v>
      </c>
      <c r="M648">
        <v>8</v>
      </c>
      <c r="N648" s="58">
        <v>79.02</v>
      </c>
      <c r="O648" s="58">
        <v>51.814</v>
      </c>
      <c r="P648" s="58">
        <v>12.6838</v>
      </c>
      <c r="Q648" s="58">
        <v>8.3168539325842694</v>
      </c>
      <c r="R648" s="58">
        <v>9.8774999999999995</v>
      </c>
      <c r="S648" s="58">
        <v>0.64770491803278696</v>
      </c>
      <c r="T648" t="s">
        <v>176</v>
      </c>
      <c r="U648" s="11">
        <v>46.502800000000001</v>
      </c>
      <c r="V648"/>
      <c r="W648"/>
    </row>
    <row r="649" spans="1:23" x14ac:dyDescent="0.35">
      <c r="A649" s="40">
        <v>44937</v>
      </c>
      <c r="B649">
        <v>2023</v>
      </c>
      <c r="C649" t="s">
        <v>278</v>
      </c>
      <c r="D649">
        <v>3</v>
      </c>
      <c r="E649">
        <v>3</v>
      </c>
      <c r="F649" t="s">
        <v>48</v>
      </c>
      <c r="G649" s="106">
        <v>0.75</v>
      </c>
      <c r="H649" t="s">
        <v>82</v>
      </c>
      <c r="I649" t="s">
        <v>233</v>
      </c>
      <c r="J649">
        <v>32.1</v>
      </c>
      <c r="K649">
        <v>0.45</v>
      </c>
      <c r="L649">
        <v>9</v>
      </c>
      <c r="M649">
        <v>1</v>
      </c>
      <c r="N649" s="58">
        <v>7.5</v>
      </c>
      <c r="O649" s="58">
        <v>5.4930000000000003</v>
      </c>
      <c r="P649" s="58">
        <v>16.666699999999999</v>
      </c>
      <c r="Q649" s="58">
        <v>12.206666666666701</v>
      </c>
      <c r="R649" s="58">
        <v>7.5</v>
      </c>
      <c r="S649" s="58">
        <v>0.83333333333333404</v>
      </c>
      <c r="T649" t="s">
        <v>176</v>
      </c>
      <c r="U649" s="11">
        <v>47.597299999999997</v>
      </c>
      <c r="V649"/>
      <c r="W649"/>
    </row>
    <row r="650" spans="1:23" x14ac:dyDescent="0.35">
      <c r="A650" s="40">
        <v>44936</v>
      </c>
      <c r="B650">
        <v>2023</v>
      </c>
      <c r="C650" t="s">
        <v>278</v>
      </c>
      <c r="D650">
        <v>3</v>
      </c>
      <c r="E650">
        <v>3</v>
      </c>
      <c r="F650" t="s">
        <v>47</v>
      </c>
      <c r="G650" s="106">
        <v>0.73958333333333337</v>
      </c>
      <c r="H650" t="s">
        <v>174</v>
      </c>
      <c r="I650" t="s">
        <v>230</v>
      </c>
      <c r="J650">
        <v>27.1</v>
      </c>
      <c r="K650">
        <v>5.5</v>
      </c>
      <c r="L650">
        <v>128</v>
      </c>
      <c r="M650">
        <v>9</v>
      </c>
      <c r="N650" s="58">
        <v>92.65</v>
      </c>
      <c r="O650" s="58">
        <v>64.105999999999995</v>
      </c>
      <c r="P650" s="58">
        <v>16.845500000000001</v>
      </c>
      <c r="Q650" s="58">
        <v>11.6556363636364</v>
      </c>
      <c r="R650" s="58">
        <v>10.2944444444444</v>
      </c>
      <c r="S650" s="58">
        <v>0.72382812500000004</v>
      </c>
      <c r="T650" t="s">
        <v>176</v>
      </c>
      <c r="U650" s="11">
        <v>47.514000000000003</v>
      </c>
      <c r="V650"/>
      <c r="W650"/>
    </row>
    <row r="651" spans="1:23" x14ac:dyDescent="0.35">
      <c r="A651" s="40">
        <v>44935</v>
      </c>
      <c r="B651">
        <v>2023</v>
      </c>
      <c r="C651" t="s">
        <v>278</v>
      </c>
      <c r="D651">
        <v>3</v>
      </c>
      <c r="E651">
        <v>3</v>
      </c>
      <c r="F651" t="s">
        <v>46</v>
      </c>
      <c r="G651" s="106">
        <v>0.72638888888888886</v>
      </c>
      <c r="H651" t="s">
        <v>82</v>
      </c>
      <c r="I651" t="s">
        <v>249</v>
      </c>
      <c r="J651">
        <v>27</v>
      </c>
      <c r="K651">
        <v>5.72</v>
      </c>
      <c r="L651">
        <v>111</v>
      </c>
      <c r="M651">
        <v>11</v>
      </c>
      <c r="N651" s="58">
        <v>104.72</v>
      </c>
      <c r="O651" s="58">
        <v>79.966999999999999</v>
      </c>
      <c r="P651" s="58">
        <v>18.307700000000001</v>
      </c>
      <c r="Q651" s="58">
        <v>13.980244755244801</v>
      </c>
      <c r="R651" s="58">
        <v>9.52</v>
      </c>
      <c r="S651" s="58">
        <v>0.943423423423424</v>
      </c>
      <c r="T651" t="s">
        <v>176</v>
      </c>
      <c r="U651" s="11">
        <v>47.495100000000001</v>
      </c>
      <c r="V651"/>
      <c r="W651"/>
    </row>
    <row r="652" spans="1:23" x14ac:dyDescent="0.35">
      <c r="A652" s="40">
        <v>44934</v>
      </c>
      <c r="B652">
        <v>2023</v>
      </c>
      <c r="C652" t="s">
        <v>278</v>
      </c>
      <c r="D652">
        <v>2</v>
      </c>
      <c r="E652">
        <v>2</v>
      </c>
      <c r="F652" t="s">
        <v>45</v>
      </c>
      <c r="G652" s="106">
        <v>0.74652777777777779</v>
      </c>
      <c r="H652" t="s">
        <v>174</v>
      </c>
      <c r="I652" t="s">
        <v>249</v>
      </c>
      <c r="J652">
        <v>34.1</v>
      </c>
      <c r="K652">
        <v>5.57</v>
      </c>
      <c r="L652">
        <v>114.4</v>
      </c>
      <c r="M652">
        <v>9</v>
      </c>
      <c r="N652" s="58">
        <v>77.3</v>
      </c>
      <c r="O652" s="58">
        <v>51.788800000000002</v>
      </c>
      <c r="P652" s="58">
        <v>13.8779</v>
      </c>
      <c r="Q652" s="58">
        <v>9.2978096947935391</v>
      </c>
      <c r="R652" s="58">
        <v>8.5888888888888903</v>
      </c>
      <c r="S652" s="58">
        <v>0.67569930069930095</v>
      </c>
      <c r="T652" t="s">
        <v>176</v>
      </c>
      <c r="U652" s="11">
        <v>47.142899999999997</v>
      </c>
      <c r="V652"/>
      <c r="W652"/>
    </row>
    <row r="653" spans="1:23" x14ac:dyDescent="0.35">
      <c r="A653" s="40">
        <v>44931</v>
      </c>
      <c r="B653">
        <v>2023</v>
      </c>
      <c r="C653" t="s">
        <v>278</v>
      </c>
      <c r="D653">
        <v>2</v>
      </c>
      <c r="E653">
        <v>2</v>
      </c>
      <c r="F653" t="s">
        <v>49</v>
      </c>
      <c r="G653" s="106">
        <v>0.71180555555555558</v>
      </c>
      <c r="H653" t="s">
        <v>85</v>
      </c>
      <c r="I653" t="s">
        <v>233</v>
      </c>
      <c r="J653">
        <v>30.5</v>
      </c>
      <c r="K653">
        <v>4.9800000000000004</v>
      </c>
      <c r="L653">
        <v>113</v>
      </c>
      <c r="M653">
        <v>10</v>
      </c>
      <c r="N653" s="58">
        <v>83.98</v>
      </c>
      <c r="O653" s="58">
        <v>58.780999999999999</v>
      </c>
      <c r="P653" s="58">
        <v>16.863499999999998</v>
      </c>
      <c r="Q653" s="58">
        <v>11.803413654618501</v>
      </c>
      <c r="R653" s="58">
        <v>8.3979999999999997</v>
      </c>
      <c r="S653" s="58">
        <v>0.74318584070796501</v>
      </c>
      <c r="T653" t="s">
        <v>175</v>
      </c>
      <c r="U653" s="11">
        <v>48.578000000000003</v>
      </c>
      <c r="V653"/>
      <c r="W653"/>
    </row>
    <row r="654" spans="1:23" x14ac:dyDescent="0.35">
      <c r="A654" s="40">
        <v>44930</v>
      </c>
      <c r="B654">
        <v>2023</v>
      </c>
      <c r="C654" t="s">
        <v>278</v>
      </c>
      <c r="D654">
        <v>2</v>
      </c>
      <c r="E654">
        <v>2</v>
      </c>
      <c r="F654" t="s">
        <v>48</v>
      </c>
      <c r="G654" s="106">
        <v>0.64236111111111116</v>
      </c>
      <c r="H654" t="s">
        <v>85</v>
      </c>
      <c r="I654" t="s">
        <v>233</v>
      </c>
      <c r="J654">
        <v>32.200000000000003</v>
      </c>
      <c r="K654">
        <v>6.4</v>
      </c>
      <c r="L654">
        <v>113</v>
      </c>
      <c r="M654">
        <v>13</v>
      </c>
      <c r="N654" s="58">
        <v>124.46</v>
      </c>
      <c r="O654" s="58">
        <v>99.260999999999996</v>
      </c>
      <c r="P654" s="58">
        <v>19.446899999999999</v>
      </c>
      <c r="Q654" s="58">
        <v>15.50953125</v>
      </c>
      <c r="R654" s="58">
        <v>9.5738461538461497</v>
      </c>
      <c r="S654" s="58">
        <v>1.1014159292035399</v>
      </c>
      <c r="T654" t="s">
        <v>175</v>
      </c>
      <c r="U654" s="11">
        <v>49.966999999999999</v>
      </c>
      <c r="V654"/>
      <c r="W654"/>
    </row>
    <row r="655" spans="1:23" x14ac:dyDescent="0.35">
      <c r="A655" s="40">
        <v>44929</v>
      </c>
      <c r="B655">
        <v>2023</v>
      </c>
      <c r="C655" t="s">
        <v>278</v>
      </c>
      <c r="D655">
        <v>2</v>
      </c>
      <c r="E655">
        <v>2</v>
      </c>
      <c r="F655" t="s">
        <v>47</v>
      </c>
      <c r="G655" s="106">
        <v>0.71527777777777779</v>
      </c>
      <c r="H655" t="s">
        <v>80</v>
      </c>
      <c r="I655" t="s">
        <v>236</v>
      </c>
      <c r="J655">
        <v>44.1</v>
      </c>
      <c r="K655">
        <v>5.75</v>
      </c>
      <c r="L655">
        <v>94</v>
      </c>
      <c r="M655">
        <v>10</v>
      </c>
      <c r="N655" s="58">
        <v>90.85</v>
      </c>
      <c r="O655" s="58">
        <v>69.888000000000005</v>
      </c>
      <c r="P655" s="58">
        <v>15.8</v>
      </c>
      <c r="Q655" s="58">
        <v>12.1544347826087</v>
      </c>
      <c r="R655" s="58">
        <v>9.0850000000000009</v>
      </c>
      <c r="S655" s="58">
        <v>0.96648936170212796</v>
      </c>
      <c r="T655" t="s">
        <v>176</v>
      </c>
      <c r="U655" s="11">
        <v>50.554200000000002</v>
      </c>
      <c r="V655"/>
      <c r="W655"/>
    </row>
    <row r="656" spans="1:23" x14ac:dyDescent="0.35">
      <c r="A656" s="40">
        <v>44927</v>
      </c>
      <c r="B656">
        <v>2023</v>
      </c>
      <c r="C656" t="s">
        <v>278</v>
      </c>
      <c r="D656">
        <v>1</v>
      </c>
      <c r="E656">
        <v>1</v>
      </c>
      <c r="F656" t="s">
        <v>45</v>
      </c>
      <c r="G656" s="106">
        <v>0.63541666666666663</v>
      </c>
      <c r="H656" t="s">
        <v>80</v>
      </c>
      <c r="I656" t="s">
        <v>249</v>
      </c>
      <c r="J656">
        <v>46.1</v>
      </c>
      <c r="K656">
        <v>8.32</v>
      </c>
      <c r="L656">
        <v>135.5</v>
      </c>
      <c r="M656">
        <v>15</v>
      </c>
      <c r="N656" s="58">
        <v>155.47</v>
      </c>
      <c r="O656" s="58">
        <v>125.2535</v>
      </c>
      <c r="P656" s="58">
        <v>18.686299999999999</v>
      </c>
      <c r="Q656" s="58">
        <v>15.0545072115385</v>
      </c>
      <c r="R656" s="58">
        <v>10.3646666666667</v>
      </c>
      <c r="S656" s="58">
        <v>1.14738007380074</v>
      </c>
      <c r="T656" t="s">
        <v>175</v>
      </c>
      <c r="U656" s="11">
        <v>51.012599999999999</v>
      </c>
      <c r="V656"/>
      <c r="W656"/>
    </row>
    <row r="657" spans="1:23" x14ac:dyDescent="0.35">
      <c r="A657" s="40">
        <v>44925</v>
      </c>
      <c r="B657">
        <v>2022</v>
      </c>
      <c r="C657" t="s">
        <v>278</v>
      </c>
      <c r="D657">
        <v>1</v>
      </c>
      <c r="E657">
        <v>1</v>
      </c>
      <c r="F657" t="s">
        <v>50</v>
      </c>
      <c r="G657" s="106">
        <v>0.74652777777777779</v>
      </c>
      <c r="H657" t="s">
        <v>80</v>
      </c>
      <c r="I657" t="s">
        <v>236</v>
      </c>
      <c r="J657">
        <v>50.7</v>
      </c>
      <c r="K657">
        <v>5.8</v>
      </c>
      <c r="L657">
        <v>141</v>
      </c>
      <c r="M657">
        <v>8</v>
      </c>
      <c r="N657" s="58">
        <v>112.86</v>
      </c>
      <c r="O657" s="58">
        <v>81.417000000000002</v>
      </c>
      <c r="P657" s="58">
        <v>19.458600000000001</v>
      </c>
      <c r="Q657" s="58">
        <v>14.037413793103401</v>
      </c>
      <c r="R657" s="58">
        <v>14.1075</v>
      </c>
      <c r="S657" s="58">
        <v>0.80042553191489396</v>
      </c>
      <c r="T657" t="s">
        <v>176</v>
      </c>
      <c r="U657" s="11">
        <v>50.715400000000002</v>
      </c>
      <c r="V657"/>
      <c r="W657"/>
    </row>
    <row r="658" spans="1:23" x14ac:dyDescent="0.35">
      <c r="A658" s="40">
        <v>44924</v>
      </c>
      <c r="B658">
        <v>2022</v>
      </c>
      <c r="C658" t="s">
        <v>278</v>
      </c>
      <c r="D658">
        <v>1</v>
      </c>
      <c r="E658">
        <v>1</v>
      </c>
      <c r="F658" t="s">
        <v>49</v>
      </c>
      <c r="G658" s="106">
        <v>0.72569444444444442</v>
      </c>
      <c r="H658" t="s">
        <v>80</v>
      </c>
      <c r="I658" t="s">
        <v>230</v>
      </c>
      <c r="J658">
        <v>49</v>
      </c>
      <c r="K658">
        <v>7.1</v>
      </c>
      <c r="L658">
        <v>137.30000000000001</v>
      </c>
      <c r="M658">
        <v>10</v>
      </c>
      <c r="N658" s="58">
        <v>106.49</v>
      </c>
      <c r="O658" s="58">
        <v>75.872100000000003</v>
      </c>
      <c r="P658" s="58">
        <v>14.9986</v>
      </c>
      <c r="Q658" s="58">
        <v>10.6862112676056</v>
      </c>
      <c r="R658" s="58">
        <v>10.648999999999999</v>
      </c>
      <c r="S658" s="58">
        <v>0.77560087399854305</v>
      </c>
      <c r="T658" t="s">
        <v>176</v>
      </c>
      <c r="U658" s="11">
        <v>49.461399999999998</v>
      </c>
      <c r="V658"/>
      <c r="W658"/>
    </row>
    <row r="659" spans="1:23" x14ac:dyDescent="0.35">
      <c r="A659" s="40">
        <v>44922</v>
      </c>
      <c r="B659">
        <v>2022</v>
      </c>
      <c r="C659" t="s">
        <v>278</v>
      </c>
      <c r="D659">
        <v>1</v>
      </c>
      <c r="E659">
        <v>1</v>
      </c>
      <c r="F659" t="s">
        <v>47</v>
      </c>
      <c r="G659" s="106">
        <v>0.72569444444444442</v>
      </c>
      <c r="H659" t="s">
        <v>174</v>
      </c>
      <c r="I659" t="s">
        <v>235</v>
      </c>
      <c r="J659">
        <v>31</v>
      </c>
      <c r="K659">
        <v>3.93</v>
      </c>
      <c r="L659">
        <v>72.400000000000006</v>
      </c>
      <c r="M659">
        <v>9</v>
      </c>
      <c r="N659" s="58">
        <v>60.18</v>
      </c>
      <c r="O659" s="58">
        <v>44.034799999999997</v>
      </c>
      <c r="P659" s="58">
        <v>15.313000000000001</v>
      </c>
      <c r="Q659" s="58">
        <v>11.204783715012701</v>
      </c>
      <c r="R659" s="58">
        <v>6.6866666666666701</v>
      </c>
      <c r="S659" s="58">
        <v>0.83121546961325998</v>
      </c>
      <c r="T659" t="s">
        <v>176</v>
      </c>
      <c r="U659" s="11">
        <v>50.360300000000002</v>
      </c>
      <c r="V659"/>
      <c r="W659"/>
    </row>
    <row r="660" spans="1:23" x14ac:dyDescent="0.35">
      <c r="A660" s="40">
        <v>44915</v>
      </c>
      <c r="B660">
        <v>2022</v>
      </c>
      <c r="C660" t="s">
        <v>327</v>
      </c>
      <c r="D660">
        <v>13</v>
      </c>
      <c r="E660">
        <v>52</v>
      </c>
      <c r="F660" t="s">
        <v>47</v>
      </c>
      <c r="G660" s="106">
        <v>0.48958333333333331</v>
      </c>
      <c r="H660" t="s">
        <v>80</v>
      </c>
      <c r="I660" t="s">
        <v>249</v>
      </c>
      <c r="J660">
        <v>31.5</v>
      </c>
      <c r="K660">
        <v>8.6199999999999992</v>
      </c>
      <c r="L660">
        <v>177</v>
      </c>
      <c r="M660">
        <v>18</v>
      </c>
      <c r="N660" s="58">
        <v>140.16</v>
      </c>
      <c r="O660" s="58">
        <v>100.68899999999999</v>
      </c>
      <c r="P660" s="58">
        <v>16.259899999999998</v>
      </c>
      <c r="Q660" s="58">
        <v>11.680858468677499</v>
      </c>
      <c r="R660" s="58">
        <v>7.7866666666666697</v>
      </c>
      <c r="S660" s="58">
        <v>0.79186440677966097</v>
      </c>
      <c r="T660" t="s">
        <v>176</v>
      </c>
      <c r="U660" s="11">
        <v>54.275100000000002</v>
      </c>
      <c r="V660"/>
      <c r="W660"/>
    </row>
    <row r="661" spans="1:23" x14ac:dyDescent="0.35">
      <c r="A661" s="40">
        <v>44914</v>
      </c>
      <c r="B661">
        <v>2022</v>
      </c>
      <c r="C661" t="s">
        <v>327</v>
      </c>
      <c r="D661">
        <v>13</v>
      </c>
      <c r="E661">
        <v>52</v>
      </c>
      <c r="F661" t="s">
        <v>46</v>
      </c>
      <c r="G661" s="106">
        <v>0.65972222222222221</v>
      </c>
      <c r="H661" t="s">
        <v>82</v>
      </c>
      <c r="I661" t="s">
        <v>249</v>
      </c>
      <c r="J661">
        <v>27.5</v>
      </c>
      <c r="K661">
        <v>0.8</v>
      </c>
      <c r="L661">
        <v>16</v>
      </c>
      <c r="M661">
        <v>1</v>
      </c>
      <c r="N661" s="58">
        <v>16</v>
      </c>
      <c r="O661" s="58">
        <v>12.432</v>
      </c>
      <c r="P661" s="58">
        <v>20</v>
      </c>
      <c r="Q661" s="58">
        <v>15.54</v>
      </c>
      <c r="R661" s="58">
        <v>16</v>
      </c>
      <c r="S661" s="58">
        <v>1</v>
      </c>
      <c r="T661" t="s">
        <v>176</v>
      </c>
      <c r="U661" s="11">
        <v>53.227200000000003</v>
      </c>
      <c r="V661"/>
      <c r="W661"/>
    </row>
    <row r="662" spans="1:23" x14ac:dyDescent="0.35">
      <c r="A662" s="40">
        <v>44913</v>
      </c>
      <c r="B662">
        <v>2022</v>
      </c>
      <c r="C662" t="s">
        <v>327</v>
      </c>
      <c r="D662">
        <v>12</v>
      </c>
      <c r="E662">
        <v>51</v>
      </c>
      <c r="F662" t="s">
        <v>45</v>
      </c>
      <c r="G662" s="106">
        <v>0.58680555555555558</v>
      </c>
      <c r="H662" t="s">
        <v>85</v>
      </c>
      <c r="I662" t="s">
        <v>249</v>
      </c>
      <c r="J662">
        <v>27.7</v>
      </c>
      <c r="K662">
        <v>9.68</v>
      </c>
      <c r="L662">
        <v>223</v>
      </c>
      <c r="M662">
        <v>17</v>
      </c>
      <c r="N662" s="58">
        <v>148.13999999999999</v>
      </c>
      <c r="O662" s="58">
        <v>98.411000000000001</v>
      </c>
      <c r="P662" s="58">
        <v>15.303699999999999</v>
      </c>
      <c r="Q662" s="58">
        <v>10.166425619834699</v>
      </c>
      <c r="R662" s="58">
        <v>8.7141176470588206</v>
      </c>
      <c r="S662" s="58">
        <v>0.66430493273542601</v>
      </c>
      <c r="T662" t="s">
        <v>175</v>
      </c>
      <c r="U662" s="11">
        <v>53.440399999999997</v>
      </c>
      <c r="V662"/>
      <c r="W662"/>
    </row>
    <row r="663" spans="1:23" x14ac:dyDescent="0.35">
      <c r="A663" s="40">
        <v>44912</v>
      </c>
      <c r="B663">
        <v>2022</v>
      </c>
      <c r="C663" t="s">
        <v>327</v>
      </c>
      <c r="D663">
        <v>12</v>
      </c>
      <c r="E663">
        <v>51</v>
      </c>
      <c r="F663" t="s">
        <v>51</v>
      </c>
      <c r="G663" s="106">
        <v>0.77083333333333337</v>
      </c>
      <c r="H663" t="s">
        <v>82</v>
      </c>
      <c r="I663" t="s">
        <v>235</v>
      </c>
      <c r="J663">
        <v>31.5</v>
      </c>
      <c r="K663">
        <v>0.73</v>
      </c>
      <c r="L663">
        <v>15.5</v>
      </c>
      <c r="M663">
        <v>1</v>
      </c>
      <c r="N663" s="58">
        <v>13.01</v>
      </c>
      <c r="O663" s="58">
        <v>9.5534999999999997</v>
      </c>
      <c r="P663" s="58">
        <v>17.821899999999999</v>
      </c>
      <c r="Q663" s="58">
        <v>13.086986301369899</v>
      </c>
      <c r="R663" s="58">
        <v>13.01</v>
      </c>
      <c r="S663" s="58">
        <v>0.83935483870967698</v>
      </c>
      <c r="T663" t="s">
        <v>176</v>
      </c>
      <c r="U663" s="11">
        <v>52.666899999999998</v>
      </c>
      <c r="V663"/>
      <c r="W663"/>
    </row>
    <row r="664" spans="1:23" x14ac:dyDescent="0.35">
      <c r="A664" s="40">
        <v>44911</v>
      </c>
      <c r="B664">
        <v>2022</v>
      </c>
      <c r="C664" t="s">
        <v>327</v>
      </c>
      <c r="D664">
        <v>12</v>
      </c>
      <c r="E664">
        <v>51</v>
      </c>
      <c r="F664" t="s">
        <v>50</v>
      </c>
      <c r="G664" s="106">
        <v>0.73611111111111116</v>
      </c>
      <c r="H664" t="s">
        <v>80</v>
      </c>
      <c r="I664" t="s">
        <v>232</v>
      </c>
      <c r="J664">
        <v>29.9</v>
      </c>
      <c r="K664">
        <v>6.85</v>
      </c>
      <c r="L664">
        <v>113.30000000000001</v>
      </c>
      <c r="M664">
        <v>10</v>
      </c>
      <c r="N664" s="58">
        <v>135.93</v>
      </c>
      <c r="O664" s="58">
        <v>110.6641</v>
      </c>
      <c r="P664" s="58">
        <v>19.843800000000002</v>
      </c>
      <c r="Q664" s="58">
        <v>16.155343065693401</v>
      </c>
      <c r="R664" s="58">
        <v>13.593</v>
      </c>
      <c r="S664" s="58">
        <v>1.1997352162400701</v>
      </c>
      <c r="T664" t="s">
        <v>175</v>
      </c>
      <c r="U664" s="11">
        <v>54.320399999999999</v>
      </c>
      <c r="V664"/>
      <c r="W664"/>
    </row>
    <row r="665" spans="1:23" x14ac:dyDescent="0.35">
      <c r="A665" s="40">
        <v>44910</v>
      </c>
      <c r="B665">
        <v>2022</v>
      </c>
      <c r="C665" t="s">
        <v>327</v>
      </c>
      <c r="D665">
        <v>12</v>
      </c>
      <c r="E665">
        <v>51</v>
      </c>
      <c r="F665" t="s">
        <v>49</v>
      </c>
      <c r="G665" s="106">
        <v>0.65972222222222221</v>
      </c>
      <c r="H665" t="s">
        <v>174</v>
      </c>
      <c r="I665" t="s">
        <v>232</v>
      </c>
      <c r="J665">
        <v>29.1</v>
      </c>
      <c r="K665">
        <v>8.85</v>
      </c>
      <c r="L665">
        <v>196.3</v>
      </c>
      <c r="M665">
        <v>16</v>
      </c>
      <c r="N665" s="58">
        <v>164.79</v>
      </c>
      <c r="O665" s="58">
        <v>121.0151</v>
      </c>
      <c r="P665" s="58">
        <v>18.6203</v>
      </c>
      <c r="Q665" s="58">
        <v>13.674022598870099</v>
      </c>
      <c r="R665" s="58">
        <v>10.299375</v>
      </c>
      <c r="S665" s="58">
        <v>0.83948038716250595</v>
      </c>
      <c r="T665" t="s">
        <v>176</v>
      </c>
      <c r="U665" s="11">
        <v>52.810099999999998</v>
      </c>
      <c r="V665"/>
      <c r="W665"/>
    </row>
    <row r="666" spans="1:23" x14ac:dyDescent="0.35">
      <c r="A666" s="40">
        <v>44909</v>
      </c>
      <c r="B666">
        <v>2022</v>
      </c>
      <c r="C666" t="s">
        <v>327</v>
      </c>
      <c r="D666">
        <v>12</v>
      </c>
      <c r="E666">
        <v>51</v>
      </c>
      <c r="F666" t="s">
        <v>48</v>
      </c>
      <c r="G666" s="106">
        <v>0.71875</v>
      </c>
      <c r="H666" t="s">
        <v>80</v>
      </c>
      <c r="I666" t="s">
        <v>234</v>
      </c>
      <c r="J666">
        <v>34.6</v>
      </c>
      <c r="K666">
        <v>5.55</v>
      </c>
      <c r="L666">
        <v>114.50000000000001</v>
      </c>
      <c r="M666">
        <v>12</v>
      </c>
      <c r="N666" s="58">
        <v>104.11</v>
      </c>
      <c r="O666" s="58">
        <v>78.576499999999996</v>
      </c>
      <c r="P666" s="58">
        <v>18.758600000000001</v>
      </c>
      <c r="Q666" s="58">
        <v>14.157927927927901</v>
      </c>
      <c r="R666" s="58">
        <v>8.6758333333333297</v>
      </c>
      <c r="S666" s="58">
        <v>0.90925764192139702</v>
      </c>
      <c r="T666" t="s">
        <v>175</v>
      </c>
      <c r="U666" s="11">
        <v>51.71</v>
      </c>
      <c r="V666"/>
      <c r="W666"/>
    </row>
    <row r="667" spans="1:23" x14ac:dyDescent="0.35">
      <c r="A667" s="40">
        <v>44908</v>
      </c>
      <c r="B667">
        <v>2022</v>
      </c>
      <c r="C667" t="s">
        <v>327</v>
      </c>
      <c r="D667">
        <v>12</v>
      </c>
      <c r="E667">
        <v>51</v>
      </c>
      <c r="F667" t="s">
        <v>47</v>
      </c>
      <c r="G667" s="106">
        <v>0.71875</v>
      </c>
      <c r="H667" t="s">
        <v>80</v>
      </c>
      <c r="I667" t="s">
        <v>234</v>
      </c>
      <c r="J667">
        <v>31.5</v>
      </c>
      <c r="K667">
        <v>3.45</v>
      </c>
      <c r="L667">
        <v>76.7</v>
      </c>
      <c r="M667">
        <v>7</v>
      </c>
      <c r="N667" s="58">
        <v>85.05</v>
      </c>
      <c r="O667" s="58">
        <v>67.945899999999995</v>
      </c>
      <c r="P667" s="58">
        <v>24.652200000000001</v>
      </c>
      <c r="Q667" s="58">
        <v>19.694463768115899</v>
      </c>
      <c r="R667" s="58">
        <v>12.15</v>
      </c>
      <c r="S667" s="58">
        <v>1.1088657105606301</v>
      </c>
      <c r="T667" t="s">
        <v>175</v>
      </c>
      <c r="U667" s="11">
        <v>52.4268</v>
      </c>
      <c r="V667"/>
      <c r="W667"/>
    </row>
    <row r="668" spans="1:23" x14ac:dyDescent="0.35">
      <c r="A668" s="40">
        <v>44907</v>
      </c>
      <c r="B668">
        <v>2022</v>
      </c>
      <c r="C668" t="s">
        <v>327</v>
      </c>
      <c r="D668">
        <v>12</v>
      </c>
      <c r="E668">
        <v>51</v>
      </c>
      <c r="F668" t="s">
        <v>46</v>
      </c>
      <c r="G668" s="106">
        <v>0.70833333333333337</v>
      </c>
      <c r="H668" t="s">
        <v>82</v>
      </c>
      <c r="I668" t="s">
        <v>234</v>
      </c>
      <c r="J668">
        <v>27.3</v>
      </c>
      <c r="K668">
        <v>4.8499999999999996</v>
      </c>
      <c r="L668">
        <v>82.7</v>
      </c>
      <c r="M668">
        <v>12</v>
      </c>
      <c r="N668" s="58">
        <v>84.9</v>
      </c>
      <c r="O668" s="58">
        <v>66.457899999999995</v>
      </c>
      <c r="P668" s="58">
        <v>17.505199999999999</v>
      </c>
      <c r="Q668" s="58">
        <v>13.7026597938144</v>
      </c>
      <c r="R668" s="58">
        <v>7.0750000000000002</v>
      </c>
      <c r="S668" s="58">
        <v>1.0266021765417199</v>
      </c>
      <c r="T668" t="s">
        <v>176</v>
      </c>
      <c r="U668" s="11">
        <v>51.4818</v>
      </c>
      <c r="V668"/>
      <c r="W668"/>
    </row>
    <row r="669" spans="1:23" x14ac:dyDescent="0.35">
      <c r="A669" s="40">
        <v>44906</v>
      </c>
      <c r="B669">
        <v>2022</v>
      </c>
      <c r="C669" t="s">
        <v>327</v>
      </c>
      <c r="D669">
        <v>11</v>
      </c>
      <c r="E669">
        <v>50</v>
      </c>
      <c r="F669" t="s">
        <v>45</v>
      </c>
      <c r="G669" s="106">
        <v>0.77430555555555558</v>
      </c>
      <c r="H669" t="s">
        <v>174</v>
      </c>
      <c r="I669" t="s">
        <v>234</v>
      </c>
      <c r="J669">
        <v>26.7</v>
      </c>
      <c r="K669">
        <v>3.1</v>
      </c>
      <c r="L669">
        <v>92.1</v>
      </c>
      <c r="M669">
        <v>5</v>
      </c>
      <c r="N669" s="58">
        <v>51.13</v>
      </c>
      <c r="O669" s="58">
        <v>30.591699999999999</v>
      </c>
      <c r="P669" s="58">
        <v>16.493500000000001</v>
      </c>
      <c r="Q669" s="58">
        <v>9.8682903225806502</v>
      </c>
      <c r="R669" s="58">
        <v>10.226000000000001</v>
      </c>
      <c r="S669" s="58">
        <v>0.55515743756786096</v>
      </c>
      <c r="T669" t="s">
        <v>176</v>
      </c>
      <c r="U669" s="11">
        <v>50.538400000000003</v>
      </c>
      <c r="V669"/>
      <c r="W669"/>
    </row>
    <row r="670" spans="1:23" x14ac:dyDescent="0.35">
      <c r="A670" s="40">
        <v>44904</v>
      </c>
      <c r="B670">
        <v>2022</v>
      </c>
      <c r="C670" t="s">
        <v>327</v>
      </c>
      <c r="D670">
        <v>11</v>
      </c>
      <c r="E670">
        <v>50</v>
      </c>
      <c r="F670" t="s">
        <v>50</v>
      </c>
      <c r="G670" s="106">
        <v>0.72569444444444442</v>
      </c>
      <c r="H670" t="s">
        <v>80</v>
      </c>
      <c r="I670" t="s">
        <v>249</v>
      </c>
      <c r="J670">
        <v>21.2</v>
      </c>
      <c r="K670">
        <v>4.5</v>
      </c>
      <c r="L670">
        <v>96</v>
      </c>
      <c r="M670">
        <v>12</v>
      </c>
      <c r="N670" s="58">
        <v>142.44999999999999</v>
      </c>
      <c r="O670" s="58">
        <v>121.042</v>
      </c>
      <c r="P670" s="58">
        <v>31.6556</v>
      </c>
      <c r="Q670" s="58">
        <v>26.898222222222198</v>
      </c>
      <c r="R670" s="58">
        <v>11.8708333333333</v>
      </c>
      <c r="S670" s="58">
        <v>1.48385416666667</v>
      </c>
      <c r="T670" t="s">
        <v>176</v>
      </c>
      <c r="U670" s="11">
        <v>52.814599999999999</v>
      </c>
      <c r="V670"/>
      <c r="W670"/>
    </row>
    <row r="671" spans="1:23" x14ac:dyDescent="0.35">
      <c r="A671" s="40">
        <v>44903</v>
      </c>
      <c r="B671">
        <v>2022</v>
      </c>
      <c r="C671" t="s">
        <v>327</v>
      </c>
      <c r="D671">
        <v>11</v>
      </c>
      <c r="E671">
        <v>50</v>
      </c>
      <c r="F671" t="s">
        <v>49</v>
      </c>
      <c r="G671" s="106">
        <v>0.72569444444444442</v>
      </c>
      <c r="H671" t="s">
        <v>80</v>
      </c>
      <c r="I671" t="s">
        <v>230</v>
      </c>
      <c r="J671">
        <v>34.9</v>
      </c>
      <c r="K671">
        <v>7.2</v>
      </c>
      <c r="L671">
        <v>120.1</v>
      </c>
      <c r="M671">
        <v>9</v>
      </c>
      <c r="N671" s="58">
        <v>96.51</v>
      </c>
      <c r="O671" s="58">
        <v>69.727699999999999</v>
      </c>
      <c r="P671" s="58">
        <v>13.404199999999999</v>
      </c>
      <c r="Q671" s="58">
        <v>9.6844027777777804</v>
      </c>
      <c r="R671" s="58">
        <v>10.723333333333301</v>
      </c>
      <c r="S671" s="58">
        <v>0.80358034970857595</v>
      </c>
      <c r="T671" t="s">
        <v>175</v>
      </c>
      <c r="U671" s="11">
        <v>52.479599999999998</v>
      </c>
      <c r="V671"/>
      <c r="W671"/>
    </row>
    <row r="672" spans="1:23" x14ac:dyDescent="0.35">
      <c r="A672" s="40">
        <v>44902</v>
      </c>
      <c r="B672">
        <v>2022</v>
      </c>
      <c r="C672" t="s">
        <v>327</v>
      </c>
      <c r="D672">
        <v>11</v>
      </c>
      <c r="E672">
        <v>50</v>
      </c>
      <c r="F672" t="s">
        <v>48</v>
      </c>
      <c r="G672" s="106">
        <v>0.61805555555555558</v>
      </c>
      <c r="H672" t="s">
        <v>80</v>
      </c>
      <c r="I672" t="s">
        <v>236</v>
      </c>
      <c r="J672">
        <v>46.1</v>
      </c>
      <c r="K672">
        <v>4.5</v>
      </c>
      <c r="L672">
        <v>150.39999999999998</v>
      </c>
      <c r="M672">
        <v>14</v>
      </c>
      <c r="N672" s="58">
        <v>165.23</v>
      </c>
      <c r="O672" s="58">
        <v>131.6908</v>
      </c>
      <c r="P672" s="58">
        <v>36.717799999999997</v>
      </c>
      <c r="Q672" s="58">
        <v>29.264622222222201</v>
      </c>
      <c r="R672" s="58">
        <v>11.802142857142901</v>
      </c>
      <c r="S672" s="58">
        <v>1.09860372340426</v>
      </c>
      <c r="T672" t="s">
        <v>175</v>
      </c>
      <c r="U672" s="11">
        <v>52.636000000000003</v>
      </c>
      <c r="V672"/>
      <c r="W672"/>
    </row>
    <row r="673" spans="1:23" x14ac:dyDescent="0.35">
      <c r="A673" s="40">
        <v>44900</v>
      </c>
      <c r="B673">
        <v>2022</v>
      </c>
      <c r="C673" t="s">
        <v>327</v>
      </c>
      <c r="D673">
        <v>11</v>
      </c>
      <c r="E673">
        <v>50</v>
      </c>
      <c r="F673" t="s">
        <v>46</v>
      </c>
      <c r="G673" s="106">
        <v>0.71180555555555558</v>
      </c>
      <c r="H673" t="s">
        <v>85</v>
      </c>
      <c r="I673" t="s">
        <v>236</v>
      </c>
      <c r="J673">
        <v>51.3</v>
      </c>
      <c r="K673">
        <v>9.1</v>
      </c>
      <c r="L673">
        <v>97.8</v>
      </c>
      <c r="M673">
        <v>9</v>
      </c>
      <c r="N673" s="58">
        <v>71.63</v>
      </c>
      <c r="O673" s="58">
        <v>49.820599999999999</v>
      </c>
      <c r="P673" s="58">
        <v>7.8714000000000004</v>
      </c>
      <c r="Q673" s="58">
        <v>5.4747912087912098</v>
      </c>
      <c r="R673" s="58">
        <v>7.9588888888888896</v>
      </c>
      <c r="S673" s="58">
        <v>0.73241308793455995</v>
      </c>
      <c r="T673" t="s">
        <v>176</v>
      </c>
      <c r="U673" s="11">
        <v>52.284599999999998</v>
      </c>
      <c r="V673"/>
      <c r="W673"/>
    </row>
    <row r="674" spans="1:23" x14ac:dyDescent="0.35">
      <c r="A674" s="40">
        <v>44898</v>
      </c>
      <c r="B674">
        <v>2022</v>
      </c>
      <c r="C674" t="s">
        <v>327</v>
      </c>
      <c r="D674">
        <v>10</v>
      </c>
      <c r="E674">
        <v>49</v>
      </c>
      <c r="F674" t="s">
        <v>51</v>
      </c>
      <c r="G674" s="106">
        <v>0.6743055555555556</v>
      </c>
      <c r="H674" t="s">
        <v>82</v>
      </c>
      <c r="I674" t="s">
        <v>249</v>
      </c>
      <c r="J674">
        <v>38.1</v>
      </c>
      <c r="K674">
        <v>9.08</v>
      </c>
      <c r="L674">
        <v>112</v>
      </c>
      <c r="M674">
        <v>21</v>
      </c>
      <c r="N674" s="58">
        <v>169.08</v>
      </c>
      <c r="O674" s="58">
        <v>144.10400000000001</v>
      </c>
      <c r="P674" s="58">
        <v>18.621099999999998</v>
      </c>
      <c r="Q674" s="58">
        <v>15.8704845814978</v>
      </c>
      <c r="R674" s="58">
        <v>8.0514285714285698</v>
      </c>
      <c r="S674" s="58">
        <v>1.50964285714286</v>
      </c>
      <c r="T674" t="s">
        <v>176</v>
      </c>
      <c r="U674" s="11">
        <v>54.645400000000002</v>
      </c>
      <c r="V674"/>
      <c r="W674"/>
    </row>
    <row r="675" spans="1:23" x14ac:dyDescent="0.35">
      <c r="A675" s="40">
        <v>44896</v>
      </c>
      <c r="B675">
        <v>2022</v>
      </c>
      <c r="C675" t="s">
        <v>327</v>
      </c>
      <c r="D675">
        <v>10</v>
      </c>
      <c r="E675">
        <v>49</v>
      </c>
      <c r="F675" t="s">
        <v>49</v>
      </c>
      <c r="G675" s="106">
        <v>0.72569444444444442</v>
      </c>
      <c r="H675" t="s">
        <v>80</v>
      </c>
      <c r="I675" t="s">
        <v>230</v>
      </c>
      <c r="J675">
        <v>35.4</v>
      </c>
      <c r="K675">
        <v>5.3000000000000007</v>
      </c>
      <c r="L675">
        <v>103.7</v>
      </c>
      <c r="M675">
        <v>6</v>
      </c>
      <c r="N675" s="58">
        <v>73.87</v>
      </c>
      <c r="O675" s="58">
        <v>50.744900000000001</v>
      </c>
      <c r="P675" s="58">
        <v>13.9377</v>
      </c>
      <c r="Q675" s="58">
        <v>9.5745094339622607</v>
      </c>
      <c r="R675" s="58">
        <v>12.311666666666699</v>
      </c>
      <c r="S675" s="58">
        <v>0.71234329797492801</v>
      </c>
      <c r="T675" t="s">
        <v>176</v>
      </c>
      <c r="U675" s="11">
        <v>54.833300000000001</v>
      </c>
      <c r="V675"/>
      <c r="W675"/>
    </row>
    <row r="676" spans="1:23" x14ac:dyDescent="0.35">
      <c r="A676" s="40">
        <v>44893</v>
      </c>
      <c r="B676">
        <v>2022</v>
      </c>
      <c r="C676" t="s">
        <v>327</v>
      </c>
      <c r="D676">
        <v>10</v>
      </c>
      <c r="E676">
        <v>49</v>
      </c>
      <c r="F676" t="s">
        <v>46</v>
      </c>
      <c r="G676" s="106">
        <v>0.72569444444444442</v>
      </c>
      <c r="H676" t="s">
        <v>85</v>
      </c>
      <c r="I676" t="s">
        <v>230</v>
      </c>
      <c r="J676">
        <v>36.4</v>
      </c>
      <c r="K676">
        <v>8.2000000000000011</v>
      </c>
      <c r="L676">
        <v>64.400000000000006</v>
      </c>
      <c r="M676">
        <v>5</v>
      </c>
      <c r="N676" s="58">
        <v>46.61</v>
      </c>
      <c r="O676" s="58">
        <v>32.248800000000003</v>
      </c>
      <c r="P676" s="58">
        <v>5.6840999999999999</v>
      </c>
      <c r="Q676" s="58">
        <v>3.9327804878048802</v>
      </c>
      <c r="R676" s="58">
        <v>9.3219999999999992</v>
      </c>
      <c r="S676" s="58">
        <v>0.72375776397515501</v>
      </c>
      <c r="T676" t="s">
        <v>176</v>
      </c>
      <c r="U676" s="11">
        <v>57.790599999999998</v>
      </c>
      <c r="V676"/>
      <c r="W676"/>
    </row>
    <row r="677" spans="1:23" x14ac:dyDescent="0.35">
      <c r="A677" s="40">
        <v>44892</v>
      </c>
      <c r="B677">
        <v>2022</v>
      </c>
      <c r="C677" t="s">
        <v>327</v>
      </c>
      <c r="D677">
        <v>9</v>
      </c>
      <c r="E677">
        <v>48</v>
      </c>
      <c r="F677" t="s">
        <v>45</v>
      </c>
      <c r="G677" s="106">
        <v>0.72569444444444442</v>
      </c>
      <c r="H677" t="s">
        <v>80</v>
      </c>
      <c r="I677" t="s">
        <v>236</v>
      </c>
      <c r="J677">
        <v>40.9</v>
      </c>
      <c r="K677">
        <v>4.5999999999999996</v>
      </c>
      <c r="L677">
        <v>123.19999999999999</v>
      </c>
      <c r="M677">
        <v>11</v>
      </c>
      <c r="N677" s="58">
        <v>99.02</v>
      </c>
      <c r="O677" s="58">
        <v>71.546400000000006</v>
      </c>
      <c r="P677" s="58">
        <v>21.5261</v>
      </c>
      <c r="Q677" s="58">
        <v>15.5535652173913</v>
      </c>
      <c r="R677" s="58">
        <v>9.0018181818181802</v>
      </c>
      <c r="S677" s="58">
        <v>0.80373376623376602</v>
      </c>
      <c r="T677" t="s">
        <v>175</v>
      </c>
      <c r="U677" s="11">
        <v>58.5869</v>
      </c>
      <c r="V677"/>
      <c r="W677"/>
    </row>
    <row r="678" spans="1:23" x14ac:dyDescent="0.35">
      <c r="A678" s="40">
        <v>44891</v>
      </c>
      <c r="B678">
        <v>2022</v>
      </c>
      <c r="C678" t="s">
        <v>327</v>
      </c>
      <c r="D678">
        <v>9</v>
      </c>
      <c r="E678">
        <v>48</v>
      </c>
      <c r="F678" t="s">
        <v>51</v>
      </c>
      <c r="G678" s="106">
        <v>0.6875</v>
      </c>
      <c r="H678" t="s">
        <v>174</v>
      </c>
      <c r="I678" t="s">
        <v>236</v>
      </c>
      <c r="J678">
        <v>53.7</v>
      </c>
      <c r="K678">
        <v>5.1999999999999993</v>
      </c>
      <c r="L678">
        <v>182.7</v>
      </c>
      <c r="M678">
        <v>12</v>
      </c>
      <c r="N678" s="58">
        <v>108.07</v>
      </c>
      <c r="O678" s="58">
        <v>67.3279</v>
      </c>
      <c r="P678" s="58">
        <v>20.782699999999998</v>
      </c>
      <c r="Q678" s="58">
        <v>12.947673076923101</v>
      </c>
      <c r="R678" s="58">
        <v>9.0058333333333298</v>
      </c>
      <c r="S678" s="58">
        <v>0.59151614668856001</v>
      </c>
      <c r="T678" t="s">
        <v>176</v>
      </c>
      <c r="U678" s="11">
        <v>58.373199999999997</v>
      </c>
      <c r="V678"/>
      <c r="W678"/>
    </row>
    <row r="679" spans="1:23" x14ac:dyDescent="0.35">
      <c r="A679" s="40">
        <v>44890</v>
      </c>
      <c r="B679">
        <v>2022</v>
      </c>
      <c r="C679" t="s">
        <v>327</v>
      </c>
      <c r="D679">
        <v>9</v>
      </c>
      <c r="E679">
        <v>48</v>
      </c>
      <c r="F679" t="s">
        <v>50</v>
      </c>
      <c r="G679" s="106">
        <v>0.76736111111111116</v>
      </c>
      <c r="H679" t="s">
        <v>80</v>
      </c>
      <c r="I679" t="s">
        <v>249</v>
      </c>
      <c r="J679">
        <v>45.2</v>
      </c>
      <c r="K679">
        <v>5.8999999999999995</v>
      </c>
      <c r="L679">
        <v>78.900000000000006</v>
      </c>
      <c r="M679">
        <v>9</v>
      </c>
      <c r="N679" s="58">
        <v>96.42</v>
      </c>
      <c r="O679" s="58">
        <v>78.825299999999999</v>
      </c>
      <c r="P679" s="58">
        <v>16.342400000000001</v>
      </c>
      <c r="Q679" s="58">
        <v>13.360220338983099</v>
      </c>
      <c r="R679" s="58">
        <v>10.713333333333299</v>
      </c>
      <c r="S679" s="58">
        <v>1.2220532319391599</v>
      </c>
      <c r="T679" t="s">
        <v>176</v>
      </c>
      <c r="U679" s="11">
        <v>57.172400000000003</v>
      </c>
      <c r="V679"/>
      <c r="W679"/>
    </row>
    <row r="680" spans="1:23" x14ac:dyDescent="0.35">
      <c r="A680" s="40">
        <v>44888</v>
      </c>
      <c r="B680">
        <v>2022</v>
      </c>
      <c r="C680" t="s">
        <v>327</v>
      </c>
      <c r="D680">
        <v>9</v>
      </c>
      <c r="E680">
        <v>48</v>
      </c>
      <c r="F680" t="s">
        <v>48</v>
      </c>
      <c r="G680" s="106">
        <v>0.75347222222222221</v>
      </c>
      <c r="H680" t="s">
        <v>80</v>
      </c>
      <c r="I680" t="s">
        <v>230</v>
      </c>
      <c r="J680">
        <v>34.799999999999997</v>
      </c>
      <c r="K680">
        <v>5.2</v>
      </c>
      <c r="L680">
        <v>109.2</v>
      </c>
      <c r="M680">
        <v>11</v>
      </c>
      <c r="N680" s="58">
        <v>120.16</v>
      </c>
      <c r="O680" s="58">
        <v>95.808400000000006</v>
      </c>
      <c r="P680" s="58">
        <v>23.107700000000001</v>
      </c>
      <c r="Q680" s="58">
        <v>18.4246923076923</v>
      </c>
      <c r="R680" s="58">
        <v>10.923636363636399</v>
      </c>
      <c r="S680" s="58">
        <v>1.1003663003663</v>
      </c>
      <c r="T680" t="s">
        <v>176</v>
      </c>
      <c r="U680" s="11">
        <v>57.457799999999999</v>
      </c>
      <c r="V680"/>
      <c r="W680"/>
    </row>
    <row r="681" spans="1:23" x14ac:dyDescent="0.35">
      <c r="A681" s="40">
        <v>44886</v>
      </c>
      <c r="B681">
        <v>2022</v>
      </c>
      <c r="C681" t="s">
        <v>327</v>
      </c>
      <c r="D681">
        <v>9</v>
      </c>
      <c r="E681">
        <v>48</v>
      </c>
      <c r="F681" t="s">
        <v>46</v>
      </c>
      <c r="G681" s="106">
        <v>0.72569444444444442</v>
      </c>
      <c r="H681" t="s">
        <v>85</v>
      </c>
      <c r="I681" t="s">
        <v>230</v>
      </c>
      <c r="J681">
        <v>42.5</v>
      </c>
      <c r="K681">
        <v>7.6</v>
      </c>
      <c r="L681">
        <v>136.9</v>
      </c>
      <c r="M681">
        <v>10</v>
      </c>
      <c r="N681" s="58">
        <v>140.77000000000001</v>
      </c>
      <c r="O681" s="58">
        <v>110.2413</v>
      </c>
      <c r="P681" s="58">
        <v>18.522400000000001</v>
      </c>
      <c r="Q681" s="58">
        <v>14.5054342105263</v>
      </c>
      <c r="R681" s="58">
        <v>14.077</v>
      </c>
      <c r="S681" s="58">
        <v>1.02826880934989</v>
      </c>
      <c r="T681" t="s">
        <v>176</v>
      </c>
      <c r="U681" s="11">
        <v>56.122700000000002</v>
      </c>
      <c r="V681"/>
      <c r="W681"/>
    </row>
    <row r="682" spans="1:23" x14ac:dyDescent="0.35">
      <c r="A682" s="40">
        <v>44883</v>
      </c>
      <c r="B682">
        <v>2022</v>
      </c>
      <c r="C682" t="s">
        <v>327</v>
      </c>
      <c r="D682">
        <v>8</v>
      </c>
      <c r="E682">
        <v>47</v>
      </c>
      <c r="F682" t="s">
        <v>50</v>
      </c>
      <c r="G682" s="106">
        <v>0.73958333333333337</v>
      </c>
      <c r="H682" t="s">
        <v>80</v>
      </c>
      <c r="I682" t="s">
        <v>230</v>
      </c>
      <c r="J682">
        <v>37.6</v>
      </c>
      <c r="K682">
        <v>8.32</v>
      </c>
      <c r="L682">
        <v>212</v>
      </c>
      <c r="M682">
        <v>15</v>
      </c>
      <c r="N682" s="58">
        <v>214.98</v>
      </c>
      <c r="O682" s="58">
        <v>167.70400000000001</v>
      </c>
      <c r="P682" s="58">
        <v>25.838899999999999</v>
      </c>
      <c r="Q682" s="58">
        <v>20.156730769230801</v>
      </c>
      <c r="R682" s="58">
        <v>14.332000000000001</v>
      </c>
      <c r="S682" s="58">
        <v>1.0140566037735801</v>
      </c>
      <c r="T682" t="s">
        <v>176</v>
      </c>
      <c r="U682" s="11">
        <v>55.677700000000002</v>
      </c>
      <c r="V682"/>
      <c r="W682"/>
    </row>
    <row r="683" spans="1:23" x14ac:dyDescent="0.35">
      <c r="A683" s="40">
        <v>44882</v>
      </c>
      <c r="B683">
        <v>2022</v>
      </c>
      <c r="C683" t="s">
        <v>327</v>
      </c>
      <c r="D683">
        <v>8</v>
      </c>
      <c r="E683">
        <v>47</v>
      </c>
      <c r="F683" t="s">
        <v>49</v>
      </c>
      <c r="G683" s="106">
        <v>0.71527777777777779</v>
      </c>
      <c r="H683" t="s">
        <v>80</v>
      </c>
      <c r="I683" t="s">
        <v>230</v>
      </c>
      <c r="J683">
        <v>33.6</v>
      </c>
      <c r="K683">
        <v>5.2</v>
      </c>
      <c r="L683">
        <v>88.600000000000009</v>
      </c>
      <c r="M683">
        <v>9</v>
      </c>
      <c r="N683" s="58">
        <v>112.03</v>
      </c>
      <c r="O683" s="58">
        <v>92.272199999999998</v>
      </c>
      <c r="P683" s="58">
        <v>21.5442</v>
      </c>
      <c r="Q683" s="58">
        <v>17.744653846153799</v>
      </c>
      <c r="R683" s="58">
        <v>12.4477777777778</v>
      </c>
      <c r="S683" s="58">
        <v>1.2644469525959401</v>
      </c>
      <c r="T683" t="s">
        <v>176</v>
      </c>
      <c r="U683" s="11">
        <v>54.703099999999999</v>
      </c>
      <c r="V683"/>
      <c r="W683"/>
    </row>
    <row r="684" spans="1:23" x14ac:dyDescent="0.35">
      <c r="A684" s="40">
        <v>44876</v>
      </c>
      <c r="B684">
        <v>2022</v>
      </c>
      <c r="C684" t="s">
        <v>327</v>
      </c>
      <c r="D684">
        <v>7</v>
      </c>
      <c r="E684">
        <v>46</v>
      </c>
      <c r="F684" t="s">
        <v>50</v>
      </c>
      <c r="G684" s="106">
        <v>0.73958333333333337</v>
      </c>
      <c r="H684" t="s">
        <v>80</v>
      </c>
      <c r="I684" t="s">
        <v>236</v>
      </c>
      <c r="J684">
        <v>70</v>
      </c>
      <c r="K684">
        <v>6.43</v>
      </c>
      <c r="L684">
        <v>122.30000000000001</v>
      </c>
      <c r="M684">
        <v>11</v>
      </c>
      <c r="N684" s="58">
        <v>138.38999999999999</v>
      </c>
      <c r="O684" s="58">
        <v>111.11709999999999</v>
      </c>
      <c r="P684" s="58">
        <v>21.522600000000001</v>
      </c>
      <c r="Q684" s="58">
        <v>17.281041990668701</v>
      </c>
      <c r="R684" s="58">
        <v>12.580909090909101</v>
      </c>
      <c r="S684" s="58">
        <v>1.13156173344235</v>
      </c>
      <c r="T684" t="s">
        <v>176</v>
      </c>
      <c r="U684" s="11">
        <v>56.804699999999997</v>
      </c>
      <c r="V684"/>
      <c r="W684"/>
    </row>
    <row r="685" spans="1:23" x14ac:dyDescent="0.35">
      <c r="A685" s="40">
        <v>44875</v>
      </c>
      <c r="B685">
        <v>2022</v>
      </c>
      <c r="C685" t="s">
        <v>327</v>
      </c>
      <c r="D685">
        <v>7</v>
      </c>
      <c r="E685">
        <v>46</v>
      </c>
      <c r="F685" t="s">
        <v>49</v>
      </c>
      <c r="G685" s="106">
        <v>0.74652777777777779</v>
      </c>
      <c r="H685" t="s">
        <v>85</v>
      </c>
      <c r="I685" t="s">
        <v>236</v>
      </c>
      <c r="J685">
        <v>68.3</v>
      </c>
      <c r="K685">
        <v>5.5</v>
      </c>
      <c r="L685">
        <v>112.9</v>
      </c>
      <c r="M685">
        <v>9</v>
      </c>
      <c r="N685" s="58">
        <v>81.86</v>
      </c>
      <c r="O685" s="58">
        <v>56.683300000000003</v>
      </c>
      <c r="P685" s="58">
        <v>14.883599999999999</v>
      </c>
      <c r="Q685" s="58">
        <v>10.306054545454501</v>
      </c>
      <c r="R685" s="58">
        <v>9.0955555555555598</v>
      </c>
      <c r="S685" s="58">
        <v>0.72506643046944197</v>
      </c>
      <c r="T685" t="s">
        <v>176</v>
      </c>
      <c r="U685" s="11">
        <v>55.267000000000003</v>
      </c>
      <c r="V685"/>
      <c r="W685"/>
    </row>
    <row r="686" spans="1:23" x14ac:dyDescent="0.35">
      <c r="A686" s="40">
        <v>44874</v>
      </c>
      <c r="B686">
        <v>2022</v>
      </c>
      <c r="C686" t="s">
        <v>327</v>
      </c>
      <c r="D686">
        <v>7</v>
      </c>
      <c r="E686">
        <v>46</v>
      </c>
      <c r="F686" t="s">
        <v>48</v>
      </c>
      <c r="G686" s="106">
        <v>0.73263888888888884</v>
      </c>
      <c r="H686" t="s">
        <v>82</v>
      </c>
      <c r="I686" t="s">
        <v>230</v>
      </c>
      <c r="J686">
        <v>65.099999999999994</v>
      </c>
      <c r="K686">
        <v>6.2</v>
      </c>
      <c r="L686">
        <v>26.1</v>
      </c>
      <c r="M686">
        <v>5</v>
      </c>
      <c r="N686" s="58">
        <v>45.09</v>
      </c>
      <c r="O686" s="58">
        <v>39.2697</v>
      </c>
      <c r="P686" s="58">
        <v>7.2725999999999997</v>
      </c>
      <c r="Q686" s="58">
        <v>6.33382258064516</v>
      </c>
      <c r="R686" s="58">
        <v>9.0180000000000007</v>
      </c>
      <c r="S686" s="58">
        <v>1.72758620689655</v>
      </c>
      <c r="T686" t="s">
        <v>176</v>
      </c>
      <c r="U686" s="11">
        <v>54.357399999999998</v>
      </c>
      <c r="V686"/>
      <c r="W686"/>
    </row>
    <row r="687" spans="1:23" x14ac:dyDescent="0.35">
      <c r="A687" s="40">
        <v>44872</v>
      </c>
      <c r="B687">
        <v>2022</v>
      </c>
      <c r="C687" t="s">
        <v>327</v>
      </c>
      <c r="D687">
        <v>7</v>
      </c>
      <c r="E687">
        <v>46</v>
      </c>
      <c r="F687" t="s">
        <v>46</v>
      </c>
      <c r="G687" s="106">
        <v>0.71527777777777779</v>
      </c>
      <c r="H687" t="s">
        <v>85</v>
      </c>
      <c r="I687" t="s">
        <v>230</v>
      </c>
      <c r="J687">
        <v>44.9</v>
      </c>
      <c r="K687">
        <v>6.1999999999999993</v>
      </c>
      <c r="L687">
        <v>112.1</v>
      </c>
      <c r="M687">
        <v>11</v>
      </c>
      <c r="N687" s="58">
        <v>129.16999999999999</v>
      </c>
      <c r="O687" s="58">
        <v>104.1717</v>
      </c>
      <c r="P687" s="58">
        <v>20.8339</v>
      </c>
      <c r="Q687" s="58">
        <v>16.801887096774198</v>
      </c>
      <c r="R687" s="58">
        <v>11.742727272727301</v>
      </c>
      <c r="S687" s="58">
        <v>1.1522747546833201</v>
      </c>
      <c r="T687" t="s">
        <v>176</v>
      </c>
      <c r="U687" s="11">
        <v>54.967599999999997</v>
      </c>
      <c r="V687"/>
      <c r="W687"/>
    </row>
    <row r="688" spans="1:23" x14ac:dyDescent="0.35">
      <c r="A688" s="40">
        <v>44869</v>
      </c>
      <c r="B688">
        <v>2022</v>
      </c>
      <c r="C688" t="s">
        <v>327</v>
      </c>
      <c r="D688">
        <v>6</v>
      </c>
      <c r="E688">
        <v>45</v>
      </c>
      <c r="F688" t="s">
        <v>50</v>
      </c>
      <c r="G688" s="106">
        <v>0.75</v>
      </c>
      <c r="H688" t="s">
        <v>80</v>
      </c>
      <c r="I688" t="s">
        <v>230</v>
      </c>
      <c r="J688">
        <v>73.400000000000006</v>
      </c>
      <c r="K688">
        <v>5.5</v>
      </c>
      <c r="L688">
        <v>144</v>
      </c>
      <c r="M688">
        <v>9</v>
      </c>
      <c r="N688" s="58">
        <v>95.21</v>
      </c>
      <c r="O688" s="58">
        <v>63.097999999999999</v>
      </c>
      <c r="P688" s="58">
        <v>17.3109</v>
      </c>
      <c r="Q688" s="58">
        <v>11.4723636363636</v>
      </c>
      <c r="R688" s="58">
        <v>10.578888888888899</v>
      </c>
      <c r="S688" s="58">
        <v>0.66118055555555599</v>
      </c>
      <c r="T688" t="s">
        <v>176</v>
      </c>
      <c r="U688" s="11">
        <v>55.433999999999997</v>
      </c>
      <c r="V688"/>
      <c r="W688"/>
    </row>
    <row r="689" spans="1:23" x14ac:dyDescent="0.35">
      <c r="A689" s="40">
        <v>44848</v>
      </c>
      <c r="B689">
        <v>2022</v>
      </c>
      <c r="C689" t="s">
        <v>327</v>
      </c>
      <c r="D689">
        <v>3</v>
      </c>
      <c r="E689">
        <v>42</v>
      </c>
      <c r="F689" t="s">
        <v>50</v>
      </c>
      <c r="G689" s="106">
        <v>0.72916666666666663</v>
      </c>
      <c r="H689" t="s">
        <v>80</v>
      </c>
      <c r="I689" t="s">
        <v>236</v>
      </c>
      <c r="J689">
        <v>65.7</v>
      </c>
      <c r="K689">
        <v>6.18</v>
      </c>
      <c r="L689">
        <v>140.39999999999998</v>
      </c>
      <c r="M689">
        <v>12</v>
      </c>
      <c r="N689" s="58">
        <v>177.53</v>
      </c>
      <c r="O689" s="58">
        <v>146.2208</v>
      </c>
      <c r="P689" s="58">
        <v>28.726500000000001</v>
      </c>
      <c r="Q689" s="58">
        <v>23.660323624595499</v>
      </c>
      <c r="R689" s="58">
        <v>14.794166666666699</v>
      </c>
      <c r="S689" s="58">
        <v>1.26445868945869</v>
      </c>
      <c r="T689" t="s">
        <v>176</v>
      </c>
      <c r="U689" s="11">
        <v>57.163699999999999</v>
      </c>
      <c r="V689"/>
      <c r="W689"/>
    </row>
    <row r="690" spans="1:23" x14ac:dyDescent="0.35">
      <c r="A690" s="40">
        <v>44846</v>
      </c>
      <c r="B690">
        <v>2022</v>
      </c>
      <c r="C690" t="s">
        <v>327</v>
      </c>
      <c r="D690">
        <v>3</v>
      </c>
      <c r="E690">
        <v>42</v>
      </c>
      <c r="F690" t="s">
        <v>48</v>
      </c>
      <c r="G690" s="106">
        <v>0.72916666666666663</v>
      </c>
      <c r="H690" t="s">
        <v>80</v>
      </c>
      <c r="I690" t="s">
        <v>236</v>
      </c>
      <c r="J690">
        <v>62.6</v>
      </c>
      <c r="K690">
        <v>9.6000000000000014</v>
      </c>
      <c r="L690">
        <v>72.400000000000006</v>
      </c>
      <c r="M690">
        <v>9</v>
      </c>
      <c r="N690" s="58">
        <v>90.95</v>
      </c>
      <c r="O690" s="58">
        <v>74.8048</v>
      </c>
      <c r="P690" s="58">
        <v>9.4740000000000002</v>
      </c>
      <c r="Q690" s="58">
        <v>7.7921666666666702</v>
      </c>
      <c r="R690" s="58">
        <v>10.1055555555556</v>
      </c>
      <c r="S690" s="58">
        <v>1.2562154696132599</v>
      </c>
      <c r="T690" t="s">
        <v>176</v>
      </c>
      <c r="U690" s="11">
        <v>57.747700000000002</v>
      </c>
      <c r="V690"/>
      <c r="W690"/>
    </row>
    <row r="691" spans="1:23" x14ac:dyDescent="0.35">
      <c r="A691" s="40">
        <v>44845</v>
      </c>
      <c r="B691">
        <v>2022</v>
      </c>
      <c r="C691" t="s">
        <v>327</v>
      </c>
      <c r="D691">
        <v>3</v>
      </c>
      <c r="E691">
        <v>42</v>
      </c>
      <c r="F691" t="s">
        <v>47</v>
      </c>
      <c r="G691" s="106">
        <v>0.57291666666666663</v>
      </c>
      <c r="H691" t="s">
        <v>82</v>
      </c>
      <c r="I691" t="s">
        <v>236</v>
      </c>
      <c r="J691">
        <v>69.5</v>
      </c>
      <c r="K691">
        <v>10.099999999999998</v>
      </c>
      <c r="L691">
        <v>70.3</v>
      </c>
      <c r="M691">
        <v>10</v>
      </c>
      <c r="N691" s="58">
        <v>73.02</v>
      </c>
      <c r="O691" s="58">
        <v>57.3431</v>
      </c>
      <c r="P691" s="58">
        <v>7.2297000000000002</v>
      </c>
      <c r="Q691" s="58">
        <v>5.6775346534653499</v>
      </c>
      <c r="R691" s="58">
        <v>7.3019999999999996</v>
      </c>
      <c r="S691" s="58">
        <v>1.03869132290185</v>
      </c>
      <c r="T691" t="s">
        <v>176</v>
      </c>
      <c r="U691" s="11">
        <v>56.737099999999998</v>
      </c>
      <c r="V691"/>
      <c r="W691"/>
    </row>
    <row r="692" spans="1:23" x14ac:dyDescent="0.35">
      <c r="A692" s="40">
        <v>44842</v>
      </c>
      <c r="B692">
        <v>2022</v>
      </c>
      <c r="C692" t="s">
        <v>327</v>
      </c>
      <c r="D692">
        <v>2</v>
      </c>
      <c r="E692">
        <v>41</v>
      </c>
      <c r="F692" t="s">
        <v>51</v>
      </c>
      <c r="G692" s="106">
        <v>0.59375</v>
      </c>
      <c r="H692" t="s">
        <v>82</v>
      </c>
      <c r="I692" t="s">
        <v>236</v>
      </c>
      <c r="J692">
        <v>57.2</v>
      </c>
      <c r="K692">
        <v>5.9</v>
      </c>
      <c r="L692">
        <v>167.9</v>
      </c>
      <c r="M692">
        <v>21</v>
      </c>
      <c r="N692" s="58">
        <v>206.46</v>
      </c>
      <c r="O692" s="58">
        <v>169.01830000000001</v>
      </c>
      <c r="P692" s="58">
        <v>34.993200000000002</v>
      </c>
      <c r="Q692" s="58">
        <v>28.6471694915254</v>
      </c>
      <c r="R692" s="58">
        <v>9.8314285714285692</v>
      </c>
      <c r="S692" s="58">
        <v>1.22966051220965</v>
      </c>
      <c r="T692" t="s">
        <v>176</v>
      </c>
      <c r="U692" s="11">
        <v>58.723199999999999</v>
      </c>
      <c r="V692"/>
      <c r="W692"/>
    </row>
    <row r="693" spans="1:23" x14ac:dyDescent="0.35">
      <c r="A693" s="40">
        <v>44841</v>
      </c>
      <c r="B693">
        <v>2022</v>
      </c>
      <c r="C693" t="s">
        <v>327</v>
      </c>
      <c r="D693">
        <v>2</v>
      </c>
      <c r="E693">
        <v>41</v>
      </c>
      <c r="F693" t="s">
        <v>50</v>
      </c>
      <c r="G693" s="106">
        <v>0.46527777777777779</v>
      </c>
      <c r="H693" t="s">
        <v>80</v>
      </c>
      <c r="I693" t="s">
        <v>230</v>
      </c>
      <c r="J693">
        <v>57.2</v>
      </c>
      <c r="K693">
        <v>7.6</v>
      </c>
      <c r="L693">
        <v>170.7</v>
      </c>
      <c r="M693">
        <v>22</v>
      </c>
      <c r="N693" s="58">
        <v>208.99</v>
      </c>
      <c r="O693" s="58">
        <v>170.9239</v>
      </c>
      <c r="P693" s="58">
        <v>27.498699999999999</v>
      </c>
      <c r="Q693" s="58">
        <v>22.489986842105299</v>
      </c>
      <c r="R693" s="58">
        <v>9.4995454545454603</v>
      </c>
      <c r="S693" s="58">
        <v>1.2243116578793201</v>
      </c>
      <c r="T693" t="s">
        <v>176</v>
      </c>
      <c r="U693" s="11">
        <v>56.429200000000002</v>
      </c>
      <c r="V693"/>
      <c r="W693"/>
    </row>
    <row r="694" spans="1:23" x14ac:dyDescent="0.35">
      <c r="A694" s="40">
        <v>44840</v>
      </c>
      <c r="B694">
        <v>2022</v>
      </c>
      <c r="C694" t="s">
        <v>327</v>
      </c>
      <c r="D694">
        <v>2</v>
      </c>
      <c r="E694">
        <v>41</v>
      </c>
      <c r="F694" t="s">
        <v>49</v>
      </c>
      <c r="G694" s="106">
        <v>0.75</v>
      </c>
      <c r="H694" t="s">
        <v>80</v>
      </c>
      <c r="I694" t="s">
        <v>236</v>
      </c>
      <c r="J694">
        <v>69.5</v>
      </c>
      <c r="K694">
        <v>6.2</v>
      </c>
      <c r="L694">
        <v>125.4</v>
      </c>
      <c r="M694">
        <v>14</v>
      </c>
      <c r="N694" s="58">
        <v>177.31</v>
      </c>
      <c r="O694" s="58">
        <v>149.3458</v>
      </c>
      <c r="P694" s="58">
        <v>28.598400000000002</v>
      </c>
      <c r="Q694" s="58">
        <v>24.088032258064501</v>
      </c>
      <c r="R694" s="58">
        <v>12.664999999999999</v>
      </c>
      <c r="S694" s="58">
        <v>1.4139553429027101</v>
      </c>
      <c r="T694" t="s">
        <v>176</v>
      </c>
      <c r="U694" s="11">
        <v>54.107100000000003</v>
      </c>
      <c r="V694"/>
      <c r="W694"/>
    </row>
    <row r="695" spans="1:23" x14ac:dyDescent="0.35">
      <c r="A695" s="40">
        <v>44839</v>
      </c>
      <c r="B695">
        <v>2022</v>
      </c>
      <c r="C695" t="s">
        <v>327</v>
      </c>
      <c r="D695">
        <v>2</v>
      </c>
      <c r="E695">
        <v>41</v>
      </c>
      <c r="F695" t="s">
        <v>48</v>
      </c>
      <c r="G695" s="106">
        <v>0.72569444444444442</v>
      </c>
      <c r="H695" t="s">
        <v>85</v>
      </c>
      <c r="I695" t="s">
        <v>236</v>
      </c>
      <c r="J695">
        <v>73.099999999999994</v>
      </c>
      <c r="K695">
        <v>7.6</v>
      </c>
      <c r="L695">
        <v>143.19999999999999</v>
      </c>
      <c r="M695">
        <v>13</v>
      </c>
      <c r="N695" s="58">
        <v>132.1</v>
      </c>
      <c r="O695" s="58">
        <v>100.1664</v>
      </c>
      <c r="P695" s="58">
        <v>17.381599999999999</v>
      </c>
      <c r="Q695" s="58">
        <v>13.179789473684201</v>
      </c>
      <c r="R695" s="58">
        <v>10.1615384615385</v>
      </c>
      <c r="S695" s="58">
        <v>0.92248603351955305</v>
      </c>
      <c r="T695" t="s">
        <v>176</v>
      </c>
      <c r="U695" s="11">
        <v>53.754399999999997</v>
      </c>
      <c r="V695"/>
      <c r="W695"/>
    </row>
    <row r="696" spans="1:23" x14ac:dyDescent="0.35">
      <c r="A696" s="40">
        <v>44837</v>
      </c>
      <c r="B696">
        <v>2022</v>
      </c>
      <c r="C696" t="s">
        <v>327</v>
      </c>
      <c r="D696">
        <v>2</v>
      </c>
      <c r="E696">
        <v>41</v>
      </c>
      <c r="F696" t="s">
        <v>46</v>
      </c>
      <c r="G696" s="106">
        <v>0.74652777777777779</v>
      </c>
      <c r="H696" t="s">
        <v>82</v>
      </c>
      <c r="I696" t="s">
        <v>230</v>
      </c>
      <c r="J696">
        <v>62.6</v>
      </c>
      <c r="K696">
        <v>2.2999999999999998</v>
      </c>
      <c r="L696">
        <v>87.3</v>
      </c>
      <c r="M696">
        <v>12</v>
      </c>
      <c r="N696" s="58">
        <v>82.9</v>
      </c>
      <c r="O696" s="58">
        <v>63.432099999999998</v>
      </c>
      <c r="P696" s="58">
        <v>36.043500000000002</v>
      </c>
      <c r="Q696" s="58">
        <v>27.579173913043501</v>
      </c>
      <c r="R696" s="58">
        <v>6.9083333333333297</v>
      </c>
      <c r="S696" s="58">
        <v>0.94959908361970202</v>
      </c>
      <c r="T696" t="s">
        <v>176</v>
      </c>
      <c r="U696" s="11">
        <v>54.049199999999999</v>
      </c>
      <c r="V696"/>
      <c r="W696"/>
    </row>
    <row r="697" spans="1:23" x14ac:dyDescent="0.35">
      <c r="A697" s="40">
        <v>44836</v>
      </c>
      <c r="B697">
        <v>2022</v>
      </c>
      <c r="C697" t="s">
        <v>327</v>
      </c>
      <c r="D697">
        <v>1</v>
      </c>
      <c r="E697">
        <v>40</v>
      </c>
      <c r="F697" t="s">
        <v>45</v>
      </c>
      <c r="G697" s="106">
        <v>0.76875000000000004</v>
      </c>
      <c r="H697" t="s">
        <v>80</v>
      </c>
      <c r="I697" t="s">
        <v>230</v>
      </c>
      <c r="J697">
        <v>57.3</v>
      </c>
      <c r="K697">
        <v>5.2</v>
      </c>
      <c r="L697">
        <v>59.7</v>
      </c>
      <c r="M697">
        <v>4</v>
      </c>
      <c r="N697" s="58">
        <v>45.83</v>
      </c>
      <c r="O697" s="58">
        <v>32.5169</v>
      </c>
      <c r="P697" s="58">
        <v>8.8134999999999994</v>
      </c>
      <c r="Q697" s="58">
        <v>6.2532500000000004</v>
      </c>
      <c r="R697" s="58">
        <v>11.4575</v>
      </c>
      <c r="S697" s="58">
        <v>0.767671691792295</v>
      </c>
      <c r="T697" t="s">
        <v>176</v>
      </c>
      <c r="U697" s="11">
        <v>53.799599999999998</v>
      </c>
      <c r="V697"/>
      <c r="W697"/>
    </row>
    <row r="698" spans="1:23" x14ac:dyDescent="0.35">
      <c r="A698" s="40">
        <v>44834</v>
      </c>
      <c r="B698">
        <v>2022</v>
      </c>
      <c r="C698" t="s">
        <v>327</v>
      </c>
      <c r="D698">
        <v>1</v>
      </c>
      <c r="E698">
        <v>40</v>
      </c>
      <c r="F698" t="s">
        <v>50</v>
      </c>
      <c r="G698" s="106">
        <v>0.72638888888888886</v>
      </c>
      <c r="H698" t="s">
        <v>80</v>
      </c>
      <c r="I698" t="s">
        <v>230</v>
      </c>
      <c r="J698">
        <v>63.1</v>
      </c>
      <c r="K698">
        <v>5.8</v>
      </c>
      <c r="L698">
        <v>36.5</v>
      </c>
      <c r="M698">
        <v>7</v>
      </c>
      <c r="N698" s="58">
        <v>85.46</v>
      </c>
      <c r="O698" s="58">
        <v>77.320499999999996</v>
      </c>
      <c r="P698" s="58">
        <v>14.734500000000001</v>
      </c>
      <c r="Q698" s="58">
        <v>13.331120689655201</v>
      </c>
      <c r="R698" s="58">
        <v>12.2085714285714</v>
      </c>
      <c r="S698" s="58">
        <v>2.3413698630136999</v>
      </c>
      <c r="T698" t="s">
        <v>176</v>
      </c>
      <c r="U698" s="11">
        <v>53.290300000000002</v>
      </c>
      <c r="V698"/>
      <c r="W698"/>
    </row>
    <row r="699" spans="1:23" x14ac:dyDescent="0.35">
      <c r="A699" s="40">
        <v>44833</v>
      </c>
      <c r="B699">
        <v>2022</v>
      </c>
      <c r="C699" t="s">
        <v>327</v>
      </c>
      <c r="D699">
        <v>1</v>
      </c>
      <c r="E699">
        <v>40</v>
      </c>
      <c r="F699" t="s">
        <v>49</v>
      </c>
      <c r="G699" s="106">
        <v>0.75555555555555554</v>
      </c>
      <c r="H699" t="s">
        <v>85</v>
      </c>
      <c r="I699" t="s">
        <v>230</v>
      </c>
      <c r="J699">
        <v>61.1</v>
      </c>
      <c r="K699">
        <v>6.7</v>
      </c>
      <c r="L699">
        <v>108.9</v>
      </c>
      <c r="M699">
        <v>10</v>
      </c>
      <c r="N699" s="58">
        <v>101.93</v>
      </c>
      <c r="O699" s="58">
        <v>77.645300000000006</v>
      </c>
      <c r="P699" s="58">
        <v>15.2134</v>
      </c>
      <c r="Q699" s="58">
        <v>11.588850746268699</v>
      </c>
      <c r="R699" s="58">
        <v>10.193</v>
      </c>
      <c r="S699" s="58">
        <v>0.93599632690541801</v>
      </c>
      <c r="T699" t="s">
        <v>176</v>
      </c>
      <c r="U699" s="11">
        <v>54.427300000000002</v>
      </c>
      <c r="V699"/>
      <c r="W699"/>
    </row>
    <row r="700" spans="1:23" x14ac:dyDescent="0.35">
      <c r="A700" s="40">
        <v>44831</v>
      </c>
      <c r="B700">
        <v>2022</v>
      </c>
      <c r="C700" t="s">
        <v>327</v>
      </c>
      <c r="D700">
        <v>1</v>
      </c>
      <c r="E700">
        <v>40</v>
      </c>
      <c r="F700" t="s">
        <v>47</v>
      </c>
      <c r="G700" s="106">
        <v>0.75</v>
      </c>
      <c r="H700" t="s">
        <v>85</v>
      </c>
      <c r="I700" t="s">
        <v>236</v>
      </c>
      <c r="J700">
        <v>67.7</v>
      </c>
      <c r="K700">
        <v>4.3999999999999995</v>
      </c>
      <c r="L700">
        <v>138</v>
      </c>
      <c r="M700">
        <v>13</v>
      </c>
      <c r="N700" s="58">
        <v>85.92</v>
      </c>
      <c r="O700" s="58">
        <v>55.146000000000001</v>
      </c>
      <c r="P700" s="58">
        <v>19.5273</v>
      </c>
      <c r="Q700" s="58">
        <v>12.5331818181818</v>
      </c>
      <c r="R700" s="58">
        <v>6.6092307692307699</v>
      </c>
      <c r="S700" s="58">
        <v>0.62260869565217403</v>
      </c>
      <c r="T700" t="s">
        <v>176</v>
      </c>
      <c r="U700" s="11">
        <v>54.526600000000002</v>
      </c>
      <c r="V700"/>
      <c r="W700"/>
    </row>
    <row r="701" spans="1:23" x14ac:dyDescent="0.35">
      <c r="A701" s="40">
        <v>44830</v>
      </c>
      <c r="B701">
        <v>2022</v>
      </c>
      <c r="C701" t="s">
        <v>327</v>
      </c>
      <c r="D701">
        <v>1</v>
      </c>
      <c r="E701">
        <v>40</v>
      </c>
      <c r="F701" t="s">
        <v>46</v>
      </c>
      <c r="G701" s="106">
        <v>0.71666666666666667</v>
      </c>
      <c r="H701" t="s">
        <v>85</v>
      </c>
      <c r="I701" t="s">
        <v>236</v>
      </c>
      <c r="J701">
        <v>70.5</v>
      </c>
      <c r="K701">
        <v>6.8</v>
      </c>
      <c r="L701">
        <v>104.1</v>
      </c>
      <c r="M701">
        <v>16</v>
      </c>
      <c r="N701" s="58">
        <v>167.59</v>
      </c>
      <c r="O701" s="58">
        <v>144.37569999999999</v>
      </c>
      <c r="P701" s="58">
        <v>24.645600000000002</v>
      </c>
      <c r="Q701" s="58">
        <v>21.231720588235302</v>
      </c>
      <c r="R701" s="58">
        <v>10.474375</v>
      </c>
      <c r="S701" s="58">
        <v>1.6098943323727199</v>
      </c>
      <c r="T701" t="s">
        <v>176</v>
      </c>
      <c r="U701" s="11">
        <v>53.571899999999999</v>
      </c>
      <c r="V701"/>
      <c r="W701"/>
    </row>
    <row r="702" spans="1:23" x14ac:dyDescent="0.35">
      <c r="A702" s="40">
        <v>44829</v>
      </c>
      <c r="B702">
        <v>2022</v>
      </c>
      <c r="C702" t="s">
        <v>305</v>
      </c>
      <c r="D702">
        <v>13</v>
      </c>
      <c r="E702">
        <v>39</v>
      </c>
      <c r="F702" t="s">
        <v>45</v>
      </c>
      <c r="G702" s="106">
        <v>0.76527777777777772</v>
      </c>
      <c r="H702" t="s">
        <v>80</v>
      </c>
      <c r="I702" t="s">
        <v>236</v>
      </c>
      <c r="J702">
        <v>71.099999999999994</v>
      </c>
      <c r="K702">
        <v>3.5999999999999996</v>
      </c>
      <c r="L702">
        <v>88.5</v>
      </c>
      <c r="M702">
        <v>6</v>
      </c>
      <c r="N702" s="58">
        <v>64.97</v>
      </c>
      <c r="O702" s="58">
        <v>45.234499999999997</v>
      </c>
      <c r="P702" s="58">
        <v>18.0472</v>
      </c>
      <c r="Q702" s="58">
        <v>12.5651388888889</v>
      </c>
      <c r="R702" s="58">
        <v>10.828333333333299</v>
      </c>
      <c r="S702" s="58">
        <v>0.73412429378531097</v>
      </c>
      <c r="T702" t="s">
        <v>176</v>
      </c>
      <c r="U702" s="11">
        <v>52.386099999999999</v>
      </c>
      <c r="V702"/>
      <c r="W702"/>
    </row>
    <row r="703" spans="1:23" x14ac:dyDescent="0.35">
      <c r="A703" s="40">
        <v>44827</v>
      </c>
      <c r="B703">
        <v>2022</v>
      </c>
      <c r="C703" t="s">
        <v>305</v>
      </c>
      <c r="D703">
        <v>13</v>
      </c>
      <c r="E703">
        <v>39</v>
      </c>
      <c r="F703" t="s">
        <v>50</v>
      </c>
      <c r="G703" s="106">
        <v>0.73541666666666672</v>
      </c>
      <c r="H703" t="s">
        <v>80</v>
      </c>
      <c r="I703" t="s">
        <v>230</v>
      </c>
      <c r="J703">
        <v>64.599999999999994</v>
      </c>
      <c r="K703">
        <v>2.5</v>
      </c>
      <c r="L703">
        <v>113.8</v>
      </c>
      <c r="M703">
        <v>13</v>
      </c>
      <c r="N703" s="58">
        <v>94.03</v>
      </c>
      <c r="O703" s="58">
        <v>68.652600000000007</v>
      </c>
      <c r="P703" s="58">
        <v>37.612000000000002</v>
      </c>
      <c r="Q703" s="58">
        <v>27.461040000000001</v>
      </c>
      <c r="R703" s="58">
        <v>7.2330769230769203</v>
      </c>
      <c r="S703" s="58">
        <v>0.82627416520210895</v>
      </c>
      <c r="T703" t="s">
        <v>176</v>
      </c>
      <c r="U703" s="11">
        <v>53.037300000000002</v>
      </c>
      <c r="V703"/>
      <c r="W703"/>
    </row>
    <row r="704" spans="1:23" x14ac:dyDescent="0.35">
      <c r="A704" s="40">
        <v>44825</v>
      </c>
      <c r="B704">
        <v>2022</v>
      </c>
      <c r="C704" t="s">
        <v>305</v>
      </c>
      <c r="D704">
        <v>13</v>
      </c>
      <c r="E704">
        <v>39</v>
      </c>
      <c r="F704" t="s">
        <v>48</v>
      </c>
      <c r="G704" s="106">
        <v>0.73611111111111116</v>
      </c>
      <c r="H704" t="s">
        <v>82</v>
      </c>
      <c r="I704" t="s">
        <v>236</v>
      </c>
      <c r="J704">
        <v>63.5</v>
      </c>
      <c r="K704">
        <v>4.3000000000000007</v>
      </c>
      <c r="L704">
        <v>48.2</v>
      </c>
      <c r="M704">
        <v>10</v>
      </c>
      <c r="N704" s="58">
        <v>45.85</v>
      </c>
      <c r="O704" s="58">
        <v>35.101399999999998</v>
      </c>
      <c r="P704" s="58">
        <v>10.662800000000001</v>
      </c>
      <c r="Q704" s="58">
        <v>8.1631162790697598</v>
      </c>
      <c r="R704" s="58">
        <v>4.585</v>
      </c>
      <c r="S704" s="58">
        <v>0.95124481327800803</v>
      </c>
      <c r="T704" t="s">
        <v>176</v>
      </c>
      <c r="U704" s="11">
        <v>54.69</v>
      </c>
      <c r="V704"/>
      <c r="W704"/>
    </row>
    <row r="705" spans="1:23" x14ac:dyDescent="0.35">
      <c r="A705" s="40">
        <v>44824</v>
      </c>
      <c r="B705">
        <v>2022</v>
      </c>
      <c r="C705" t="s">
        <v>305</v>
      </c>
      <c r="D705">
        <v>13</v>
      </c>
      <c r="E705">
        <v>39</v>
      </c>
      <c r="F705" t="s">
        <v>47</v>
      </c>
      <c r="G705" s="106">
        <v>0.73402777777777772</v>
      </c>
      <c r="H705" t="s">
        <v>82</v>
      </c>
      <c r="I705" t="s">
        <v>236</v>
      </c>
      <c r="J705">
        <v>66.8</v>
      </c>
      <c r="K705">
        <v>2.4500000000000002</v>
      </c>
      <c r="L705">
        <v>28.6</v>
      </c>
      <c r="M705">
        <v>3</v>
      </c>
      <c r="N705" s="58">
        <v>35.19</v>
      </c>
      <c r="O705" s="58">
        <v>28.812200000000001</v>
      </c>
      <c r="P705" s="58">
        <v>14.363300000000001</v>
      </c>
      <c r="Q705" s="58">
        <v>11.760081632653099</v>
      </c>
      <c r="R705" s="58">
        <v>11.73</v>
      </c>
      <c r="S705" s="58">
        <v>1.2304195804195801</v>
      </c>
      <c r="T705" t="s">
        <v>176</v>
      </c>
      <c r="U705" s="11">
        <v>54.180599999999998</v>
      </c>
      <c r="V705"/>
      <c r="W705"/>
    </row>
    <row r="706" spans="1:23" x14ac:dyDescent="0.35">
      <c r="A706" s="40">
        <v>44823</v>
      </c>
      <c r="B706">
        <v>2022</v>
      </c>
      <c r="C706" t="s">
        <v>305</v>
      </c>
      <c r="D706">
        <v>13</v>
      </c>
      <c r="E706">
        <v>39</v>
      </c>
      <c r="F706" t="s">
        <v>46</v>
      </c>
      <c r="G706" s="106">
        <v>0.72916666666666663</v>
      </c>
      <c r="H706" t="s">
        <v>85</v>
      </c>
      <c r="I706" t="s">
        <v>236</v>
      </c>
      <c r="J706">
        <v>56.8</v>
      </c>
      <c r="K706">
        <v>6.6</v>
      </c>
      <c r="L706">
        <v>80.199999999999989</v>
      </c>
      <c r="M706">
        <v>8</v>
      </c>
      <c r="N706" s="58">
        <v>78.52</v>
      </c>
      <c r="O706" s="58">
        <v>60.635399999999997</v>
      </c>
      <c r="P706" s="58">
        <v>11.897</v>
      </c>
      <c r="Q706" s="58">
        <v>9.1871818181818199</v>
      </c>
      <c r="R706" s="58">
        <v>9.8149999999999995</v>
      </c>
      <c r="S706" s="58">
        <v>0.97905236907730697</v>
      </c>
      <c r="T706" t="s">
        <v>176</v>
      </c>
      <c r="U706" s="11">
        <v>54.097700000000003</v>
      </c>
      <c r="V706"/>
      <c r="W706"/>
    </row>
    <row r="707" spans="1:23" x14ac:dyDescent="0.35">
      <c r="A707" s="40">
        <v>44822</v>
      </c>
      <c r="B707">
        <v>2022</v>
      </c>
      <c r="C707" t="s">
        <v>305</v>
      </c>
      <c r="D707">
        <v>12</v>
      </c>
      <c r="E707">
        <v>38</v>
      </c>
      <c r="F707" t="s">
        <v>45</v>
      </c>
      <c r="G707" s="106">
        <v>0.73611111111111116</v>
      </c>
      <c r="H707" t="s">
        <v>80</v>
      </c>
      <c r="I707" t="s">
        <v>236</v>
      </c>
      <c r="J707">
        <v>58.3</v>
      </c>
      <c r="K707">
        <v>7.1</v>
      </c>
      <c r="L707">
        <v>124.2</v>
      </c>
      <c r="M707">
        <v>11</v>
      </c>
      <c r="N707" s="58">
        <v>161.83000000000001</v>
      </c>
      <c r="O707" s="58">
        <v>134.13339999999999</v>
      </c>
      <c r="P707" s="58">
        <v>22.792999999999999</v>
      </c>
      <c r="Q707" s="58">
        <v>18.8920281690141</v>
      </c>
      <c r="R707" s="58">
        <v>14.711818181818201</v>
      </c>
      <c r="S707" s="58">
        <v>1.30297906602254</v>
      </c>
      <c r="T707" t="s">
        <v>176</v>
      </c>
      <c r="U707" s="11">
        <v>53.225200000000001</v>
      </c>
      <c r="V707"/>
      <c r="W707"/>
    </row>
    <row r="708" spans="1:23" x14ac:dyDescent="0.35">
      <c r="A708" s="40">
        <v>44820</v>
      </c>
      <c r="B708">
        <v>2022</v>
      </c>
      <c r="C708" t="s">
        <v>305</v>
      </c>
      <c r="D708">
        <v>12</v>
      </c>
      <c r="E708">
        <v>38</v>
      </c>
      <c r="F708" t="s">
        <v>50</v>
      </c>
      <c r="G708" s="106">
        <v>0.72569444444444442</v>
      </c>
      <c r="H708" t="s">
        <v>80</v>
      </c>
      <c r="I708" t="s">
        <v>230</v>
      </c>
      <c r="J708">
        <v>66.900000000000006</v>
      </c>
      <c r="K708">
        <v>5.4</v>
      </c>
      <c r="L708">
        <v>71.599999999999994</v>
      </c>
      <c r="M708">
        <v>6</v>
      </c>
      <c r="N708" s="58">
        <v>65.78</v>
      </c>
      <c r="O708" s="58">
        <v>49.813200000000002</v>
      </c>
      <c r="P708" s="58">
        <v>12.1815</v>
      </c>
      <c r="Q708" s="58">
        <v>9.2246666666666606</v>
      </c>
      <c r="R708" s="58">
        <v>10.963333333333299</v>
      </c>
      <c r="S708" s="58">
        <v>0.918715083798883</v>
      </c>
      <c r="T708" t="s">
        <v>176</v>
      </c>
      <c r="U708" s="11">
        <v>51.427100000000003</v>
      </c>
      <c r="V708"/>
      <c r="W708"/>
    </row>
    <row r="709" spans="1:23" x14ac:dyDescent="0.35">
      <c r="A709" s="40">
        <v>44819</v>
      </c>
      <c r="B709">
        <v>2022</v>
      </c>
      <c r="C709" t="s">
        <v>305</v>
      </c>
      <c r="D709">
        <v>12</v>
      </c>
      <c r="E709">
        <v>38</v>
      </c>
      <c r="F709" t="s">
        <v>49</v>
      </c>
      <c r="G709" s="106">
        <v>0.73263888888888884</v>
      </c>
      <c r="H709" t="s">
        <v>82</v>
      </c>
      <c r="I709" t="s">
        <v>230</v>
      </c>
      <c r="J709">
        <v>65.900000000000006</v>
      </c>
      <c r="K709">
        <v>9.4</v>
      </c>
      <c r="L709">
        <v>68</v>
      </c>
      <c r="M709">
        <v>16</v>
      </c>
      <c r="N709" s="58">
        <v>168.62</v>
      </c>
      <c r="O709" s="58">
        <v>153.45599999999999</v>
      </c>
      <c r="P709" s="58">
        <v>17.938300000000002</v>
      </c>
      <c r="Q709" s="58">
        <v>16.325106382978699</v>
      </c>
      <c r="R709" s="58">
        <v>10.53875</v>
      </c>
      <c r="S709" s="58">
        <v>2.4797058823529401</v>
      </c>
      <c r="T709" t="s">
        <v>176</v>
      </c>
      <c r="U709" s="11">
        <v>52.500799999999998</v>
      </c>
      <c r="V709"/>
      <c r="W709"/>
    </row>
    <row r="710" spans="1:23" x14ac:dyDescent="0.35">
      <c r="A710" s="40">
        <v>44816</v>
      </c>
      <c r="B710">
        <v>2022</v>
      </c>
      <c r="C710" t="s">
        <v>305</v>
      </c>
      <c r="D710">
        <v>12</v>
      </c>
      <c r="E710">
        <v>38</v>
      </c>
      <c r="F710" t="s">
        <v>46</v>
      </c>
      <c r="G710" s="106">
        <v>0.73958333333333337</v>
      </c>
      <c r="H710" t="s">
        <v>85</v>
      </c>
      <c r="I710" t="s">
        <v>236</v>
      </c>
      <c r="J710">
        <v>72.7</v>
      </c>
      <c r="K710">
        <v>6.9</v>
      </c>
      <c r="L710">
        <v>82.5</v>
      </c>
      <c r="M710">
        <v>12</v>
      </c>
      <c r="N710" s="58">
        <v>106.19</v>
      </c>
      <c r="O710" s="58">
        <v>87.792500000000004</v>
      </c>
      <c r="P710" s="58">
        <v>15.389900000000001</v>
      </c>
      <c r="Q710" s="58">
        <v>12.7235507246377</v>
      </c>
      <c r="R710" s="58">
        <v>8.8491666666666706</v>
      </c>
      <c r="S710" s="58">
        <v>1.28715151515152</v>
      </c>
      <c r="T710" t="s">
        <v>176</v>
      </c>
      <c r="U710" s="11">
        <v>52.001899999999999</v>
      </c>
      <c r="V710"/>
      <c r="W710"/>
    </row>
    <row r="711" spans="1:23" x14ac:dyDescent="0.35">
      <c r="A711" s="40">
        <v>44815</v>
      </c>
      <c r="B711">
        <v>2022</v>
      </c>
      <c r="C711" t="s">
        <v>305</v>
      </c>
      <c r="D711">
        <v>11</v>
      </c>
      <c r="E711">
        <v>37</v>
      </c>
      <c r="F711" t="s">
        <v>45</v>
      </c>
      <c r="G711" s="106">
        <v>0.54513888888888884</v>
      </c>
      <c r="H711" t="s">
        <v>82</v>
      </c>
      <c r="I711" t="s">
        <v>236</v>
      </c>
      <c r="J711">
        <v>81.7</v>
      </c>
      <c r="K711">
        <v>6.1999999999999993</v>
      </c>
      <c r="L711">
        <v>152.6</v>
      </c>
      <c r="M711">
        <v>23</v>
      </c>
      <c r="N711" s="58">
        <v>149.79</v>
      </c>
      <c r="O711" s="58">
        <v>115.7602</v>
      </c>
      <c r="P711" s="58">
        <v>24.159700000000001</v>
      </c>
      <c r="Q711" s="58">
        <v>18.670999999999999</v>
      </c>
      <c r="R711" s="58">
        <v>6.5126086956521698</v>
      </c>
      <c r="S711" s="58">
        <v>0.98158584534731297</v>
      </c>
      <c r="T711" t="s">
        <v>176</v>
      </c>
      <c r="U711" s="11">
        <v>50.822000000000003</v>
      </c>
      <c r="V711"/>
      <c r="W711"/>
    </row>
    <row r="712" spans="1:23" x14ac:dyDescent="0.35">
      <c r="A712" s="40">
        <v>44814</v>
      </c>
      <c r="B712">
        <v>2022</v>
      </c>
      <c r="C712" t="s">
        <v>305</v>
      </c>
      <c r="D712">
        <v>11</v>
      </c>
      <c r="E712">
        <v>37</v>
      </c>
      <c r="F712" t="s">
        <v>51</v>
      </c>
      <c r="G712" s="106">
        <v>0.60069444444444442</v>
      </c>
      <c r="H712" t="s">
        <v>82</v>
      </c>
      <c r="I712" t="s">
        <v>230</v>
      </c>
      <c r="J712">
        <v>79.5</v>
      </c>
      <c r="K712">
        <v>4.5</v>
      </c>
      <c r="L712">
        <v>125.80000000000001</v>
      </c>
      <c r="M712">
        <v>13</v>
      </c>
      <c r="N712" s="58">
        <v>112.3</v>
      </c>
      <c r="O712" s="58">
        <v>84.246600000000001</v>
      </c>
      <c r="P712" s="58">
        <v>24.9556</v>
      </c>
      <c r="Q712" s="58">
        <v>18.7214666666667</v>
      </c>
      <c r="R712" s="58">
        <v>8.6384615384615397</v>
      </c>
      <c r="S712" s="58">
        <v>0.89268680445151005</v>
      </c>
      <c r="T712" t="s">
        <v>176</v>
      </c>
      <c r="U712" s="11">
        <v>49.157699999999998</v>
      </c>
      <c r="V712"/>
      <c r="W712"/>
    </row>
    <row r="713" spans="1:23" x14ac:dyDescent="0.35">
      <c r="A713" s="40">
        <v>44813</v>
      </c>
      <c r="B713">
        <v>2022</v>
      </c>
      <c r="C713" t="s">
        <v>305</v>
      </c>
      <c r="D713">
        <v>11</v>
      </c>
      <c r="E713">
        <v>37</v>
      </c>
      <c r="F713" t="s">
        <v>50</v>
      </c>
      <c r="G713" s="106">
        <v>0.74652777777777779</v>
      </c>
      <c r="H713" t="s">
        <v>85</v>
      </c>
      <c r="I713" t="s">
        <v>230</v>
      </c>
      <c r="J713">
        <v>82.5</v>
      </c>
      <c r="K713">
        <v>2.9</v>
      </c>
      <c r="L713">
        <v>156.19999999999999</v>
      </c>
      <c r="M713">
        <v>10</v>
      </c>
      <c r="N713" s="58">
        <v>110.59</v>
      </c>
      <c r="O713" s="58">
        <v>75.757400000000004</v>
      </c>
      <c r="P713" s="58">
        <v>38.134500000000003</v>
      </c>
      <c r="Q713" s="58">
        <v>26.123241379310301</v>
      </c>
      <c r="R713" s="58">
        <v>11.058999999999999</v>
      </c>
      <c r="S713" s="58">
        <v>0.708002560819462</v>
      </c>
      <c r="T713" t="s">
        <v>176</v>
      </c>
      <c r="U713" s="11">
        <v>49.517000000000003</v>
      </c>
      <c r="V713"/>
      <c r="W713"/>
    </row>
    <row r="714" spans="1:23" x14ac:dyDescent="0.35">
      <c r="A714" s="40">
        <v>44812</v>
      </c>
      <c r="B714">
        <v>2022</v>
      </c>
      <c r="C714" t="s">
        <v>305</v>
      </c>
      <c r="D714">
        <v>11</v>
      </c>
      <c r="E714">
        <v>37</v>
      </c>
      <c r="F714" t="s">
        <v>49</v>
      </c>
      <c r="G714" s="106">
        <v>0.75694444444444442</v>
      </c>
      <c r="H714" t="s">
        <v>85</v>
      </c>
      <c r="I714" t="s">
        <v>230</v>
      </c>
      <c r="J714">
        <v>79.3</v>
      </c>
      <c r="K714">
        <v>5.5</v>
      </c>
      <c r="L714">
        <v>62.5</v>
      </c>
      <c r="M714">
        <v>14</v>
      </c>
      <c r="N714" s="58">
        <v>114.77</v>
      </c>
      <c r="O714" s="58">
        <v>100.8325</v>
      </c>
      <c r="P714" s="58">
        <v>20.8673</v>
      </c>
      <c r="Q714" s="58">
        <v>18.333181818181799</v>
      </c>
      <c r="R714" s="58">
        <v>8.1978571428571403</v>
      </c>
      <c r="S714" s="58">
        <v>1.83632</v>
      </c>
      <c r="T714" t="s">
        <v>176</v>
      </c>
      <c r="U714" s="11">
        <v>48.288200000000003</v>
      </c>
      <c r="V714"/>
      <c r="W714"/>
    </row>
    <row r="715" spans="1:23" x14ac:dyDescent="0.35">
      <c r="A715" s="40">
        <v>44811</v>
      </c>
      <c r="B715">
        <v>2022</v>
      </c>
      <c r="C715" t="s">
        <v>305</v>
      </c>
      <c r="D715">
        <v>11</v>
      </c>
      <c r="E715">
        <v>37</v>
      </c>
      <c r="F715" t="s">
        <v>48</v>
      </c>
      <c r="G715" s="106">
        <v>0.74305555555555558</v>
      </c>
      <c r="H715" t="s">
        <v>85</v>
      </c>
      <c r="I715" t="s">
        <v>236</v>
      </c>
      <c r="J715">
        <v>73.7</v>
      </c>
      <c r="K715">
        <v>7</v>
      </c>
      <c r="L715">
        <v>65.5</v>
      </c>
      <c r="M715">
        <v>3</v>
      </c>
      <c r="N715" s="58">
        <v>18.829999999999998</v>
      </c>
      <c r="O715" s="58">
        <v>4.2234999999999996</v>
      </c>
      <c r="P715" s="58">
        <v>2.69</v>
      </c>
      <c r="Q715" s="58">
        <v>0.60335714285714304</v>
      </c>
      <c r="R715" s="58">
        <v>6.2766666666666699</v>
      </c>
      <c r="S715" s="58">
        <v>0.287480916030534</v>
      </c>
      <c r="T715" t="s">
        <v>176</v>
      </c>
      <c r="U715" s="11">
        <v>48.729700000000001</v>
      </c>
      <c r="V715"/>
      <c r="W715"/>
    </row>
    <row r="716" spans="1:23" x14ac:dyDescent="0.35">
      <c r="A716" s="40">
        <v>44810</v>
      </c>
      <c r="B716">
        <v>2022</v>
      </c>
      <c r="C716" t="s">
        <v>305</v>
      </c>
      <c r="D716">
        <v>11</v>
      </c>
      <c r="E716">
        <v>37</v>
      </c>
      <c r="F716" t="s">
        <v>47</v>
      </c>
      <c r="G716" s="106">
        <v>0.68055555555555558</v>
      </c>
      <c r="H716" t="s">
        <v>85</v>
      </c>
      <c r="I716" t="s">
        <v>236</v>
      </c>
      <c r="J716">
        <v>70.7</v>
      </c>
      <c r="K716">
        <v>2.4</v>
      </c>
      <c r="L716">
        <v>93</v>
      </c>
      <c r="M716">
        <v>9</v>
      </c>
      <c r="N716" s="58">
        <v>110.01</v>
      </c>
      <c r="O716" s="58">
        <v>89.271000000000001</v>
      </c>
      <c r="P716" s="58">
        <v>45.837499999999999</v>
      </c>
      <c r="Q716" s="58">
        <v>37.196249999999999</v>
      </c>
      <c r="R716" s="58">
        <v>12.223333333333301</v>
      </c>
      <c r="S716" s="58">
        <v>1.18290322580645</v>
      </c>
      <c r="T716" t="s">
        <v>176</v>
      </c>
      <c r="U716" s="11">
        <v>49.505200000000002</v>
      </c>
      <c r="V716"/>
      <c r="W716"/>
    </row>
    <row r="717" spans="1:23" x14ac:dyDescent="0.35">
      <c r="A717" s="40">
        <v>44809</v>
      </c>
      <c r="B717">
        <v>2022</v>
      </c>
      <c r="C717" t="s">
        <v>305</v>
      </c>
      <c r="D717">
        <v>11</v>
      </c>
      <c r="E717">
        <v>37</v>
      </c>
      <c r="F717" t="s">
        <v>46</v>
      </c>
      <c r="G717" s="106">
        <v>0.73263888888888884</v>
      </c>
      <c r="H717" t="s">
        <v>85</v>
      </c>
      <c r="I717" t="s">
        <v>236</v>
      </c>
      <c r="J717">
        <v>62.3</v>
      </c>
      <c r="K717">
        <v>6.3999999999999995</v>
      </c>
      <c r="L717">
        <v>141.4</v>
      </c>
      <c r="M717">
        <v>14</v>
      </c>
      <c r="N717" s="58">
        <v>174.1</v>
      </c>
      <c r="O717" s="58">
        <v>142.56780000000001</v>
      </c>
      <c r="P717" s="58">
        <v>27.203099999999999</v>
      </c>
      <c r="Q717" s="58">
        <v>22.276218750000002</v>
      </c>
      <c r="R717" s="58">
        <v>12.435714285714299</v>
      </c>
      <c r="S717" s="58">
        <v>1.23125884016973</v>
      </c>
      <c r="T717" t="s">
        <v>176</v>
      </c>
      <c r="U717" s="11">
        <v>48.282899999999998</v>
      </c>
      <c r="V717"/>
      <c r="W717"/>
    </row>
    <row r="718" spans="1:23" x14ac:dyDescent="0.35">
      <c r="A718" s="40">
        <v>44807</v>
      </c>
      <c r="B718">
        <v>2022</v>
      </c>
      <c r="C718" t="s">
        <v>305</v>
      </c>
      <c r="D718">
        <v>10</v>
      </c>
      <c r="E718">
        <v>36</v>
      </c>
      <c r="F718" t="s">
        <v>51</v>
      </c>
      <c r="G718" s="106">
        <v>0.71180555555555558</v>
      </c>
      <c r="H718" t="s">
        <v>80</v>
      </c>
      <c r="I718" t="s">
        <v>236</v>
      </c>
      <c r="J718">
        <v>83</v>
      </c>
      <c r="K718">
        <v>8.73</v>
      </c>
      <c r="L718">
        <v>162</v>
      </c>
      <c r="M718">
        <v>17</v>
      </c>
      <c r="N718" s="58">
        <v>185.99</v>
      </c>
      <c r="O718" s="58">
        <v>149.864</v>
      </c>
      <c r="P718" s="58">
        <v>21.3047</v>
      </c>
      <c r="Q718" s="58">
        <v>17.166552119129399</v>
      </c>
      <c r="R718" s="58">
        <v>10.940588235294101</v>
      </c>
      <c r="S718" s="58">
        <v>1.14808641975309</v>
      </c>
      <c r="T718" t="s">
        <v>176</v>
      </c>
      <c r="U718" s="11">
        <v>46.348399999999998</v>
      </c>
      <c r="V718"/>
      <c r="W718"/>
    </row>
    <row r="719" spans="1:23" x14ac:dyDescent="0.35">
      <c r="A719" s="40">
        <v>44806</v>
      </c>
      <c r="B719">
        <v>2022</v>
      </c>
      <c r="C719" t="s">
        <v>305</v>
      </c>
      <c r="D719">
        <v>10</v>
      </c>
      <c r="E719">
        <v>36</v>
      </c>
      <c r="F719" t="s">
        <v>50</v>
      </c>
      <c r="G719" s="106">
        <v>0.47569444444444442</v>
      </c>
      <c r="H719" t="s">
        <v>80</v>
      </c>
      <c r="I719" t="s">
        <v>230</v>
      </c>
      <c r="J719">
        <v>74</v>
      </c>
      <c r="K719">
        <v>5</v>
      </c>
      <c r="L719">
        <v>95.7</v>
      </c>
      <c r="M719">
        <v>11</v>
      </c>
      <c r="N719" s="58">
        <v>136.03</v>
      </c>
      <c r="O719" s="58">
        <v>114.6889</v>
      </c>
      <c r="P719" s="58">
        <v>27.206</v>
      </c>
      <c r="Q719" s="58">
        <v>22.93778</v>
      </c>
      <c r="R719" s="58">
        <v>12.3663636363636</v>
      </c>
      <c r="S719" s="58">
        <v>1.4214211076279999</v>
      </c>
      <c r="T719" t="s">
        <v>176</v>
      </c>
      <c r="U719" s="11">
        <v>44.2819</v>
      </c>
      <c r="V719"/>
      <c r="W719"/>
    </row>
    <row r="720" spans="1:23" x14ac:dyDescent="0.35">
      <c r="A720" s="40">
        <v>44805</v>
      </c>
      <c r="B720">
        <v>2022</v>
      </c>
      <c r="C720" t="s">
        <v>305</v>
      </c>
      <c r="D720">
        <v>10</v>
      </c>
      <c r="E720">
        <v>36</v>
      </c>
      <c r="F720" t="s">
        <v>49</v>
      </c>
      <c r="G720" s="106">
        <v>0.73611111111111116</v>
      </c>
      <c r="H720" t="s">
        <v>82</v>
      </c>
      <c r="I720" t="s">
        <v>230</v>
      </c>
      <c r="J720">
        <v>71.3</v>
      </c>
      <c r="K720">
        <v>5</v>
      </c>
      <c r="L720">
        <v>78</v>
      </c>
      <c r="M720">
        <v>11</v>
      </c>
      <c r="N720" s="58">
        <v>78.5</v>
      </c>
      <c r="O720" s="58">
        <v>61.106000000000002</v>
      </c>
      <c r="P720" s="58">
        <v>15.7</v>
      </c>
      <c r="Q720" s="58">
        <v>12.2212</v>
      </c>
      <c r="R720" s="58">
        <v>7.1363636363636402</v>
      </c>
      <c r="S720" s="58">
        <v>1.0064102564102599</v>
      </c>
      <c r="T720" t="s">
        <v>176</v>
      </c>
      <c r="U720" s="11">
        <v>42.770400000000002</v>
      </c>
      <c r="V720"/>
      <c r="W720"/>
    </row>
    <row r="721" spans="1:23" x14ac:dyDescent="0.35">
      <c r="A721" s="40">
        <v>44804</v>
      </c>
      <c r="B721">
        <v>2022</v>
      </c>
      <c r="C721" t="s">
        <v>305</v>
      </c>
      <c r="D721">
        <v>10</v>
      </c>
      <c r="E721">
        <v>36</v>
      </c>
      <c r="F721" t="s">
        <v>48</v>
      </c>
      <c r="G721" s="106">
        <v>0.72569444444444442</v>
      </c>
      <c r="H721" t="s">
        <v>85</v>
      </c>
      <c r="I721" t="s">
        <v>236</v>
      </c>
      <c r="J721">
        <v>71</v>
      </c>
      <c r="K721">
        <v>4.0999999999999996</v>
      </c>
      <c r="L721">
        <v>115.1</v>
      </c>
      <c r="M721">
        <v>10</v>
      </c>
      <c r="N721" s="58">
        <v>125.49</v>
      </c>
      <c r="O721" s="58">
        <v>99.822699999999998</v>
      </c>
      <c r="P721" s="58">
        <v>30.607299999999999</v>
      </c>
      <c r="Q721" s="58">
        <v>24.347000000000001</v>
      </c>
      <c r="R721" s="58">
        <v>12.548999999999999</v>
      </c>
      <c r="S721" s="58">
        <v>1.0902693310165099</v>
      </c>
      <c r="T721" t="s">
        <v>176</v>
      </c>
      <c r="U721" s="11">
        <v>42.356200000000001</v>
      </c>
      <c r="V721"/>
      <c r="W721"/>
    </row>
    <row r="722" spans="1:23" x14ac:dyDescent="0.35">
      <c r="A722" s="40">
        <v>44803</v>
      </c>
      <c r="B722">
        <v>2022</v>
      </c>
      <c r="C722" t="s">
        <v>305</v>
      </c>
      <c r="D722">
        <v>10</v>
      </c>
      <c r="E722">
        <v>36</v>
      </c>
      <c r="F722" t="s">
        <v>47</v>
      </c>
      <c r="G722" s="106">
        <v>0.72222222222222221</v>
      </c>
      <c r="H722" t="s">
        <v>85</v>
      </c>
      <c r="I722" t="s">
        <v>236</v>
      </c>
      <c r="J722">
        <v>79.8</v>
      </c>
      <c r="K722">
        <v>6.1</v>
      </c>
      <c r="L722">
        <v>100.8</v>
      </c>
      <c r="M722">
        <v>12</v>
      </c>
      <c r="N722" s="58">
        <v>118.28</v>
      </c>
      <c r="O722" s="58">
        <v>95.801599999999993</v>
      </c>
      <c r="P722" s="58">
        <v>19.3902</v>
      </c>
      <c r="Q722" s="58">
        <v>15.7051803278689</v>
      </c>
      <c r="R722" s="58">
        <v>9.8566666666666691</v>
      </c>
      <c r="S722" s="58">
        <v>1.1734126984127</v>
      </c>
      <c r="T722" t="s">
        <v>176</v>
      </c>
      <c r="U722" s="11">
        <v>41.977400000000003</v>
      </c>
      <c r="V722"/>
      <c r="W722"/>
    </row>
    <row r="723" spans="1:23" x14ac:dyDescent="0.35">
      <c r="A723" s="40">
        <v>44802</v>
      </c>
      <c r="B723">
        <v>2022</v>
      </c>
      <c r="C723" t="s">
        <v>305</v>
      </c>
      <c r="D723">
        <v>10</v>
      </c>
      <c r="E723">
        <v>36</v>
      </c>
      <c r="F723" t="s">
        <v>46</v>
      </c>
      <c r="G723" s="106">
        <v>0.72222222222222221</v>
      </c>
      <c r="H723" t="s">
        <v>80</v>
      </c>
      <c r="I723" t="s">
        <v>230</v>
      </c>
      <c r="J723">
        <v>91.7</v>
      </c>
      <c r="K723">
        <v>6.7</v>
      </c>
      <c r="L723">
        <v>101.69999999999999</v>
      </c>
      <c r="M723">
        <v>7</v>
      </c>
      <c r="N723" s="58">
        <v>79.790000000000006</v>
      </c>
      <c r="O723" s="58">
        <v>57.110900000000001</v>
      </c>
      <c r="P723" s="58">
        <v>11.909000000000001</v>
      </c>
      <c r="Q723" s="58">
        <v>8.5240149253731392</v>
      </c>
      <c r="R723" s="58">
        <v>11.398571428571399</v>
      </c>
      <c r="S723" s="58">
        <v>0.78456243854473995</v>
      </c>
      <c r="T723" t="s">
        <v>176</v>
      </c>
      <c r="U723" s="11">
        <v>40.663200000000003</v>
      </c>
      <c r="V723"/>
      <c r="W723"/>
    </row>
    <row r="724" spans="1:23" x14ac:dyDescent="0.35">
      <c r="A724" s="40">
        <v>44800</v>
      </c>
      <c r="B724">
        <v>2022</v>
      </c>
      <c r="C724" t="s">
        <v>305</v>
      </c>
      <c r="D724">
        <v>9</v>
      </c>
      <c r="E724">
        <v>35</v>
      </c>
      <c r="F724" t="s">
        <v>51</v>
      </c>
      <c r="G724" s="106">
        <v>0.74652777777777779</v>
      </c>
      <c r="H724" t="s">
        <v>80</v>
      </c>
      <c r="I724" t="s">
        <v>236</v>
      </c>
      <c r="J724">
        <v>76.900000000000006</v>
      </c>
      <c r="K724">
        <v>6.6999999999999993</v>
      </c>
      <c r="L724">
        <v>144.77999999999997</v>
      </c>
      <c r="M724">
        <v>9</v>
      </c>
      <c r="N724" s="58">
        <v>122.1</v>
      </c>
      <c r="O724" s="58">
        <v>89.814059999999998</v>
      </c>
      <c r="P724" s="58">
        <v>18.2239</v>
      </c>
      <c r="Q724" s="58">
        <v>13.405083582089601</v>
      </c>
      <c r="R724" s="58">
        <v>13.5666666666667</v>
      </c>
      <c r="S724" s="58">
        <v>0.84334852880232103</v>
      </c>
      <c r="T724" t="s">
        <v>176</v>
      </c>
      <c r="U724" s="11">
        <v>39.776699999999998</v>
      </c>
      <c r="V724"/>
      <c r="W724"/>
    </row>
    <row r="725" spans="1:23" x14ac:dyDescent="0.35">
      <c r="A725" s="40">
        <v>44795</v>
      </c>
      <c r="B725">
        <v>2022</v>
      </c>
      <c r="C725" t="s">
        <v>305</v>
      </c>
      <c r="D725">
        <v>9</v>
      </c>
      <c r="E725">
        <v>35</v>
      </c>
      <c r="F725" t="s">
        <v>46</v>
      </c>
      <c r="G725" s="106">
        <v>0.73958333333333337</v>
      </c>
      <c r="H725" t="s">
        <v>85</v>
      </c>
      <c r="I725" t="s">
        <v>236</v>
      </c>
      <c r="J725">
        <v>77.900000000000006</v>
      </c>
      <c r="K725">
        <v>5.0999999999999996</v>
      </c>
      <c r="L725">
        <v>124.19999999999999</v>
      </c>
      <c r="M725">
        <v>9</v>
      </c>
      <c r="N725" s="58">
        <v>100.72</v>
      </c>
      <c r="O725" s="58">
        <v>73.023399999999995</v>
      </c>
      <c r="P725" s="58">
        <v>19.748999999999999</v>
      </c>
      <c r="Q725" s="58">
        <v>14.318313725490199</v>
      </c>
      <c r="R725" s="58">
        <v>11.1911111111111</v>
      </c>
      <c r="S725" s="58">
        <v>0.81095008051529804</v>
      </c>
      <c r="T725" t="s">
        <v>176</v>
      </c>
      <c r="U725" s="11">
        <v>38.42</v>
      </c>
      <c r="V725"/>
      <c r="W725"/>
    </row>
    <row r="726" spans="1:23" x14ac:dyDescent="0.35">
      <c r="A726" s="40">
        <v>44793</v>
      </c>
      <c r="B726">
        <v>2022</v>
      </c>
      <c r="C726" t="s">
        <v>305</v>
      </c>
      <c r="D726">
        <v>8</v>
      </c>
      <c r="E726">
        <v>34</v>
      </c>
      <c r="F726" t="s">
        <v>51</v>
      </c>
      <c r="G726" s="106">
        <v>0.58333333333333337</v>
      </c>
      <c r="H726" t="s">
        <v>80</v>
      </c>
      <c r="I726" t="s">
        <v>230</v>
      </c>
      <c r="J726">
        <v>85.9</v>
      </c>
      <c r="K726">
        <v>6.6999999999999993</v>
      </c>
      <c r="L726">
        <v>139</v>
      </c>
      <c r="M726">
        <v>13</v>
      </c>
      <c r="N726" s="58">
        <v>127.27</v>
      </c>
      <c r="O726" s="58">
        <v>96.272999999999996</v>
      </c>
      <c r="P726" s="58">
        <v>18.9955</v>
      </c>
      <c r="Q726" s="58">
        <v>14.3691044776119</v>
      </c>
      <c r="R726" s="58">
        <v>9.7899999999999991</v>
      </c>
      <c r="S726" s="58">
        <v>0.91561151079136704</v>
      </c>
      <c r="T726" t="s">
        <v>176</v>
      </c>
      <c r="U726" s="11">
        <v>38.516399999999997</v>
      </c>
      <c r="V726"/>
      <c r="W726"/>
    </row>
    <row r="727" spans="1:23" x14ac:dyDescent="0.35">
      <c r="A727" s="40">
        <v>44791</v>
      </c>
      <c r="B727">
        <v>2022</v>
      </c>
      <c r="C727" t="s">
        <v>305</v>
      </c>
      <c r="D727">
        <v>8</v>
      </c>
      <c r="E727">
        <v>34</v>
      </c>
      <c r="F727" t="s">
        <v>49</v>
      </c>
      <c r="G727" s="106">
        <v>0.73263888888888884</v>
      </c>
      <c r="H727" t="s">
        <v>85</v>
      </c>
      <c r="I727" t="s">
        <v>236</v>
      </c>
      <c r="J727">
        <v>83.3</v>
      </c>
      <c r="K727">
        <v>4.8</v>
      </c>
      <c r="L727">
        <v>108.1</v>
      </c>
      <c r="M727">
        <v>8</v>
      </c>
      <c r="N727" s="58">
        <v>83.82</v>
      </c>
      <c r="O727" s="58">
        <v>59.713700000000003</v>
      </c>
      <c r="P727" s="58">
        <v>17.462499999999999</v>
      </c>
      <c r="Q727" s="58">
        <v>12.440354166666699</v>
      </c>
      <c r="R727" s="58">
        <v>10.477499999999999</v>
      </c>
      <c r="S727" s="58">
        <v>0.77539315448658597</v>
      </c>
      <c r="T727" t="s">
        <v>176</v>
      </c>
      <c r="U727" s="11">
        <v>37.1023</v>
      </c>
      <c r="V727"/>
      <c r="W727"/>
    </row>
    <row r="728" spans="1:23" x14ac:dyDescent="0.35">
      <c r="A728" s="40">
        <v>44790</v>
      </c>
      <c r="B728">
        <v>2022</v>
      </c>
      <c r="C728" t="s">
        <v>305</v>
      </c>
      <c r="D728">
        <v>8</v>
      </c>
      <c r="E728">
        <v>34</v>
      </c>
      <c r="F728" t="s">
        <v>48</v>
      </c>
      <c r="G728" s="106">
        <v>0.75</v>
      </c>
      <c r="H728" t="s">
        <v>85</v>
      </c>
      <c r="I728" t="s">
        <v>236</v>
      </c>
      <c r="J728">
        <v>69</v>
      </c>
      <c r="K728">
        <v>4.5999999999999996</v>
      </c>
      <c r="L728">
        <v>125</v>
      </c>
      <c r="M728">
        <v>10</v>
      </c>
      <c r="N728" s="58">
        <v>130.63</v>
      </c>
      <c r="O728" s="58">
        <v>102.755</v>
      </c>
      <c r="P728" s="58">
        <v>28.3978</v>
      </c>
      <c r="Q728" s="58">
        <v>22.3380434782609</v>
      </c>
      <c r="R728" s="58">
        <v>13.063000000000001</v>
      </c>
      <c r="S728" s="58">
        <v>1.04504</v>
      </c>
      <c r="T728" t="s">
        <v>176</v>
      </c>
      <c r="U728" s="11">
        <v>36.429299999999998</v>
      </c>
      <c r="V728"/>
      <c r="W728"/>
    </row>
    <row r="729" spans="1:23" x14ac:dyDescent="0.35">
      <c r="A729" s="40">
        <v>44789</v>
      </c>
      <c r="B729">
        <v>2022</v>
      </c>
      <c r="C729" t="s">
        <v>305</v>
      </c>
      <c r="D729">
        <v>8</v>
      </c>
      <c r="E729">
        <v>34</v>
      </c>
      <c r="F729" t="s">
        <v>47</v>
      </c>
      <c r="G729" s="106">
        <v>0.75</v>
      </c>
      <c r="H729" t="s">
        <v>80</v>
      </c>
      <c r="I729" t="s">
        <v>236</v>
      </c>
      <c r="J729">
        <v>68</v>
      </c>
      <c r="K729">
        <v>4.7</v>
      </c>
      <c r="L729">
        <v>114.9</v>
      </c>
      <c r="M729">
        <v>8</v>
      </c>
      <c r="N729" s="58">
        <v>86.72</v>
      </c>
      <c r="O729" s="58">
        <v>61.097299999999997</v>
      </c>
      <c r="P729" s="58">
        <v>18.4511</v>
      </c>
      <c r="Q729" s="58">
        <v>12.9994255319149</v>
      </c>
      <c r="R729" s="58">
        <v>10.84</v>
      </c>
      <c r="S729" s="58">
        <v>0.75474325500435202</v>
      </c>
      <c r="T729" t="s">
        <v>176</v>
      </c>
      <c r="U729" s="11">
        <v>35.649299999999997</v>
      </c>
      <c r="V729"/>
      <c r="W729"/>
    </row>
    <row r="730" spans="1:23" x14ac:dyDescent="0.35">
      <c r="A730" s="40">
        <v>44783</v>
      </c>
      <c r="B730">
        <v>2022</v>
      </c>
      <c r="C730" t="s">
        <v>305</v>
      </c>
      <c r="D730">
        <v>7</v>
      </c>
      <c r="E730">
        <v>33</v>
      </c>
      <c r="F730" t="s">
        <v>48</v>
      </c>
      <c r="G730" s="106">
        <v>0.78125</v>
      </c>
      <c r="H730" t="s">
        <v>82</v>
      </c>
      <c r="I730" t="s">
        <v>236</v>
      </c>
      <c r="J730">
        <v>74.400000000000006</v>
      </c>
      <c r="K730">
        <v>4.5</v>
      </c>
      <c r="L730">
        <v>73</v>
      </c>
      <c r="M730">
        <v>12</v>
      </c>
      <c r="N730" s="58">
        <v>100</v>
      </c>
      <c r="O730" s="58">
        <v>83.721000000000004</v>
      </c>
      <c r="P730" s="58">
        <v>22.222200000000001</v>
      </c>
      <c r="Q730" s="58">
        <v>18.604666666666699</v>
      </c>
      <c r="R730" s="58">
        <v>8.3333333333333393</v>
      </c>
      <c r="S730" s="58">
        <v>1.3698630136986301</v>
      </c>
      <c r="T730" t="s">
        <v>176</v>
      </c>
      <c r="U730" s="11">
        <v>36.070300000000003</v>
      </c>
      <c r="V730"/>
      <c r="W730"/>
    </row>
    <row r="731" spans="1:23" x14ac:dyDescent="0.35">
      <c r="A731" s="40">
        <v>44782</v>
      </c>
      <c r="B731">
        <v>2022</v>
      </c>
      <c r="C731" t="s">
        <v>305</v>
      </c>
      <c r="D731">
        <v>7</v>
      </c>
      <c r="E731">
        <v>33</v>
      </c>
      <c r="F731" t="s">
        <v>47</v>
      </c>
      <c r="G731" s="106">
        <v>0.72569444444444442</v>
      </c>
      <c r="H731" t="s">
        <v>85</v>
      </c>
      <c r="I731" t="s">
        <v>236</v>
      </c>
      <c r="J731">
        <v>70.7</v>
      </c>
      <c r="K731">
        <v>5.6999999999999993</v>
      </c>
      <c r="L731">
        <v>77.7</v>
      </c>
      <c r="M731">
        <v>12</v>
      </c>
      <c r="N731" s="58">
        <v>114.57</v>
      </c>
      <c r="O731" s="58">
        <v>97.242900000000006</v>
      </c>
      <c r="P731" s="58">
        <v>20.100000000000001</v>
      </c>
      <c r="Q731" s="58">
        <v>17.0601578947368</v>
      </c>
      <c r="R731" s="58">
        <v>9.5474999999999994</v>
      </c>
      <c r="S731" s="58">
        <v>1.4745173745173701</v>
      </c>
      <c r="T731" t="s">
        <v>176</v>
      </c>
      <c r="U731" s="11">
        <v>35.408099999999997</v>
      </c>
      <c r="V731"/>
      <c r="W731"/>
    </row>
    <row r="732" spans="1:23" x14ac:dyDescent="0.35">
      <c r="A732" s="40">
        <v>44781</v>
      </c>
      <c r="B732">
        <v>2022</v>
      </c>
      <c r="C732" t="s">
        <v>305</v>
      </c>
      <c r="D732">
        <v>7</v>
      </c>
      <c r="E732">
        <v>33</v>
      </c>
      <c r="F732" t="s">
        <v>46</v>
      </c>
      <c r="G732" s="106">
        <v>0.73958333333333337</v>
      </c>
      <c r="H732" t="s">
        <v>82</v>
      </c>
      <c r="I732" t="s">
        <v>236</v>
      </c>
      <c r="J732">
        <v>73.2</v>
      </c>
      <c r="K732">
        <v>5.8</v>
      </c>
      <c r="L732">
        <v>81.099999999999994</v>
      </c>
      <c r="M732">
        <v>10</v>
      </c>
      <c r="N732" s="58">
        <v>56.58</v>
      </c>
      <c r="O732" s="58">
        <v>38.494700000000002</v>
      </c>
      <c r="P732" s="58">
        <v>9.7552000000000003</v>
      </c>
      <c r="Q732" s="58">
        <v>6.6370172413793096</v>
      </c>
      <c r="R732" s="58">
        <v>5.6580000000000004</v>
      </c>
      <c r="S732" s="58">
        <v>0.69765721331689301</v>
      </c>
      <c r="T732" t="s">
        <v>176</v>
      </c>
      <c r="U732" s="11">
        <v>34.85</v>
      </c>
      <c r="V732"/>
      <c r="W732"/>
    </row>
    <row r="733" spans="1:23" x14ac:dyDescent="0.35">
      <c r="A733" s="40">
        <v>44763</v>
      </c>
      <c r="B733">
        <v>2022</v>
      </c>
      <c r="C733" t="s">
        <v>305</v>
      </c>
      <c r="D733">
        <v>4</v>
      </c>
      <c r="E733">
        <v>30</v>
      </c>
      <c r="F733" t="s">
        <v>49</v>
      </c>
      <c r="G733" s="106">
        <v>0.72222222222222221</v>
      </c>
      <c r="H733" t="s">
        <v>80</v>
      </c>
      <c r="I733" t="s">
        <v>236</v>
      </c>
      <c r="J733">
        <v>89.9</v>
      </c>
      <c r="K733">
        <v>5.67</v>
      </c>
      <c r="L733">
        <v>125</v>
      </c>
      <c r="M733">
        <v>12</v>
      </c>
      <c r="N733" s="58">
        <v>114.17</v>
      </c>
      <c r="O733" s="58">
        <v>86.295000000000002</v>
      </c>
      <c r="P733" s="58">
        <v>20.1358</v>
      </c>
      <c r="Q733" s="58">
        <v>15.2195767195767</v>
      </c>
      <c r="R733" s="58">
        <v>9.5141666666666609</v>
      </c>
      <c r="S733" s="58">
        <v>0.91335999999999995</v>
      </c>
      <c r="T733" t="s">
        <v>176</v>
      </c>
      <c r="U733" s="11">
        <v>37.6736</v>
      </c>
      <c r="V733"/>
      <c r="W733"/>
    </row>
    <row r="734" spans="1:23" x14ac:dyDescent="0.35">
      <c r="A734" s="40">
        <v>44762</v>
      </c>
      <c r="B734">
        <v>2022</v>
      </c>
      <c r="C734" t="s">
        <v>305</v>
      </c>
      <c r="D734">
        <v>4</v>
      </c>
      <c r="E734">
        <v>30</v>
      </c>
      <c r="F734" t="s">
        <v>48</v>
      </c>
      <c r="G734" s="106">
        <v>0.73611111111111116</v>
      </c>
      <c r="H734" t="s">
        <v>85</v>
      </c>
      <c r="I734" t="s">
        <v>236</v>
      </c>
      <c r="J734">
        <v>90.7</v>
      </c>
      <c r="K734">
        <v>4.5999999999999996</v>
      </c>
      <c r="L734">
        <v>113.69999999999999</v>
      </c>
      <c r="M734">
        <v>12</v>
      </c>
      <c r="N734" s="58">
        <v>136.71</v>
      </c>
      <c r="O734" s="58">
        <v>111.3549</v>
      </c>
      <c r="P734" s="58">
        <v>29.7196</v>
      </c>
      <c r="Q734" s="58">
        <v>24.207586956521698</v>
      </c>
      <c r="R734" s="58">
        <v>11.3925</v>
      </c>
      <c r="S734" s="58">
        <v>1.2023746701847</v>
      </c>
      <c r="T734" t="s">
        <v>176</v>
      </c>
      <c r="U734" s="11">
        <v>38.579799999999999</v>
      </c>
      <c r="V734"/>
      <c r="W734"/>
    </row>
    <row r="735" spans="1:23" x14ac:dyDescent="0.35">
      <c r="A735" s="40">
        <v>44758</v>
      </c>
      <c r="B735">
        <v>2022</v>
      </c>
      <c r="C735" t="s">
        <v>305</v>
      </c>
      <c r="D735">
        <v>3</v>
      </c>
      <c r="E735">
        <v>29</v>
      </c>
      <c r="F735" t="s">
        <v>51</v>
      </c>
      <c r="G735" s="106">
        <v>0.79513888888888884</v>
      </c>
      <c r="H735" t="s">
        <v>85</v>
      </c>
      <c r="I735" t="s">
        <v>236</v>
      </c>
      <c r="J735">
        <v>85.2</v>
      </c>
      <c r="K735">
        <v>6.2</v>
      </c>
      <c r="L735">
        <v>169.5</v>
      </c>
      <c r="M735">
        <v>14</v>
      </c>
      <c r="N735" s="58">
        <v>129.97</v>
      </c>
      <c r="O735" s="58">
        <v>92.171499999999995</v>
      </c>
      <c r="P735" s="58">
        <v>20.962900000000001</v>
      </c>
      <c r="Q735" s="58">
        <v>14.866370967741901</v>
      </c>
      <c r="R735" s="58">
        <v>9.2835714285714293</v>
      </c>
      <c r="S735" s="58">
        <v>0.76678466076696195</v>
      </c>
      <c r="T735" t="s">
        <v>176</v>
      </c>
      <c r="U735" s="11">
        <v>37.0608</v>
      </c>
      <c r="V735"/>
      <c r="W735"/>
    </row>
    <row r="736" spans="1:23" x14ac:dyDescent="0.35">
      <c r="A736" s="40">
        <v>44757</v>
      </c>
      <c r="B736">
        <v>2022</v>
      </c>
      <c r="C736" t="s">
        <v>305</v>
      </c>
      <c r="D736">
        <v>3</v>
      </c>
      <c r="E736">
        <v>29</v>
      </c>
      <c r="F736" t="s">
        <v>50</v>
      </c>
      <c r="G736" s="106">
        <v>0.73055555555555551</v>
      </c>
      <c r="H736" t="s">
        <v>80</v>
      </c>
      <c r="I736" t="s">
        <v>230</v>
      </c>
      <c r="J736">
        <v>81.8</v>
      </c>
      <c r="K736">
        <v>5.5</v>
      </c>
      <c r="L736">
        <v>144.69999999999999</v>
      </c>
      <c r="M736">
        <v>11</v>
      </c>
      <c r="N736" s="58">
        <v>100.12</v>
      </c>
      <c r="O736" s="58">
        <v>67.851900000000001</v>
      </c>
      <c r="P736" s="58">
        <v>18.203600000000002</v>
      </c>
      <c r="Q736" s="58">
        <v>12.3367090909091</v>
      </c>
      <c r="R736" s="58">
        <v>9.1018181818181798</v>
      </c>
      <c r="S736" s="58">
        <v>0.691914305459572</v>
      </c>
      <c r="T736" t="s">
        <v>176</v>
      </c>
      <c r="U736" s="11">
        <v>35.616700000000002</v>
      </c>
      <c r="V736"/>
      <c r="W736"/>
    </row>
    <row r="737" spans="1:23" x14ac:dyDescent="0.35">
      <c r="A737" s="40">
        <v>44755</v>
      </c>
      <c r="B737">
        <v>2022</v>
      </c>
      <c r="C737" t="s">
        <v>305</v>
      </c>
      <c r="D737">
        <v>3</v>
      </c>
      <c r="E737">
        <v>29</v>
      </c>
      <c r="F737" t="s">
        <v>48</v>
      </c>
      <c r="G737" s="106">
        <v>0.75347222222222221</v>
      </c>
      <c r="H737" t="s">
        <v>85</v>
      </c>
      <c r="I737" t="s">
        <v>236</v>
      </c>
      <c r="J737">
        <v>81.7</v>
      </c>
      <c r="K737">
        <v>4.7</v>
      </c>
      <c r="L737">
        <v>107.30000000000001</v>
      </c>
      <c r="M737">
        <v>8</v>
      </c>
      <c r="N737" s="58">
        <v>129.21</v>
      </c>
      <c r="O737" s="58">
        <v>105.2821</v>
      </c>
      <c r="P737" s="58">
        <v>27.491499999999998</v>
      </c>
      <c r="Q737" s="58">
        <v>22.400446808510601</v>
      </c>
      <c r="R737" s="58">
        <v>16.151250000000001</v>
      </c>
      <c r="S737" s="58">
        <v>1.2041938490214401</v>
      </c>
      <c r="T737" t="s">
        <v>176</v>
      </c>
      <c r="U737" s="11">
        <v>34.504199999999997</v>
      </c>
      <c r="V737"/>
      <c r="W737"/>
    </row>
    <row r="738" spans="1:23" x14ac:dyDescent="0.35">
      <c r="A738" s="40">
        <v>44753</v>
      </c>
      <c r="B738">
        <v>2022</v>
      </c>
      <c r="C738" t="s">
        <v>305</v>
      </c>
      <c r="D738">
        <v>3</v>
      </c>
      <c r="E738">
        <v>29</v>
      </c>
      <c r="F738" t="s">
        <v>46</v>
      </c>
      <c r="G738" s="106">
        <v>0.73958333333333337</v>
      </c>
      <c r="H738" t="s">
        <v>85</v>
      </c>
      <c r="I738" t="s">
        <v>236</v>
      </c>
      <c r="J738">
        <v>84</v>
      </c>
      <c r="K738">
        <v>3.6</v>
      </c>
      <c r="L738">
        <v>71.400000000000006</v>
      </c>
      <c r="M738">
        <v>10</v>
      </c>
      <c r="N738" s="58">
        <v>122.56</v>
      </c>
      <c r="O738" s="58">
        <v>106.6378</v>
      </c>
      <c r="P738" s="58">
        <v>34.044400000000003</v>
      </c>
      <c r="Q738" s="58">
        <v>29.6216111111111</v>
      </c>
      <c r="R738" s="58">
        <v>12.256</v>
      </c>
      <c r="S738" s="58">
        <v>1.71652661064426</v>
      </c>
      <c r="T738" t="s">
        <v>176</v>
      </c>
      <c r="U738" s="11">
        <v>33.068600000000004</v>
      </c>
      <c r="V738"/>
      <c r="W738"/>
    </row>
    <row r="739" spans="1:23" x14ac:dyDescent="0.35">
      <c r="A739" s="40">
        <v>44750</v>
      </c>
      <c r="B739">
        <v>2022</v>
      </c>
      <c r="C739" t="s">
        <v>305</v>
      </c>
      <c r="D739">
        <v>2</v>
      </c>
      <c r="E739">
        <v>28</v>
      </c>
      <c r="F739" t="s">
        <v>50</v>
      </c>
      <c r="G739" s="106">
        <v>0.78819444444444442</v>
      </c>
      <c r="H739" t="s">
        <v>85</v>
      </c>
      <c r="I739" t="s">
        <v>230</v>
      </c>
      <c r="J739">
        <v>77.5</v>
      </c>
      <c r="K739">
        <v>8.75</v>
      </c>
      <c r="L739">
        <v>169</v>
      </c>
      <c r="M739">
        <v>18</v>
      </c>
      <c r="N739" s="58">
        <v>145.57</v>
      </c>
      <c r="O739" s="58">
        <v>107.883</v>
      </c>
      <c r="P739" s="58">
        <v>16.636600000000001</v>
      </c>
      <c r="Q739" s="58">
        <v>12.329485714285701</v>
      </c>
      <c r="R739" s="58">
        <v>8.0872222222222199</v>
      </c>
      <c r="S739" s="58">
        <v>0.86136094674556196</v>
      </c>
      <c r="T739" t="s">
        <v>176</v>
      </c>
      <c r="U739" s="11">
        <v>31.706800000000001</v>
      </c>
      <c r="V739"/>
      <c r="W739"/>
    </row>
    <row r="740" spans="1:23" x14ac:dyDescent="0.35">
      <c r="A740" s="40">
        <v>44749</v>
      </c>
      <c r="B740">
        <v>2022</v>
      </c>
      <c r="C740" t="s">
        <v>305</v>
      </c>
      <c r="D740">
        <v>2</v>
      </c>
      <c r="E740">
        <v>28</v>
      </c>
      <c r="F740" t="s">
        <v>49</v>
      </c>
      <c r="G740" s="106">
        <v>0.75694444444444442</v>
      </c>
      <c r="H740" t="s">
        <v>85</v>
      </c>
      <c r="I740" t="s">
        <v>236</v>
      </c>
      <c r="J740">
        <v>81.599999999999994</v>
      </c>
      <c r="K740">
        <v>3.3</v>
      </c>
      <c r="L740">
        <v>76.800000000000011</v>
      </c>
      <c r="M740">
        <v>13</v>
      </c>
      <c r="N740" s="58">
        <v>91.2</v>
      </c>
      <c r="O740" s="58">
        <v>74.073599999999999</v>
      </c>
      <c r="P740" s="58">
        <v>27.636399999999998</v>
      </c>
      <c r="Q740" s="58">
        <v>22.4465454545455</v>
      </c>
      <c r="R740" s="58">
        <v>7.0153846153846198</v>
      </c>
      <c r="S740" s="58">
        <v>1.1875</v>
      </c>
      <c r="T740" t="s">
        <v>176</v>
      </c>
      <c r="U740" s="11">
        <v>30.870699999999999</v>
      </c>
      <c r="V740"/>
      <c r="W740"/>
    </row>
    <row r="741" spans="1:23" x14ac:dyDescent="0.35">
      <c r="A741" s="40">
        <v>44748</v>
      </c>
      <c r="B741">
        <v>2022</v>
      </c>
      <c r="C741" t="s">
        <v>305</v>
      </c>
      <c r="D741">
        <v>2</v>
      </c>
      <c r="E741">
        <v>28</v>
      </c>
      <c r="F741" t="s">
        <v>48</v>
      </c>
      <c r="G741" s="106">
        <v>0.75</v>
      </c>
      <c r="H741" t="s">
        <v>80</v>
      </c>
      <c r="I741" t="s">
        <v>249</v>
      </c>
      <c r="J741">
        <v>76.7</v>
      </c>
      <c r="K741">
        <v>3.3</v>
      </c>
      <c r="L741">
        <v>48.2</v>
      </c>
      <c r="M741">
        <v>6</v>
      </c>
      <c r="N741" s="58">
        <v>67.430000000000007</v>
      </c>
      <c r="O741" s="58">
        <v>56.681399999999996</v>
      </c>
      <c r="P741" s="58">
        <v>20.433299999999999</v>
      </c>
      <c r="Q741" s="58">
        <v>17.176181818181799</v>
      </c>
      <c r="R741" s="58">
        <v>11.2383333333333</v>
      </c>
      <c r="S741" s="58">
        <v>1.3989626556016601</v>
      </c>
      <c r="T741" t="s">
        <v>176</v>
      </c>
      <c r="U741" s="11">
        <v>29.857299999999999</v>
      </c>
      <c r="V741"/>
      <c r="W741"/>
    </row>
    <row r="742" spans="1:23" x14ac:dyDescent="0.35">
      <c r="A742" s="40">
        <v>44747</v>
      </c>
      <c r="B742">
        <v>2022</v>
      </c>
      <c r="C742" t="s">
        <v>305</v>
      </c>
      <c r="D742">
        <v>2</v>
      </c>
      <c r="E742">
        <v>28</v>
      </c>
      <c r="F742" t="s">
        <v>47</v>
      </c>
      <c r="G742" s="106">
        <v>0.73611111111111116</v>
      </c>
      <c r="H742" t="s">
        <v>82</v>
      </c>
      <c r="I742" t="s">
        <v>236</v>
      </c>
      <c r="J742">
        <v>76</v>
      </c>
      <c r="K742">
        <v>3.28</v>
      </c>
      <c r="L742">
        <v>46.1</v>
      </c>
      <c r="M742">
        <v>8</v>
      </c>
      <c r="N742" s="58">
        <v>60.43</v>
      </c>
      <c r="O742" s="58">
        <v>50.149700000000003</v>
      </c>
      <c r="P742" s="58">
        <v>18.4238</v>
      </c>
      <c r="Q742" s="58">
        <v>15.2895426829268</v>
      </c>
      <c r="R742" s="58">
        <v>7.55375</v>
      </c>
      <c r="S742" s="58">
        <v>1.3108459869848199</v>
      </c>
      <c r="T742" t="s">
        <v>176</v>
      </c>
      <c r="U742" s="11">
        <v>29.1081</v>
      </c>
      <c r="V742"/>
      <c r="W742"/>
    </row>
    <row r="743" spans="1:23" x14ac:dyDescent="0.35">
      <c r="A743" s="40">
        <v>44744</v>
      </c>
      <c r="B743">
        <v>2022</v>
      </c>
      <c r="C743" t="s">
        <v>305</v>
      </c>
      <c r="D743">
        <v>1</v>
      </c>
      <c r="E743">
        <v>27</v>
      </c>
      <c r="F743" t="s">
        <v>51</v>
      </c>
      <c r="G743" s="106">
        <v>0.67083333333333328</v>
      </c>
      <c r="H743" t="s">
        <v>82</v>
      </c>
      <c r="I743" t="s">
        <v>230</v>
      </c>
      <c r="J743">
        <v>80.3</v>
      </c>
      <c r="K743">
        <v>9.07</v>
      </c>
      <c r="L743">
        <v>166</v>
      </c>
      <c r="M743">
        <v>20</v>
      </c>
      <c r="N743" s="58">
        <v>187.79</v>
      </c>
      <c r="O743" s="58">
        <v>150.77199999999999</v>
      </c>
      <c r="P743" s="58">
        <v>20.704499999999999</v>
      </c>
      <c r="Q743" s="58">
        <v>16.623153252480702</v>
      </c>
      <c r="R743" s="58">
        <v>9.3895</v>
      </c>
      <c r="S743" s="58">
        <v>1.13126506024096</v>
      </c>
      <c r="T743" t="s">
        <v>176</v>
      </c>
      <c r="U743" s="11">
        <v>28.436699999999998</v>
      </c>
      <c r="V743"/>
      <c r="W743"/>
    </row>
    <row r="744" spans="1:23" x14ac:dyDescent="0.35">
      <c r="A744" s="40">
        <v>44743</v>
      </c>
      <c r="B744">
        <v>2022</v>
      </c>
      <c r="C744" t="s">
        <v>305</v>
      </c>
      <c r="D744">
        <v>1</v>
      </c>
      <c r="E744">
        <v>27</v>
      </c>
      <c r="F744" t="s">
        <v>50</v>
      </c>
      <c r="G744" s="106">
        <v>0.75</v>
      </c>
      <c r="H744" t="s">
        <v>82</v>
      </c>
      <c r="I744" t="s">
        <v>236</v>
      </c>
      <c r="J744">
        <v>83.9</v>
      </c>
      <c r="K744">
        <v>4.5</v>
      </c>
      <c r="L744">
        <v>143</v>
      </c>
      <c r="M744">
        <v>12</v>
      </c>
      <c r="N744" s="58">
        <v>110.86</v>
      </c>
      <c r="O744" s="58">
        <v>78.971000000000004</v>
      </c>
      <c r="P744" s="58">
        <v>24.6356</v>
      </c>
      <c r="Q744" s="58">
        <v>17.549111111111099</v>
      </c>
      <c r="R744" s="58">
        <v>9.2383333333333297</v>
      </c>
      <c r="S744" s="58">
        <v>0.775244755244755</v>
      </c>
      <c r="T744" t="s">
        <v>176</v>
      </c>
      <c r="U744" s="11">
        <v>26.350100000000001</v>
      </c>
      <c r="V744"/>
      <c r="W744"/>
    </row>
    <row r="745" spans="1:23" x14ac:dyDescent="0.35">
      <c r="A745" s="40">
        <v>44740</v>
      </c>
      <c r="B745">
        <v>2022</v>
      </c>
      <c r="C745" t="s">
        <v>305</v>
      </c>
      <c r="D745">
        <v>1</v>
      </c>
      <c r="E745">
        <v>27</v>
      </c>
      <c r="F745" t="s">
        <v>47</v>
      </c>
      <c r="G745" s="106">
        <v>0.72222222222222221</v>
      </c>
      <c r="H745" t="s">
        <v>85</v>
      </c>
      <c r="I745" t="s">
        <v>236</v>
      </c>
      <c r="J745">
        <v>78.3</v>
      </c>
      <c r="K745">
        <v>7.9</v>
      </c>
      <c r="L745">
        <v>92.2</v>
      </c>
      <c r="M745">
        <v>5</v>
      </c>
      <c r="N745" s="58">
        <v>60.87</v>
      </c>
      <c r="O745" s="58">
        <v>40.309399999999997</v>
      </c>
      <c r="P745" s="58">
        <v>7.7050999999999998</v>
      </c>
      <c r="Q745" s="58">
        <v>5.1024556962025303</v>
      </c>
      <c r="R745" s="58">
        <v>12.173999999999999</v>
      </c>
      <c r="S745" s="58">
        <v>0.66019522776572603</v>
      </c>
      <c r="T745" t="s">
        <v>176</v>
      </c>
      <c r="U745" s="11">
        <v>26.7441</v>
      </c>
      <c r="V745"/>
      <c r="W745"/>
    </row>
    <row r="746" spans="1:23" x14ac:dyDescent="0.35">
      <c r="A746" s="40">
        <v>44738</v>
      </c>
      <c r="B746">
        <v>2022</v>
      </c>
      <c r="C746" t="s">
        <v>287</v>
      </c>
      <c r="D746">
        <v>13</v>
      </c>
      <c r="E746">
        <v>26</v>
      </c>
      <c r="F746" t="s">
        <v>45</v>
      </c>
      <c r="G746" s="106">
        <v>0.59305555555555556</v>
      </c>
      <c r="H746" t="s">
        <v>82</v>
      </c>
      <c r="I746" t="s">
        <v>236</v>
      </c>
      <c r="J746">
        <v>76.5</v>
      </c>
      <c r="K746">
        <v>7.6</v>
      </c>
      <c r="L746">
        <v>142.5</v>
      </c>
      <c r="M746">
        <v>16</v>
      </c>
      <c r="N746" s="58">
        <v>123.58</v>
      </c>
      <c r="O746" s="58">
        <v>91.802499999999995</v>
      </c>
      <c r="P746" s="58">
        <v>16.2605</v>
      </c>
      <c r="Q746" s="58">
        <v>12.0792763157895</v>
      </c>
      <c r="R746" s="58">
        <v>7.7237499999999999</v>
      </c>
      <c r="S746" s="58">
        <v>0.86722807017543901</v>
      </c>
      <c r="T746" t="s">
        <v>176</v>
      </c>
      <c r="U746" s="11">
        <v>26.697099999999999</v>
      </c>
      <c r="V746"/>
      <c r="W746"/>
    </row>
    <row r="747" spans="1:23" x14ac:dyDescent="0.35">
      <c r="A747" s="40">
        <v>44737</v>
      </c>
      <c r="B747">
        <v>2022</v>
      </c>
      <c r="C747" t="s">
        <v>287</v>
      </c>
      <c r="D747">
        <v>13</v>
      </c>
      <c r="E747">
        <v>26</v>
      </c>
      <c r="F747" t="s">
        <v>51</v>
      </c>
      <c r="G747" s="106">
        <v>0.74305555555555558</v>
      </c>
      <c r="H747" t="s">
        <v>82</v>
      </c>
      <c r="I747" t="s">
        <v>230</v>
      </c>
      <c r="J747">
        <v>88.2</v>
      </c>
      <c r="K747">
        <v>6.1999999999999993</v>
      </c>
      <c r="L747">
        <v>134</v>
      </c>
      <c r="M747">
        <v>16</v>
      </c>
      <c r="N747" s="58">
        <v>118.68</v>
      </c>
      <c r="O747" s="58">
        <v>88.798000000000002</v>
      </c>
      <c r="P747" s="58">
        <v>19.1419</v>
      </c>
      <c r="Q747" s="58">
        <v>14.322258064516101</v>
      </c>
      <c r="R747" s="58">
        <v>7.4175000000000004</v>
      </c>
      <c r="S747" s="58">
        <v>0.88567164179104496</v>
      </c>
      <c r="T747" t="s">
        <v>176</v>
      </c>
      <c r="U747" s="11">
        <v>25.324000000000002</v>
      </c>
      <c r="V747"/>
      <c r="W747"/>
    </row>
    <row r="748" spans="1:23" x14ac:dyDescent="0.35">
      <c r="A748" s="40">
        <v>44736</v>
      </c>
      <c r="B748">
        <v>2022</v>
      </c>
      <c r="C748" t="s">
        <v>287</v>
      </c>
      <c r="D748">
        <v>13</v>
      </c>
      <c r="E748">
        <v>26</v>
      </c>
      <c r="F748" t="s">
        <v>50</v>
      </c>
      <c r="G748" s="106">
        <v>0.75694444444444442</v>
      </c>
      <c r="H748" t="s">
        <v>80</v>
      </c>
      <c r="I748" t="s">
        <v>230</v>
      </c>
      <c r="J748">
        <v>87.6</v>
      </c>
      <c r="K748">
        <v>3.5</v>
      </c>
      <c r="L748">
        <v>137.6</v>
      </c>
      <c r="M748">
        <v>9</v>
      </c>
      <c r="N748" s="58">
        <v>124.09</v>
      </c>
      <c r="O748" s="58">
        <v>93.405199999999994</v>
      </c>
      <c r="P748" s="58">
        <v>35.454300000000003</v>
      </c>
      <c r="Q748" s="58">
        <v>26.687200000000001</v>
      </c>
      <c r="R748" s="58">
        <v>13.7877777777778</v>
      </c>
      <c r="S748" s="58">
        <v>0.901816860465116</v>
      </c>
      <c r="T748" t="s">
        <v>176</v>
      </c>
      <c r="U748" s="11">
        <v>24.005299999999998</v>
      </c>
      <c r="V748"/>
      <c r="W748"/>
    </row>
    <row r="749" spans="1:23" x14ac:dyDescent="0.35">
      <c r="A749" s="40">
        <v>44734</v>
      </c>
      <c r="B749">
        <v>2022</v>
      </c>
      <c r="C749" t="s">
        <v>287</v>
      </c>
      <c r="D749">
        <v>13</v>
      </c>
      <c r="E749">
        <v>26</v>
      </c>
      <c r="F749" t="s">
        <v>48</v>
      </c>
      <c r="G749" s="106">
        <v>0.77916666666666667</v>
      </c>
      <c r="H749" t="s">
        <v>82</v>
      </c>
      <c r="I749" t="s">
        <v>236</v>
      </c>
      <c r="J749">
        <v>71.2</v>
      </c>
      <c r="K749">
        <v>3.53</v>
      </c>
      <c r="L749">
        <v>63</v>
      </c>
      <c r="M749">
        <v>5</v>
      </c>
      <c r="N749" s="58">
        <v>27.73</v>
      </c>
      <c r="O749" s="58">
        <v>13.680999999999999</v>
      </c>
      <c r="P749" s="58">
        <v>7.8555000000000001</v>
      </c>
      <c r="Q749" s="58">
        <v>3.8756373937677102</v>
      </c>
      <c r="R749" s="58">
        <v>5.5460000000000003</v>
      </c>
      <c r="S749" s="58">
        <v>0.44015873015873003</v>
      </c>
      <c r="T749" t="s">
        <v>176</v>
      </c>
      <c r="U749" s="11">
        <v>25.2103</v>
      </c>
      <c r="V749"/>
      <c r="W749"/>
    </row>
    <row r="750" spans="1:23" x14ac:dyDescent="0.35">
      <c r="A750" s="40">
        <v>44730</v>
      </c>
      <c r="B750">
        <v>2022</v>
      </c>
      <c r="C750" t="s">
        <v>287</v>
      </c>
      <c r="D750">
        <v>12</v>
      </c>
      <c r="E750">
        <v>25</v>
      </c>
      <c r="F750" t="s">
        <v>51</v>
      </c>
      <c r="G750" s="106">
        <v>0.71527777777777779</v>
      </c>
      <c r="H750" t="s">
        <v>82</v>
      </c>
      <c r="I750" t="s">
        <v>236</v>
      </c>
      <c r="J750">
        <v>54.9</v>
      </c>
      <c r="K750">
        <v>6.8</v>
      </c>
      <c r="L750">
        <v>128.30000000000001</v>
      </c>
      <c r="M750">
        <v>17</v>
      </c>
      <c r="N750" s="58">
        <v>162.41</v>
      </c>
      <c r="O750" s="58">
        <v>133.79910000000001</v>
      </c>
      <c r="P750" s="58">
        <v>23.883800000000001</v>
      </c>
      <c r="Q750" s="58">
        <v>19.6763382352941</v>
      </c>
      <c r="R750" s="58">
        <v>9.5535294117646998</v>
      </c>
      <c r="S750" s="58">
        <v>1.26586126266563</v>
      </c>
      <c r="T750" t="s">
        <v>176</v>
      </c>
      <c r="U750" s="11">
        <v>25.193899999999999</v>
      </c>
      <c r="V750"/>
      <c r="W750"/>
    </row>
    <row r="751" spans="1:23" x14ac:dyDescent="0.35">
      <c r="A751" s="40">
        <v>44728</v>
      </c>
      <c r="B751">
        <v>2022</v>
      </c>
      <c r="C751" t="s">
        <v>287</v>
      </c>
      <c r="D751">
        <v>12</v>
      </c>
      <c r="E751">
        <v>25</v>
      </c>
      <c r="F751" t="s">
        <v>49</v>
      </c>
      <c r="G751" s="106">
        <v>0.73611111111111116</v>
      </c>
      <c r="H751" t="s">
        <v>85</v>
      </c>
      <c r="I751" t="s">
        <v>236</v>
      </c>
      <c r="J751">
        <v>78.2</v>
      </c>
      <c r="K751">
        <v>6.8</v>
      </c>
      <c r="L751">
        <v>163.1</v>
      </c>
      <c r="M751">
        <v>10</v>
      </c>
      <c r="N751" s="58">
        <v>123.72</v>
      </c>
      <c r="O751" s="58">
        <v>87.348699999999994</v>
      </c>
      <c r="P751" s="58">
        <v>18.194099999999999</v>
      </c>
      <c r="Q751" s="58">
        <v>12.845397058823499</v>
      </c>
      <c r="R751" s="58">
        <v>12.372</v>
      </c>
      <c r="S751" s="58">
        <v>0.75855303494788495</v>
      </c>
      <c r="T751" t="s">
        <v>176</v>
      </c>
      <c r="U751" s="11">
        <v>27.090800000000002</v>
      </c>
      <c r="V751"/>
      <c r="W751"/>
    </row>
    <row r="752" spans="1:23" x14ac:dyDescent="0.35">
      <c r="A752" s="40">
        <v>44724</v>
      </c>
      <c r="B752">
        <v>2022</v>
      </c>
      <c r="C752" t="s">
        <v>287</v>
      </c>
      <c r="D752">
        <v>11</v>
      </c>
      <c r="E752">
        <v>24</v>
      </c>
      <c r="F752" t="s">
        <v>45</v>
      </c>
      <c r="G752" s="106">
        <v>0.69791666666666663</v>
      </c>
      <c r="H752" t="s">
        <v>85</v>
      </c>
      <c r="I752" t="s">
        <v>236</v>
      </c>
      <c r="J752">
        <v>76.3</v>
      </c>
      <c r="K752">
        <v>6.82</v>
      </c>
      <c r="L752">
        <v>182</v>
      </c>
      <c r="M752">
        <v>13</v>
      </c>
      <c r="N752" s="58">
        <v>144.63999999999999</v>
      </c>
      <c r="O752" s="58">
        <v>104.054</v>
      </c>
      <c r="P752" s="58">
        <v>21.208200000000001</v>
      </c>
      <c r="Q752" s="58">
        <v>15.257184750733099</v>
      </c>
      <c r="R752" s="58">
        <v>11.1261538461538</v>
      </c>
      <c r="S752" s="58">
        <v>0.79472527472527499</v>
      </c>
      <c r="T752" t="s">
        <v>176</v>
      </c>
      <c r="U752" s="11">
        <v>25.716100000000001</v>
      </c>
      <c r="V752"/>
      <c r="W752"/>
    </row>
    <row r="753" spans="1:23" x14ac:dyDescent="0.35">
      <c r="A753" s="40">
        <v>44722</v>
      </c>
      <c r="B753">
        <v>2022</v>
      </c>
      <c r="C753" t="s">
        <v>287</v>
      </c>
      <c r="D753">
        <v>11</v>
      </c>
      <c r="E753">
        <v>24</v>
      </c>
      <c r="F753" t="s">
        <v>50</v>
      </c>
      <c r="G753" s="106">
        <v>0.75347222222222221</v>
      </c>
      <c r="H753" t="s">
        <v>85</v>
      </c>
      <c r="I753" t="s">
        <v>230</v>
      </c>
      <c r="J753">
        <v>74</v>
      </c>
      <c r="K753">
        <v>9.1000000000000014</v>
      </c>
      <c r="L753">
        <v>166.4</v>
      </c>
      <c r="M753">
        <v>16</v>
      </c>
      <c r="N753" s="58">
        <v>154.5</v>
      </c>
      <c r="O753" s="58">
        <v>117.39279999999999</v>
      </c>
      <c r="P753" s="58">
        <v>16.978000000000002</v>
      </c>
      <c r="Q753" s="58">
        <v>12.900307692307701</v>
      </c>
      <c r="R753" s="58">
        <v>9.65625</v>
      </c>
      <c r="S753" s="58">
        <v>0.92848557692307698</v>
      </c>
      <c r="T753" t="s">
        <v>176</v>
      </c>
      <c r="U753" s="11">
        <v>25.094200000000001</v>
      </c>
      <c r="V753"/>
      <c r="W753"/>
    </row>
    <row r="754" spans="1:23" x14ac:dyDescent="0.35">
      <c r="A754" s="40">
        <v>44721</v>
      </c>
      <c r="B754">
        <v>2022</v>
      </c>
      <c r="C754" t="s">
        <v>287</v>
      </c>
      <c r="D754">
        <v>11</v>
      </c>
      <c r="E754">
        <v>24</v>
      </c>
      <c r="F754" t="s">
        <v>49</v>
      </c>
      <c r="G754" s="106">
        <v>0.70625000000000004</v>
      </c>
      <c r="H754" t="s">
        <v>80</v>
      </c>
      <c r="I754" t="s">
        <v>230</v>
      </c>
      <c r="J754">
        <v>73.5</v>
      </c>
      <c r="K754">
        <v>5.9</v>
      </c>
      <c r="L754">
        <v>101.4</v>
      </c>
      <c r="M754">
        <v>11</v>
      </c>
      <c r="N754" s="58">
        <v>88.63</v>
      </c>
      <c r="O754" s="58">
        <v>66.017799999999994</v>
      </c>
      <c r="P754" s="58">
        <v>15.022</v>
      </c>
      <c r="Q754" s="58">
        <v>11.1894576271186</v>
      </c>
      <c r="R754" s="58">
        <v>8.0572727272727303</v>
      </c>
      <c r="S754" s="58">
        <v>0.87406311637080902</v>
      </c>
      <c r="T754" t="s">
        <v>176</v>
      </c>
      <c r="U754" s="11">
        <v>24.990200000000002</v>
      </c>
      <c r="V754"/>
      <c r="W754"/>
    </row>
    <row r="755" spans="1:23" x14ac:dyDescent="0.35">
      <c r="A755" s="40">
        <v>44715</v>
      </c>
      <c r="B755">
        <v>2022</v>
      </c>
      <c r="C755" t="s">
        <v>287</v>
      </c>
      <c r="D755">
        <v>10</v>
      </c>
      <c r="E755">
        <v>23</v>
      </c>
      <c r="F755" t="s">
        <v>50</v>
      </c>
      <c r="G755" s="106">
        <v>0.73958333333333337</v>
      </c>
      <c r="H755" t="s">
        <v>85</v>
      </c>
      <c r="I755" t="s">
        <v>236</v>
      </c>
      <c r="J755">
        <v>62.7</v>
      </c>
      <c r="K755">
        <v>3.9</v>
      </c>
      <c r="L755">
        <v>81.48</v>
      </c>
      <c r="M755">
        <v>4</v>
      </c>
      <c r="N755" s="58">
        <v>41.22</v>
      </c>
      <c r="O755" s="58">
        <v>23.049959999999999</v>
      </c>
      <c r="P755" s="58">
        <v>10.5692</v>
      </c>
      <c r="Q755" s="58">
        <v>5.9102461538461499</v>
      </c>
      <c r="R755" s="58">
        <v>10.305</v>
      </c>
      <c r="S755" s="58">
        <v>0.50589101620029397</v>
      </c>
      <c r="T755" t="s">
        <v>176</v>
      </c>
      <c r="U755" s="11">
        <v>24.806999999999999</v>
      </c>
      <c r="V755"/>
      <c r="W755"/>
    </row>
    <row r="756" spans="1:23" x14ac:dyDescent="0.35">
      <c r="A756" s="40">
        <v>44714</v>
      </c>
      <c r="B756">
        <v>2022</v>
      </c>
      <c r="C756" t="s">
        <v>287</v>
      </c>
      <c r="D756">
        <v>10</v>
      </c>
      <c r="E756">
        <v>23</v>
      </c>
      <c r="F756" t="s">
        <v>49</v>
      </c>
      <c r="G756" s="106">
        <v>0.75486111111111109</v>
      </c>
      <c r="H756" t="s">
        <v>80</v>
      </c>
      <c r="I756" t="s">
        <v>236</v>
      </c>
      <c r="J756">
        <v>55.3</v>
      </c>
      <c r="K756">
        <v>2.1</v>
      </c>
      <c r="L756">
        <v>51</v>
      </c>
      <c r="M756">
        <v>6</v>
      </c>
      <c r="N756" s="58">
        <v>91.4</v>
      </c>
      <c r="O756" s="58">
        <v>80.027000000000001</v>
      </c>
      <c r="P756" s="58">
        <v>43.523800000000001</v>
      </c>
      <c r="Q756" s="58">
        <v>38.108095238095203</v>
      </c>
      <c r="R756" s="58">
        <v>15.233333333333301</v>
      </c>
      <c r="S756" s="58">
        <v>1.7921568627451001</v>
      </c>
      <c r="T756" t="s">
        <v>176</v>
      </c>
      <c r="U756" s="11">
        <v>24.349</v>
      </c>
      <c r="V756"/>
      <c r="W756"/>
    </row>
    <row r="757" spans="1:23" x14ac:dyDescent="0.35">
      <c r="A757" s="40">
        <v>44704</v>
      </c>
      <c r="B757">
        <v>2022</v>
      </c>
      <c r="C757" t="s">
        <v>287</v>
      </c>
      <c r="D757">
        <v>9</v>
      </c>
      <c r="E757">
        <v>22</v>
      </c>
      <c r="F757" t="s">
        <v>46</v>
      </c>
      <c r="G757" s="106">
        <v>0.72638888888888886</v>
      </c>
      <c r="H757" t="s">
        <v>85</v>
      </c>
      <c r="I757" t="s">
        <v>230</v>
      </c>
      <c r="J757">
        <v>62.6</v>
      </c>
      <c r="K757">
        <v>5.7</v>
      </c>
      <c r="L757">
        <v>113.6</v>
      </c>
      <c r="M757">
        <v>13</v>
      </c>
      <c r="N757" s="58">
        <v>109.4</v>
      </c>
      <c r="O757" s="58">
        <v>84.0672</v>
      </c>
      <c r="P757" s="58">
        <v>19.193000000000001</v>
      </c>
      <c r="Q757" s="58">
        <v>14.7486315789474</v>
      </c>
      <c r="R757" s="58">
        <v>8.4153846153846192</v>
      </c>
      <c r="S757" s="58">
        <v>0.96302816901408494</v>
      </c>
      <c r="T757" t="s">
        <v>176</v>
      </c>
      <c r="U757" s="11">
        <v>27.115400000000001</v>
      </c>
      <c r="V757"/>
      <c r="W757"/>
    </row>
    <row r="758" spans="1:23" x14ac:dyDescent="0.35">
      <c r="A758" s="40">
        <v>44701</v>
      </c>
      <c r="B758">
        <v>2022</v>
      </c>
      <c r="C758" t="s">
        <v>287</v>
      </c>
      <c r="D758">
        <v>8</v>
      </c>
      <c r="E758">
        <v>21</v>
      </c>
      <c r="F758" t="s">
        <v>50</v>
      </c>
      <c r="G758" s="106">
        <v>0.76041666666666663</v>
      </c>
      <c r="H758" t="s">
        <v>82</v>
      </c>
      <c r="I758" t="s">
        <v>236</v>
      </c>
      <c r="J758">
        <v>69.900000000000006</v>
      </c>
      <c r="K758">
        <v>2.4</v>
      </c>
      <c r="L758">
        <v>33</v>
      </c>
      <c r="M758">
        <v>5</v>
      </c>
      <c r="N758" s="58">
        <v>23.25</v>
      </c>
      <c r="O758" s="58">
        <v>15.891</v>
      </c>
      <c r="P758" s="58">
        <v>9.6875</v>
      </c>
      <c r="Q758" s="58">
        <v>6.6212499999999999</v>
      </c>
      <c r="R758" s="58">
        <v>4.6500000000000004</v>
      </c>
      <c r="S758" s="58">
        <v>0.70454545454545403</v>
      </c>
      <c r="T758" t="s">
        <v>176</v>
      </c>
      <c r="U758" s="11">
        <v>25.899899999999999</v>
      </c>
      <c r="V758"/>
      <c r="W758"/>
    </row>
    <row r="759" spans="1:23" x14ac:dyDescent="0.35">
      <c r="A759" s="40">
        <v>44700</v>
      </c>
      <c r="B759">
        <v>2022</v>
      </c>
      <c r="C759" t="s">
        <v>287</v>
      </c>
      <c r="D759">
        <v>8</v>
      </c>
      <c r="E759">
        <v>21</v>
      </c>
      <c r="F759" t="s">
        <v>49</v>
      </c>
      <c r="G759" s="106">
        <v>0.73263888888888884</v>
      </c>
      <c r="H759" t="s">
        <v>80</v>
      </c>
      <c r="I759" t="s">
        <v>236</v>
      </c>
      <c r="J759">
        <v>58.6</v>
      </c>
      <c r="K759">
        <v>3.1</v>
      </c>
      <c r="L759">
        <v>62</v>
      </c>
      <c r="M759">
        <v>7</v>
      </c>
      <c r="N759" s="58">
        <v>60.43</v>
      </c>
      <c r="O759" s="58">
        <v>46.603999999999999</v>
      </c>
      <c r="P759" s="58">
        <v>19.493500000000001</v>
      </c>
      <c r="Q759" s="58">
        <v>15.033548387096801</v>
      </c>
      <c r="R759" s="58">
        <v>8.6328571428571408</v>
      </c>
      <c r="S759" s="58">
        <v>0.97467741935483898</v>
      </c>
      <c r="T759" t="s">
        <v>176</v>
      </c>
      <c r="U759" s="11">
        <v>25.6416</v>
      </c>
      <c r="V759"/>
      <c r="W759"/>
    </row>
    <row r="760" spans="1:23" x14ac:dyDescent="0.35">
      <c r="A760" s="40">
        <v>44694</v>
      </c>
      <c r="B760">
        <v>2022</v>
      </c>
      <c r="C760" t="s">
        <v>287</v>
      </c>
      <c r="D760">
        <v>7</v>
      </c>
      <c r="E760">
        <v>20</v>
      </c>
      <c r="F760" t="s">
        <v>50</v>
      </c>
      <c r="G760" s="106">
        <v>0.72916666666666663</v>
      </c>
      <c r="H760" t="s">
        <v>80</v>
      </c>
      <c r="I760" t="s">
        <v>236</v>
      </c>
      <c r="J760">
        <v>86.8</v>
      </c>
      <c r="K760">
        <v>6.3000000000000007</v>
      </c>
      <c r="L760">
        <v>162.4</v>
      </c>
      <c r="M760">
        <v>11</v>
      </c>
      <c r="N760" s="58">
        <v>124.61</v>
      </c>
      <c r="O760" s="58">
        <v>88.394800000000004</v>
      </c>
      <c r="P760" s="58">
        <v>19.779399999999999</v>
      </c>
      <c r="Q760" s="58">
        <v>14.0309206349206</v>
      </c>
      <c r="R760" s="58">
        <v>11.3281818181818</v>
      </c>
      <c r="S760" s="58">
        <v>0.76730295566502404</v>
      </c>
      <c r="T760" t="s">
        <v>176</v>
      </c>
      <c r="U760" s="11">
        <v>25.2118</v>
      </c>
      <c r="V760"/>
      <c r="W760"/>
    </row>
    <row r="761" spans="1:23" x14ac:dyDescent="0.35">
      <c r="A761" s="40">
        <v>44693</v>
      </c>
      <c r="B761">
        <v>2022</v>
      </c>
      <c r="C761" t="s">
        <v>287</v>
      </c>
      <c r="D761">
        <v>7</v>
      </c>
      <c r="E761">
        <v>20</v>
      </c>
      <c r="F761" t="s">
        <v>49</v>
      </c>
      <c r="G761" s="106">
        <v>0.71597222222222223</v>
      </c>
      <c r="H761" t="s">
        <v>82</v>
      </c>
      <c r="I761" t="s">
        <v>236</v>
      </c>
      <c r="J761">
        <v>77.5</v>
      </c>
      <c r="K761">
        <v>2.6</v>
      </c>
      <c r="L761">
        <v>42</v>
      </c>
      <c r="M761">
        <v>7</v>
      </c>
      <c r="N761" s="58">
        <v>40.4</v>
      </c>
      <c r="O761" s="58">
        <v>31.033999999999999</v>
      </c>
      <c r="P761" s="58">
        <v>15.538500000000001</v>
      </c>
      <c r="Q761" s="58">
        <v>11.9361538461538</v>
      </c>
      <c r="R761" s="58">
        <v>5.7714285714285696</v>
      </c>
      <c r="S761" s="58">
        <v>0.96190476190476204</v>
      </c>
      <c r="T761" t="s">
        <v>176</v>
      </c>
      <c r="U761" s="11">
        <v>24.966699999999999</v>
      </c>
      <c r="V761"/>
      <c r="W761"/>
    </row>
    <row r="762" spans="1:23" x14ac:dyDescent="0.35">
      <c r="A762" s="40">
        <v>44692</v>
      </c>
      <c r="B762">
        <v>2022</v>
      </c>
      <c r="C762" t="s">
        <v>287</v>
      </c>
      <c r="D762">
        <v>7</v>
      </c>
      <c r="E762">
        <v>20</v>
      </c>
      <c r="F762" t="s">
        <v>48</v>
      </c>
      <c r="G762" s="106">
        <v>0.7416666666666667</v>
      </c>
      <c r="H762" t="s">
        <v>80</v>
      </c>
      <c r="I762" t="s">
        <v>230</v>
      </c>
      <c r="J762">
        <v>78.599999999999994</v>
      </c>
      <c r="K762">
        <v>3</v>
      </c>
      <c r="L762">
        <v>52</v>
      </c>
      <c r="M762">
        <v>8</v>
      </c>
      <c r="N762" s="58">
        <v>64.34</v>
      </c>
      <c r="O762" s="58">
        <v>52.744</v>
      </c>
      <c r="P762" s="58">
        <v>21.4467</v>
      </c>
      <c r="Q762" s="58">
        <v>17.581333333333301</v>
      </c>
      <c r="R762" s="58">
        <v>8.0425000000000004</v>
      </c>
      <c r="S762" s="58">
        <v>1.23730769230769</v>
      </c>
      <c r="T762" t="s">
        <v>176</v>
      </c>
      <c r="U762" s="11">
        <v>24.517800000000001</v>
      </c>
      <c r="V762"/>
      <c r="W762"/>
    </row>
    <row r="763" spans="1:23" x14ac:dyDescent="0.35">
      <c r="A763" s="40">
        <v>44688</v>
      </c>
      <c r="B763">
        <v>2022</v>
      </c>
      <c r="C763" t="s">
        <v>287</v>
      </c>
      <c r="D763">
        <v>6</v>
      </c>
      <c r="E763">
        <v>19</v>
      </c>
      <c r="F763" t="s">
        <v>51</v>
      </c>
      <c r="G763" s="106">
        <v>0.65</v>
      </c>
      <c r="H763" t="s">
        <v>80</v>
      </c>
      <c r="I763" t="s">
        <v>230</v>
      </c>
      <c r="J763">
        <v>57.8</v>
      </c>
      <c r="K763">
        <v>7.8000000000000007</v>
      </c>
      <c r="L763">
        <v>136.69999999999999</v>
      </c>
      <c r="M763">
        <v>18</v>
      </c>
      <c r="N763" s="58">
        <v>177.53</v>
      </c>
      <c r="O763" s="58">
        <v>147.04589999999999</v>
      </c>
      <c r="P763" s="58">
        <v>22.760300000000001</v>
      </c>
      <c r="Q763" s="58">
        <v>18.852038461538498</v>
      </c>
      <c r="R763" s="58">
        <v>9.8627777777777794</v>
      </c>
      <c r="S763" s="58">
        <v>1.2986832479882999</v>
      </c>
      <c r="T763" t="s">
        <v>176</v>
      </c>
      <c r="U763" s="11">
        <v>25.033300000000001</v>
      </c>
      <c r="V763"/>
      <c r="W763"/>
    </row>
    <row r="764" spans="1:23" x14ac:dyDescent="0.35">
      <c r="A764" s="40">
        <v>44685</v>
      </c>
      <c r="B764">
        <v>2022</v>
      </c>
      <c r="C764" t="s">
        <v>287</v>
      </c>
      <c r="D764">
        <v>6</v>
      </c>
      <c r="E764">
        <v>19</v>
      </c>
      <c r="F764" t="s">
        <v>48</v>
      </c>
      <c r="G764" s="106">
        <v>0.70763888888888893</v>
      </c>
      <c r="H764" t="s">
        <v>85</v>
      </c>
      <c r="I764" t="s">
        <v>236</v>
      </c>
      <c r="J764">
        <v>65.5</v>
      </c>
      <c r="K764">
        <v>3.8</v>
      </c>
      <c r="L764">
        <v>62</v>
      </c>
      <c r="M764">
        <v>9</v>
      </c>
      <c r="N764" s="58">
        <v>82.49</v>
      </c>
      <c r="O764" s="58">
        <v>68.664000000000001</v>
      </c>
      <c r="P764" s="58">
        <v>21.707899999999999</v>
      </c>
      <c r="Q764" s="58">
        <v>18.0694736842105</v>
      </c>
      <c r="R764" s="58">
        <v>9.1655555555555601</v>
      </c>
      <c r="S764" s="58">
        <v>1.33048387096774</v>
      </c>
      <c r="T764" t="s">
        <v>176</v>
      </c>
      <c r="U764" s="11">
        <v>23.0608</v>
      </c>
      <c r="V764"/>
      <c r="W764"/>
    </row>
    <row r="765" spans="1:23" x14ac:dyDescent="0.35">
      <c r="A765" s="40">
        <v>44684</v>
      </c>
      <c r="B765">
        <v>2022</v>
      </c>
      <c r="C765" t="s">
        <v>287</v>
      </c>
      <c r="D765">
        <v>6</v>
      </c>
      <c r="E765">
        <v>19</v>
      </c>
      <c r="F765" t="s">
        <v>47</v>
      </c>
      <c r="G765" s="106">
        <v>0.72569444444444442</v>
      </c>
      <c r="H765" t="s">
        <v>82</v>
      </c>
      <c r="I765" t="s">
        <v>236</v>
      </c>
      <c r="J765">
        <v>48.9</v>
      </c>
      <c r="K765">
        <v>3.2</v>
      </c>
      <c r="L765">
        <v>72.3</v>
      </c>
      <c r="M765">
        <v>8</v>
      </c>
      <c r="N765" s="58">
        <v>50.68</v>
      </c>
      <c r="O765" s="58">
        <v>34.557099999999998</v>
      </c>
      <c r="P765" s="58">
        <v>15.8375</v>
      </c>
      <c r="Q765" s="58">
        <v>10.799093750000001</v>
      </c>
      <c r="R765" s="58">
        <v>6.335</v>
      </c>
      <c r="S765" s="58">
        <v>0.70096818810511796</v>
      </c>
      <c r="T765" t="s">
        <v>176</v>
      </c>
      <c r="U765" s="11">
        <v>22.7652</v>
      </c>
      <c r="V765"/>
      <c r="W765"/>
    </row>
    <row r="766" spans="1:23" x14ac:dyDescent="0.35">
      <c r="A766" s="40">
        <v>44673</v>
      </c>
      <c r="B766">
        <v>2022</v>
      </c>
      <c r="C766" t="s">
        <v>287</v>
      </c>
      <c r="D766">
        <v>4</v>
      </c>
      <c r="E766">
        <v>17</v>
      </c>
      <c r="F766" t="s">
        <v>50</v>
      </c>
      <c r="G766" s="106">
        <v>0.71250000000000002</v>
      </c>
      <c r="H766" t="s">
        <v>85</v>
      </c>
      <c r="I766" t="s">
        <v>230</v>
      </c>
      <c r="J766">
        <v>58.3</v>
      </c>
      <c r="K766">
        <v>8.4</v>
      </c>
      <c r="L766">
        <v>213.2</v>
      </c>
      <c r="M766">
        <v>18</v>
      </c>
      <c r="N766" s="58">
        <v>195.73</v>
      </c>
      <c r="O766" s="58">
        <v>148.18639999999999</v>
      </c>
      <c r="P766" s="58">
        <v>23.301200000000001</v>
      </c>
      <c r="Q766" s="58">
        <v>17.641238095238101</v>
      </c>
      <c r="R766" s="58">
        <v>10.873888888888899</v>
      </c>
      <c r="S766" s="58">
        <v>0.91805816135084395</v>
      </c>
      <c r="T766" t="s">
        <v>176</v>
      </c>
      <c r="U766" s="11">
        <v>22.629100000000001</v>
      </c>
      <c r="V766"/>
      <c r="W766"/>
    </row>
    <row r="767" spans="1:23" x14ac:dyDescent="0.35">
      <c r="A767" s="40">
        <v>44660</v>
      </c>
      <c r="B767">
        <v>2022</v>
      </c>
      <c r="C767" t="s">
        <v>287</v>
      </c>
      <c r="D767">
        <v>2</v>
      </c>
      <c r="E767">
        <v>15</v>
      </c>
      <c r="F767" t="s">
        <v>51</v>
      </c>
      <c r="G767" s="106">
        <v>0.73611111111111116</v>
      </c>
      <c r="H767" t="s">
        <v>80</v>
      </c>
      <c r="I767" t="s">
        <v>236</v>
      </c>
      <c r="J767">
        <v>54.5</v>
      </c>
      <c r="K767">
        <v>1.9</v>
      </c>
      <c r="L767">
        <v>49.5</v>
      </c>
      <c r="M767">
        <v>8</v>
      </c>
      <c r="N767" s="58">
        <v>70.319999999999993</v>
      </c>
      <c r="O767" s="58">
        <v>59.281500000000001</v>
      </c>
      <c r="P767" s="58">
        <v>37.0105</v>
      </c>
      <c r="Q767" s="58">
        <v>31.2007894736842</v>
      </c>
      <c r="R767" s="58">
        <v>8.7899999999999991</v>
      </c>
      <c r="S767" s="58">
        <v>1.42060606060606</v>
      </c>
      <c r="T767" t="s">
        <v>176</v>
      </c>
      <c r="U767" s="11">
        <v>22.451000000000001</v>
      </c>
      <c r="V767"/>
      <c r="W767"/>
    </row>
    <row r="768" spans="1:23" x14ac:dyDescent="0.35">
      <c r="A768" s="40">
        <v>44653</v>
      </c>
      <c r="B768">
        <v>2022</v>
      </c>
      <c r="C768" t="s">
        <v>287</v>
      </c>
      <c r="D768">
        <v>1</v>
      </c>
      <c r="E768">
        <v>14</v>
      </c>
      <c r="F768" t="s">
        <v>51</v>
      </c>
      <c r="G768" s="106">
        <v>0.44444444444444442</v>
      </c>
      <c r="H768" t="s">
        <v>80</v>
      </c>
      <c r="I768" t="s">
        <v>234</v>
      </c>
      <c r="J768">
        <v>45.2</v>
      </c>
      <c r="K768">
        <v>3.5</v>
      </c>
      <c r="L768">
        <v>68</v>
      </c>
      <c r="M768">
        <v>7</v>
      </c>
      <c r="N768" s="58">
        <v>75.069999999999993</v>
      </c>
      <c r="O768" s="58">
        <v>59.905999999999999</v>
      </c>
      <c r="P768" s="58">
        <v>21.448599999999999</v>
      </c>
      <c r="Q768" s="58">
        <v>17.116</v>
      </c>
      <c r="R768" s="58">
        <v>10.724285714285701</v>
      </c>
      <c r="S768" s="58">
        <v>1.1039705882352899</v>
      </c>
      <c r="T768" t="s">
        <v>176</v>
      </c>
      <c r="U768" s="11">
        <v>21.669699999999999</v>
      </c>
      <c r="V768"/>
      <c r="W768"/>
    </row>
    <row r="769" spans="1:23" x14ac:dyDescent="0.35">
      <c r="A769" s="40">
        <v>44651</v>
      </c>
      <c r="B769">
        <v>2022</v>
      </c>
      <c r="C769" t="s">
        <v>287</v>
      </c>
      <c r="D769">
        <v>1</v>
      </c>
      <c r="E769">
        <v>14</v>
      </c>
      <c r="F769" t="s">
        <v>49</v>
      </c>
      <c r="G769" s="106">
        <v>0.75555555555555554</v>
      </c>
      <c r="H769" t="s">
        <v>80</v>
      </c>
      <c r="I769" t="s">
        <v>236</v>
      </c>
      <c r="J769">
        <v>50.8</v>
      </c>
      <c r="K769">
        <v>3.5</v>
      </c>
      <c r="L769">
        <v>68</v>
      </c>
      <c r="M769">
        <v>10</v>
      </c>
      <c r="N769" s="58">
        <v>71.25</v>
      </c>
      <c r="O769" s="58">
        <v>56.085999999999999</v>
      </c>
      <c r="P769" s="58">
        <v>20.357099999999999</v>
      </c>
      <c r="Q769" s="58">
        <v>16.024571428571399</v>
      </c>
      <c r="R769" s="58">
        <v>7.125</v>
      </c>
      <c r="S769" s="58">
        <v>1.04779411764706</v>
      </c>
      <c r="T769" t="s">
        <v>176</v>
      </c>
      <c r="U769" s="11">
        <v>20.835599999999999</v>
      </c>
      <c r="V769"/>
      <c r="W769"/>
    </row>
    <row r="770" spans="1:23" x14ac:dyDescent="0.35">
      <c r="A770" s="40">
        <v>44649</v>
      </c>
      <c r="B770">
        <v>2022</v>
      </c>
      <c r="C770" t="s">
        <v>287</v>
      </c>
      <c r="D770">
        <v>1</v>
      </c>
      <c r="E770">
        <v>14</v>
      </c>
      <c r="F770" t="s">
        <v>47</v>
      </c>
      <c r="G770" s="106">
        <v>0.7</v>
      </c>
      <c r="H770" t="s">
        <v>80</v>
      </c>
      <c r="I770" t="s">
        <v>230</v>
      </c>
      <c r="J770">
        <v>44.5</v>
      </c>
      <c r="K770">
        <v>1.7000000000000002</v>
      </c>
      <c r="L770">
        <v>37.799999999999997</v>
      </c>
      <c r="M770">
        <v>4</v>
      </c>
      <c r="N770" s="58">
        <v>56.64</v>
      </c>
      <c r="O770" s="58">
        <v>48.210599999999999</v>
      </c>
      <c r="P770" s="58">
        <v>33.317599999999999</v>
      </c>
      <c r="Q770" s="58">
        <v>28.359176470588199</v>
      </c>
      <c r="R770" s="58">
        <v>14.16</v>
      </c>
      <c r="S770" s="58">
        <v>1.4984126984127</v>
      </c>
      <c r="T770" t="s">
        <v>176</v>
      </c>
      <c r="U770" s="11">
        <v>21.712599999999998</v>
      </c>
      <c r="V770"/>
      <c r="W770"/>
    </row>
    <row r="771" spans="1:23" x14ac:dyDescent="0.35">
      <c r="A771" s="40">
        <v>44646</v>
      </c>
      <c r="B771">
        <v>2022</v>
      </c>
      <c r="C771" t="s">
        <v>278</v>
      </c>
      <c r="D771">
        <v>13</v>
      </c>
      <c r="E771">
        <v>13</v>
      </c>
      <c r="F771" t="s">
        <v>51</v>
      </c>
      <c r="G771" s="106">
        <v>0.56944444444444442</v>
      </c>
      <c r="H771" t="s">
        <v>80</v>
      </c>
      <c r="I771" t="s">
        <v>235</v>
      </c>
      <c r="J771">
        <v>46.8</v>
      </c>
      <c r="K771">
        <v>4.42</v>
      </c>
      <c r="L771">
        <v>111</v>
      </c>
      <c r="M771">
        <v>9</v>
      </c>
      <c r="N771" s="58">
        <v>129.97</v>
      </c>
      <c r="O771" s="58">
        <v>105.217</v>
      </c>
      <c r="P771" s="58">
        <v>29.405000000000001</v>
      </c>
      <c r="Q771" s="58">
        <v>23.8047511312217</v>
      </c>
      <c r="R771" s="58">
        <v>14.4411111111111</v>
      </c>
      <c r="S771" s="58">
        <v>1.1709009009008999</v>
      </c>
      <c r="T771" t="s">
        <v>176</v>
      </c>
      <c r="U771" s="11">
        <v>21.528199999999998</v>
      </c>
      <c r="V771"/>
      <c r="W771"/>
    </row>
    <row r="772" spans="1:23" x14ac:dyDescent="0.35">
      <c r="A772" s="40">
        <v>44645</v>
      </c>
      <c r="B772">
        <v>2022</v>
      </c>
      <c r="C772" t="s">
        <v>278</v>
      </c>
      <c r="D772">
        <v>13</v>
      </c>
      <c r="E772">
        <v>13</v>
      </c>
      <c r="F772" t="s">
        <v>50</v>
      </c>
      <c r="G772" s="106">
        <v>0.78125</v>
      </c>
      <c r="H772" t="s">
        <v>85</v>
      </c>
      <c r="I772" t="s">
        <v>236</v>
      </c>
      <c r="J772">
        <v>48.4</v>
      </c>
      <c r="K772">
        <v>5.5</v>
      </c>
      <c r="L772">
        <v>95.800000000000011</v>
      </c>
      <c r="M772">
        <v>15</v>
      </c>
      <c r="N772" s="58">
        <v>102.57</v>
      </c>
      <c r="O772" s="58">
        <v>81.206599999999995</v>
      </c>
      <c r="P772" s="58">
        <v>18.649100000000001</v>
      </c>
      <c r="Q772" s="58">
        <v>14.7648363636364</v>
      </c>
      <c r="R772" s="58">
        <v>6.8380000000000001</v>
      </c>
      <c r="S772" s="58">
        <v>1.07066805845511</v>
      </c>
      <c r="T772" t="s">
        <v>176</v>
      </c>
      <c r="U772" s="11">
        <v>20.084099999999999</v>
      </c>
      <c r="V772"/>
      <c r="W772"/>
    </row>
    <row r="773" spans="1:23" x14ac:dyDescent="0.35">
      <c r="A773" s="40">
        <v>44644</v>
      </c>
      <c r="B773">
        <v>2022</v>
      </c>
      <c r="C773" t="s">
        <v>278</v>
      </c>
      <c r="D773">
        <v>13</v>
      </c>
      <c r="E773">
        <v>13</v>
      </c>
      <c r="F773" t="s">
        <v>49</v>
      </c>
      <c r="G773" s="106">
        <v>0.8041666666666667</v>
      </c>
      <c r="H773" t="s">
        <v>80</v>
      </c>
      <c r="I773" t="s">
        <v>236</v>
      </c>
      <c r="J773">
        <v>53</v>
      </c>
      <c r="K773">
        <v>1.1000000000000001</v>
      </c>
      <c r="L773">
        <v>36.5</v>
      </c>
      <c r="M773">
        <v>2</v>
      </c>
      <c r="N773" s="58">
        <v>26.25</v>
      </c>
      <c r="O773" s="58">
        <v>18.110499999999998</v>
      </c>
      <c r="P773" s="58">
        <v>23.863600000000002</v>
      </c>
      <c r="Q773" s="58">
        <v>16.464090909090899</v>
      </c>
      <c r="R773" s="58">
        <v>13.125</v>
      </c>
      <c r="S773" s="58">
        <v>0.71917808219178103</v>
      </c>
      <c r="T773" t="s">
        <v>176</v>
      </c>
      <c r="U773" s="11">
        <v>18.944400000000002</v>
      </c>
      <c r="V773"/>
      <c r="W773"/>
    </row>
    <row r="774" spans="1:23" x14ac:dyDescent="0.35">
      <c r="A774" s="40">
        <v>44640</v>
      </c>
      <c r="B774">
        <v>2022</v>
      </c>
      <c r="C774" t="s">
        <v>278</v>
      </c>
      <c r="D774">
        <v>12</v>
      </c>
      <c r="E774">
        <v>12</v>
      </c>
      <c r="F774" t="s">
        <v>45</v>
      </c>
      <c r="G774" s="106">
        <v>0.67777777777777781</v>
      </c>
      <c r="H774" t="s">
        <v>80</v>
      </c>
      <c r="I774" t="s">
        <v>236</v>
      </c>
      <c r="J774">
        <v>43.1</v>
      </c>
      <c r="K774">
        <v>4</v>
      </c>
      <c r="L774">
        <v>80</v>
      </c>
      <c r="M774">
        <v>13</v>
      </c>
      <c r="N774" s="58">
        <v>110.7</v>
      </c>
      <c r="O774" s="58">
        <v>92.86</v>
      </c>
      <c r="P774" s="58">
        <v>27.675000000000001</v>
      </c>
      <c r="Q774" s="58">
        <v>23.215</v>
      </c>
      <c r="R774" s="58">
        <v>8.5153846153846207</v>
      </c>
      <c r="S774" s="58">
        <v>1.38375</v>
      </c>
      <c r="T774" t="s">
        <v>176</v>
      </c>
      <c r="U774" s="11">
        <v>18.652799999999999</v>
      </c>
      <c r="V774"/>
      <c r="W774"/>
    </row>
    <row r="775" spans="1:23" x14ac:dyDescent="0.35">
      <c r="A775" s="40">
        <v>44639</v>
      </c>
      <c r="B775">
        <v>2022</v>
      </c>
      <c r="C775" t="s">
        <v>278</v>
      </c>
      <c r="D775">
        <v>12</v>
      </c>
      <c r="E775">
        <v>12</v>
      </c>
      <c r="F775" t="s">
        <v>51</v>
      </c>
      <c r="G775" s="106">
        <v>0.56666666666666665</v>
      </c>
      <c r="H775" t="s">
        <v>80</v>
      </c>
      <c r="I775" t="s">
        <v>236</v>
      </c>
      <c r="J775">
        <v>49.1</v>
      </c>
      <c r="K775">
        <v>8.8000000000000007</v>
      </c>
      <c r="L775">
        <v>176</v>
      </c>
      <c r="M775">
        <v>23</v>
      </c>
      <c r="N775" s="58">
        <v>222.43</v>
      </c>
      <c r="O775" s="58">
        <v>183.18199999999999</v>
      </c>
      <c r="P775" s="58">
        <v>25.2761</v>
      </c>
      <c r="Q775" s="58">
        <v>20.816136363636399</v>
      </c>
      <c r="R775" s="58">
        <v>9.6708695652173908</v>
      </c>
      <c r="S775" s="58">
        <v>1.2638068181818201</v>
      </c>
      <c r="T775" t="s">
        <v>176</v>
      </c>
      <c r="U775" s="11">
        <v>17.422799999999999</v>
      </c>
      <c r="V775"/>
      <c r="W775"/>
    </row>
    <row r="776" spans="1:23" x14ac:dyDescent="0.35">
      <c r="A776" s="40">
        <v>44634</v>
      </c>
      <c r="B776">
        <v>2022</v>
      </c>
      <c r="C776" t="s">
        <v>278</v>
      </c>
      <c r="D776">
        <v>12</v>
      </c>
      <c r="E776">
        <v>12</v>
      </c>
      <c r="F776" t="s">
        <v>46</v>
      </c>
      <c r="G776" s="106">
        <v>0.72569444444444442</v>
      </c>
      <c r="H776" t="s">
        <v>80</v>
      </c>
      <c r="I776" t="s">
        <v>236</v>
      </c>
      <c r="J776">
        <v>49</v>
      </c>
      <c r="K776">
        <v>4.8</v>
      </c>
      <c r="L776">
        <v>86</v>
      </c>
      <c r="M776">
        <v>11</v>
      </c>
      <c r="N776" s="58">
        <v>88.67</v>
      </c>
      <c r="O776" s="58">
        <v>69.492000000000004</v>
      </c>
      <c r="P776" s="58">
        <v>18.472899999999999</v>
      </c>
      <c r="Q776" s="58">
        <v>14.477499999999999</v>
      </c>
      <c r="R776" s="58">
        <v>8.0609090909090906</v>
      </c>
      <c r="S776" s="58">
        <v>1.0310465116279099</v>
      </c>
      <c r="T776" t="s">
        <v>176</v>
      </c>
      <c r="U776" s="11">
        <v>15.8352</v>
      </c>
      <c r="V776"/>
      <c r="W776"/>
    </row>
    <row r="777" spans="1:23" x14ac:dyDescent="0.35">
      <c r="A777" s="40">
        <v>44632</v>
      </c>
      <c r="B777">
        <v>2022</v>
      </c>
      <c r="C777" t="s">
        <v>278</v>
      </c>
      <c r="D777">
        <v>11</v>
      </c>
      <c r="E777">
        <v>11</v>
      </c>
      <c r="F777" t="s">
        <v>51</v>
      </c>
      <c r="G777" s="106">
        <v>0.55069444444444449</v>
      </c>
      <c r="H777" t="s">
        <v>80</v>
      </c>
      <c r="I777" t="s">
        <v>249</v>
      </c>
      <c r="J777">
        <v>22.8</v>
      </c>
      <c r="K777">
        <v>4.5</v>
      </c>
      <c r="L777">
        <v>115.60000000000001</v>
      </c>
      <c r="M777">
        <v>11</v>
      </c>
      <c r="N777" s="58">
        <v>145.13999999999999</v>
      </c>
      <c r="O777" s="58">
        <v>119.3612</v>
      </c>
      <c r="P777" s="58">
        <v>32.253300000000003</v>
      </c>
      <c r="Q777" s="58">
        <v>26.524711111111099</v>
      </c>
      <c r="R777" s="58">
        <v>13.1945454545455</v>
      </c>
      <c r="S777" s="58">
        <v>1.25553633217993</v>
      </c>
      <c r="T777" t="s">
        <v>176</v>
      </c>
      <c r="U777" s="11">
        <v>14.85</v>
      </c>
      <c r="V777"/>
      <c r="W777"/>
    </row>
    <row r="778" spans="1:23" x14ac:dyDescent="0.35">
      <c r="A778" s="40">
        <v>44627</v>
      </c>
      <c r="B778">
        <v>2022</v>
      </c>
      <c r="C778" t="s">
        <v>278</v>
      </c>
      <c r="D778">
        <v>11</v>
      </c>
      <c r="E778">
        <v>11</v>
      </c>
      <c r="F778" t="s">
        <v>46</v>
      </c>
      <c r="G778" s="106">
        <v>0.70208333333333328</v>
      </c>
      <c r="H778" t="s">
        <v>80</v>
      </c>
      <c r="I778" t="s">
        <v>236</v>
      </c>
      <c r="J778">
        <v>36.5</v>
      </c>
      <c r="K778">
        <v>2.2999999999999998</v>
      </c>
      <c r="L778">
        <v>54.3</v>
      </c>
      <c r="M778">
        <v>6</v>
      </c>
      <c r="N778" s="58">
        <v>72.14</v>
      </c>
      <c r="O778" s="58">
        <v>60.031100000000002</v>
      </c>
      <c r="P778" s="58">
        <v>31.365200000000002</v>
      </c>
      <c r="Q778" s="58">
        <v>26.1004782608696</v>
      </c>
      <c r="R778" s="58">
        <v>12.0233333333333</v>
      </c>
      <c r="S778" s="58">
        <v>1.3285451197053399</v>
      </c>
      <c r="T778" t="s">
        <v>176</v>
      </c>
      <c r="U778" s="11">
        <v>14.452299999999999</v>
      </c>
      <c r="V778"/>
      <c r="W778"/>
    </row>
    <row r="779" spans="1:23" x14ac:dyDescent="0.35">
      <c r="A779" s="40">
        <v>44620</v>
      </c>
      <c r="B779">
        <v>2022</v>
      </c>
      <c r="C779" t="s">
        <v>278</v>
      </c>
      <c r="D779">
        <v>10</v>
      </c>
      <c r="E779">
        <v>10</v>
      </c>
      <c r="F779" t="s">
        <v>46</v>
      </c>
      <c r="G779" s="106">
        <v>0.75069444444444444</v>
      </c>
      <c r="H779" t="s">
        <v>80</v>
      </c>
      <c r="I779" t="s">
        <v>234</v>
      </c>
      <c r="J779">
        <v>27.8</v>
      </c>
      <c r="K779">
        <v>5.3</v>
      </c>
      <c r="L779">
        <v>119.19999999999999</v>
      </c>
      <c r="M779">
        <v>11</v>
      </c>
      <c r="N779" s="58">
        <v>122.35</v>
      </c>
      <c r="O779" s="58">
        <v>95.7684</v>
      </c>
      <c r="P779" s="58">
        <v>23.084900000000001</v>
      </c>
      <c r="Q779" s="58">
        <v>18.069509433962299</v>
      </c>
      <c r="R779" s="58">
        <v>11.1227272727273</v>
      </c>
      <c r="S779" s="58">
        <v>1.0264261744966401</v>
      </c>
      <c r="T779" t="s">
        <v>176</v>
      </c>
      <c r="U779" s="11">
        <v>16.933399999999999</v>
      </c>
      <c r="V779"/>
      <c r="W779"/>
    </row>
    <row r="780" spans="1:23" x14ac:dyDescent="0.35">
      <c r="A780" s="40">
        <v>44619</v>
      </c>
      <c r="B780">
        <v>2022</v>
      </c>
      <c r="C780" t="s">
        <v>278</v>
      </c>
      <c r="D780">
        <v>9</v>
      </c>
      <c r="E780">
        <v>9</v>
      </c>
      <c r="F780" t="s">
        <v>45</v>
      </c>
      <c r="G780" s="106">
        <v>0.7</v>
      </c>
      <c r="H780" t="s">
        <v>85</v>
      </c>
      <c r="I780" t="s">
        <v>230</v>
      </c>
      <c r="J780">
        <v>11</v>
      </c>
      <c r="K780">
        <v>5.5</v>
      </c>
      <c r="L780">
        <v>90.6</v>
      </c>
      <c r="M780">
        <v>16</v>
      </c>
      <c r="N780" s="58">
        <v>145.1</v>
      </c>
      <c r="O780" s="58">
        <v>124.89619999999999</v>
      </c>
      <c r="P780" s="58">
        <v>26.381799999999998</v>
      </c>
      <c r="Q780" s="58">
        <v>22.708400000000001</v>
      </c>
      <c r="R780" s="58">
        <v>9.0687499999999996</v>
      </c>
      <c r="S780" s="58">
        <v>1.6015452538631301</v>
      </c>
      <c r="T780" t="s">
        <v>176</v>
      </c>
      <c r="U780" s="11">
        <v>15.574</v>
      </c>
      <c r="V780"/>
      <c r="W780"/>
    </row>
    <row r="781" spans="1:23" x14ac:dyDescent="0.35">
      <c r="A781" s="40">
        <v>44616</v>
      </c>
      <c r="B781">
        <v>2022</v>
      </c>
      <c r="C781" t="s">
        <v>278</v>
      </c>
      <c r="D781">
        <v>9</v>
      </c>
      <c r="E781">
        <v>9</v>
      </c>
      <c r="F781" t="s">
        <v>49</v>
      </c>
      <c r="G781" s="106">
        <v>0.72777777777777775</v>
      </c>
      <c r="H781" t="s">
        <v>82</v>
      </c>
      <c r="I781" t="s">
        <v>232</v>
      </c>
      <c r="J781">
        <v>17.3</v>
      </c>
      <c r="K781">
        <v>4</v>
      </c>
      <c r="L781">
        <v>59</v>
      </c>
      <c r="M781">
        <v>10</v>
      </c>
      <c r="N781" s="58">
        <v>72.930000000000007</v>
      </c>
      <c r="O781" s="58">
        <v>59.773000000000003</v>
      </c>
      <c r="P781" s="58">
        <v>18.232500000000002</v>
      </c>
      <c r="Q781" s="58">
        <v>14.943250000000001</v>
      </c>
      <c r="R781" s="58">
        <v>7.2930000000000001</v>
      </c>
      <c r="S781" s="58">
        <v>1.2361016949152499</v>
      </c>
      <c r="T781" t="s">
        <v>176</v>
      </c>
      <c r="U781" s="11">
        <v>18.333400000000001</v>
      </c>
      <c r="V781"/>
      <c r="W781"/>
    </row>
    <row r="782" spans="1:23" x14ac:dyDescent="0.35">
      <c r="A782" s="40">
        <v>44606</v>
      </c>
      <c r="B782">
        <v>2022</v>
      </c>
      <c r="C782" t="s">
        <v>278</v>
      </c>
      <c r="D782">
        <v>8</v>
      </c>
      <c r="E782">
        <v>8</v>
      </c>
      <c r="F782" t="s">
        <v>46</v>
      </c>
      <c r="G782" s="106">
        <v>0.75763888888888886</v>
      </c>
      <c r="H782" t="s">
        <v>80</v>
      </c>
      <c r="I782" t="s">
        <v>230</v>
      </c>
      <c r="J782">
        <v>16.7</v>
      </c>
      <c r="K782">
        <v>0.8</v>
      </c>
      <c r="L782">
        <v>19.3</v>
      </c>
      <c r="M782">
        <v>2</v>
      </c>
      <c r="N782" s="58">
        <v>21.75</v>
      </c>
      <c r="O782" s="58">
        <v>17.446100000000001</v>
      </c>
      <c r="P782" s="58">
        <v>27.1875</v>
      </c>
      <c r="Q782" s="58">
        <v>21.807625000000002</v>
      </c>
      <c r="R782" s="58">
        <v>10.875</v>
      </c>
      <c r="S782" s="58">
        <v>1.12694300518135</v>
      </c>
      <c r="T782" t="s">
        <v>176</v>
      </c>
      <c r="U782" s="11">
        <v>20.517900000000001</v>
      </c>
      <c r="V782"/>
      <c r="W782"/>
    </row>
    <row r="783" spans="1:23" x14ac:dyDescent="0.35">
      <c r="A783" s="40">
        <v>44604</v>
      </c>
      <c r="B783">
        <v>2022</v>
      </c>
      <c r="C783" t="s">
        <v>278</v>
      </c>
      <c r="D783">
        <v>7</v>
      </c>
      <c r="E783">
        <v>7</v>
      </c>
      <c r="F783" t="s">
        <v>51</v>
      </c>
      <c r="G783" s="106">
        <v>0.6381944444444444</v>
      </c>
      <c r="H783" t="s">
        <v>80</v>
      </c>
      <c r="I783" t="s">
        <v>234</v>
      </c>
      <c r="J783">
        <v>23.6</v>
      </c>
      <c r="K783">
        <v>5.5</v>
      </c>
      <c r="L783">
        <v>87.4</v>
      </c>
      <c r="M783">
        <v>14</v>
      </c>
      <c r="N783" s="58">
        <v>102.55</v>
      </c>
      <c r="O783" s="58">
        <v>83.059799999999996</v>
      </c>
      <c r="P783" s="58">
        <v>18.645499999999998</v>
      </c>
      <c r="Q783" s="58">
        <v>15.1017818181818</v>
      </c>
      <c r="R783" s="58">
        <v>7.3250000000000002</v>
      </c>
      <c r="S783" s="58">
        <v>1.1733409610984</v>
      </c>
      <c r="T783" t="s">
        <v>176</v>
      </c>
      <c r="U783" s="11">
        <v>22.546800000000001</v>
      </c>
      <c r="V783"/>
      <c r="W783"/>
    </row>
    <row r="784" spans="1:23" x14ac:dyDescent="0.35">
      <c r="A784" s="40">
        <v>44600</v>
      </c>
      <c r="B784">
        <v>2022</v>
      </c>
      <c r="C784" t="s">
        <v>278</v>
      </c>
      <c r="D784">
        <v>7</v>
      </c>
      <c r="E784">
        <v>7</v>
      </c>
      <c r="F784" t="s">
        <v>47</v>
      </c>
      <c r="G784" s="106">
        <v>0.76388888888888884</v>
      </c>
      <c r="H784" t="s">
        <v>80</v>
      </c>
      <c r="I784" t="s">
        <v>230</v>
      </c>
      <c r="J784">
        <v>38.700000000000003</v>
      </c>
      <c r="K784">
        <v>3.3</v>
      </c>
      <c r="L784">
        <v>76</v>
      </c>
      <c r="M784">
        <v>6</v>
      </c>
      <c r="N784" s="58">
        <v>110.74</v>
      </c>
      <c r="O784" s="58">
        <v>93.792000000000002</v>
      </c>
      <c r="P784" s="58">
        <v>33.557600000000001</v>
      </c>
      <c r="Q784" s="58">
        <v>28.4218181818182</v>
      </c>
      <c r="R784" s="58">
        <v>18.456666666666699</v>
      </c>
      <c r="S784" s="58">
        <v>1.45710526315789</v>
      </c>
      <c r="T784" t="s">
        <v>176</v>
      </c>
      <c r="U784" s="11">
        <v>23.470400000000001</v>
      </c>
      <c r="V784"/>
      <c r="W784"/>
    </row>
    <row r="785" spans="1:23" x14ac:dyDescent="0.35">
      <c r="A785" s="40">
        <v>44595</v>
      </c>
      <c r="B785">
        <v>2022</v>
      </c>
      <c r="C785" t="s">
        <v>278</v>
      </c>
      <c r="D785">
        <v>6</v>
      </c>
      <c r="E785">
        <v>6</v>
      </c>
      <c r="F785" t="s">
        <v>49</v>
      </c>
      <c r="G785" s="106">
        <v>0.74583333333333335</v>
      </c>
      <c r="H785" t="s">
        <v>80</v>
      </c>
      <c r="I785" t="s">
        <v>232</v>
      </c>
      <c r="J785">
        <v>24.4</v>
      </c>
      <c r="K785">
        <v>2.5</v>
      </c>
      <c r="L785">
        <v>49.8</v>
      </c>
      <c r="M785">
        <v>8</v>
      </c>
      <c r="N785" s="58">
        <v>55.89</v>
      </c>
      <c r="O785" s="58">
        <v>44.784599999999998</v>
      </c>
      <c r="P785" s="58">
        <v>22.356000000000002</v>
      </c>
      <c r="Q785" s="58">
        <v>17.91384</v>
      </c>
      <c r="R785" s="58">
        <v>6.9862500000000001</v>
      </c>
      <c r="S785" s="58">
        <v>1.1222891566265101</v>
      </c>
      <c r="T785" t="s">
        <v>176</v>
      </c>
      <c r="U785" s="11">
        <v>24.019300000000001</v>
      </c>
      <c r="V785"/>
      <c r="W785"/>
    </row>
    <row r="786" spans="1:23" x14ac:dyDescent="0.35">
      <c r="A786" s="40">
        <v>44585</v>
      </c>
      <c r="B786">
        <v>2022</v>
      </c>
      <c r="C786" t="s">
        <v>278</v>
      </c>
      <c r="D786">
        <v>5</v>
      </c>
      <c r="E786">
        <v>5</v>
      </c>
      <c r="F786" t="s">
        <v>46</v>
      </c>
      <c r="G786" s="106">
        <v>0.73402777777777772</v>
      </c>
      <c r="H786" t="s">
        <v>80</v>
      </c>
      <c r="I786" t="s">
        <v>234</v>
      </c>
      <c r="J786">
        <v>29.7</v>
      </c>
      <c r="K786">
        <v>1.8</v>
      </c>
      <c r="L786">
        <v>46.4</v>
      </c>
      <c r="M786">
        <v>4</v>
      </c>
      <c r="N786" s="58">
        <v>38.43</v>
      </c>
      <c r="O786" s="58">
        <v>28.082799999999999</v>
      </c>
      <c r="P786" s="58">
        <v>21.35</v>
      </c>
      <c r="Q786" s="58">
        <v>15.601555555555599</v>
      </c>
      <c r="R786" s="58">
        <v>9.6074999999999999</v>
      </c>
      <c r="S786" s="58">
        <v>0.82823275862069001</v>
      </c>
      <c r="T786" t="s">
        <v>176</v>
      </c>
      <c r="U786" s="11">
        <v>24.560600000000001</v>
      </c>
      <c r="V786"/>
      <c r="W786"/>
    </row>
    <row r="787" spans="1:23" x14ac:dyDescent="0.35">
      <c r="A787" s="40">
        <v>44576</v>
      </c>
      <c r="B787">
        <v>2022</v>
      </c>
      <c r="C787" t="s">
        <v>278</v>
      </c>
      <c r="D787">
        <v>3</v>
      </c>
      <c r="E787">
        <v>3</v>
      </c>
      <c r="F787" t="s">
        <v>51</v>
      </c>
      <c r="G787" s="106">
        <v>0.48194444444444445</v>
      </c>
      <c r="H787" t="s">
        <v>82</v>
      </c>
      <c r="I787" t="s">
        <v>230</v>
      </c>
      <c r="J787">
        <v>19.7</v>
      </c>
      <c r="K787">
        <v>5.6</v>
      </c>
      <c r="L787">
        <v>116.89999999999999</v>
      </c>
      <c r="M787">
        <v>14</v>
      </c>
      <c r="N787" s="58">
        <v>100.25</v>
      </c>
      <c r="O787" s="58">
        <v>74.181299999999993</v>
      </c>
      <c r="P787" s="58">
        <v>17.901800000000001</v>
      </c>
      <c r="Q787" s="58">
        <v>13.246660714285699</v>
      </c>
      <c r="R787" s="58">
        <v>7.1607142857142803</v>
      </c>
      <c r="S787" s="58">
        <v>0.85757057313943597</v>
      </c>
      <c r="T787" t="s">
        <v>176</v>
      </c>
      <c r="U787" s="11">
        <v>26.552700000000002</v>
      </c>
      <c r="V787"/>
      <c r="W787"/>
    </row>
    <row r="788" spans="1:23" x14ac:dyDescent="0.35">
      <c r="A788" s="40">
        <v>44572</v>
      </c>
      <c r="B788">
        <v>2022</v>
      </c>
      <c r="C788" t="s">
        <v>278</v>
      </c>
      <c r="D788">
        <v>3</v>
      </c>
      <c r="E788">
        <v>3</v>
      </c>
      <c r="F788" t="s">
        <v>47</v>
      </c>
      <c r="G788" s="106">
        <v>0.73611111111111116</v>
      </c>
      <c r="H788" t="s">
        <v>80</v>
      </c>
      <c r="I788" t="s">
        <v>249</v>
      </c>
      <c r="J788">
        <v>24.1</v>
      </c>
      <c r="K788">
        <v>3.9000000000000004</v>
      </c>
      <c r="L788">
        <v>81.3</v>
      </c>
      <c r="M788">
        <v>8</v>
      </c>
      <c r="N788" s="58">
        <v>79.45</v>
      </c>
      <c r="O788" s="58">
        <v>61.320099999999996</v>
      </c>
      <c r="P788" s="58">
        <v>20.3718</v>
      </c>
      <c r="Q788" s="58">
        <v>15.7231025641026</v>
      </c>
      <c r="R788" s="58">
        <v>9.9312500000000004</v>
      </c>
      <c r="S788" s="58">
        <v>0.97724477244772401</v>
      </c>
      <c r="T788" t="s">
        <v>176</v>
      </c>
      <c r="U788" s="11">
        <v>25.438800000000001</v>
      </c>
      <c r="V788"/>
      <c r="W788"/>
    </row>
    <row r="789" spans="1:23" x14ac:dyDescent="0.35">
      <c r="A789" s="40">
        <v>44561</v>
      </c>
      <c r="B789">
        <v>2021</v>
      </c>
      <c r="C789" t="s">
        <v>278</v>
      </c>
      <c r="D789">
        <v>1</v>
      </c>
      <c r="E789">
        <v>1</v>
      </c>
      <c r="F789" t="s">
        <v>50</v>
      </c>
      <c r="G789" s="106">
        <v>0.69513888888888886</v>
      </c>
      <c r="H789" t="s">
        <v>80</v>
      </c>
      <c r="I789" t="s">
        <v>235</v>
      </c>
      <c r="J789">
        <v>37.799999999999997</v>
      </c>
      <c r="K789">
        <v>4.5</v>
      </c>
      <c r="L789">
        <v>109.2</v>
      </c>
      <c r="M789">
        <v>10</v>
      </c>
      <c r="N789" s="58">
        <v>150.18</v>
      </c>
      <c r="O789" s="58">
        <v>125.8284</v>
      </c>
      <c r="P789" s="58">
        <v>33.3733</v>
      </c>
      <c r="Q789" s="58">
        <v>27.961866666666701</v>
      </c>
      <c r="R789" s="58">
        <v>15.018000000000001</v>
      </c>
      <c r="S789" s="58">
        <v>1.3752747252747299</v>
      </c>
      <c r="T789" t="s">
        <v>176</v>
      </c>
      <c r="U789" s="11">
        <v>25.292100000000001</v>
      </c>
      <c r="V789"/>
      <c r="W789"/>
    </row>
    <row r="790" spans="1:23" x14ac:dyDescent="0.35">
      <c r="A790" s="40">
        <v>44557</v>
      </c>
      <c r="B790">
        <v>2021</v>
      </c>
      <c r="C790" t="s">
        <v>278</v>
      </c>
      <c r="D790">
        <v>1</v>
      </c>
      <c r="E790">
        <v>1</v>
      </c>
      <c r="F790" t="s">
        <v>46</v>
      </c>
      <c r="G790" s="106">
        <v>0.82430555555555551</v>
      </c>
      <c r="H790" t="s">
        <v>80</v>
      </c>
      <c r="I790" t="s">
        <v>235</v>
      </c>
      <c r="J790">
        <v>32.799999999999997</v>
      </c>
      <c r="K790">
        <v>1.5</v>
      </c>
      <c r="L790">
        <v>34.299999999999997</v>
      </c>
      <c r="M790">
        <v>2</v>
      </c>
      <c r="N790" s="58">
        <v>40.049999999999997</v>
      </c>
      <c r="O790" s="58">
        <v>32.4011</v>
      </c>
      <c r="P790" s="58">
        <v>26.7</v>
      </c>
      <c r="Q790" s="58">
        <v>21.600733333333299</v>
      </c>
      <c r="R790" s="58">
        <v>20.024999999999999</v>
      </c>
      <c r="S790" s="58">
        <v>1.16763848396501</v>
      </c>
      <c r="T790" t="s">
        <v>176</v>
      </c>
      <c r="U790" s="11">
        <v>24.020700000000001</v>
      </c>
      <c r="V790"/>
      <c r="W790"/>
    </row>
    <row r="791" spans="1:23" x14ac:dyDescent="0.35">
      <c r="A791" s="40">
        <v>44545</v>
      </c>
      <c r="B791">
        <v>2021</v>
      </c>
      <c r="C791" t="s">
        <v>327</v>
      </c>
      <c r="D791">
        <v>12</v>
      </c>
      <c r="E791">
        <v>51</v>
      </c>
      <c r="F791" t="s">
        <v>48</v>
      </c>
      <c r="G791" s="106">
        <v>0.72916666666666663</v>
      </c>
      <c r="H791" t="s">
        <v>80</v>
      </c>
      <c r="I791" t="s">
        <v>235</v>
      </c>
      <c r="J791">
        <v>41.1</v>
      </c>
      <c r="K791">
        <v>3.5</v>
      </c>
      <c r="L791">
        <v>72.5</v>
      </c>
      <c r="M791">
        <v>8</v>
      </c>
      <c r="N791" s="58">
        <v>79.55</v>
      </c>
      <c r="O791" s="58">
        <v>63.3825</v>
      </c>
      <c r="P791" s="58">
        <v>22.7286</v>
      </c>
      <c r="Q791" s="58">
        <v>18.109285714285701</v>
      </c>
      <c r="R791" s="58">
        <v>9.9437499999999996</v>
      </c>
      <c r="S791" s="58">
        <v>1.0972413793103399</v>
      </c>
      <c r="T791" t="s">
        <v>176</v>
      </c>
      <c r="U791" s="11">
        <v>25.568999999999999</v>
      </c>
      <c r="V791"/>
      <c r="W791"/>
    </row>
    <row r="792" spans="1:23" x14ac:dyDescent="0.35">
      <c r="A792" s="40">
        <v>44540</v>
      </c>
      <c r="B792">
        <v>2021</v>
      </c>
      <c r="C792" t="s">
        <v>327</v>
      </c>
      <c r="D792">
        <v>11</v>
      </c>
      <c r="E792">
        <v>50</v>
      </c>
      <c r="F792" t="s">
        <v>50</v>
      </c>
      <c r="G792" s="106">
        <v>0.75</v>
      </c>
      <c r="H792" t="s">
        <v>85</v>
      </c>
      <c r="I792" t="s">
        <v>235</v>
      </c>
      <c r="J792">
        <v>44.2</v>
      </c>
      <c r="K792">
        <v>6.1</v>
      </c>
      <c r="L792">
        <v>128.9</v>
      </c>
      <c r="M792">
        <v>11</v>
      </c>
      <c r="N792" s="58">
        <v>109.35</v>
      </c>
      <c r="O792" s="58">
        <v>80.6053</v>
      </c>
      <c r="P792" s="58">
        <v>17.926200000000001</v>
      </c>
      <c r="Q792" s="58">
        <v>13.213983606557401</v>
      </c>
      <c r="R792" s="58">
        <v>9.9409090909090896</v>
      </c>
      <c r="S792" s="58">
        <v>0.84833204034135001</v>
      </c>
      <c r="T792" t="s">
        <v>176</v>
      </c>
      <c r="U792" s="11">
        <v>25.347899999999999</v>
      </c>
      <c r="V792"/>
      <c r="W792"/>
    </row>
    <row r="793" spans="1:23" x14ac:dyDescent="0.35">
      <c r="A793" s="40">
        <v>44537</v>
      </c>
      <c r="B793">
        <v>2021</v>
      </c>
      <c r="C793" t="s">
        <v>327</v>
      </c>
      <c r="D793">
        <v>11</v>
      </c>
      <c r="E793">
        <v>50</v>
      </c>
      <c r="F793" t="s">
        <v>47</v>
      </c>
      <c r="G793" s="106">
        <v>0.72847222222222219</v>
      </c>
      <c r="H793" t="s">
        <v>82</v>
      </c>
      <c r="I793" t="s">
        <v>234</v>
      </c>
      <c r="J793">
        <v>23</v>
      </c>
      <c r="K793">
        <v>2.2000000000000002</v>
      </c>
      <c r="L793">
        <v>38.1</v>
      </c>
      <c r="M793">
        <v>6</v>
      </c>
      <c r="N793" s="58">
        <v>62.57</v>
      </c>
      <c r="O793" s="58">
        <v>54.073700000000002</v>
      </c>
      <c r="P793" s="58">
        <v>28.440899999999999</v>
      </c>
      <c r="Q793" s="58">
        <v>24.578954545454501</v>
      </c>
      <c r="R793" s="58">
        <v>10.428333333333301</v>
      </c>
      <c r="S793" s="58">
        <v>1.6422572178477699</v>
      </c>
      <c r="T793" t="s">
        <v>176</v>
      </c>
      <c r="U793" s="11">
        <v>25.059100000000001</v>
      </c>
      <c r="V793"/>
      <c r="W793"/>
    </row>
    <row r="794" spans="1:23" x14ac:dyDescent="0.35">
      <c r="A794" s="40">
        <v>44536</v>
      </c>
      <c r="B794">
        <v>2021</v>
      </c>
      <c r="C794" t="s">
        <v>327</v>
      </c>
      <c r="D794">
        <v>11</v>
      </c>
      <c r="E794">
        <v>50</v>
      </c>
      <c r="F794" t="s">
        <v>46</v>
      </c>
      <c r="G794" s="106">
        <v>0.72916666666666663</v>
      </c>
      <c r="H794" t="s">
        <v>80</v>
      </c>
      <c r="I794" t="s">
        <v>236</v>
      </c>
      <c r="J794">
        <v>38.9</v>
      </c>
      <c r="K794">
        <v>4.8</v>
      </c>
      <c r="L794">
        <v>130.1</v>
      </c>
      <c r="M794">
        <v>11</v>
      </c>
      <c r="N794" s="58">
        <v>117.21</v>
      </c>
      <c r="O794" s="58">
        <v>88.197699999999998</v>
      </c>
      <c r="P794" s="58">
        <v>24.418800000000001</v>
      </c>
      <c r="Q794" s="58">
        <v>18.3745208333333</v>
      </c>
      <c r="R794" s="58">
        <v>10.6554545454545</v>
      </c>
      <c r="S794" s="58">
        <v>0.90092236740968501</v>
      </c>
      <c r="T794" t="s">
        <v>176</v>
      </c>
      <c r="U794" s="11">
        <v>24.363900000000001</v>
      </c>
      <c r="V794"/>
      <c r="W794"/>
    </row>
    <row r="795" spans="1:23" x14ac:dyDescent="0.35">
      <c r="A795" s="40">
        <v>44533</v>
      </c>
      <c r="B795">
        <v>2021</v>
      </c>
      <c r="C795" t="s">
        <v>327</v>
      </c>
      <c r="D795">
        <v>10</v>
      </c>
      <c r="E795">
        <v>49</v>
      </c>
      <c r="F795" t="s">
        <v>50</v>
      </c>
      <c r="G795" s="106">
        <v>0.78125</v>
      </c>
      <c r="H795" t="s">
        <v>85</v>
      </c>
      <c r="I795" t="s">
        <v>230</v>
      </c>
      <c r="J795">
        <v>31.5</v>
      </c>
      <c r="K795">
        <v>6.33</v>
      </c>
      <c r="L795">
        <v>143</v>
      </c>
      <c r="M795">
        <v>11</v>
      </c>
      <c r="N795" s="58">
        <v>115.66</v>
      </c>
      <c r="O795" s="58">
        <v>83.771000000000001</v>
      </c>
      <c r="P795" s="58">
        <v>18.271699999999999</v>
      </c>
      <c r="Q795" s="58">
        <v>13.233965244865701</v>
      </c>
      <c r="R795" s="58">
        <v>10.5145454545455</v>
      </c>
      <c r="S795" s="58">
        <v>0.80881118881118896</v>
      </c>
      <c r="T795" t="s">
        <v>176</v>
      </c>
      <c r="U795" s="11">
        <v>23.061599999999999</v>
      </c>
      <c r="V795"/>
      <c r="W795"/>
    </row>
    <row r="796" spans="1:23" x14ac:dyDescent="0.35">
      <c r="A796" s="40">
        <v>44529</v>
      </c>
      <c r="B796">
        <v>2021</v>
      </c>
      <c r="C796" t="s">
        <v>327</v>
      </c>
      <c r="D796">
        <v>10</v>
      </c>
      <c r="E796">
        <v>49</v>
      </c>
      <c r="F796" t="s">
        <v>46</v>
      </c>
      <c r="G796" s="106">
        <v>0.70277777777777772</v>
      </c>
      <c r="H796" t="s">
        <v>82</v>
      </c>
      <c r="I796" t="s">
        <v>249</v>
      </c>
      <c r="J796">
        <v>31.7</v>
      </c>
      <c r="K796">
        <v>4.9000000000000004</v>
      </c>
      <c r="L796">
        <v>86.8</v>
      </c>
      <c r="M796">
        <v>14</v>
      </c>
      <c r="N796" s="58">
        <v>113</v>
      </c>
      <c r="O796" s="58">
        <v>93.643600000000006</v>
      </c>
      <c r="P796" s="58">
        <v>23.061199999999999</v>
      </c>
      <c r="Q796" s="58">
        <v>19.110938775510199</v>
      </c>
      <c r="R796" s="58">
        <v>8.0714285714285694</v>
      </c>
      <c r="S796" s="58">
        <v>1.3018433179723501</v>
      </c>
      <c r="T796" t="s">
        <v>176</v>
      </c>
      <c r="U796" s="11">
        <v>21.776399999999999</v>
      </c>
      <c r="V796"/>
      <c r="W796"/>
    </row>
    <row r="797" spans="1:23" x14ac:dyDescent="0.35">
      <c r="A797" s="40">
        <v>44527</v>
      </c>
      <c r="B797">
        <v>2021</v>
      </c>
      <c r="C797" t="s">
        <v>327</v>
      </c>
      <c r="D797">
        <v>9</v>
      </c>
      <c r="E797">
        <v>48</v>
      </c>
      <c r="F797" t="s">
        <v>51</v>
      </c>
      <c r="G797" s="106">
        <v>0.55208333333333337</v>
      </c>
      <c r="H797" t="s">
        <v>85</v>
      </c>
      <c r="I797" t="s">
        <v>249</v>
      </c>
      <c r="J797">
        <v>30.6</v>
      </c>
      <c r="K797">
        <v>11.5</v>
      </c>
      <c r="L797">
        <v>247</v>
      </c>
      <c r="M797">
        <v>26</v>
      </c>
      <c r="N797" s="58">
        <v>280.45</v>
      </c>
      <c r="O797" s="58">
        <v>225.369</v>
      </c>
      <c r="P797" s="58">
        <v>24.387</v>
      </c>
      <c r="Q797" s="58">
        <v>19.5973043478261</v>
      </c>
      <c r="R797" s="58">
        <v>10.7865384615385</v>
      </c>
      <c r="S797" s="58">
        <v>1.13542510121457</v>
      </c>
      <c r="T797" t="s">
        <v>176</v>
      </c>
      <c r="U797" s="11">
        <v>21.294899999999998</v>
      </c>
      <c r="V797"/>
      <c r="W797"/>
    </row>
    <row r="798" spans="1:23" x14ac:dyDescent="0.35">
      <c r="A798" s="40">
        <v>44522</v>
      </c>
      <c r="B798">
        <v>2021</v>
      </c>
      <c r="C798" t="s">
        <v>327</v>
      </c>
      <c r="D798">
        <v>9</v>
      </c>
      <c r="E798">
        <v>48</v>
      </c>
      <c r="F798" t="s">
        <v>46</v>
      </c>
      <c r="G798" s="106">
        <v>0.71458333333333335</v>
      </c>
      <c r="H798" t="s">
        <v>80</v>
      </c>
      <c r="I798" t="s">
        <v>230</v>
      </c>
      <c r="J798">
        <v>30.7</v>
      </c>
      <c r="K798">
        <v>4.2</v>
      </c>
      <c r="L798">
        <v>84</v>
      </c>
      <c r="M798">
        <v>11</v>
      </c>
      <c r="N798" s="58">
        <v>120</v>
      </c>
      <c r="O798" s="58">
        <v>101.268</v>
      </c>
      <c r="P798" s="58">
        <v>28.571400000000001</v>
      </c>
      <c r="Q798" s="58">
        <v>24.111428571428601</v>
      </c>
      <c r="R798" s="58">
        <v>10.909090909090899</v>
      </c>
      <c r="S798" s="58">
        <v>1.4285714285714299</v>
      </c>
      <c r="T798" t="s">
        <v>176</v>
      </c>
      <c r="U798" s="11">
        <v>18.178799999999999</v>
      </c>
      <c r="V798"/>
      <c r="W798"/>
    </row>
    <row r="799" spans="1:23" x14ac:dyDescent="0.35">
      <c r="A799" s="40">
        <v>44521</v>
      </c>
      <c r="B799">
        <v>2021</v>
      </c>
      <c r="C799" t="s">
        <v>327</v>
      </c>
      <c r="D799">
        <v>8</v>
      </c>
      <c r="E799">
        <v>47</v>
      </c>
      <c r="F799" t="s">
        <v>45</v>
      </c>
      <c r="G799" s="106">
        <v>0.77083333333333337</v>
      </c>
      <c r="H799" t="s">
        <v>82</v>
      </c>
      <c r="I799" t="s">
        <v>236</v>
      </c>
      <c r="J799">
        <v>52</v>
      </c>
      <c r="K799">
        <v>3.4000000000000004</v>
      </c>
      <c r="L799">
        <v>71</v>
      </c>
      <c r="M799">
        <v>6</v>
      </c>
      <c r="N799" s="58">
        <v>63.25</v>
      </c>
      <c r="O799" s="58">
        <v>47.417000000000002</v>
      </c>
      <c r="P799" s="58">
        <v>18.602900000000002</v>
      </c>
      <c r="Q799" s="58">
        <v>13.946176470588201</v>
      </c>
      <c r="R799" s="58">
        <v>10.5416666666667</v>
      </c>
      <c r="S799" s="58">
        <v>0.89084507042253502</v>
      </c>
      <c r="T799" t="s">
        <v>176</v>
      </c>
      <c r="U799" s="11">
        <v>16.845400000000001</v>
      </c>
      <c r="V799"/>
      <c r="W799"/>
    </row>
    <row r="800" spans="1:23" x14ac:dyDescent="0.35">
      <c r="A800" s="40">
        <v>44519</v>
      </c>
      <c r="B800">
        <v>2021</v>
      </c>
      <c r="C800" t="s">
        <v>327</v>
      </c>
      <c r="D800">
        <v>8</v>
      </c>
      <c r="E800">
        <v>47</v>
      </c>
      <c r="F800" t="s">
        <v>50</v>
      </c>
      <c r="G800" s="106">
        <v>0.9145833333333333</v>
      </c>
      <c r="H800" t="s">
        <v>82</v>
      </c>
      <c r="I800" t="s">
        <v>230</v>
      </c>
      <c r="J800">
        <v>42.4</v>
      </c>
      <c r="K800">
        <v>3.1</v>
      </c>
      <c r="L800">
        <v>74</v>
      </c>
      <c r="M800">
        <v>8</v>
      </c>
      <c r="N800" s="58">
        <v>73.03</v>
      </c>
      <c r="O800" s="58">
        <v>56.527999999999999</v>
      </c>
      <c r="P800" s="58">
        <v>23.5581</v>
      </c>
      <c r="Q800" s="58">
        <v>18.234838709677401</v>
      </c>
      <c r="R800" s="58">
        <v>9.1287500000000001</v>
      </c>
      <c r="S800" s="58">
        <v>0.98689189189189197</v>
      </c>
      <c r="T800" t="s">
        <v>176</v>
      </c>
      <c r="U800" s="11">
        <v>16.142700000000001</v>
      </c>
      <c r="V800"/>
      <c r="W800"/>
    </row>
    <row r="801" spans="1:23" x14ac:dyDescent="0.35">
      <c r="A801" s="40">
        <v>44517</v>
      </c>
      <c r="B801">
        <v>2021</v>
      </c>
      <c r="C801" t="s">
        <v>327</v>
      </c>
      <c r="D801">
        <v>8</v>
      </c>
      <c r="E801">
        <v>47</v>
      </c>
      <c r="F801" t="s">
        <v>48</v>
      </c>
      <c r="G801" s="106">
        <v>0.74513888888888891</v>
      </c>
      <c r="H801" t="s">
        <v>85</v>
      </c>
      <c r="I801" t="s">
        <v>236</v>
      </c>
      <c r="J801">
        <v>58.6</v>
      </c>
      <c r="K801">
        <v>1.7</v>
      </c>
      <c r="L801">
        <v>52</v>
      </c>
      <c r="M801">
        <v>2</v>
      </c>
      <c r="N801" s="58">
        <v>13.25</v>
      </c>
      <c r="O801" s="58">
        <v>1.6539999999999999</v>
      </c>
      <c r="P801" s="58">
        <v>7.7941000000000003</v>
      </c>
      <c r="Q801" s="58">
        <v>0.97294117647058798</v>
      </c>
      <c r="R801" s="58">
        <v>6.625</v>
      </c>
      <c r="S801" s="58">
        <v>0.25480769230769201</v>
      </c>
      <c r="T801" t="s">
        <v>176</v>
      </c>
      <c r="U801" s="11">
        <v>15.331200000000001</v>
      </c>
      <c r="V801"/>
      <c r="W801"/>
    </row>
    <row r="802" spans="1:23" x14ac:dyDescent="0.35">
      <c r="A802" s="40">
        <v>44516</v>
      </c>
      <c r="B802">
        <v>2021</v>
      </c>
      <c r="C802" t="s">
        <v>327</v>
      </c>
      <c r="D802">
        <v>8</v>
      </c>
      <c r="E802">
        <v>47</v>
      </c>
      <c r="F802" t="s">
        <v>47</v>
      </c>
      <c r="G802" s="106">
        <v>0.74305555555555558</v>
      </c>
      <c r="H802" t="s">
        <v>85</v>
      </c>
      <c r="I802" t="s">
        <v>249</v>
      </c>
      <c r="J802">
        <v>38.700000000000003</v>
      </c>
      <c r="K802">
        <v>5</v>
      </c>
      <c r="L802">
        <v>96.699999999999989</v>
      </c>
      <c r="M802">
        <v>11</v>
      </c>
      <c r="N802" s="58">
        <v>87.54</v>
      </c>
      <c r="O802" s="58">
        <v>65.975899999999996</v>
      </c>
      <c r="P802" s="58">
        <v>17.507999999999999</v>
      </c>
      <c r="Q802" s="58">
        <v>13.195180000000001</v>
      </c>
      <c r="R802" s="58">
        <v>7.9581818181818198</v>
      </c>
      <c r="S802" s="58">
        <v>0.90527404343329898</v>
      </c>
      <c r="T802" t="s">
        <v>176</v>
      </c>
      <c r="U802" s="11">
        <v>15.183999999999999</v>
      </c>
      <c r="V802"/>
      <c r="W802"/>
    </row>
    <row r="803" spans="1:23" x14ac:dyDescent="0.35">
      <c r="A803" s="40">
        <v>44515</v>
      </c>
      <c r="B803">
        <v>2021</v>
      </c>
      <c r="C803" t="s">
        <v>327</v>
      </c>
      <c r="D803">
        <v>8</v>
      </c>
      <c r="E803">
        <v>47</v>
      </c>
      <c r="F803" t="s">
        <v>46</v>
      </c>
      <c r="G803" s="106">
        <v>0.72013888888888888</v>
      </c>
      <c r="H803" t="s">
        <v>85</v>
      </c>
      <c r="I803" t="s">
        <v>249</v>
      </c>
      <c r="J803">
        <v>37.1</v>
      </c>
      <c r="K803">
        <v>6</v>
      </c>
      <c r="L803">
        <v>132.19999999999999</v>
      </c>
      <c r="M803">
        <v>13</v>
      </c>
      <c r="N803" s="58">
        <v>116.81</v>
      </c>
      <c r="O803" s="58">
        <v>87.329400000000007</v>
      </c>
      <c r="P803" s="58">
        <v>19.468299999999999</v>
      </c>
      <c r="Q803" s="58">
        <v>14.5549</v>
      </c>
      <c r="R803" s="58">
        <v>8.9853846153846195</v>
      </c>
      <c r="S803" s="58">
        <v>0.88358547655068098</v>
      </c>
      <c r="T803" t="s">
        <v>176</v>
      </c>
      <c r="U803" s="11">
        <v>14.2113</v>
      </c>
      <c r="V803"/>
      <c r="W803"/>
    </row>
    <row r="804" spans="1:23" x14ac:dyDescent="0.35">
      <c r="A804" s="40">
        <v>44514</v>
      </c>
      <c r="B804">
        <v>2021</v>
      </c>
      <c r="C804" t="s">
        <v>327</v>
      </c>
      <c r="D804">
        <v>7</v>
      </c>
      <c r="E804">
        <v>46</v>
      </c>
      <c r="F804" t="s">
        <v>45</v>
      </c>
      <c r="G804" s="106">
        <v>0.72083333333333333</v>
      </c>
      <c r="H804" t="s">
        <v>82</v>
      </c>
      <c r="I804" t="s">
        <v>236</v>
      </c>
      <c r="J804">
        <v>39.1</v>
      </c>
      <c r="K804">
        <v>4.8000000000000007</v>
      </c>
      <c r="L804">
        <v>71.900000000000006</v>
      </c>
      <c r="M804">
        <v>12</v>
      </c>
      <c r="N804" s="58">
        <v>102.45</v>
      </c>
      <c r="O804" s="58">
        <v>86.416300000000007</v>
      </c>
      <c r="P804" s="58">
        <v>21.343800000000002</v>
      </c>
      <c r="Q804" s="58">
        <v>18.0033958333333</v>
      </c>
      <c r="R804" s="58">
        <v>8.5374999999999996</v>
      </c>
      <c r="S804" s="58">
        <v>1.4248956884561901</v>
      </c>
      <c r="T804" t="s">
        <v>176</v>
      </c>
      <c r="U804" s="11">
        <v>12.913399999999999</v>
      </c>
      <c r="V804"/>
      <c r="W804"/>
    </row>
    <row r="805" spans="1:23" x14ac:dyDescent="0.35">
      <c r="A805" s="40">
        <v>44511</v>
      </c>
      <c r="B805">
        <v>2021</v>
      </c>
      <c r="C805" t="s">
        <v>327</v>
      </c>
      <c r="D805">
        <v>7</v>
      </c>
      <c r="E805">
        <v>46</v>
      </c>
      <c r="F805" t="s">
        <v>49</v>
      </c>
      <c r="G805" s="106">
        <v>0.73333333333333328</v>
      </c>
      <c r="H805" t="s">
        <v>80</v>
      </c>
      <c r="I805" t="s">
        <v>236</v>
      </c>
      <c r="J805">
        <v>57.1</v>
      </c>
      <c r="K805">
        <v>3.1</v>
      </c>
      <c r="L805">
        <v>90.7</v>
      </c>
      <c r="M805">
        <v>9</v>
      </c>
      <c r="N805" s="58">
        <v>83.23</v>
      </c>
      <c r="O805" s="58">
        <v>63.003900000000002</v>
      </c>
      <c r="P805" s="58">
        <v>26.848400000000002</v>
      </c>
      <c r="Q805" s="58">
        <v>20.3238387096774</v>
      </c>
      <c r="R805" s="58">
        <v>9.2477777777777792</v>
      </c>
      <c r="S805" s="58">
        <v>0.91764057331863302</v>
      </c>
      <c r="T805" t="s">
        <v>176</v>
      </c>
      <c r="U805" s="11">
        <v>11.7751</v>
      </c>
      <c r="V805"/>
      <c r="W805"/>
    </row>
    <row r="806" spans="1:23" x14ac:dyDescent="0.35">
      <c r="A806" s="40">
        <v>44509</v>
      </c>
      <c r="B806">
        <v>2021</v>
      </c>
      <c r="C806" t="s">
        <v>327</v>
      </c>
      <c r="D806">
        <v>7</v>
      </c>
      <c r="E806">
        <v>46</v>
      </c>
      <c r="F806" t="s">
        <v>47</v>
      </c>
      <c r="G806" s="106">
        <v>0.72986111111111107</v>
      </c>
      <c r="H806" t="s">
        <v>80</v>
      </c>
      <c r="I806" t="s">
        <v>236</v>
      </c>
      <c r="J806">
        <v>54.9</v>
      </c>
      <c r="K806">
        <v>3.3999999999999995</v>
      </c>
      <c r="L806">
        <v>82</v>
      </c>
      <c r="M806">
        <v>9</v>
      </c>
      <c r="N806" s="58">
        <v>119.74</v>
      </c>
      <c r="O806" s="58">
        <v>101.45399999999999</v>
      </c>
      <c r="P806" s="58">
        <v>35.217599999999997</v>
      </c>
      <c r="Q806" s="58">
        <v>29.839411764705901</v>
      </c>
      <c r="R806" s="58">
        <v>13.3044444444444</v>
      </c>
      <c r="S806" s="58">
        <v>1.4602439024390199</v>
      </c>
      <c r="T806" t="s">
        <v>176</v>
      </c>
      <c r="U806" s="11">
        <v>10.850300000000001</v>
      </c>
      <c r="V806"/>
      <c r="W806"/>
    </row>
    <row r="807" spans="1:23" x14ac:dyDescent="0.35">
      <c r="A807" s="40">
        <v>44507</v>
      </c>
      <c r="B807">
        <v>2021</v>
      </c>
      <c r="C807" t="s">
        <v>327</v>
      </c>
      <c r="D807">
        <v>6</v>
      </c>
      <c r="E807">
        <v>45</v>
      </c>
      <c r="F807" t="s">
        <v>45</v>
      </c>
      <c r="G807" s="106">
        <v>0.45069444444444445</v>
      </c>
      <c r="H807" t="s">
        <v>82</v>
      </c>
      <c r="I807" t="s">
        <v>230</v>
      </c>
      <c r="J807">
        <v>60.5</v>
      </c>
      <c r="K807">
        <v>1.9000000000000001</v>
      </c>
      <c r="L807">
        <v>19.299999999999997</v>
      </c>
      <c r="M807">
        <v>5</v>
      </c>
      <c r="N807" s="58">
        <v>40.4</v>
      </c>
      <c r="O807" s="58">
        <v>36.0961</v>
      </c>
      <c r="P807" s="58">
        <v>21.263200000000001</v>
      </c>
      <c r="Q807" s="58">
        <v>18.997947368421102</v>
      </c>
      <c r="R807" s="58">
        <v>8.08</v>
      </c>
      <c r="S807" s="58">
        <v>2.09326424870466</v>
      </c>
      <c r="T807" t="s">
        <v>176</v>
      </c>
      <c r="U807" s="11">
        <v>9.5198999999999998</v>
      </c>
      <c r="V807"/>
      <c r="W807"/>
    </row>
    <row r="808" spans="1:23" x14ac:dyDescent="0.35">
      <c r="A808" s="40">
        <v>44505</v>
      </c>
      <c r="B808">
        <v>2021</v>
      </c>
      <c r="C808" t="s">
        <v>327</v>
      </c>
      <c r="D808">
        <v>6</v>
      </c>
      <c r="E808">
        <v>45</v>
      </c>
      <c r="F808" t="s">
        <v>50</v>
      </c>
      <c r="G808" s="106">
        <v>0.74375000000000002</v>
      </c>
      <c r="H808" t="s">
        <v>80</v>
      </c>
      <c r="I808" t="s">
        <v>230</v>
      </c>
      <c r="J808">
        <v>48.2</v>
      </c>
      <c r="K808">
        <v>2.6000000000000005</v>
      </c>
      <c r="L808">
        <v>58</v>
      </c>
      <c r="M808">
        <v>6</v>
      </c>
      <c r="N808" s="58">
        <v>77.099999999999994</v>
      </c>
      <c r="O808" s="58">
        <v>64.165999999999997</v>
      </c>
      <c r="P808" s="58">
        <v>29.6538</v>
      </c>
      <c r="Q808" s="58">
        <v>24.679230769230799</v>
      </c>
      <c r="R808" s="58">
        <v>12.85</v>
      </c>
      <c r="S808" s="58">
        <v>1.32931034482759</v>
      </c>
      <c r="T808" t="s">
        <v>176</v>
      </c>
      <c r="U808" s="11">
        <v>9.0709999999999997</v>
      </c>
      <c r="V808"/>
      <c r="W808"/>
    </row>
    <row r="809" spans="1:23" x14ac:dyDescent="0.35">
      <c r="A809" s="40">
        <v>44502</v>
      </c>
      <c r="B809">
        <v>2021</v>
      </c>
      <c r="C809" t="s">
        <v>327</v>
      </c>
      <c r="D809">
        <v>6</v>
      </c>
      <c r="E809">
        <v>45</v>
      </c>
      <c r="F809" t="s">
        <v>47</v>
      </c>
      <c r="G809" s="106">
        <v>0.72847222222222219</v>
      </c>
      <c r="H809" t="s">
        <v>80</v>
      </c>
      <c r="I809" t="s">
        <v>249</v>
      </c>
      <c r="J809">
        <v>47.5</v>
      </c>
      <c r="K809">
        <v>1.2</v>
      </c>
      <c r="L809">
        <v>11</v>
      </c>
      <c r="M809">
        <v>4</v>
      </c>
      <c r="N809" s="58">
        <v>27.5</v>
      </c>
      <c r="O809" s="58">
        <v>25.047000000000001</v>
      </c>
      <c r="P809" s="58">
        <v>22.916699999999999</v>
      </c>
      <c r="Q809" s="58">
        <v>20.872499999999999</v>
      </c>
      <c r="R809" s="58">
        <v>6.875</v>
      </c>
      <c r="S809" s="58">
        <v>2.5</v>
      </c>
      <c r="T809" t="s">
        <v>176</v>
      </c>
      <c r="U809" s="11">
        <v>8.2142999999999997</v>
      </c>
      <c r="V809"/>
      <c r="W809"/>
    </row>
    <row r="810" spans="1:23" x14ac:dyDescent="0.35">
      <c r="A810" s="40">
        <v>44494</v>
      </c>
      <c r="B810">
        <v>2021</v>
      </c>
      <c r="C810" t="s">
        <v>327</v>
      </c>
      <c r="D810">
        <v>5</v>
      </c>
      <c r="E810">
        <v>44</v>
      </c>
      <c r="F810" t="s">
        <v>46</v>
      </c>
      <c r="G810" s="106">
        <v>0.75208333333333333</v>
      </c>
      <c r="H810" t="s">
        <v>80</v>
      </c>
      <c r="I810" t="s">
        <v>236</v>
      </c>
      <c r="J810">
        <v>43.9</v>
      </c>
      <c r="K810">
        <v>3.9</v>
      </c>
      <c r="L810">
        <v>72.400000000000006</v>
      </c>
      <c r="M810">
        <v>9</v>
      </c>
      <c r="N810" s="58">
        <v>80.209999999999994</v>
      </c>
      <c r="O810" s="58">
        <v>64.064800000000005</v>
      </c>
      <c r="P810" s="58">
        <v>20.566700000000001</v>
      </c>
      <c r="Q810" s="58">
        <v>16.426871794871801</v>
      </c>
      <c r="R810" s="58">
        <v>8.9122222222222192</v>
      </c>
      <c r="S810" s="58">
        <v>1.1078729281768001</v>
      </c>
      <c r="T810" t="s">
        <v>176</v>
      </c>
      <c r="U810" s="11">
        <v>8.5310000000000006</v>
      </c>
      <c r="V810"/>
      <c r="W810"/>
    </row>
    <row r="811" spans="1:23" x14ac:dyDescent="0.35">
      <c r="A811" s="40">
        <v>44493</v>
      </c>
      <c r="B811">
        <v>2021</v>
      </c>
      <c r="C811" t="s">
        <v>327</v>
      </c>
      <c r="D811">
        <v>4</v>
      </c>
      <c r="E811">
        <v>43</v>
      </c>
      <c r="F811" t="s">
        <v>45</v>
      </c>
      <c r="G811" s="106">
        <v>0.68888888888888888</v>
      </c>
      <c r="H811" t="s">
        <v>80</v>
      </c>
      <c r="I811" t="s">
        <v>236</v>
      </c>
      <c r="J811">
        <v>42.9</v>
      </c>
      <c r="K811">
        <v>5.3999999999999995</v>
      </c>
      <c r="L811">
        <v>100</v>
      </c>
      <c r="M811">
        <v>14</v>
      </c>
      <c r="N811" s="58">
        <v>137.51</v>
      </c>
      <c r="O811" s="58">
        <v>115.21</v>
      </c>
      <c r="P811" s="58">
        <v>25.4648</v>
      </c>
      <c r="Q811" s="58">
        <v>21.3351851851852</v>
      </c>
      <c r="R811" s="58">
        <v>9.8221428571428593</v>
      </c>
      <c r="S811" s="58">
        <v>1.3751</v>
      </c>
      <c r="T811" t="s">
        <v>176</v>
      </c>
      <c r="U811" s="11">
        <v>7.6398000000000001</v>
      </c>
      <c r="V811"/>
      <c r="W811"/>
    </row>
    <row r="812" spans="1:23" x14ac:dyDescent="0.35">
      <c r="A812" s="40">
        <v>44480</v>
      </c>
      <c r="B812">
        <v>2021</v>
      </c>
      <c r="C812" t="s">
        <v>327</v>
      </c>
      <c r="D812">
        <v>3</v>
      </c>
      <c r="E812">
        <v>42</v>
      </c>
      <c r="F812" t="s">
        <v>46</v>
      </c>
      <c r="G812" s="106">
        <v>0.74930555555555556</v>
      </c>
      <c r="H812" t="s">
        <v>80</v>
      </c>
      <c r="I812" t="s">
        <v>249</v>
      </c>
      <c r="J812">
        <v>74.599999999999994</v>
      </c>
      <c r="K812">
        <v>2.2999999999999998</v>
      </c>
      <c r="L812">
        <v>43.199999999999996</v>
      </c>
      <c r="M812">
        <v>3</v>
      </c>
      <c r="N812" s="58">
        <v>43.75</v>
      </c>
      <c r="O812" s="58">
        <v>34.116399999999999</v>
      </c>
      <c r="P812" s="58">
        <v>19.021699999999999</v>
      </c>
      <c r="Q812" s="58">
        <v>14.8332173913043</v>
      </c>
      <c r="R812" s="58">
        <v>14.5833333333333</v>
      </c>
      <c r="S812" s="58">
        <v>1.0127314814814801</v>
      </c>
      <c r="T812" t="s">
        <v>176</v>
      </c>
      <c r="U812" s="11">
        <v>6.3785999999999996</v>
      </c>
      <c r="V812"/>
      <c r="W812"/>
    </row>
    <row r="813" spans="1:23" x14ac:dyDescent="0.35">
      <c r="A813" s="40">
        <v>44479</v>
      </c>
      <c r="B813">
        <v>2021</v>
      </c>
      <c r="C813" t="s">
        <v>327</v>
      </c>
      <c r="D813">
        <v>2</v>
      </c>
      <c r="E813">
        <v>41</v>
      </c>
      <c r="F813" t="s">
        <v>45</v>
      </c>
      <c r="G813" s="106">
        <v>0.71319444444444446</v>
      </c>
      <c r="H813" t="s">
        <v>80</v>
      </c>
      <c r="I813" t="s">
        <v>249</v>
      </c>
      <c r="J813">
        <v>67.599999999999994</v>
      </c>
      <c r="K813">
        <v>1.2</v>
      </c>
      <c r="L813">
        <v>35</v>
      </c>
      <c r="M813">
        <v>2</v>
      </c>
      <c r="N813" s="58">
        <v>22.5</v>
      </c>
      <c r="O813" s="58">
        <v>14.695</v>
      </c>
      <c r="P813" s="58">
        <v>18.75</v>
      </c>
      <c r="Q813" s="58">
        <v>12.2458333333333</v>
      </c>
      <c r="R813" s="58">
        <v>11.25</v>
      </c>
      <c r="S813" s="58">
        <v>0.64285714285714302</v>
      </c>
      <c r="T813" t="s">
        <v>176</v>
      </c>
      <c r="U813" s="11">
        <v>5.8924000000000003</v>
      </c>
      <c r="V813"/>
      <c r="W813"/>
    </row>
    <row r="814" spans="1:23" x14ac:dyDescent="0.35">
      <c r="A814" s="40">
        <v>44471</v>
      </c>
      <c r="B814">
        <v>2021</v>
      </c>
      <c r="C814" t="s">
        <v>327</v>
      </c>
      <c r="D814">
        <v>1</v>
      </c>
      <c r="E814">
        <v>40</v>
      </c>
      <c r="F814" t="s">
        <v>51</v>
      </c>
      <c r="G814" s="106">
        <v>0.7631944444444444</v>
      </c>
      <c r="H814" t="s">
        <v>80</v>
      </c>
      <c r="I814" t="s">
        <v>236</v>
      </c>
      <c r="J814">
        <v>55.4</v>
      </c>
      <c r="K814">
        <v>2.0999999999999996</v>
      </c>
      <c r="L814">
        <v>40</v>
      </c>
      <c r="M814">
        <v>5</v>
      </c>
      <c r="N814" s="58">
        <v>35.75</v>
      </c>
      <c r="O814" s="58">
        <v>26.83</v>
      </c>
      <c r="P814" s="58">
        <v>17.023800000000001</v>
      </c>
      <c r="Q814" s="58">
        <v>12.7761904761905</v>
      </c>
      <c r="R814" s="58">
        <v>7.15</v>
      </c>
      <c r="S814" s="58">
        <v>0.89375000000000004</v>
      </c>
      <c r="T814" t="s">
        <v>176</v>
      </c>
      <c r="U814" s="11">
        <v>5.6424000000000003</v>
      </c>
      <c r="V814"/>
      <c r="W814"/>
    </row>
    <row r="815" spans="1:23" x14ac:dyDescent="0.35">
      <c r="A815" s="40">
        <v>44464</v>
      </c>
      <c r="B815">
        <v>2021</v>
      </c>
      <c r="C815" t="s">
        <v>305</v>
      </c>
      <c r="D815">
        <v>13</v>
      </c>
      <c r="E815">
        <v>39</v>
      </c>
      <c r="F815" t="s">
        <v>51</v>
      </c>
      <c r="G815" s="106">
        <v>0.5756944444444444</v>
      </c>
      <c r="H815" t="s">
        <v>80</v>
      </c>
      <c r="I815" t="s">
        <v>236</v>
      </c>
      <c r="J815">
        <v>69.7</v>
      </c>
      <c r="K815">
        <v>7.3000000000000016</v>
      </c>
      <c r="L815">
        <v>152.30000000000001</v>
      </c>
      <c r="M815">
        <v>16</v>
      </c>
      <c r="N815" s="58">
        <v>179.4</v>
      </c>
      <c r="O815" s="58">
        <v>145.43709999999999</v>
      </c>
      <c r="P815" s="58">
        <v>24.575299999999999</v>
      </c>
      <c r="Q815" s="58">
        <v>19.9228904109589</v>
      </c>
      <c r="R815" s="58">
        <v>11.2125</v>
      </c>
      <c r="S815" s="58">
        <v>1.1779382797111</v>
      </c>
      <c r="T815" t="s">
        <v>176</v>
      </c>
      <c r="U815" s="11">
        <v>7.4749999999999996</v>
      </c>
      <c r="V815"/>
      <c r="W815"/>
    </row>
    <row r="816" spans="1:23" x14ac:dyDescent="0.35">
      <c r="A816" s="40">
        <v>44455</v>
      </c>
      <c r="B816">
        <v>2021</v>
      </c>
      <c r="C816" t="s">
        <v>305</v>
      </c>
      <c r="D816">
        <v>12</v>
      </c>
      <c r="E816">
        <v>38</v>
      </c>
      <c r="F816" t="s">
        <v>49</v>
      </c>
      <c r="G816" s="106">
        <v>0.75694444444444442</v>
      </c>
      <c r="H816" t="s">
        <v>80</v>
      </c>
      <c r="I816" t="s">
        <v>249</v>
      </c>
      <c r="J816">
        <v>72</v>
      </c>
      <c r="K816">
        <v>3.1</v>
      </c>
      <c r="L816">
        <v>76.8</v>
      </c>
      <c r="M816">
        <v>4</v>
      </c>
      <c r="N816" s="58">
        <v>39.5</v>
      </c>
      <c r="O816" s="58">
        <v>22.3736</v>
      </c>
      <c r="P816" s="58">
        <v>12.741899999999999</v>
      </c>
      <c r="Q816" s="58">
        <v>7.2172903225806397</v>
      </c>
      <c r="R816" s="58">
        <v>9.875</v>
      </c>
      <c r="S816" s="58">
        <v>0.51432291666666696</v>
      </c>
      <c r="T816" t="s">
        <v>176</v>
      </c>
      <c r="U816" s="11">
        <v>10.925599999999999</v>
      </c>
      <c r="V816"/>
      <c r="W816"/>
    </row>
    <row r="817" spans="1:23" x14ac:dyDescent="0.35">
      <c r="A817" s="40">
        <v>44451</v>
      </c>
      <c r="B817">
        <v>2021</v>
      </c>
      <c r="C817" t="s">
        <v>305</v>
      </c>
      <c r="D817">
        <v>11</v>
      </c>
      <c r="E817">
        <v>37</v>
      </c>
      <c r="F817" t="s">
        <v>45</v>
      </c>
      <c r="G817" s="106">
        <v>0.65138888888888891</v>
      </c>
      <c r="H817" t="s">
        <v>80</v>
      </c>
      <c r="I817" t="s">
        <v>230</v>
      </c>
      <c r="J817">
        <v>74.3</v>
      </c>
      <c r="K817">
        <v>0.5</v>
      </c>
      <c r="L817">
        <v>13.3</v>
      </c>
      <c r="M817">
        <v>2</v>
      </c>
      <c r="N817" s="58">
        <v>20.149999999999999</v>
      </c>
      <c r="O817" s="58">
        <v>17.184100000000001</v>
      </c>
      <c r="P817" s="58">
        <v>40.299999999999997</v>
      </c>
      <c r="Q817" s="58">
        <v>34.368200000000002</v>
      </c>
      <c r="R817" s="58">
        <v>10.074999999999999</v>
      </c>
      <c r="S817" s="58">
        <v>1.5150375939849601</v>
      </c>
      <c r="T817" t="s">
        <v>176</v>
      </c>
      <c r="U817" s="11">
        <v>10.486700000000001</v>
      </c>
      <c r="V817"/>
      <c r="W817"/>
    </row>
    <row r="818" spans="1:23" x14ac:dyDescent="0.35">
      <c r="A818" s="40">
        <v>44449</v>
      </c>
      <c r="B818">
        <v>2021</v>
      </c>
      <c r="C818" t="s">
        <v>305</v>
      </c>
      <c r="D818">
        <v>11</v>
      </c>
      <c r="E818">
        <v>37</v>
      </c>
      <c r="F818" t="s">
        <v>50</v>
      </c>
      <c r="G818" s="106">
        <v>0.77708333333333335</v>
      </c>
      <c r="H818" t="s">
        <v>80</v>
      </c>
      <c r="I818" t="s">
        <v>230</v>
      </c>
      <c r="J818">
        <v>73.099999999999994</v>
      </c>
      <c r="K818">
        <v>3.1</v>
      </c>
      <c r="L818">
        <v>50.099999999999994</v>
      </c>
      <c r="M818">
        <v>10</v>
      </c>
      <c r="N818" s="58">
        <v>83.36</v>
      </c>
      <c r="O818" s="58">
        <v>72.187700000000007</v>
      </c>
      <c r="P818" s="58">
        <v>26.8903</v>
      </c>
      <c r="Q818" s="58">
        <v>23.286354838709698</v>
      </c>
      <c r="R818" s="58">
        <v>8.3360000000000003</v>
      </c>
      <c r="S818" s="58">
        <v>1.66387225548902</v>
      </c>
      <c r="T818" t="s">
        <v>176</v>
      </c>
      <c r="U818" s="11">
        <v>10.66</v>
      </c>
      <c r="V818"/>
      <c r="W818"/>
    </row>
    <row r="819" spans="1:23" x14ac:dyDescent="0.35">
      <c r="A819" s="40">
        <v>44439</v>
      </c>
      <c r="B819">
        <v>2021</v>
      </c>
      <c r="C819" t="s">
        <v>305</v>
      </c>
      <c r="D819">
        <v>10</v>
      </c>
      <c r="E819">
        <v>36</v>
      </c>
      <c r="F819" t="s">
        <v>47</v>
      </c>
      <c r="G819" s="106">
        <v>0.81736111111111109</v>
      </c>
      <c r="H819" t="s">
        <v>80</v>
      </c>
      <c r="I819" t="s">
        <v>236</v>
      </c>
      <c r="J819">
        <v>73.400000000000006</v>
      </c>
      <c r="K819">
        <v>2.3000000000000003</v>
      </c>
      <c r="L819">
        <v>37.1</v>
      </c>
      <c r="M819">
        <v>6</v>
      </c>
      <c r="N819" s="58">
        <v>53.66</v>
      </c>
      <c r="O819" s="58">
        <v>45.386699999999998</v>
      </c>
      <c r="P819" s="58">
        <v>23.330400000000001</v>
      </c>
      <c r="Q819" s="58">
        <v>19.733347826087002</v>
      </c>
      <c r="R819" s="58">
        <v>8.9433333333333298</v>
      </c>
      <c r="S819" s="58">
        <v>1.4463611859838299</v>
      </c>
      <c r="T819" t="s">
        <v>176</v>
      </c>
      <c r="U819" s="11">
        <v>11.7836</v>
      </c>
      <c r="V819"/>
      <c r="W819"/>
    </row>
    <row r="820" spans="1:23" x14ac:dyDescent="0.35">
      <c r="A820" s="40">
        <v>44438</v>
      </c>
      <c r="B820">
        <v>2021</v>
      </c>
      <c r="C820" t="s">
        <v>305</v>
      </c>
      <c r="D820">
        <v>10</v>
      </c>
      <c r="E820">
        <v>36</v>
      </c>
      <c r="F820" t="s">
        <v>46</v>
      </c>
      <c r="G820" s="106">
        <v>0.71736111111111112</v>
      </c>
      <c r="H820" t="s">
        <v>80</v>
      </c>
      <c r="I820" t="s">
        <v>236</v>
      </c>
      <c r="J820">
        <v>82.2</v>
      </c>
      <c r="K820">
        <v>1.1000000000000001</v>
      </c>
      <c r="L820">
        <v>13.5</v>
      </c>
      <c r="M820">
        <v>2</v>
      </c>
      <c r="N820" s="58">
        <v>16</v>
      </c>
      <c r="O820" s="58">
        <v>12.9895</v>
      </c>
      <c r="P820" s="58">
        <v>14.545500000000001</v>
      </c>
      <c r="Q820" s="58">
        <v>11.808636363636399</v>
      </c>
      <c r="R820" s="58">
        <v>8</v>
      </c>
      <c r="S820" s="58">
        <v>1.18518518518519</v>
      </c>
      <c r="T820" t="s">
        <v>176</v>
      </c>
      <c r="U820" s="11">
        <v>11.1873</v>
      </c>
      <c r="V820"/>
      <c r="W820"/>
    </row>
    <row r="821" spans="1:23" x14ac:dyDescent="0.35">
      <c r="A821" s="40">
        <v>44409</v>
      </c>
      <c r="B821">
        <v>2021</v>
      </c>
      <c r="C821" t="s">
        <v>305</v>
      </c>
      <c r="D821">
        <v>5</v>
      </c>
      <c r="E821">
        <v>31</v>
      </c>
      <c r="F821" t="s">
        <v>45</v>
      </c>
      <c r="G821" s="106">
        <v>0.71111111111111114</v>
      </c>
      <c r="H821" t="s">
        <v>80</v>
      </c>
      <c r="I821" t="s">
        <v>236</v>
      </c>
      <c r="J821">
        <v>74.2</v>
      </c>
      <c r="K821">
        <v>1.9</v>
      </c>
      <c r="L821">
        <v>47.4</v>
      </c>
      <c r="M821">
        <v>2</v>
      </c>
      <c r="N821" s="58">
        <v>27.8</v>
      </c>
      <c r="O821" s="58">
        <v>17.229800000000001</v>
      </c>
      <c r="P821" s="58">
        <v>14.631600000000001</v>
      </c>
      <c r="Q821" s="58">
        <v>9.0683157894736794</v>
      </c>
      <c r="R821" s="58">
        <v>13.9</v>
      </c>
      <c r="S821" s="58">
        <v>0.58649789029535904</v>
      </c>
      <c r="T821" t="s">
        <v>176</v>
      </c>
      <c r="U821" s="11">
        <v>23.426400000000001</v>
      </c>
      <c r="V821"/>
      <c r="W821"/>
    </row>
    <row r="822" spans="1:23" x14ac:dyDescent="0.35">
      <c r="A822" s="40">
        <v>44408</v>
      </c>
      <c r="B822">
        <v>2021</v>
      </c>
      <c r="C822" t="s">
        <v>305</v>
      </c>
      <c r="D822">
        <v>5</v>
      </c>
      <c r="E822">
        <v>31</v>
      </c>
      <c r="F822" t="s">
        <v>51</v>
      </c>
      <c r="G822" s="106">
        <v>0.57916666666666672</v>
      </c>
      <c r="H822" t="s">
        <v>80</v>
      </c>
      <c r="I822" t="s">
        <v>249</v>
      </c>
      <c r="J822">
        <v>74.3</v>
      </c>
      <c r="K822">
        <v>1.2</v>
      </c>
      <c r="L822">
        <v>16.5</v>
      </c>
      <c r="M822">
        <v>3</v>
      </c>
      <c r="N822" s="58">
        <v>28.2</v>
      </c>
      <c r="O822" s="58">
        <v>24.520499999999998</v>
      </c>
      <c r="P822" s="58">
        <v>23.5</v>
      </c>
      <c r="Q822" s="58">
        <v>20.43375</v>
      </c>
      <c r="R822" s="58">
        <v>9.4</v>
      </c>
      <c r="S822" s="58">
        <v>1.7090909090909101</v>
      </c>
      <c r="T822" t="s">
        <v>176</v>
      </c>
      <c r="U822" s="11">
        <v>23.941199999999998</v>
      </c>
      <c r="V822"/>
      <c r="W822"/>
    </row>
    <row r="823" spans="1:23" x14ac:dyDescent="0.35">
      <c r="A823" s="40">
        <v>44401</v>
      </c>
      <c r="B823">
        <v>2021</v>
      </c>
      <c r="C823" t="s">
        <v>305</v>
      </c>
      <c r="D823">
        <v>4</v>
      </c>
      <c r="E823">
        <v>30</v>
      </c>
      <c r="F823" t="s">
        <v>51</v>
      </c>
      <c r="G823" s="106">
        <v>0.70694444444444449</v>
      </c>
      <c r="H823" t="s">
        <v>80</v>
      </c>
      <c r="I823" t="s">
        <v>236</v>
      </c>
      <c r="J823">
        <v>69.599999999999994</v>
      </c>
      <c r="K823">
        <v>2.1</v>
      </c>
      <c r="L823">
        <v>58</v>
      </c>
      <c r="M823">
        <v>3</v>
      </c>
      <c r="N823" s="58">
        <v>24</v>
      </c>
      <c r="O823" s="58">
        <v>11.066000000000001</v>
      </c>
      <c r="P823" s="58">
        <v>11.428599999999999</v>
      </c>
      <c r="Q823" s="58">
        <v>5.2695238095238102</v>
      </c>
      <c r="R823" s="58">
        <v>8</v>
      </c>
      <c r="S823" s="58">
        <v>0.41379310344827602</v>
      </c>
      <c r="T823" t="s">
        <v>176</v>
      </c>
      <c r="U823" s="11">
        <v>24.083400000000001</v>
      </c>
      <c r="V823"/>
      <c r="W823"/>
    </row>
    <row r="824" spans="1:23" x14ac:dyDescent="0.35">
      <c r="A824" s="40">
        <v>44380</v>
      </c>
      <c r="B824">
        <v>2021</v>
      </c>
      <c r="C824" t="s">
        <v>305</v>
      </c>
      <c r="D824">
        <v>1</v>
      </c>
      <c r="E824">
        <v>27</v>
      </c>
      <c r="F824" t="s">
        <v>51</v>
      </c>
      <c r="G824" s="106">
        <v>0.54166666666666663</v>
      </c>
      <c r="H824" t="s">
        <v>80</v>
      </c>
      <c r="I824" t="s">
        <v>236</v>
      </c>
      <c r="J824">
        <v>58.2</v>
      </c>
      <c r="K824">
        <v>4.8000000000000007</v>
      </c>
      <c r="L824">
        <v>52.5</v>
      </c>
      <c r="M824">
        <v>7</v>
      </c>
      <c r="N824" s="58">
        <v>52</v>
      </c>
      <c r="O824" s="58">
        <v>40.292499999999997</v>
      </c>
      <c r="P824" s="58">
        <v>10.833299999999999</v>
      </c>
      <c r="Q824" s="58">
        <v>8.39427083333333</v>
      </c>
      <c r="R824" s="58">
        <v>7.4285714285714297</v>
      </c>
      <c r="S824" s="58">
        <v>0.99047619047618995</v>
      </c>
      <c r="T824" t="s">
        <v>176</v>
      </c>
      <c r="U824" s="11">
        <v>27.0871</v>
      </c>
      <c r="V824"/>
      <c r="W824"/>
    </row>
    <row r="825" spans="1:23" x14ac:dyDescent="0.35">
      <c r="A825" s="40">
        <v>44379</v>
      </c>
      <c r="B825">
        <v>2021</v>
      </c>
      <c r="C825" t="s">
        <v>305</v>
      </c>
      <c r="D825">
        <v>1</v>
      </c>
      <c r="E825">
        <v>27</v>
      </c>
      <c r="F825" t="s">
        <v>50</v>
      </c>
      <c r="G825" s="106">
        <v>0.78333333333333333</v>
      </c>
      <c r="H825" t="s">
        <v>85</v>
      </c>
      <c r="I825" t="s">
        <v>236</v>
      </c>
      <c r="J825">
        <v>58.1</v>
      </c>
      <c r="K825">
        <v>4</v>
      </c>
      <c r="L825">
        <v>95.6</v>
      </c>
      <c r="M825">
        <v>7</v>
      </c>
      <c r="N825" s="58">
        <v>50.5</v>
      </c>
      <c r="O825" s="58">
        <v>29.1812</v>
      </c>
      <c r="P825" s="58">
        <v>12.625</v>
      </c>
      <c r="Q825" s="58">
        <v>7.2953000000000001</v>
      </c>
      <c r="R825" s="58">
        <v>7.2142857142857197</v>
      </c>
      <c r="S825" s="58">
        <v>0.52824267782426804</v>
      </c>
      <c r="T825" t="s">
        <v>176</v>
      </c>
      <c r="U825" s="11">
        <v>26.5093</v>
      </c>
      <c r="V825"/>
      <c r="W825"/>
    </row>
    <row r="826" spans="1:23" x14ac:dyDescent="0.35">
      <c r="A826" s="40">
        <v>44376</v>
      </c>
      <c r="B826">
        <v>2021</v>
      </c>
      <c r="C826" t="s">
        <v>305</v>
      </c>
      <c r="D826">
        <v>1</v>
      </c>
      <c r="E826">
        <v>27</v>
      </c>
      <c r="F826" t="s">
        <v>47</v>
      </c>
      <c r="G826" s="106">
        <v>0.72430555555555554</v>
      </c>
      <c r="H826" t="s">
        <v>80</v>
      </c>
      <c r="I826" t="s">
        <v>236</v>
      </c>
      <c r="J826">
        <v>95.3</v>
      </c>
      <c r="K826">
        <v>3.8</v>
      </c>
      <c r="L826">
        <v>72</v>
      </c>
      <c r="M826">
        <v>9</v>
      </c>
      <c r="N826" s="58">
        <v>98.18</v>
      </c>
      <c r="O826" s="58">
        <v>82.123999999999995</v>
      </c>
      <c r="P826" s="58">
        <v>25.8368</v>
      </c>
      <c r="Q826" s="58">
        <v>21.6115789473684</v>
      </c>
      <c r="R826" s="58">
        <v>10.9088888888889</v>
      </c>
      <c r="S826" s="58">
        <v>1.36361111111111</v>
      </c>
      <c r="T826" t="s">
        <v>176</v>
      </c>
      <c r="U826" s="11">
        <v>26.345300000000002</v>
      </c>
      <c r="V826"/>
      <c r="W826"/>
    </row>
    <row r="827" spans="1:23" x14ac:dyDescent="0.35">
      <c r="A827" s="40">
        <v>44373</v>
      </c>
      <c r="B827">
        <v>2021</v>
      </c>
      <c r="C827" t="s">
        <v>287</v>
      </c>
      <c r="D827">
        <v>13</v>
      </c>
      <c r="E827">
        <v>26</v>
      </c>
      <c r="F827" t="s">
        <v>51</v>
      </c>
      <c r="G827" s="106">
        <v>0.67291666666666672</v>
      </c>
      <c r="H827" t="s">
        <v>85</v>
      </c>
      <c r="I827" t="s">
        <v>230</v>
      </c>
      <c r="J827">
        <v>93.1</v>
      </c>
      <c r="K827">
        <v>6.4</v>
      </c>
      <c r="L827">
        <v>112.99999999999999</v>
      </c>
      <c r="M827">
        <v>18</v>
      </c>
      <c r="N827" s="58">
        <v>134.36000000000001</v>
      </c>
      <c r="O827" s="58">
        <v>109.161</v>
      </c>
      <c r="P827" s="58">
        <v>20.9938</v>
      </c>
      <c r="Q827" s="58">
        <v>17.056406249999998</v>
      </c>
      <c r="R827" s="58">
        <v>7.4644444444444398</v>
      </c>
      <c r="S827" s="58">
        <v>1.18902654867257</v>
      </c>
      <c r="T827" t="s">
        <v>176</v>
      </c>
      <c r="U827" s="11">
        <v>25.2544</v>
      </c>
      <c r="V827"/>
      <c r="W827"/>
    </row>
    <row r="828" spans="1:23" x14ac:dyDescent="0.35">
      <c r="A828" s="40">
        <v>44371</v>
      </c>
      <c r="B828">
        <v>2021</v>
      </c>
      <c r="C828" t="s">
        <v>287</v>
      </c>
      <c r="D828">
        <v>13</v>
      </c>
      <c r="E828">
        <v>26</v>
      </c>
      <c r="F828" t="s">
        <v>49</v>
      </c>
      <c r="G828" s="106">
        <v>0.75486111111111109</v>
      </c>
      <c r="H828" t="s">
        <v>80</v>
      </c>
      <c r="I828" t="s">
        <v>236</v>
      </c>
      <c r="J828">
        <v>67.900000000000006</v>
      </c>
      <c r="K828">
        <v>2.8</v>
      </c>
      <c r="L828">
        <v>45</v>
      </c>
      <c r="M828">
        <v>8</v>
      </c>
      <c r="N828" s="58">
        <v>68.81</v>
      </c>
      <c r="O828" s="58">
        <v>58.774999999999999</v>
      </c>
      <c r="P828" s="58">
        <v>24.574999999999999</v>
      </c>
      <c r="Q828" s="58">
        <v>20.991071428571399</v>
      </c>
      <c r="R828" s="58">
        <v>8.6012500000000003</v>
      </c>
      <c r="S828" s="58">
        <v>1.52911111111111</v>
      </c>
      <c r="T828" t="s">
        <v>176</v>
      </c>
      <c r="U828" s="11">
        <v>26.617699999999999</v>
      </c>
      <c r="V828"/>
      <c r="W828"/>
    </row>
    <row r="829" spans="1:23" x14ac:dyDescent="0.35">
      <c r="A829" s="40">
        <v>44369</v>
      </c>
      <c r="B829">
        <v>2021</v>
      </c>
      <c r="C829" t="s">
        <v>287</v>
      </c>
      <c r="D829">
        <v>13</v>
      </c>
      <c r="E829">
        <v>26</v>
      </c>
      <c r="F829" t="s">
        <v>47</v>
      </c>
      <c r="G829" s="106">
        <v>0.86041666666666672</v>
      </c>
      <c r="H829" t="s">
        <v>80</v>
      </c>
      <c r="I829" t="s">
        <v>236</v>
      </c>
      <c r="J829">
        <v>70.2</v>
      </c>
      <c r="K829">
        <v>1.8</v>
      </c>
      <c r="L829">
        <v>40</v>
      </c>
      <c r="M829">
        <v>2</v>
      </c>
      <c r="N829" s="58">
        <v>32.909999999999997</v>
      </c>
      <c r="O829" s="58">
        <v>23.99</v>
      </c>
      <c r="P829" s="58">
        <v>18.283300000000001</v>
      </c>
      <c r="Q829" s="58">
        <v>13.327777777777801</v>
      </c>
      <c r="R829" s="58">
        <v>16.454999999999998</v>
      </c>
      <c r="S829" s="58">
        <v>0.82274999999999998</v>
      </c>
      <c r="T829" t="s">
        <v>176</v>
      </c>
      <c r="U829" s="11">
        <v>25.853100000000001</v>
      </c>
      <c r="V829"/>
      <c r="W829"/>
    </row>
    <row r="830" spans="1:23" x14ac:dyDescent="0.35">
      <c r="A830" s="40">
        <v>44367</v>
      </c>
      <c r="B830">
        <v>2021</v>
      </c>
      <c r="C830" t="s">
        <v>287</v>
      </c>
      <c r="D830">
        <v>12</v>
      </c>
      <c r="E830">
        <v>25</v>
      </c>
      <c r="F830" t="s">
        <v>45</v>
      </c>
      <c r="G830" s="106">
        <v>0.6694444444444444</v>
      </c>
      <c r="H830" t="s">
        <v>85</v>
      </c>
      <c r="I830" t="s">
        <v>249</v>
      </c>
      <c r="J830">
        <v>83.8</v>
      </c>
      <c r="K830">
        <v>2.9000000000000004</v>
      </c>
      <c r="L830">
        <v>69</v>
      </c>
      <c r="M830">
        <v>5</v>
      </c>
      <c r="N830" s="58">
        <v>110.89</v>
      </c>
      <c r="O830" s="58">
        <v>95.503</v>
      </c>
      <c r="P830" s="58">
        <v>38.237900000000003</v>
      </c>
      <c r="Q830" s="58">
        <v>32.932068965517203</v>
      </c>
      <c r="R830" s="58">
        <v>22.178000000000001</v>
      </c>
      <c r="S830" s="58">
        <v>1.6071014492753599</v>
      </c>
      <c r="T830" t="s">
        <v>176</v>
      </c>
      <c r="U830" s="11">
        <v>26.494</v>
      </c>
      <c r="V830"/>
      <c r="W830"/>
    </row>
    <row r="831" spans="1:23" x14ac:dyDescent="0.35">
      <c r="A831" s="40">
        <v>44366</v>
      </c>
      <c r="B831">
        <v>2021</v>
      </c>
      <c r="C831" t="s">
        <v>287</v>
      </c>
      <c r="D831">
        <v>12</v>
      </c>
      <c r="E831">
        <v>25</v>
      </c>
      <c r="F831" t="s">
        <v>51</v>
      </c>
      <c r="G831" s="106">
        <v>0.58611111111111114</v>
      </c>
      <c r="H831" t="s">
        <v>85</v>
      </c>
      <c r="I831" t="s">
        <v>249</v>
      </c>
      <c r="J831">
        <v>83</v>
      </c>
      <c r="K831">
        <v>7</v>
      </c>
      <c r="L831">
        <v>171</v>
      </c>
      <c r="M831">
        <v>15</v>
      </c>
      <c r="N831" s="58">
        <v>142.97999999999999</v>
      </c>
      <c r="O831" s="58">
        <v>104.84699999999999</v>
      </c>
      <c r="P831" s="58">
        <v>20.425699999999999</v>
      </c>
      <c r="Q831" s="58">
        <v>14.978142857142901</v>
      </c>
      <c r="R831" s="58">
        <v>9.532</v>
      </c>
      <c r="S831" s="58">
        <v>0.83614035087719296</v>
      </c>
      <c r="T831" t="s">
        <v>176</v>
      </c>
      <c r="U831" s="11">
        <v>26.015799999999999</v>
      </c>
      <c r="V831"/>
      <c r="W831"/>
    </row>
    <row r="832" spans="1:23" x14ac:dyDescent="0.35">
      <c r="A832" s="40">
        <v>44361</v>
      </c>
      <c r="B832">
        <v>2021</v>
      </c>
      <c r="C832" t="s">
        <v>287</v>
      </c>
      <c r="D832">
        <v>12</v>
      </c>
      <c r="E832">
        <v>25</v>
      </c>
      <c r="F832" t="s">
        <v>46</v>
      </c>
      <c r="G832" s="106">
        <v>0.8208333333333333</v>
      </c>
      <c r="H832" t="s">
        <v>80</v>
      </c>
      <c r="I832" t="s">
        <v>236</v>
      </c>
      <c r="J832">
        <v>67.2</v>
      </c>
      <c r="K832">
        <v>2.7</v>
      </c>
      <c r="L832">
        <v>57</v>
      </c>
      <c r="M832">
        <v>4</v>
      </c>
      <c r="N832" s="58">
        <v>35.75</v>
      </c>
      <c r="O832" s="58">
        <v>23.039000000000001</v>
      </c>
      <c r="P832" s="58">
        <v>13.2407</v>
      </c>
      <c r="Q832" s="58">
        <v>8.5329629629629604</v>
      </c>
      <c r="R832" s="58">
        <v>8.9375</v>
      </c>
      <c r="S832" s="58">
        <v>0.62719298245613997</v>
      </c>
      <c r="T832" t="s">
        <v>176</v>
      </c>
      <c r="U832" s="11">
        <v>26.723199999999999</v>
      </c>
      <c r="V832"/>
      <c r="W832"/>
    </row>
    <row r="833" spans="1:21" x14ac:dyDescent="0.35">
      <c r="A833" s="40">
        <v>44359</v>
      </c>
      <c r="B833">
        <v>2021</v>
      </c>
      <c r="C833" t="s">
        <v>287</v>
      </c>
      <c r="D833">
        <v>11</v>
      </c>
      <c r="E833">
        <v>24</v>
      </c>
      <c r="F833" t="s">
        <v>51</v>
      </c>
      <c r="G833" s="106">
        <v>0.60972222222222228</v>
      </c>
      <c r="H833" t="s">
        <v>85</v>
      </c>
      <c r="I833" t="s">
        <v>230</v>
      </c>
      <c r="J833">
        <v>80.099999999999994</v>
      </c>
      <c r="K833">
        <v>1.8</v>
      </c>
      <c r="L833">
        <v>31</v>
      </c>
      <c r="M833">
        <v>2</v>
      </c>
      <c r="N833" s="58">
        <v>26.34</v>
      </c>
      <c r="O833" s="58">
        <v>19.427</v>
      </c>
      <c r="P833" s="58">
        <v>14.6333</v>
      </c>
      <c r="Q833" s="58">
        <v>10.7927777777778</v>
      </c>
      <c r="R833" s="58">
        <v>13.17</v>
      </c>
      <c r="S833" s="58">
        <v>0.84967741935483898</v>
      </c>
      <c r="T833" t="s">
        <v>176</v>
      </c>
      <c r="U833" s="11">
        <v>27.237100000000002</v>
      </c>
    </row>
    <row r="834" spans="1:21" x14ac:dyDescent="0.35">
      <c r="A834" s="40">
        <v>44354</v>
      </c>
      <c r="B834">
        <v>2021</v>
      </c>
      <c r="C834" t="s">
        <v>287</v>
      </c>
      <c r="D834">
        <v>11</v>
      </c>
      <c r="E834">
        <v>24</v>
      </c>
      <c r="F834" t="s">
        <v>46</v>
      </c>
      <c r="G834" s="106">
        <v>0.76527777777777772</v>
      </c>
      <c r="H834" t="s">
        <v>82</v>
      </c>
      <c r="I834" t="s">
        <v>230</v>
      </c>
      <c r="J834">
        <v>90.1</v>
      </c>
      <c r="K834">
        <v>2.5</v>
      </c>
      <c r="L834">
        <v>45</v>
      </c>
      <c r="M834">
        <v>5</v>
      </c>
      <c r="N834" s="58">
        <v>24.75</v>
      </c>
      <c r="O834" s="58">
        <v>14.715</v>
      </c>
      <c r="P834" s="58">
        <v>9.9</v>
      </c>
      <c r="Q834" s="58">
        <v>5.8860000000000001</v>
      </c>
      <c r="R834" s="58">
        <v>4.95</v>
      </c>
      <c r="S834" s="58">
        <v>0.55000000000000004</v>
      </c>
      <c r="T834" t="s">
        <v>176</v>
      </c>
      <c r="U834" s="11">
        <v>27.860900000000001</v>
      </c>
    </row>
    <row r="835" spans="1:21" x14ac:dyDescent="0.35">
      <c r="A835" s="40">
        <v>44351</v>
      </c>
      <c r="B835">
        <v>2021</v>
      </c>
      <c r="C835" t="s">
        <v>287</v>
      </c>
      <c r="D835">
        <v>10</v>
      </c>
      <c r="E835">
        <v>23</v>
      </c>
      <c r="F835" t="s">
        <v>50</v>
      </c>
      <c r="G835" s="106">
        <v>0.75486111111111109</v>
      </c>
      <c r="H835" t="s">
        <v>82</v>
      </c>
      <c r="I835" t="s">
        <v>230</v>
      </c>
      <c r="J835">
        <v>85</v>
      </c>
      <c r="K835">
        <v>3</v>
      </c>
      <c r="L835">
        <v>52</v>
      </c>
      <c r="M835">
        <v>8</v>
      </c>
      <c r="N835" s="58">
        <v>77.39</v>
      </c>
      <c r="O835" s="58">
        <v>65.793999999999997</v>
      </c>
      <c r="P835" s="58">
        <v>25.796700000000001</v>
      </c>
      <c r="Q835" s="58">
        <v>21.931333333333299</v>
      </c>
      <c r="R835" s="58">
        <v>9.6737500000000001</v>
      </c>
      <c r="S835" s="58">
        <v>1.48826923076923</v>
      </c>
      <c r="T835" t="s">
        <v>176</v>
      </c>
      <c r="U835" s="11">
        <v>28.368200000000002</v>
      </c>
    </row>
    <row r="836" spans="1:21" x14ac:dyDescent="0.35">
      <c r="A836" s="40">
        <v>44350</v>
      </c>
      <c r="B836">
        <v>2021</v>
      </c>
      <c r="C836" t="s">
        <v>287</v>
      </c>
      <c r="D836">
        <v>10</v>
      </c>
      <c r="E836">
        <v>23</v>
      </c>
      <c r="F836" t="s">
        <v>49</v>
      </c>
      <c r="G836" s="106">
        <v>0.72083333333333333</v>
      </c>
      <c r="H836" t="s">
        <v>82</v>
      </c>
      <c r="I836" t="s">
        <v>236</v>
      </c>
      <c r="J836">
        <v>77</v>
      </c>
      <c r="K836">
        <v>2.8</v>
      </c>
      <c r="L836">
        <v>42</v>
      </c>
      <c r="M836">
        <v>6</v>
      </c>
      <c r="N836" s="58">
        <v>56</v>
      </c>
      <c r="O836" s="58">
        <v>46.634</v>
      </c>
      <c r="P836" s="58">
        <v>20</v>
      </c>
      <c r="Q836" s="58">
        <v>16.655000000000001</v>
      </c>
      <c r="R836" s="58">
        <v>9.3333333333333393</v>
      </c>
      <c r="S836" s="58">
        <v>1.3333333333333299</v>
      </c>
      <c r="T836" t="s">
        <v>176</v>
      </c>
      <c r="U836" s="11">
        <v>27.853300000000001</v>
      </c>
    </row>
    <row r="837" spans="1:21" x14ac:dyDescent="0.35">
      <c r="A837" s="40">
        <v>44347</v>
      </c>
      <c r="B837">
        <v>2021</v>
      </c>
      <c r="C837" t="s">
        <v>287</v>
      </c>
      <c r="D837">
        <v>10</v>
      </c>
      <c r="E837">
        <v>23</v>
      </c>
      <c r="F837" t="s">
        <v>46</v>
      </c>
      <c r="G837" s="106">
        <v>0.59027777777777779</v>
      </c>
      <c r="H837" t="s">
        <v>80</v>
      </c>
      <c r="I837" t="s">
        <v>230</v>
      </c>
      <c r="J837">
        <v>74.5</v>
      </c>
      <c r="K837">
        <v>4.2</v>
      </c>
      <c r="L837">
        <v>89</v>
      </c>
      <c r="M837">
        <v>11</v>
      </c>
      <c r="N837" s="58">
        <v>98.36</v>
      </c>
      <c r="O837" s="58">
        <v>78.513000000000005</v>
      </c>
      <c r="P837" s="58">
        <v>23.419</v>
      </c>
      <c r="Q837" s="58">
        <v>18.693571428571399</v>
      </c>
      <c r="R837" s="58">
        <v>8.9418181818181797</v>
      </c>
      <c r="S837" s="58">
        <v>1.1051685393258399</v>
      </c>
      <c r="T837" t="s">
        <v>176</v>
      </c>
      <c r="U837" s="11">
        <v>28.816400000000002</v>
      </c>
    </row>
    <row r="838" spans="1:21" x14ac:dyDescent="0.35">
      <c r="A838" s="40">
        <v>44345</v>
      </c>
      <c r="B838">
        <v>2021</v>
      </c>
      <c r="C838" t="s">
        <v>287</v>
      </c>
      <c r="D838">
        <v>9</v>
      </c>
      <c r="E838">
        <v>22</v>
      </c>
      <c r="F838" t="s">
        <v>51</v>
      </c>
      <c r="G838" s="106">
        <v>0.70277777777777772</v>
      </c>
      <c r="H838" t="s">
        <v>80</v>
      </c>
      <c r="I838" t="s">
        <v>236</v>
      </c>
      <c r="J838">
        <v>54.1</v>
      </c>
      <c r="K838">
        <v>2.9000000000000004</v>
      </c>
      <c r="L838">
        <v>60</v>
      </c>
      <c r="M838">
        <v>7</v>
      </c>
      <c r="N838" s="58">
        <v>66.5</v>
      </c>
      <c r="O838" s="58">
        <v>53.12</v>
      </c>
      <c r="P838" s="58">
        <v>22.931000000000001</v>
      </c>
      <c r="Q838" s="58">
        <v>18.3172413793103</v>
      </c>
      <c r="R838" s="58">
        <v>9.5</v>
      </c>
      <c r="S838" s="58">
        <v>1.1083333333333301</v>
      </c>
      <c r="T838" t="s">
        <v>176</v>
      </c>
      <c r="U838" s="11">
        <v>28.468</v>
      </c>
    </row>
    <row r="839" spans="1:21" x14ac:dyDescent="0.35">
      <c r="A839" s="40">
        <v>44342</v>
      </c>
      <c r="B839">
        <v>2021</v>
      </c>
      <c r="C839" t="s">
        <v>287</v>
      </c>
      <c r="D839">
        <v>9</v>
      </c>
      <c r="E839">
        <v>22</v>
      </c>
      <c r="F839" t="s">
        <v>48</v>
      </c>
      <c r="G839" s="106">
        <v>0.71736111111111112</v>
      </c>
      <c r="H839" t="s">
        <v>82</v>
      </c>
      <c r="I839" t="s">
        <v>236</v>
      </c>
      <c r="J839">
        <v>71.3</v>
      </c>
      <c r="K839">
        <v>3.9000000000000004</v>
      </c>
      <c r="L839">
        <v>54</v>
      </c>
      <c r="M839">
        <v>13</v>
      </c>
      <c r="N839" s="58">
        <v>102.85</v>
      </c>
      <c r="O839" s="58">
        <v>90.808000000000007</v>
      </c>
      <c r="P839" s="58">
        <v>26.3718</v>
      </c>
      <c r="Q839" s="58">
        <v>23.2841025641026</v>
      </c>
      <c r="R839" s="58">
        <v>7.9115384615384601</v>
      </c>
      <c r="S839" s="58">
        <v>1.9046296296296299</v>
      </c>
      <c r="T839" t="s">
        <v>176</v>
      </c>
      <c r="U839" s="11">
        <v>28.350200000000001</v>
      </c>
    </row>
    <row r="840" spans="1:21" x14ac:dyDescent="0.35">
      <c r="A840" s="40">
        <v>44339</v>
      </c>
      <c r="B840">
        <v>2021</v>
      </c>
      <c r="C840" t="s">
        <v>287</v>
      </c>
      <c r="D840">
        <v>8</v>
      </c>
      <c r="E840">
        <v>21</v>
      </c>
      <c r="F840" t="s">
        <v>45</v>
      </c>
      <c r="G840" s="106">
        <v>0.52777777777777779</v>
      </c>
      <c r="H840" t="s">
        <v>85</v>
      </c>
      <c r="I840" t="s">
        <v>230</v>
      </c>
      <c r="J840">
        <v>62.2</v>
      </c>
      <c r="K840">
        <v>6.6000000000000014</v>
      </c>
      <c r="L840">
        <v>142</v>
      </c>
      <c r="M840">
        <v>14</v>
      </c>
      <c r="N840" s="58">
        <v>189.8</v>
      </c>
      <c r="O840" s="58">
        <v>158.13399999999999</v>
      </c>
      <c r="P840" s="58">
        <v>28.7576</v>
      </c>
      <c r="Q840" s="58">
        <v>23.959696969696999</v>
      </c>
      <c r="R840" s="58">
        <v>13.5571428571429</v>
      </c>
      <c r="S840" s="58">
        <v>1.33661971830986</v>
      </c>
      <c r="T840" t="s">
        <v>176</v>
      </c>
      <c r="U840" s="11">
        <v>27.2074</v>
      </c>
    </row>
    <row r="841" spans="1:21" x14ac:dyDescent="0.35">
      <c r="A841" s="40">
        <v>44337</v>
      </c>
      <c r="B841">
        <v>2021</v>
      </c>
      <c r="C841" t="s">
        <v>287</v>
      </c>
      <c r="D841">
        <v>8</v>
      </c>
      <c r="E841">
        <v>21</v>
      </c>
      <c r="F841" t="s">
        <v>50</v>
      </c>
      <c r="G841" s="106">
        <v>0.8041666666666667</v>
      </c>
      <c r="H841" t="s">
        <v>85</v>
      </c>
      <c r="I841" t="s">
        <v>249</v>
      </c>
      <c r="J841">
        <v>77.900000000000006</v>
      </c>
      <c r="K841">
        <v>1.9</v>
      </c>
      <c r="L841">
        <v>63.9</v>
      </c>
      <c r="M841">
        <v>3</v>
      </c>
      <c r="N841" s="58">
        <v>43.87</v>
      </c>
      <c r="O841" s="58">
        <v>29.6203</v>
      </c>
      <c r="P841" s="58">
        <v>23.089500000000001</v>
      </c>
      <c r="Q841" s="58">
        <v>15.589631578947399</v>
      </c>
      <c r="R841" s="58">
        <v>14.623333333333299</v>
      </c>
      <c r="S841" s="58">
        <v>0.68654147104851304</v>
      </c>
      <c r="T841" t="s">
        <v>176</v>
      </c>
      <c r="U841" s="11">
        <v>26.1069</v>
      </c>
    </row>
    <row r="842" spans="1:21" x14ac:dyDescent="0.35">
      <c r="A842" s="40">
        <v>44336</v>
      </c>
      <c r="B842">
        <v>2021</v>
      </c>
      <c r="C842" t="s">
        <v>287</v>
      </c>
      <c r="D842">
        <v>8</v>
      </c>
      <c r="E842">
        <v>21</v>
      </c>
      <c r="F842" t="s">
        <v>49</v>
      </c>
      <c r="G842" s="106">
        <v>0.75972222222222219</v>
      </c>
      <c r="H842" t="s">
        <v>80</v>
      </c>
      <c r="I842" t="s">
        <v>236</v>
      </c>
      <c r="J842">
        <v>73.400000000000006</v>
      </c>
      <c r="K842">
        <v>0.89999999999999991</v>
      </c>
      <c r="L842">
        <v>22</v>
      </c>
      <c r="M842">
        <v>2</v>
      </c>
      <c r="N842" s="58">
        <v>19.61</v>
      </c>
      <c r="O842" s="58">
        <v>14.704000000000001</v>
      </c>
      <c r="P842" s="58">
        <v>21.788900000000002</v>
      </c>
      <c r="Q842" s="58">
        <v>16.337777777777799</v>
      </c>
      <c r="R842" s="58">
        <v>9.8049999999999997</v>
      </c>
      <c r="S842" s="58">
        <v>0.89136363636363602</v>
      </c>
      <c r="T842" t="s">
        <v>176</v>
      </c>
      <c r="U842" s="11">
        <v>26.6187</v>
      </c>
    </row>
    <row r="843" spans="1:21" x14ac:dyDescent="0.35">
      <c r="A843" s="40">
        <v>44333</v>
      </c>
      <c r="B843">
        <v>2021</v>
      </c>
      <c r="C843" t="s">
        <v>287</v>
      </c>
      <c r="D843">
        <v>8</v>
      </c>
      <c r="E843">
        <v>21</v>
      </c>
      <c r="F843" t="s">
        <v>46</v>
      </c>
      <c r="G843" s="106">
        <v>0.73472222222222228</v>
      </c>
      <c r="H843" t="s">
        <v>80</v>
      </c>
      <c r="I843" t="s">
        <v>249</v>
      </c>
      <c r="J843">
        <v>77.400000000000006</v>
      </c>
      <c r="K843">
        <v>4.6999999999999993</v>
      </c>
      <c r="L843">
        <v>93.070658369408378</v>
      </c>
      <c r="M843">
        <v>9</v>
      </c>
      <c r="N843" s="58">
        <v>79.73</v>
      </c>
      <c r="O843" s="58">
        <v>58.975243183621899</v>
      </c>
      <c r="P843" s="58">
        <v>16.963799999999999</v>
      </c>
      <c r="Q843" s="58">
        <v>12.5479240816217</v>
      </c>
      <c r="R843" s="58">
        <v>8.8588888888888899</v>
      </c>
      <c r="S843" s="58">
        <v>0.85666096487189602</v>
      </c>
      <c r="T843" t="s">
        <v>176</v>
      </c>
      <c r="U843" s="11">
        <v>26.4008</v>
      </c>
    </row>
    <row r="844" spans="1:21" x14ac:dyDescent="0.35">
      <c r="A844" s="40">
        <v>44330</v>
      </c>
      <c r="B844">
        <v>2021</v>
      </c>
      <c r="C844" t="s">
        <v>287</v>
      </c>
      <c r="D844">
        <v>7</v>
      </c>
      <c r="E844">
        <v>20</v>
      </c>
      <c r="F844" t="s">
        <v>50</v>
      </c>
      <c r="G844" s="106">
        <v>0.75138888888888888</v>
      </c>
      <c r="H844" t="s">
        <v>85</v>
      </c>
      <c r="I844" t="s">
        <v>236</v>
      </c>
      <c r="J844">
        <v>73.8</v>
      </c>
      <c r="K844">
        <v>1.9</v>
      </c>
      <c r="L844">
        <v>57.189545807727626</v>
      </c>
      <c r="M844">
        <v>4</v>
      </c>
      <c r="N844" s="58">
        <v>86.24</v>
      </c>
      <c r="O844" s="58">
        <v>73.486731284876697</v>
      </c>
      <c r="P844" s="58">
        <v>45.389499999999998</v>
      </c>
      <c r="Q844" s="58">
        <v>38.677226992040403</v>
      </c>
      <c r="R844" s="58">
        <v>21.56</v>
      </c>
      <c r="S844" s="58">
        <v>1.5079679123513301</v>
      </c>
      <c r="T844" t="s">
        <v>176</v>
      </c>
      <c r="U844" s="11">
        <v>27.457999999999998</v>
      </c>
    </row>
    <row r="845" spans="1:21" x14ac:dyDescent="0.35">
      <c r="A845" s="40">
        <v>44328</v>
      </c>
      <c r="B845">
        <v>2021</v>
      </c>
      <c r="C845" t="s">
        <v>287</v>
      </c>
      <c r="D845">
        <v>7</v>
      </c>
      <c r="E845">
        <v>20</v>
      </c>
      <c r="F845" t="s">
        <v>48</v>
      </c>
      <c r="G845" s="106">
        <v>0.70486111111111116</v>
      </c>
      <c r="H845" t="s">
        <v>80</v>
      </c>
      <c r="I845" t="s">
        <v>249</v>
      </c>
      <c r="J845">
        <v>67</v>
      </c>
      <c r="K845">
        <v>4.3000000000000007</v>
      </c>
      <c r="L845">
        <v>113.75302689594358</v>
      </c>
      <c r="M845">
        <v>11</v>
      </c>
      <c r="N845" s="58">
        <v>146.08000000000001</v>
      </c>
      <c r="O845" s="58">
        <v>120.713075002205</v>
      </c>
      <c r="P845" s="58">
        <v>33.972099999999998</v>
      </c>
      <c r="Q845" s="58">
        <v>28.072808140047599</v>
      </c>
      <c r="R845" s="58">
        <v>13.28</v>
      </c>
      <c r="S845" s="58">
        <v>1.2841856079454299</v>
      </c>
      <c r="T845" t="s">
        <v>176</v>
      </c>
      <c r="U845" s="11">
        <v>26.4998</v>
      </c>
    </row>
    <row r="846" spans="1:21" x14ac:dyDescent="0.35">
      <c r="A846" s="40">
        <v>44323</v>
      </c>
      <c r="B846">
        <v>2021</v>
      </c>
      <c r="C846" t="s">
        <v>287</v>
      </c>
      <c r="D846">
        <v>6</v>
      </c>
      <c r="E846">
        <v>19</v>
      </c>
      <c r="F846" t="s">
        <v>50</v>
      </c>
      <c r="G846" s="106">
        <v>0.72013888888888888</v>
      </c>
      <c r="H846" t="s">
        <v>85</v>
      </c>
      <c r="I846" t="s">
        <v>249</v>
      </c>
      <c r="J846">
        <v>53.8</v>
      </c>
      <c r="K846">
        <v>5.7</v>
      </c>
      <c r="L846">
        <v>157.27125097125096</v>
      </c>
      <c r="M846">
        <v>11</v>
      </c>
      <c r="N846" s="58">
        <v>86.57</v>
      </c>
      <c r="O846" s="58">
        <v>51.498511033410999</v>
      </c>
      <c r="P846" s="58">
        <v>15.1877</v>
      </c>
      <c r="Q846" s="58">
        <v>9.0348264970896501</v>
      </c>
      <c r="R846" s="58">
        <v>7.87</v>
      </c>
      <c r="S846" s="58">
        <v>0.55045025372008305</v>
      </c>
      <c r="T846" t="s">
        <v>176</v>
      </c>
      <c r="U846" s="11">
        <v>25.706800000000001</v>
      </c>
    </row>
    <row r="847" spans="1:21" x14ac:dyDescent="0.35">
      <c r="A847" s="40">
        <v>44322</v>
      </c>
      <c r="B847">
        <v>2021</v>
      </c>
      <c r="C847" t="s">
        <v>287</v>
      </c>
      <c r="D847">
        <v>6</v>
      </c>
      <c r="E847">
        <v>19</v>
      </c>
      <c r="F847" t="s">
        <v>49</v>
      </c>
      <c r="G847" s="106">
        <v>0.77986111111111112</v>
      </c>
      <c r="H847" t="s">
        <v>85</v>
      </c>
      <c r="I847" t="s">
        <v>230</v>
      </c>
      <c r="J847">
        <v>59.6</v>
      </c>
      <c r="K847">
        <v>3.9000000000000004</v>
      </c>
      <c r="L847">
        <v>85.784318711591439</v>
      </c>
      <c r="M847">
        <v>6</v>
      </c>
      <c r="N847" s="58">
        <v>66.97</v>
      </c>
      <c r="O847" s="58">
        <v>47.840096927315102</v>
      </c>
      <c r="P847" s="58">
        <v>17.171800000000001</v>
      </c>
      <c r="Q847" s="58">
        <v>12.2666915198244</v>
      </c>
      <c r="R847" s="58">
        <v>11.161666666666701</v>
      </c>
      <c r="S847" s="58">
        <v>0.78067881176692</v>
      </c>
      <c r="T847" t="s">
        <v>176</v>
      </c>
      <c r="U847" s="11">
        <v>24.744900000000001</v>
      </c>
    </row>
    <row r="848" spans="1:21" x14ac:dyDescent="0.35">
      <c r="A848" s="40">
        <v>44321</v>
      </c>
      <c r="B848">
        <v>2021</v>
      </c>
      <c r="C848" t="s">
        <v>287</v>
      </c>
      <c r="D848">
        <v>6</v>
      </c>
      <c r="E848">
        <v>19</v>
      </c>
      <c r="F848" t="s">
        <v>48</v>
      </c>
      <c r="G848" s="106">
        <v>0.73402777777777772</v>
      </c>
      <c r="H848" t="s">
        <v>80</v>
      </c>
      <c r="I848" t="s">
        <v>236</v>
      </c>
      <c r="J848">
        <v>58.7</v>
      </c>
      <c r="K848">
        <v>2.8</v>
      </c>
      <c r="L848">
        <v>72.388289842873192</v>
      </c>
      <c r="M848">
        <v>7</v>
      </c>
      <c r="N848" s="58">
        <v>104.94</v>
      </c>
      <c r="O848" s="58">
        <v>88.797411365039295</v>
      </c>
      <c r="P848" s="58">
        <v>37.4786</v>
      </c>
      <c r="Q848" s="58">
        <v>31.7133612017997</v>
      </c>
      <c r="R848" s="58">
        <v>14.9914285714286</v>
      </c>
      <c r="S848" s="58">
        <v>1.4496819890038</v>
      </c>
      <c r="T848" t="s">
        <v>176</v>
      </c>
      <c r="U848" s="11">
        <v>24.000800000000002</v>
      </c>
    </row>
    <row r="849" spans="1:21" x14ac:dyDescent="0.35">
      <c r="A849" s="40">
        <v>44320</v>
      </c>
      <c r="B849">
        <v>2021</v>
      </c>
      <c r="C849" t="s">
        <v>287</v>
      </c>
      <c r="D849">
        <v>6</v>
      </c>
      <c r="E849">
        <v>19</v>
      </c>
      <c r="F849" t="s">
        <v>47</v>
      </c>
      <c r="G849" s="106">
        <v>0.81388888888888888</v>
      </c>
      <c r="H849" t="s">
        <v>80</v>
      </c>
      <c r="I849" t="s">
        <v>236</v>
      </c>
      <c r="J849">
        <v>50</v>
      </c>
      <c r="K849">
        <v>1.4000000000000001</v>
      </c>
      <c r="L849">
        <v>31.023552789802793</v>
      </c>
      <c r="M849">
        <v>3</v>
      </c>
      <c r="N849" s="58">
        <v>26</v>
      </c>
      <c r="O849" s="58">
        <v>19.081747727873999</v>
      </c>
      <c r="P849" s="58">
        <v>18.571400000000001</v>
      </c>
      <c r="Q849" s="58">
        <v>13.629819805624299</v>
      </c>
      <c r="R849" s="58">
        <v>8.6666666666666607</v>
      </c>
      <c r="S849" s="58">
        <v>0.83807293691217699</v>
      </c>
      <c r="T849" t="s">
        <v>176</v>
      </c>
      <c r="U849" s="11">
        <v>22.834800000000001</v>
      </c>
    </row>
    <row r="850" spans="1:21" x14ac:dyDescent="0.35">
      <c r="A850" s="40">
        <v>44319</v>
      </c>
      <c r="B850">
        <v>2021</v>
      </c>
      <c r="C850" t="s">
        <v>287</v>
      </c>
      <c r="D850">
        <v>6</v>
      </c>
      <c r="E850">
        <v>19</v>
      </c>
      <c r="F850" t="s">
        <v>46</v>
      </c>
      <c r="G850" s="106">
        <v>0.74097222222222225</v>
      </c>
      <c r="H850" t="s">
        <v>80</v>
      </c>
      <c r="I850" t="s">
        <v>231</v>
      </c>
      <c r="J850">
        <v>61.1</v>
      </c>
      <c r="K850">
        <v>3.1</v>
      </c>
      <c r="L850">
        <v>72.388289842873192</v>
      </c>
      <c r="M850">
        <v>7</v>
      </c>
      <c r="N850" s="58">
        <v>74.13</v>
      </c>
      <c r="O850" s="58">
        <v>57.9874113650393</v>
      </c>
      <c r="P850" s="58">
        <v>23.9129</v>
      </c>
      <c r="Q850" s="58">
        <v>18.7056165693675</v>
      </c>
      <c r="R850" s="58">
        <v>10.59</v>
      </c>
      <c r="S850" s="58">
        <v>1.0240606617576899</v>
      </c>
      <c r="T850" t="s">
        <v>176</v>
      </c>
      <c r="U850" s="11">
        <v>22.5459</v>
      </c>
    </row>
    <row r="851" spans="1:21" x14ac:dyDescent="0.35">
      <c r="A851" s="40">
        <v>44318</v>
      </c>
      <c r="B851">
        <v>2021</v>
      </c>
      <c r="C851" t="s">
        <v>287</v>
      </c>
      <c r="D851">
        <v>5</v>
      </c>
      <c r="E851">
        <v>18</v>
      </c>
      <c r="F851" t="s">
        <v>45</v>
      </c>
      <c r="G851" s="106">
        <v>0.66180555555555554</v>
      </c>
      <c r="H851" t="s">
        <v>80</v>
      </c>
      <c r="I851" t="s">
        <v>249</v>
      </c>
      <c r="J851">
        <v>56.8</v>
      </c>
      <c r="K851">
        <v>3.4999999999999996</v>
      </c>
      <c r="L851">
        <v>62.047105579605585</v>
      </c>
      <c r="M851">
        <v>6</v>
      </c>
      <c r="N851" s="58">
        <v>41</v>
      </c>
      <c r="O851" s="58">
        <v>27.163495455747999</v>
      </c>
      <c r="P851" s="58">
        <v>11.7143</v>
      </c>
      <c r="Q851" s="58">
        <v>7.7609987016422703</v>
      </c>
      <c r="R851" s="58">
        <v>6.8333333333333304</v>
      </c>
      <c r="S851" s="58">
        <v>0.66078827718075495</v>
      </c>
      <c r="T851" t="s">
        <v>176</v>
      </c>
      <c r="U851" s="11">
        <v>22.320399999999999</v>
      </c>
    </row>
    <row r="852" spans="1:21" x14ac:dyDescent="0.35">
      <c r="A852" s="40">
        <v>44311</v>
      </c>
      <c r="B852">
        <v>2021</v>
      </c>
      <c r="C852" t="s">
        <v>287</v>
      </c>
      <c r="D852">
        <v>4</v>
      </c>
      <c r="E852">
        <v>17</v>
      </c>
      <c r="F852" t="s">
        <v>45</v>
      </c>
      <c r="G852" s="106">
        <v>0.53055555555555556</v>
      </c>
      <c r="H852" t="s">
        <v>80</v>
      </c>
      <c r="I852" t="s">
        <v>236</v>
      </c>
      <c r="J852">
        <v>44.4</v>
      </c>
      <c r="K852">
        <v>1.9</v>
      </c>
      <c r="L852">
        <v>51.705921316337992</v>
      </c>
      <c r="M852">
        <v>5</v>
      </c>
      <c r="N852" s="58">
        <v>41</v>
      </c>
      <c r="O852" s="58">
        <v>29.4695795464566</v>
      </c>
      <c r="P852" s="58">
        <v>21.578900000000001</v>
      </c>
      <c r="Q852" s="58">
        <v>15.510305024450901</v>
      </c>
      <c r="R852" s="58">
        <v>8.1999999999999993</v>
      </c>
      <c r="S852" s="58">
        <v>0.79294593261690605</v>
      </c>
      <c r="T852" t="s">
        <v>176</v>
      </c>
      <c r="U852" s="11">
        <v>23.354199999999999</v>
      </c>
    </row>
    <row r="853" spans="1:21" x14ac:dyDescent="0.35">
      <c r="A853" s="40">
        <v>44304</v>
      </c>
      <c r="B853">
        <v>2021</v>
      </c>
      <c r="C853" t="s">
        <v>287</v>
      </c>
      <c r="D853">
        <v>3</v>
      </c>
      <c r="E853">
        <v>16</v>
      </c>
      <c r="F853" t="s">
        <v>45</v>
      </c>
      <c r="G853" s="106">
        <v>0.4513888888888889</v>
      </c>
      <c r="H853" t="s">
        <v>85</v>
      </c>
      <c r="I853" t="s">
        <v>236</v>
      </c>
      <c r="J853">
        <v>61.9</v>
      </c>
      <c r="K853">
        <v>1.88</v>
      </c>
      <c r="L853">
        <v>19</v>
      </c>
      <c r="M853">
        <v>4</v>
      </c>
      <c r="N853" s="58">
        <v>30.67</v>
      </c>
      <c r="O853" s="58">
        <v>26.433</v>
      </c>
      <c r="P853" s="58">
        <v>16.313800000000001</v>
      </c>
      <c r="Q853" s="58">
        <v>14.060106382978701</v>
      </c>
      <c r="R853" s="58">
        <v>7.6675000000000004</v>
      </c>
      <c r="S853" s="58">
        <v>1.61421052631579</v>
      </c>
      <c r="T853" t="s">
        <v>176</v>
      </c>
      <c r="U853" s="11">
        <v>22.898700000000002</v>
      </c>
    </row>
    <row r="854" spans="1:21" x14ac:dyDescent="0.35">
      <c r="A854" s="40">
        <v>44303</v>
      </c>
      <c r="B854">
        <v>2021</v>
      </c>
      <c r="C854" t="s">
        <v>287</v>
      </c>
      <c r="D854">
        <v>3</v>
      </c>
      <c r="E854">
        <v>16</v>
      </c>
      <c r="F854" t="s">
        <v>51</v>
      </c>
      <c r="G854" s="106">
        <v>0.75694444444444442</v>
      </c>
      <c r="H854" t="s">
        <v>80</v>
      </c>
      <c r="I854" t="s">
        <v>249</v>
      </c>
      <c r="J854">
        <v>50.9</v>
      </c>
      <c r="K854">
        <v>2.67</v>
      </c>
      <c r="L854">
        <v>73</v>
      </c>
      <c r="M854">
        <v>6</v>
      </c>
      <c r="N854" s="58">
        <v>83.04</v>
      </c>
      <c r="O854" s="58">
        <v>66.760999999999996</v>
      </c>
      <c r="P854" s="58">
        <v>31.101099999999999</v>
      </c>
      <c r="Q854" s="58">
        <v>25.004119850187301</v>
      </c>
      <c r="R854" s="58">
        <v>13.84</v>
      </c>
      <c r="S854" s="58">
        <v>1.13753424657534</v>
      </c>
      <c r="T854" t="s">
        <v>176</v>
      </c>
      <c r="U854" s="11">
        <v>22.5579</v>
      </c>
    </row>
    <row r="855" spans="1:21" x14ac:dyDescent="0.35">
      <c r="A855" s="40">
        <v>44302</v>
      </c>
      <c r="B855">
        <v>2021</v>
      </c>
      <c r="C855" t="s">
        <v>287</v>
      </c>
      <c r="D855">
        <v>3</v>
      </c>
      <c r="E855">
        <v>16</v>
      </c>
      <c r="F855" t="s">
        <v>50</v>
      </c>
      <c r="G855" s="106">
        <v>0.73611111111111116</v>
      </c>
      <c r="H855" t="s">
        <v>85</v>
      </c>
      <c r="I855" t="s">
        <v>235</v>
      </c>
      <c r="J855">
        <v>40.799999999999997</v>
      </c>
      <c r="K855">
        <v>7.13</v>
      </c>
      <c r="L855">
        <v>188</v>
      </c>
      <c r="M855">
        <v>12</v>
      </c>
      <c r="N855" s="58">
        <v>139.62</v>
      </c>
      <c r="O855" s="58">
        <v>97.695999999999998</v>
      </c>
      <c r="P855" s="58">
        <v>19.582000000000001</v>
      </c>
      <c r="Q855" s="58">
        <v>13.7021037868163</v>
      </c>
      <c r="R855" s="58">
        <v>11.635</v>
      </c>
      <c r="S855" s="58">
        <v>0.74265957446808495</v>
      </c>
      <c r="T855" t="s">
        <v>176</v>
      </c>
      <c r="U855" s="11">
        <v>22.034700000000001</v>
      </c>
    </row>
    <row r="856" spans="1:21" x14ac:dyDescent="0.35">
      <c r="A856" s="40">
        <v>44289</v>
      </c>
      <c r="B856">
        <v>2021</v>
      </c>
      <c r="C856" t="s">
        <v>287</v>
      </c>
      <c r="D856">
        <v>1</v>
      </c>
      <c r="E856">
        <v>14</v>
      </c>
      <c r="F856" t="s">
        <v>51</v>
      </c>
      <c r="G856" s="106">
        <v>0.54791666666666672</v>
      </c>
      <c r="H856" t="s">
        <v>80</v>
      </c>
      <c r="I856" t="s">
        <v>230</v>
      </c>
      <c r="J856">
        <v>56.4</v>
      </c>
      <c r="K856">
        <v>1.2</v>
      </c>
      <c r="L856">
        <v>31.023552789802793</v>
      </c>
      <c r="M856">
        <v>3</v>
      </c>
      <c r="N856" s="58">
        <v>35.74</v>
      </c>
      <c r="O856" s="58">
        <v>28.821747727874001</v>
      </c>
      <c r="P856" s="58">
        <v>29.783300000000001</v>
      </c>
      <c r="Q856" s="58">
        <v>24.0181231065616</v>
      </c>
      <c r="R856" s="58">
        <v>11.9133333333333</v>
      </c>
      <c r="S856" s="58">
        <v>1.15202795250928</v>
      </c>
      <c r="T856" t="s">
        <v>176</v>
      </c>
      <c r="U856" s="11">
        <v>21.327400000000001</v>
      </c>
    </row>
    <row r="857" spans="1:21" x14ac:dyDescent="0.35">
      <c r="A857" s="40">
        <v>44282</v>
      </c>
      <c r="B857">
        <v>2021</v>
      </c>
      <c r="C857" t="s">
        <v>278</v>
      </c>
      <c r="D857">
        <v>13</v>
      </c>
      <c r="E857">
        <v>13</v>
      </c>
      <c r="F857" t="s">
        <v>51</v>
      </c>
      <c r="G857" s="106">
        <v>0.65555555555555556</v>
      </c>
      <c r="H857" t="s">
        <v>80</v>
      </c>
      <c r="I857" t="s">
        <v>236</v>
      </c>
      <c r="J857">
        <v>38.9</v>
      </c>
      <c r="K857">
        <v>7.8999999999999995</v>
      </c>
      <c r="L857">
        <v>175.80013247554916</v>
      </c>
      <c r="M857">
        <v>17</v>
      </c>
      <c r="N857" s="58">
        <v>257.05</v>
      </c>
      <c r="O857" s="58">
        <v>217.84657045795299</v>
      </c>
      <c r="P857" s="58">
        <v>32.537999999999997</v>
      </c>
      <c r="Q857" s="58">
        <v>27.575515247842102</v>
      </c>
      <c r="R857" s="58">
        <v>15.1205882352941</v>
      </c>
      <c r="S857" s="58">
        <v>1.4621718219453099</v>
      </c>
      <c r="T857" t="s">
        <v>176</v>
      </c>
      <c r="U857" s="11">
        <v>21.834199999999999</v>
      </c>
    </row>
    <row r="858" spans="1:21" x14ac:dyDescent="0.35">
      <c r="A858" s="40">
        <v>44279</v>
      </c>
      <c r="B858">
        <v>2021</v>
      </c>
      <c r="C858" t="s">
        <v>278</v>
      </c>
      <c r="D858">
        <v>13</v>
      </c>
      <c r="E858">
        <v>13</v>
      </c>
      <c r="F858" t="s">
        <v>48</v>
      </c>
      <c r="G858" s="106">
        <v>0.73055555555555551</v>
      </c>
      <c r="H858" t="s">
        <v>80</v>
      </c>
      <c r="I858" t="s">
        <v>236</v>
      </c>
      <c r="J858">
        <v>53.6</v>
      </c>
      <c r="K858">
        <v>2.5999999999999996</v>
      </c>
      <c r="L858">
        <v>62.047105579605585</v>
      </c>
      <c r="M858">
        <v>6</v>
      </c>
      <c r="N858" s="58">
        <v>90.59</v>
      </c>
      <c r="O858" s="58">
        <v>76.753495455747995</v>
      </c>
      <c r="P858" s="58">
        <v>34.842300000000002</v>
      </c>
      <c r="Q858" s="58">
        <v>29.5205751752877</v>
      </c>
      <c r="R858" s="58">
        <v>15.098333333333301</v>
      </c>
      <c r="S858" s="58">
        <v>1.4600197568244999</v>
      </c>
      <c r="T858" t="s">
        <v>176</v>
      </c>
      <c r="U858" s="11">
        <v>18.978100000000001</v>
      </c>
    </row>
    <row r="859" spans="1:21" x14ac:dyDescent="0.35">
      <c r="A859" s="40">
        <v>44277</v>
      </c>
      <c r="B859">
        <v>2021</v>
      </c>
      <c r="C859" t="s">
        <v>278</v>
      </c>
      <c r="D859">
        <v>13</v>
      </c>
      <c r="E859">
        <v>13</v>
      </c>
      <c r="F859" t="s">
        <v>46</v>
      </c>
      <c r="G859" s="106">
        <v>0.74236111111111114</v>
      </c>
      <c r="H859" t="s">
        <v>80</v>
      </c>
      <c r="I859" t="s">
        <v>249</v>
      </c>
      <c r="J859">
        <v>64.3</v>
      </c>
      <c r="K859">
        <v>2</v>
      </c>
      <c r="L859">
        <v>51.705921316337992</v>
      </c>
      <c r="M859">
        <v>5</v>
      </c>
      <c r="N859" s="58">
        <v>67.849999999999994</v>
      </c>
      <c r="O859" s="58">
        <v>56.319579546456602</v>
      </c>
      <c r="P859" s="58">
        <v>33.924999999999997</v>
      </c>
      <c r="Q859" s="58">
        <v>28.159789773228301</v>
      </c>
      <c r="R859" s="58">
        <v>13.57</v>
      </c>
      <c r="S859" s="58">
        <v>1.3122288177574899</v>
      </c>
      <c r="T859" t="s">
        <v>176</v>
      </c>
      <c r="U859" s="11">
        <v>17.971599999999999</v>
      </c>
    </row>
    <row r="860" spans="1:21" x14ac:dyDescent="0.35">
      <c r="A860" s="40">
        <v>44274</v>
      </c>
      <c r="B860">
        <v>2021</v>
      </c>
      <c r="C860" t="s">
        <v>278</v>
      </c>
      <c r="D860">
        <v>12</v>
      </c>
      <c r="E860">
        <v>12</v>
      </c>
      <c r="F860" t="s">
        <v>50</v>
      </c>
      <c r="H860" t="s">
        <v>85</v>
      </c>
      <c r="I860" t="s">
        <v>230</v>
      </c>
      <c r="J860">
        <v>54.2</v>
      </c>
      <c r="K860">
        <v>3.5999999999999996</v>
      </c>
      <c r="L860">
        <v>85.784318711591439</v>
      </c>
      <c r="M860">
        <v>6</v>
      </c>
      <c r="N860" s="58">
        <v>122.86</v>
      </c>
      <c r="O860" s="58">
        <v>103.730096927315</v>
      </c>
      <c r="P860" s="58">
        <v>34.127800000000001</v>
      </c>
      <c r="Q860" s="58">
        <v>28.813915813143101</v>
      </c>
      <c r="R860" s="58">
        <v>20.476666666666699</v>
      </c>
      <c r="S860" s="58">
        <v>1.4321964881840199</v>
      </c>
      <c r="T860" t="s">
        <v>176</v>
      </c>
      <c r="U860" s="11">
        <v>17.217700000000001</v>
      </c>
    </row>
    <row r="861" spans="1:21" x14ac:dyDescent="0.35">
      <c r="A861" s="40">
        <v>44272</v>
      </c>
      <c r="B861">
        <v>2021</v>
      </c>
      <c r="C861" t="s">
        <v>278</v>
      </c>
      <c r="D861">
        <v>12</v>
      </c>
      <c r="E861">
        <v>12</v>
      </c>
      <c r="F861" t="s">
        <v>48</v>
      </c>
      <c r="H861" t="s">
        <v>80</v>
      </c>
      <c r="I861" t="s">
        <v>236</v>
      </c>
      <c r="J861">
        <v>42.3</v>
      </c>
      <c r="K861">
        <v>2.041666666666667</v>
      </c>
      <c r="L861">
        <v>72.388289842873192</v>
      </c>
      <c r="M861">
        <v>7</v>
      </c>
      <c r="N861" s="58">
        <v>83.79</v>
      </c>
      <c r="O861" s="58">
        <v>67.647411365039304</v>
      </c>
      <c r="P861" s="58">
        <v>41.04</v>
      </c>
      <c r="Q861" s="58">
        <v>33.133425974713099</v>
      </c>
      <c r="R861" s="58">
        <v>11.97</v>
      </c>
      <c r="S861" s="58">
        <v>1.1575076601737</v>
      </c>
      <c r="T861" t="s">
        <v>176</v>
      </c>
      <c r="U861" s="11">
        <v>15.852600000000001</v>
      </c>
    </row>
    <row r="862" spans="1:21" x14ac:dyDescent="0.35">
      <c r="A862" s="40">
        <v>44270</v>
      </c>
      <c r="B862">
        <v>2021</v>
      </c>
      <c r="C862" t="s">
        <v>278</v>
      </c>
      <c r="D862">
        <v>12</v>
      </c>
      <c r="E862">
        <v>12</v>
      </c>
      <c r="F862" t="s">
        <v>46</v>
      </c>
      <c r="H862" t="s">
        <v>80</v>
      </c>
      <c r="I862" t="s">
        <v>230</v>
      </c>
      <c r="J862">
        <v>29.3</v>
      </c>
      <c r="K862">
        <v>2.541666666666667</v>
      </c>
      <c r="L862">
        <v>62.047105579605585</v>
      </c>
      <c r="M862">
        <v>6</v>
      </c>
      <c r="N862" s="58">
        <v>82</v>
      </c>
      <c r="O862" s="58">
        <v>68.163495455748006</v>
      </c>
      <c r="P862" s="58">
        <v>32.262300000000003</v>
      </c>
      <c r="Q862" s="58">
        <v>26.8184244416057</v>
      </c>
      <c r="R862" s="58">
        <v>13.6666666666667</v>
      </c>
      <c r="S862" s="58">
        <v>1.3215765543615099</v>
      </c>
      <c r="T862" t="s">
        <v>176</v>
      </c>
      <c r="U862" s="11">
        <v>14.9216</v>
      </c>
    </row>
    <row r="863" spans="1:21" x14ac:dyDescent="0.35">
      <c r="A863" s="40">
        <v>44267</v>
      </c>
      <c r="B863">
        <v>2021</v>
      </c>
      <c r="C863" t="s">
        <v>278</v>
      </c>
      <c r="D863">
        <v>11</v>
      </c>
      <c r="E863">
        <v>11</v>
      </c>
      <c r="F863" t="s">
        <v>50</v>
      </c>
      <c r="H863" t="s">
        <v>80</v>
      </c>
      <c r="I863" t="s">
        <v>249</v>
      </c>
      <c r="J863">
        <v>32.299999999999997</v>
      </c>
      <c r="K863">
        <v>2.5666666666666664</v>
      </c>
      <c r="L863">
        <v>51.705921316337992</v>
      </c>
      <c r="M863">
        <v>5</v>
      </c>
      <c r="N863" s="58">
        <v>40.86</v>
      </c>
      <c r="O863" s="58">
        <v>29.3295795464566</v>
      </c>
      <c r="P863" s="58">
        <v>15.919499999999999</v>
      </c>
      <c r="Q863" s="58">
        <v>11.427108914203901</v>
      </c>
      <c r="R863" s="58">
        <v>8.1720000000000006</v>
      </c>
      <c r="S863" s="58">
        <v>0.79023831235918995</v>
      </c>
      <c r="T863" t="s">
        <v>176</v>
      </c>
      <c r="U863" s="11">
        <v>14.010400000000001</v>
      </c>
    </row>
    <row r="864" spans="1:21" x14ac:dyDescent="0.35">
      <c r="A864" s="40">
        <v>44265</v>
      </c>
      <c r="B864">
        <v>2021</v>
      </c>
      <c r="C864" t="s">
        <v>278</v>
      </c>
      <c r="D864">
        <v>11</v>
      </c>
      <c r="E864">
        <v>11</v>
      </c>
      <c r="F864" t="s">
        <v>48</v>
      </c>
      <c r="H864" t="s">
        <v>80</v>
      </c>
      <c r="I864" t="s">
        <v>230</v>
      </c>
      <c r="J864">
        <v>56.3</v>
      </c>
      <c r="K864">
        <v>1.6416666666666666</v>
      </c>
      <c r="L864">
        <v>41.364737053070392</v>
      </c>
      <c r="M864">
        <v>4</v>
      </c>
      <c r="N864" s="58">
        <v>41.62</v>
      </c>
      <c r="O864" s="58">
        <v>32.395663637165299</v>
      </c>
      <c r="P864" s="58">
        <v>25.3523</v>
      </c>
      <c r="Q864" s="58">
        <v>19.733399169846901</v>
      </c>
      <c r="R864" s="58">
        <v>10.404999999999999</v>
      </c>
      <c r="S864" s="58">
        <v>1.0061710279120599</v>
      </c>
      <c r="T864" t="s">
        <v>176</v>
      </c>
      <c r="U864" s="11">
        <v>13.5564</v>
      </c>
    </row>
    <row r="865" spans="1:21" x14ac:dyDescent="0.35">
      <c r="A865" s="40">
        <v>44264</v>
      </c>
      <c r="B865">
        <v>2021</v>
      </c>
      <c r="C865" t="s">
        <v>278</v>
      </c>
      <c r="D865">
        <v>11</v>
      </c>
      <c r="E865">
        <v>11</v>
      </c>
      <c r="F865" t="s">
        <v>47</v>
      </c>
      <c r="H865" t="s">
        <v>80</v>
      </c>
      <c r="I865" t="s">
        <v>230</v>
      </c>
      <c r="J865">
        <v>40</v>
      </c>
      <c r="K865">
        <v>1.4416666666666664</v>
      </c>
      <c r="L865">
        <v>41.364737053070392</v>
      </c>
      <c r="M865">
        <v>4</v>
      </c>
      <c r="N865" s="58">
        <v>70.41</v>
      </c>
      <c r="O865" s="58">
        <v>61.185663637165298</v>
      </c>
      <c r="P865" s="58">
        <v>48.839300000000001</v>
      </c>
      <c r="Q865" s="58">
        <v>42.440922754103099</v>
      </c>
      <c r="R865" s="58">
        <v>17.602499999999999</v>
      </c>
      <c r="S865" s="58">
        <v>1.70217448523038</v>
      </c>
      <c r="T865" t="s">
        <v>176</v>
      </c>
      <c r="U865" s="11">
        <v>13.093999999999999</v>
      </c>
    </row>
    <row r="866" spans="1:21" x14ac:dyDescent="0.35">
      <c r="A866" s="40">
        <v>44261</v>
      </c>
      <c r="B866">
        <v>2021</v>
      </c>
      <c r="C866" t="s">
        <v>278</v>
      </c>
      <c r="D866">
        <v>10</v>
      </c>
      <c r="E866">
        <v>10</v>
      </c>
      <c r="F866" t="s">
        <v>51</v>
      </c>
      <c r="H866" t="s">
        <v>80</v>
      </c>
      <c r="I866" t="s">
        <v>230</v>
      </c>
      <c r="J866">
        <v>25.3</v>
      </c>
      <c r="K866">
        <v>0.70833333333333326</v>
      </c>
      <c r="L866">
        <v>20.682368526535196</v>
      </c>
      <c r="M866">
        <v>2</v>
      </c>
      <c r="N866" s="58">
        <v>31.05</v>
      </c>
      <c r="O866" s="58">
        <v>26.437831818582598</v>
      </c>
      <c r="P866" s="58">
        <v>43.835299999999997</v>
      </c>
      <c r="Q866" s="58">
        <v>37.323997861528497</v>
      </c>
      <c r="R866" s="58">
        <v>15.525</v>
      </c>
      <c r="S866" s="58">
        <v>1.5012787321801799</v>
      </c>
      <c r="T866" t="s">
        <v>176</v>
      </c>
      <c r="U866" s="11">
        <v>12.3117</v>
      </c>
    </row>
    <row r="867" spans="1:21" x14ac:dyDescent="0.35">
      <c r="A867" s="40">
        <v>44260</v>
      </c>
      <c r="B867">
        <v>2021</v>
      </c>
      <c r="C867" t="s">
        <v>278</v>
      </c>
      <c r="D867">
        <v>10</v>
      </c>
      <c r="E867">
        <v>10</v>
      </c>
      <c r="F867" t="s">
        <v>50</v>
      </c>
      <c r="H867" t="s">
        <v>85</v>
      </c>
      <c r="I867" t="s">
        <v>249</v>
      </c>
      <c r="J867">
        <v>20.6</v>
      </c>
      <c r="K867">
        <v>4.3499999999999996</v>
      </c>
      <c r="L867">
        <v>100.08170516352334</v>
      </c>
      <c r="M867">
        <v>7</v>
      </c>
      <c r="N867" s="58">
        <v>142.68</v>
      </c>
      <c r="O867" s="58">
        <v>120.361779748534</v>
      </c>
      <c r="P867" s="58">
        <v>32.799999999999997</v>
      </c>
      <c r="Q867" s="58">
        <v>27.669374654835501</v>
      </c>
      <c r="R867" s="58">
        <v>20.382857142857102</v>
      </c>
      <c r="S867" s="58">
        <v>1.4256351824429401</v>
      </c>
      <c r="T867" t="s">
        <v>176</v>
      </c>
      <c r="U867" s="11">
        <v>11.966699999999999</v>
      </c>
    </row>
    <row r="868" spans="1:21" x14ac:dyDescent="0.35">
      <c r="A868" s="40">
        <v>44257</v>
      </c>
      <c r="B868">
        <v>2021</v>
      </c>
      <c r="C868" t="s">
        <v>278</v>
      </c>
      <c r="D868">
        <v>10</v>
      </c>
      <c r="E868">
        <v>10</v>
      </c>
      <c r="F868" t="s">
        <v>47</v>
      </c>
      <c r="H868" t="s">
        <v>82</v>
      </c>
      <c r="I868" t="s">
        <v>249</v>
      </c>
      <c r="J868">
        <v>28.6</v>
      </c>
      <c r="K868">
        <v>1.5</v>
      </c>
      <c r="L868">
        <v>31.56942307692308</v>
      </c>
      <c r="M868">
        <v>4</v>
      </c>
      <c r="N868" s="58">
        <v>29.5</v>
      </c>
      <c r="O868" s="58">
        <v>22.460018653846198</v>
      </c>
      <c r="P868" s="58">
        <v>19.666699999999999</v>
      </c>
      <c r="Q868" s="58">
        <v>14.9733457692308</v>
      </c>
      <c r="R868" s="58">
        <v>7.375</v>
      </c>
      <c r="S868" s="58">
        <v>0.93444849872990499</v>
      </c>
      <c r="T868" t="s">
        <v>176</v>
      </c>
      <c r="U868" s="11">
        <v>10.3813</v>
      </c>
    </row>
    <row r="869" spans="1:21" x14ac:dyDescent="0.35">
      <c r="A869" s="40">
        <v>44256</v>
      </c>
      <c r="B869">
        <v>2021</v>
      </c>
      <c r="C869" t="s">
        <v>278</v>
      </c>
      <c r="D869">
        <v>10</v>
      </c>
      <c r="E869">
        <v>10</v>
      </c>
      <c r="F869" t="s">
        <v>46</v>
      </c>
      <c r="H869" t="s">
        <v>80</v>
      </c>
      <c r="I869" t="s">
        <v>249</v>
      </c>
      <c r="J869">
        <v>5.5</v>
      </c>
      <c r="K869">
        <v>1.8666666666666667</v>
      </c>
      <c r="L869">
        <v>41.364737053070392</v>
      </c>
      <c r="M869">
        <v>4</v>
      </c>
      <c r="N869" s="58">
        <v>37.5</v>
      </c>
      <c r="O869" s="58">
        <v>28.275663637165302</v>
      </c>
      <c r="P869" s="58">
        <v>20.089300000000001</v>
      </c>
      <c r="Q869" s="58">
        <v>15.147676948481401</v>
      </c>
      <c r="R869" s="58">
        <v>9.375</v>
      </c>
      <c r="S869" s="58">
        <v>0.90656928271750004</v>
      </c>
      <c r="T869" t="s">
        <v>176</v>
      </c>
      <c r="U869" s="11">
        <v>10.053599999999999</v>
      </c>
    </row>
    <row r="870" spans="1:21" x14ac:dyDescent="0.35">
      <c r="A870" s="40">
        <v>44254</v>
      </c>
      <c r="B870">
        <v>2021</v>
      </c>
      <c r="C870" t="s">
        <v>278</v>
      </c>
      <c r="D870">
        <v>9</v>
      </c>
      <c r="E870">
        <v>9</v>
      </c>
      <c r="F870" t="s">
        <v>51</v>
      </c>
      <c r="H870" t="s">
        <v>82</v>
      </c>
      <c r="I870" t="s">
        <v>230</v>
      </c>
      <c r="J870">
        <v>41.8</v>
      </c>
      <c r="K870">
        <v>3.7166666666666668</v>
      </c>
      <c r="L870">
        <v>63.13884615384616</v>
      </c>
      <c r="M870">
        <v>8</v>
      </c>
      <c r="N870" s="58">
        <v>55.9</v>
      </c>
      <c r="O870" s="58">
        <v>41.820037307692303</v>
      </c>
      <c r="P870" s="58">
        <v>15.0404</v>
      </c>
      <c r="Q870" s="58">
        <v>11.2520279751638</v>
      </c>
      <c r="R870" s="58">
        <v>6.9874999999999998</v>
      </c>
      <c r="S870" s="58">
        <v>0.88535035727121503</v>
      </c>
      <c r="T870" t="s">
        <v>176</v>
      </c>
      <c r="U870" s="11">
        <v>9.6369000000000007</v>
      </c>
    </row>
    <row r="871" spans="1:21" x14ac:dyDescent="0.35">
      <c r="A871" s="40">
        <v>44248</v>
      </c>
      <c r="B871">
        <v>2021</v>
      </c>
      <c r="C871" t="s">
        <v>278</v>
      </c>
      <c r="D871">
        <v>8</v>
      </c>
      <c r="E871">
        <v>8</v>
      </c>
      <c r="F871" t="s">
        <v>45</v>
      </c>
      <c r="H871" t="s">
        <v>80</v>
      </c>
      <c r="I871" t="s">
        <v>235</v>
      </c>
      <c r="J871">
        <v>36.1</v>
      </c>
      <c r="K871">
        <v>4.5999999999999996</v>
      </c>
      <c r="L871">
        <v>124.09421115921117</v>
      </c>
      <c r="M871">
        <v>12</v>
      </c>
      <c r="N871" s="58">
        <v>90.75</v>
      </c>
      <c r="O871" s="58">
        <v>63.076990911495898</v>
      </c>
      <c r="P871" s="58">
        <v>19.728300000000001</v>
      </c>
      <c r="Q871" s="58">
        <v>13.7123893285861</v>
      </c>
      <c r="R871" s="58">
        <v>7.5625</v>
      </c>
      <c r="S871" s="58">
        <v>0.73129922139211601</v>
      </c>
      <c r="T871" t="s">
        <v>176</v>
      </c>
      <c r="U871" s="11">
        <v>9.0158000000000005</v>
      </c>
    </row>
    <row r="872" spans="1:21" x14ac:dyDescent="0.35">
      <c r="A872" s="40">
        <v>44247</v>
      </c>
      <c r="B872">
        <v>2021</v>
      </c>
      <c r="C872" t="s">
        <v>278</v>
      </c>
      <c r="D872">
        <v>8</v>
      </c>
      <c r="E872">
        <v>8</v>
      </c>
      <c r="F872" t="s">
        <v>51</v>
      </c>
      <c r="H872" t="s">
        <v>80</v>
      </c>
      <c r="I872" t="s">
        <v>230</v>
      </c>
      <c r="J872">
        <v>26.4</v>
      </c>
      <c r="K872">
        <v>5.2166666666666668</v>
      </c>
      <c r="L872">
        <v>103.41184263267598</v>
      </c>
      <c r="M872">
        <v>10</v>
      </c>
      <c r="N872" s="58">
        <v>89.93</v>
      </c>
      <c r="O872" s="58">
        <v>66.869159092913307</v>
      </c>
      <c r="P872" s="58">
        <v>17.239000000000001</v>
      </c>
      <c r="Q872" s="58">
        <v>12.818369155191</v>
      </c>
      <c r="R872" s="58">
        <v>8.9930000000000003</v>
      </c>
      <c r="S872" s="58">
        <v>0.86962960634437003</v>
      </c>
      <c r="T872" t="s">
        <v>176</v>
      </c>
      <c r="U872" s="11">
        <v>8.0074000000000005</v>
      </c>
    </row>
    <row r="873" spans="1:21" x14ac:dyDescent="0.35">
      <c r="A873" s="40">
        <v>44241</v>
      </c>
      <c r="B873">
        <v>2021</v>
      </c>
      <c r="C873" t="s">
        <v>278</v>
      </c>
      <c r="D873">
        <v>7</v>
      </c>
      <c r="E873">
        <v>7</v>
      </c>
      <c r="F873" t="s">
        <v>45</v>
      </c>
      <c r="H873" t="s">
        <v>80</v>
      </c>
      <c r="I873" t="s">
        <v>249</v>
      </c>
      <c r="J873">
        <v>29.5</v>
      </c>
      <c r="K873">
        <v>6.25</v>
      </c>
      <c r="L873">
        <v>82.729474106140785</v>
      </c>
      <c r="M873">
        <v>8</v>
      </c>
      <c r="N873" s="58">
        <v>174.88</v>
      </c>
      <c r="O873" s="58">
        <v>156.43132727433101</v>
      </c>
      <c r="P873" s="58">
        <v>27.980799999999999</v>
      </c>
      <c r="Q873" s="58">
        <v>25.0290123638929</v>
      </c>
      <c r="R873" s="58">
        <v>21.86</v>
      </c>
      <c r="S873" s="58">
        <v>2.1138778154884799</v>
      </c>
      <c r="T873" t="s">
        <v>176</v>
      </c>
      <c r="U873" s="11">
        <v>7.0082000000000004</v>
      </c>
    </row>
    <row r="874" spans="1:21" x14ac:dyDescent="0.35">
      <c r="A874" s="40">
        <v>44234</v>
      </c>
      <c r="B874">
        <v>2021</v>
      </c>
      <c r="C874" t="s">
        <v>278</v>
      </c>
      <c r="D874">
        <v>6</v>
      </c>
      <c r="E874">
        <v>6</v>
      </c>
      <c r="F874" t="s">
        <v>45</v>
      </c>
      <c r="H874" t="s">
        <v>85</v>
      </c>
      <c r="I874" t="s">
        <v>234</v>
      </c>
      <c r="J874">
        <v>16.3</v>
      </c>
      <c r="K874">
        <v>5.4</v>
      </c>
      <c r="L874">
        <v>85.784318711591439</v>
      </c>
      <c r="M874">
        <v>6</v>
      </c>
      <c r="N874" s="58">
        <v>74.709999999999994</v>
      </c>
      <c r="O874" s="58">
        <v>55.580096927315097</v>
      </c>
      <c r="P874" s="58">
        <v>13.8352</v>
      </c>
      <c r="Q874" s="58">
        <v>10.292610542095399</v>
      </c>
      <c r="R874" s="58">
        <v>12.4516666666667</v>
      </c>
      <c r="S874" s="58">
        <v>0.87090509223692103</v>
      </c>
      <c r="T874" t="s">
        <v>176</v>
      </c>
      <c r="U874" s="11">
        <v>5.0651000000000002</v>
      </c>
    </row>
    <row r="875" spans="1:21" x14ac:dyDescent="0.35">
      <c r="A875" s="40">
        <v>44229</v>
      </c>
      <c r="B875">
        <v>2021</v>
      </c>
      <c r="C875" t="s">
        <v>278</v>
      </c>
      <c r="D875">
        <v>6</v>
      </c>
      <c r="E875">
        <v>6</v>
      </c>
      <c r="F875" t="s">
        <v>47</v>
      </c>
      <c r="H875" t="s">
        <v>85</v>
      </c>
      <c r="I875" t="s">
        <v>235</v>
      </c>
      <c r="J875">
        <v>31.9</v>
      </c>
      <c r="K875">
        <v>4.9666666666666668</v>
      </c>
      <c r="L875">
        <v>71.48693225965954</v>
      </c>
      <c r="M875">
        <v>5</v>
      </c>
      <c r="N875" s="58">
        <v>53.84</v>
      </c>
      <c r="O875" s="58">
        <v>37.898414106095899</v>
      </c>
      <c r="P875" s="58">
        <v>10.840299999999999</v>
      </c>
      <c r="Q875" s="58">
        <v>7.6305531757240104</v>
      </c>
      <c r="R875" s="58">
        <v>10.768000000000001</v>
      </c>
      <c r="S875" s="58">
        <v>0.75314464193873698</v>
      </c>
      <c r="T875" t="s">
        <v>176</v>
      </c>
      <c r="U875" s="11">
        <v>4.2350000000000003</v>
      </c>
    </row>
    <row r="876" spans="1:21" x14ac:dyDescent="0.35">
      <c r="A876" s="40">
        <v>44228</v>
      </c>
      <c r="B876">
        <v>2021</v>
      </c>
      <c r="C876" t="s">
        <v>278</v>
      </c>
      <c r="D876">
        <v>6</v>
      </c>
      <c r="E876">
        <v>6</v>
      </c>
      <c r="F876" t="s">
        <v>46</v>
      </c>
      <c r="H876" t="s">
        <v>85</v>
      </c>
      <c r="I876" t="s">
        <v>235</v>
      </c>
      <c r="J876">
        <v>21.2</v>
      </c>
      <c r="K876">
        <v>2.15</v>
      </c>
      <c r="L876">
        <v>28.594772903863813</v>
      </c>
      <c r="M876">
        <v>2</v>
      </c>
      <c r="N876" s="58">
        <v>24.85</v>
      </c>
      <c r="O876" s="58">
        <v>18.473365642438399</v>
      </c>
      <c r="P876" s="58">
        <v>11.5581</v>
      </c>
      <c r="Q876" s="58">
        <v>8.5922630895062202</v>
      </c>
      <c r="R876" s="58">
        <v>12.425000000000001</v>
      </c>
      <c r="S876" s="58">
        <v>0.86903994948818797</v>
      </c>
      <c r="T876" t="s">
        <v>176</v>
      </c>
      <c r="U876" s="11">
        <v>3.6368</v>
      </c>
    </row>
    <row r="877" spans="1:21" x14ac:dyDescent="0.35">
      <c r="A877" s="40">
        <v>44227</v>
      </c>
      <c r="B877">
        <v>2021</v>
      </c>
      <c r="C877" t="s">
        <v>278</v>
      </c>
      <c r="D877">
        <v>5</v>
      </c>
      <c r="E877">
        <v>5</v>
      </c>
      <c r="F877" t="s">
        <v>45</v>
      </c>
      <c r="H877" t="s">
        <v>82</v>
      </c>
      <c r="I877" t="s">
        <v>249</v>
      </c>
      <c r="J877">
        <v>17.600000000000001</v>
      </c>
      <c r="K877">
        <v>2.35</v>
      </c>
      <c r="L877">
        <v>7.89235576923077</v>
      </c>
      <c r="M877">
        <v>1</v>
      </c>
      <c r="N877" s="58">
        <v>8.68</v>
      </c>
      <c r="O877" s="58">
        <v>6.9200046634615404</v>
      </c>
      <c r="P877" s="58">
        <v>3.6936</v>
      </c>
      <c r="Q877" s="58">
        <v>2.9446828355155499</v>
      </c>
      <c r="R877" s="58">
        <v>8.68</v>
      </c>
      <c r="S877" s="58">
        <v>1.09979836867465</v>
      </c>
      <c r="T877" t="s">
        <v>176</v>
      </c>
      <c r="U877" s="11">
        <v>3.3607</v>
      </c>
    </row>
    <row r="878" spans="1:21" x14ac:dyDescent="0.35">
      <c r="A878" s="40">
        <v>44226</v>
      </c>
      <c r="B878">
        <v>2021</v>
      </c>
      <c r="C878" t="s">
        <v>278</v>
      </c>
      <c r="D878">
        <v>5</v>
      </c>
      <c r="E878">
        <v>5</v>
      </c>
      <c r="F878" t="s">
        <v>51</v>
      </c>
      <c r="H878" t="s">
        <v>85</v>
      </c>
      <c r="I878" t="s">
        <v>230</v>
      </c>
      <c r="J878">
        <v>29.1</v>
      </c>
      <c r="K878">
        <v>7.1666666666666661</v>
      </c>
      <c r="L878">
        <v>100.08170516352334</v>
      </c>
      <c r="M878">
        <v>7</v>
      </c>
      <c r="N878" s="58">
        <v>100.51</v>
      </c>
      <c r="O878" s="58">
        <v>78.191779748534302</v>
      </c>
      <c r="P878" s="58">
        <v>14.024699999999999</v>
      </c>
      <c r="Q878" s="58">
        <v>10.9104808951443</v>
      </c>
      <c r="R878" s="58">
        <v>14.3585714285714</v>
      </c>
      <c r="S878" s="58">
        <v>1.00427945183165</v>
      </c>
      <c r="T878" t="s">
        <v>176</v>
      </c>
      <c r="U878" s="11">
        <v>3.2642000000000002</v>
      </c>
    </row>
    <row r="879" spans="1:21" x14ac:dyDescent="0.35">
      <c r="A879" s="40">
        <v>44213</v>
      </c>
      <c r="B879">
        <v>2021</v>
      </c>
      <c r="C879" t="s">
        <v>278</v>
      </c>
      <c r="D879">
        <v>3</v>
      </c>
      <c r="E879">
        <v>3</v>
      </c>
      <c r="F879" t="s">
        <v>45</v>
      </c>
      <c r="H879" t="s">
        <v>85</v>
      </c>
      <c r="I879" t="s">
        <v>249</v>
      </c>
      <c r="J879">
        <v>32.4</v>
      </c>
      <c r="K879">
        <v>3.6666666666666661</v>
      </c>
      <c r="L879">
        <v>28.594772903863813</v>
      </c>
      <c r="M879">
        <v>2</v>
      </c>
      <c r="N879" s="58">
        <v>35.950000000000003</v>
      </c>
      <c r="O879" s="58">
        <v>29.5733656424384</v>
      </c>
      <c r="P879" s="58">
        <v>9.8045000000000009</v>
      </c>
      <c r="Q879" s="58">
        <v>8.0654633570286496</v>
      </c>
      <c r="R879" s="58">
        <v>17.975000000000001</v>
      </c>
      <c r="S879" s="58">
        <v>1.25722278406842</v>
      </c>
      <c r="T879" t="s">
        <v>176</v>
      </c>
      <c r="U879" s="11">
        <v>2.1474000000000002</v>
      </c>
    </row>
    <row r="880" spans="1:21" x14ac:dyDescent="0.35">
      <c r="A880" s="40">
        <v>44206</v>
      </c>
      <c r="B880">
        <v>2021</v>
      </c>
      <c r="C880" t="s">
        <v>278</v>
      </c>
      <c r="D880">
        <v>2</v>
      </c>
      <c r="E880">
        <v>2</v>
      </c>
      <c r="F880" t="s">
        <v>45</v>
      </c>
      <c r="H880" t="s">
        <v>85</v>
      </c>
      <c r="I880" t="s">
        <v>249</v>
      </c>
      <c r="J880">
        <v>34.200000000000003</v>
      </c>
      <c r="K880">
        <v>6.6166666666666671</v>
      </c>
      <c r="L880">
        <v>71.48693225965954</v>
      </c>
      <c r="M880">
        <v>5</v>
      </c>
      <c r="N880" s="58">
        <v>63.93</v>
      </c>
      <c r="O880" s="58">
        <v>47.988414106095902</v>
      </c>
      <c r="P880" s="58">
        <v>9.6620000000000008</v>
      </c>
      <c r="Q880" s="58">
        <v>7.2526570437424596</v>
      </c>
      <c r="R880" s="58">
        <v>12.786</v>
      </c>
      <c r="S880" s="58">
        <v>0.894289319449172</v>
      </c>
      <c r="T880" t="s">
        <v>176</v>
      </c>
      <c r="U880" s="11">
        <v>1.748</v>
      </c>
    </row>
    <row r="881" spans="1:21" x14ac:dyDescent="0.35">
      <c r="A881" s="40">
        <v>44204</v>
      </c>
      <c r="B881">
        <v>2021</v>
      </c>
      <c r="C881" t="s">
        <v>278</v>
      </c>
      <c r="D881">
        <v>2</v>
      </c>
      <c r="E881">
        <v>2</v>
      </c>
      <c r="F881" t="s">
        <v>50</v>
      </c>
      <c r="H881" t="s">
        <v>85</v>
      </c>
      <c r="I881" t="s">
        <v>249</v>
      </c>
      <c r="J881">
        <v>26.6</v>
      </c>
      <c r="K881">
        <v>2.0499999999999998</v>
      </c>
      <c r="L881">
        <v>28.594772903863813</v>
      </c>
      <c r="M881">
        <v>2</v>
      </c>
      <c r="N881" s="58">
        <v>12.04</v>
      </c>
      <c r="O881" s="58">
        <v>5.6633656424383698</v>
      </c>
      <c r="P881" s="58">
        <v>5.8731999999999998</v>
      </c>
      <c r="Q881" s="58">
        <v>2.7626173865552999</v>
      </c>
      <c r="R881" s="58">
        <v>6.02</v>
      </c>
      <c r="S881" s="58">
        <v>0.42105597552667101</v>
      </c>
      <c r="T881" t="s">
        <v>176</v>
      </c>
      <c r="U881" s="11">
        <v>1.0377000000000001</v>
      </c>
    </row>
    <row r="882" spans="1:21" x14ac:dyDescent="0.35">
      <c r="A882" s="40">
        <v>44198</v>
      </c>
      <c r="B882">
        <v>2021</v>
      </c>
      <c r="C882" t="s">
        <v>278</v>
      </c>
      <c r="D882">
        <v>1</v>
      </c>
      <c r="E882">
        <v>1</v>
      </c>
      <c r="F882" t="s">
        <v>51</v>
      </c>
      <c r="H882" t="s">
        <v>85</v>
      </c>
      <c r="I882" t="s">
        <v>235</v>
      </c>
      <c r="J882">
        <v>32</v>
      </c>
      <c r="K882">
        <v>3.1000000000000005</v>
      </c>
      <c r="L882">
        <v>57.189545807727626</v>
      </c>
      <c r="M882">
        <v>4</v>
      </c>
      <c r="N882" s="58">
        <v>53.14</v>
      </c>
      <c r="O882" s="58">
        <v>40.386731284876703</v>
      </c>
      <c r="P882" s="58">
        <v>17.1419</v>
      </c>
      <c r="Q882" s="58">
        <v>13.0279778338312</v>
      </c>
      <c r="R882" s="58">
        <v>13.285</v>
      </c>
      <c r="S882" s="58">
        <v>0.92919080313485503</v>
      </c>
      <c r="T882" t="s">
        <v>176</v>
      </c>
      <c r="U882" s="11">
        <v>0.90390000000000004</v>
      </c>
    </row>
    <row r="883" spans="1:21" x14ac:dyDescent="0.35">
      <c r="A883" s="40">
        <v>44197</v>
      </c>
      <c r="B883">
        <v>2021</v>
      </c>
      <c r="C883" t="s">
        <v>278</v>
      </c>
      <c r="D883">
        <v>1</v>
      </c>
      <c r="E883">
        <v>1</v>
      </c>
      <c r="F883" t="s">
        <v>50</v>
      </c>
      <c r="H883" t="s">
        <v>80</v>
      </c>
      <c r="I883" t="s">
        <v>235</v>
      </c>
      <c r="J883">
        <v>29.5</v>
      </c>
      <c r="K883">
        <v>4.333333333333333</v>
      </c>
      <c r="L883">
        <v>10.341184263267598</v>
      </c>
      <c r="M883">
        <v>1</v>
      </c>
      <c r="N883" s="58">
        <v>28.21</v>
      </c>
      <c r="O883" s="58">
        <v>25.9039159092913</v>
      </c>
      <c r="P883" s="58">
        <v>6.51</v>
      </c>
      <c r="Q883" s="58">
        <v>5.9778267482979999</v>
      </c>
      <c r="R883" s="58">
        <v>28.21</v>
      </c>
      <c r="S883" s="58">
        <v>2.7279274096491402</v>
      </c>
      <c r="T883" t="s">
        <v>176</v>
      </c>
      <c r="U883" s="11">
        <v>0.31340000000000001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01565-08A1-FB44-9872-24FFD52B5A80}">
  <sheetPr codeName="Sheet14">
    <tabColor theme="7"/>
  </sheetPr>
  <dimension ref="B1:AE129"/>
  <sheetViews>
    <sheetView topLeftCell="A59" workbookViewId="0">
      <selection activeCell="P4" sqref="P4:P7"/>
    </sheetView>
  </sheetViews>
  <sheetFormatPr defaultRowHeight="14.5" outlineLevelRow="1" x14ac:dyDescent="0.35"/>
  <cols>
    <col min="1" max="1" width="10" customWidth="1"/>
    <col min="2" max="2" width="13.6328125" hidden="1" customWidth="1"/>
    <col min="3" max="3" width="36.36328125" bestFit="1" customWidth="1"/>
    <col min="4" max="10" width="10.90625" bestFit="1" customWidth="1"/>
    <col min="11" max="12" width="10.6328125" bestFit="1" customWidth="1"/>
    <col min="13" max="13" width="23.90625" bestFit="1" customWidth="1"/>
    <col min="14" max="14" width="7.453125" bestFit="1" customWidth="1"/>
    <col min="15" max="16" width="8.36328125" bestFit="1" customWidth="1"/>
    <col min="17" max="17" width="11.54296875" bestFit="1" customWidth="1"/>
    <col min="18" max="18" width="9" bestFit="1" customWidth="1"/>
    <col min="19" max="19" width="6.453125" bestFit="1" customWidth="1"/>
    <col min="20" max="20" width="8.6328125" bestFit="1" customWidth="1"/>
    <col min="21" max="21" width="8.36328125" bestFit="1" customWidth="1"/>
    <col min="22" max="22" width="10.6328125" bestFit="1" customWidth="1"/>
    <col min="23" max="23" width="23.90625" bestFit="1" customWidth="1"/>
    <col min="24" max="24" width="9.54296875" bestFit="1" customWidth="1"/>
    <col min="25" max="25" width="10.08984375" bestFit="1" customWidth="1"/>
    <col min="26" max="26" width="9.54296875" bestFit="1" customWidth="1"/>
    <col min="27" max="27" width="11.54296875" bestFit="1" customWidth="1"/>
    <col min="28" max="28" width="9.54296875" bestFit="1" customWidth="1"/>
    <col min="29" max="29" width="10.08984375" bestFit="1" customWidth="1"/>
    <col min="30" max="30" width="9.54296875" bestFit="1" customWidth="1"/>
    <col min="35" max="35" width="23.90625" bestFit="1" customWidth="1"/>
  </cols>
  <sheetData>
    <row r="1" spans="2:31" ht="15.75" customHeight="1" thickBot="1" x14ac:dyDescent="0.4">
      <c r="C1" s="511" t="s">
        <v>410</v>
      </c>
      <c r="D1" s="512"/>
      <c r="E1" s="512"/>
      <c r="F1" s="512"/>
      <c r="G1" s="512"/>
      <c r="H1" s="512"/>
      <c r="I1" s="512"/>
      <c r="J1" s="512"/>
      <c r="K1" s="512"/>
      <c r="M1" s="511" t="s">
        <v>411</v>
      </c>
      <c r="N1" s="512"/>
      <c r="O1" s="512"/>
      <c r="P1" s="512"/>
      <c r="Q1" s="512"/>
      <c r="R1" s="512"/>
      <c r="S1" s="512"/>
      <c r="T1" s="512"/>
      <c r="U1" s="512"/>
      <c r="W1" s="511" t="s">
        <v>343</v>
      </c>
      <c r="X1" s="511"/>
      <c r="Y1" s="511"/>
      <c r="Z1" s="511"/>
      <c r="AA1" s="511"/>
      <c r="AB1" s="511"/>
      <c r="AC1" s="511"/>
      <c r="AD1" s="511"/>
    </row>
    <row r="2" spans="2:31" x14ac:dyDescent="0.35">
      <c r="C2" s="491" t="s">
        <v>407</v>
      </c>
      <c r="D2" s="491"/>
      <c r="E2" s="491"/>
      <c r="F2" s="491"/>
      <c r="G2" s="491"/>
      <c r="H2" s="491"/>
      <c r="I2" s="491"/>
      <c r="J2" s="491"/>
      <c r="K2" s="491"/>
      <c r="M2" s="508" t="s">
        <v>412</v>
      </c>
      <c r="N2" s="509"/>
      <c r="O2" s="509"/>
      <c r="P2" s="509"/>
      <c r="Q2" s="509"/>
      <c r="R2" s="509"/>
      <c r="S2" s="509"/>
      <c r="T2" s="509"/>
      <c r="U2" s="510"/>
      <c r="W2" s="491" t="s">
        <v>89</v>
      </c>
      <c r="X2" s="491"/>
      <c r="Y2" s="491"/>
      <c r="Z2" s="491"/>
      <c r="AA2" s="491"/>
      <c r="AB2" s="491"/>
      <c r="AC2" s="491"/>
      <c r="AD2" s="491"/>
    </row>
    <row r="3" spans="2:31" x14ac:dyDescent="0.35">
      <c r="C3" s="97" t="s">
        <v>74</v>
      </c>
      <c r="D3" s="92" t="s">
        <v>45</v>
      </c>
      <c r="E3" s="92" t="s">
        <v>46</v>
      </c>
      <c r="F3" s="92" t="s">
        <v>47</v>
      </c>
      <c r="G3" s="92" t="s">
        <v>48</v>
      </c>
      <c r="H3" s="92" t="s">
        <v>49</v>
      </c>
      <c r="I3" s="92" t="s">
        <v>50</v>
      </c>
      <c r="J3" s="92" t="s">
        <v>51</v>
      </c>
      <c r="K3" s="93" t="s">
        <v>62</v>
      </c>
      <c r="M3" s="222" t="s">
        <v>74</v>
      </c>
      <c r="N3" s="92" t="s">
        <v>45</v>
      </c>
      <c r="O3" s="92" t="s">
        <v>46</v>
      </c>
      <c r="P3" s="92" t="s">
        <v>47</v>
      </c>
      <c r="Q3" s="92" t="s">
        <v>48</v>
      </c>
      <c r="R3" s="92" t="s">
        <v>49</v>
      </c>
      <c r="S3" s="92" t="s">
        <v>50</v>
      </c>
      <c r="T3" s="92" t="s">
        <v>51</v>
      </c>
      <c r="U3" s="223" t="s">
        <v>62</v>
      </c>
      <c r="W3" s="97" t="s">
        <v>74</v>
      </c>
      <c r="X3" s="92" t="s">
        <v>45</v>
      </c>
      <c r="Y3" s="92" t="s">
        <v>46</v>
      </c>
      <c r="Z3" s="92" t="s">
        <v>47</v>
      </c>
      <c r="AA3" s="92" t="s">
        <v>48</v>
      </c>
      <c r="AB3" s="92" t="s">
        <v>49</v>
      </c>
      <c r="AC3" s="92" t="s">
        <v>50</v>
      </c>
      <c r="AD3" s="92" t="s">
        <v>51</v>
      </c>
    </row>
    <row r="4" spans="2:31" x14ac:dyDescent="0.35">
      <c r="B4">
        <v>1</v>
      </c>
      <c r="C4" s="86" t="s">
        <v>174</v>
      </c>
      <c r="D4" s="309">
        <f>IFERROR(AVERAGEIFS(EarningsPerDay[Gross $/Hour],EarningsPerDay[Primary Area],$C4,EarningsPerDay[DOW],D$3,EarningsPerDay[Quarter],Scheduling!$R$17),"")</f>
        <v>17.486244906939294</v>
      </c>
      <c r="E4" s="309">
        <f>IFERROR(AVERAGEIFS(EarningsPerDay[Gross $/Hour],EarningsPerDay[Primary Area],$C4,EarningsPerDay[DOW],E$3,EarningsPerDay[Quarter],Scheduling!$R$17),"")</f>
        <v>17.606486370772082</v>
      </c>
      <c r="F4" s="309">
        <f>IFERROR(AVERAGEIFS(EarningsPerDay[Gross $/Hour],EarningsPerDay[Primary Area],$C4,EarningsPerDay[DOW],F$3,EarningsPerDay[Quarter],Scheduling!$R$17),"")</f>
        <v>19.34996707060392</v>
      </c>
      <c r="G4" s="309">
        <f>IFERROR(AVERAGEIFS(EarningsPerDay[Gross $/Hour],EarningsPerDay[Primary Area],$C4,EarningsPerDay[DOW],G$3,EarningsPerDay[Quarter],Scheduling!$R$17),"")</f>
        <v>15.918093707043173</v>
      </c>
      <c r="H4" s="309">
        <f>IFERROR(AVERAGEIFS(EarningsPerDay[Gross $/Hour],EarningsPerDay[Primary Area],$C4,EarningsPerDay[DOW],H$3,EarningsPerDay[Quarter],Scheduling!$R$17),"")</f>
        <v>16.234094017094019</v>
      </c>
      <c r="I4" s="309">
        <f>IFERROR(AVERAGEIFS(EarningsPerDay[Gross $/Hour],EarningsPerDay[Primary Area],$C4,EarningsPerDay[DOW],I$3,EarningsPerDay[Quarter],Scheduling!$R$17),"")</f>
        <v>18.976300366300368</v>
      </c>
      <c r="J4" s="309">
        <f>IFERROR(AVERAGEIFS(EarningsPerDay[Gross $/Hour],EarningsPerDay[Primary Area],$C4,EarningsPerDay[DOW],J$3,EarningsPerDay[Quarter],Scheduling!$R$17),"")</f>
        <v>21.431336928749108</v>
      </c>
      <c r="K4" s="98">
        <f>AVERAGEIF(D4:J4,"&gt;0")</f>
        <v>18.143217623928852</v>
      </c>
      <c r="M4" s="224" t="s">
        <v>174</v>
      </c>
      <c r="N4" s="98">
        <f>IFERROR(AVERAGEIFS(EarningsPerDay[Gross Earnings],EarningsPerDay[Primary Area],$M4,EarningsPerDay[DOW],N$3,EarningsPerDay[Quarter],Scheduling!$R$17),"")</f>
        <v>74.704999999999998</v>
      </c>
      <c r="O4" s="98">
        <f>IFERROR(AVERAGEIFS(EarningsPerDay[Gross Earnings],EarningsPerDay[Primary Area],$M4,EarningsPerDay[DOW],O$3,EarningsPerDay[Quarter],Scheduling!$R$17),"")</f>
        <v>91.924999999999997</v>
      </c>
      <c r="P4" s="98">
        <f>IFERROR(AVERAGEIFS(EarningsPerDay[Gross Earnings],EarningsPerDay[Primary Area],$M4,EarningsPerDay[DOW],P$3,EarningsPerDay[Quarter],Scheduling!$R$17),"")</f>
        <v>105.52666666666666</v>
      </c>
      <c r="Q4" s="98">
        <f>IFERROR(AVERAGEIFS(EarningsPerDay[Gross Earnings],EarningsPerDay[Primary Area],$M4,EarningsPerDay[DOW],Q$3,EarningsPerDay[Quarter],Scheduling!$R$17),"")</f>
        <v>68.11</v>
      </c>
      <c r="R4" s="98">
        <f>IFERROR(AVERAGEIFS(EarningsPerDay[Gross Earnings],EarningsPerDay[Primary Area],$M4,EarningsPerDay[DOW],R$3,EarningsPerDay[Quarter],Scheduling!$R$17),"")</f>
        <v>64.14</v>
      </c>
      <c r="S4" s="98">
        <f>IFERROR(AVERAGEIFS(EarningsPerDay[Gross Earnings],EarningsPerDay[Primary Area],$M4,EarningsPerDay[DOW],S$3,EarningsPerDay[Quarter],Scheduling!$R$17),"")</f>
        <v>83.365000000000009</v>
      </c>
      <c r="T4" s="98">
        <f>IFERROR(AVERAGEIFS(EarningsPerDay[Gross Earnings],EarningsPerDay[Primary Area],$M4,EarningsPerDay[DOW],T$3,EarningsPerDay[Quarter],Scheduling!$R$17),"")</f>
        <v>93.149999999999991</v>
      </c>
      <c r="U4" s="286">
        <f>AVERAGEIF(N4:T4,"&gt;0")</f>
        <v>82.988809523809522</v>
      </c>
      <c r="W4" s="86" t="s">
        <v>174</v>
      </c>
      <c r="X4" s="220">
        <f>_xlfn.MAXIFS(EarningsPerDay[Date],EarningsPerDay[Primary Area],$W4,EarningsPerDay[DOW],X$3,EarningsPerDay[Quarter],Scheduling!$R$17)</f>
        <v>45774</v>
      </c>
      <c r="Y4" s="220">
        <f>_xlfn.MAXIFS(EarningsPerDay[Date],EarningsPerDay[Primary Area],$W4,EarningsPerDay[DOW],Y$3,EarningsPerDay[Quarter],Scheduling!$R$17)</f>
        <v>45439</v>
      </c>
      <c r="Z4" s="220">
        <f>_xlfn.MAXIFS(EarningsPerDay[Date],EarningsPerDay[Primary Area],$W4,EarningsPerDay[DOW],Z$3,EarningsPerDay[Quarter],Scheduling!$R$17)</f>
        <v>45755</v>
      </c>
      <c r="AA4" s="220">
        <f>_xlfn.MAXIFS(EarningsPerDay[Date],EarningsPerDay[Primary Area],$W4,EarningsPerDay[DOW],AA$3,EarningsPerDay[Quarter],Scheduling!$R$17)</f>
        <v>45798</v>
      </c>
      <c r="AB4" s="220">
        <f>_xlfn.MAXIFS(EarningsPerDay[Date],EarningsPerDay[Primary Area],$W4,EarningsPerDay[DOW],AB$3,EarningsPerDay[Quarter],Scheduling!$R$17)</f>
        <v>45827</v>
      </c>
      <c r="AC4" s="220">
        <f>_xlfn.MAXIFS(EarningsPerDay[Date],EarningsPerDay[Primary Area],$W4,EarningsPerDay[DOW],AC$3,EarningsPerDay[Quarter],Scheduling!$R$17)</f>
        <v>45758</v>
      </c>
      <c r="AD4" s="220">
        <f>_xlfn.MAXIFS(EarningsPerDay[Date],EarningsPerDay[Primary Area],$W4,EarningsPerDay[DOW],AD$3,EarningsPerDay[Quarter],Scheduling!$R$17)</f>
        <v>45773</v>
      </c>
    </row>
    <row r="5" spans="2:31" x14ac:dyDescent="0.35">
      <c r="B5">
        <v>2</v>
      </c>
      <c r="C5" s="86" t="s">
        <v>80</v>
      </c>
      <c r="D5" s="309">
        <f>IFERROR(AVERAGEIFS(EarningsPerDay[Gross $/Hour],EarningsPerDay[Primary Area],$C5,EarningsPerDay[DOW],D$3,EarningsPerDay[Quarter],Scheduling!$R$17),"")</f>
        <v>21.401691682513803</v>
      </c>
      <c r="E5" s="309">
        <f>IFERROR(AVERAGEIFS(EarningsPerDay[Gross $/Hour],EarningsPerDay[Primary Area],$C5,EarningsPerDay[DOW],E$3,EarningsPerDay[Quarter],Scheduling!$R$17),"")</f>
        <v>21.251889064073474</v>
      </c>
      <c r="F5" s="309">
        <f>IFERROR(AVERAGEIFS(EarningsPerDay[Gross $/Hour],EarningsPerDay[Primary Area],$C5,EarningsPerDay[DOW],F$3,EarningsPerDay[Quarter],Scheduling!$R$17),"")</f>
        <v>22.056124903349879</v>
      </c>
      <c r="G5" s="309">
        <f>IFERROR(AVERAGEIFS(EarningsPerDay[Gross $/Hour],EarningsPerDay[Primary Area],$C5,EarningsPerDay[DOW],G$3,EarningsPerDay[Quarter],Scheduling!$R$17),"")</f>
        <v>23.035710056587778</v>
      </c>
      <c r="H5" s="309">
        <f>IFERROR(AVERAGEIFS(EarningsPerDay[Gross $/Hour],EarningsPerDay[Primary Area],$C5,EarningsPerDay[DOW],H$3,EarningsPerDay[Quarter],Scheduling!$R$17),"")</f>
        <v>23.416926364197128</v>
      </c>
      <c r="I5" s="309">
        <f>IFERROR(AVERAGEIFS(EarningsPerDay[Gross $/Hour],EarningsPerDay[Primary Area],$C5,EarningsPerDay[DOW],I$3,EarningsPerDay[Quarter],Scheduling!$R$17),"")</f>
        <v>23.603323089818645</v>
      </c>
      <c r="J5" s="309">
        <f>IFERROR(AVERAGEIFS(EarningsPerDay[Gross $/Hour],EarningsPerDay[Primary Area],$C5,EarningsPerDay[DOW],J$3,EarningsPerDay[Quarter],Scheduling!$R$17),"")</f>
        <v>25.154549370077014</v>
      </c>
      <c r="K5" s="98">
        <f>AVERAGEIF(D5:J5,"&gt;0")</f>
        <v>22.84574493294539</v>
      </c>
      <c r="M5" s="225" t="s">
        <v>80</v>
      </c>
      <c r="N5" s="98">
        <f>IFERROR(AVERAGEIFS(EarningsPerDay[Gross Earnings],EarningsPerDay[Primary Area],$M5,EarningsPerDay[DOW],N$3,EarningsPerDay[Quarter],Scheduling!$R$17),"")</f>
        <v>88.893333333333317</v>
      </c>
      <c r="O5" s="98">
        <f>IFERROR(AVERAGEIFS(EarningsPerDay[Gross Earnings],EarningsPerDay[Primary Area],$M5,EarningsPerDay[DOW],O$3,EarningsPerDay[Quarter],Scheduling!$R$17),"")</f>
        <v>91.275789473684213</v>
      </c>
      <c r="P5" s="98">
        <f>IFERROR(AVERAGEIFS(EarningsPerDay[Gross Earnings],EarningsPerDay[Primary Area],$M5,EarningsPerDay[DOW],P$3,EarningsPerDay[Quarter],Scheduling!$R$17),"")</f>
        <v>91.182727272727277</v>
      </c>
      <c r="Q5" s="98">
        <f>IFERROR(AVERAGEIFS(EarningsPerDay[Gross Earnings],EarningsPerDay[Primary Area],$M5,EarningsPerDay[DOW],Q$3,EarningsPerDay[Quarter],Scheduling!$R$17),"")</f>
        <v>105.33799999999999</v>
      </c>
      <c r="R5" s="98">
        <f>IFERROR(AVERAGEIFS(EarningsPerDay[Gross Earnings],EarningsPerDay[Primary Area],$M5,EarningsPerDay[DOW],R$3,EarningsPerDay[Quarter],Scheduling!$R$17),"")</f>
        <v>103.62952380952382</v>
      </c>
      <c r="S5" s="98">
        <f>IFERROR(AVERAGEIFS(EarningsPerDay[Gross Earnings],EarningsPerDay[Primary Area],$M5,EarningsPerDay[DOW],S$3,EarningsPerDay[Quarter],Scheduling!$R$17),"")</f>
        <v>127.95350000000001</v>
      </c>
      <c r="T5" s="98">
        <f>IFERROR(AVERAGEIFS(EarningsPerDay[Gross Earnings],EarningsPerDay[Primary Area],$M5,EarningsPerDay[DOW],T$3,EarningsPerDay[Quarter],Scheduling!$R$17),"")</f>
        <v>107.44277777777776</v>
      </c>
      <c r="U5" s="286">
        <f>AVERAGEIF(N5:T5,"&gt;0")</f>
        <v>102.24509309529233</v>
      </c>
      <c r="W5" s="85" t="s">
        <v>80</v>
      </c>
      <c r="X5" s="220">
        <f>_xlfn.MAXIFS(EarningsPerDay[Date],EarningsPerDay[Primary Area],$W5,EarningsPerDay[DOW],X$3,EarningsPerDay[Quarter],Scheduling!$R$17)</f>
        <v>45837</v>
      </c>
      <c r="Y5" s="220">
        <f>_xlfn.MAXIFS(EarningsPerDay[Date],EarningsPerDay[Primary Area],$W5,EarningsPerDay[DOW],Y$3,EarningsPerDay[Quarter],Scheduling!$R$17)</f>
        <v>46153</v>
      </c>
      <c r="Z5" s="220">
        <f>_xlfn.MAXIFS(EarningsPerDay[Date],EarningsPerDay[Primary Area],$W5,EarningsPerDay[DOW],Z$3,EarningsPerDay[Quarter],Scheduling!$R$17)</f>
        <v>46154</v>
      </c>
      <c r="AA5" s="220">
        <f>_xlfn.MAXIFS(EarningsPerDay[Date],EarningsPerDay[Primary Area],$W5,EarningsPerDay[DOW],AA$3,EarningsPerDay[Quarter],Scheduling!$R$17)</f>
        <v>45791</v>
      </c>
      <c r="AB5" s="220">
        <f>_xlfn.MAXIFS(EarningsPerDay[Date],EarningsPerDay[Primary Area],$W5,EarningsPerDay[DOW],AB$3,EarningsPerDay[Quarter],Scheduling!$R$17)</f>
        <v>45820</v>
      </c>
      <c r="AC5" s="220">
        <f>_xlfn.MAXIFS(EarningsPerDay[Date],EarningsPerDay[Primary Area],$W5,EarningsPerDay[DOW],AC$3,EarningsPerDay[Quarter],Scheduling!$R$17)</f>
        <v>46150</v>
      </c>
      <c r="AD5" s="220">
        <f>_xlfn.MAXIFS(EarningsPerDay[Date],EarningsPerDay[Primary Area],$W5,EarningsPerDay[DOW],AD$3,EarningsPerDay[Quarter],Scheduling!$R$17)</f>
        <v>45829</v>
      </c>
    </row>
    <row r="6" spans="2:31" x14ac:dyDescent="0.35">
      <c r="B6">
        <v>3</v>
      </c>
      <c r="C6" s="86" t="s">
        <v>82</v>
      </c>
      <c r="D6" s="309">
        <f>IFERROR(AVERAGEIFS(EarningsPerDay[Gross $/Hour],EarningsPerDay[Primary Area],$C6,EarningsPerDay[DOW],D$3,EarningsPerDay[Quarter],Scheduling!$R$17),"")</f>
        <v>17.135977443609022</v>
      </c>
      <c r="E6" s="309">
        <f>IFERROR(AVERAGEIFS(EarningsPerDay[Gross $/Hour],EarningsPerDay[Primary Area],$C6,EarningsPerDay[DOW],E$3,EarningsPerDay[Quarter],Scheduling!$R$17),"")</f>
        <v>15.405558092918222</v>
      </c>
      <c r="F6" s="309">
        <f>IFERROR(AVERAGEIFS(EarningsPerDay[Gross $/Hour],EarningsPerDay[Primary Area],$C6,EarningsPerDay[DOW],F$3,EarningsPerDay[Quarter],Scheduling!$R$17),"")</f>
        <v>16.114668021680217</v>
      </c>
      <c r="G6" s="309">
        <f>IFERROR(AVERAGEIFS(EarningsPerDay[Gross $/Hour],EarningsPerDay[Primary Area],$C6,EarningsPerDay[DOW],G$3,EarningsPerDay[Quarter],Scheduling!$R$17),"")</f>
        <v>22.84099329128988</v>
      </c>
      <c r="H6" s="309">
        <f>IFERROR(AVERAGEIFS(EarningsPerDay[Gross $/Hour],EarningsPerDay[Primary Area],$C6,EarningsPerDay[DOW],H$3,EarningsPerDay[Quarter],Scheduling!$R$17),"")</f>
        <v>18.373203678997996</v>
      </c>
      <c r="I6" s="309">
        <f>IFERROR(AVERAGEIFS(EarningsPerDay[Gross $/Hour],EarningsPerDay[Primary Area],$C6,EarningsPerDay[DOW],I$3,EarningsPerDay[Quarter],Scheduling!$R$17),"")</f>
        <v>23.110188056442901</v>
      </c>
      <c r="J6" s="309">
        <f>IFERROR(AVERAGEIFS(EarningsPerDay[Gross $/Hour],EarningsPerDay[Primary Area],$C6,EarningsPerDay[DOW],J$3,EarningsPerDay[Quarter],Scheduling!$R$17),"")</f>
        <v>21.247833523186369</v>
      </c>
      <c r="K6" s="98">
        <f>AVERAGEIF(D6:J6,"&gt;0")</f>
        <v>19.175488872589227</v>
      </c>
      <c r="M6" s="224" t="s">
        <v>82</v>
      </c>
      <c r="N6" s="98">
        <f>IFERROR(AVERAGEIFS(EarningsPerDay[Gross Earnings],EarningsPerDay[Primary Area],$M6,EarningsPerDay[DOW],N$3,EarningsPerDay[Quarter],Scheduling!$R$17),"")</f>
        <v>109.07</v>
      </c>
      <c r="O6" s="98">
        <f>IFERROR(AVERAGEIFS(EarningsPerDay[Gross Earnings],EarningsPerDay[Primary Area],$M6,EarningsPerDay[DOW],O$3,EarningsPerDay[Quarter],Scheduling!$R$17),"")</f>
        <v>72.03</v>
      </c>
      <c r="P6" s="98">
        <f>IFERROR(AVERAGEIFS(EarningsPerDay[Gross Earnings],EarningsPerDay[Primary Area],$M6,EarningsPerDay[DOW],P$3,EarningsPerDay[Quarter],Scheduling!$R$17),"")</f>
        <v>61.896666666666668</v>
      </c>
      <c r="Q6" s="98">
        <f>IFERROR(AVERAGEIFS(EarningsPerDay[Gross Earnings],EarningsPerDay[Primary Area],$M6,EarningsPerDay[DOW],Q$3,EarningsPerDay[Quarter],Scheduling!$R$17),"")</f>
        <v>101.12111111111112</v>
      </c>
      <c r="R6" s="98">
        <f>IFERROR(AVERAGEIFS(EarningsPerDay[Gross Earnings],EarningsPerDay[Primary Area],$M6,EarningsPerDay[DOW],R$3,EarningsPerDay[Quarter],Scheduling!$R$17),"")</f>
        <v>67.356000000000009</v>
      </c>
      <c r="S6" s="98">
        <f>IFERROR(AVERAGEIFS(EarningsPerDay[Gross Earnings],EarningsPerDay[Primary Area],$M6,EarningsPerDay[DOW],S$3,EarningsPerDay[Quarter],Scheduling!$R$17),"")</f>
        <v>117.96124999999999</v>
      </c>
      <c r="T6" s="98">
        <f>IFERROR(AVERAGEIFS(EarningsPerDay[Gross Earnings],EarningsPerDay[Primary Area],$M6,EarningsPerDay[DOW],T$3,EarningsPerDay[Quarter],Scheduling!$R$17),"")</f>
        <v>115.57599999999999</v>
      </c>
      <c r="U6" s="286">
        <f>AVERAGEIF(N6:T6,"&gt;0")</f>
        <v>92.144432539682541</v>
      </c>
      <c r="W6" s="86" t="s">
        <v>82</v>
      </c>
      <c r="X6" s="220">
        <f>_xlfn.MAXIFS(EarningsPerDay[Date],EarningsPerDay[Primary Area],$W6,EarningsPerDay[DOW],X$3,EarningsPerDay[Quarter],Scheduling!$R$17)</f>
        <v>45445</v>
      </c>
      <c r="Y6" s="220">
        <f>_xlfn.MAXIFS(EarningsPerDay[Date],EarningsPerDay[Primary Area],$W6,EarningsPerDay[DOW],Y$3,EarningsPerDay[Quarter],Scheduling!$R$17)</f>
        <v>45817</v>
      </c>
      <c r="Z6" s="220">
        <f>_xlfn.MAXIFS(EarningsPerDay[Date],EarningsPerDay[Primary Area],$W6,EarningsPerDay[DOW],Z$3,EarningsPerDay[Quarter],Scheduling!$R$17)</f>
        <v>45769</v>
      </c>
      <c r="AA6" s="220">
        <f>_xlfn.MAXIFS(EarningsPerDay[Date],EarningsPerDay[Primary Area],$W6,EarningsPerDay[DOW],AA$3,EarningsPerDay[Quarter],Scheduling!$R$17)</f>
        <v>46162</v>
      </c>
      <c r="AB6" s="220">
        <f>_xlfn.MAXIFS(EarningsPerDay[Date],EarningsPerDay[Primary Area],$W6,EarningsPerDay[DOW],AB$3,EarningsPerDay[Quarter],Scheduling!$R$17)</f>
        <v>45764</v>
      </c>
      <c r="AC6" s="220">
        <f>_xlfn.MAXIFS(EarningsPerDay[Date],EarningsPerDay[Primary Area],$W6,EarningsPerDay[DOW],AC$3,EarningsPerDay[Quarter],Scheduling!$R$17)</f>
        <v>46164</v>
      </c>
      <c r="AD6" s="220">
        <f>_xlfn.MAXIFS(EarningsPerDay[Date],EarningsPerDay[Primary Area],$W6,EarningsPerDay[DOW],AD$3,EarningsPerDay[Quarter],Scheduling!$R$17)</f>
        <v>45794</v>
      </c>
    </row>
    <row r="7" spans="2:31" ht="15" thickBot="1" x14ac:dyDescent="0.4">
      <c r="B7">
        <v>4</v>
      </c>
      <c r="C7" s="87" t="s">
        <v>85</v>
      </c>
      <c r="D7" s="309">
        <f>IFERROR(AVERAGEIFS(EarningsPerDay[Gross $/Hour],EarningsPerDay[Primary Area],$C7,EarningsPerDay[DOW],D$3,EarningsPerDay[Quarter],Scheduling!$R$17),"")</f>
        <v>22.174659791227938</v>
      </c>
      <c r="E7" s="309">
        <f>IFERROR(AVERAGEIFS(EarningsPerDay[Gross $/Hour],EarningsPerDay[Primary Area],$C7,EarningsPerDay[DOW],E$3,EarningsPerDay[Quarter],Scheduling!$R$17),"")</f>
        <v>20.900705379090031</v>
      </c>
      <c r="F7" s="309">
        <f>IFERROR(AVERAGEIFS(EarningsPerDay[Gross $/Hour],EarningsPerDay[Primary Area],$C7,EarningsPerDay[DOW],F$3,EarningsPerDay[Quarter],Scheduling!$R$17),"")</f>
        <v>21.991200810591991</v>
      </c>
      <c r="G7" s="309">
        <f>IFERROR(AVERAGEIFS(EarningsPerDay[Gross $/Hour],EarningsPerDay[Primary Area],$C7,EarningsPerDay[DOW],G$3,EarningsPerDay[Quarter],Scheduling!$R$17),"")</f>
        <v>19.220280516645627</v>
      </c>
      <c r="H7" s="309">
        <f>IFERROR(AVERAGEIFS(EarningsPerDay[Gross $/Hour],EarningsPerDay[Primary Area],$C7,EarningsPerDay[DOW],H$3,EarningsPerDay[Quarter],Scheduling!$R$17),"")</f>
        <v>18.515865281955389</v>
      </c>
      <c r="I7" s="309">
        <f>IFERROR(AVERAGEIFS(EarningsPerDay[Gross $/Hour],EarningsPerDay[Primary Area],$C7,EarningsPerDay[DOW],I$3,EarningsPerDay[Quarter],Scheduling!$R$17),"")</f>
        <v>22.388388814265184</v>
      </c>
      <c r="J7" s="309">
        <f>IFERROR(AVERAGEIFS(EarningsPerDay[Gross $/Hour],EarningsPerDay[Primary Area],$C7,EarningsPerDay[DOW],J$3,EarningsPerDay[Quarter],Scheduling!$R$17),"")</f>
        <v>20.622065585545219</v>
      </c>
      <c r="K7" s="98">
        <f>AVERAGEIF(D7:J7,"&gt;0")</f>
        <v>20.830452311331623</v>
      </c>
      <c r="M7" s="226" t="s">
        <v>85</v>
      </c>
      <c r="N7" s="98">
        <f>IFERROR(AVERAGEIFS(EarningsPerDay[Gross Earnings],EarningsPerDay[Primary Area],$M7,EarningsPerDay[DOW],N$3,EarningsPerDay[Quarter],Scheduling!$R$17),"")</f>
        <v>109.58555555555556</v>
      </c>
      <c r="O7" s="98">
        <f>IFERROR(AVERAGEIFS(EarningsPerDay[Gross Earnings],EarningsPerDay[Primary Area],$M7,EarningsPerDay[DOW],O$3,EarningsPerDay[Quarter],Scheduling!$R$17),"")</f>
        <v>119.36333333333333</v>
      </c>
      <c r="P7" s="98">
        <f>IFERROR(AVERAGEIFS(EarningsPerDay[Gross Earnings],EarningsPerDay[Primary Area],$M7,EarningsPerDay[DOW],P$3,EarningsPerDay[Quarter],Scheduling!$R$17),"")</f>
        <v>103.50999999999999</v>
      </c>
      <c r="Q7" s="98">
        <f>IFERROR(AVERAGEIFS(EarningsPerDay[Gross Earnings],EarningsPerDay[Primary Area],$M7,EarningsPerDay[DOW],Q$3,EarningsPerDay[Quarter],Scheduling!$R$17),"")</f>
        <v>93.443333333333328</v>
      </c>
      <c r="R7" s="98">
        <f>IFERROR(AVERAGEIFS(EarningsPerDay[Gross Earnings],EarningsPerDay[Primary Area],$M7,EarningsPerDay[DOW],R$3,EarningsPerDay[Quarter],Scheduling!$R$17),"")</f>
        <v>97.245000000000005</v>
      </c>
      <c r="S7" s="98">
        <f>IFERROR(AVERAGEIFS(EarningsPerDay[Gross Earnings],EarningsPerDay[Primary Area],$M7,EarningsPerDay[DOW],S$3,EarningsPerDay[Quarter],Scheduling!$R$17),"")</f>
        <v>134.31363636363636</v>
      </c>
      <c r="T7" s="98">
        <f>IFERROR(AVERAGEIFS(EarningsPerDay[Gross Earnings],EarningsPerDay[Primary Area],$M7,EarningsPerDay[DOW],T$3,EarningsPerDay[Quarter],Scheduling!$R$17),"")</f>
        <v>93.528333333333322</v>
      </c>
      <c r="U7" s="286">
        <f>AVERAGEIF(N7:T7,"&gt;0")</f>
        <v>107.28417027417025</v>
      </c>
      <c r="W7" s="87" t="s">
        <v>85</v>
      </c>
      <c r="X7" s="220">
        <f>_xlfn.MAXIFS(EarningsPerDay[Date],EarningsPerDay[Primary Area],$W7,EarningsPerDay[DOW],X$3,EarningsPerDay[Quarter],Scheduling!$R$17)</f>
        <v>46159</v>
      </c>
      <c r="Y7" s="220">
        <f>_xlfn.MAXIFS(EarningsPerDay[Date],EarningsPerDay[Primary Area],$W7,EarningsPerDay[DOW],Y$3,EarningsPerDay[Quarter],Scheduling!$R$17)</f>
        <v>45782</v>
      </c>
      <c r="Z7" s="220">
        <f>_xlfn.MAXIFS(EarningsPerDay[Date],EarningsPerDay[Primary Area],$W7,EarningsPerDay[DOW],Z$3,EarningsPerDay[Quarter],Scheduling!$R$17)</f>
        <v>45832</v>
      </c>
      <c r="AA7" s="220">
        <f>_xlfn.MAXIFS(EarningsPerDay[Date],EarningsPerDay[Primary Area],$W7,EarningsPerDay[DOW],AA$3,EarningsPerDay[Quarter],Scheduling!$R$17)</f>
        <v>45805</v>
      </c>
      <c r="AB7" s="220">
        <f>_xlfn.MAXIFS(EarningsPerDay[Date],EarningsPerDay[Primary Area],$W7,EarningsPerDay[DOW],AB$3,EarningsPerDay[Quarter],Scheduling!$R$17)</f>
        <v>45449</v>
      </c>
      <c r="AC7" s="220">
        <f>_xlfn.MAXIFS(EarningsPerDay[Date],EarningsPerDay[Primary Area],$W7,EarningsPerDay[DOW],AC$3,EarningsPerDay[Quarter],Scheduling!$R$17)</f>
        <v>45835</v>
      </c>
      <c r="AD7" s="220">
        <f>_xlfn.MAXIFS(EarningsPerDay[Date],EarningsPerDay[Primary Area],$W7,EarningsPerDay[DOW],AD$3,EarningsPerDay[Quarter],Scheduling!$R$17)</f>
        <v>45836</v>
      </c>
    </row>
    <row r="8" spans="2:31" ht="15" thickBot="1" x14ac:dyDescent="0.4">
      <c r="C8" s="53" t="s">
        <v>41</v>
      </c>
      <c r="D8" s="62">
        <f t="shared" ref="D8:J8" si="0">MAX(D4:D7)</f>
        <v>22.174659791227938</v>
      </c>
      <c r="E8" s="62">
        <f t="shared" si="0"/>
        <v>21.251889064073474</v>
      </c>
      <c r="F8" s="62">
        <f t="shared" si="0"/>
        <v>22.056124903349879</v>
      </c>
      <c r="G8" s="62">
        <f t="shared" si="0"/>
        <v>23.035710056587778</v>
      </c>
      <c r="H8" s="62">
        <f t="shared" si="0"/>
        <v>23.416926364197128</v>
      </c>
      <c r="I8" s="62">
        <f t="shared" si="0"/>
        <v>23.603323089818645</v>
      </c>
      <c r="J8" s="62">
        <f t="shared" si="0"/>
        <v>25.154549370077014</v>
      </c>
      <c r="M8" s="227" t="s">
        <v>41</v>
      </c>
      <c r="N8" s="62">
        <f t="shared" ref="N8:T8" si="1">MAX(N4:N7)</f>
        <v>109.58555555555556</v>
      </c>
      <c r="O8" s="62">
        <f t="shared" si="1"/>
        <v>119.36333333333333</v>
      </c>
      <c r="P8" s="62">
        <f t="shared" si="1"/>
        <v>105.52666666666666</v>
      </c>
      <c r="Q8" s="62">
        <f t="shared" si="1"/>
        <v>105.33799999999999</v>
      </c>
      <c r="R8" s="62">
        <f t="shared" si="1"/>
        <v>103.62952380952382</v>
      </c>
      <c r="S8" s="62">
        <f t="shared" si="1"/>
        <v>134.31363636363636</v>
      </c>
      <c r="T8" s="62">
        <f t="shared" si="1"/>
        <v>115.57599999999999</v>
      </c>
      <c r="W8" s="53" t="s">
        <v>40</v>
      </c>
      <c r="X8" s="221">
        <f t="shared" ref="X8:AD8" si="2">MIN(X4:X7)</f>
        <v>45445</v>
      </c>
      <c r="Y8" s="221">
        <f t="shared" si="2"/>
        <v>45439</v>
      </c>
      <c r="Z8" s="221">
        <f t="shared" si="2"/>
        <v>45755</v>
      </c>
      <c r="AA8" s="221">
        <f t="shared" si="2"/>
        <v>45791</v>
      </c>
      <c r="AB8" s="221">
        <f t="shared" si="2"/>
        <v>45449</v>
      </c>
      <c r="AC8" s="221">
        <f t="shared" si="2"/>
        <v>45758</v>
      </c>
      <c r="AD8" s="221">
        <f t="shared" si="2"/>
        <v>45773</v>
      </c>
      <c r="AE8" s="42"/>
    </row>
    <row r="9" spans="2:31" ht="15" thickBot="1" x14ac:dyDescent="0.4">
      <c r="C9" s="53" t="s">
        <v>87</v>
      </c>
      <c r="D9" s="54">
        <f t="shared" ref="D9:J9" si="3">_xlfn.RANK.EQ(D8,$D$8:$J$8,0)</f>
        <v>5</v>
      </c>
      <c r="E9" s="54">
        <f t="shared" si="3"/>
        <v>7</v>
      </c>
      <c r="F9" s="54">
        <f t="shared" si="3"/>
        <v>6</v>
      </c>
      <c r="G9" s="54">
        <f t="shared" si="3"/>
        <v>4</v>
      </c>
      <c r="H9" s="54">
        <f t="shared" si="3"/>
        <v>3</v>
      </c>
      <c r="I9" s="54">
        <f t="shared" si="3"/>
        <v>2</v>
      </c>
      <c r="J9" s="54">
        <f t="shared" si="3"/>
        <v>1</v>
      </c>
      <c r="M9" s="227" t="s">
        <v>87</v>
      </c>
      <c r="N9" s="54">
        <f t="shared" ref="N9:T9" si="4">_xlfn.RANK.EQ(N8,$N$8:$T$8,0)</f>
        <v>4</v>
      </c>
      <c r="O9" s="54">
        <f t="shared" si="4"/>
        <v>2</v>
      </c>
      <c r="P9" s="54">
        <f t="shared" si="4"/>
        <v>5</v>
      </c>
      <c r="Q9" s="54">
        <f t="shared" si="4"/>
        <v>6</v>
      </c>
      <c r="R9" s="54">
        <f t="shared" si="4"/>
        <v>7</v>
      </c>
      <c r="S9" s="54">
        <f t="shared" si="4"/>
        <v>1</v>
      </c>
      <c r="T9" s="54">
        <f t="shared" si="4"/>
        <v>3</v>
      </c>
    </row>
    <row r="10" spans="2:31" ht="15" thickBot="1" x14ac:dyDescent="0.4">
      <c r="W10" s="513" t="s">
        <v>198</v>
      </c>
      <c r="X10" s="513"/>
      <c r="Y10" s="513"/>
      <c r="Z10" s="513"/>
      <c r="AA10" s="513"/>
      <c r="AB10" s="513"/>
      <c r="AC10" s="513"/>
      <c r="AD10" s="513"/>
      <c r="AE10" s="513"/>
    </row>
    <row r="11" spans="2:31" ht="15" thickBot="1" x14ac:dyDescent="0.4">
      <c r="C11" s="491" t="s">
        <v>409</v>
      </c>
      <c r="D11" s="491"/>
      <c r="E11" s="491"/>
      <c r="F11" s="491"/>
      <c r="G11" s="491"/>
      <c r="H11" s="491"/>
      <c r="I11" s="491"/>
      <c r="J11" s="491"/>
      <c r="K11" s="491"/>
      <c r="M11" s="491" t="s">
        <v>413</v>
      </c>
      <c r="N11" s="491"/>
      <c r="O11" s="491"/>
      <c r="P11" s="491"/>
      <c r="Q11" s="491"/>
      <c r="R11" s="491"/>
      <c r="S11" s="491"/>
      <c r="T11" s="491"/>
      <c r="U11" s="491"/>
      <c r="W11" s="517" t="s">
        <v>282</v>
      </c>
      <c r="X11" s="518"/>
      <c r="Y11" s="518"/>
      <c r="Z11" s="518"/>
      <c r="AA11" s="518"/>
      <c r="AB11" s="518"/>
      <c r="AC11" s="518"/>
      <c r="AD11" s="518"/>
      <c r="AE11" s="519"/>
    </row>
    <row r="12" spans="2:31" x14ac:dyDescent="0.35">
      <c r="C12" s="97" t="s">
        <v>74</v>
      </c>
      <c r="D12" s="92" t="s">
        <v>45</v>
      </c>
      <c r="E12" s="92" t="s">
        <v>46</v>
      </c>
      <c r="F12" s="92" t="s">
        <v>47</v>
      </c>
      <c r="G12" s="92" t="s">
        <v>48</v>
      </c>
      <c r="H12" s="92" t="s">
        <v>49</v>
      </c>
      <c r="I12" s="92" t="s">
        <v>50</v>
      </c>
      <c r="J12" s="92" t="s">
        <v>51</v>
      </c>
      <c r="K12" s="93" t="s">
        <v>62</v>
      </c>
      <c r="M12" s="97" t="s">
        <v>74</v>
      </c>
      <c r="N12" s="92" t="s">
        <v>45</v>
      </c>
      <c r="O12" s="92" t="s">
        <v>46</v>
      </c>
      <c r="P12" s="92" t="s">
        <v>47</v>
      </c>
      <c r="Q12" s="92" t="s">
        <v>48</v>
      </c>
      <c r="R12" s="92" t="s">
        <v>49</v>
      </c>
      <c r="S12" s="92" t="s">
        <v>50</v>
      </c>
      <c r="T12" s="92" t="s">
        <v>51</v>
      </c>
      <c r="U12" s="93" t="s">
        <v>62</v>
      </c>
      <c r="W12" s="182" t="s">
        <v>174</v>
      </c>
      <c r="X12" s="183">
        <f t="shared" ref="X12:AD15" si="5">IFERROR(IF($L98=TRUE,"",_xlfn.RANK.EQ(X4,X$4:X$7,1)),"")</f>
        <v>2</v>
      </c>
      <c r="Y12" s="183">
        <f t="shared" si="5"/>
        <v>1</v>
      </c>
      <c r="Z12" s="183">
        <f t="shared" si="5"/>
        <v>1</v>
      </c>
      <c r="AA12" s="183">
        <f t="shared" si="5"/>
        <v>2</v>
      </c>
      <c r="AB12" s="183">
        <f t="shared" si="5"/>
        <v>4</v>
      </c>
      <c r="AC12" s="183">
        <f t="shared" si="5"/>
        <v>1</v>
      </c>
      <c r="AD12" s="183">
        <f t="shared" si="5"/>
        <v>1</v>
      </c>
      <c r="AE12" s="199"/>
    </row>
    <row r="13" spans="2:31" x14ac:dyDescent="0.35">
      <c r="C13" s="86" t="s">
        <v>174</v>
      </c>
      <c r="D13" s="308">
        <f>IFERROR(AVERAGEIFS(EarningsPerDay[$/Mile],EarningsPerDay[Primary Area],$C13,EarningsPerDay[DOW],D$12,EarningsPerDay[Quarter],Scheduling!$R$17),"")</f>
        <v>0.81955002258355913</v>
      </c>
      <c r="E13" s="308">
        <f>IFERROR(AVERAGEIFS(EarningsPerDay[$/Mile],EarningsPerDay[Primary Area],$C13,EarningsPerDay[DOW],E$12,EarningsPerDay[Quarter],Scheduling!$R$17),"")</f>
        <v>0.69799967090829307</v>
      </c>
      <c r="F13" s="308">
        <f>IFERROR(AVERAGEIFS(EarningsPerDay[$/Mile],EarningsPerDay[Primary Area],$C13,EarningsPerDay[DOW],F$12,EarningsPerDay[Quarter],Scheduling!$R$17),"")</f>
        <v>0.8643704884252551</v>
      </c>
      <c r="G13" s="308">
        <f>IFERROR(AVERAGEIFS(EarningsPerDay[$/Mile],EarningsPerDay[Primary Area],$C13,EarningsPerDay[DOW],G$12,EarningsPerDay[Quarter],Scheduling!$R$17),"")</f>
        <v>0.57322504922005146</v>
      </c>
      <c r="H13" s="308">
        <f>IFERROR(AVERAGEIFS(EarningsPerDay[$/Mile],EarningsPerDay[Primary Area],$C13,EarningsPerDay[DOW],H$12,EarningsPerDay[Quarter],Scheduling!$R$17),"")</f>
        <v>0.64700337737957436</v>
      </c>
      <c r="I13" s="308">
        <f>IFERROR(AVERAGEIFS(EarningsPerDay[$/Mile],EarningsPerDay[Primary Area],$C13,EarningsPerDay[DOW],I$12,EarningsPerDay[Quarter],Scheduling!$R$17),"")</f>
        <v>0.75542425775978417</v>
      </c>
      <c r="J13" s="308">
        <f>IFERROR(AVERAGEIFS(EarningsPerDay[$/Mile],EarningsPerDay[Primary Area],$C13,EarningsPerDay[DOW],J$12,EarningsPerDay[Quarter],Scheduling!$R$17),"")</f>
        <v>0.93909992790792962</v>
      </c>
      <c r="K13" s="100">
        <f>AVERAGEIF(D13:J13,"&gt;0")</f>
        <v>0.75666754202634956</v>
      </c>
      <c r="L13" s="11"/>
      <c r="M13" s="86" t="s">
        <v>174</v>
      </c>
      <c r="N13" s="309">
        <f>IFERROR(AVERAGEIFS(EarningsPerDay[$/Trip],EarningsPerDay[Primary Area],$M13,EarningsPerDay[DOW],N$12,EarningsPerDay[Quarter],Scheduling!$R$17),"")</f>
        <v>8.9428075396825388</v>
      </c>
      <c r="O13" s="309">
        <f>IFERROR(AVERAGEIFS(EarningsPerDay[$/Trip],EarningsPerDay[Primary Area],$M13,EarningsPerDay[DOW],O$12,EarningsPerDay[Quarter],Scheduling!$R$17),"")</f>
        <v>10.321999999999999</v>
      </c>
      <c r="P13" s="309">
        <f>IFERROR(AVERAGEIFS(EarningsPerDay[$/Trip],EarningsPerDay[Primary Area],$M13,EarningsPerDay[DOW],P$12,EarningsPerDay[Quarter],Scheduling!$R$17),"")</f>
        <v>10.456727272727273</v>
      </c>
      <c r="Q13" s="309">
        <f>IFERROR(AVERAGEIFS(EarningsPerDay[$/Trip],EarningsPerDay[Primary Area],$M13,EarningsPerDay[DOW],Q$12,EarningsPerDay[Quarter],Scheduling!$R$17),"")</f>
        <v>11.66625</v>
      </c>
      <c r="R13" s="309">
        <f>IFERROR(AVERAGEIFS(EarningsPerDay[$/Trip],EarningsPerDay[Primary Area],$M13,EarningsPerDay[DOW],R$12,EarningsPerDay[Quarter],Scheduling!$R$17),"")</f>
        <v>9.1199102564102557</v>
      </c>
      <c r="S13" s="309">
        <f>IFERROR(AVERAGEIFS(EarningsPerDay[$/Trip],EarningsPerDay[Primary Area],$M13,EarningsPerDay[DOW],S$12,EarningsPerDay[Quarter],Scheduling!$R$17),"")</f>
        <v>11.61375</v>
      </c>
      <c r="T13" s="309">
        <f>IFERROR(AVERAGEIFS(EarningsPerDay[$/Trip],EarningsPerDay[Primary Area],$M13,EarningsPerDay[DOW],T$12,EarningsPerDay[Quarter],Scheduling!$R$17),"")</f>
        <v>9.7004761904761896</v>
      </c>
      <c r="U13" s="98">
        <f>AVERAGEIF(N13:T13,"&gt;0")</f>
        <v>10.260274465613751</v>
      </c>
      <c r="W13" s="182" t="s">
        <v>80</v>
      </c>
      <c r="X13" s="183">
        <f t="shared" si="5"/>
        <v>3</v>
      </c>
      <c r="Y13" s="183">
        <f t="shared" si="5"/>
        <v>4</v>
      </c>
      <c r="Z13" s="183">
        <f t="shared" si="5"/>
        <v>4</v>
      </c>
      <c r="AA13" s="183">
        <f t="shared" si="5"/>
        <v>1</v>
      </c>
      <c r="AB13" s="183">
        <f t="shared" si="5"/>
        <v>3</v>
      </c>
      <c r="AC13" s="183">
        <f t="shared" si="5"/>
        <v>3</v>
      </c>
      <c r="AD13" s="183">
        <f t="shared" si="5"/>
        <v>3</v>
      </c>
      <c r="AE13" s="199"/>
    </row>
    <row r="14" spans="2:31" x14ac:dyDescent="0.35">
      <c r="C14" s="85" t="s">
        <v>80</v>
      </c>
      <c r="D14" s="308">
        <f>IFERROR(AVERAGEIFS(EarningsPerDay[$/Mile],EarningsPerDay[Primary Area],$C14,EarningsPerDay[DOW],D$12,EarningsPerDay[Quarter],Scheduling!$R$17),"")</f>
        <v>1.0392605036416469</v>
      </c>
      <c r="E14" s="308">
        <f>IFERROR(AVERAGEIFS(EarningsPerDay[$/Mile],EarningsPerDay[Primary Area],$C14,EarningsPerDay[DOW],E$12,EarningsPerDay[Quarter],Scheduling!$R$17),"")</f>
        <v>0.93682074535317905</v>
      </c>
      <c r="F14" s="308">
        <f>IFERROR(AVERAGEIFS(EarningsPerDay[$/Mile],EarningsPerDay[Primary Area],$C14,EarningsPerDay[DOW],F$12,EarningsPerDay[Quarter],Scheduling!$R$17),"")</f>
        <v>0.99357896782208399</v>
      </c>
      <c r="G14" s="308">
        <f>IFERROR(AVERAGEIFS(EarningsPerDay[$/Mile],EarningsPerDay[Primary Area],$C14,EarningsPerDay[DOW],G$12,EarningsPerDay[Quarter],Scheduling!$R$17),"")</f>
        <v>1.0333231385473221</v>
      </c>
      <c r="H14" s="308">
        <f>IFERROR(AVERAGEIFS(EarningsPerDay[$/Mile],EarningsPerDay[Primary Area],$C14,EarningsPerDay[DOW],H$12,EarningsPerDay[Quarter],Scheduling!$R$17),"")</f>
        <v>1.1081297234757652</v>
      </c>
      <c r="I14" s="308">
        <f>IFERROR(AVERAGEIFS(EarningsPerDay[$/Mile],EarningsPerDay[Primary Area],$C14,EarningsPerDay[DOW],I$12,EarningsPerDay[Quarter],Scheduling!$R$17),"")</f>
        <v>1.023949763084669</v>
      </c>
      <c r="J14" s="308">
        <f>IFERROR(AVERAGEIFS(EarningsPerDay[$/Mile],EarningsPerDay[Primary Area],$C14,EarningsPerDay[DOW],J$12,EarningsPerDay[Quarter],Scheduling!$R$17),"")</f>
        <v>1.1240277297927856</v>
      </c>
      <c r="K14" s="100">
        <f>AVERAGEIF(D14:J14,"&gt;0")</f>
        <v>1.037012938816779</v>
      </c>
      <c r="L14" s="11"/>
      <c r="M14" s="85" t="s">
        <v>80</v>
      </c>
      <c r="N14" s="309">
        <f>IFERROR(AVERAGEIFS(EarningsPerDay[$/Trip],EarningsPerDay[Primary Area],$M14,EarningsPerDay[DOW],N$12,EarningsPerDay[Quarter],Scheduling!$R$17),"")</f>
        <v>10.324395061728396</v>
      </c>
      <c r="O14" s="309">
        <f>IFERROR(AVERAGEIFS(EarningsPerDay[$/Trip],EarningsPerDay[Primary Area],$M14,EarningsPerDay[DOW],O$12,EarningsPerDay[Quarter],Scheduling!$R$17),"")</f>
        <v>10.604314980341298</v>
      </c>
      <c r="P14" s="309">
        <f>IFERROR(AVERAGEIFS(EarningsPerDay[$/Trip],EarningsPerDay[Primary Area],$M14,EarningsPerDay[DOW],P$12,EarningsPerDay[Quarter],Scheduling!$R$17),"")</f>
        <v>11.171555440771348</v>
      </c>
      <c r="Q14" s="309">
        <f>IFERROR(AVERAGEIFS(EarningsPerDay[$/Trip],EarningsPerDay[Primary Area],$M14,EarningsPerDay[DOW],Q$12,EarningsPerDay[Quarter],Scheduling!$R$17),"")</f>
        <v>10.604668302068303</v>
      </c>
      <c r="R14" s="309">
        <f>IFERROR(AVERAGEIFS(EarningsPerDay[$/Trip],EarningsPerDay[Primary Area],$M14,EarningsPerDay[DOW],R$12,EarningsPerDay[Quarter],Scheduling!$R$17),"")</f>
        <v>10.992928981071838</v>
      </c>
      <c r="S14" s="309">
        <f>IFERROR(AVERAGEIFS(EarningsPerDay[$/Trip],EarningsPerDay[Primary Area],$M14,EarningsPerDay[DOW],S$12,EarningsPerDay[Quarter],Scheduling!$R$17),"")</f>
        <v>11.304673835233393</v>
      </c>
      <c r="T14" s="309">
        <f>IFERROR(AVERAGEIFS(EarningsPerDay[$/Trip],EarningsPerDay[Primary Area],$M14,EarningsPerDay[DOW],T$12,EarningsPerDay[Quarter],Scheduling!$R$17),"")</f>
        <v>10.954193873755148</v>
      </c>
      <c r="U14" s="98">
        <f>AVERAGEIF(N14:T14,"&gt;0")</f>
        <v>10.850961496424246</v>
      </c>
      <c r="W14" s="185" t="s">
        <v>82</v>
      </c>
      <c r="X14" s="181">
        <f t="shared" si="5"/>
        <v>1</v>
      </c>
      <c r="Y14" s="181">
        <f t="shared" si="5"/>
        <v>3</v>
      </c>
      <c r="Z14" s="181">
        <f t="shared" si="5"/>
        <v>2</v>
      </c>
      <c r="AA14" s="181">
        <f t="shared" si="5"/>
        <v>4</v>
      </c>
      <c r="AB14" s="181">
        <f t="shared" si="5"/>
        <v>2</v>
      </c>
      <c r="AC14" s="181">
        <f t="shared" si="5"/>
        <v>4</v>
      </c>
      <c r="AD14" s="181">
        <f t="shared" si="5"/>
        <v>2</v>
      </c>
      <c r="AE14" s="200"/>
    </row>
    <row r="15" spans="2:31" ht="15" thickBot="1" x14ac:dyDescent="0.4">
      <c r="C15" s="86" t="s">
        <v>82</v>
      </c>
      <c r="D15" s="308">
        <f>IFERROR(AVERAGEIFS(EarningsPerDay[$/Mile],EarningsPerDay[Primary Area],$C15,EarningsPerDay[DOW],D$12,EarningsPerDay[Quarter],Scheduling!$R$17),"")</f>
        <v>0.94200113186191281</v>
      </c>
      <c r="E15" s="308">
        <f>IFERROR(AVERAGEIFS(EarningsPerDay[$/Mile],EarningsPerDay[Primary Area],$C15,EarningsPerDay[DOW],E$12,EarningsPerDay[Quarter],Scheduling!$R$17),"")</f>
        <v>0.89092662002332157</v>
      </c>
      <c r="F15" s="308">
        <f>IFERROR(AVERAGEIFS(EarningsPerDay[$/Mile],EarningsPerDay[Primary Area],$C15,EarningsPerDay[DOW],F$12,EarningsPerDay[Quarter],Scheduling!$R$17),"")</f>
        <v>0.75384737694739368</v>
      </c>
      <c r="G15" s="308">
        <f>IFERROR(AVERAGEIFS(EarningsPerDay[$/Mile],EarningsPerDay[Primary Area],$C15,EarningsPerDay[DOW],G$12,EarningsPerDay[Quarter],Scheduling!$R$17),"")</f>
        <v>1.3998002287446765</v>
      </c>
      <c r="H15" s="308">
        <f>IFERROR(AVERAGEIFS(EarningsPerDay[$/Mile],EarningsPerDay[Primary Area],$C15,EarningsPerDay[DOW],H$12,EarningsPerDay[Quarter],Scheduling!$R$17),"")</f>
        <v>1.0477974193381054</v>
      </c>
      <c r="I15" s="308">
        <f>IFERROR(AVERAGEIFS(EarningsPerDay[$/Mile],EarningsPerDay[Primary Area],$C15,EarningsPerDay[DOW],I$12,EarningsPerDay[Quarter],Scheduling!$R$17),"")</f>
        <v>1.4453303682072411</v>
      </c>
      <c r="J15" s="308">
        <f>IFERROR(AVERAGEIFS(EarningsPerDay[$/Mile],EarningsPerDay[Primary Area],$C15,EarningsPerDay[DOW],J$12,EarningsPerDay[Quarter],Scheduling!$R$17),"")</f>
        <v>1.147511677681337</v>
      </c>
      <c r="K15" s="100">
        <f>AVERAGEIF(D15:J15,"&gt;0")</f>
        <v>1.0896021175434267</v>
      </c>
      <c r="L15" s="11"/>
      <c r="M15" s="86" t="s">
        <v>82</v>
      </c>
      <c r="N15" s="309">
        <f>IFERROR(AVERAGEIFS(EarningsPerDay[$/Trip],EarningsPerDay[Primary Area],$M15,EarningsPerDay[DOW],N$12,EarningsPerDay[Quarter],Scheduling!$R$17),"")</f>
        <v>7.801874999999999</v>
      </c>
      <c r="O15" s="309">
        <f>IFERROR(AVERAGEIFS(EarningsPerDay[$/Trip],EarningsPerDay[Primary Area],$M15,EarningsPerDay[DOW],O$12,EarningsPerDay[Quarter],Scheduling!$R$17),"")</f>
        <v>7.6500634920634925</v>
      </c>
      <c r="P15" s="309">
        <f>IFERROR(AVERAGEIFS(EarningsPerDay[$/Trip],EarningsPerDay[Primary Area],$M15,EarningsPerDay[DOW],P$12,EarningsPerDay[Quarter],Scheduling!$R$17),"")</f>
        <v>7.2801082251082248</v>
      </c>
      <c r="Q15" s="309">
        <f>IFERROR(AVERAGEIFS(EarningsPerDay[$/Trip],EarningsPerDay[Primary Area],$M15,EarningsPerDay[DOW],Q$12,EarningsPerDay[Quarter],Scheduling!$R$17),"")</f>
        <v>10.190958214624882</v>
      </c>
      <c r="R15" s="309">
        <f>IFERROR(AVERAGEIFS(EarningsPerDay[$/Trip],EarningsPerDay[Primary Area],$M15,EarningsPerDay[DOW],R$12,EarningsPerDay[Quarter],Scheduling!$R$17),"")</f>
        <v>8.5553705627705643</v>
      </c>
      <c r="S15" s="309">
        <f>IFERROR(AVERAGEIFS(EarningsPerDay[$/Trip],EarningsPerDay[Primary Area],$M15,EarningsPerDay[DOW],S$12,EarningsPerDay[Quarter],Scheduling!$R$17),"")</f>
        <v>10.854383432539683</v>
      </c>
      <c r="T15" s="309">
        <f>IFERROR(AVERAGEIFS(EarningsPerDay[$/Trip],EarningsPerDay[Primary Area],$M15,EarningsPerDay[DOW],T$12,EarningsPerDay[Quarter],Scheduling!$R$17),"")</f>
        <v>10.041839215686274</v>
      </c>
      <c r="U15" s="98">
        <f>AVERAGEIF(N15:T15,"&gt;0")</f>
        <v>8.9106568775418733</v>
      </c>
      <c r="W15" s="187" t="s">
        <v>85</v>
      </c>
      <c r="X15" s="188">
        <f t="shared" si="5"/>
        <v>4</v>
      </c>
      <c r="Y15" s="188">
        <f t="shared" si="5"/>
        <v>2</v>
      </c>
      <c r="Z15" s="188">
        <f t="shared" si="5"/>
        <v>3</v>
      </c>
      <c r="AA15" s="188">
        <f t="shared" si="5"/>
        <v>3</v>
      </c>
      <c r="AB15" s="188">
        <f t="shared" si="5"/>
        <v>1</v>
      </c>
      <c r="AC15" s="188">
        <f t="shared" si="5"/>
        <v>2</v>
      </c>
      <c r="AD15" s="188">
        <f t="shared" si="5"/>
        <v>4</v>
      </c>
      <c r="AE15" s="201"/>
    </row>
    <row r="16" spans="2:31" ht="15" thickBot="1" x14ac:dyDescent="0.4">
      <c r="C16" s="87" t="s">
        <v>85</v>
      </c>
      <c r="D16" s="308">
        <f>IFERROR(AVERAGEIFS(EarningsPerDay[$/Mile],EarningsPerDay[Primary Area],$C16,EarningsPerDay[DOW],D$12,EarningsPerDay[Quarter],Scheduling!$R$17),"")</f>
        <v>1.1309012067502424</v>
      </c>
      <c r="E16" s="308">
        <f>IFERROR(AVERAGEIFS(EarningsPerDay[$/Mile],EarningsPerDay[Primary Area],$C16,EarningsPerDay[DOW],E$12,EarningsPerDay[Quarter],Scheduling!$R$17),"")</f>
        <v>0.93099194407870423</v>
      </c>
      <c r="F16" s="308">
        <f>IFERROR(AVERAGEIFS(EarningsPerDay[$/Mile],EarningsPerDay[Primary Area],$C16,EarningsPerDay[DOW],F$12,EarningsPerDay[Quarter],Scheduling!$R$17),"")</f>
        <v>0.80965266875981157</v>
      </c>
      <c r="G16" s="308">
        <f>IFERROR(AVERAGEIFS(EarningsPerDay[$/Mile],EarningsPerDay[Primary Area],$C16,EarningsPerDay[DOW],G$12,EarningsPerDay[Quarter],Scheduling!$R$17),"")</f>
        <v>0.98794365681306351</v>
      </c>
      <c r="H16" s="308">
        <f>IFERROR(AVERAGEIFS(EarningsPerDay[$/Mile],EarningsPerDay[Primary Area],$C16,EarningsPerDay[DOW],H$12,EarningsPerDay[Quarter],Scheduling!$R$17),"")</f>
        <v>0.84718287716213592</v>
      </c>
      <c r="I16" s="308">
        <f>IFERROR(AVERAGEIFS(EarningsPerDay[$/Mile],EarningsPerDay[Primary Area],$C16,EarningsPerDay[DOW],I$12,EarningsPerDay[Quarter],Scheduling!$R$17),"")</f>
        <v>0.94923261359174627</v>
      </c>
      <c r="J16" s="308">
        <f>IFERROR(AVERAGEIFS(EarningsPerDay[$/Mile],EarningsPerDay[Primary Area],$C16,EarningsPerDay[DOW],J$12,EarningsPerDay[Quarter],Scheduling!$R$17),"")</f>
        <v>0.94050374363937694</v>
      </c>
      <c r="K16" s="100">
        <f>AVERAGEIF(D16:J16,"&gt;0")</f>
        <v>0.94234410154215453</v>
      </c>
      <c r="L16" s="11"/>
      <c r="M16" s="87" t="s">
        <v>85</v>
      </c>
      <c r="N16" s="309">
        <f>IFERROR(AVERAGEIFS(EarningsPerDay[$/Trip],EarningsPerDay[Primary Area],$M16,EarningsPerDay[DOW],N$12,EarningsPerDay[Quarter],Scheduling!$R$17),"")</f>
        <v>12.109535612535613</v>
      </c>
      <c r="O16" s="309">
        <f>IFERROR(AVERAGEIFS(EarningsPerDay[$/Trip],EarningsPerDay[Primary Area],$M16,EarningsPerDay[DOW],O$12,EarningsPerDay[Quarter],Scheduling!$R$17),"")</f>
        <v>11.351403457653456</v>
      </c>
      <c r="P16" s="309">
        <f>IFERROR(AVERAGEIFS(EarningsPerDay[$/Trip],EarningsPerDay[Primary Area],$M16,EarningsPerDay[DOW],P$12,EarningsPerDay[Quarter],Scheduling!$R$17),"")</f>
        <v>12.691904761904762</v>
      </c>
      <c r="Q16" s="309">
        <f>IFERROR(AVERAGEIFS(EarningsPerDay[$/Trip],EarningsPerDay[Primary Area],$M16,EarningsPerDay[DOW],Q$12,EarningsPerDay[Quarter],Scheduling!$R$17),"")</f>
        <v>9.1129880428213763</v>
      </c>
      <c r="R16" s="309">
        <f>IFERROR(AVERAGEIFS(EarningsPerDay[$/Trip],EarningsPerDay[Primary Area],$M16,EarningsPerDay[DOW],R$12,EarningsPerDay[Quarter],Scheduling!$R$17),"")</f>
        <v>11.475702380952381</v>
      </c>
      <c r="S16" s="309">
        <f>IFERROR(AVERAGEIFS(EarningsPerDay[$/Trip],EarningsPerDay[Primary Area],$M16,EarningsPerDay[DOW],S$12,EarningsPerDay[Quarter],Scheduling!$R$17),"")</f>
        <v>11.817046494355317</v>
      </c>
      <c r="T16" s="309">
        <f>IFERROR(AVERAGEIFS(EarningsPerDay[$/Trip],EarningsPerDay[Primary Area],$M16,EarningsPerDay[DOW],T$12,EarningsPerDay[Quarter],Scheduling!$R$17),"")</f>
        <v>11.680240740740741</v>
      </c>
      <c r="U16" s="98">
        <f>AVERAGEIF(N16:T16,"&gt;0")</f>
        <v>11.46268878442338</v>
      </c>
    </row>
    <row r="17" spans="3:22" ht="15" thickBot="1" x14ac:dyDescent="0.4">
      <c r="C17" s="53" t="s">
        <v>41</v>
      </c>
      <c r="D17" s="80">
        <f t="shared" ref="D17:J17" si="6">MAX(D13:D16)</f>
        <v>1.1309012067502424</v>
      </c>
      <c r="E17" s="80">
        <f t="shared" si="6"/>
        <v>0.93682074535317905</v>
      </c>
      <c r="F17" s="80">
        <f t="shared" si="6"/>
        <v>0.99357896782208399</v>
      </c>
      <c r="G17" s="80">
        <f t="shared" si="6"/>
        <v>1.3998002287446765</v>
      </c>
      <c r="H17" s="80">
        <f t="shared" si="6"/>
        <v>1.1081297234757652</v>
      </c>
      <c r="I17" s="80">
        <f t="shared" si="6"/>
        <v>1.4453303682072411</v>
      </c>
      <c r="J17" s="80">
        <f t="shared" si="6"/>
        <v>1.147511677681337</v>
      </c>
      <c r="L17" s="11"/>
      <c r="M17" s="53" t="s">
        <v>41</v>
      </c>
      <c r="N17" s="179">
        <f t="shared" ref="N17:T17" si="7">MAX(N13:N16)</f>
        <v>12.109535612535613</v>
      </c>
      <c r="O17" s="179">
        <f t="shared" si="7"/>
        <v>11.351403457653456</v>
      </c>
      <c r="P17" s="179">
        <f t="shared" si="7"/>
        <v>12.691904761904762</v>
      </c>
      <c r="Q17" s="179">
        <f t="shared" si="7"/>
        <v>11.66625</v>
      </c>
      <c r="R17" s="179">
        <f t="shared" si="7"/>
        <v>11.475702380952381</v>
      </c>
      <c r="S17" s="179">
        <f t="shared" si="7"/>
        <v>11.817046494355317</v>
      </c>
      <c r="T17" s="179">
        <f t="shared" si="7"/>
        <v>11.680240740740741</v>
      </c>
    </row>
    <row r="18" spans="3:22" ht="15" thickBot="1" x14ac:dyDescent="0.4">
      <c r="C18" s="53" t="s">
        <v>87</v>
      </c>
      <c r="D18" s="54">
        <f t="shared" ref="D18:J18" si="8">_xlfn.RANK.EQ(D17,$D$17:$J$17,0)</f>
        <v>4</v>
      </c>
      <c r="E18" s="54">
        <f t="shared" si="8"/>
        <v>7</v>
      </c>
      <c r="F18" s="54">
        <f t="shared" si="8"/>
        <v>6</v>
      </c>
      <c r="G18" s="54">
        <f t="shared" si="8"/>
        <v>2</v>
      </c>
      <c r="H18" s="54">
        <f t="shared" si="8"/>
        <v>5</v>
      </c>
      <c r="I18" s="54">
        <f t="shared" si="8"/>
        <v>1</v>
      </c>
      <c r="J18" s="54">
        <f t="shared" si="8"/>
        <v>3</v>
      </c>
      <c r="L18" s="11"/>
      <c r="M18" s="53" t="s">
        <v>87</v>
      </c>
      <c r="N18" s="54">
        <f t="shared" ref="N18:T18" si="9">_xlfn.RANK.EQ(N17,$N$17:$T$17,0)</f>
        <v>2</v>
      </c>
      <c r="O18" s="54">
        <f t="shared" si="9"/>
        <v>7</v>
      </c>
      <c r="P18" s="54">
        <f t="shared" si="9"/>
        <v>1</v>
      </c>
      <c r="Q18" s="54">
        <f t="shared" si="9"/>
        <v>5</v>
      </c>
      <c r="R18" s="54">
        <f t="shared" si="9"/>
        <v>6</v>
      </c>
      <c r="S18" s="54">
        <f t="shared" si="9"/>
        <v>3</v>
      </c>
      <c r="T18" s="54">
        <f t="shared" si="9"/>
        <v>4</v>
      </c>
    </row>
    <row r="20" spans="3:22" ht="15" thickBot="1" x14ac:dyDescent="0.4">
      <c r="C20" s="491" t="s">
        <v>405</v>
      </c>
      <c r="D20" s="491"/>
      <c r="E20" s="491"/>
      <c r="F20" s="491"/>
      <c r="G20" s="491"/>
      <c r="H20" s="491"/>
      <c r="I20" s="491"/>
      <c r="J20" s="491"/>
      <c r="K20" s="491"/>
    </row>
    <row r="21" spans="3:22" x14ac:dyDescent="0.35">
      <c r="C21" s="97" t="s">
        <v>74</v>
      </c>
      <c r="D21" s="92" t="s">
        <v>45</v>
      </c>
      <c r="E21" s="92" t="s">
        <v>46</v>
      </c>
      <c r="F21" s="92" t="s">
        <v>47</v>
      </c>
      <c r="G21" s="92" t="s">
        <v>48</v>
      </c>
      <c r="H21" s="92" t="s">
        <v>49</v>
      </c>
      <c r="I21" s="92" t="s">
        <v>50</v>
      </c>
      <c r="J21" s="92" t="s">
        <v>51</v>
      </c>
      <c r="K21" s="93" t="s">
        <v>62</v>
      </c>
      <c r="M21" s="508" t="s">
        <v>431</v>
      </c>
      <c r="N21" s="509"/>
      <c r="O21" s="509"/>
      <c r="P21" s="509"/>
      <c r="Q21" s="509"/>
      <c r="R21" s="509"/>
      <c r="S21" s="509"/>
      <c r="T21" s="509"/>
      <c r="U21" s="510"/>
    </row>
    <row r="22" spans="3:22" x14ac:dyDescent="0.35">
      <c r="C22" s="86" t="s">
        <v>174</v>
      </c>
      <c r="D22" s="99">
        <f>IFERROR(AVERAGEIFS(EarningsPerDay[Mi./Trip],EarningsPerDay[Primary Area],$C22,EarningsPerDay[DOW],D$21,EarningsPerDay[Quarter],Scheduling!$R$17),"")</f>
        <v>11.304563492063492</v>
      </c>
      <c r="E22" s="99">
        <f>IFERROR(AVERAGEIFS(EarningsPerDay[Mi./Trip],EarningsPerDay[Primary Area],$C22,EarningsPerDay[DOW],E$21,EarningsPerDay[Quarter],Scheduling!$R$17),"")</f>
        <v>15.225</v>
      </c>
      <c r="F22" s="99">
        <f>IFERROR(AVERAGEIFS(EarningsPerDay[Mi./Trip],EarningsPerDay[Primary Area],$C22,EarningsPerDay[DOW],F$21,EarningsPerDay[Quarter],Scheduling!$R$17),"")</f>
        <v>12.439393939393939</v>
      </c>
      <c r="G22" s="99">
        <f>IFERROR(AVERAGEIFS(EarningsPerDay[Mi./Trip],EarningsPerDay[Primary Area],$C22,EarningsPerDay[DOW],G$21,EarningsPerDay[Quarter],Scheduling!$R$17),"")</f>
        <v>20.5</v>
      </c>
      <c r="H22" s="99">
        <f>IFERROR(AVERAGEIFS(EarningsPerDay[Mi./Trip],EarningsPerDay[Primary Area],$C22,EarningsPerDay[DOW],H$21,EarningsPerDay[Quarter],Scheduling!$R$17),"")</f>
        <v>15.284615384615384</v>
      </c>
      <c r="I22" s="99">
        <f>IFERROR(AVERAGEIFS(EarningsPerDay[Mi./Trip],EarningsPerDay[Primary Area],$C22,EarningsPerDay[DOW],I$21,EarningsPerDay[Quarter],Scheduling!$R$17),"")</f>
        <v>15.791666666666666</v>
      </c>
      <c r="J22" s="99">
        <f>IFERROR(AVERAGEIFS(EarningsPerDay[Mi./Trip],EarningsPerDay[Primary Area],$C22,EarningsPerDay[DOW],J$21,EarningsPerDay[Quarter],Scheduling!$R$17),"")</f>
        <v>10.665001665001665</v>
      </c>
      <c r="K22" s="99">
        <f>AVERAGEIF(D22:J22,"&gt;0")</f>
        <v>14.458605878248736</v>
      </c>
      <c r="M22" s="224" t="s">
        <v>174</v>
      </c>
      <c r="N22">
        <f t="shared" ref="N22:T25" si="10">IF(OR(D4=0,D4=""),0,_xlfn.RANK.EQ(D4,D$4:D$7,0))</f>
        <v>3</v>
      </c>
      <c r="O22">
        <f t="shared" si="10"/>
        <v>3</v>
      </c>
      <c r="P22">
        <f t="shared" si="10"/>
        <v>3</v>
      </c>
      <c r="Q22">
        <f t="shared" si="10"/>
        <v>4</v>
      </c>
      <c r="R22">
        <f t="shared" si="10"/>
        <v>4</v>
      </c>
      <c r="S22">
        <f t="shared" si="10"/>
        <v>4</v>
      </c>
      <c r="T22">
        <f t="shared" si="10"/>
        <v>2</v>
      </c>
      <c r="U22" s="228"/>
    </row>
    <row r="23" spans="3:22" x14ac:dyDescent="0.35">
      <c r="C23" s="85" t="s">
        <v>80</v>
      </c>
      <c r="D23" s="99">
        <f>IFERROR(AVERAGEIFS(EarningsPerDay[Mi./Trip],EarningsPerDay[Primary Area],$C23,EarningsPerDay[DOW],D$21,EarningsPerDay[Quarter],Scheduling!$R$17),"")</f>
        <v>10.544072693424544</v>
      </c>
      <c r="E23" s="99">
        <f>IFERROR(AVERAGEIFS(EarningsPerDay[Mi./Trip],EarningsPerDay[Primary Area],$C23,EarningsPerDay[DOW],E$21,EarningsPerDay[Quarter],Scheduling!$R$17),"")</f>
        <v>11.643042676946186</v>
      </c>
      <c r="F23" s="99">
        <f>IFERROR(AVERAGEIFS(EarningsPerDay[Mi./Trip],EarningsPerDay[Primary Area],$C23,EarningsPerDay[DOW],F$21,EarningsPerDay[Quarter],Scheduling!$R$17),"")</f>
        <v>11.792079279446705</v>
      </c>
      <c r="G23" s="99">
        <f>IFERROR(AVERAGEIFS(EarningsPerDay[Mi./Trip],EarningsPerDay[Primary Area],$C23,EarningsPerDay[DOW],G$21,EarningsPerDay[Quarter],Scheduling!$R$17),"")</f>
        <v>10.763979931591043</v>
      </c>
      <c r="H23" s="99">
        <f>IFERROR(AVERAGEIFS(EarningsPerDay[Mi./Trip],EarningsPerDay[Primary Area],$C23,EarningsPerDay[DOW],H$21,EarningsPerDay[Quarter],Scheduling!$R$17),"")</f>
        <v>10.510823171537456</v>
      </c>
      <c r="I23" s="99">
        <f>IFERROR(AVERAGEIFS(EarningsPerDay[Mi./Trip],EarningsPerDay[Primary Area],$C23,EarningsPerDay[DOW],I$21,EarningsPerDay[Quarter],Scheduling!$R$17),"")</f>
        <v>12.039653900021545</v>
      </c>
      <c r="J23" s="99">
        <f>IFERROR(AVERAGEIFS(EarningsPerDay[Mi./Trip],EarningsPerDay[Primary Area],$C23,EarningsPerDay[DOW],J$21,EarningsPerDay[Quarter],Scheduling!$R$17),"")</f>
        <v>10.087353026774323</v>
      </c>
      <c r="K23" s="99">
        <f>AVERAGEIF(D23:J23,"&gt;0")</f>
        <v>11.054429239963115</v>
      </c>
      <c r="M23" s="225" t="s">
        <v>80</v>
      </c>
      <c r="N23">
        <f t="shared" si="10"/>
        <v>2</v>
      </c>
      <c r="O23">
        <f t="shared" si="10"/>
        <v>1</v>
      </c>
      <c r="P23">
        <f t="shared" si="10"/>
        <v>1</v>
      </c>
      <c r="Q23">
        <f t="shared" si="10"/>
        <v>1</v>
      </c>
      <c r="R23">
        <f t="shared" si="10"/>
        <v>1</v>
      </c>
      <c r="S23">
        <f t="shared" si="10"/>
        <v>1</v>
      </c>
      <c r="T23">
        <f t="shared" si="10"/>
        <v>1</v>
      </c>
      <c r="U23" s="228"/>
    </row>
    <row r="24" spans="3:22" x14ac:dyDescent="0.35">
      <c r="C24" s="86" t="s">
        <v>82</v>
      </c>
      <c r="D24" s="99">
        <f>IFERROR(AVERAGEIFS(EarningsPerDay[Mi./Trip],EarningsPerDay[Primary Area],$C24,EarningsPerDay[DOW],D$21,EarningsPerDay[Quarter],Scheduling!$R$17),"")</f>
        <v>8.328125</v>
      </c>
      <c r="E24" s="99">
        <f>IFERROR(AVERAGEIFS(EarningsPerDay[Mi./Trip],EarningsPerDay[Primary Area],$C24,EarningsPerDay[DOW],E$21,EarningsPerDay[Quarter],Scheduling!$R$17),"")</f>
        <v>9.1873015873015884</v>
      </c>
      <c r="F24" s="99">
        <f>IFERROR(AVERAGEIFS(EarningsPerDay[Mi./Trip],EarningsPerDay[Primary Area],$C24,EarningsPerDay[DOW],F$21,EarningsPerDay[Quarter],Scheduling!$R$17),"")</f>
        <v>9.9432359307359306</v>
      </c>
      <c r="G24" s="99">
        <f>IFERROR(AVERAGEIFS(EarningsPerDay[Mi./Trip],EarningsPerDay[Primary Area],$C24,EarningsPerDay[DOW],G$21,EarningsPerDay[Quarter],Scheduling!$R$17),"")</f>
        <v>7.8792022792022793</v>
      </c>
      <c r="H24" s="99">
        <f>IFERROR(AVERAGEIFS(EarningsPerDay[Mi./Trip],EarningsPerDay[Primary Area],$C24,EarningsPerDay[DOW],H$21,EarningsPerDay[Quarter],Scheduling!$R$17),"")</f>
        <v>8.5078787878787878</v>
      </c>
      <c r="I24" s="99">
        <f>IFERROR(AVERAGEIFS(EarningsPerDay[Mi./Trip],EarningsPerDay[Primary Area],$C24,EarningsPerDay[DOW],I$21,EarningsPerDay[Quarter],Scheduling!$R$17),"")</f>
        <v>7.9523809523809517</v>
      </c>
      <c r="J24" s="99">
        <f>IFERROR(AVERAGEIFS(EarningsPerDay[Mi./Trip],EarningsPerDay[Primary Area],$C24,EarningsPerDay[DOW],J$21,EarningsPerDay[Quarter],Scheduling!$R$17),"")</f>
        <v>9.3060784313725495</v>
      </c>
      <c r="K24" s="99">
        <f>AVERAGEIF(D24:J24,"&gt;0")</f>
        <v>8.7291718526960125</v>
      </c>
      <c r="M24" s="224" t="s">
        <v>82</v>
      </c>
      <c r="N24">
        <f t="shared" si="10"/>
        <v>4</v>
      </c>
      <c r="O24">
        <f t="shared" si="10"/>
        <v>4</v>
      </c>
      <c r="P24">
        <f t="shared" si="10"/>
        <v>4</v>
      </c>
      <c r="Q24">
        <f t="shared" si="10"/>
        <v>2</v>
      </c>
      <c r="R24">
        <f t="shared" si="10"/>
        <v>3</v>
      </c>
      <c r="S24">
        <f t="shared" si="10"/>
        <v>2</v>
      </c>
      <c r="T24">
        <f t="shared" si="10"/>
        <v>3</v>
      </c>
      <c r="U24" s="228"/>
    </row>
    <row r="25" spans="3:22" ht="15" thickBot="1" x14ac:dyDescent="0.4">
      <c r="C25" s="87" t="s">
        <v>85</v>
      </c>
      <c r="D25" s="99">
        <f>IFERROR(AVERAGEIFS(EarningsPerDay[Mi./Trip],EarningsPerDay[Primary Area],$C25,EarningsPerDay[DOW],D$21,EarningsPerDay[Quarter],Scheduling!$R$17),"")</f>
        <v>11.361691086691089</v>
      </c>
      <c r="E25" s="99">
        <f>IFERROR(AVERAGEIFS(EarningsPerDay[Mi./Trip],EarningsPerDay[Primary Area],$C25,EarningsPerDay[DOW],E$21,EarningsPerDay[Quarter],Scheduling!$R$17),"")</f>
        <v>12.605351592851591</v>
      </c>
      <c r="F25" s="99">
        <f>IFERROR(AVERAGEIFS(EarningsPerDay[Mi./Trip],EarningsPerDay[Primary Area],$C25,EarningsPerDay[DOW],F$21,EarningsPerDay[Quarter],Scheduling!$R$17),"")</f>
        <v>15.595238095238095</v>
      </c>
      <c r="G25" s="99">
        <f>IFERROR(AVERAGEIFS(EarningsPerDay[Mi./Trip],EarningsPerDay[Primary Area],$C25,EarningsPerDay[DOW],G$21,EarningsPerDay[Quarter],Scheduling!$R$17),"")</f>
        <v>9.8594890603223941</v>
      </c>
      <c r="H25" s="99">
        <f>IFERROR(AVERAGEIFS(EarningsPerDay[Mi./Trip],EarningsPerDay[Primary Area],$C25,EarningsPerDay[DOW],H$21,EarningsPerDay[Quarter],Scheduling!$R$17),"")</f>
        <v>13.733989470125833</v>
      </c>
      <c r="I25" s="99">
        <f>IFERROR(AVERAGEIFS(EarningsPerDay[Mi./Trip],EarningsPerDay[Primary Area],$C25,EarningsPerDay[DOW],I$21,EarningsPerDay[Quarter],Scheduling!$R$17),"")</f>
        <v>13.30713621764181</v>
      </c>
      <c r="J25" s="99">
        <f>IFERROR(AVERAGEIFS(EarningsPerDay[Mi./Trip],EarningsPerDay[Primary Area],$C25,EarningsPerDay[DOW],J$21,EarningsPerDay[Quarter],Scheduling!$R$17),"")</f>
        <v>12.837962962962962</v>
      </c>
      <c r="K25" s="99">
        <f>AVERAGEIF(D25:J25,"&gt;0")</f>
        <v>12.757265497976253</v>
      </c>
      <c r="M25" s="226" t="s">
        <v>85</v>
      </c>
      <c r="N25">
        <f t="shared" si="10"/>
        <v>1</v>
      </c>
      <c r="O25">
        <f t="shared" si="10"/>
        <v>2</v>
      </c>
      <c r="P25">
        <f t="shared" si="10"/>
        <v>2</v>
      </c>
      <c r="Q25">
        <f t="shared" si="10"/>
        <v>3</v>
      </c>
      <c r="R25">
        <f t="shared" si="10"/>
        <v>2</v>
      </c>
      <c r="S25">
        <f t="shared" si="10"/>
        <v>3</v>
      </c>
      <c r="T25">
        <f t="shared" si="10"/>
        <v>4</v>
      </c>
      <c r="U25" s="228"/>
    </row>
    <row r="26" spans="3:22" ht="15" thickBot="1" x14ac:dyDescent="0.4">
      <c r="C26" s="53" t="s">
        <v>40</v>
      </c>
      <c r="D26" s="95">
        <f t="shared" ref="D26:J26" si="11">_xlfn.MINIFS(D22:D25,D22:D25,"&lt;&gt;0")</f>
        <v>8.328125</v>
      </c>
      <c r="E26" s="95">
        <f t="shared" si="11"/>
        <v>9.1873015873015884</v>
      </c>
      <c r="F26" s="95">
        <f t="shared" si="11"/>
        <v>9.9432359307359306</v>
      </c>
      <c r="G26" s="95">
        <f t="shared" si="11"/>
        <v>7.8792022792022793</v>
      </c>
      <c r="H26" s="95">
        <f t="shared" si="11"/>
        <v>8.5078787878787878</v>
      </c>
      <c r="I26" s="95">
        <f t="shared" si="11"/>
        <v>7.9523809523809517</v>
      </c>
      <c r="J26" s="95">
        <f t="shared" si="11"/>
        <v>9.3060784313725495</v>
      </c>
      <c r="M26" s="523" t="s">
        <v>430</v>
      </c>
      <c r="N26" s="491"/>
      <c r="O26" s="491"/>
      <c r="P26" s="491"/>
      <c r="Q26" s="491"/>
      <c r="R26" s="491"/>
      <c r="S26" s="491"/>
      <c r="T26" s="491"/>
      <c r="U26" s="524"/>
    </row>
    <row r="27" spans="3:22" ht="15" thickBot="1" x14ac:dyDescent="0.4">
      <c r="C27" s="53" t="s">
        <v>87</v>
      </c>
      <c r="D27" s="54">
        <f t="shared" ref="D27:J27" si="12">_xlfn.RANK.EQ(D26,$D$26:$J$26,1)</f>
        <v>3</v>
      </c>
      <c r="E27" s="54">
        <f t="shared" si="12"/>
        <v>5</v>
      </c>
      <c r="F27" s="54">
        <f t="shared" si="12"/>
        <v>7</v>
      </c>
      <c r="G27" s="54">
        <f t="shared" si="12"/>
        <v>1</v>
      </c>
      <c r="H27" s="54">
        <f t="shared" si="12"/>
        <v>4</v>
      </c>
      <c r="I27" s="54">
        <f t="shared" si="12"/>
        <v>2</v>
      </c>
      <c r="J27" s="54">
        <f t="shared" si="12"/>
        <v>6</v>
      </c>
      <c r="M27" s="224" t="s">
        <v>174</v>
      </c>
      <c r="N27">
        <f>IF(OR(N13=0,N13=""),0,_xlfn.RANK.EQ(N13,N$13:N$16,0))</f>
        <v>3</v>
      </c>
      <c r="O27">
        <f t="shared" ref="O27:T27" si="13">IF(OR(O13=0,O13=""),0,_xlfn.RANK.EQ(O13,O$13:O$16,0))</f>
        <v>3</v>
      </c>
      <c r="P27">
        <f t="shared" si="13"/>
        <v>3</v>
      </c>
      <c r="Q27">
        <f t="shared" si="13"/>
        <v>1</v>
      </c>
      <c r="R27">
        <f t="shared" si="13"/>
        <v>3</v>
      </c>
      <c r="S27">
        <f t="shared" si="13"/>
        <v>2</v>
      </c>
      <c r="T27">
        <f t="shared" si="13"/>
        <v>4</v>
      </c>
      <c r="U27" s="228"/>
    </row>
    <row r="28" spans="3:22" x14ac:dyDescent="0.35">
      <c r="M28" s="225" t="s">
        <v>80</v>
      </c>
      <c r="N28">
        <f t="shared" ref="N28:N30" si="14">IF(OR(N14=0,N14=""),0,_xlfn.RANK.EQ(N14,N$13:N$16,0))</f>
        <v>2</v>
      </c>
      <c r="O28">
        <f t="shared" ref="O28:T28" si="15">IF(OR(O14=0,O14=""),0,_xlfn.RANK.EQ(O14,O$13:O$16,0))</f>
        <v>2</v>
      </c>
      <c r="P28">
        <f t="shared" si="15"/>
        <v>2</v>
      </c>
      <c r="Q28">
        <f t="shared" si="15"/>
        <v>2</v>
      </c>
      <c r="R28">
        <f t="shared" si="15"/>
        <v>2</v>
      </c>
      <c r="S28">
        <f t="shared" si="15"/>
        <v>3</v>
      </c>
      <c r="T28">
        <f t="shared" si="15"/>
        <v>2</v>
      </c>
      <c r="U28" s="228"/>
    </row>
    <row r="29" spans="3:22" x14ac:dyDescent="0.35">
      <c r="C29" s="491" t="s">
        <v>406</v>
      </c>
      <c r="D29" s="491"/>
      <c r="E29" s="491"/>
      <c r="F29" s="491"/>
      <c r="G29" s="491"/>
      <c r="H29" s="491"/>
      <c r="I29" s="491"/>
      <c r="J29" s="491"/>
      <c r="K29" s="491"/>
      <c r="M29" s="224" t="s">
        <v>82</v>
      </c>
      <c r="N29">
        <f t="shared" si="14"/>
        <v>4</v>
      </c>
      <c r="O29">
        <f t="shared" ref="O29:T29" si="16">IF(OR(O15=0,O15=""),0,_xlfn.RANK.EQ(O15,O$13:O$16,0))</f>
        <v>4</v>
      </c>
      <c r="P29">
        <f t="shared" si="16"/>
        <v>4</v>
      </c>
      <c r="Q29">
        <f t="shared" si="16"/>
        <v>3</v>
      </c>
      <c r="R29">
        <f t="shared" si="16"/>
        <v>4</v>
      </c>
      <c r="S29">
        <f t="shared" si="16"/>
        <v>4</v>
      </c>
      <c r="T29">
        <f t="shared" si="16"/>
        <v>3</v>
      </c>
      <c r="U29" s="228"/>
      <c r="V29" s="13"/>
    </row>
    <row r="30" spans="3:22" ht="15" thickBot="1" x14ac:dyDescent="0.4">
      <c r="C30" s="97" t="s">
        <v>74</v>
      </c>
      <c r="D30" s="92" t="s">
        <v>45</v>
      </c>
      <c r="E30" s="92" t="s">
        <v>46</v>
      </c>
      <c r="F30" s="92" t="s">
        <v>47</v>
      </c>
      <c r="G30" s="92" t="s">
        <v>48</v>
      </c>
      <c r="H30" s="92" t="s">
        <v>49</v>
      </c>
      <c r="I30" s="92" t="s">
        <v>50</v>
      </c>
      <c r="J30" s="92" t="s">
        <v>51</v>
      </c>
      <c r="K30" s="93" t="s">
        <v>62</v>
      </c>
      <c r="M30" s="226" t="s">
        <v>85</v>
      </c>
      <c r="N30">
        <f t="shared" si="14"/>
        <v>1</v>
      </c>
      <c r="O30">
        <f t="shared" ref="O30:T30" si="17">IF(OR(O16=0,O16=""),0,_xlfn.RANK.EQ(O16,O$13:O$16,0))</f>
        <v>1</v>
      </c>
      <c r="P30">
        <f t="shared" si="17"/>
        <v>1</v>
      </c>
      <c r="Q30">
        <f t="shared" si="17"/>
        <v>4</v>
      </c>
      <c r="R30">
        <f t="shared" si="17"/>
        <v>1</v>
      </c>
      <c r="S30">
        <f t="shared" si="17"/>
        <v>1</v>
      </c>
      <c r="T30">
        <f t="shared" si="17"/>
        <v>1</v>
      </c>
      <c r="U30" s="228"/>
      <c r="V30" s="106"/>
    </row>
    <row r="31" spans="3:22" x14ac:dyDescent="0.35">
      <c r="C31" s="86" t="s">
        <v>174</v>
      </c>
      <c r="D31" s="101">
        <f>IFERROR(AVERAGEIFS(EarningsPerDay[Estimated Time Spent Per Trip],EarningsPerDay[Primary Area],$C31,EarningsPerDay[DOW],D$30,EarningsPerDay[Quarter],Scheduling!$R$17),"")</f>
        <v>2.1506283068783071E-2</v>
      </c>
      <c r="E31" s="101">
        <f>IFERROR(AVERAGEIFS(EarningsPerDay[Estimated Time Spent Per Trip],EarningsPerDay[Primary Area],$C31,EarningsPerDay[DOW],E$30,EarningsPerDay[Quarter],Scheduling!$R$17),"")</f>
        <v>2.472916666666667E-2</v>
      </c>
      <c r="F31" s="101">
        <f>IFERROR(AVERAGEIFS(EarningsPerDay[Estimated Time Spent Per Trip],EarningsPerDay[Primary Area],$C31,EarningsPerDay[DOW],F$30,EarningsPerDay[Quarter],Scheduling!$R$17),"")</f>
        <v>2.2750420875420879E-2</v>
      </c>
      <c r="G31" s="101">
        <f>IFERROR(AVERAGEIFS(EarningsPerDay[Estimated Time Spent Per Trip],EarningsPerDay[Primary Area],$C31,EarningsPerDay[DOW],G$30,EarningsPerDay[Quarter],Scheduling!$R$17),"")</f>
        <v>3.0885416666666665E-2</v>
      </c>
      <c r="H31" s="101">
        <f>IFERROR(AVERAGEIFS(EarningsPerDay[Estimated Time Spent Per Trip],EarningsPerDay[Primary Area],$C31,EarningsPerDay[DOW],H$30,EarningsPerDay[Quarter],Scheduling!$R$17),"")</f>
        <v>2.484188034188034E-2</v>
      </c>
      <c r="I31" s="101">
        <f>IFERROR(AVERAGEIFS(EarningsPerDay[Estimated Time Spent Per Trip],EarningsPerDay[Primary Area],$C31,EarningsPerDay[DOW],I$30,EarningsPerDay[Quarter],Scheduling!$R$17),"")</f>
        <v>2.5355902777777779E-2</v>
      </c>
      <c r="J31" s="101">
        <f>IFERROR(AVERAGEIFS(EarningsPerDay[Estimated Time Spent Per Trip],EarningsPerDay[Primary Area],$C31,EarningsPerDay[DOW],J$30,EarningsPerDay[Quarter],Scheduling!$R$17),"")</f>
        <v>1.9119214119214117E-2</v>
      </c>
      <c r="K31" s="101">
        <f>AVERAGEIF(D31:J31,"&gt;0")</f>
        <v>2.4169754930915645E-2</v>
      </c>
      <c r="M31" s="523" t="s">
        <v>426</v>
      </c>
      <c r="N31" s="491"/>
      <c r="O31" s="491"/>
      <c r="P31" s="491"/>
      <c r="Q31" s="491"/>
      <c r="R31" s="491"/>
      <c r="S31" s="491"/>
      <c r="T31" s="491"/>
      <c r="U31" s="524"/>
      <c r="V31" s="106"/>
    </row>
    <row r="32" spans="3:22" x14ac:dyDescent="0.35">
      <c r="C32" s="85" t="s">
        <v>80</v>
      </c>
      <c r="D32" s="101">
        <f>IFERROR(AVERAGEIFS(EarningsPerDay[Estimated Time Spent Per Trip],EarningsPerDay[Primary Area],$C32,EarningsPerDay[DOW],D$30,EarningsPerDay[Quarter],Scheduling!$R$17),"")</f>
        <v>2.03042328042328E-2</v>
      </c>
      <c r="E32" s="101">
        <f>IFERROR(AVERAGEIFS(EarningsPerDay[Estimated Time Spent Per Trip],EarningsPerDay[Primary Area],$C32,EarningsPerDay[DOW],E$30,EarningsPerDay[Quarter],Scheduling!$R$17),"")</f>
        <v>2.1003696352380558E-2</v>
      </c>
      <c r="F32" s="101">
        <f>IFERROR(AVERAGEIFS(EarningsPerDay[Estimated Time Spent Per Trip],EarningsPerDay[Primary Area],$C32,EarningsPerDay[DOW],F$30,EarningsPerDay[Quarter],Scheduling!$R$17),"")</f>
        <v>2.1509230221588179E-2</v>
      </c>
      <c r="G32" s="101">
        <f>IFERROR(AVERAGEIFS(EarningsPerDay[Estimated Time Spent Per Trip],EarningsPerDay[Primary Area],$C32,EarningsPerDay[DOW],G$30,EarningsPerDay[Quarter],Scheduling!$R$17),"")</f>
        <v>1.959292328042328E-2</v>
      </c>
      <c r="H32" s="101">
        <f>IFERROR(AVERAGEIFS(EarningsPerDay[Estimated Time Spent Per Trip],EarningsPerDay[Primary Area],$C32,EarningsPerDay[DOW],H$30,EarningsPerDay[Quarter],Scheduling!$R$17),"")</f>
        <v>1.9842670116479638E-2</v>
      </c>
      <c r="I32" s="101">
        <f>IFERROR(AVERAGEIFS(EarningsPerDay[Estimated Time Spent Per Trip],EarningsPerDay[Primary Area],$C32,EarningsPerDay[DOW],I$30,EarningsPerDay[Quarter],Scheduling!$R$17),"")</f>
        <v>2.0903774129601333E-2</v>
      </c>
      <c r="J32" s="101">
        <f>IFERROR(AVERAGEIFS(EarningsPerDay[Estimated Time Spent Per Trip],EarningsPerDay[Primary Area],$C32,EarningsPerDay[DOW],J$30,EarningsPerDay[Quarter],Scheduling!$R$17),"")</f>
        <v>1.8620619837225225E-2</v>
      </c>
      <c r="K32" s="101">
        <f>AVERAGEIF(D32:J32,"&gt;0")</f>
        <v>2.0253878105990143E-2</v>
      </c>
      <c r="M32" s="224" t="s">
        <v>174</v>
      </c>
      <c r="N32">
        <f>IF(OR(D13=0,D13=""),0,_xlfn.RANK.EQ(D13,D$13:D$16,0))</f>
        <v>4</v>
      </c>
      <c r="O32">
        <f t="shared" ref="O32:T35" si="18">IF(OR(E13=0,E13=""),0,_xlfn.RANK.EQ(E13,E$13:E$16,0))</f>
        <v>4</v>
      </c>
      <c r="P32">
        <f t="shared" si="18"/>
        <v>2</v>
      </c>
      <c r="Q32">
        <f t="shared" si="18"/>
        <v>4</v>
      </c>
      <c r="R32">
        <f t="shared" si="18"/>
        <v>4</v>
      </c>
      <c r="S32">
        <f t="shared" si="18"/>
        <v>4</v>
      </c>
      <c r="T32">
        <f t="shared" si="18"/>
        <v>4</v>
      </c>
      <c r="U32" s="228"/>
      <c r="V32" s="106"/>
    </row>
    <row r="33" spans="3:21" x14ac:dyDescent="0.35">
      <c r="C33" s="86" t="s">
        <v>82</v>
      </c>
      <c r="D33" s="101">
        <f>IFERROR(AVERAGEIFS(EarningsPerDay[Estimated Time Spent Per Trip],EarningsPerDay[Primary Area],$C33,EarningsPerDay[DOW],D$30,EarningsPerDay[Quarter],Scheduling!$R$17),"")</f>
        <v>1.9010416666666669E-2</v>
      </c>
      <c r="E33" s="101">
        <f>IFERROR(AVERAGEIFS(EarningsPerDay[Estimated Time Spent Per Trip],EarningsPerDay[Primary Area],$C33,EarningsPerDay[DOW],E$30,EarningsPerDay[Quarter],Scheduling!$R$17),"")</f>
        <v>2.1302910052910056E-2</v>
      </c>
      <c r="F33" s="101">
        <f>IFERROR(AVERAGEIFS(EarningsPerDay[Estimated Time Spent Per Trip],EarningsPerDay[Primary Area],$C33,EarningsPerDay[DOW],F$30,EarningsPerDay[Quarter],Scheduling!$R$17),"")</f>
        <v>1.8993506493506493E-2</v>
      </c>
      <c r="G33" s="101">
        <f>IFERROR(AVERAGEIFS(EarningsPerDay[Estimated Time Spent Per Trip],EarningsPerDay[Primary Area],$C33,EarningsPerDay[DOW],G$30,EarningsPerDay[Quarter],Scheduling!$R$17),"")</f>
        <v>1.91571106362773E-2</v>
      </c>
      <c r="H33" s="101">
        <f>IFERROR(AVERAGEIFS(EarningsPerDay[Estimated Time Spent Per Trip],EarningsPerDay[Primary Area],$C33,EarningsPerDay[DOW],H$30,EarningsPerDay[Quarter],Scheduling!$R$17),"")</f>
        <v>1.9305844155844153E-2</v>
      </c>
      <c r="I33" s="101">
        <f>IFERROR(AVERAGEIFS(EarningsPerDay[Estimated Time Spent Per Trip],EarningsPerDay[Primary Area],$C33,EarningsPerDay[DOW],I$30,EarningsPerDay[Quarter],Scheduling!$R$17),"")</f>
        <v>1.9901620370370368E-2</v>
      </c>
      <c r="J33" s="101">
        <f>IFERROR(AVERAGEIFS(EarningsPerDay[Estimated Time Spent Per Trip],EarningsPerDay[Primary Area],$C33,EarningsPerDay[DOW],J$30,EarningsPerDay[Quarter],Scheduling!$R$17),"")</f>
        <v>1.988472222222222E-2</v>
      </c>
      <c r="K33" s="101">
        <f>AVERAGEIF(D33:J33,"&gt;0")</f>
        <v>1.9650875799685323E-2</v>
      </c>
      <c r="M33" s="225" t="s">
        <v>80</v>
      </c>
      <c r="N33">
        <f t="shared" ref="N33:N35" si="19">IF(OR(D14=0,D14=""),0,_xlfn.RANK.EQ(D14,D$13:D$16,0))</f>
        <v>2</v>
      </c>
      <c r="O33">
        <f t="shared" si="18"/>
        <v>1</v>
      </c>
      <c r="P33">
        <f t="shared" si="18"/>
        <v>1</v>
      </c>
      <c r="Q33">
        <f t="shared" si="18"/>
        <v>2</v>
      </c>
      <c r="R33">
        <f t="shared" si="18"/>
        <v>1</v>
      </c>
      <c r="S33">
        <f t="shared" si="18"/>
        <v>2</v>
      </c>
      <c r="T33">
        <f t="shared" si="18"/>
        <v>2</v>
      </c>
      <c r="U33" s="228"/>
    </row>
    <row r="34" spans="3:21" ht="15" thickBot="1" x14ac:dyDescent="0.4">
      <c r="C34" s="87" t="s">
        <v>85</v>
      </c>
      <c r="D34" s="101">
        <f>IFERROR(AVERAGEIFS(EarningsPerDay[Estimated Time Spent Per Trip],EarningsPerDay[Primary Area],$C34,EarningsPerDay[DOW],D$30,EarningsPerDay[Quarter],Scheduling!$R$17),"")</f>
        <v>2.3402947361280693E-2</v>
      </c>
      <c r="E34" s="101">
        <f>IFERROR(AVERAGEIFS(EarningsPerDay[Estimated Time Spent Per Trip],EarningsPerDay[Primary Area],$C34,EarningsPerDay[DOW],E$30,EarningsPerDay[Quarter],Scheduling!$R$17),"")</f>
        <v>2.2471429033929031E-2</v>
      </c>
      <c r="F34" s="101">
        <f>IFERROR(AVERAGEIFS(EarningsPerDay[Estimated Time Spent Per Trip],EarningsPerDay[Primary Area],$C34,EarningsPerDay[DOW],F$30,EarningsPerDay[Quarter],Scheduling!$R$17),"")</f>
        <v>2.39021164021164E-2</v>
      </c>
      <c r="G34" s="101">
        <f>IFERROR(AVERAGEIFS(EarningsPerDay[Estimated Time Spent Per Trip],EarningsPerDay[Primary Area],$C34,EarningsPerDay[DOW],G$30,EarningsPerDay[Quarter],Scheduling!$R$17),"")</f>
        <v>2.0430167761764984E-2</v>
      </c>
      <c r="H34" s="101">
        <f>IFERROR(AVERAGEIFS(EarningsPerDay[Estimated Time Spent Per Trip],EarningsPerDay[Primary Area],$C34,EarningsPerDay[DOW],H$30,EarningsPerDay[Quarter],Scheduling!$R$17),"")</f>
        <v>2.5745535714285717E-2</v>
      </c>
      <c r="I34" s="101">
        <f>IFERROR(AVERAGEIFS(EarningsPerDay[Estimated Time Spent Per Trip],EarningsPerDay[Primary Area],$C34,EarningsPerDay[DOW],I$30,EarningsPerDay[Quarter],Scheduling!$R$17),"")</f>
        <v>2.3186598043717029E-2</v>
      </c>
      <c r="J34" s="101">
        <f>IFERROR(AVERAGEIFS(EarningsPerDay[Estimated Time Spent Per Trip],EarningsPerDay[Primary Area],$C34,EarningsPerDay[DOW],J$30,EarningsPerDay[Quarter],Scheduling!$R$17),"")</f>
        <v>2.3968557098765431E-2</v>
      </c>
      <c r="K34" s="101">
        <f>AVERAGEIF(D34:J34,"&gt;0")</f>
        <v>2.3301050202265611E-2</v>
      </c>
      <c r="M34" s="224" t="s">
        <v>82</v>
      </c>
      <c r="N34">
        <f t="shared" si="19"/>
        <v>3</v>
      </c>
      <c r="O34">
        <f t="shared" si="18"/>
        <v>3</v>
      </c>
      <c r="P34">
        <f t="shared" si="18"/>
        <v>4</v>
      </c>
      <c r="Q34">
        <f t="shared" si="18"/>
        <v>1</v>
      </c>
      <c r="R34">
        <f t="shared" si="18"/>
        <v>2</v>
      </c>
      <c r="S34">
        <f t="shared" si="18"/>
        <v>1</v>
      </c>
      <c r="T34">
        <f t="shared" si="18"/>
        <v>1</v>
      </c>
      <c r="U34" s="228"/>
    </row>
    <row r="35" spans="3:21" ht="15" thickBot="1" x14ac:dyDescent="0.4">
      <c r="C35" s="53" t="s">
        <v>40</v>
      </c>
      <c r="D35" s="82">
        <f t="shared" ref="D35:J35" si="20">_xlfn.MINIFS(D31:D34,D31:D34,"&lt;&gt;0")</f>
        <v>1.9010416666666669E-2</v>
      </c>
      <c r="E35" s="82">
        <f t="shared" si="20"/>
        <v>2.1003696352380558E-2</v>
      </c>
      <c r="F35" s="82">
        <f t="shared" si="20"/>
        <v>1.8993506493506493E-2</v>
      </c>
      <c r="G35" s="82">
        <f t="shared" si="20"/>
        <v>1.91571106362773E-2</v>
      </c>
      <c r="H35" s="82">
        <f t="shared" si="20"/>
        <v>1.9305844155844153E-2</v>
      </c>
      <c r="I35" s="82">
        <f t="shared" si="20"/>
        <v>1.9901620370370368E-2</v>
      </c>
      <c r="J35" s="82">
        <f t="shared" si="20"/>
        <v>1.8620619837225225E-2</v>
      </c>
      <c r="M35" s="225" t="s">
        <v>85</v>
      </c>
      <c r="N35">
        <f t="shared" si="19"/>
        <v>1</v>
      </c>
      <c r="O35">
        <f t="shared" si="18"/>
        <v>2</v>
      </c>
      <c r="P35">
        <f t="shared" si="18"/>
        <v>3</v>
      </c>
      <c r="Q35">
        <f t="shared" si="18"/>
        <v>3</v>
      </c>
      <c r="R35">
        <f t="shared" si="18"/>
        <v>3</v>
      </c>
      <c r="S35">
        <f t="shared" si="18"/>
        <v>3</v>
      </c>
      <c r="T35">
        <f t="shared" si="18"/>
        <v>3</v>
      </c>
      <c r="U35" s="228"/>
    </row>
    <row r="36" spans="3:21" ht="15" thickBot="1" x14ac:dyDescent="0.4">
      <c r="C36" s="53" t="s">
        <v>87</v>
      </c>
      <c r="D36" s="54">
        <f t="shared" ref="D36:J36" si="21">_xlfn.RANK.EQ(D35,$D$35:$J$35,1)</f>
        <v>3</v>
      </c>
      <c r="E36" s="54">
        <f t="shared" si="21"/>
        <v>7</v>
      </c>
      <c r="F36" s="54">
        <f t="shared" si="21"/>
        <v>2</v>
      </c>
      <c r="G36" s="54">
        <f t="shared" si="21"/>
        <v>4</v>
      </c>
      <c r="H36" s="54">
        <f t="shared" si="21"/>
        <v>5</v>
      </c>
      <c r="I36" s="54">
        <f t="shared" si="21"/>
        <v>6</v>
      </c>
      <c r="J36" s="54">
        <f t="shared" si="21"/>
        <v>1</v>
      </c>
      <c r="M36" s="523" t="s">
        <v>423</v>
      </c>
      <c r="N36" s="491"/>
      <c r="O36" s="491"/>
      <c r="P36" s="491"/>
      <c r="Q36" s="491"/>
      <c r="R36" s="491"/>
      <c r="S36" s="491"/>
      <c r="T36" s="491"/>
      <c r="U36" s="524"/>
    </row>
    <row r="37" spans="3:21" x14ac:dyDescent="0.35">
      <c r="M37" s="224" t="s">
        <v>174</v>
      </c>
      <c r="N37">
        <f>IF(OR(D40=0,D40=""),0,_xlfn.RANK.EQ(D40,D$40:D$43,0))</f>
        <v>3</v>
      </c>
      <c r="O37">
        <f t="shared" ref="O37:T40" si="22">IF(OR(E40=0,E40=""),0,_xlfn.RANK.EQ(E40,E$40:E$43,0))</f>
        <v>4</v>
      </c>
      <c r="P37">
        <f t="shared" si="22"/>
        <v>3</v>
      </c>
      <c r="Q37">
        <f t="shared" si="22"/>
        <v>4</v>
      </c>
      <c r="R37">
        <f t="shared" si="22"/>
        <v>3</v>
      </c>
      <c r="S37">
        <f t="shared" si="22"/>
        <v>4</v>
      </c>
      <c r="T37">
        <f t="shared" si="22"/>
        <v>1</v>
      </c>
      <c r="U37" s="228"/>
    </row>
    <row r="38" spans="3:21" x14ac:dyDescent="0.35">
      <c r="C38" s="491" t="s">
        <v>315</v>
      </c>
      <c r="D38" s="491"/>
      <c r="E38" s="491"/>
      <c r="F38" s="491"/>
      <c r="G38" s="491"/>
      <c r="H38" s="491"/>
      <c r="I38" s="491"/>
      <c r="J38" s="491"/>
      <c r="K38" s="491"/>
      <c r="M38" s="225" t="s">
        <v>80</v>
      </c>
      <c r="N38">
        <f t="shared" ref="N38:N40" si="23">IF(OR(D41=0,D41=""),0,_xlfn.RANK.EQ(D41,D$40:D$43,0))</f>
        <v>2</v>
      </c>
      <c r="O38">
        <f t="shared" si="22"/>
        <v>1</v>
      </c>
      <c r="P38">
        <f t="shared" si="22"/>
        <v>2</v>
      </c>
      <c r="Q38">
        <f t="shared" si="22"/>
        <v>2</v>
      </c>
      <c r="R38">
        <f t="shared" si="22"/>
        <v>2</v>
      </c>
      <c r="S38">
        <f t="shared" si="22"/>
        <v>2</v>
      </c>
      <c r="T38">
        <f t="shared" si="22"/>
        <v>2</v>
      </c>
      <c r="U38" s="228"/>
    </row>
    <row r="39" spans="3:21" x14ac:dyDescent="0.35">
      <c r="C39" s="97" t="s">
        <v>74</v>
      </c>
      <c r="D39" s="92" t="s">
        <v>45</v>
      </c>
      <c r="E39" s="92" t="s">
        <v>46</v>
      </c>
      <c r="F39" s="92" t="s">
        <v>47</v>
      </c>
      <c r="G39" s="92" t="s">
        <v>48</v>
      </c>
      <c r="H39" s="92" t="s">
        <v>49</v>
      </c>
      <c r="I39" s="92" t="s">
        <v>50</v>
      </c>
      <c r="J39" s="92" t="s">
        <v>51</v>
      </c>
      <c r="K39" s="93" t="s">
        <v>62</v>
      </c>
      <c r="M39" s="224" t="s">
        <v>82</v>
      </c>
      <c r="N39">
        <f t="shared" si="23"/>
        <v>1</v>
      </c>
      <c r="O39">
        <f t="shared" si="22"/>
        <v>2</v>
      </c>
      <c r="P39">
        <f t="shared" si="22"/>
        <v>1</v>
      </c>
      <c r="Q39">
        <f t="shared" si="22"/>
        <v>1</v>
      </c>
      <c r="R39">
        <f t="shared" si="22"/>
        <v>1</v>
      </c>
      <c r="S39">
        <f t="shared" si="22"/>
        <v>1</v>
      </c>
      <c r="T39">
        <f t="shared" si="22"/>
        <v>3</v>
      </c>
      <c r="U39" s="228"/>
    </row>
    <row r="40" spans="3:21" x14ac:dyDescent="0.35">
      <c r="C40" s="86" t="s">
        <v>174</v>
      </c>
      <c r="D40" s="291">
        <f>IFERROR(AVERAGEIFS(EarningsPerDay[Trips/Hr],EarningsPerDay[Primary Area],$C40,EarningsPerDay[DOW],D$39,EarningsPerDay[Quarter],Scheduling!$R$17),"")</f>
        <v>1.9420158783657269</v>
      </c>
      <c r="E40" s="291">
        <f>IFERROR(AVERAGEIFS(EarningsPerDay[Trips/Hr],EarningsPerDay[Primary Area],$C40,EarningsPerDay[DOW],E$39,EarningsPerDay[Quarter],Scheduling!$R$17),"")</f>
        <v>1.6940202654488368</v>
      </c>
      <c r="F40" s="291">
        <f>IFERROR(AVERAGEIFS(EarningsPerDay[Trips/Hr],EarningsPerDay[Primary Area],$C40,EarningsPerDay[DOW],F$39,EarningsPerDay[Quarter],Scheduling!$R$17),"")</f>
        <v>1.8380910633187739</v>
      </c>
      <c r="G40" s="291">
        <f>IFERROR(AVERAGEIFS(EarningsPerDay[Trips/Hr],EarningsPerDay[Primary Area],$C40,EarningsPerDay[DOW],G$39,EarningsPerDay[Quarter],Scheduling!$R$17),"")</f>
        <v>1.3816080706414109</v>
      </c>
      <c r="H40" s="291">
        <f>IFERROR(AVERAGEIFS(EarningsPerDay[Trips/Hr],EarningsPerDay[Primary Area],$C40,EarningsPerDay[DOW],H$39,EarningsPerDay[Quarter],Scheduling!$R$17),"")</f>
        <v>1.8282051282051281</v>
      </c>
      <c r="I40" s="291">
        <f>IFERROR(AVERAGEIFS(EarningsPerDay[Trips/Hr],EarningsPerDay[Primary Area],$C40,EarningsPerDay[DOW],I$39,EarningsPerDay[Quarter],Scheduling!$R$17),"")</f>
        <v>1.6460974922513383</v>
      </c>
      <c r="J40" s="291">
        <f>IFERROR(AVERAGEIFS(EarningsPerDay[Trips/Hr],EarningsPerDay[Primary Area],$C40,EarningsPerDay[DOW],J$39,EarningsPerDay[Quarter],Scheduling!$R$17),"")</f>
        <v>2.5047145936130044</v>
      </c>
      <c r="K40" s="291">
        <f>AVERAGEIF(D40:J40,"&gt;0")</f>
        <v>1.8335360702634598</v>
      </c>
      <c r="M40" s="225" t="s">
        <v>85</v>
      </c>
      <c r="N40">
        <f t="shared" si="23"/>
        <v>4</v>
      </c>
      <c r="O40">
        <f t="shared" si="22"/>
        <v>3</v>
      </c>
      <c r="P40">
        <f t="shared" si="22"/>
        <v>4</v>
      </c>
      <c r="Q40">
        <f t="shared" si="22"/>
        <v>3</v>
      </c>
      <c r="R40">
        <f t="shared" si="22"/>
        <v>4</v>
      </c>
      <c r="S40">
        <f t="shared" si="22"/>
        <v>3</v>
      </c>
      <c r="T40">
        <f t="shared" si="22"/>
        <v>4</v>
      </c>
      <c r="U40" s="228"/>
    </row>
    <row r="41" spans="3:21" x14ac:dyDescent="0.35">
      <c r="C41" s="85" t="s">
        <v>80</v>
      </c>
      <c r="D41" s="291">
        <f>IFERROR(AVERAGEIFS(EarningsPerDay[Trips/Hr],EarningsPerDay[Primary Area],$C41,EarningsPerDay[DOW],D$39,EarningsPerDay[Quarter],Scheduling!$R$17),"")</f>
        <v>2.0885196793707905</v>
      </c>
      <c r="E41" s="291">
        <f>IFERROR(AVERAGEIFS(EarningsPerDay[Trips/Hr],EarningsPerDay[Primary Area],$C41,EarningsPerDay[DOW],E$39,EarningsPerDay[Quarter],Scheduling!$R$17),"")</f>
        <v>2.0496497347094853</v>
      </c>
      <c r="F41" s="291">
        <f>IFERROR(AVERAGEIFS(EarningsPerDay[Trips/Hr],EarningsPerDay[Primary Area],$C41,EarningsPerDay[DOW],F$39,EarningsPerDay[Quarter],Scheduling!$R$17),"")</f>
        <v>2.0627758761915116</v>
      </c>
      <c r="G41" s="291">
        <f>IFERROR(AVERAGEIFS(EarningsPerDay[Trips/Hr],EarningsPerDay[Primary Area],$C41,EarningsPerDay[DOW],G$39,EarningsPerDay[Quarter],Scheduling!$R$17),"")</f>
        <v>2.1970795860812129</v>
      </c>
      <c r="H41" s="291">
        <f>IFERROR(AVERAGEIFS(EarningsPerDay[Trips/Hr],EarningsPerDay[Primary Area],$C41,EarningsPerDay[DOW],H$39,EarningsPerDay[Quarter],Scheduling!$R$17),"")</f>
        <v>2.1977999265526265</v>
      </c>
      <c r="I41" s="291">
        <f>IFERROR(AVERAGEIFS(EarningsPerDay[Trips/Hr],EarningsPerDay[Primary Area],$C41,EarningsPerDay[DOW],I$39,EarningsPerDay[Quarter],Scheduling!$R$17),"")</f>
        <v>2.0831108833054772</v>
      </c>
      <c r="J41" s="291">
        <f>IFERROR(AVERAGEIFS(EarningsPerDay[Trips/Hr],EarningsPerDay[Primary Area],$C41,EarningsPerDay[DOW],J$39,EarningsPerDay[Quarter],Scheduling!$R$17),"")</f>
        <v>2.3587746981112572</v>
      </c>
      <c r="K41" s="291">
        <f>AVERAGEIF(D41:J41,"&gt;0")</f>
        <v>2.1482443406174805</v>
      </c>
      <c r="M41" s="523" t="s">
        <v>429</v>
      </c>
      <c r="N41" s="491"/>
      <c r="O41" s="491"/>
      <c r="P41" s="491"/>
      <c r="Q41" s="491"/>
      <c r="R41" s="491"/>
      <c r="S41" s="491"/>
      <c r="T41" s="491"/>
      <c r="U41" s="524"/>
    </row>
    <row r="42" spans="3:21" x14ac:dyDescent="0.35">
      <c r="C42" s="86" t="s">
        <v>82</v>
      </c>
      <c r="D42" s="291">
        <f>IFERROR(AVERAGEIFS(EarningsPerDay[Trips/Hr],EarningsPerDay[Primary Area],$C42,EarningsPerDay[DOW],D$39,EarningsPerDay[Quarter],Scheduling!$R$17),"")</f>
        <v>2.1954887218045114</v>
      </c>
      <c r="E42" s="291">
        <f>IFERROR(AVERAGEIFS(EarningsPerDay[Trips/Hr],EarningsPerDay[Primary Area],$C42,EarningsPerDay[DOW],E$39,EarningsPerDay[Quarter],Scheduling!$R$17),"")</f>
        <v>2.0438202532287941</v>
      </c>
      <c r="F42" s="291">
        <f>IFERROR(AVERAGEIFS(EarningsPerDay[Trips/Hr],EarningsPerDay[Primary Area],$C42,EarningsPerDay[DOW],F$39,EarningsPerDay[Quarter],Scheduling!$R$17),"")</f>
        <v>2.2754548974061168</v>
      </c>
      <c r="G42" s="291">
        <f>IFERROR(AVERAGEIFS(EarningsPerDay[Trips/Hr],EarningsPerDay[Primary Area],$C42,EarningsPerDay[DOW],G$39,EarningsPerDay[Quarter],Scheduling!$R$17),"")</f>
        <v>2.2841537306607638</v>
      </c>
      <c r="H42" s="291">
        <f>IFERROR(AVERAGEIFS(EarningsPerDay[Trips/Hr],EarningsPerDay[Primary Area],$C42,EarningsPerDay[DOW],H$39,EarningsPerDay[Quarter],Scheduling!$R$17),"")</f>
        <v>2.2364092178879353</v>
      </c>
      <c r="I42" s="291">
        <f>IFERROR(AVERAGEIFS(EarningsPerDay[Trips/Hr],EarningsPerDay[Primary Area],$C42,EarningsPerDay[DOW],I$39,EarningsPerDay[Quarter],Scheduling!$R$17),"")</f>
        <v>2.2240182537681954</v>
      </c>
      <c r="J42" s="291">
        <f>IFERROR(AVERAGEIFS(EarningsPerDay[Trips/Hr],EarningsPerDay[Primary Area],$C42,EarningsPerDay[DOW],J$39,EarningsPerDay[Quarter],Scheduling!$R$17),"")</f>
        <v>2.2594792123171055</v>
      </c>
      <c r="K42" s="291">
        <f>AVERAGEIF(D42:J42,"&gt;0")</f>
        <v>2.2169748981533459</v>
      </c>
      <c r="M42" s="224" t="s">
        <v>174</v>
      </c>
      <c r="N42">
        <f>IF(OR(N4=0,N4=""),0,_xlfn.RANK.EQ(N4,N$4:N$7,0))</f>
        <v>4</v>
      </c>
      <c r="O42">
        <f t="shared" ref="O42:T42" si="24">IF(OR(O4=0,O4=""),0,_xlfn.RANK.EQ(O4,O$4:O$7,0))</f>
        <v>2</v>
      </c>
      <c r="P42">
        <f t="shared" si="24"/>
        <v>1</v>
      </c>
      <c r="Q42">
        <f t="shared" si="24"/>
        <v>4</v>
      </c>
      <c r="R42">
        <f t="shared" si="24"/>
        <v>4</v>
      </c>
      <c r="S42">
        <f t="shared" si="24"/>
        <v>4</v>
      </c>
      <c r="T42">
        <f t="shared" si="24"/>
        <v>4</v>
      </c>
      <c r="U42" s="228"/>
    </row>
    <row r="43" spans="3:21" ht="15" thickBot="1" x14ac:dyDescent="0.4">
      <c r="C43" s="87" t="s">
        <v>85</v>
      </c>
      <c r="D43" s="291">
        <f>IFERROR(AVERAGEIFS(EarningsPerDay[Trips/Hr],EarningsPerDay[Primary Area],$C43,EarningsPerDay[DOW],D$39,EarningsPerDay[Quarter],Scheduling!$R$17),"")</f>
        <v>1.8186784627618051</v>
      </c>
      <c r="E43" s="291">
        <f>IFERROR(AVERAGEIFS(EarningsPerDay[Trips/Hr],EarningsPerDay[Primary Area],$C43,EarningsPerDay[DOW],E$39,EarningsPerDay[Quarter],Scheduling!$R$17),"")</f>
        <v>1.8815550728690031</v>
      </c>
      <c r="F43" s="291">
        <f>IFERROR(AVERAGEIFS(EarningsPerDay[Trips/Hr],EarningsPerDay[Primary Area],$C43,EarningsPerDay[DOW],F$39,EarningsPerDay[Quarter],Scheduling!$R$17),"")</f>
        <v>1.752081020415089</v>
      </c>
      <c r="G43" s="291">
        <f>IFERROR(AVERAGEIFS(EarningsPerDay[Trips/Hr],EarningsPerDay[Primary Area],$C43,EarningsPerDay[DOW],G$39,EarningsPerDay[Quarter],Scheduling!$R$17),"")</f>
        <v>2.14688774695253</v>
      </c>
      <c r="H43" s="291">
        <f>IFERROR(AVERAGEIFS(EarningsPerDay[Trips/Hr],EarningsPerDay[Primary Area],$C43,EarningsPerDay[DOW],H$39,EarningsPerDay[Quarter],Scheduling!$R$17),"")</f>
        <v>1.6330657589893749</v>
      </c>
      <c r="I43" s="291">
        <f>IFERROR(AVERAGEIFS(EarningsPerDay[Trips/Hr],EarningsPerDay[Primary Area],$C43,EarningsPerDay[DOW],I$39,EarningsPerDay[Quarter],Scheduling!$R$17),"")</f>
        <v>1.8961010238994815</v>
      </c>
      <c r="J43" s="291">
        <f>IFERROR(AVERAGEIFS(EarningsPerDay[Trips/Hr],EarningsPerDay[Primary Area],$C43,EarningsPerDay[DOW],J$39,EarningsPerDay[Quarter],Scheduling!$R$17),"")</f>
        <v>1.899422130557826</v>
      </c>
      <c r="K43" s="291">
        <f>AVERAGEIF(D43:J43,"&gt;0")</f>
        <v>1.8611130309207298</v>
      </c>
      <c r="M43" s="225" t="s">
        <v>80</v>
      </c>
      <c r="N43">
        <f t="shared" ref="N43:T45" si="25">IF(OR(N5=0,N5=""),0,_xlfn.RANK.EQ(N5,N$4:N$7,0))</f>
        <v>3</v>
      </c>
      <c r="O43">
        <f t="shared" si="25"/>
        <v>3</v>
      </c>
      <c r="P43">
        <f t="shared" si="25"/>
        <v>3</v>
      </c>
      <c r="Q43">
        <f t="shared" si="25"/>
        <v>1</v>
      </c>
      <c r="R43">
        <f t="shared" si="25"/>
        <v>1</v>
      </c>
      <c r="S43">
        <f t="shared" si="25"/>
        <v>2</v>
      </c>
      <c r="T43">
        <f t="shared" si="25"/>
        <v>2</v>
      </c>
      <c r="U43" s="228"/>
    </row>
    <row r="44" spans="3:21" ht="15" thickBot="1" x14ac:dyDescent="0.4">
      <c r="C44" s="53" t="s">
        <v>41</v>
      </c>
      <c r="D44" s="292">
        <f t="shared" ref="D44:J44" si="26">_xlfn.MAXIFS(D40:D43,D40:D43,"&lt;&gt;0")</f>
        <v>2.1954887218045114</v>
      </c>
      <c r="E44" s="292">
        <f t="shared" si="26"/>
        <v>2.0496497347094853</v>
      </c>
      <c r="F44" s="292">
        <f t="shared" si="26"/>
        <v>2.2754548974061168</v>
      </c>
      <c r="G44" s="292">
        <f t="shared" si="26"/>
        <v>2.2841537306607638</v>
      </c>
      <c r="H44" s="292">
        <f t="shared" si="26"/>
        <v>2.2364092178879353</v>
      </c>
      <c r="I44" s="292">
        <f t="shared" si="26"/>
        <v>2.2240182537681954</v>
      </c>
      <c r="J44" s="292">
        <f t="shared" si="26"/>
        <v>2.5047145936130044</v>
      </c>
      <c r="M44" s="224" t="s">
        <v>82</v>
      </c>
      <c r="N44">
        <f t="shared" si="25"/>
        <v>2</v>
      </c>
      <c r="O44">
        <f t="shared" si="25"/>
        <v>4</v>
      </c>
      <c r="P44">
        <f t="shared" si="25"/>
        <v>4</v>
      </c>
      <c r="Q44">
        <f t="shared" si="25"/>
        <v>2</v>
      </c>
      <c r="R44">
        <f t="shared" si="25"/>
        <v>3</v>
      </c>
      <c r="S44">
        <f t="shared" si="25"/>
        <v>3</v>
      </c>
      <c r="T44">
        <f t="shared" si="25"/>
        <v>1</v>
      </c>
      <c r="U44" s="228"/>
    </row>
    <row r="45" spans="3:21" ht="15" thickBot="1" x14ac:dyDescent="0.4">
      <c r="C45" s="53" t="s">
        <v>87</v>
      </c>
      <c r="D45" s="54">
        <f t="shared" ref="D45:J45" si="27">_xlfn.RANK.EQ(D44,$D$44:$J$44,0)</f>
        <v>6</v>
      </c>
      <c r="E45" s="54">
        <f t="shared" si="27"/>
        <v>7</v>
      </c>
      <c r="F45" s="54">
        <f t="shared" si="27"/>
        <v>3</v>
      </c>
      <c r="G45" s="54">
        <f t="shared" si="27"/>
        <v>2</v>
      </c>
      <c r="H45" s="54">
        <f t="shared" si="27"/>
        <v>4</v>
      </c>
      <c r="I45" s="54">
        <f t="shared" si="27"/>
        <v>5</v>
      </c>
      <c r="J45" s="54">
        <f t="shared" si="27"/>
        <v>1</v>
      </c>
      <c r="M45" s="225" t="s">
        <v>85</v>
      </c>
      <c r="N45">
        <f t="shared" si="25"/>
        <v>1</v>
      </c>
      <c r="O45">
        <f t="shared" si="25"/>
        <v>1</v>
      </c>
      <c r="P45">
        <f t="shared" si="25"/>
        <v>2</v>
      </c>
      <c r="Q45">
        <f t="shared" si="25"/>
        <v>3</v>
      </c>
      <c r="R45">
        <f t="shared" si="25"/>
        <v>2</v>
      </c>
      <c r="S45">
        <f t="shared" si="25"/>
        <v>1</v>
      </c>
      <c r="T45">
        <f t="shared" si="25"/>
        <v>3</v>
      </c>
      <c r="U45" s="228"/>
    </row>
    <row r="46" spans="3:21" x14ac:dyDescent="0.35">
      <c r="M46" s="523" t="s">
        <v>428</v>
      </c>
      <c r="N46" s="491"/>
      <c r="O46" s="491"/>
      <c r="P46" s="491"/>
      <c r="Q46" s="491"/>
      <c r="R46" s="491"/>
      <c r="S46" s="491"/>
      <c r="T46" s="491"/>
      <c r="U46" s="524"/>
    </row>
    <row r="47" spans="3:21" x14ac:dyDescent="0.35">
      <c r="C47" s="491" t="s">
        <v>408</v>
      </c>
      <c r="D47" s="491"/>
      <c r="E47" s="491"/>
      <c r="F47" s="491"/>
      <c r="G47" s="491"/>
      <c r="H47" s="491"/>
      <c r="I47" s="491"/>
      <c r="J47" s="491"/>
      <c r="K47" s="491"/>
      <c r="M47" s="224" t="s">
        <v>174</v>
      </c>
      <c r="N47">
        <f>IF(OR(D49=0,D49=""),0,_xlfn.RANK.EQ(D49,D$49:D$52,0))</f>
        <v>4</v>
      </c>
      <c r="O47">
        <f t="shared" ref="O47:T50" si="28">IF(OR(E49=0,E49=""),0,_xlfn.RANK.EQ(E49,E$49:E$52,0))</f>
        <v>2</v>
      </c>
      <c r="P47">
        <f t="shared" si="28"/>
        <v>1</v>
      </c>
      <c r="Q47">
        <f t="shared" si="28"/>
        <v>4</v>
      </c>
      <c r="R47">
        <f t="shared" si="28"/>
        <v>4</v>
      </c>
      <c r="S47">
        <f t="shared" si="28"/>
        <v>4</v>
      </c>
      <c r="T47">
        <f t="shared" si="28"/>
        <v>2</v>
      </c>
      <c r="U47" s="228"/>
    </row>
    <row r="48" spans="3:21" x14ac:dyDescent="0.35">
      <c r="C48" s="97" t="s">
        <v>74</v>
      </c>
      <c r="D48" s="92" t="s">
        <v>45</v>
      </c>
      <c r="E48" s="92" t="s">
        <v>46</v>
      </c>
      <c r="F48" s="92" t="s">
        <v>47</v>
      </c>
      <c r="G48" s="92" t="s">
        <v>48</v>
      </c>
      <c r="H48" s="92" t="s">
        <v>49</v>
      </c>
      <c r="I48" s="92" t="s">
        <v>50</v>
      </c>
      <c r="J48" s="92" t="s">
        <v>51</v>
      </c>
      <c r="K48" s="93" t="s">
        <v>62</v>
      </c>
      <c r="M48" s="225" t="s">
        <v>80</v>
      </c>
      <c r="N48">
        <f t="shared" ref="N48:N50" si="29">IF(OR(D50=0,D50=""),0,_xlfn.RANK.EQ(D50,D$49:D$52,0))</f>
        <v>3</v>
      </c>
      <c r="O48">
        <f t="shared" si="28"/>
        <v>4</v>
      </c>
      <c r="P48">
        <f t="shared" si="28"/>
        <v>3</v>
      </c>
      <c r="Q48">
        <f t="shared" si="28"/>
        <v>2</v>
      </c>
      <c r="R48">
        <f t="shared" si="28"/>
        <v>1</v>
      </c>
      <c r="S48">
        <f t="shared" si="28"/>
        <v>2</v>
      </c>
      <c r="T48">
        <f t="shared" si="28"/>
        <v>3</v>
      </c>
      <c r="U48" s="228"/>
    </row>
    <row r="49" spans="3:21" x14ac:dyDescent="0.35">
      <c r="C49" s="86" t="s">
        <v>174</v>
      </c>
      <c r="D49" s="467">
        <f>IFERROR(AVERAGEIFS(EarningsPerDay[Deliveries],EarningsPerDay[Primary Area],$C49,EarningsPerDay[DOW],D$48,EarningsPerDay[Quarter],Scheduling!$R$17),"")</f>
        <v>8.25</v>
      </c>
      <c r="E49" s="467">
        <f>IFERROR(AVERAGEIFS(EarningsPerDay[Deliveries],EarningsPerDay[Primary Area],$C49,EarningsPerDay[DOW],E$48,EarningsPerDay[Quarter],Scheduling!$R$17),"")</f>
        <v>9</v>
      </c>
      <c r="F49" s="467">
        <f>IFERROR(AVERAGEIFS(EarningsPerDay[Deliveries],EarningsPerDay[Primary Area],$C49,EarningsPerDay[DOW],F$48,EarningsPerDay[Quarter],Scheduling!$R$17),"")</f>
        <v>10</v>
      </c>
      <c r="G49" s="467">
        <f>IFERROR(AVERAGEIFS(EarningsPerDay[Deliveries],EarningsPerDay[Primary Area],$C49,EarningsPerDay[DOW],G$48,EarningsPerDay[Quarter],Scheduling!$R$17),"")</f>
        <v>6</v>
      </c>
      <c r="H49" s="467">
        <f>IFERROR(AVERAGEIFS(EarningsPerDay[Deliveries],EarningsPerDay[Primary Area],$C49,EarningsPerDay[DOW],H$48,EarningsPerDay[Quarter],Scheduling!$R$17),"")</f>
        <v>7.333333333333333</v>
      </c>
      <c r="I49" s="467">
        <f>IFERROR(AVERAGEIFS(EarningsPerDay[Deliveries],EarningsPerDay[Primary Area],$C49,EarningsPerDay[DOW],I$48,EarningsPerDay[Quarter],Scheduling!$R$17),"")</f>
        <v>7</v>
      </c>
      <c r="J49" s="467">
        <f>IFERROR(AVERAGEIFS(EarningsPerDay[Deliveries],EarningsPerDay[Primary Area],$C49,EarningsPerDay[DOW],J$48,EarningsPerDay[Quarter],Scheduling!$R$17),"")</f>
        <v>10.333333333333334</v>
      </c>
      <c r="K49" s="468">
        <f>AVERAGEIF(D49:J49,"&gt;0")</f>
        <v>8.2738095238095237</v>
      </c>
      <c r="M49" s="224" t="s">
        <v>82</v>
      </c>
      <c r="N49">
        <f t="shared" si="29"/>
        <v>1</v>
      </c>
      <c r="O49">
        <f t="shared" si="28"/>
        <v>2</v>
      </c>
      <c r="P49">
        <f t="shared" si="28"/>
        <v>2</v>
      </c>
      <c r="Q49">
        <f t="shared" si="28"/>
        <v>3</v>
      </c>
      <c r="R49">
        <f t="shared" si="28"/>
        <v>3</v>
      </c>
      <c r="S49">
        <f t="shared" si="28"/>
        <v>3</v>
      </c>
      <c r="T49">
        <f t="shared" si="28"/>
        <v>1</v>
      </c>
      <c r="U49" s="228"/>
    </row>
    <row r="50" spans="3:21" x14ac:dyDescent="0.35">
      <c r="C50" s="85" t="s">
        <v>80</v>
      </c>
      <c r="D50" s="467">
        <f>IFERROR(AVERAGEIFS(EarningsPerDay[Deliveries],EarningsPerDay[Primary Area],$C50,EarningsPerDay[DOW],D$48,EarningsPerDay[Quarter],Scheduling!$R$17),"")</f>
        <v>8.3333333333333339</v>
      </c>
      <c r="E50" s="467">
        <f>IFERROR(AVERAGEIFS(EarningsPerDay[Deliveries],EarningsPerDay[Primary Area],$C50,EarningsPerDay[DOW],E$48,EarningsPerDay[Quarter],Scheduling!$R$17),"")</f>
        <v>8.526315789473685</v>
      </c>
      <c r="F50" s="467">
        <f>IFERROR(AVERAGEIFS(EarningsPerDay[Deliveries],EarningsPerDay[Primary Area],$C50,EarningsPerDay[DOW],F$48,EarningsPerDay[Quarter],Scheduling!$R$17),"")</f>
        <v>8.5909090909090917</v>
      </c>
      <c r="G50" s="467">
        <f>IFERROR(AVERAGEIFS(EarningsPerDay[Deliveries],EarningsPerDay[Primary Area],$C50,EarningsPerDay[DOW],G$48,EarningsPerDay[Quarter],Scheduling!$R$17),"")</f>
        <v>10.066666666666666</v>
      </c>
      <c r="H50" s="467">
        <f>IFERROR(AVERAGEIFS(EarningsPerDay[Deliveries],EarningsPerDay[Primary Area],$C50,EarningsPerDay[DOW],H$48,EarningsPerDay[Quarter],Scheduling!$R$17),"")</f>
        <v>9.5714285714285712</v>
      </c>
      <c r="I50" s="467">
        <f>IFERROR(AVERAGEIFS(EarningsPerDay[Deliveries],EarningsPerDay[Primary Area],$C50,EarningsPerDay[DOW],I$48,EarningsPerDay[Quarter],Scheduling!$R$17),"")</f>
        <v>11.3</v>
      </c>
      <c r="J50" s="467">
        <f>IFERROR(AVERAGEIFS(EarningsPerDay[Deliveries],EarningsPerDay[Primary Area],$C50,EarningsPerDay[DOW],J$48,EarningsPerDay[Quarter],Scheduling!$R$17),"")</f>
        <v>10.166666666666666</v>
      </c>
      <c r="K50" s="468">
        <f>AVERAGEIF(D50:J50,"&gt;0")</f>
        <v>9.5079028740682894</v>
      </c>
      <c r="M50" s="225" t="s">
        <v>85</v>
      </c>
      <c r="N50">
        <f t="shared" si="29"/>
        <v>2</v>
      </c>
      <c r="O50">
        <f t="shared" si="28"/>
        <v>1</v>
      </c>
      <c r="P50">
        <f t="shared" si="28"/>
        <v>4</v>
      </c>
      <c r="Q50">
        <f t="shared" si="28"/>
        <v>1</v>
      </c>
      <c r="R50">
        <f t="shared" si="28"/>
        <v>2</v>
      </c>
      <c r="S50">
        <f t="shared" si="28"/>
        <v>1</v>
      </c>
      <c r="T50">
        <f t="shared" si="28"/>
        <v>4</v>
      </c>
      <c r="U50" s="228"/>
    </row>
    <row r="51" spans="3:21" x14ac:dyDescent="0.35">
      <c r="C51" s="86" t="s">
        <v>82</v>
      </c>
      <c r="D51" s="467">
        <f>IFERROR(AVERAGEIFS(EarningsPerDay[Deliveries],EarningsPerDay[Primary Area],$C51,EarningsPerDay[DOW],D$48,EarningsPerDay[Quarter],Scheduling!$R$17),"")</f>
        <v>14</v>
      </c>
      <c r="E51" s="467">
        <f>IFERROR(AVERAGEIFS(EarningsPerDay[Deliveries],EarningsPerDay[Primary Area],$C51,EarningsPerDay[DOW],E$48,EarningsPerDay[Quarter],Scheduling!$R$17),"")</f>
        <v>9</v>
      </c>
      <c r="F51" s="467">
        <f>IFERROR(AVERAGEIFS(EarningsPerDay[Deliveries],EarningsPerDay[Primary Area],$C51,EarningsPerDay[DOW],F$48,EarningsPerDay[Quarter],Scheduling!$R$17),"")</f>
        <v>8.6666666666666661</v>
      </c>
      <c r="G51" s="467">
        <f>IFERROR(AVERAGEIFS(EarningsPerDay[Deliveries],EarningsPerDay[Primary Area],$C51,EarningsPerDay[DOW],G$48,EarningsPerDay[Quarter],Scheduling!$R$17),"")</f>
        <v>9.7777777777777786</v>
      </c>
      <c r="H51" s="467">
        <f>IFERROR(AVERAGEIFS(EarningsPerDay[Deliveries],EarningsPerDay[Primary Area],$C51,EarningsPerDay[DOW],H$48,EarningsPerDay[Quarter],Scheduling!$R$17),"")</f>
        <v>8</v>
      </c>
      <c r="I51" s="467">
        <f>IFERROR(AVERAGEIFS(EarningsPerDay[Deliveries],EarningsPerDay[Primary Area],$C51,EarningsPerDay[DOW],I$48,EarningsPerDay[Quarter],Scheduling!$R$17),"")</f>
        <v>10.5</v>
      </c>
      <c r="J51" s="467">
        <f>IFERROR(AVERAGEIFS(EarningsPerDay[Deliveries],EarningsPerDay[Primary Area],$C51,EarningsPerDay[DOW],J$48,EarningsPerDay[Quarter],Scheduling!$R$17),"")</f>
        <v>12.4</v>
      </c>
      <c r="K51" s="468">
        <f>AVERAGEIF(D51:J51,"&gt;0")</f>
        <v>10.334920634920636</v>
      </c>
      <c r="M51" s="520" t="s">
        <v>302</v>
      </c>
      <c r="N51" s="521"/>
      <c r="O51" s="521"/>
      <c r="P51" s="521"/>
      <c r="Q51" s="521"/>
      <c r="R51" s="521"/>
      <c r="S51" s="521"/>
      <c r="T51" s="521"/>
      <c r="U51" s="522"/>
    </row>
    <row r="52" spans="3:21" ht="15" thickBot="1" x14ac:dyDescent="0.4">
      <c r="C52" s="87" t="s">
        <v>85</v>
      </c>
      <c r="D52" s="467">
        <f>IFERROR(AVERAGEIFS(EarningsPerDay[Deliveries],EarningsPerDay[Primary Area],$C52,EarningsPerDay[DOW],D$48,EarningsPerDay[Quarter],Scheduling!$R$17),"")</f>
        <v>8.7777777777777786</v>
      </c>
      <c r="E52" s="467">
        <f>IFERROR(AVERAGEIFS(EarningsPerDay[Deliveries],EarningsPerDay[Primary Area],$C52,EarningsPerDay[DOW],E$48,EarningsPerDay[Quarter],Scheduling!$R$17),"")</f>
        <v>10.833333333333334</v>
      </c>
      <c r="F52" s="467">
        <f>IFERROR(AVERAGEIFS(EarningsPerDay[Deliveries],EarningsPerDay[Primary Area],$C52,EarningsPerDay[DOW],F$48,EarningsPerDay[Quarter],Scheduling!$R$17),"")</f>
        <v>8</v>
      </c>
      <c r="G52" s="467">
        <f>IFERROR(AVERAGEIFS(EarningsPerDay[Deliveries],EarningsPerDay[Primary Area],$C52,EarningsPerDay[DOW],G$48,EarningsPerDay[Quarter],Scheduling!$R$17),"")</f>
        <v>10.444444444444445</v>
      </c>
      <c r="H52" s="467">
        <f>IFERROR(AVERAGEIFS(EarningsPerDay[Deliveries],EarningsPerDay[Primary Area],$C52,EarningsPerDay[DOW],H$48,EarningsPerDay[Quarter],Scheduling!$R$17),"")</f>
        <v>8.25</v>
      </c>
      <c r="I52" s="467">
        <f>IFERROR(AVERAGEIFS(EarningsPerDay[Deliveries],EarningsPerDay[Primary Area],$C52,EarningsPerDay[DOW],I$48,EarningsPerDay[Quarter],Scheduling!$R$17),"")</f>
        <v>12.272727272727273</v>
      </c>
      <c r="J52" s="467">
        <f>IFERROR(AVERAGEIFS(EarningsPerDay[Deliveries],EarningsPerDay[Primary Area],$C52,EarningsPerDay[DOW],J$48,EarningsPerDay[Quarter],Scheduling!$R$17),"")</f>
        <v>9.1666666666666661</v>
      </c>
      <c r="K52" s="468">
        <f>AVERAGEIF(D52:J52,"&gt;0")</f>
        <v>9.6778499278499286</v>
      </c>
      <c r="L52" s="40"/>
      <c r="M52" s="224" t="s">
        <v>174</v>
      </c>
      <c r="N52" s="56">
        <f t="shared" ref="N52:T55" si="30">IF(SUM(N22,N27,N32,N37,N42,N47)=0,"",SUM(N22,N27,N32,N37,N42,N47))</f>
        <v>21</v>
      </c>
      <c r="O52" s="56">
        <f t="shared" si="30"/>
        <v>18</v>
      </c>
      <c r="P52" s="56">
        <f t="shared" si="30"/>
        <v>13</v>
      </c>
      <c r="Q52" s="56">
        <f t="shared" si="30"/>
        <v>21</v>
      </c>
      <c r="R52" s="56">
        <f t="shared" si="30"/>
        <v>22</v>
      </c>
      <c r="S52" s="56">
        <f t="shared" si="30"/>
        <v>22</v>
      </c>
      <c r="T52" s="56">
        <f t="shared" si="30"/>
        <v>17</v>
      </c>
      <c r="U52" s="228"/>
    </row>
    <row r="53" spans="3:21" ht="15" thickBot="1" x14ac:dyDescent="0.4">
      <c r="C53" s="53" t="s">
        <v>40</v>
      </c>
      <c r="D53" s="469">
        <f>MIN(D49:D52)</f>
        <v>8.25</v>
      </c>
      <c r="E53" s="469">
        <f t="shared" ref="E53:J53" si="31">MIN(E49:E52)</f>
        <v>8.526315789473685</v>
      </c>
      <c r="F53" s="469">
        <f t="shared" si="31"/>
        <v>8</v>
      </c>
      <c r="G53" s="469">
        <f t="shared" si="31"/>
        <v>6</v>
      </c>
      <c r="H53" s="469">
        <f t="shared" si="31"/>
        <v>7.333333333333333</v>
      </c>
      <c r="I53" s="469">
        <f t="shared" si="31"/>
        <v>7</v>
      </c>
      <c r="J53" s="469">
        <f t="shared" si="31"/>
        <v>9.1666666666666661</v>
      </c>
      <c r="K53" s="4"/>
      <c r="L53" s="42"/>
      <c r="M53" s="287" t="s">
        <v>80</v>
      </c>
      <c r="N53" s="56">
        <f t="shared" si="30"/>
        <v>14</v>
      </c>
      <c r="O53" s="56">
        <f t="shared" si="30"/>
        <v>12</v>
      </c>
      <c r="P53" s="56">
        <f t="shared" si="30"/>
        <v>12</v>
      </c>
      <c r="Q53" s="56">
        <f t="shared" si="30"/>
        <v>10</v>
      </c>
      <c r="R53" s="56">
        <f t="shared" si="30"/>
        <v>8</v>
      </c>
      <c r="S53" s="56">
        <f t="shared" si="30"/>
        <v>12</v>
      </c>
      <c r="T53" s="56">
        <f t="shared" si="30"/>
        <v>12</v>
      </c>
      <c r="U53" s="228"/>
    </row>
    <row r="54" spans="3:21" ht="15" thickBot="1" x14ac:dyDescent="0.4">
      <c r="C54" s="53" t="s">
        <v>87</v>
      </c>
      <c r="D54" s="54">
        <f t="shared" ref="D54:J54" si="32">_xlfn.RANK.EQ(D53,$D$53:$J$53,1)</f>
        <v>5</v>
      </c>
      <c r="E54" s="54">
        <f t="shared" si="32"/>
        <v>6</v>
      </c>
      <c r="F54" s="54">
        <f t="shared" si="32"/>
        <v>4</v>
      </c>
      <c r="G54" s="54">
        <f t="shared" si="32"/>
        <v>1</v>
      </c>
      <c r="H54" s="54">
        <f t="shared" si="32"/>
        <v>3</v>
      </c>
      <c r="I54" s="54">
        <f t="shared" si="32"/>
        <v>2</v>
      </c>
      <c r="J54" s="54">
        <f t="shared" si="32"/>
        <v>7</v>
      </c>
      <c r="M54" s="287" t="s">
        <v>82</v>
      </c>
      <c r="N54" s="56">
        <f t="shared" si="30"/>
        <v>15</v>
      </c>
      <c r="O54" s="56">
        <f t="shared" si="30"/>
        <v>19</v>
      </c>
      <c r="P54" s="56">
        <f t="shared" si="30"/>
        <v>19</v>
      </c>
      <c r="Q54" s="56">
        <f t="shared" si="30"/>
        <v>12</v>
      </c>
      <c r="R54" s="56">
        <f t="shared" si="30"/>
        <v>16</v>
      </c>
      <c r="S54" s="56">
        <f t="shared" si="30"/>
        <v>14</v>
      </c>
      <c r="T54" s="56">
        <f t="shared" si="30"/>
        <v>12</v>
      </c>
      <c r="U54" s="228"/>
    </row>
    <row r="55" spans="3:21" x14ac:dyDescent="0.35">
      <c r="M55" s="287" t="s">
        <v>85</v>
      </c>
      <c r="N55" s="56">
        <f t="shared" si="30"/>
        <v>10</v>
      </c>
      <c r="O55" s="56">
        <f t="shared" si="30"/>
        <v>10</v>
      </c>
      <c r="P55" s="56">
        <f t="shared" si="30"/>
        <v>16</v>
      </c>
      <c r="Q55" s="56">
        <f t="shared" si="30"/>
        <v>17</v>
      </c>
      <c r="R55" s="56">
        <f t="shared" si="30"/>
        <v>14</v>
      </c>
      <c r="S55" s="56">
        <f t="shared" si="30"/>
        <v>12</v>
      </c>
      <c r="T55" s="56">
        <f t="shared" si="30"/>
        <v>19</v>
      </c>
      <c r="U55" s="228"/>
    </row>
    <row r="56" spans="3:21" ht="15" thickBot="1" x14ac:dyDescent="0.4">
      <c r="M56" s="229"/>
      <c r="U56" s="228"/>
    </row>
    <row r="57" spans="3:21" ht="15" thickBot="1" x14ac:dyDescent="0.4">
      <c r="C57" s="508" t="s">
        <v>427</v>
      </c>
      <c r="D57" s="509"/>
      <c r="E57" s="509"/>
      <c r="F57" s="509"/>
      <c r="G57" s="509"/>
      <c r="H57" s="509"/>
      <c r="I57" s="509"/>
      <c r="J57" s="509"/>
      <c r="K57" s="510"/>
      <c r="M57" s="525" t="s">
        <v>226</v>
      </c>
      <c r="N57" s="513"/>
      <c r="O57" s="513"/>
      <c r="P57" s="513"/>
      <c r="Q57" s="513"/>
      <c r="R57" s="513"/>
      <c r="S57" s="513"/>
      <c r="T57" s="513"/>
      <c r="U57" s="526"/>
    </row>
    <row r="58" spans="3:21" ht="15" thickBot="1" x14ac:dyDescent="0.4">
      <c r="C58" s="224" t="s">
        <v>174</v>
      </c>
      <c r="D58">
        <f t="shared" ref="D58:J61" si="33">IF(OR(D4=0,D4=""),0,_xlfn.RANK.EQ(D4,D$4:D$7,0))</f>
        <v>3</v>
      </c>
      <c r="E58">
        <f t="shared" si="33"/>
        <v>3</v>
      </c>
      <c r="F58">
        <f t="shared" si="33"/>
        <v>3</v>
      </c>
      <c r="G58">
        <f t="shared" si="33"/>
        <v>4</v>
      </c>
      <c r="H58">
        <f t="shared" si="33"/>
        <v>4</v>
      </c>
      <c r="I58">
        <f t="shared" si="33"/>
        <v>4</v>
      </c>
      <c r="J58">
        <f t="shared" si="33"/>
        <v>2</v>
      </c>
      <c r="K58" s="228"/>
      <c r="M58" s="517" t="s">
        <v>303</v>
      </c>
      <c r="N58" s="518"/>
      <c r="O58" s="518"/>
      <c r="P58" s="518"/>
      <c r="Q58" s="518"/>
      <c r="R58" s="518"/>
      <c r="S58" s="518"/>
      <c r="T58" s="518"/>
      <c r="U58" s="519"/>
    </row>
    <row r="59" spans="3:21" x14ac:dyDescent="0.35">
      <c r="C59" s="225" t="s">
        <v>80</v>
      </c>
      <c r="D59">
        <f t="shared" si="33"/>
        <v>2</v>
      </c>
      <c r="E59">
        <f t="shared" si="33"/>
        <v>1</v>
      </c>
      <c r="F59">
        <f t="shared" si="33"/>
        <v>1</v>
      </c>
      <c r="G59">
        <f t="shared" si="33"/>
        <v>1</v>
      </c>
      <c r="H59">
        <f t="shared" si="33"/>
        <v>1</v>
      </c>
      <c r="I59">
        <f t="shared" si="33"/>
        <v>1</v>
      </c>
      <c r="J59">
        <f t="shared" si="33"/>
        <v>1</v>
      </c>
      <c r="K59" s="228"/>
      <c r="M59" s="182" t="s">
        <v>174</v>
      </c>
      <c r="N59" s="183">
        <f t="shared" ref="N59:T62" si="34">IFERROR(_xlfn.RANK.EQ(N52,N$52:N$55,1),"")</f>
        <v>4</v>
      </c>
      <c r="O59" s="183">
        <f t="shared" si="34"/>
        <v>3</v>
      </c>
      <c r="P59" s="183">
        <f t="shared" si="34"/>
        <v>2</v>
      </c>
      <c r="Q59" s="183">
        <f t="shared" si="34"/>
        <v>4</v>
      </c>
      <c r="R59" s="183">
        <f t="shared" si="34"/>
        <v>4</v>
      </c>
      <c r="S59" s="183">
        <f t="shared" si="34"/>
        <v>4</v>
      </c>
      <c r="T59" s="183">
        <f t="shared" si="34"/>
        <v>3</v>
      </c>
      <c r="U59" s="199"/>
    </row>
    <row r="60" spans="3:21" x14ac:dyDescent="0.35">
      <c r="C60" s="224" t="s">
        <v>82</v>
      </c>
      <c r="D60">
        <f t="shared" si="33"/>
        <v>4</v>
      </c>
      <c r="E60">
        <f t="shared" si="33"/>
        <v>4</v>
      </c>
      <c r="F60">
        <f t="shared" si="33"/>
        <v>4</v>
      </c>
      <c r="G60">
        <f t="shared" si="33"/>
        <v>2</v>
      </c>
      <c r="H60">
        <f t="shared" si="33"/>
        <v>3</v>
      </c>
      <c r="I60">
        <f t="shared" si="33"/>
        <v>2</v>
      </c>
      <c r="J60">
        <f t="shared" si="33"/>
        <v>3</v>
      </c>
      <c r="K60" s="228"/>
      <c r="M60" s="182" t="s">
        <v>80</v>
      </c>
      <c r="N60" s="183">
        <f t="shared" si="34"/>
        <v>2</v>
      </c>
      <c r="O60" s="183">
        <f t="shared" si="34"/>
        <v>2</v>
      </c>
      <c r="P60" s="183">
        <f t="shared" si="34"/>
        <v>1</v>
      </c>
      <c r="Q60" s="183">
        <f t="shared" si="34"/>
        <v>1</v>
      </c>
      <c r="R60" s="183">
        <f t="shared" si="34"/>
        <v>1</v>
      </c>
      <c r="S60" s="183">
        <f t="shared" si="34"/>
        <v>1</v>
      </c>
      <c r="T60" s="183">
        <f t="shared" si="34"/>
        <v>1</v>
      </c>
      <c r="U60" s="199"/>
    </row>
    <row r="61" spans="3:21" ht="15" thickBot="1" x14ac:dyDescent="0.4">
      <c r="C61" s="226" t="s">
        <v>85</v>
      </c>
      <c r="D61">
        <f t="shared" si="33"/>
        <v>1</v>
      </c>
      <c r="E61">
        <f t="shared" si="33"/>
        <v>2</v>
      </c>
      <c r="F61">
        <f t="shared" si="33"/>
        <v>2</v>
      </c>
      <c r="G61">
        <f t="shared" si="33"/>
        <v>3</v>
      </c>
      <c r="H61">
        <f t="shared" si="33"/>
        <v>2</v>
      </c>
      <c r="I61">
        <f t="shared" si="33"/>
        <v>3</v>
      </c>
      <c r="J61">
        <f t="shared" si="33"/>
        <v>4</v>
      </c>
      <c r="K61" s="228"/>
      <c r="M61" s="185" t="s">
        <v>82</v>
      </c>
      <c r="N61" s="181">
        <f t="shared" si="34"/>
        <v>3</v>
      </c>
      <c r="O61" s="181">
        <f t="shared" si="34"/>
        <v>4</v>
      </c>
      <c r="P61" s="181">
        <f t="shared" si="34"/>
        <v>4</v>
      </c>
      <c r="Q61" s="181">
        <f t="shared" si="34"/>
        <v>2</v>
      </c>
      <c r="R61" s="181">
        <f t="shared" si="34"/>
        <v>3</v>
      </c>
      <c r="S61" s="181">
        <f t="shared" si="34"/>
        <v>3</v>
      </c>
      <c r="T61" s="181">
        <f t="shared" si="34"/>
        <v>1</v>
      </c>
      <c r="U61" s="200"/>
    </row>
    <row r="62" spans="3:21" ht="15" thickBot="1" x14ac:dyDescent="0.4">
      <c r="C62" s="523" t="s">
        <v>426</v>
      </c>
      <c r="D62" s="491"/>
      <c r="E62" s="491"/>
      <c r="F62" s="491"/>
      <c r="G62" s="491"/>
      <c r="H62" s="491"/>
      <c r="I62" s="491"/>
      <c r="J62" s="491"/>
      <c r="K62" s="524"/>
      <c r="M62" s="187" t="s">
        <v>85</v>
      </c>
      <c r="N62" s="188">
        <f t="shared" si="34"/>
        <v>1</v>
      </c>
      <c r="O62" s="188">
        <f t="shared" si="34"/>
        <v>1</v>
      </c>
      <c r="P62" s="188">
        <f t="shared" si="34"/>
        <v>3</v>
      </c>
      <c r="Q62" s="188">
        <f t="shared" si="34"/>
        <v>3</v>
      </c>
      <c r="R62" s="188">
        <f t="shared" si="34"/>
        <v>2</v>
      </c>
      <c r="S62" s="188">
        <f t="shared" si="34"/>
        <v>1</v>
      </c>
      <c r="T62" s="188">
        <f t="shared" si="34"/>
        <v>4</v>
      </c>
      <c r="U62" s="201"/>
    </row>
    <row r="63" spans="3:21" x14ac:dyDescent="0.35">
      <c r="C63" s="224" t="s">
        <v>174</v>
      </c>
      <c r="D63">
        <f>IF(OR(D13=0,D13=""),0,_xlfn.RANK.EQ(D13,D$13:D$16,0))</f>
        <v>4</v>
      </c>
      <c r="E63">
        <f t="shared" ref="E63:J63" si="35">IF(OR(E13=0,E13=""),0,_xlfn.RANK.EQ(E13,E$13:E$16,0))</f>
        <v>4</v>
      </c>
      <c r="F63">
        <f t="shared" si="35"/>
        <v>2</v>
      </c>
      <c r="G63">
        <f t="shared" si="35"/>
        <v>4</v>
      </c>
      <c r="H63">
        <f t="shared" si="35"/>
        <v>4</v>
      </c>
      <c r="I63">
        <f t="shared" si="35"/>
        <v>4</v>
      </c>
      <c r="J63">
        <f t="shared" si="35"/>
        <v>4</v>
      </c>
      <c r="K63" s="228"/>
    </row>
    <row r="64" spans="3:21" x14ac:dyDescent="0.35">
      <c r="C64" s="225" t="s">
        <v>80</v>
      </c>
      <c r="D64">
        <f t="shared" ref="D64:J66" si="36">IF(OR(D14=0,D14=""),0,_xlfn.RANK.EQ(D14,D$13:D$16,0))</f>
        <v>2</v>
      </c>
      <c r="E64">
        <f t="shared" si="36"/>
        <v>1</v>
      </c>
      <c r="F64">
        <f t="shared" si="36"/>
        <v>1</v>
      </c>
      <c r="G64">
        <f t="shared" si="36"/>
        <v>2</v>
      </c>
      <c r="H64">
        <f t="shared" si="36"/>
        <v>1</v>
      </c>
      <c r="I64">
        <f t="shared" si="36"/>
        <v>2</v>
      </c>
      <c r="J64">
        <f t="shared" si="36"/>
        <v>2</v>
      </c>
      <c r="K64" s="228"/>
    </row>
    <row r="65" spans="3:11" outlineLevel="1" x14ac:dyDescent="0.35">
      <c r="C65" s="224" t="s">
        <v>82</v>
      </c>
      <c r="D65">
        <f t="shared" si="36"/>
        <v>3</v>
      </c>
      <c r="E65">
        <f t="shared" si="36"/>
        <v>3</v>
      </c>
      <c r="F65">
        <f t="shared" si="36"/>
        <v>4</v>
      </c>
      <c r="G65">
        <f t="shared" si="36"/>
        <v>1</v>
      </c>
      <c r="H65">
        <f t="shared" si="36"/>
        <v>2</v>
      </c>
      <c r="I65">
        <f t="shared" si="36"/>
        <v>1</v>
      </c>
      <c r="J65">
        <f t="shared" si="36"/>
        <v>1</v>
      </c>
      <c r="K65" s="228"/>
    </row>
    <row r="66" spans="3:11" outlineLevel="1" x14ac:dyDescent="0.35">
      <c r="C66" s="225" t="s">
        <v>85</v>
      </c>
      <c r="D66">
        <f t="shared" si="36"/>
        <v>1</v>
      </c>
      <c r="E66">
        <f t="shared" si="36"/>
        <v>2</v>
      </c>
      <c r="F66">
        <f t="shared" si="36"/>
        <v>3</v>
      </c>
      <c r="G66">
        <f t="shared" si="36"/>
        <v>3</v>
      </c>
      <c r="H66">
        <f t="shared" si="36"/>
        <v>3</v>
      </c>
      <c r="I66">
        <f t="shared" si="36"/>
        <v>3</v>
      </c>
      <c r="J66">
        <f t="shared" si="36"/>
        <v>3</v>
      </c>
      <c r="K66" s="228"/>
    </row>
    <row r="67" spans="3:11" outlineLevel="1" x14ac:dyDescent="0.35">
      <c r="C67" s="523" t="s">
        <v>425</v>
      </c>
      <c r="D67" s="491"/>
      <c r="E67" s="491"/>
      <c r="F67" s="491"/>
      <c r="G67" s="491"/>
      <c r="H67" s="491"/>
      <c r="I67" s="491"/>
      <c r="J67" s="491"/>
      <c r="K67" s="524"/>
    </row>
    <row r="68" spans="3:11" outlineLevel="1" x14ac:dyDescent="0.35">
      <c r="C68" s="224" t="s">
        <v>174</v>
      </c>
      <c r="D68">
        <f t="shared" ref="D68:F68" si="37">IF(OR(D22=0,D22=""),0,_xlfn.RANK.EQ(D22,D$22:D$25,1))</f>
        <v>3</v>
      </c>
      <c r="E68">
        <f t="shared" si="37"/>
        <v>4</v>
      </c>
      <c r="F68">
        <f t="shared" si="37"/>
        <v>3</v>
      </c>
      <c r="G68">
        <f>IF(OR(G22=0,G22=""),0,_xlfn.RANK.EQ(G22,G$22:G$25,1))</f>
        <v>4</v>
      </c>
      <c r="H68">
        <f t="shared" ref="H68:J68" si="38">IF(OR(H22=0,H22=""),0,_xlfn.RANK.EQ(H22,H$22:H$25,1))</f>
        <v>4</v>
      </c>
      <c r="I68">
        <f t="shared" si="38"/>
        <v>4</v>
      </c>
      <c r="J68">
        <f t="shared" si="38"/>
        <v>3</v>
      </c>
      <c r="K68" s="228"/>
    </row>
    <row r="69" spans="3:11" outlineLevel="1" x14ac:dyDescent="0.35">
      <c r="C69" s="225" t="s">
        <v>80</v>
      </c>
      <c r="D69">
        <f t="shared" ref="D69:F69" si="39">IF(OR(D23=0,D23=""),0,_xlfn.RANK.EQ(D23,D$22:D$25,1))</f>
        <v>2</v>
      </c>
      <c r="E69">
        <f t="shared" si="39"/>
        <v>2</v>
      </c>
      <c r="F69">
        <f t="shared" si="39"/>
        <v>2</v>
      </c>
      <c r="G69">
        <f t="shared" ref="G69:J71" si="40">IF(OR(G23=0,G23=""),0,_xlfn.RANK.EQ(G23,G$22:G$25,1))</f>
        <v>3</v>
      </c>
      <c r="H69">
        <f t="shared" si="40"/>
        <v>2</v>
      </c>
      <c r="I69">
        <f t="shared" si="40"/>
        <v>2</v>
      </c>
      <c r="J69">
        <f t="shared" si="40"/>
        <v>2</v>
      </c>
      <c r="K69" s="228"/>
    </row>
    <row r="70" spans="3:11" outlineLevel="1" x14ac:dyDescent="0.35">
      <c r="C70" s="224" t="s">
        <v>82</v>
      </c>
      <c r="D70">
        <f t="shared" ref="D70:F70" si="41">IF(OR(D24=0,D24=""),0,_xlfn.RANK.EQ(D24,D$22:D$25,1))</f>
        <v>1</v>
      </c>
      <c r="E70">
        <f t="shared" si="41"/>
        <v>1</v>
      </c>
      <c r="F70">
        <f t="shared" si="41"/>
        <v>1</v>
      </c>
      <c r="G70">
        <f t="shared" si="40"/>
        <v>1</v>
      </c>
      <c r="H70">
        <f t="shared" si="40"/>
        <v>1</v>
      </c>
      <c r="I70">
        <f t="shared" si="40"/>
        <v>1</v>
      </c>
      <c r="J70">
        <f t="shared" si="40"/>
        <v>1</v>
      </c>
      <c r="K70" s="228"/>
    </row>
    <row r="71" spans="3:11" ht="15" outlineLevel="1" thickBot="1" x14ac:dyDescent="0.4">
      <c r="C71" s="226" t="s">
        <v>85</v>
      </c>
      <c r="D71">
        <f t="shared" ref="D71:F71" si="42">IF(OR(D25=0,D25=""),0,_xlfn.RANK.EQ(D25,D$22:D$25,1))</f>
        <v>4</v>
      </c>
      <c r="E71">
        <f t="shared" si="42"/>
        <v>3</v>
      </c>
      <c r="F71">
        <f t="shared" si="42"/>
        <v>4</v>
      </c>
      <c r="G71">
        <f t="shared" si="40"/>
        <v>2</v>
      </c>
      <c r="H71">
        <f t="shared" si="40"/>
        <v>3</v>
      </c>
      <c r="I71">
        <f t="shared" si="40"/>
        <v>3</v>
      </c>
      <c r="J71">
        <f t="shared" si="40"/>
        <v>4</v>
      </c>
      <c r="K71" s="228"/>
    </row>
    <row r="72" spans="3:11" outlineLevel="1" x14ac:dyDescent="0.35">
      <c r="C72" s="523" t="s">
        <v>424</v>
      </c>
      <c r="D72" s="491"/>
      <c r="E72" s="491"/>
      <c r="F72" s="491"/>
      <c r="G72" s="491"/>
      <c r="H72" s="491"/>
      <c r="I72" s="491"/>
      <c r="J72" s="491"/>
      <c r="K72" s="524"/>
    </row>
    <row r="73" spans="3:11" outlineLevel="1" x14ac:dyDescent="0.35">
      <c r="C73" s="224" t="s">
        <v>174</v>
      </c>
      <c r="D73">
        <f>IF(OR(D31=0,D31=""),0,_xlfn.RANK.EQ(D31,D$31:D$34,1))</f>
        <v>3</v>
      </c>
      <c r="E73">
        <f t="shared" ref="E73:J73" si="43">IF(OR(E31=0,E31=""),0,_xlfn.RANK.EQ(E31,E$31:E$34,1))</f>
        <v>4</v>
      </c>
      <c r="F73">
        <f t="shared" si="43"/>
        <v>3</v>
      </c>
      <c r="G73">
        <f t="shared" si="43"/>
        <v>4</v>
      </c>
      <c r="H73">
        <f t="shared" si="43"/>
        <v>3</v>
      </c>
      <c r="I73">
        <f t="shared" si="43"/>
        <v>4</v>
      </c>
      <c r="J73">
        <f t="shared" si="43"/>
        <v>2</v>
      </c>
      <c r="K73" s="228"/>
    </row>
    <row r="74" spans="3:11" outlineLevel="1" x14ac:dyDescent="0.35">
      <c r="C74" s="225" t="s">
        <v>80</v>
      </c>
      <c r="D74">
        <f t="shared" ref="D74:J76" si="44">IF(OR(D32=0,D32=""),0,_xlfn.RANK.EQ(D32,D$31:D$34,1))</f>
        <v>2</v>
      </c>
      <c r="E74">
        <f t="shared" si="44"/>
        <v>1</v>
      </c>
      <c r="F74">
        <f t="shared" si="44"/>
        <v>2</v>
      </c>
      <c r="G74">
        <f t="shared" si="44"/>
        <v>2</v>
      </c>
      <c r="H74">
        <f t="shared" si="44"/>
        <v>2</v>
      </c>
      <c r="I74">
        <f t="shared" si="44"/>
        <v>2</v>
      </c>
      <c r="J74">
        <f t="shared" si="44"/>
        <v>1</v>
      </c>
      <c r="K74" s="228"/>
    </row>
    <row r="75" spans="3:11" outlineLevel="1" x14ac:dyDescent="0.35">
      <c r="C75" s="224" t="s">
        <v>82</v>
      </c>
      <c r="D75">
        <f t="shared" si="44"/>
        <v>1</v>
      </c>
      <c r="E75">
        <f t="shared" si="44"/>
        <v>2</v>
      </c>
      <c r="F75">
        <f t="shared" si="44"/>
        <v>1</v>
      </c>
      <c r="G75">
        <f t="shared" si="44"/>
        <v>1</v>
      </c>
      <c r="H75">
        <f t="shared" si="44"/>
        <v>1</v>
      </c>
      <c r="I75">
        <f t="shared" si="44"/>
        <v>1</v>
      </c>
      <c r="J75">
        <f t="shared" si="44"/>
        <v>3</v>
      </c>
      <c r="K75" s="228"/>
    </row>
    <row r="76" spans="3:11" ht="15" outlineLevel="1" thickBot="1" x14ac:dyDescent="0.4">
      <c r="C76" s="226" t="s">
        <v>85</v>
      </c>
      <c r="D76">
        <f t="shared" si="44"/>
        <v>4</v>
      </c>
      <c r="E76">
        <f t="shared" si="44"/>
        <v>3</v>
      </c>
      <c r="F76">
        <f t="shared" si="44"/>
        <v>4</v>
      </c>
      <c r="G76">
        <f t="shared" si="44"/>
        <v>3</v>
      </c>
      <c r="H76">
        <f t="shared" si="44"/>
        <v>4</v>
      </c>
      <c r="I76">
        <f t="shared" si="44"/>
        <v>3</v>
      </c>
      <c r="J76">
        <f t="shared" si="44"/>
        <v>4</v>
      </c>
      <c r="K76" s="228"/>
    </row>
    <row r="77" spans="3:11" outlineLevel="1" x14ac:dyDescent="0.35">
      <c r="C77" s="523" t="s">
        <v>423</v>
      </c>
      <c r="D77" s="491"/>
      <c r="E77" s="491"/>
      <c r="F77" s="491"/>
      <c r="G77" s="491"/>
      <c r="H77" s="491"/>
      <c r="I77" s="491"/>
      <c r="J77" s="491"/>
      <c r="K77" s="524"/>
    </row>
    <row r="78" spans="3:11" outlineLevel="1" x14ac:dyDescent="0.35">
      <c r="C78" s="224" t="s">
        <v>174</v>
      </c>
      <c r="D78">
        <f>IF(OR(D40=0,D40=""),0,_xlfn.RANK.EQ(D40,D$40:D$43,1))</f>
        <v>2</v>
      </c>
      <c r="E78">
        <f t="shared" ref="E78:J78" si="45">IF(OR(E40=0,E40=""),0,_xlfn.RANK.EQ(E40,E$40:E$43,1))</f>
        <v>1</v>
      </c>
      <c r="F78">
        <f t="shared" si="45"/>
        <v>2</v>
      </c>
      <c r="G78">
        <f t="shared" si="45"/>
        <v>1</v>
      </c>
      <c r="H78">
        <f t="shared" si="45"/>
        <v>2</v>
      </c>
      <c r="I78">
        <f t="shared" si="45"/>
        <v>1</v>
      </c>
      <c r="J78">
        <f t="shared" si="45"/>
        <v>4</v>
      </c>
      <c r="K78" s="228"/>
    </row>
    <row r="79" spans="3:11" outlineLevel="1" x14ac:dyDescent="0.35">
      <c r="C79" s="225" t="s">
        <v>80</v>
      </c>
      <c r="D79">
        <f t="shared" ref="D79:J81" si="46">IF(OR(D41=0,D41=""),0,_xlfn.RANK.EQ(D41,D$40:D$43,1))</f>
        <v>3</v>
      </c>
      <c r="E79">
        <f t="shared" si="46"/>
        <v>4</v>
      </c>
      <c r="F79">
        <f t="shared" si="46"/>
        <v>3</v>
      </c>
      <c r="G79">
        <f t="shared" si="46"/>
        <v>3</v>
      </c>
      <c r="H79">
        <f t="shared" si="46"/>
        <v>3</v>
      </c>
      <c r="I79">
        <f t="shared" si="46"/>
        <v>3</v>
      </c>
      <c r="J79">
        <f t="shared" si="46"/>
        <v>3</v>
      </c>
      <c r="K79" s="228"/>
    </row>
    <row r="80" spans="3:11" outlineLevel="1" x14ac:dyDescent="0.35">
      <c r="C80" s="224" t="s">
        <v>82</v>
      </c>
      <c r="D80">
        <f t="shared" si="46"/>
        <v>4</v>
      </c>
      <c r="E80">
        <f t="shared" si="46"/>
        <v>3</v>
      </c>
      <c r="F80">
        <f t="shared" si="46"/>
        <v>4</v>
      </c>
      <c r="G80">
        <f t="shared" si="46"/>
        <v>4</v>
      </c>
      <c r="H80">
        <f t="shared" si="46"/>
        <v>4</v>
      </c>
      <c r="I80">
        <f t="shared" si="46"/>
        <v>4</v>
      </c>
      <c r="J80">
        <f t="shared" si="46"/>
        <v>2</v>
      </c>
      <c r="K80" s="228"/>
    </row>
    <row r="81" spans="3:11" outlineLevel="1" x14ac:dyDescent="0.35">
      <c r="C81" s="225" t="s">
        <v>85</v>
      </c>
      <c r="D81">
        <f t="shared" si="46"/>
        <v>1</v>
      </c>
      <c r="E81">
        <f t="shared" si="46"/>
        <v>2</v>
      </c>
      <c r="F81">
        <f t="shared" si="46"/>
        <v>1</v>
      </c>
      <c r="G81">
        <f t="shared" si="46"/>
        <v>2</v>
      </c>
      <c r="H81">
        <f t="shared" si="46"/>
        <v>1</v>
      </c>
      <c r="I81">
        <f t="shared" si="46"/>
        <v>2</v>
      </c>
      <c r="J81">
        <f t="shared" si="46"/>
        <v>1</v>
      </c>
      <c r="K81" s="228"/>
    </row>
    <row r="82" spans="3:11" outlineLevel="1" x14ac:dyDescent="0.35">
      <c r="C82" s="523" t="s">
        <v>422</v>
      </c>
      <c r="D82" s="491"/>
      <c r="E82" s="491"/>
      <c r="F82" s="491"/>
      <c r="G82" s="491"/>
      <c r="H82" s="491"/>
      <c r="I82" s="491"/>
      <c r="J82" s="491"/>
      <c r="K82" s="524"/>
    </row>
    <row r="83" spans="3:11" outlineLevel="1" x14ac:dyDescent="0.35">
      <c r="C83" s="224" t="s">
        <v>174</v>
      </c>
      <c r="D83">
        <f t="shared" ref="D83:F83" si="47">IF(OR(D49=0,D49=""),0,_xlfn.RANK.EQ(D49,D$49:D$52,1))</f>
        <v>1</v>
      </c>
      <c r="E83">
        <f t="shared" si="47"/>
        <v>2</v>
      </c>
      <c r="F83">
        <f t="shared" si="47"/>
        <v>4</v>
      </c>
      <c r="G83">
        <f>IF(OR(G49=0,G49=""),0,_xlfn.RANK.EQ(G49,G$49:G$52,1))</f>
        <v>1</v>
      </c>
      <c r="H83">
        <f t="shared" ref="H83:J83" si="48">IF(OR(H49=0,H49=""),0,_xlfn.RANK.EQ(H49,H$49:H$52,1))</f>
        <v>1</v>
      </c>
      <c r="I83">
        <f t="shared" si="48"/>
        <v>1</v>
      </c>
      <c r="J83">
        <f t="shared" si="48"/>
        <v>3</v>
      </c>
      <c r="K83" s="228"/>
    </row>
    <row r="84" spans="3:11" outlineLevel="1" x14ac:dyDescent="0.35">
      <c r="C84" s="225" t="s">
        <v>80</v>
      </c>
      <c r="D84">
        <f t="shared" ref="D84:F84" si="49">IF(OR(D50=0,D50=""),0,_xlfn.RANK.EQ(D50,D$49:D$52,1))</f>
        <v>2</v>
      </c>
      <c r="E84">
        <f t="shared" si="49"/>
        <v>1</v>
      </c>
      <c r="F84">
        <f t="shared" si="49"/>
        <v>2</v>
      </c>
      <c r="G84">
        <f t="shared" ref="G84:J85" si="50">IF(OR(G50=0,G50=""),0,_xlfn.RANK.EQ(G50,G$49:G$52,1))</f>
        <v>3</v>
      </c>
      <c r="H84">
        <f t="shared" si="50"/>
        <v>4</v>
      </c>
      <c r="I84">
        <f t="shared" si="50"/>
        <v>3</v>
      </c>
      <c r="J84">
        <f t="shared" si="50"/>
        <v>2</v>
      </c>
      <c r="K84" s="228"/>
    </row>
    <row r="85" spans="3:11" outlineLevel="1" x14ac:dyDescent="0.35">
      <c r="C85" s="224" t="s">
        <v>82</v>
      </c>
      <c r="D85">
        <f t="shared" ref="D85:F85" si="51">IF(OR(D51=0,D51=""),0,_xlfn.RANK.EQ(D51,D$49:D$52,1))</f>
        <v>4</v>
      </c>
      <c r="E85">
        <f t="shared" si="51"/>
        <v>2</v>
      </c>
      <c r="F85">
        <f t="shared" si="51"/>
        <v>3</v>
      </c>
      <c r="G85">
        <f t="shared" si="50"/>
        <v>2</v>
      </c>
      <c r="H85">
        <f t="shared" si="50"/>
        <v>2</v>
      </c>
      <c r="I85">
        <f t="shared" si="50"/>
        <v>2</v>
      </c>
      <c r="J85">
        <f t="shared" si="50"/>
        <v>4</v>
      </c>
      <c r="K85" s="228"/>
    </row>
    <row r="86" spans="3:11" ht="15" outlineLevel="1" thickBot="1" x14ac:dyDescent="0.4">
      <c r="C86" s="293" t="s">
        <v>85</v>
      </c>
      <c r="D86">
        <f t="shared" ref="D86:F86" si="52">IF(OR(D52=0,D52=""),0,_xlfn.RANK.EQ(D52,D$49:D$52,1))</f>
        <v>3</v>
      </c>
      <c r="E86">
        <f t="shared" si="52"/>
        <v>4</v>
      </c>
      <c r="F86">
        <f t="shared" si="52"/>
        <v>1</v>
      </c>
      <c r="G86">
        <f>IF(OR(G52=0,G52=""),0,_xlfn.RANK.EQ(G52,G$49:G$52,1))</f>
        <v>4</v>
      </c>
      <c r="H86">
        <f t="shared" ref="H86:J86" si="53">IF(OR(H52=0,H52=""),0,_xlfn.RANK.EQ(H52,H$49:H$52,1))</f>
        <v>3</v>
      </c>
      <c r="I86">
        <f t="shared" si="53"/>
        <v>4</v>
      </c>
      <c r="J86">
        <f t="shared" si="53"/>
        <v>1</v>
      </c>
      <c r="K86" s="230"/>
    </row>
    <row r="87" spans="3:11" outlineLevel="1" x14ac:dyDescent="0.35">
      <c r="C87" s="507" t="s">
        <v>284</v>
      </c>
      <c r="D87" s="507"/>
      <c r="E87" s="507"/>
      <c r="F87" s="507"/>
      <c r="G87" s="507"/>
      <c r="H87" s="507"/>
      <c r="I87" s="507"/>
      <c r="J87" s="507"/>
      <c r="K87" s="507"/>
    </row>
    <row r="88" spans="3:11" outlineLevel="1" x14ac:dyDescent="0.35">
      <c r="C88" s="86" t="s">
        <v>174</v>
      </c>
      <c r="D88" s="56">
        <f t="shared" ref="D88:J91" si="54">IF(SUM(D58,D68,D73,D78,D63,D83)=0,"",SUM(D58,D68,D73,D78,D63,D83))</f>
        <v>16</v>
      </c>
      <c r="E88" s="56">
        <f t="shared" si="54"/>
        <v>18</v>
      </c>
      <c r="F88" s="56">
        <f t="shared" si="54"/>
        <v>17</v>
      </c>
      <c r="G88" s="56">
        <f t="shared" si="54"/>
        <v>18</v>
      </c>
      <c r="H88" s="56">
        <f t="shared" si="54"/>
        <v>18</v>
      </c>
      <c r="I88" s="56">
        <f t="shared" si="54"/>
        <v>18</v>
      </c>
      <c r="J88" s="56">
        <f t="shared" si="54"/>
        <v>18</v>
      </c>
    </row>
    <row r="89" spans="3:11" outlineLevel="1" x14ac:dyDescent="0.35">
      <c r="C89" s="88" t="s">
        <v>80</v>
      </c>
      <c r="D89" s="56">
        <f t="shared" si="54"/>
        <v>13</v>
      </c>
      <c r="E89" s="56">
        <f t="shared" si="54"/>
        <v>10</v>
      </c>
      <c r="F89" s="56">
        <f t="shared" si="54"/>
        <v>11</v>
      </c>
      <c r="G89" s="56">
        <f t="shared" si="54"/>
        <v>14</v>
      </c>
      <c r="H89" s="56">
        <f t="shared" si="54"/>
        <v>13</v>
      </c>
      <c r="I89" s="56">
        <f t="shared" si="54"/>
        <v>13</v>
      </c>
      <c r="J89" s="56">
        <f t="shared" si="54"/>
        <v>11</v>
      </c>
    </row>
    <row r="90" spans="3:11" outlineLevel="1" x14ac:dyDescent="0.35">
      <c r="C90" s="88" t="s">
        <v>82</v>
      </c>
      <c r="D90" s="56">
        <f t="shared" si="54"/>
        <v>17</v>
      </c>
      <c r="E90" s="56">
        <f t="shared" si="54"/>
        <v>15</v>
      </c>
      <c r="F90" s="56">
        <f t="shared" si="54"/>
        <v>17</v>
      </c>
      <c r="G90" s="56">
        <f t="shared" si="54"/>
        <v>11</v>
      </c>
      <c r="H90" s="56">
        <f t="shared" si="54"/>
        <v>13</v>
      </c>
      <c r="I90" s="56">
        <f t="shared" si="54"/>
        <v>11</v>
      </c>
      <c r="J90" s="56">
        <f t="shared" si="54"/>
        <v>14</v>
      </c>
    </row>
    <row r="91" spans="3:11" outlineLevel="1" x14ac:dyDescent="0.35">
      <c r="C91" s="88" t="s">
        <v>85</v>
      </c>
      <c r="D91" s="56">
        <f t="shared" si="54"/>
        <v>14</v>
      </c>
      <c r="E91" s="56">
        <f t="shared" si="54"/>
        <v>16</v>
      </c>
      <c r="F91" s="56">
        <f t="shared" si="54"/>
        <v>15</v>
      </c>
      <c r="G91" s="56">
        <f t="shared" si="54"/>
        <v>17</v>
      </c>
      <c r="H91" s="56">
        <f t="shared" si="54"/>
        <v>16</v>
      </c>
      <c r="I91" s="56">
        <f t="shared" si="54"/>
        <v>18</v>
      </c>
      <c r="J91" s="56">
        <f t="shared" si="54"/>
        <v>17</v>
      </c>
    </row>
    <row r="92" spans="3:11" outlineLevel="1" x14ac:dyDescent="0.35">
      <c r="C92" s="521" t="s">
        <v>213</v>
      </c>
      <c r="D92" s="521"/>
      <c r="E92" s="521"/>
      <c r="F92" s="521"/>
      <c r="G92" s="521"/>
      <c r="H92" s="521"/>
      <c r="I92" s="521"/>
      <c r="J92" s="521"/>
      <c r="K92" s="521"/>
    </row>
    <row r="93" spans="3:11" outlineLevel="1" x14ac:dyDescent="0.35">
      <c r="C93" s="86" t="s">
        <v>174</v>
      </c>
      <c r="D93" s="180">
        <f>IFERROR(1-(D88/28),"")</f>
        <v>0.4285714285714286</v>
      </c>
      <c r="E93" s="180">
        <f t="shared" ref="E93:J93" si="55">IFERROR(1-(E88/28),"")</f>
        <v>0.3571428571428571</v>
      </c>
      <c r="F93" s="180">
        <f t="shared" si="55"/>
        <v>0.3928571428571429</v>
      </c>
      <c r="G93" s="180">
        <f t="shared" si="55"/>
        <v>0.3571428571428571</v>
      </c>
      <c r="H93" s="180">
        <f t="shared" si="55"/>
        <v>0.3571428571428571</v>
      </c>
      <c r="I93" s="180">
        <f t="shared" si="55"/>
        <v>0.3571428571428571</v>
      </c>
      <c r="J93" s="180">
        <f t="shared" si="55"/>
        <v>0.3571428571428571</v>
      </c>
      <c r="K93" s="253">
        <f>AVERAGE(D93:J93)</f>
        <v>0.37244897959183676</v>
      </c>
    </row>
    <row r="94" spans="3:11" x14ac:dyDescent="0.35">
      <c r="C94" s="88" t="s">
        <v>80</v>
      </c>
      <c r="D94" s="180">
        <f t="shared" ref="D94:J96" si="56">IFERROR(1-(D89/28),"")</f>
        <v>0.5357142857142857</v>
      </c>
      <c r="E94" s="180">
        <f t="shared" si="56"/>
        <v>0.64285714285714279</v>
      </c>
      <c r="F94" s="180">
        <f t="shared" si="56"/>
        <v>0.60714285714285721</v>
      </c>
      <c r="G94" s="180">
        <f t="shared" si="56"/>
        <v>0.5</v>
      </c>
      <c r="H94" s="180">
        <f t="shared" si="56"/>
        <v>0.5357142857142857</v>
      </c>
      <c r="I94" s="180">
        <f t="shared" si="56"/>
        <v>0.5357142857142857</v>
      </c>
      <c r="J94" s="180">
        <f t="shared" si="56"/>
        <v>0.60714285714285721</v>
      </c>
      <c r="K94" s="253">
        <f>AVERAGE(D94:J94)</f>
        <v>0.56632653061224481</v>
      </c>
    </row>
    <row r="95" spans="3:11" x14ac:dyDescent="0.35">
      <c r="C95" s="88" t="s">
        <v>82</v>
      </c>
      <c r="D95" s="180">
        <f t="shared" si="56"/>
        <v>0.3928571428571429</v>
      </c>
      <c r="E95" s="180">
        <f t="shared" si="56"/>
        <v>0.4642857142857143</v>
      </c>
      <c r="F95" s="180">
        <f t="shared" si="56"/>
        <v>0.3928571428571429</v>
      </c>
      <c r="G95" s="180">
        <f t="shared" si="56"/>
        <v>0.60714285714285721</v>
      </c>
      <c r="H95" s="180">
        <f t="shared" si="56"/>
        <v>0.5357142857142857</v>
      </c>
      <c r="I95" s="180">
        <f t="shared" si="56"/>
        <v>0.60714285714285721</v>
      </c>
      <c r="J95" s="180">
        <f t="shared" si="56"/>
        <v>0.5</v>
      </c>
      <c r="K95" s="253">
        <f>AVERAGE(D95:J95)</f>
        <v>0.5</v>
      </c>
    </row>
    <row r="96" spans="3:11" ht="15" thickBot="1" x14ac:dyDescent="0.4">
      <c r="C96" s="88" t="s">
        <v>85</v>
      </c>
      <c r="D96" s="180">
        <f t="shared" si="56"/>
        <v>0.5</v>
      </c>
      <c r="E96" s="180">
        <f t="shared" si="56"/>
        <v>0.4285714285714286</v>
      </c>
      <c r="F96" s="180">
        <f t="shared" si="56"/>
        <v>0.4642857142857143</v>
      </c>
      <c r="G96" s="180">
        <f t="shared" si="56"/>
        <v>0.3928571428571429</v>
      </c>
      <c r="H96" s="180">
        <f t="shared" si="56"/>
        <v>0.4285714285714286</v>
      </c>
      <c r="I96" s="180">
        <f t="shared" si="56"/>
        <v>0.3571428571428571</v>
      </c>
      <c r="J96" s="180">
        <f t="shared" si="56"/>
        <v>0.3928571428571429</v>
      </c>
      <c r="K96" s="253">
        <f>AVERAGE(D96:J96)</f>
        <v>0.42346938775510207</v>
      </c>
    </row>
    <row r="97" spans="3:12" ht="15" thickBot="1" x14ac:dyDescent="0.4">
      <c r="C97" s="514" t="s">
        <v>94</v>
      </c>
      <c r="D97" s="515"/>
      <c r="E97" s="515"/>
      <c r="F97" s="515"/>
      <c r="G97" s="515"/>
      <c r="H97" s="515"/>
      <c r="I97" s="515"/>
      <c r="J97" s="515"/>
      <c r="K97" s="516"/>
    </row>
    <row r="98" spans="3:12" x14ac:dyDescent="0.35">
      <c r="C98" s="182" t="s">
        <v>174</v>
      </c>
      <c r="D98" s="183">
        <f t="shared" ref="D98:J101" si="57">IFERROR(_xlfn.RANK.EQ(D93,D$93:D$96,0),"")</f>
        <v>3</v>
      </c>
      <c r="E98" s="183">
        <f t="shared" si="57"/>
        <v>4</v>
      </c>
      <c r="F98" s="183">
        <f t="shared" si="57"/>
        <v>3</v>
      </c>
      <c r="G98" s="183">
        <f t="shared" si="57"/>
        <v>4</v>
      </c>
      <c r="H98" s="183">
        <f t="shared" si="57"/>
        <v>4</v>
      </c>
      <c r="I98" s="183">
        <f t="shared" si="57"/>
        <v>3</v>
      </c>
      <c r="J98" s="183">
        <f t="shared" si="57"/>
        <v>4</v>
      </c>
      <c r="K98" s="184">
        <f>SUM(D98:J98)</f>
        <v>25</v>
      </c>
      <c r="L98" s="275" t="b">
        <f>SUM(D98:J98)=28</f>
        <v>0</v>
      </c>
    </row>
    <row r="99" spans="3:12" x14ac:dyDescent="0.35">
      <c r="C99" s="182" t="s">
        <v>80</v>
      </c>
      <c r="D99" s="183">
        <f t="shared" si="57"/>
        <v>1</v>
      </c>
      <c r="E99" s="183">
        <f t="shared" si="57"/>
        <v>1</v>
      </c>
      <c r="F99" s="183">
        <f t="shared" si="57"/>
        <v>1</v>
      </c>
      <c r="G99" s="183">
        <f t="shared" si="57"/>
        <v>2</v>
      </c>
      <c r="H99" s="183">
        <f t="shared" si="57"/>
        <v>1</v>
      </c>
      <c r="I99" s="183">
        <f t="shared" si="57"/>
        <v>2</v>
      </c>
      <c r="J99" s="183">
        <f t="shared" si="57"/>
        <v>1</v>
      </c>
      <c r="K99" s="184">
        <f>SUM(D99:J99)</f>
        <v>9</v>
      </c>
      <c r="L99" s="275" t="b">
        <f t="shared" ref="L99:L101" si="58">SUM(D99:J99)=28</f>
        <v>0</v>
      </c>
    </row>
    <row r="100" spans="3:12" x14ac:dyDescent="0.35">
      <c r="C100" s="185" t="s">
        <v>82</v>
      </c>
      <c r="D100" s="181">
        <f t="shared" si="57"/>
        <v>4</v>
      </c>
      <c r="E100" s="181">
        <f t="shared" si="57"/>
        <v>2</v>
      </c>
      <c r="F100" s="181">
        <f t="shared" si="57"/>
        <v>3</v>
      </c>
      <c r="G100" s="181">
        <f t="shared" si="57"/>
        <v>1</v>
      </c>
      <c r="H100" s="181">
        <f t="shared" si="57"/>
        <v>1</v>
      </c>
      <c r="I100" s="181">
        <f t="shared" si="57"/>
        <v>1</v>
      </c>
      <c r="J100" s="181">
        <f t="shared" si="57"/>
        <v>2</v>
      </c>
      <c r="K100" s="186">
        <f>SUM(D100:J100)</f>
        <v>14</v>
      </c>
      <c r="L100" s="275" t="b">
        <f t="shared" si="58"/>
        <v>0</v>
      </c>
    </row>
    <row r="101" spans="3:12" ht="15" thickBot="1" x14ac:dyDescent="0.4">
      <c r="C101" s="187" t="s">
        <v>85</v>
      </c>
      <c r="D101" s="188">
        <f t="shared" si="57"/>
        <v>2</v>
      </c>
      <c r="E101" s="188">
        <f t="shared" si="57"/>
        <v>3</v>
      </c>
      <c r="F101" s="188">
        <f t="shared" si="57"/>
        <v>2</v>
      </c>
      <c r="G101" s="188">
        <f t="shared" si="57"/>
        <v>3</v>
      </c>
      <c r="H101" s="188">
        <f t="shared" si="57"/>
        <v>3</v>
      </c>
      <c r="I101" s="188">
        <f t="shared" si="57"/>
        <v>3</v>
      </c>
      <c r="J101" s="188">
        <f t="shared" si="57"/>
        <v>3</v>
      </c>
      <c r="K101" s="189">
        <f>SUM(D101:J101)</f>
        <v>19</v>
      </c>
      <c r="L101" s="275" t="b">
        <f t="shared" si="58"/>
        <v>0</v>
      </c>
    </row>
    <row r="103" spans="3:12" ht="15" thickBot="1" x14ac:dyDescent="0.4">
      <c r="C103" s="504" t="s">
        <v>313</v>
      </c>
      <c r="D103" s="505"/>
      <c r="E103" s="505"/>
      <c r="F103" s="505"/>
      <c r="G103" s="505"/>
      <c r="H103" s="505"/>
      <c r="I103" s="505"/>
      <c r="J103" s="506"/>
    </row>
    <row r="104" spans="3:12" x14ac:dyDescent="0.35">
      <c r="C104" s="295" t="s">
        <v>407</v>
      </c>
      <c r="D104" s="296">
        <f t="shared" ref="D104:J104" si="59">_xlfn.RANK.EQ(D8,$D$8:$J$8,0)</f>
        <v>5</v>
      </c>
      <c r="E104" s="296">
        <f>_xlfn.RANK.EQ(E8,$D$8:$J$8,0)</f>
        <v>7</v>
      </c>
      <c r="F104" s="296">
        <f t="shared" si="59"/>
        <v>6</v>
      </c>
      <c r="G104" s="296">
        <f t="shared" si="59"/>
        <v>4</v>
      </c>
      <c r="H104" s="296">
        <f t="shared" si="59"/>
        <v>3</v>
      </c>
      <c r="I104" s="296">
        <f t="shared" si="59"/>
        <v>2</v>
      </c>
      <c r="J104" s="297">
        <f t="shared" si="59"/>
        <v>1</v>
      </c>
    </row>
    <row r="105" spans="3:12" x14ac:dyDescent="0.35">
      <c r="C105" s="216" t="s">
        <v>409</v>
      </c>
      <c r="D105" s="74">
        <f>_xlfn.RANK.EQ(D17,$D$17:$J$17,0)</f>
        <v>4</v>
      </c>
      <c r="E105" s="74">
        <f t="shared" ref="E105:J105" si="60">_xlfn.RANK.EQ(E17,$D$17:$J$17,0)</f>
        <v>7</v>
      </c>
      <c r="F105" s="74">
        <f t="shared" si="60"/>
        <v>6</v>
      </c>
      <c r="G105" s="74">
        <f t="shared" si="60"/>
        <v>2</v>
      </c>
      <c r="H105" s="74">
        <f t="shared" si="60"/>
        <v>5</v>
      </c>
      <c r="I105" s="74">
        <f t="shared" si="60"/>
        <v>1</v>
      </c>
      <c r="J105" s="298">
        <f t="shared" si="60"/>
        <v>3</v>
      </c>
    </row>
    <row r="106" spans="3:12" x14ac:dyDescent="0.35">
      <c r="C106" s="216" t="s">
        <v>405</v>
      </c>
      <c r="D106" s="74">
        <f>_xlfn.RANK.EQ(D26,$D$26:$J$26,1)</f>
        <v>3</v>
      </c>
      <c r="E106" s="74">
        <f t="shared" ref="E106:J106" si="61">_xlfn.RANK.EQ(E26,$D$26:$J$26,1)</f>
        <v>5</v>
      </c>
      <c r="F106" s="74">
        <f t="shared" si="61"/>
        <v>7</v>
      </c>
      <c r="G106" s="74">
        <f t="shared" si="61"/>
        <v>1</v>
      </c>
      <c r="H106" s="74">
        <f t="shared" si="61"/>
        <v>4</v>
      </c>
      <c r="I106" s="74">
        <f t="shared" si="61"/>
        <v>2</v>
      </c>
      <c r="J106" s="298">
        <f t="shared" si="61"/>
        <v>6</v>
      </c>
    </row>
    <row r="107" spans="3:12" x14ac:dyDescent="0.35">
      <c r="C107" s="216" t="s">
        <v>406</v>
      </c>
      <c r="D107" s="74">
        <f>_xlfn.RANK.EQ(D35,$D$35:$J$35,1)</f>
        <v>3</v>
      </c>
      <c r="E107" s="74">
        <f t="shared" ref="E107:J107" si="62">_xlfn.RANK.EQ(E35,$D$35:$J$35,1)</f>
        <v>7</v>
      </c>
      <c r="F107" s="74">
        <f t="shared" si="62"/>
        <v>2</v>
      </c>
      <c r="G107" s="74">
        <f t="shared" si="62"/>
        <v>4</v>
      </c>
      <c r="H107" s="74">
        <f t="shared" si="62"/>
        <v>5</v>
      </c>
      <c r="I107" s="74">
        <f t="shared" si="62"/>
        <v>6</v>
      </c>
      <c r="J107" s="298">
        <f t="shared" si="62"/>
        <v>1</v>
      </c>
    </row>
    <row r="108" spans="3:12" x14ac:dyDescent="0.35">
      <c r="C108" s="216" t="s">
        <v>314</v>
      </c>
      <c r="D108" s="74">
        <f>_xlfn.RANK.EQ(D44,$D$44:$J$44,0)</f>
        <v>6</v>
      </c>
      <c r="E108" s="74">
        <f t="shared" ref="E108:J108" si="63">_xlfn.RANK.EQ(E44,$D$44:$J$44,0)</f>
        <v>7</v>
      </c>
      <c r="F108" s="74">
        <f t="shared" si="63"/>
        <v>3</v>
      </c>
      <c r="G108" s="74">
        <f t="shared" si="63"/>
        <v>2</v>
      </c>
      <c r="H108" s="74">
        <f t="shared" si="63"/>
        <v>4</v>
      </c>
      <c r="I108" s="74">
        <f t="shared" si="63"/>
        <v>5</v>
      </c>
      <c r="J108" s="298">
        <f t="shared" si="63"/>
        <v>1</v>
      </c>
    </row>
    <row r="109" spans="3:12" x14ac:dyDescent="0.35">
      <c r="C109" s="216" t="s">
        <v>408</v>
      </c>
      <c r="D109" s="74">
        <f>_xlfn.RANK.EQ(D53,$D$53:$J$53,1)</f>
        <v>5</v>
      </c>
      <c r="E109" s="74">
        <f t="shared" ref="E109:J109" si="64">_xlfn.RANK.EQ(E53,$D$53:$J$53,1)</f>
        <v>6</v>
      </c>
      <c r="F109" s="74">
        <f t="shared" si="64"/>
        <v>4</v>
      </c>
      <c r="G109" s="74">
        <f t="shared" si="64"/>
        <v>1</v>
      </c>
      <c r="H109" s="74">
        <f t="shared" si="64"/>
        <v>3</v>
      </c>
      <c r="I109" s="74">
        <f t="shared" si="64"/>
        <v>2</v>
      </c>
      <c r="J109" s="298">
        <f t="shared" si="64"/>
        <v>7</v>
      </c>
    </row>
    <row r="110" spans="3:12" x14ac:dyDescent="0.35">
      <c r="C110" s="118"/>
      <c r="D110" s="56"/>
      <c r="E110" s="56"/>
      <c r="F110" s="56"/>
      <c r="G110" s="56"/>
      <c r="H110" s="56"/>
      <c r="I110" s="56"/>
      <c r="J110" s="119"/>
    </row>
    <row r="111" spans="3:12" x14ac:dyDescent="0.35">
      <c r="C111" s="216" t="s">
        <v>96</v>
      </c>
      <c r="D111" s="294">
        <f t="shared" ref="D111:J111" si="65">SUM(D104:D109)</f>
        <v>26</v>
      </c>
      <c r="E111" s="294">
        <f t="shared" si="65"/>
        <v>39</v>
      </c>
      <c r="F111" s="294">
        <f t="shared" si="65"/>
        <v>28</v>
      </c>
      <c r="G111" s="294">
        <f t="shared" si="65"/>
        <v>14</v>
      </c>
      <c r="H111" s="294">
        <f t="shared" si="65"/>
        <v>24</v>
      </c>
      <c r="I111" s="294">
        <f t="shared" si="65"/>
        <v>18</v>
      </c>
      <c r="J111" s="299">
        <f t="shared" si="65"/>
        <v>19</v>
      </c>
    </row>
    <row r="112" spans="3:12" x14ac:dyDescent="0.35">
      <c r="C112" s="216"/>
      <c r="D112" s="56"/>
      <c r="E112" s="56"/>
      <c r="F112" s="56"/>
      <c r="G112" s="56"/>
      <c r="H112" s="56"/>
      <c r="I112" s="56"/>
      <c r="J112" s="119"/>
    </row>
    <row r="113" spans="3:12" ht="15" thickBot="1" x14ac:dyDescent="0.4">
      <c r="C113" s="217" t="s">
        <v>97</v>
      </c>
      <c r="D113" s="218">
        <f t="shared" ref="D113:J113" si="66">_xlfn.RANK.AVG(D111,$D$111:$J$111,1)</f>
        <v>5</v>
      </c>
      <c r="E113" s="218">
        <f t="shared" si="66"/>
        <v>7</v>
      </c>
      <c r="F113" s="218">
        <f t="shared" si="66"/>
        <v>6</v>
      </c>
      <c r="G113" s="218">
        <f t="shared" si="66"/>
        <v>1</v>
      </c>
      <c r="H113" s="218">
        <f t="shared" si="66"/>
        <v>4</v>
      </c>
      <c r="I113" s="218">
        <f t="shared" si="66"/>
        <v>2</v>
      </c>
      <c r="J113" s="300">
        <f t="shared" si="66"/>
        <v>3</v>
      </c>
    </row>
    <row r="126" spans="3:12" x14ac:dyDescent="0.35">
      <c r="L126" s="12"/>
    </row>
    <row r="129" ht="15.65" customHeight="1" x14ac:dyDescent="0.35"/>
  </sheetData>
  <mergeCells count="33">
    <mergeCell ref="M21:U21"/>
    <mergeCell ref="M31:U31"/>
    <mergeCell ref="M26:U26"/>
    <mergeCell ref="M36:U36"/>
    <mergeCell ref="M46:U46"/>
    <mergeCell ref="C92:K92"/>
    <mergeCell ref="C29:K29"/>
    <mergeCell ref="C38:K38"/>
    <mergeCell ref="C20:K20"/>
    <mergeCell ref="C82:K82"/>
    <mergeCell ref="C47:K47"/>
    <mergeCell ref="M57:U57"/>
    <mergeCell ref="M58:U58"/>
    <mergeCell ref="C77:K77"/>
    <mergeCell ref="C72:K72"/>
    <mergeCell ref="C62:K62"/>
    <mergeCell ref="C67:K67"/>
    <mergeCell ref="C103:J103"/>
    <mergeCell ref="C87:K87"/>
    <mergeCell ref="C57:K57"/>
    <mergeCell ref="W2:AD2"/>
    <mergeCell ref="W1:AD1"/>
    <mergeCell ref="C1:K1"/>
    <mergeCell ref="M1:U1"/>
    <mergeCell ref="C11:K11"/>
    <mergeCell ref="M11:U11"/>
    <mergeCell ref="C2:K2"/>
    <mergeCell ref="M2:U2"/>
    <mergeCell ref="W10:AE10"/>
    <mergeCell ref="C97:K97"/>
    <mergeCell ref="W11:AE11"/>
    <mergeCell ref="M51:U51"/>
    <mergeCell ref="M41:U41"/>
  </mergeCells>
  <phoneticPr fontId="3" type="noConversion"/>
  <conditionalFormatting sqref="D9:J9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T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1:J11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:J1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3:J11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7:J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:K7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4:AD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4:U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3:K1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J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:J7">
    <cfRule type="cellIs" dxfId="13" priority="123" operator="greaterThanOrEqual">
      <formula>AVERAGE($D$8:$J$8)</formula>
    </cfRule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T7">
    <cfRule type="cellIs" dxfId="12" priority="121" operator="greaterThanOrEqual">
      <formula>AVERAGE($N$8:$T$8)</formula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J3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:J16">
    <cfRule type="cellIs" dxfId="11" priority="117" operator="greaterThanOrEqual">
      <formula>AVERAGE($D$17:$J$17)</formula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:T1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16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T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5">
    <cfRule type="colorScale" priority="1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1:K34">
    <cfRule type="colorScale" priority="1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98:K10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2:AE1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93:J9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3:K9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59:U6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J4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0:J4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0:K43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J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8:A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J5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9:J5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9:K5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04:J109">
    <cfRule type="colorScale" priority="132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387B2-C073-405C-86A2-06CAFF81BCDC}">
  <sheetPr codeName="Sheet22">
    <tabColor theme="5" tint="-0.249977111117893"/>
  </sheetPr>
  <dimension ref="B1:AN75"/>
  <sheetViews>
    <sheetView workbookViewId="0">
      <selection activeCell="M5" sqref="M5"/>
    </sheetView>
  </sheetViews>
  <sheetFormatPr defaultRowHeight="14.5" x14ac:dyDescent="0.35"/>
  <cols>
    <col min="1" max="1" width="1.6328125" customWidth="1"/>
    <col min="2" max="2" width="13.6328125" hidden="1" customWidth="1"/>
    <col min="3" max="3" width="23.90625" bestFit="1" customWidth="1"/>
    <col min="4" max="6" width="11.36328125" bestFit="1" customWidth="1"/>
    <col min="7" max="7" width="11.54296875" bestFit="1" customWidth="1"/>
    <col min="8" max="10" width="11.36328125" bestFit="1" customWidth="1"/>
    <col min="11" max="11" width="1.6328125" customWidth="1"/>
    <col min="12" max="12" width="7.453125" bestFit="1" customWidth="1"/>
    <col min="13" max="14" width="8.36328125" bestFit="1" customWidth="1"/>
    <col min="15" max="15" width="11.54296875" bestFit="1" customWidth="1"/>
    <col min="16" max="16" width="9" bestFit="1" customWidth="1"/>
    <col min="17" max="17" width="7" bestFit="1" customWidth="1"/>
    <col min="18" max="18" width="8.6328125" bestFit="1" customWidth="1"/>
    <col min="19" max="19" width="1.6328125" customWidth="1"/>
    <col min="20" max="20" width="6.90625" bestFit="1" customWidth="1"/>
    <col min="21" max="21" width="7" bestFit="1" customWidth="1"/>
    <col min="22" max="22" width="4.90625" bestFit="1" customWidth="1"/>
    <col min="23" max="24" width="7" bestFit="1" customWidth="1"/>
    <col min="25" max="25" width="4.90625" bestFit="1" customWidth="1"/>
    <col min="26" max="27" width="7" bestFit="1" customWidth="1"/>
    <col min="28" max="28" width="4.90625" bestFit="1" customWidth="1"/>
    <col min="29" max="30" width="7" bestFit="1" customWidth="1"/>
    <col min="31" max="31" width="4.90625" bestFit="1" customWidth="1"/>
    <col min="32" max="32" width="6.90625" bestFit="1" customWidth="1"/>
    <col min="33" max="33" width="7" bestFit="1" customWidth="1"/>
    <col min="34" max="34" width="4.90625" bestFit="1" customWidth="1"/>
    <col min="35" max="36" width="7" bestFit="1" customWidth="1"/>
    <col min="37" max="37" width="4.90625" bestFit="1" customWidth="1"/>
    <col min="38" max="39" width="7" bestFit="1" customWidth="1"/>
    <col min="40" max="40" width="4.90625" bestFit="1" customWidth="1"/>
  </cols>
  <sheetData>
    <row r="1" spans="3:40" ht="15" thickBot="1" x14ac:dyDescent="0.4"/>
    <row r="2" spans="3:40" x14ac:dyDescent="0.35">
      <c r="C2" s="5"/>
      <c r="D2" s="319" t="s">
        <v>45</v>
      </c>
      <c r="E2" s="319" t="s">
        <v>46</v>
      </c>
      <c r="F2" s="319" t="s">
        <v>47</v>
      </c>
      <c r="G2" s="319" t="s">
        <v>48</v>
      </c>
      <c r="H2" s="319" t="s">
        <v>49</v>
      </c>
      <c r="I2" s="319" t="s">
        <v>50</v>
      </c>
      <c r="J2" s="320" t="s">
        <v>51</v>
      </c>
    </row>
    <row r="3" spans="3:40" x14ac:dyDescent="0.35">
      <c r="C3" s="287" t="s">
        <v>174</v>
      </c>
      <c r="D3" s="56">
        <f>_xlfn.MODE.SNGL(V18,V27,V36,V45,V54,V63)</f>
        <v>3</v>
      </c>
      <c r="E3" s="56">
        <f>_xlfn.MODE.SNGL(Y18,Y27,Y36,Y45,Y54,Y63)</f>
        <v>2</v>
      </c>
      <c r="F3" s="56">
        <f>_xlfn.MODE.SNGL(AB18,AB27,AB36,AB45,AB54,AB63)</f>
        <v>3</v>
      </c>
      <c r="G3" s="56">
        <f>_xlfn.MODE.SNGL(AE18,AE27,AE36,AE45,AE54,AE63)</f>
        <v>1</v>
      </c>
      <c r="H3" s="56">
        <f>_xlfn.MODE.SNGL(AH18,AH27,AH36,AH45,AH54,AH63)</f>
        <v>3</v>
      </c>
      <c r="I3" s="56">
        <f>_xlfn.MODE.SNGL(AK18,AK27,AK36,AK45,AK54,AK63)</f>
        <v>2</v>
      </c>
      <c r="J3" s="119">
        <f>_xlfn.MODE.SNGL(AN18,AN27,AN36,AN45,AN54,AN63)</f>
        <v>2</v>
      </c>
    </row>
    <row r="4" spans="3:40" x14ac:dyDescent="0.35">
      <c r="C4" s="287" t="s">
        <v>80</v>
      </c>
      <c r="D4" s="56">
        <f>_xlfn.MODE.SNGL(V19,V28,V37,V46,V55,V64)</f>
        <v>1</v>
      </c>
      <c r="E4" s="56">
        <f>_xlfn.MODE.SNGL(Y19,Y28,Y37,Y46,Y55,Y64)</f>
        <v>1</v>
      </c>
      <c r="F4" s="56">
        <f>_xlfn.MODE.SNGL(AB19,AB28,AB37,AB46,AB55,AB64)</f>
        <v>1</v>
      </c>
      <c r="G4" s="56">
        <f>_xlfn.MODE.SNGL(AE19,AE28,AE37,AE46,AE55,AE64)</f>
        <v>2</v>
      </c>
      <c r="H4" s="56">
        <f>_xlfn.MODE.SNGL(AH19,AH28,AH37,AH46,AH55,AH64)</f>
        <v>2</v>
      </c>
      <c r="I4" s="56">
        <f>_xlfn.MODE.SNGL(AK19,AK28,AK37,AK46,AK55,AK64)</f>
        <v>2</v>
      </c>
      <c r="J4" s="119">
        <f>_xlfn.MODE.SNGL(AN19,AN28,AN37,AN46,AN55,AN64)</f>
        <v>2</v>
      </c>
    </row>
    <row r="5" spans="3:40" x14ac:dyDescent="0.35">
      <c r="C5" s="287" t="s">
        <v>82</v>
      </c>
      <c r="D5" s="56">
        <f>_xlfn.MODE.SNGL(V20,V29,V38,V47,V56,V65)</f>
        <v>3</v>
      </c>
      <c r="E5" s="56">
        <f>_xlfn.MODE.SNGL(Y20,Y29,Y38,Y47,Y56,Y65)</f>
        <v>3</v>
      </c>
      <c r="F5" s="56">
        <f>_xlfn.MODE.SNGL(AB20,AB29,AB38,AB47,AB56,AB65)</f>
        <v>3</v>
      </c>
      <c r="G5" s="56">
        <f>_xlfn.MODE.SNGL(AE20,AE29,AE38,AE47,AE56,AE65)</f>
        <v>2</v>
      </c>
      <c r="H5" s="56">
        <f>_xlfn.MODE.SNGL(AH20,AH29,AH38,AH47,AH56,AH65)</f>
        <v>3</v>
      </c>
      <c r="I5" s="56">
        <f>_xlfn.MODE.SNGL(AK20,AK29,AK38,AK47,AK56,AK65)</f>
        <v>1</v>
      </c>
      <c r="J5" s="119">
        <f>_xlfn.MODE.SNGL(AN20,AN29,AN38,AN47,AN56,AN65)</f>
        <v>3</v>
      </c>
    </row>
    <row r="6" spans="3:40" ht="15" thickBot="1" x14ac:dyDescent="0.4">
      <c r="C6" s="317" t="s">
        <v>85</v>
      </c>
      <c r="D6" s="78">
        <f>_xlfn.MODE.SNGL(V21,V30,V39,V48,V57,V66)</f>
        <v>3</v>
      </c>
      <c r="E6" s="78">
        <f>_xlfn.MODE.SNGL(Y21,Y30,Y39,Y48,Y57,Y66)</f>
        <v>3</v>
      </c>
      <c r="F6" s="78">
        <f>_xlfn.MODE.SNGL(AB21,AB30,AB39,AB48,AB57,AB66)</f>
        <v>1</v>
      </c>
      <c r="G6" s="78">
        <f>_xlfn.MODE.SNGL(AE21,AE30,AE39,AE48,AE57,AE66)</f>
        <v>3</v>
      </c>
      <c r="H6" s="78">
        <f>_xlfn.MODE.SNGL(AH21,AH30,AH39,AH48,AH57,AH66)</f>
        <v>3</v>
      </c>
      <c r="I6" s="78">
        <f>_xlfn.MODE.SNGL(AK21,AK30,AK39,AK48,AK57,AK66)</f>
        <v>1</v>
      </c>
      <c r="J6" s="318">
        <f>_xlfn.MODE.SNGL(AN21,AN30,AN39,AN48,AN57,AN66)</f>
        <v>2</v>
      </c>
    </row>
    <row r="7" spans="3:40" ht="15" thickBot="1" x14ac:dyDescent="0.4"/>
    <row r="8" spans="3:40" x14ac:dyDescent="0.35">
      <c r="C8" s="5"/>
      <c r="D8" s="319" t="s">
        <v>45</v>
      </c>
      <c r="E8" s="319" t="s">
        <v>46</v>
      </c>
      <c r="F8" s="319" t="s">
        <v>47</v>
      </c>
      <c r="G8" s="319" t="s">
        <v>48</v>
      </c>
      <c r="H8" s="319" t="s">
        <v>49</v>
      </c>
      <c r="I8" s="319" t="s">
        <v>50</v>
      </c>
      <c r="J8" s="320" t="s">
        <v>51</v>
      </c>
    </row>
    <row r="9" spans="3:40" x14ac:dyDescent="0.35">
      <c r="C9" s="287" t="s">
        <v>174</v>
      </c>
      <c r="D9" s="56" t="str" cm="1">
        <f t="array" ref="D9">_xlfn.IFS(D3=1,"Hourly", D3=2, "Order", D3=3, "Hourly-Test")</f>
        <v>Hourly-Test</v>
      </c>
      <c r="E9" s="56" t="str" cm="1">
        <f t="array" ref="E9">_xlfn.IFS(E3=1,"Hourly", E3=2, "Order", E3=3, "Hourly-Test")</f>
        <v>Order</v>
      </c>
      <c r="F9" s="56" t="str" cm="1">
        <f t="array" ref="F9">_xlfn.IFS(F3=1,"Hourly", F3=2, "Order", F3=3, "Hourly-Test")</f>
        <v>Hourly-Test</v>
      </c>
      <c r="G9" s="56" t="str" cm="1">
        <f t="array" ref="G9">_xlfn.IFS(G3=1,"Hourly", G3=2, "Order", G3=3, "Hourly-Test")</f>
        <v>Hourly</v>
      </c>
      <c r="H9" s="56" t="str" cm="1">
        <f t="array" ref="H9">_xlfn.IFS(H3=1,"Hourly", H3=2, "Order", H3=3, "Hourly-Test")</f>
        <v>Hourly-Test</v>
      </c>
      <c r="I9" s="56" t="str" cm="1">
        <f t="array" ref="I9">_xlfn.IFS(I3=1,"Hourly", I3=2, "Order", I3=3, "Hourly-Test")</f>
        <v>Order</v>
      </c>
      <c r="J9" s="119" t="str" cm="1">
        <f t="array" ref="J9">_xlfn.IFS(J3=1,"Hourly", J3=2, "Order", J3=3, "Hourly-Test")</f>
        <v>Order</v>
      </c>
    </row>
    <row r="10" spans="3:40" x14ac:dyDescent="0.35">
      <c r="C10" s="287" t="s">
        <v>80</v>
      </c>
      <c r="D10" s="56" t="str" cm="1">
        <f t="array" ref="D10">_xlfn.IFS(D4=1,"Hourly", D4=2, "Order", D4=3, "Hourly-Test")</f>
        <v>Hourly</v>
      </c>
      <c r="E10" s="56" t="str" cm="1">
        <f t="array" ref="E10">_xlfn.IFS(E4=1,"Hourly", E4=2, "Order", E4=3, "Hourly-Test")</f>
        <v>Hourly</v>
      </c>
      <c r="F10" s="56" t="str" cm="1">
        <f t="array" ref="F10">_xlfn.IFS(F4=1,"Hourly", F4=2, "Order", F4=3, "Hourly-Test")</f>
        <v>Hourly</v>
      </c>
      <c r="G10" s="56" t="str" cm="1">
        <f t="array" ref="G10">_xlfn.IFS(G4=1,"Hourly", G4=2, "Order", G4=3, "Hourly-Test")</f>
        <v>Order</v>
      </c>
      <c r="H10" s="56" t="str" cm="1">
        <f t="array" ref="H10">_xlfn.IFS(H4=1,"Hourly", H4=2, "Order", H4=3, "Hourly-Test")</f>
        <v>Order</v>
      </c>
      <c r="I10" s="56" t="str" cm="1">
        <f t="array" ref="I10">_xlfn.IFS(I4=1,"Hourly", I4=2, "Order", I4=3, "Hourly-Test")</f>
        <v>Order</v>
      </c>
      <c r="J10" s="119" t="str" cm="1">
        <f t="array" ref="J10">_xlfn.IFS(J4=1,"Hourly", J4=2, "Order", J4=3, "Hourly-Test")</f>
        <v>Order</v>
      </c>
    </row>
    <row r="11" spans="3:40" x14ac:dyDescent="0.35">
      <c r="C11" s="287" t="s">
        <v>82</v>
      </c>
      <c r="D11" s="56" t="str" cm="1">
        <f t="array" ref="D11">_xlfn.IFS(D5=1,"Hourly", D5=2, "Order", D5=3, "Hourly-Test")</f>
        <v>Hourly-Test</v>
      </c>
      <c r="E11" s="56" t="str" cm="1">
        <f t="array" ref="E11">_xlfn.IFS(E5=1,"Hourly", E5=2, "Order", E5=3, "Hourly-Test")</f>
        <v>Hourly-Test</v>
      </c>
      <c r="F11" s="56" t="str" cm="1">
        <f t="array" ref="F11">_xlfn.IFS(F5=1,"Hourly", F5=2, "Order", F5=3, "Hourly-Test")</f>
        <v>Hourly-Test</v>
      </c>
      <c r="G11" s="56" t="str" cm="1">
        <f t="array" ref="G11">_xlfn.IFS(G5=1,"Hourly", G5=2, "Order", G5=3, "Hourly-Test")</f>
        <v>Order</v>
      </c>
      <c r="H11" s="56" t="str" cm="1">
        <f t="array" ref="H11">_xlfn.IFS(H5=1,"Hourly", H5=2, "Order", H5=3, "Hourly-Test")</f>
        <v>Hourly-Test</v>
      </c>
      <c r="I11" s="56" t="str" cm="1">
        <f t="array" ref="I11">_xlfn.IFS(I5=1,"Hourly", I5=2, "Order", I5=3, "Hourly-Test")</f>
        <v>Hourly</v>
      </c>
      <c r="J11" s="119" t="str" cm="1">
        <f t="array" ref="J11">_xlfn.IFS(J5=1,"Hourly", J5=2, "Order", J5=3, "Hourly-Test")</f>
        <v>Hourly-Test</v>
      </c>
    </row>
    <row r="12" spans="3:40" ht="15" thickBot="1" x14ac:dyDescent="0.4">
      <c r="C12" s="317" t="s">
        <v>85</v>
      </c>
      <c r="D12" s="78" t="str" cm="1">
        <f t="array" ref="D12">_xlfn.IFS(D6=1,"Hourly", D6=2, "Order", D6=3, "Hourly-Test")</f>
        <v>Hourly-Test</v>
      </c>
      <c r="E12" s="78" t="str" cm="1">
        <f t="array" ref="E12">_xlfn.IFS(E6=1,"Hourly", E6=2, "Order", E6=3, "Hourly-Test")</f>
        <v>Hourly-Test</v>
      </c>
      <c r="F12" s="78" t="str" cm="1">
        <f t="array" ref="F12">_xlfn.IFS(F6=1,"Hourly", F6=2, "Order", F6=3, "Hourly-Test")</f>
        <v>Hourly</v>
      </c>
      <c r="G12" s="78" t="str" cm="1">
        <f t="array" ref="G12">_xlfn.IFS(G6=1,"Hourly", G6=2, "Order", G6=3, "Hourly-Test")</f>
        <v>Hourly-Test</v>
      </c>
      <c r="H12" s="78" t="str" cm="1">
        <f t="array" ref="H12">_xlfn.IFS(H6=1,"Hourly", H6=2, "Order", H6=3, "Hourly-Test")</f>
        <v>Hourly-Test</v>
      </c>
      <c r="I12" s="78" t="str" cm="1">
        <f t="array" ref="I12">_xlfn.IFS(I6=1,"Hourly", I6=2, "Order", I6=3, "Hourly-Test")</f>
        <v>Hourly</v>
      </c>
      <c r="J12" s="318" t="str" cm="1">
        <f t="array" ref="J12">_xlfn.IFS(J6=1,"Hourly", J6=2, "Order", J6=3, "Hourly-Test")</f>
        <v>Order</v>
      </c>
    </row>
    <row r="15" spans="3:40" x14ac:dyDescent="0.35">
      <c r="C15" s="536" t="s">
        <v>323</v>
      </c>
      <c r="D15" s="537"/>
      <c r="E15" s="537"/>
      <c r="F15" s="537"/>
      <c r="G15" s="537"/>
      <c r="H15" s="537"/>
      <c r="I15" s="537"/>
      <c r="J15" s="537"/>
      <c r="L15" s="512" t="s">
        <v>324</v>
      </c>
      <c r="M15" s="512"/>
      <c r="N15" s="512"/>
      <c r="O15" s="512"/>
      <c r="P15" s="512"/>
      <c r="Q15" s="512"/>
      <c r="R15" s="512"/>
    </row>
    <row r="16" spans="3:40" x14ac:dyDescent="0.35">
      <c r="C16" s="491" t="s">
        <v>309</v>
      </c>
      <c r="D16" s="491"/>
      <c r="E16" s="491"/>
      <c r="F16" s="491"/>
      <c r="G16" s="491"/>
      <c r="H16" s="491"/>
      <c r="I16" s="491"/>
      <c r="J16" s="491"/>
      <c r="K16" s="491"/>
      <c r="L16" s="491"/>
      <c r="M16" s="491"/>
      <c r="N16" s="491"/>
      <c r="O16" s="491"/>
      <c r="P16" s="491"/>
      <c r="Q16" s="491"/>
      <c r="R16" s="491"/>
      <c r="T16" s="527" t="s">
        <v>45</v>
      </c>
      <c r="U16" s="527"/>
      <c r="V16" s="527"/>
      <c r="W16" s="527" t="s">
        <v>46</v>
      </c>
      <c r="X16" s="527"/>
      <c r="Y16" s="527"/>
      <c r="Z16" s="527" t="s">
        <v>47</v>
      </c>
      <c r="AA16" s="527"/>
      <c r="AB16" s="527"/>
      <c r="AC16" s="527" t="s">
        <v>48</v>
      </c>
      <c r="AD16" s="527"/>
      <c r="AE16" s="527"/>
      <c r="AF16" s="527" t="s">
        <v>49</v>
      </c>
      <c r="AG16" s="527"/>
      <c r="AH16" s="527"/>
      <c r="AI16" s="527" t="s">
        <v>50</v>
      </c>
      <c r="AJ16" s="527"/>
      <c r="AK16" s="527"/>
      <c r="AL16" s="527" t="s">
        <v>51</v>
      </c>
      <c r="AM16" s="527"/>
      <c r="AN16" s="527"/>
    </row>
    <row r="17" spans="2:40" x14ac:dyDescent="0.35">
      <c r="C17" s="97" t="s">
        <v>74</v>
      </c>
      <c r="D17" s="302" t="s">
        <v>45</v>
      </c>
      <c r="E17" s="302" t="s">
        <v>46</v>
      </c>
      <c r="F17" s="302" t="s">
        <v>47</v>
      </c>
      <c r="G17" s="302" t="s">
        <v>48</v>
      </c>
      <c r="H17" s="302" t="s">
        <v>49</v>
      </c>
      <c r="I17" s="302" t="s">
        <v>50</v>
      </c>
      <c r="J17" s="302" t="s">
        <v>51</v>
      </c>
      <c r="K17" s="321"/>
      <c r="L17" s="302" t="s">
        <v>45</v>
      </c>
      <c r="M17" s="302" t="s">
        <v>46</v>
      </c>
      <c r="N17" s="302" t="s">
        <v>47</v>
      </c>
      <c r="O17" s="302" t="s">
        <v>48</v>
      </c>
      <c r="P17" s="302" t="s">
        <v>49</v>
      </c>
      <c r="Q17" s="302" t="s">
        <v>50</v>
      </c>
      <c r="R17" s="302" t="s">
        <v>51</v>
      </c>
      <c r="T17" s="311" t="s">
        <v>175</v>
      </c>
      <c r="U17" s="311" t="s">
        <v>176</v>
      </c>
      <c r="V17" s="311" t="s">
        <v>41</v>
      </c>
      <c r="W17" s="311" t="s">
        <v>175</v>
      </c>
      <c r="X17" s="311" t="s">
        <v>176</v>
      </c>
      <c r="Y17" s="311" t="s">
        <v>41</v>
      </c>
      <c r="Z17" s="311" t="s">
        <v>175</v>
      </c>
      <c r="AA17" s="311" t="s">
        <v>176</v>
      </c>
      <c r="AB17" s="311" t="s">
        <v>41</v>
      </c>
      <c r="AC17" s="311" t="s">
        <v>175</v>
      </c>
      <c r="AD17" s="311" t="s">
        <v>176</v>
      </c>
      <c r="AE17" s="311" t="s">
        <v>41</v>
      </c>
      <c r="AF17" s="311" t="s">
        <v>175</v>
      </c>
      <c r="AG17" s="311" t="s">
        <v>176</v>
      </c>
      <c r="AH17" s="311" t="s">
        <v>41</v>
      </c>
      <c r="AI17" s="311" t="s">
        <v>175</v>
      </c>
      <c r="AJ17" s="311" t="s">
        <v>176</v>
      </c>
      <c r="AK17" s="311" t="s">
        <v>41</v>
      </c>
      <c r="AL17" s="311" t="s">
        <v>175</v>
      </c>
      <c r="AM17" s="311" t="s">
        <v>176</v>
      </c>
      <c r="AN17" s="311" t="s">
        <v>41</v>
      </c>
    </row>
    <row r="18" spans="2:40" x14ac:dyDescent="0.35">
      <c r="B18">
        <v>1</v>
      </c>
      <c r="C18" s="86" t="s">
        <v>174</v>
      </c>
      <c r="D18" s="309" t="str">
        <f>IFERROR(AVERAGEIFS(EarningsPerDay[Gross $/Hour],EarningsPerDay[Primary Area],$C18,EarningsPerDay[DOW],D$17,EarningsPerDay[Quarter],Scheduling!$R$17,EarningsPerDay[Type],"Hourly"),"")</f>
        <v/>
      </c>
      <c r="E18" s="309">
        <f>IFERROR(AVERAGEIFS(EarningsPerDay[Gross $/Hour],EarningsPerDay[Primary Area],$C18,EarningsPerDay[DOW],E$17,EarningsPerDay[Quarter],Scheduling!$R$17,EarningsPerDay[Type],"Hourly"),"")</f>
        <v>14.676609105180532</v>
      </c>
      <c r="F18" s="309" t="str">
        <f>IFERROR(AVERAGEIFS(EarningsPerDay[Gross $/Hour],EarningsPerDay[Primary Area],$C18,EarningsPerDay[DOW],F$17,EarningsPerDay[Quarter],Scheduling!$R$17,EarningsPerDay[Type],"Hourly"),"")</f>
        <v/>
      </c>
      <c r="G18" s="309">
        <f>IFERROR(AVERAGEIFS(EarningsPerDay[Gross $/Hour],EarningsPerDay[Primary Area],$C18,EarningsPerDay[DOW],G$17,EarningsPerDay[Quarter],Scheduling!$R$17,EarningsPerDay[Type],"Hourly"),"")</f>
        <v>17.08764940239044</v>
      </c>
      <c r="H18" s="309" t="str">
        <f>IFERROR(AVERAGEIFS(EarningsPerDay[Gross $/Hour],EarningsPerDay[Primary Area],$C18,EarningsPerDay[DOW],H$17,EarningsPerDay[Quarter],Scheduling!$R$17,EarningsPerDay[Type],"Hourly"),"")</f>
        <v/>
      </c>
      <c r="I18" s="309">
        <f>IFERROR(AVERAGEIFS(EarningsPerDay[Gross $/Hour],EarningsPerDay[Primary Area],$C18,EarningsPerDay[DOW],I$17,EarningsPerDay[Quarter],Scheduling!$R$17,EarningsPerDay[Type],"Hourly"),"")</f>
        <v>16.362857142857145</v>
      </c>
      <c r="J18" s="309">
        <f>IFERROR(AVERAGEIFS(EarningsPerDay[Gross $/Hour],EarningsPerDay[Primary Area],$C18,EarningsPerDay[DOW],J$17,EarningsPerDay[Quarter],Scheduling!$R$17,EarningsPerDay[Type],"Hourly"),"")</f>
        <v>21.21864282002425</v>
      </c>
      <c r="L18" s="309">
        <f>IFERROR(AVERAGEIFS(EarningsPerDay[Gross $/Hour],EarningsPerDay[Primary Area],$C18,EarningsPerDay[DOW],L$17,EarningsPerDay[Quarter],Scheduling!$R$17,EarningsPerDay[Type],"Order"),"")</f>
        <v>17.486244906939294</v>
      </c>
      <c r="M18" s="309">
        <f>IFERROR(AVERAGEIFS(EarningsPerDay[Gross $/Hour],EarningsPerDay[Primary Area],$C18,EarningsPerDay[DOW],M$17,EarningsPerDay[Quarter],Scheduling!$R$17,EarningsPerDay[Type],"Order"),"")</f>
        <v>20.536363636363635</v>
      </c>
      <c r="N18" s="309">
        <f>IFERROR(AVERAGEIFS(EarningsPerDay[Gross $/Hour],EarningsPerDay[Primary Area],$C18,EarningsPerDay[DOW],N$17,EarningsPerDay[Quarter],Scheduling!$R$17,EarningsPerDay[Type],"Order"),"")</f>
        <v>19.34996707060392</v>
      </c>
      <c r="O18" s="309">
        <f>IFERROR(AVERAGEIFS(EarningsPerDay[Gross $/Hour],EarningsPerDay[Primary Area],$C18,EarningsPerDay[DOW],O$17,EarningsPerDay[Quarter],Scheduling!$R$17,EarningsPerDay[Type],"Order"),"")</f>
        <v>14.748538011695906</v>
      </c>
      <c r="P18" s="309">
        <f>IFERROR(AVERAGEIFS(EarningsPerDay[Gross $/Hour],EarningsPerDay[Primary Area],$C18,EarningsPerDay[DOW],P$17,EarningsPerDay[Quarter],Scheduling!$R$17,EarningsPerDay[Type],"Order"),"")</f>
        <v>16.234094017094019</v>
      </c>
      <c r="Q18" s="309">
        <f>IFERROR(AVERAGEIFS(EarningsPerDay[Gross $/Hour],EarningsPerDay[Primary Area],$C18,EarningsPerDay[DOW],Q$17,EarningsPerDay[Quarter],Scheduling!$R$17,EarningsPerDay[Type],"Order"),"")</f>
        <v>21.589743589743591</v>
      </c>
      <c r="R18" s="309">
        <f>IFERROR(AVERAGEIFS(EarningsPerDay[Gross $/Hour],EarningsPerDay[Primary Area],$C18,EarningsPerDay[DOW],R$17,EarningsPerDay[Quarter],Scheduling!$R$17,EarningsPerDay[Type],"Order"),"")</f>
        <v>21.85672514619883</v>
      </c>
      <c r="T18" s="312" t="str">
        <f>D18</f>
        <v/>
      </c>
      <c r="U18" s="312">
        <f>L18</f>
        <v>17.486244906939294</v>
      </c>
      <c r="V18" s="313">
        <f>IF(COUNTBLANK(T18:U18)&gt;0,3,MATCH(MAX(T18:U18),T18:U18,0))</f>
        <v>3</v>
      </c>
      <c r="W18" s="312">
        <f>E18</f>
        <v>14.676609105180532</v>
      </c>
      <c r="X18" s="312">
        <f>M18</f>
        <v>20.536363636363635</v>
      </c>
      <c r="Y18" s="313">
        <f>IF(COUNTBLANK(W18:X18)&gt;0,3,MATCH(MAX(W18:X18),W18:X18,0))</f>
        <v>2</v>
      </c>
      <c r="Z18" s="312" t="str">
        <f>F18</f>
        <v/>
      </c>
      <c r="AA18" s="312">
        <f>N18</f>
        <v>19.34996707060392</v>
      </c>
      <c r="AB18" s="313">
        <f>IF(COUNTBLANK(Z18:AA18)&gt;0,3,MATCH(MAX(Z18:AA18),Z18:AA18,0))</f>
        <v>3</v>
      </c>
      <c r="AC18" s="312">
        <f>G18</f>
        <v>17.08764940239044</v>
      </c>
      <c r="AD18" s="312">
        <f>O18</f>
        <v>14.748538011695906</v>
      </c>
      <c r="AE18" s="313">
        <f>IF(COUNTBLANK(AC18:AD18)&gt;0,3,MATCH(MAX(AC18:AD18),AC18:AD18,0))</f>
        <v>1</v>
      </c>
      <c r="AF18" s="312" t="str">
        <f>H18</f>
        <v/>
      </c>
      <c r="AG18" s="312">
        <f>P18</f>
        <v>16.234094017094019</v>
      </c>
      <c r="AH18" s="313">
        <f>IF(COUNTBLANK(AF18:AG18)&gt;0,3,MATCH(MAX(AF18:AG18),AF18:AG18,0))</f>
        <v>3</v>
      </c>
      <c r="AI18" s="312">
        <f>I18</f>
        <v>16.362857142857145</v>
      </c>
      <c r="AJ18" s="312">
        <f>Q18</f>
        <v>21.589743589743591</v>
      </c>
      <c r="AK18" s="313">
        <f>IF(COUNTBLANK(AI18:AJ18)&gt;0,3,MATCH(MAX(AI18:AJ18),AI18:AJ18,0))</f>
        <v>2</v>
      </c>
      <c r="AL18" s="312">
        <f>J18</f>
        <v>21.21864282002425</v>
      </c>
      <c r="AM18" s="312">
        <f>R18</f>
        <v>21.85672514619883</v>
      </c>
      <c r="AN18" s="313">
        <f>IF(COUNTBLANK(AL18:AM18)&gt;0,3,MATCH(MAX(AL18:AM18),AL18:AM18,0))</f>
        <v>2</v>
      </c>
    </row>
    <row r="19" spans="2:40" x14ac:dyDescent="0.35">
      <c r="B19">
        <v>2</v>
      </c>
      <c r="C19" s="86" t="s">
        <v>80</v>
      </c>
      <c r="D19" s="309">
        <f>IFERROR(AVERAGEIFS(EarningsPerDay[Gross $/Hour],EarningsPerDay[Primary Area],$C19,EarningsPerDay[DOW],D$17,EarningsPerDay[Quarter],Scheduling!$R$17,EarningsPerDay[Type],"Hourly"),"")</f>
        <v>18.658333333333328</v>
      </c>
      <c r="E19" s="309">
        <f>IFERROR(AVERAGEIFS(EarningsPerDay[Gross $/Hour],EarningsPerDay[Primary Area],$C19,EarningsPerDay[DOW],E$17,EarningsPerDay[Quarter],Scheduling!$R$17,EarningsPerDay[Type],"Hourly"),"")</f>
        <v>23.518950952959187</v>
      </c>
      <c r="F19" s="309">
        <f>IFERROR(AVERAGEIFS(EarningsPerDay[Gross $/Hour],EarningsPerDay[Primary Area],$C19,EarningsPerDay[DOW],F$17,EarningsPerDay[Quarter],Scheduling!$R$17,EarningsPerDay[Type],"Hourly"),"")</f>
        <v>21.554951130058768</v>
      </c>
      <c r="G19" s="309">
        <f>IFERROR(AVERAGEIFS(EarningsPerDay[Gross $/Hour],EarningsPerDay[Primary Area],$C19,EarningsPerDay[DOW],G$17,EarningsPerDay[Quarter],Scheduling!$R$17,EarningsPerDay[Type],"Hourly"),"")</f>
        <v>20.872549019607842</v>
      </c>
      <c r="H19" s="309">
        <f>IFERROR(AVERAGEIFS(EarningsPerDay[Gross $/Hour],EarningsPerDay[Primary Area],$C19,EarningsPerDay[DOW],H$17,EarningsPerDay[Quarter],Scheduling!$R$17,EarningsPerDay[Type],"Hourly"),"")</f>
        <v>23.530791788856305</v>
      </c>
      <c r="I19" s="309">
        <f>IFERROR(AVERAGEIFS(EarningsPerDay[Gross $/Hour],EarningsPerDay[Primary Area],$C19,EarningsPerDay[DOW],I$17,EarningsPerDay[Quarter],Scheduling!$R$17,EarningsPerDay[Type],"Hourly"),"")</f>
        <v>21.393904601176008</v>
      </c>
      <c r="J19" s="309">
        <f>IFERROR(AVERAGEIFS(EarningsPerDay[Gross $/Hour],EarningsPerDay[Primary Area],$C19,EarningsPerDay[DOW],J$17,EarningsPerDay[Quarter],Scheduling!$R$17,EarningsPerDay[Type],"Hourly"),"")</f>
        <v>20.911349425512498</v>
      </c>
      <c r="L19" s="309">
        <f>IFERROR(AVERAGEIFS(EarningsPerDay[Gross $/Hour],EarningsPerDay[Primary Area],$C19,EarningsPerDay[DOW],L$17,EarningsPerDay[Quarter],Scheduling!$R$17,EarningsPerDay[Type],"Order"),"")</f>
        <v>21.744611476161364</v>
      </c>
      <c r="M19" s="309">
        <f>IFERROR(AVERAGEIFS(EarningsPerDay[Gross $/Hour],EarningsPerDay[Primary Area],$C19,EarningsPerDay[DOW],M$17,EarningsPerDay[Quarter],Scheduling!$R$17,EarningsPerDay[Type],"Order"),"")</f>
        <v>20.985175900675159</v>
      </c>
      <c r="N19" s="309">
        <f>IFERROR(AVERAGEIFS(EarningsPerDay[Gross $/Hour],EarningsPerDay[Primary Area],$C19,EarningsPerDay[DOW],N$17,EarningsPerDay[Quarter],Scheduling!$R$17,EarningsPerDay[Type],"Order"),"")</f>
        <v>22.135257604395839</v>
      </c>
      <c r="O19" s="309">
        <f>IFERROR(AVERAGEIFS(EarningsPerDay[Gross $/Hour],EarningsPerDay[Primary Area],$C19,EarningsPerDay[DOW],O$17,EarningsPerDay[Quarter],Scheduling!$R$17,EarningsPerDay[Type],"Order"),"")</f>
        <v>23.190221559229201</v>
      </c>
      <c r="P19" s="309">
        <f>IFERROR(AVERAGEIFS(EarningsPerDay[Gross $/Hour],EarningsPerDay[Primary Area],$C19,EarningsPerDay[DOW],P$17,EarningsPerDay[Quarter],Scheduling!$R$17,EarningsPerDay[Type],"Order"),"")</f>
        <v>23.411233092964171</v>
      </c>
      <c r="Q19" s="309">
        <f>IFERROR(AVERAGEIFS(EarningsPerDay[Gross $/Hour],EarningsPerDay[Primary Area],$C19,EarningsPerDay[DOW],Q$17,EarningsPerDay[Quarter],Scheduling!$R$17,EarningsPerDay[Type],"Order"),"")</f>
        <v>23.993220470167351</v>
      </c>
      <c r="R19" s="309">
        <f>IFERROR(AVERAGEIFS(EarningsPerDay[Gross $/Hour],EarningsPerDay[Primary Area],$C19,EarningsPerDay[DOW],R$17,EarningsPerDay[Quarter],Scheduling!$R$17,EarningsPerDay[Type],"Order"),"")</f>
        <v>26.003189358989918</v>
      </c>
      <c r="T19" s="312">
        <f>D19</f>
        <v>18.658333333333328</v>
      </c>
      <c r="U19" s="312">
        <f>L19</f>
        <v>21.744611476161364</v>
      </c>
      <c r="V19" s="313">
        <f t="shared" ref="V19:V22" si="0">IF(COUNTBLANK(T19:U19)&gt;0,3,MATCH(MAX(T19:U19),T19:U19,0))</f>
        <v>2</v>
      </c>
      <c r="W19" s="312">
        <f>E19</f>
        <v>23.518950952959187</v>
      </c>
      <c r="X19" s="312">
        <f>M19</f>
        <v>20.985175900675159</v>
      </c>
      <c r="Y19" s="313">
        <f t="shared" ref="Y19:Y22" si="1">IF(COUNTBLANK(W19:X19)&gt;0,3,MATCH(MAX(W19:X19),W19:X19,0))</f>
        <v>1</v>
      </c>
      <c r="Z19" s="312">
        <f>F19</f>
        <v>21.554951130058768</v>
      </c>
      <c r="AA19" s="312">
        <f>N19</f>
        <v>22.135257604395839</v>
      </c>
      <c r="AB19" s="313">
        <f t="shared" ref="AB19:AB22" si="2">IF(COUNTBLANK(Z19:AA19)&gt;0,3,MATCH(MAX(Z19:AA19),Z19:AA19,0))</f>
        <v>2</v>
      </c>
      <c r="AC19" s="312">
        <f>G19</f>
        <v>20.872549019607842</v>
      </c>
      <c r="AD19" s="312">
        <f>O19</f>
        <v>23.190221559229201</v>
      </c>
      <c r="AE19" s="313">
        <f t="shared" ref="AE19:AE22" si="3">IF(COUNTBLANK(AC19:AD19)&gt;0,3,MATCH(MAX(AC19:AD19),AC19:AD19,0))</f>
        <v>2</v>
      </c>
      <c r="AF19" s="312">
        <f>H19</f>
        <v>23.530791788856305</v>
      </c>
      <c r="AG19" s="312">
        <f>P19</f>
        <v>23.411233092964171</v>
      </c>
      <c r="AH19" s="313">
        <f t="shared" ref="AH19:AH22" si="4">IF(COUNTBLANK(AF19:AG19)&gt;0,3,MATCH(MAX(AF19:AG19),AF19:AG19,0))</f>
        <v>1</v>
      </c>
      <c r="AI19" s="312">
        <f>I19</f>
        <v>21.393904601176008</v>
      </c>
      <c r="AJ19" s="312">
        <f>Q19</f>
        <v>23.993220470167351</v>
      </c>
      <c r="AK19" s="313">
        <f t="shared" ref="AK19:AK22" si="5">IF(COUNTBLANK(AI19:AJ19)&gt;0,3,MATCH(MAX(AI19:AJ19),AI19:AJ19,0))</f>
        <v>2</v>
      </c>
      <c r="AL19" s="312">
        <f>J19</f>
        <v>20.911349425512498</v>
      </c>
      <c r="AM19" s="312">
        <f>R19</f>
        <v>26.003189358989918</v>
      </c>
      <c r="AN19" s="313">
        <f t="shared" ref="AN19:AN22" si="6">IF(COUNTBLANK(AL19:AM19)&gt;0,3,MATCH(MAX(AL19:AM19),AL19:AM19,0))</f>
        <v>2</v>
      </c>
    </row>
    <row r="20" spans="2:40" x14ac:dyDescent="0.35">
      <c r="B20">
        <v>3</v>
      </c>
      <c r="C20" s="86" t="s">
        <v>82</v>
      </c>
      <c r="D20" s="309" t="str">
        <f>IFERROR(AVERAGEIFS(EarningsPerDay[Gross $/Hour],EarningsPerDay[Primary Area],$C20,EarningsPerDay[DOW],D$17,EarningsPerDay[Quarter],Scheduling!$R$17,EarningsPerDay[Type],"Hourly"),"")</f>
        <v/>
      </c>
      <c r="E20" s="309" t="str">
        <f>IFERROR(AVERAGEIFS(EarningsPerDay[Gross $/Hour],EarningsPerDay[Primary Area],$C20,EarningsPerDay[DOW],E$17,EarningsPerDay[Quarter],Scheduling!$R$17,EarningsPerDay[Type],"Hourly"),"")</f>
        <v/>
      </c>
      <c r="F20" s="309" t="str">
        <f>IFERROR(AVERAGEIFS(EarningsPerDay[Gross $/Hour],EarningsPerDay[Primary Area],$C20,EarningsPerDay[DOW],F$17,EarningsPerDay[Quarter],Scheduling!$R$17,EarningsPerDay[Type],"Hourly"),"")</f>
        <v/>
      </c>
      <c r="G20" s="309">
        <f>IFERROR(AVERAGEIFS(EarningsPerDay[Gross $/Hour],EarningsPerDay[Primary Area],$C20,EarningsPerDay[DOW],G$17,EarningsPerDay[Quarter],Scheduling!$R$17,EarningsPerDay[Type],"Hourly"),"")</f>
        <v>22.155303030303031</v>
      </c>
      <c r="H20" s="309" t="str">
        <f>IFERROR(AVERAGEIFS(EarningsPerDay[Gross $/Hour],EarningsPerDay[Primary Area],$C20,EarningsPerDay[DOW],H$17,EarningsPerDay[Quarter],Scheduling!$R$17,EarningsPerDay[Type],"Hourly"),"")</f>
        <v/>
      </c>
      <c r="I20" s="309">
        <f>IFERROR(AVERAGEIFS(EarningsPerDay[Gross $/Hour],EarningsPerDay[Primary Area],$C20,EarningsPerDay[DOW],I$17,EarningsPerDay[Quarter],Scheduling!$R$17,EarningsPerDay[Type],"Hourly"),"")</f>
        <v>27.513994910941477</v>
      </c>
      <c r="J20" s="309" t="str">
        <f>IFERROR(AVERAGEIFS(EarningsPerDay[Gross $/Hour],EarningsPerDay[Primary Area],$C20,EarningsPerDay[DOW],J$17,EarningsPerDay[Quarter],Scheduling!$R$17,EarningsPerDay[Type],"Hourly"),"")</f>
        <v/>
      </c>
      <c r="L20" s="309">
        <f>IFERROR(AVERAGEIFS(EarningsPerDay[Gross $/Hour],EarningsPerDay[Primary Area],$C20,EarningsPerDay[DOW],L$17,EarningsPerDay[Quarter],Scheduling!$R$17,EarningsPerDay[Type],"Order"),"")</f>
        <v>17.135977443609022</v>
      </c>
      <c r="M20" s="309">
        <f>IFERROR(AVERAGEIFS(EarningsPerDay[Gross $/Hour],EarningsPerDay[Primary Area],$C20,EarningsPerDay[DOW],M$17,EarningsPerDay[Quarter],Scheduling!$R$17,EarningsPerDay[Type],"Order"),"")</f>
        <v>15.405558092918222</v>
      </c>
      <c r="N20" s="309">
        <f>IFERROR(AVERAGEIFS(EarningsPerDay[Gross $/Hour],EarningsPerDay[Primary Area],$C20,EarningsPerDay[DOW],N$17,EarningsPerDay[Quarter],Scheduling!$R$17,EarningsPerDay[Type],"Order"),"")</f>
        <v>16.114668021680217</v>
      </c>
      <c r="O20" s="309">
        <f>IFERROR(AVERAGEIFS(EarningsPerDay[Gross $/Hour],EarningsPerDay[Primary Area],$C20,EarningsPerDay[DOW],O$17,EarningsPerDay[Quarter],Scheduling!$R$17,EarningsPerDay[Type],"Order"),"")</f>
        <v>23.036904794428981</v>
      </c>
      <c r="P20" s="309">
        <f>IFERROR(AVERAGEIFS(EarningsPerDay[Gross $/Hour],EarningsPerDay[Primary Area],$C20,EarningsPerDay[DOW],P$17,EarningsPerDay[Quarter],Scheduling!$R$17,EarningsPerDay[Type],"Order"),"")</f>
        <v>18.373203678997996</v>
      </c>
      <c r="Q20" s="309">
        <f>IFERROR(AVERAGEIFS(EarningsPerDay[Gross $/Hour],EarningsPerDay[Primary Area],$C20,EarningsPerDay[DOW],Q$17,EarningsPerDay[Quarter],Scheduling!$R$17,EarningsPerDay[Type],"Order"),"")</f>
        <v>22.481072791514531</v>
      </c>
      <c r="R20" s="309">
        <f>IFERROR(AVERAGEIFS(EarningsPerDay[Gross $/Hour],EarningsPerDay[Primary Area],$C20,EarningsPerDay[DOW],R$17,EarningsPerDay[Quarter],Scheduling!$R$17,EarningsPerDay[Type],"Order"),"")</f>
        <v>21.247833523186369</v>
      </c>
      <c r="T20" s="312" t="str">
        <f>D20</f>
        <v/>
      </c>
      <c r="U20" s="312">
        <f>L20</f>
        <v>17.135977443609022</v>
      </c>
      <c r="V20" s="313">
        <f t="shared" si="0"/>
        <v>3</v>
      </c>
      <c r="W20" s="312" t="str">
        <f>E20</f>
        <v/>
      </c>
      <c r="X20" s="312">
        <f>M20</f>
        <v>15.405558092918222</v>
      </c>
      <c r="Y20" s="313">
        <f t="shared" si="1"/>
        <v>3</v>
      </c>
      <c r="Z20" s="312" t="str">
        <f>F20</f>
        <v/>
      </c>
      <c r="AA20" s="312">
        <f>N20</f>
        <v>16.114668021680217</v>
      </c>
      <c r="AB20" s="313">
        <f t="shared" si="2"/>
        <v>3</v>
      </c>
      <c r="AC20" s="312">
        <f>G20</f>
        <v>22.155303030303031</v>
      </c>
      <c r="AD20" s="312">
        <f>O20</f>
        <v>23.036904794428981</v>
      </c>
      <c r="AE20" s="313">
        <f t="shared" si="3"/>
        <v>2</v>
      </c>
      <c r="AF20" s="312" t="str">
        <f>H20</f>
        <v/>
      </c>
      <c r="AG20" s="312">
        <f>P20</f>
        <v>18.373203678997996</v>
      </c>
      <c r="AH20" s="313">
        <f t="shared" si="4"/>
        <v>3</v>
      </c>
      <c r="AI20" s="312">
        <f>I20</f>
        <v>27.513994910941477</v>
      </c>
      <c r="AJ20" s="312">
        <f>Q20</f>
        <v>22.481072791514531</v>
      </c>
      <c r="AK20" s="313">
        <f t="shared" si="5"/>
        <v>1</v>
      </c>
      <c r="AL20" s="312" t="str">
        <f>J20</f>
        <v/>
      </c>
      <c r="AM20" s="312">
        <f>R20</f>
        <v>21.247833523186369</v>
      </c>
      <c r="AN20" s="313">
        <f t="shared" si="6"/>
        <v>3</v>
      </c>
    </row>
    <row r="21" spans="2:40" ht="15" thickBot="1" x14ac:dyDescent="0.4">
      <c r="B21">
        <v>4</v>
      </c>
      <c r="C21" s="87" t="s">
        <v>85</v>
      </c>
      <c r="D21" s="309" t="str">
        <f>IFERROR(AVERAGEIFS(EarningsPerDay[Gross $/Hour],EarningsPerDay[Primary Area],$C21,EarningsPerDay[DOW],D$17,EarningsPerDay[Quarter],Scheduling!$R$17,EarningsPerDay[Type],"Hourly"),"")</f>
        <v/>
      </c>
      <c r="E21" s="309" t="str">
        <f>IFERROR(AVERAGEIFS(EarningsPerDay[Gross $/Hour],EarningsPerDay[Primary Area],$C21,EarningsPerDay[DOW],E$17,EarningsPerDay[Quarter],Scheduling!$R$17,EarningsPerDay[Type],"Hourly"),"")</f>
        <v/>
      </c>
      <c r="F21" s="309">
        <f>IFERROR(AVERAGEIFS(EarningsPerDay[Gross $/Hour],EarningsPerDay[Primary Area],$C21,EarningsPerDay[DOW],F$17,EarningsPerDay[Quarter],Scheduling!$R$17,EarningsPerDay[Type],"Hourly"),"")</f>
        <v>23.869801084990957</v>
      </c>
      <c r="G21" s="309" t="str">
        <f>IFERROR(AVERAGEIFS(EarningsPerDay[Gross $/Hour],EarningsPerDay[Primary Area],$C21,EarningsPerDay[DOW],G$17,EarningsPerDay[Quarter],Scheduling!$R$17,EarningsPerDay[Type],"Hourly"),"")</f>
        <v/>
      </c>
      <c r="H21" s="309" t="str">
        <f>IFERROR(AVERAGEIFS(EarningsPerDay[Gross $/Hour],EarningsPerDay[Primary Area],$C21,EarningsPerDay[DOW],H$17,EarningsPerDay[Quarter],Scheduling!$R$17,EarningsPerDay[Type],"Hourly"),"")</f>
        <v/>
      </c>
      <c r="I21" s="309">
        <f>IFERROR(AVERAGEIFS(EarningsPerDay[Gross $/Hour],EarningsPerDay[Primary Area],$C21,EarningsPerDay[DOW],I$17,EarningsPerDay[Quarter],Scheduling!$R$17,EarningsPerDay[Type],"Hourly"),"")</f>
        <v>23.904079382579933</v>
      </c>
      <c r="J21" s="309">
        <f>IFERROR(AVERAGEIFS(EarningsPerDay[Gross $/Hour],EarningsPerDay[Primary Area],$C21,EarningsPerDay[DOW],J$17,EarningsPerDay[Quarter],Scheduling!$R$17,EarningsPerDay[Type],"Hourly"),"")</f>
        <v>20.2109375</v>
      </c>
      <c r="L21" s="309">
        <f>IFERROR(AVERAGEIFS(EarningsPerDay[Gross $/Hour],EarningsPerDay[Primary Area],$C21,EarningsPerDay[DOW],L$17,EarningsPerDay[Quarter],Scheduling!$R$17,EarningsPerDay[Type],"Order"),"")</f>
        <v>22.174659791227938</v>
      </c>
      <c r="M21" s="309">
        <f>IFERROR(AVERAGEIFS(EarningsPerDay[Gross $/Hour],EarningsPerDay[Primary Area],$C21,EarningsPerDay[DOW],M$17,EarningsPerDay[Quarter],Scheduling!$R$17,EarningsPerDay[Type],"Order"),"")</f>
        <v>20.900705379090031</v>
      </c>
      <c r="N21" s="309">
        <f>IFERROR(AVERAGEIFS(EarningsPerDay[Gross $/Hour],EarningsPerDay[Primary Area],$C21,EarningsPerDay[DOW],N$17,EarningsPerDay[Quarter],Scheduling!$R$17,EarningsPerDay[Type],"Order"),"")</f>
        <v>20.112600536193028</v>
      </c>
      <c r="O21" s="309">
        <f>IFERROR(AVERAGEIFS(EarningsPerDay[Gross $/Hour],EarningsPerDay[Primary Area],$C21,EarningsPerDay[DOW],O$17,EarningsPerDay[Quarter],Scheduling!$R$17,EarningsPerDay[Type],"Order"),"")</f>
        <v>19.220280516645627</v>
      </c>
      <c r="P21" s="309">
        <f>IFERROR(AVERAGEIFS(EarningsPerDay[Gross $/Hour],EarningsPerDay[Primary Area],$C21,EarningsPerDay[DOW],P$17,EarningsPerDay[Quarter],Scheduling!$R$17,EarningsPerDay[Type],"Order"),"")</f>
        <v>18.515865281955389</v>
      </c>
      <c r="Q21" s="309">
        <f>IFERROR(AVERAGEIFS(EarningsPerDay[Gross $/Hour],EarningsPerDay[Primary Area],$C21,EarningsPerDay[DOW],Q$17,EarningsPerDay[Quarter],Scheduling!$R$17,EarningsPerDay[Type],"Order"),"")</f>
        <v>22.236819757433707</v>
      </c>
      <c r="R21" s="309">
        <f>IFERROR(AVERAGEIFS(EarningsPerDay[Gross $/Hour],EarningsPerDay[Primary Area],$C21,EarningsPerDay[DOW],R$17,EarningsPerDay[Quarter],Scheduling!$R$17,EarningsPerDay[Type],"Order"),"")</f>
        <v>20.704291202654261</v>
      </c>
      <c r="T21" s="312" t="str">
        <f>D21</f>
        <v/>
      </c>
      <c r="U21" s="312">
        <f>L21</f>
        <v>22.174659791227938</v>
      </c>
      <c r="V21" s="313">
        <f t="shared" si="0"/>
        <v>3</v>
      </c>
      <c r="W21" s="312" t="str">
        <f>E21</f>
        <v/>
      </c>
      <c r="X21" s="312">
        <f>M21</f>
        <v>20.900705379090031</v>
      </c>
      <c r="Y21" s="313">
        <f t="shared" si="1"/>
        <v>3</v>
      </c>
      <c r="Z21" s="312">
        <f>F21</f>
        <v>23.869801084990957</v>
      </c>
      <c r="AA21" s="312">
        <f>N21</f>
        <v>20.112600536193028</v>
      </c>
      <c r="AB21" s="313">
        <f t="shared" si="2"/>
        <v>1</v>
      </c>
      <c r="AC21" s="312" t="str">
        <f>G21</f>
        <v/>
      </c>
      <c r="AD21" s="312">
        <f>O21</f>
        <v>19.220280516645627</v>
      </c>
      <c r="AE21" s="313">
        <f t="shared" si="3"/>
        <v>3</v>
      </c>
      <c r="AF21" s="312" t="str">
        <f>H21</f>
        <v/>
      </c>
      <c r="AG21" s="312">
        <f>P21</f>
        <v>18.515865281955389</v>
      </c>
      <c r="AH21" s="313">
        <f t="shared" si="4"/>
        <v>3</v>
      </c>
      <c r="AI21" s="312">
        <f>I21</f>
        <v>23.904079382579933</v>
      </c>
      <c r="AJ21" s="312">
        <f>Q21</f>
        <v>22.236819757433707</v>
      </c>
      <c r="AK21" s="313">
        <f t="shared" si="5"/>
        <v>1</v>
      </c>
      <c r="AL21" s="312">
        <f>J21</f>
        <v>20.2109375</v>
      </c>
      <c r="AM21" s="312">
        <f>R21</f>
        <v>20.704291202654261</v>
      </c>
      <c r="AN21" s="313">
        <f t="shared" si="6"/>
        <v>2</v>
      </c>
    </row>
    <row r="22" spans="2:40" ht="15" thickBot="1" x14ac:dyDescent="0.4">
      <c r="C22" s="53" t="s">
        <v>41</v>
      </c>
      <c r="D22" s="62">
        <f t="shared" ref="D22:J22" si="7">MAX(D18:D21)</f>
        <v>18.658333333333328</v>
      </c>
      <c r="E22" s="62">
        <f t="shared" si="7"/>
        <v>23.518950952959187</v>
      </c>
      <c r="F22" s="62">
        <f t="shared" si="7"/>
        <v>23.869801084990957</v>
      </c>
      <c r="G22" s="62">
        <f t="shared" si="7"/>
        <v>22.155303030303031</v>
      </c>
      <c r="H22" s="62">
        <f t="shared" si="7"/>
        <v>23.530791788856305</v>
      </c>
      <c r="I22" s="62">
        <f t="shared" si="7"/>
        <v>27.513994910941477</v>
      </c>
      <c r="J22" s="62">
        <f t="shared" si="7"/>
        <v>21.21864282002425</v>
      </c>
      <c r="L22" s="62">
        <f t="shared" ref="L22:R22" si="8">MAX(L18:L21)</f>
        <v>22.174659791227938</v>
      </c>
      <c r="M22" s="62">
        <f t="shared" si="8"/>
        <v>20.985175900675159</v>
      </c>
      <c r="N22" s="62">
        <f t="shared" si="8"/>
        <v>22.135257604395839</v>
      </c>
      <c r="O22" s="62">
        <f t="shared" si="8"/>
        <v>23.190221559229201</v>
      </c>
      <c r="P22" s="62">
        <f t="shared" si="8"/>
        <v>23.411233092964171</v>
      </c>
      <c r="Q22" s="62">
        <f t="shared" si="8"/>
        <v>23.993220470167351</v>
      </c>
      <c r="R22" s="62">
        <f t="shared" si="8"/>
        <v>26.003189358989918</v>
      </c>
      <c r="T22" s="312">
        <f>D22</f>
        <v>18.658333333333328</v>
      </c>
      <c r="U22" s="312">
        <f>L22</f>
        <v>22.174659791227938</v>
      </c>
      <c r="V22" s="313">
        <f t="shared" si="0"/>
        <v>2</v>
      </c>
      <c r="W22" s="312">
        <f>E22</f>
        <v>23.518950952959187</v>
      </c>
      <c r="X22" s="312">
        <f>M22</f>
        <v>20.985175900675159</v>
      </c>
      <c r="Y22" s="313">
        <f t="shared" si="1"/>
        <v>1</v>
      </c>
      <c r="Z22" s="312">
        <f>F22</f>
        <v>23.869801084990957</v>
      </c>
      <c r="AA22" s="312">
        <f>N22</f>
        <v>22.135257604395839</v>
      </c>
      <c r="AB22" s="313">
        <f t="shared" si="2"/>
        <v>1</v>
      </c>
      <c r="AC22" s="312">
        <f>G22</f>
        <v>22.155303030303031</v>
      </c>
      <c r="AD22" s="312">
        <f>O22</f>
        <v>23.190221559229201</v>
      </c>
      <c r="AE22" s="313">
        <f t="shared" si="3"/>
        <v>2</v>
      </c>
      <c r="AF22" s="312">
        <f>H22</f>
        <v>23.530791788856305</v>
      </c>
      <c r="AG22" s="312">
        <f>P22</f>
        <v>23.411233092964171</v>
      </c>
      <c r="AH22" s="313">
        <f t="shared" si="4"/>
        <v>1</v>
      </c>
      <c r="AI22" s="312">
        <f>I22</f>
        <v>27.513994910941477</v>
      </c>
      <c r="AJ22" s="312">
        <f>Q22</f>
        <v>23.993220470167351</v>
      </c>
      <c r="AK22" s="313">
        <f t="shared" si="5"/>
        <v>1</v>
      </c>
      <c r="AL22" s="312">
        <f>J22</f>
        <v>21.21864282002425</v>
      </c>
      <c r="AM22" s="312">
        <f>R22</f>
        <v>26.003189358989918</v>
      </c>
      <c r="AN22" s="313">
        <f t="shared" si="6"/>
        <v>2</v>
      </c>
    </row>
    <row r="23" spans="2:40" ht="15" thickBot="1" x14ac:dyDescent="0.4">
      <c r="C23" s="53" t="s">
        <v>87</v>
      </c>
      <c r="D23" s="54">
        <f t="shared" ref="D23:J23" si="9">_xlfn.RANK.EQ(D22,$D$22:$J$22,0)</f>
        <v>7</v>
      </c>
      <c r="E23" s="54">
        <f t="shared" si="9"/>
        <v>4</v>
      </c>
      <c r="F23" s="54">
        <f t="shared" si="9"/>
        <v>2</v>
      </c>
      <c r="G23" s="54">
        <f t="shared" si="9"/>
        <v>5</v>
      </c>
      <c r="H23" s="54">
        <f t="shared" si="9"/>
        <v>3</v>
      </c>
      <c r="I23" s="54">
        <f t="shared" si="9"/>
        <v>1</v>
      </c>
      <c r="J23" s="54">
        <f t="shared" si="9"/>
        <v>6</v>
      </c>
      <c r="L23" s="54">
        <f>_xlfn.RANK.EQ(L22,$L$22:$R$22,0)</f>
        <v>5</v>
      </c>
      <c r="M23" s="54">
        <f t="shared" ref="M23:R23" si="10">_xlfn.RANK.EQ(M22,$L$22:$R$22,0)</f>
        <v>7</v>
      </c>
      <c r="N23" s="54">
        <f t="shared" si="10"/>
        <v>6</v>
      </c>
      <c r="O23" s="54">
        <f t="shared" si="10"/>
        <v>4</v>
      </c>
      <c r="P23" s="54">
        <f t="shared" si="10"/>
        <v>3</v>
      </c>
      <c r="Q23" s="54">
        <f t="shared" si="10"/>
        <v>2</v>
      </c>
      <c r="R23" s="54">
        <f t="shared" si="10"/>
        <v>1</v>
      </c>
      <c r="T23" s="528"/>
      <c r="U23" s="529"/>
      <c r="V23" s="529"/>
      <c r="W23" s="529"/>
      <c r="X23" s="529"/>
      <c r="Y23" s="529"/>
      <c r="Z23" s="529"/>
      <c r="AA23" s="529"/>
      <c r="AB23" s="529"/>
      <c r="AC23" s="529"/>
      <c r="AD23" s="529"/>
      <c r="AE23" s="529"/>
      <c r="AF23" s="529"/>
      <c r="AG23" s="529"/>
      <c r="AH23" s="529"/>
      <c r="AI23" s="529"/>
      <c r="AJ23" s="529"/>
      <c r="AK23" s="529"/>
      <c r="AL23" s="529"/>
      <c r="AM23" s="529"/>
      <c r="AN23" s="530"/>
    </row>
    <row r="24" spans="2:40" x14ac:dyDescent="0.35">
      <c r="T24" s="53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532"/>
    </row>
    <row r="25" spans="2:40" x14ac:dyDescent="0.35">
      <c r="C25" s="491" t="s">
        <v>95</v>
      </c>
      <c r="D25" s="491"/>
      <c r="E25" s="491"/>
      <c r="F25" s="491"/>
      <c r="G25" s="491"/>
      <c r="H25" s="491"/>
      <c r="I25" s="491"/>
      <c r="J25" s="491"/>
      <c r="K25" s="491"/>
      <c r="L25" s="491"/>
      <c r="M25" s="491"/>
      <c r="N25" s="491"/>
      <c r="O25" s="491"/>
      <c r="P25" s="491"/>
      <c r="Q25" s="491"/>
      <c r="R25" s="491"/>
      <c r="T25" s="53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532"/>
    </row>
    <row r="26" spans="2:40" x14ac:dyDescent="0.35">
      <c r="C26" s="97" t="s">
        <v>74</v>
      </c>
      <c r="D26" s="302" t="s">
        <v>45</v>
      </c>
      <c r="E26" s="302" t="s">
        <v>46</v>
      </c>
      <c r="F26" s="302" t="s">
        <v>47</v>
      </c>
      <c r="G26" s="302" t="s">
        <v>48</v>
      </c>
      <c r="H26" s="302" t="s">
        <v>49</v>
      </c>
      <c r="I26" s="302" t="s">
        <v>50</v>
      </c>
      <c r="J26" s="302" t="s">
        <v>51</v>
      </c>
      <c r="K26" s="321"/>
      <c r="L26" s="302" t="s">
        <v>45</v>
      </c>
      <c r="M26" s="302" t="s">
        <v>46</v>
      </c>
      <c r="N26" s="302" t="s">
        <v>47</v>
      </c>
      <c r="O26" s="302" t="s">
        <v>48</v>
      </c>
      <c r="P26" s="302" t="s">
        <v>49</v>
      </c>
      <c r="Q26" s="302" t="s">
        <v>50</v>
      </c>
      <c r="R26" s="302" t="s">
        <v>51</v>
      </c>
      <c r="T26" s="533"/>
      <c r="U26" s="534"/>
      <c r="V26" s="534"/>
      <c r="W26" s="534"/>
      <c r="X26" s="534"/>
      <c r="Y26" s="534"/>
      <c r="Z26" s="534"/>
      <c r="AA26" s="534"/>
      <c r="AB26" s="534"/>
      <c r="AC26" s="534"/>
      <c r="AD26" s="534"/>
      <c r="AE26" s="534"/>
      <c r="AF26" s="534"/>
      <c r="AG26" s="534"/>
      <c r="AH26" s="534"/>
      <c r="AI26" s="534"/>
      <c r="AJ26" s="534"/>
      <c r="AK26" s="534"/>
      <c r="AL26" s="534"/>
      <c r="AM26" s="534"/>
      <c r="AN26" s="535"/>
    </row>
    <row r="27" spans="2:40" x14ac:dyDescent="0.35">
      <c r="C27" s="86" t="s">
        <v>174</v>
      </c>
      <c r="D27" s="309" t="str">
        <f>IFERROR(AVERAGEIFS(EarningsPerDay[$/Trip],EarningsPerDay[Primary Area],$C27,EarningsPerDay[DOW],D$26,EarningsPerDay[Quarter],Scheduling!$R$17,EarningsPerDay[Type],"Hourly"),"")</f>
        <v/>
      </c>
      <c r="E27" s="309">
        <f>IFERROR(AVERAGEIFS(EarningsPerDay[$/Trip],EarningsPerDay[Primary Area],$C27,EarningsPerDay[DOW],E$26,EarningsPerDay[Quarter],Scheduling!$R$17,EarningsPerDay[Type],"Hourly"),"")</f>
        <v>9.3490000000000002</v>
      </c>
      <c r="F27" s="309" t="str">
        <f>IFERROR(AVERAGEIFS(EarningsPerDay[$/Trip],EarningsPerDay[Primary Area],$C27,EarningsPerDay[DOW],F$26,EarningsPerDay[Quarter],Scheduling!$R$17,EarningsPerDay[Type],"Hourly"),"")</f>
        <v/>
      </c>
      <c r="G27" s="309">
        <f>IFERROR(AVERAGEIFS(EarningsPerDay[$/Trip],EarningsPerDay[Primary Area],$C27,EarningsPerDay[DOW],G$26,EarningsPerDay[Quarter],Scheduling!$R$17,EarningsPerDay[Type],"Hourly"),"")</f>
        <v>10.7225</v>
      </c>
      <c r="H27" s="309" t="str">
        <f>IFERROR(AVERAGEIFS(EarningsPerDay[$/Trip],EarningsPerDay[Primary Area],$C27,EarningsPerDay[DOW],H$26,EarningsPerDay[Quarter],Scheduling!$R$17,EarningsPerDay[Type],"Hourly"),"")</f>
        <v/>
      </c>
      <c r="I27" s="309">
        <f>IFERROR(AVERAGEIFS(EarningsPerDay[$/Trip],EarningsPerDay[Primary Area],$C27,EarningsPerDay[DOW],I$26,EarningsPerDay[Quarter],Scheduling!$R$17,EarningsPerDay[Type],"Hourly"),"")</f>
        <v>9.5449999999999999</v>
      </c>
      <c r="J27" s="309">
        <f>IFERROR(AVERAGEIFS(EarningsPerDay[$/Trip],EarningsPerDay[Primary Area],$C27,EarningsPerDay[DOW],J$26,EarningsPerDay[Quarter],Scheduling!$R$17,EarningsPerDay[Type],"Hourly"),"")</f>
        <v>11.675714285714285</v>
      </c>
      <c r="K27" s="11"/>
      <c r="L27" s="309">
        <f>IFERROR(AVERAGEIFS(EarningsPerDay[$/Trip],EarningsPerDay[Primary Area],$C27,EarningsPerDay[DOW],L$26,EarningsPerDay[Quarter],Scheduling!$R$17,EarningsPerDay[Type],"Order"),"")</f>
        <v>8.9428075396825388</v>
      </c>
      <c r="M27" s="309">
        <f>IFERROR(AVERAGEIFS(EarningsPerDay[$/Trip],EarningsPerDay[Primary Area],$C27,EarningsPerDay[DOW],M$26,EarningsPerDay[Quarter],Scheduling!$R$17,EarningsPerDay[Type],"Order"),"")</f>
        <v>11.295</v>
      </c>
      <c r="N27" s="309">
        <f>IFERROR(AVERAGEIFS(EarningsPerDay[$/Trip],EarningsPerDay[Primary Area],$C27,EarningsPerDay[DOW],N$26,EarningsPerDay[Quarter],Scheduling!$R$17,EarningsPerDay[Type],"Order"),"")</f>
        <v>10.456727272727273</v>
      </c>
      <c r="O27" s="309">
        <f>IFERROR(AVERAGEIFS(EarningsPerDay[$/Trip],EarningsPerDay[Primary Area],$C27,EarningsPerDay[DOW],O$26,EarningsPerDay[Quarter],Scheduling!$R$17,EarningsPerDay[Type],"Order"),"")</f>
        <v>12.61</v>
      </c>
      <c r="P27" s="309">
        <f>IFERROR(AVERAGEIFS(EarningsPerDay[$/Trip],EarningsPerDay[Primary Area],$C27,EarningsPerDay[DOW],P$26,EarningsPerDay[Quarter],Scheduling!$R$17,EarningsPerDay[Type],"Order"),"")</f>
        <v>9.1199102564102557</v>
      </c>
      <c r="Q27" s="309">
        <f>IFERROR(AVERAGEIFS(EarningsPerDay[$/Trip],EarningsPerDay[Primary Area],$C27,EarningsPerDay[DOW],Q$26,EarningsPerDay[Quarter],Scheduling!$R$17,EarningsPerDay[Type],"Order"),"")</f>
        <v>13.682500000000001</v>
      </c>
      <c r="R27" s="309">
        <f>IFERROR(AVERAGEIFS(EarningsPerDay[$/Trip],EarningsPerDay[Primary Area],$C27,EarningsPerDay[DOW],R$26,EarningsPerDay[Quarter],Scheduling!$R$17,EarningsPerDay[Type],"Order"),"")</f>
        <v>5.75</v>
      </c>
      <c r="T27" s="312" t="str">
        <f>D27</f>
        <v/>
      </c>
      <c r="U27" s="312">
        <f>L27</f>
        <v>8.9428075396825388</v>
      </c>
      <c r="V27" s="313">
        <f>IF(COUNTBLANK(T27:U27)&gt;0,3,MATCH(MAX(T27:U27),T27:U27,0))</f>
        <v>3</v>
      </c>
      <c r="W27" s="312">
        <f>E27</f>
        <v>9.3490000000000002</v>
      </c>
      <c r="X27" s="312">
        <f>M27</f>
        <v>11.295</v>
      </c>
      <c r="Y27" s="313">
        <f>IF(COUNTBLANK(W27:X27)&gt;0,3,MATCH(MAX(W27:X27),W27:X27,0))</f>
        <v>2</v>
      </c>
      <c r="Z27" s="312" t="str">
        <f>F27</f>
        <v/>
      </c>
      <c r="AA27" s="312">
        <f>N27</f>
        <v>10.456727272727273</v>
      </c>
      <c r="AB27" s="313">
        <f>IF(COUNTBLANK(Z27:AA27)&gt;0,3,MATCH(MAX(Z27:AA27),Z27:AA27,0))</f>
        <v>3</v>
      </c>
      <c r="AC27" s="312">
        <f>G27</f>
        <v>10.7225</v>
      </c>
      <c r="AD27" s="312">
        <f>O27</f>
        <v>12.61</v>
      </c>
      <c r="AE27" s="313">
        <f>IF(COUNTBLANK(AC27:AD27)&gt;0,3,MATCH(MAX(AC27:AD27),AC27:AD27,0))</f>
        <v>2</v>
      </c>
      <c r="AF27" s="312" t="str">
        <f>H27</f>
        <v/>
      </c>
      <c r="AG27" s="312">
        <f>P27</f>
        <v>9.1199102564102557</v>
      </c>
      <c r="AH27" s="313">
        <f>IF(COUNTBLANK(AF27:AG27)&gt;0,3,MATCH(MAX(AF27:AG27),AF27:AG27,0))</f>
        <v>3</v>
      </c>
      <c r="AI27" s="312">
        <f>I27</f>
        <v>9.5449999999999999</v>
      </c>
      <c r="AJ27" s="312">
        <f>Q27</f>
        <v>13.682500000000001</v>
      </c>
      <c r="AK27" s="313">
        <f>IF(COUNTBLANK(AI27:AJ27)&gt;0,3,MATCH(MAX(AI27:AJ27),AI27:AJ27,0))</f>
        <v>2</v>
      </c>
      <c r="AL27" s="312">
        <f>J27</f>
        <v>11.675714285714285</v>
      </c>
      <c r="AM27" s="312">
        <f>R27</f>
        <v>5.75</v>
      </c>
      <c r="AN27" s="313">
        <f>IF(COUNTBLANK(AL27:AM27)&gt;0,3,MATCH(MAX(AL27:AM27),AL27:AM27,0))</f>
        <v>1</v>
      </c>
    </row>
    <row r="28" spans="2:40" x14ac:dyDescent="0.35">
      <c r="C28" s="85" t="s">
        <v>80</v>
      </c>
      <c r="D28" s="309">
        <f>IFERROR(AVERAGEIFS(EarningsPerDay[$/Trip],EarningsPerDay[Primary Area],$C28,EarningsPerDay[DOW],D$26,EarningsPerDay[Quarter],Scheduling!$R$17,EarningsPerDay[Type],"Hourly"),"")</f>
        <v>7.463333333333332</v>
      </c>
      <c r="E28" s="309">
        <f>IFERROR(AVERAGEIFS(EarningsPerDay[$/Trip],EarningsPerDay[Primary Area],$C28,EarningsPerDay[DOW],E$26,EarningsPerDay[Quarter],Scheduling!$R$17,EarningsPerDay[Type],"Hourly"),"")</f>
        <v>11.913181818181819</v>
      </c>
      <c r="F28" s="309">
        <f>IFERROR(AVERAGEIFS(EarningsPerDay[$/Trip],EarningsPerDay[Primary Area],$C28,EarningsPerDay[DOW],F$26,EarningsPerDay[Quarter],Scheduling!$R$17,EarningsPerDay[Type],"Hourly"),"")</f>
        <v>11.132154761904763</v>
      </c>
      <c r="G28" s="309">
        <f>IFERROR(AVERAGEIFS(EarningsPerDay[$/Trip],EarningsPerDay[Primary Area],$C28,EarningsPerDay[DOW],G$26,EarningsPerDay[Quarter],Scheduling!$R$17,EarningsPerDay[Type],"Hourly"),"")</f>
        <v>10.645</v>
      </c>
      <c r="H28" s="309">
        <f>IFERROR(AVERAGEIFS(EarningsPerDay[$/Trip],EarningsPerDay[Primary Area],$C28,EarningsPerDay[DOW],H$26,EarningsPerDay[Quarter],Scheduling!$R$17,EarningsPerDay[Type],"Hourly"),"")</f>
        <v>13.373333333333335</v>
      </c>
      <c r="I28" s="309">
        <f>IFERROR(AVERAGEIFS(EarningsPerDay[$/Trip],EarningsPerDay[Primary Area],$C28,EarningsPerDay[DOW],I$26,EarningsPerDay[Quarter],Scheduling!$R$17,EarningsPerDay[Type],"Hourly"),"")</f>
        <v>11.098478632478631</v>
      </c>
      <c r="J28" s="309">
        <f>IFERROR(AVERAGEIFS(EarningsPerDay[$/Trip],EarningsPerDay[Primary Area],$C28,EarningsPerDay[DOW],J$26,EarningsPerDay[Quarter],Scheduling!$R$17,EarningsPerDay[Type],"Hourly"),"")</f>
        <v>10.04187834224599</v>
      </c>
      <c r="K28" s="11"/>
      <c r="L28" s="309">
        <f>IFERROR(AVERAGEIFS(EarningsPerDay[$/Trip],EarningsPerDay[Primary Area],$C28,EarningsPerDay[DOW],L$26,EarningsPerDay[Quarter],Scheduling!$R$17,EarningsPerDay[Type],"Order"),"")</f>
        <v>10.682027777777778</v>
      </c>
      <c r="M28" s="309">
        <f>IFERROR(AVERAGEIFS(EarningsPerDay[$/Trip],EarningsPerDay[Primary Area],$C28,EarningsPerDay[DOW],M$26,EarningsPerDay[Quarter],Scheduling!$R$17,EarningsPerDay[Type],"Order"),"")</f>
        <v>10.450330646477704</v>
      </c>
      <c r="N28" s="309">
        <f>IFERROR(AVERAGEIFS(EarningsPerDay[$/Trip],EarningsPerDay[Primary Area],$C28,EarningsPerDay[DOW],N$26,EarningsPerDay[Quarter],Scheduling!$R$17,EarningsPerDay[Type],"Order"),"")</f>
        <v>11.177776600592388</v>
      </c>
      <c r="O28" s="309">
        <f>IFERROR(AVERAGEIFS(EarningsPerDay[$/Trip],EarningsPerDay[Primary Area],$C28,EarningsPerDay[DOW],O$26,EarningsPerDay[Quarter],Scheduling!$R$17,EarningsPerDay[Type],"Order"),"")</f>
        <v>10.601787466501753</v>
      </c>
      <c r="P28" s="309">
        <f>IFERROR(AVERAGEIFS(EarningsPerDay[$/Trip],EarningsPerDay[Primary Area],$C28,EarningsPerDay[DOW],P$26,EarningsPerDay[Quarter],Scheduling!$R$17,EarningsPerDay[Type],"Order"),"")</f>
        <v>10.873908763458763</v>
      </c>
      <c r="Q28" s="309">
        <f>IFERROR(AVERAGEIFS(EarningsPerDay[$/Trip],EarningsPerDay[Primary Area],$C28,EarningsPerDay[DOW],Q$26,EarningsPerDay[Quarter],Scheduling!$R$17,EarningsPerDay[Type],"Order"),"")</f>
        <v>11.341061223954821</v>
      </c>
      <c r="R28" s="309">
        <f>IFERROR(AVERAGEIFS(EarningsPerDay[$/Trip],EarningsPerDay[Primary Area],$C28,EarningsPerDay[DOW],R$26,EarningsPerDay[Quarter],Scheduling!$R$17,EarningsPerDay[Type],"Order"),"")</f>
        <v>11.13665698005698</v>
      </c>
      <c r="T28" s="312">
        <f>D28</f>
        <v>7.463333333333332</v>
      </c>
      <c r="U28" s="312">
        <f>L28</f>
        <v>10.682027777777778</v>
      </c>
      <c r="V28" s="313">
        <f t="shared" ref="V28:V31" si="11">IF(COUNTBLANK(T28:U28)&gt;0,3,MATCH(MAX(T28:U28),T28:U28,0))</f>
        <v>2</v>
      </c>
      <c r="W28" s="312">
        <f>E28</f>
        <v>11.913181818181819</v>
      </c>
      <c r="X28" s="312">
        <f>M28</f>
        <v>10.450330646477704</v>
      </c>
      <c r="Y28" s="313">
        <f t="shared" ref="Y28:Y31" si="12">IF(COUNTBLANK(W28:X28)&gt;0,3,MATCH(MAX(W28:X28),W28:X28,0))</f>
        <v>1</v>
      </c>
      <c r="Z28" s="312">
        <f>F28</f>
        <v>11.132154761904763</v>
      </c>
      <c r="AA28" s="312">
        <f>N28</f>
        <v>11.177776600592388</v>
      </c>
      <c r="AB28" s="313">
        <f t="shared" ref="AB28:AB31" si="13">IF(COUNTBLANK(Z28:AA28)&gt;0,3,MATCH(MAX(Z28:AA28),Z28:AA28,0))</f>
        <v>2</v>
      </c>
      <c r="AC28" s="312">
        <f>G28</f>
        <v>10.645</v>
      </c>
      <c r="AD28" s="312">
        <f>O28</f>
        <v>10.601787466501753</v>
      </c>
      <c r="AE28" s="313">
        <f t="shared" ref="AE28:AE31" si="14">IF(COUNTBLANK(AC28:AD28)&gt;0,3,MATCH(MAX(AC28:AD28),AC28:AD28,0))</f>
        <v>1</v>
      </c>
      <c r="AF28" s="312">
        <f>H28</f>
        <v>13.373333333333335</v>
      </c>
      <c r="AG28" s="312">
        <f>P28</f>
        <v>10.873908763458763</v>
      </c>
      <c r="AH28" s="313">
        <f t="shared" ref="AH28:AH31" si="15">IF(COUNTBLANK(AF28:AG28)&gt;0,3,MATCH(MAX(AF28:AG28),AF28:AG28,0))</f>
        <v>1</v>
      </c>
      <c r="AI28" s="312">
        <f>I28</f>
        <v>11.098478632478631</v>
      </c>
      <c r="AJ28" s="312">
        <f>Q28</f>
        <v>11.341061223954821</v>
      </c>
      <c r="AK28" s="313">
        <f t="shared" ref="AK28:AK31" si="16">IF(COUNTBLANK(AI28:AJ28)&gt;0,3,MATCH(MAX(AI28:AJ28),AI28:AJ28,0))</f>
        <v>2</v>
      </c>
      <c r="AL28" s="312">
        <f>J28</f>
        <v>10.04187834224599</v>
      </c>
      <c r="AM28" s="312">
        <f>R28</f>
        <v>11.13665698005698</v>
      </c>
      <c r="AN28" s="313">
        <f t="shared" ref="AN28:AN31" si="17">IF(COUNTBLANK(AL28:AM28)&gt;0,3,MATCH(MAX(AL28:AM28),AL28:AM28,0))</f>
        <v>2</v>
      </c>
    </row>
    <row r="29" spans="2:40" x14ac:dyDescent="0.35">
      <c r="C29" s="86" t="s">
        <v>82</v>
      </c>
      <c r="D29" s="309" t="str">
        <f>IFERROR(AVERAGEIFS(EarningsPerDay[$/Trip],EarningsPerDay[Primary Area],$C29,EarningsPerDay[DOW],D$26,EarningsPerDay[Quarter],Scheduling!$R$17,EarningsPerDay[Type],"Hourly"),"")</f>
        <v/>
      </c>
      <c r="E29" s="309" t="str">
        <f>IFERROR(AVERAGEIFS(EarningsPerDay[$/Trip],EarningsPerDay[Primary Area],$C29,EarningsPerDay[DOW],E$26,EarningsPerDay[Quarter],Scheduling!$R$17,EarningsPerDay[Type],"Hourly"),"")</f>
        <v/>
      </c>
      <c r="F29" s="309" t="str">
        <f>IFERROR(AVERAGEIFS(EarningsPerDay[$/Trip],EarningsPerDay[Primary Area],$C29,EarningsPerDay[DOW],F$26,EarningsPerDay[Quarter],Scheduling!$R$17,EarningsPerDay[Type],"Hourly"),"")</f>
        <v/>
      </c>
      <c r="G29" s="309">
        <f>IFERROR(AVERAGEIFS(EarningsPerDay[$/Trip],EarningsPerDay[Primary Area],$C29,EarningsPerDay[DOW],G$26,EarningsPerDay[Quarter],Scheduling!$R$17,EarningsPerDay[Type],"Hourly"),"")</f>
        <v>9.2170833333333331</v>
      </c>
      <c r="H29" s="309" t="str">
        <f>IFERROR(AVERAGEIFS(EarningsPerDay[$/Trip],EarningsPerDay[Primary Area],$C29,EarningsPerDay[DOW],H$26,EarningsPerDay[Quarter],Scheduling!$R$17,EarningsPerDay[Type],"Hourly"),"")</f>
        <v/>
      </c>
      <c r="I29" s="309">
        <f>IFERROR(AVERAGEIFS(EarningsPerDay[$/Trip],EarningsPerDay[Primary Area],$C29,EarningsPerDay[DOW],I$26,EarningsPerDay[Quarter],Scheduling!$R$17,EarningsPerDay[Type],"Hourly"),"")</f>
        <v>18.021666666666668</v>
      </c>
      <c r="J29" s="309" t="str">
        <f>IFERROR(AVERAGEIFS(EarningsPerDay[$/Trip],EarningsPerDay[Primary Area],$C29,EarningsPerDay[DOW],J$26,EarningsPerDay[Quarter],Scheduling!$R$17,EarningsPerDay[Type],"Hourly"),"")</f>
        <v/>
      </c>
      <c r="K29" s="11"/>
      <c r="L29" s="309">
        <f>IFERROR(AVERAGEIFS(EarningsPerDay[$/Trip],EarningsPerDay[Primary Area],$C29,EarningsPerDay[DOW],L$26,EarningsPerDay[Quarter],Scheduling!$R$17,EarningsPerDay[Type],"Order"),"")</f>
        <v>7.801874999999999</v>
      </c>
      <c r="M29" s="309">
        <f>IFERROR(AVERAGEIFS(EarningsPerDay[$/Trip],EarningsPerDay[Primary Area],$C29,EarningsPerDay[DOW],M$26,EarningsPerDay[Quarter],Scheduling!$R$17,EarningsPerDay[Type],"Order"),"")</f>
        <v>7.6500634920634925</v>
      </c>
      <c r="N29" s="309">
        <f>IFERROR(AVERAGEIFS(EarningsPerDay[$/Trip],EarningsPerDay[Primary Area],$C29,EarningsPerDay[DOW],N$26,EarningsPerDay[Quarter],Scheduling!$R$17,EarningsPerDay[Type],"Order"),"")</f>
        <v>7.2801082251082248</v>
      </c>
      <c r="O29" s="309">
        <f>IFERROR(AVERAGEIFS(EarningsPerDay[$/Trip],EarningsPerDay[Primary Area],$C29,EarningsPerDay[DOW],O$26,EarningsPerDay[Quarter],Scheduling!$R$17,EarningsPerDay[Type],"Order"),"")</f>
        <v>10.469208180708181</v>
      </c>
      <c r="P29" s="309">
        <f>IFERROR(AVERAGEIFS(EarningsPerDay[$/Trip],EarningsPerDay[Primary Area],$C29,EarningsPerDay[DOW],P$26,EarningsPerDay[Quarter],Scheduling!$R$17,EarningsPerDay[Type],"Order"),"")</f>
        <v>8.5553705627705643</v>
      </c>
      <c r="Q29" s="309">
        <f>IFERROR(AVERAGEIFS(EarningsPerDay[$/Trip],EarningsPerDay[Primary Area],$C29,EarningsPerDay[DOW],Q$26,EarningsPerDay[Quarter],Scheduling!$R$17,EarningsPerDay[Type],"Order"),"")</f>
        <v>9.8304858276644005</v>
      </c>
      <c r="R29" s="309">
        <f>IFERROR(AVERAGEIFS(EarningsPerDay[$/Trip],EarningsPerDay[Primary Area],$C29,EarningsPerDay[DOW],R$26,EarningsPerDay[Quarter],Scheduling!$R$17,EarningsPerDay[Type],"Order"),"")</f>
        <v>10.041839215686274</v>
      </c>
      <c r="T29" s="312" t="str">
        <f>D29</f>
        <v/>
      </c>
      <c r="U29" s="312">
        <f>L29</f>
        <v>7.801874999999999</v>
      </c>
      <c r="V29" s="313">
        <f t="shared" si="11"/>
        <v>3</v>
      </c>
      <c r="W29" s="312" t="str">
        <f>E29</f>
        <v/>
      </c>
      <c r="X29" s="312">
        <f>M29</f>
        <v>7.6500634920634925</v>
      </c>
      <c r="Y29" s="313">
        <f t="shared" si="12"/>
        <v>3</v>
      </c>
      <c r="Z29" s="312" t="str">
        <f>F29</f>
        <v/>
      </c>
      <c r="AA29" s="312">
        <f>N29</f>
        <v>7.2801082251082248</v>
      </c>
      <c r="AB29" s="313">
        <f t="shared" si="13"/>
        <v>3</v>
      </c>
      <c r="AC29" s="312">
        <f>G29</f>
        <v>9.2170833333333331</v>
      </c>
      <c r="AD29" s="312">
        <f>O29</f>
        <v>10.469208180708181</v>
      </c>
      <c r="AE29" s="313">
        <f t="shared" si="14"/>
        <v>2</v>
      </c>
      <c r="AF29" s="312" t="str">
        <f>H29</f>
        <v/>
      </c>
      <c r="AG29" s="312">
        <f>P29</f>
        <v>8.5553705627705643</v>
      </c>
      <c r="AH29" s="313">
        <f t="shared" si="15"/>
        <v>3</v>
      </c>
      <c r="AI29" s="312">
        <f>I29</f>
        <v>18.021666666666668</v>
      </c>
      <c r="AJ29" s="312">
        <f>Q29</f>
        <v>9.8304858276644005</v>
      </c>
      <c r="AK29" s="313">
        <f t="shared" si="16"/>
        <v>1</v>
      </c>
      <c r="AL29" s="312" t="str">
        <f>J29</f>
        <v/>
      </c>
      <c r="AM29" s="312">
        <f>R29</f>
        <v>10.041839215686274</v>
      </c>
      <c r="AN29" s="313">
        <f t="shared" si="17"/>
        <v>3</v>
      </c>
    </row>
    <row r="30" spans="2:40" ht="15" thickBot="1" x14ac:dyDescent="0.4">
      <c r="C30" s="87" t="s">
        <v>85</v>
      </c>
      <c r="D30" s="309" t="str">
        <f>IFERROR(AVERAGEIFS(EarningsPerDay[$/Trip],EarningsPerDay[Primary Area],$C30,EarningsPerDay[DOW],D$26,EarningsPerDay[Quarter],Scheduling!$R$17,EarningsPerDay[Type],"Hourly"),"")</f>
        <v/>
      </c>
      <c r="E30" s="309" t="str">
        <f>IFERROR(AVERAGEIFS(EarningsPerDay[$/Trip],EarningsPerDay[Primary Area],$C30,EarningsPerDay[DOW],E$26,EarningsPerDay[Quarter],Scheduling!$R$17,EarningsPerDay[Type],"Hourly"),"")</f>
        <v/>
      </c>
      <c r="F30" s="309">
        <f>IFERROR(AVERAGEIFS(EarningsPerDay[$/Trip],EarningsPerDay[Primary Area],$C30,EarningsPerDay[DOW],F$26,EarningsPerDay[Quarter],Scheduling!$R$17,EarningsPerDay[Type],"Hourly"),"")</f>
        <v>14.666666666666666</v>
      </c>
      <c r="G30" s="309" t="str">
        <f>IFERROR(AVERAGEIFS(EarningsPerDay[$/Trip],EarningsPerDay[Primary Area],$C30,EarningsPerDay[DOW],G$26,EarningsPerDay[Quarter],Scheduling!$R$17,EarningsPerDay[Type],"Hourly"),"")</f>
        <v/>
      </c>
      <c r="H30" s="309" t="str">
        <f>IFERROR(AVERAGEIFS(EarningsPerDay[$/Trip],EarningsPerDay[Primary Area],$C30,EarningsPerDay[DOW],H$26,EarningsPerDay[Quarter],Scheduling!$R$17,EarningsPerDay[Type],"Hourly"),"")</f>
        <v/>
      </c>
      <c r="I30" s="309">
        <f>IFERROR(AVERAGEIFS(EarningsPerDay[$/Trip],EarningsPerDay[Primary Area],$C30,EarningsPerDay[DOW],I$26,EarningsPerDay[Quarter],Scheduling!$R$17,EarningsPerDay[Type],"Hourly"),"")</f>
        <v>12.753529411764706</v>
      </c>
      <c r="J30" s="309">
        <f>IFERROR(AVERAGEIFS(EarningsPerDay[$/Trip],EarningsPerDay[Primary Area],$C30,EarningsPerDay[DOW],J$26,EarningsPerDay[Quarter],Scheduling!$R$17,EarningsPerDay[Type],"Hourly"),"")</f>
        <v>12.935</v>
      </c>
      <c r="K30" s="11"/>
      <c r="L30" s="309">
        <f>IFERROR(AVERAGEIFS(EarningsPerDay[$/Trip],EarningsPerDay[Primary Area],$C30,EarningsPerDay[DOW],L$26,EarningsPerDay[Quarter],Scheduling!$R$17,EarningsPerDay[Type],"Order"),"")</f>
        <v>12.109535612535613</v>
      </c>
      <c r="M30" s="309">
        <f>IFERROR(AVERAGEIFS(EarningsPerDay[$/Trip],EarningsPerDay[Primary Area],$C30,EarningsPerDay[DOW],M$26,EarningsPerDay[Quarter],Scheduling!$R$17,EarningsPerDay[Type],"Order"),"")</f>
        <v>11.351403457653456</v>
      </c>
      <c r="N30" s="309">
        <f>IFERROR(AVERAGEIFS(EarningsPerDay[$/Trip],EarningsPerDay[Primary Area],$C30,EarningsPerDay[DOW],N$26,EarningsPerDay[Quarter],Scheduling!$R$17,EarningsPerDay[Type],"Order"),"")</f>
        <v>10.717142857142857</v>
      </c>
      <c r="O30" s="309">
        <f>IFERROR(AVERAGEIFS(EarningsPerDay[$/Trip],EarningsPerDay[Primary Area],$C30,EarningsPerDay[DOW],O$26,EarningsPerDay[Quarter],Scheduling!$R$17,EarningsPerDay[Type],"Order"),"")</f>
        <v>9.1129880428213763</v>
      </c>
      <c r="P30" s="309">
        <f>IFERROR(AVERAGEIFS(EarningsPerDay[$/Trip],EarningsPerDay[Primary Area],$C30,EarningsPerDay[DOW],P$26,EarningsPerDay[Quarter],Scheduling!$R$17,EarningsPerDay[Type],"Order"),"")</f>
        <v>11.475702380952381</v>
      </c>
      <c r="Q30" s="309">
        <f>IFERROR(AVERAGEIFS(EarningsPerDay[$/Trip],EarningsPerDay[Primary Area],$C30,EarningsPerDay[DOW],Q$26,EarningsPerDay[Quarter],Scheduling!$R$17,EarningsPerDay[Type],"Order"),"")</f>
        <v>11.723398202614378</v>
      </c>
      <c r="R30" s="309">
        <f>IFERROR(AVERAGEIFS(EarningsPerDay[$/Trip],EarningsPerDay[Primary Area],$C30,EarningsPerDay[DOW],R$26,EarningsPerDay[Quarter],Scheduling!$R$17,EarningsPerDay[Type],"Order"),"")</f>
        <v>11.429288888888887</v>
      </c>
      <c r="T30" s="312" t="str">
        <f>D30</f>
        <v/>
      </c>
      <c r="U30" s="312">
        <f>L30</f>
        <v>12.109535612535613</v>
      </c>
      <c r="V30" s="313">
        <f t="shared" si="11"/>
        <v>3</v>
      </c>
      <c r="W30" s="312" t="str">
        <f>E30</f>
        <v/>
      </c>
      <c r="X30" s="312">
        <f>M30</f>
        <v>11.351403457653456</v>
      </c>
      <c r="Y30" s="313">
        <f t="shared" si="12"/>
        <v>3</v>
      </c>
      <c r="Z30" s="312">
        <f>F30</f>
        <v>14.666666666666666</v>
      </c>
      <c r="AA30" s="312">
        <f>N30</f>
        <v>10.717142857142857</v>
      </c>
      <c r="AB30" s="313">
        <f t="shared" si="13"/>
        <v>1</v>
      </c>
      <c r="AC30" s="312" t="str">
        <f>G30</f>
        <v/>
      </c>
      <c r="AD30" s="312">
        <f>O30</f>
        <v>9.1129880428213763</v>
      </c>
      <c r="AE30" s="313">
        <f t="shared" si="14"/>
        <v>3</v>
      </c>
      <c r="AF30" s="312" t="str">
        <f>H30</f>
        <v/>
      </c>
      <c r="AG30" s="312">
        <f>P30</f>
        <v>11.475702380952381</v>
      </c>
      <c r="AH30" s="313">
        <f t="shared" si="15"/>
        <v>3</v>
      </c>
      <c r="AI30" s="312">
        <f>I30</f>
        <v>12.753529411764706</v>
      </c>
      <c r="AJ30" s="312">
        <f>Q30</f>
        <v>11.723398202614378</v>
      </c>
      <c r="AK30" s="313">
        <f t="shared" si="16"/>
        <v>1</v>
      </c>
      <c r="AL30" s="312">
        <f>J30</f>
        <v>12.935</v>
      </c>
      <c r="AM30" s="312">
        <f>R30</f>
        <v>11.429288888888887</v>
      </c>
      <c r="AN30" s="313">
        <f t="shared" si="17"/>
        <v>1</v>
      </c>
    </row>
    <row r="31" spans="2:40" ht="15" thickBot="1" x14ac:dyDescent="0.4">
      <c r="C31" s="53" t="s">
        <v>41</v>
      </c>
      <c r="D31" s="179">
        <f t="shared" ref="D31:J31" si="18">MAX(D27:D30)</f>
        <v>7.463333333333332</v>
      </c>
      <c r="E31" s="179">
        <f t="shared" si="18"/>
        <v>11.913181818181819</v>
      </c>
      <c r="F31" s="179">
        <f t="shared" si="18"/>
        <v>14.666666666666666</v>
      </c>
      <c r="G31" s="179">
        <f t="shared" si="18"/>
        <v>10.7225</v>
      </c>
      <c r="H31" s="179">
        <f t="shared" si="18"/>
        <v>13.373333333333335</v>
      </c>
      <c r="I31" s="179">
        <f t="shared" si="18"/>
        <v>18.021666666666668</v>
      </c>
      <c r="J31" s="179">
        <f t="shared" si="18"/>
        <v>12.935</v>
      </c>
      <c r="K31" s="11"/>
      <c r="L31" s="179">
        <f t="shared" ref="L31:R31" si="19">MAX(L27:L30)</f>
        <v>12.109535612535613</v>
      </c>
      <c r="M31" s="179">
        <f t="shared" si="19"/>
        <v>11.351403457653456</v>
      </c>
      <c r="N31" s="179">
        <f t="shared" si="19"/>
        <v>11.177776600592388</v>
      </c>
      <c r="O31" s="179">
        <f t="shared" si="19"/>
        <v>12.61</v>
      </c>
      <c r="P31" s="179">
        <f t="shared" si="19"/>
        <v>11.475702380952381</v>
      </c>
      <c r="Q31" s="179">
        <f t="shared" si="19"/>
        <v>13.682500000000001</v>
      </c>
      <c r="R31" s="179">
        <f t="shared" si="19"/>
        <v>11.429288888888887</v>
      </c>
      <c r="T31" s="312">
        <f>D31</f>
        <v>7.463333333333332</v>
      </c>
      <c r="U31" s="312">
        <f>L31</f>
        <v>12.109535612535613</v>
      </c>
      <c r="V31" s="313">
        <f t="shared" si="11"/>
        <v>2</v>
      </c>
      <c r="W31" s="312">
        <f>E31</f>
        <v>11.913181818181819</v>
      </c>
      <c r="X31" s="312">
        <f>M31</f>
        <v>11.351403457653456</v>
      </c>
      <c r="Y31" s="313">
        <f t="shared" si="12"/>
        <v>1</v>
      </c>
      <c r="Z31" s="312">
        <f>F31</f>
        <v>14.666666666666666</v>
      </c>
      <c r="AA31" s="312">
        <f>N31</f>
        <v>11.177776600592388</v>
      </c>
      <c r="AB31" s="313">
        <f t="shared" si="13"/>
        <v>1</v>
      </c>
      <c r="AC31" s="312">
        <f>G31</f>
        <v>10.7225</v>
      </c>
      <c r="AD31" s="312">
        <f>O31</f>
        <v>12.61</v>
      </c>
      <c r="AE31" s="313">
        <f t="shared" si="14"/>
        <v>2</v>
      </c>
      <c r="AF31" s="312">
        <f>H31</f>
        <v>13.373333333333335</v>
      </c>
      <c r="AG31" s="312">
        <f>P31</f>
        <v>11.475702380952381</v>
      </c>
      <c r="AH31" s="313">
        <f t="shared" si="15"/>
        <v>1</v>
      </c>
      <c r="AI31" s="312">
        <f>I31</f>
        <v>18.021666666666668</v>
      </c>
      <c r="AJ31" s="312">
        <f>Q31</f>
        <v>13.682500000000001</v>
      </c>
      <c r="AK31" s="313">
        <f t="shared" si="16"/>
        <v>1</v>
      </c>
      <c r="AL31" s="312">
        <f>J31</f>
        <v>12.935</v>
      </c>
      <c r="AM31" s="312">
        <f>R31</f>
        <v>11.429288888888887</v>
      </c>
      <c r="AN31" s="313">
        <f t="shared" si="17"/>
        <v>1</v>
      </c>
    </row>
    <row r="32" spans="2:40" ht="15" thickBot="1" x14ac:dyDescent="0.4">
      <c r="C32" s="53" t="s">
        <v>87</v>
      </c>
      <c r="D32" s="54">
        <f t="shared" ref="D32:J32" si="20">_xlfn.RANK.EQ(D31,$D$31:$J$31,0)</f>
        <v>7</v>
      </c>
      <c r="E32" s="54">
        <f t="shared" si="20"/>
        <v>5</v>
      </c>
      <c r="F32" s="54">
        <f t="shared" si="20"/>
        <v>2</v>
      </c>
      <c r="G32" s="54">
        <f t="shared" si="20"/>
        <v>6</v>
      </c>
      <c r="H32" s="54">
        <f t="shared" si="20"/>
        <v>3</v>
      </c>
      <c r="I32" s="54">
        <f t="shared" si="20"/>
        <v>1</v>
      </c>
      <c r="J32" s="54">
        <f t="shared" si="20"/>
        <v>4</v>
      </c>
      <c r="K32" s="11"/>
      <c r="L32" s="54">
        <f>_xlfn.RANK.EQ(L31,$L$31:$R$31,0)</f>
        <v>3</v>
      </c>
      <c r="M32" s="54">
        <f t="shared" ref="M32:R32" si="21">_xlfn.RANK.EQ(M31,$L$31:$R$31,0)</f>
        <v>6</v>
      </c>
      <c r="N32" s="54">
        <f t="shared" si="21"/>
        <v>7</v>
      </c>
      <c r="O32" s="54">
        <f t="shared" si="21"/>
        <v>2</v>
      </c>
      <c r="P32" s="54">
        <f t="shared" si="21"/>
        <v>4</v>
      </c>
      <c r="Q32" s="54">
        <f t="shared" si="21"/>
        <v>1</v>
      </c>
      <c r="R32" s="54">
        <f t="shared" si="21"/>
        <v>5</v>
      </c>
      <c r="T32" s="528"/>
      <c r="U32" s="529"/>
      <c r="V32" s="529"/>
      <c r="W32" s="529"/>
      <c r="X32" s="529"/>
      <c r="Y32" s="529"/>
      <c r="Z32" s="529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529"/>
      <c r="AN32" s="530"/>
    </row>
    <row r="33" spans="3:40" x14ac:dyDescent="0.35">
      <c r="T33" s="53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532"/>
    </row>
    <row r="34" spans="3:40" x14ac:dyDescent="0.35">
      <c r="C34" s="491" t="s">
        <v>308</v>
      </c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T34" s="53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532"/>
    </row>
    <row r="35" spans="3:40" x14ac:dyDescent="0.35">
      <c r="C35" s="97" t="s">
        <v>74</v>
      </c>
      <c r="D35" s="302" t="s">
        <v>45</v>
      </c>
      <c r="E35" s="302" t="s">
        <v>46</v>
      </c>
      <c r="F35" s="302" t="s">
        <v>47</v>
      </c>
      <c r="G35" s="302" t="s">
        <v>48</v>
      </c>
      <c r="H35" s="302" t="s">
        <v>49</v>
      </c>
      <c r="I35" s="302" t="s">
        <v>50</v>
      </c>
      <c r="J35" s="302" t="s">
        <v>51</v>
      </c>
      <c r="K35" s="321"/>
      <c r="L35" s="302" t="s">
        <v>45</v>
      </c>
      <c r="M35" s="302" t="s">
        <v>46</v>
      </c>
      <c r="N35" s="302" t="s">
        <v>47</v>
      </c>
      <c r="O35" s="302" t="s">
        <v>48</v>
      </c>
      <c r="P35" s="302" t="s">
        <v>49</v>
      </c>
      <c r="Q35" s="302" t="s">
        <v>50</v>
      </c>
      <c r="R35" s="302" t="s">
        <v>51</v>
      </c>
      <c r="T35" s="533"/>
      <c r="U35" s="534"/>
      <c r="V35" s="534"/>
      <c r="W35" s="534"/>
      <c r="X35" s="534"/>
      <c r="Y35" s="534"/>
      <c r="Z35" s="534"/>
      <c r="AA35" s="534"/>
      <c r="AB35" s="534"/>
      <c r="AC35" s="534"/>
      <c r="AD35" s="534"/>
      <c r="AE35" s="534"/>
      <c r="AF35" s="534"/>
      <c r="AG35" s="534"/>
      <c r="AH35" s="534"/>
      <c r="AI35" s="534"/>
      <c r="AJ35" s="534"/>
      <c r="AK35" s="534"/>
      <c r="AL35" s="534"/>
      <c r="AM35" s="534"/>
      <c r="AN35" s="535"/>
    </row>
    <row r="36" spans="3:40" x14ac:dyDescent="0.35">
      <c r="C36" s="86" t="s">
        <v>174</v>
      </c>
      <c r="D36" s="308" t="str">
        <f>IFERROR(AVERAGEIFS(EarningsPerDay[$/Mile],EarningsPerDay[Primary Area],$C36,EarningsPerDay[DOW],D$35,EarningsPerDay[Quarter],Scheduling!$R$17,EarningsPerDay[Type],"Hourly"),"")</f>
        <v/>
      </c>
      <c r="E36" s="308">
        <f>IFERROR(AVERAGEIFS(EarningsPerDay[$/Mile],EarningsPerDay[Primary Area],$C36,EarningsPerDay[DOW],E$35,EarningsPerDay[Quarter],Scheduling!$R$17,EarningsPerDay[Type],"Hourly"),"")</f>
        <v>0.5435465116279069</v>
      </c>
      <c r="F36" s="308" t="str">
        <f>IFERROR(AVERAGEIFS(EarningsPerDay[$/Mile],EarningsPerDay[Primary Area],$C36,EarningsPerDay[DOW],F$35,EarningsPerDay[Quarter],Scheduling!$R$17,EarningsPerDay[Type],"Hourly"),"")</f>
        <v/>
      </c>
      <c r="G36" s="308">
        <f>IFERROR(AVERAGEIFS(EarningsPerDay[$/Mile],EarningsPerDay[Primary Area],$C36,EarningsPerDay[DOW],G$35,EarningsPerDay[Quarter],Scheduling!$R$17,EarningsPerDay[Type],"Hourly"),"")</f>
        <v>0.60408450704225358</v>
      </c>
      <c r="H36" s="308" t="str">
        <f>IFERROR(AVERAGEIFS(EarningsPerDay[$/Mile],EarningsPerDay[Primary Area],$C36,EarningsPerDay[DOW],H$35,EarningsPerDay[Quarter],Scheduling!$R$17,EarningsPerDay[Type],"Hourly"),"")</f>
        <v/>
      </c>
      <c r="I36" s="308">
        <f>IFERROR(AVERAGEIFS(EarningsPerDay[$/Mile],EarningsPerDay[Primary Area],$C36,EarningsPerDay[DOW],I$35,EarningsPerDay[Quarter],Scheduling!$R$17,EarningsPerDay[Type],"Hourly"),"")</f>
        <v>0.55067307692307699</v>
      </c>
      <c r="J36" s="401">
        <f>IFERROR(AVERAGEIFS(EarningsPerDay[$/Mile],EarningsPerDay[Primary Area],$C36,EarningsPerDay[DOW],J$35,EarningsPerDay[Quarter],Scheduling!$R$17,EarningsPerDay[Type],"Hourly"),"")</f>
        <v>0.95834868704261722</v>
      </c>
      <c r="K36" s="321"/>
      <c r="L36" s="401">
        <f>IFERROR(AVERAGEIFS(EarningsPerDay[$/Mile],EarningsPerDay[Primary Area],$C36,EarningsPerDay[DOW],L$35,EarningsPerDay[Quarter],Scheduling!$R$17,EarningsPerDay[Type],"Order"),"")</f>
        <v>0.81955002258355913</v>
      </c>
      <c r="M36" s="401">
        <f>IFERROR(AVERAGEIFS(EarningsPerDay[$/Mile],EarningsPerDay[Primary Area],$C36,EarningsPerDay[DOW],M$35,EarningsPerDay[Quarter],Scheduling!$R$17,EarningsPerDay[Type],"Order"),"")</f>
        <v>0.85245283018867923</v>
      </c>
      <c r="N36" s="401">
        <f>IFERROR(AVERAGEIFS(EarningsPerDay[$/Mile],EarningsPerDay[Primary Area],$C36,EarningsPerDay[DOW],N$35,EarningsPerDay[Quarter],Scheduling!$R$17,EarningsPerDay[Type],"Order"),"")</f>
        <v>0.8643704884252551</v>
      </c>
      <c r="O36" s="401">
        <f>IFERROR(AVERAGEIFS(EarningsPerDay[$/Mile],EarningsPerDay[Primary Area],$C36,EarningsPerDay[DOW],O$35,EarningsPerDay[Quarter],Scheduling!$R$17,EarningsPerDay[Type],"Order"),"")</f>
        <v>0.54236559139784946</v>
      </c>
      <c r="P36" s="308">
        <f>IFERROR(AVERAGEIFS(EarningsPerDay[$/Mile],EarningsPerDay[Primary Area],$C36,EarningsPerDay[DOW],P$35,EarningsPerDay[Quarter],Scheduling!$R$17,EarningsPerDay[Type],"Order"),"")</f>
        <v>0.64700337737957436</v>
      </c>
      <c r="Q36" s="308">
        <f>IFERROR(AVERAGEIFS(EarningsPerDay[$/Mile],EarningsPerDay[Primary Area],$C36,EarningsPerDay[DOW],Q$35,EarningsPerDay[Quarter],Scheduling!$R$17,EarningsPerDay[Type],"Order"),"")</f>
        <v>0.96017543859649135</v>
      </c>
      <c r="R36" s="308">
        <f>IFERROR(AVERAGEIFS(EarningsPerDay[$/Mile],EarningsPerDay[Primary Area],$C36,EarningsPerDay[DOW],R$35,EarningsPerDay[Quarter],Scheduling!$R$17,EarningsPerDay[Type],"Order"),"")</f>
        <v>0.9006024096385542</v>
      </c>
      <c r="T36" s="314" t="str">
        <f>D36</f>
        <v/>
      </c>
      <c r="U36" s="314">
        <f>L36</f>
        <v>0.81955002258355913</v>
      </c>
      <c r="V36" s="313">
        <f>IF(COUNTBLANK(T36:U36)&gt;0,3,MATCH(MAX(T36:U36),T36:U36,0))</f>
        <v>3</v>
      </c>
      <c r="W36" s="314">
        <f>E36</f>
        <v>0.5435465116279069</v>
      </c>
      <c r="X36" s="314">
        <f>M36</f>
        <v>0.85245283018867923</v>
      </c>
      <c r="Y36" s="313">
        <f>IF(COUNTBLANK(W36:X36)&gt;0,3,MATCH(MAX(W36:X36),W36:X36,0))</f>
        <v>2</v>
      </c>
      <c r="Z36" s="314" t="str">
        <f>F36</f>
        <v/>
      </c>
      <c r="AA36" s="314">
        <f>N36</f>
        <v>0.8643704884252551</v>
      </c>
      <c r="AB36" s="313">
        <f>IF(COUNTBLANK(Z36:AA36)&gt;0,3,MATCH(MAX(Z36:AA36),Z36:AA36,0))</f>
        <v>3</v>
      </c>
      <c r="AC36" s="314">
        <f>G36</f>
        <v>0.60408450704225358</v>
      </c>
      <c r="AD36" s="314">
        <f>O36</f>
        <v>0.54236559139784946</v>
      </c>
      <c r="AE36" s="313">
        <f>IF(COUNTBLANK(AC36:AD36)&gt;0,3,MATCH(MAX(AC36:AD36),AC36:AD36,0))</f>
        <v>1</v>
      </c>
      <c r="AF36" s="314" t="str">
        <f>H36</f>
        <v/>
      </c>
      <c r="AG36" s="314">
        <f>P36</f>
        <v>0.64700337737957436</v>
      </c>
      <c r="AH36" s="313">
        <f>IF(COUNTBLANK(AF36:AG36)&gt;0,3,MATCH(MAX(AF36:AG36),AF36:AG36,0))</f>
        <v>3</v>
      </c>
      <c r="AI36" s="314">
        <f>I36</f>
        <v>0.55067307692307699</v>
      </c>
      <c r="AJ36" s="314">
        <f>Q36</f>
        <v>0.96017543859649135</v>
      </c>
      <c r="AK36" s="313">
        <f>IF(COUNTBLANK(AI36:AJ36)&gt;0,3,MATCH(MAX(AI36:AJ36),AI36:AJ36,0))</f>
        <v>2</v>
      </c>
      <c r="AL36" s="314">
        <f>J36</f>
        <v>0.95834868704261722</v>
      </c>
      <c r="AM36" s="314">
        <f>R36</f>
        <v>0.9006024096385542</v>
      </c>
      <c r="AN36" s="313">
        <f>IF(COUNTBLANK(AL36:AM36)&gt;0,3,MATCH(MAX(AL36:AM36),AL36:AM36,0))</f>
        <v>1</v>
      </c>
    </row>
    <row r="37" spans="3:40" x14ac:dyDescent="0.35">
      <c r="C37" s="85" t="s">
        <v>80</v>
      </c>
      <c r="D37" s="308">
        <f>IFERROR(AVERAGEIFS(EarningsPerDay[$/Mile],EarningsPerDay[Primary Area],$C37,EarningsPerDay[DOW],D$35,EarningsPerDay[Quarter],Scheduling!$R$17,EarningsPerDay[Type],"Hourly"),"")</f>
        <v>1.0495312499999998</v>
      </c>
      <c r="E37" s="308">
        <f>IFERROR(AVERAGEIFS(EarningsPerDay[$/Mile],EarningsPerDay[Primary Area],$C37,EarningsPerDay[DOW],E$35,EarningsPerDay[Quarter],Scheduling!$R$17,EarningsPerDay[Type],"Hourly"),"")</f>
        <v>0.87711100672111009</v>
      </c>
      <c r="F37" s="308">
        <f>IFERROR(AVERAGEIFS(EarningsPerDay[$/Mile],EarningsPerDay[Primary Area],$C37,EarningsPerDay[DOW],F$35,EarningsPerDay[Quarter],Scheduling!$R$17,EarningsPerDay[Type],"Hourly"),"")</f>
        <v>1.0711676838619619</v>
      </c>
      <c r="G37" s="308">
        <f>IFERROR(AVERAGEIFS(EarningsPerDay[$/Mile],EarningsPerDay[Primary Area],$C37,EarningsPerDay[DOW],G$35,EarningsPerDay[Quarter],Scheduling!$R$17,EarningsPerDay[Type],"Hourly"),"")</f>
        <v>0.90595744680851065</v>
      </c>
      <c r="H37" s="308">
        <f>IFERROR(AVERAGEIFS(EarningsPerDay[$/Mile],EarningsPerDay[Primary Area],$C37,EarningsPerDay[DOW],H$35,EarningsPerDay[Quarter],Scheduling!$R$17,EarningsPerDay[Type],"Hourly"),"")</f>
        <v>0.96095808383233539</v>
      </c>
      <c r="I37" s="308">
        <f>IFERROR(AVERAGEIFS(EarningsPerDay[$/Mile],EarningsPerDay[Primary Area],$C37,EarningsPerDay[DOW],I$35,EarningsPerDay[Quarter],Scheduling!$R$17,EarningsPerDay[Type],"Hourly"),"")</f>
        <v>0.99031915760316114</v>
      </c>
      <c r="J37" s="308">
        <f>IFERROR(AVERAGEIFS(EarningsPerDay[$/Mile],EarningsPerDay[Primary Area],$C37,EarningsPerDay[DOW],J$35,EarningsPerDay[Quarter],Scheduling!$R$17,EarningsPerDay[Type],"Hourly"),"")</f>
        <v>0.80661661681374552</v>
      </c>
      <c r="L37" s="308">
        <f>IFERROR(AVERAGEIFS(EarningsPerDay[$/Mile],EarningsPerDay[Primary Area],$C37,EarningsPerDay[DOW],L$35,EarningsPerDay[Quarter],Scheduling!$R$17,EarningsPerDay[Type],"Order"),"")</f>
        <v>1.0379766603468528</v>
      </c>
      <c r="M37" s="308">
        <f>IFERROR(AVERAGEIFS(EarningsPerDay[$/Mile],EarningsPerDay[Primary Area],$C37,EarningsPerDay[DOW],M$35,EarningsPerDay[Quarter],Scheduling!$R$17,EarningsPerDay[Type],"Order"),"")</f>
        <v>0.94384542048636366</v>
      </c>
      <c r="N37" s="308">
        <f>IFERROR(AVERAGEIFS(EarningsPerDay[$/Mile],EarningsPerDay[Primary Area],$C37,EarningsPerDay[DOW],N$35,EarningsPerDay[Quarter],Scheduling!$R$17,EarningsPerDay[Type],"Order"),"")</f>
        <v>0.98132811792105057</v>
      </c>
      <c r="O37" s="308">
        <f>IFERROR(AVERAGEIFS(EarningsPerDay[$/Mile],EarningsPerDay[Primary Area],$C37,EarningsPerDay[DOW],O$35,EarningsPerDay[Quarter],Scheduling!$R$17,EarningsPerDay[Type],"Order"),"")</f>
        <v>1.0424206879572373</v>
      </c>
      <c r="P37" s="308">
        <f>IFERROR(AVERAGEIFS(EarningsPerDay[$/Mile],EarningsPerDay[Primary Area],$C37,EarningsPerDay[DOW],P$35,EarningsPerDay[Quarter],Scheduling!$R$17,EarningsPerDay[Type],"Order"),"")</f>
        <v>1.1154883054579368</v>
      </c>
      <c r="Q37" s="308">
        <f>IFERROR(AVERAGEIFS(EarningsPerDay[$/Mile],EarningsPerDay[Primary Area],$C37,EarningsPerDay[DOW],Q$35,EarningsPerDay[Quarter],Scheduling!$R$17,EarningsPerDay[Type],"Order"),"")</f>
        <v>1.0298845758166999</v>
      </c>
      <c r="R37" s="308">
        <f>IFERROR(AVERAGEIFS(EarningsPerDay[$/Mile],EarningsPerDay[Primary Area],$C37,EarningsPerDay[DOW],R$35,EarningsPerDay[Quarter],Scheduling!$R$17,EarningsPerDay[Type],"Order"),"")</f>
        <v>1.1875099523885937</v>
      </c>
      <c r="T37" s="314">
        <f>D37</f>
        <v>1.0495312499999998</v>
      </c>
      <c r="U37" s="314">
        <f>L37</f>
        <v>1.0379766603468528</v>
      </c>
      <c r="V37" s="313">
        <f t="shared" ref="V37:V40" si="22">IF(COUNTBLANK(T37:U37)&gt;0,3,MATCH(MAX(T37:U37),T37:U37,0))</f>
        <v>1</v>
      </c>
      <c r="W37" s="314">
        <f>E37</f>
        <v>0.87711100672111009</v>
      </c>
      <c r="X37" s="314">
        <f>M37</f>
        <v>0.94384542048636366</v>
      </c>
      <c r="Y37" s="313">
        <f t="shared" ref="Y37:Y40" si="23">IF(COUNTBLANK(W37:X37)&gt;0,3,MATCH(MAX(W37:X37),W37:X37,0))</f>
        <v>2</v>
      </c>
      <c r="Z37" s="314">
        <f>F37</f>
        <v>1.0711676838619619</v>
      </c>
      <c r="AA37" s="314">
        <f>N37</f>
        <v>0.98132811792105057</v>
      </c>
      <c r="AB37" s="313">
        <f t="shared" ref="AB37:AB40" si="24">IF(COUNTBLANK(Z37:AA37)&gt;0,3,MATCH(MAX(Z37:AA37),Z37:AA37,0))</f>
        <v>1</v>
      </c>
      <c r="AC37" s="314">
        <f>G37</f>
        <v>0.90595744680851065</v>
      </c>
      <c r="AD37" s="314">
        <f>O37</f>
        <v>1.0424206879572373</v>
      </c>
      <c r="AE37" s="313">
        <f t="shared" ref="AE37:AE40" si="25">IF(COUNTBLANK(AC37:AD37)&gt;0,3,MATCH(MAX(AC37:AD37),AC37:AD37,0))</f>
        <v>2</v>
      </c>
      <c r="AF37" s="314">
        <f>H37</f>
        <v>0.96095808383233539</v>
      </c>
      <c r="AG37" s="314">
        <f>P37</f>
        <v>1.1154883054579368</v>
      </c>
      <c r="AH37" s="313">
        <f t="shared" ref="AH37:AH40" si="26">IF(COUNTBLANK(AF37:AG37)&gt;0,3,MATCH(MAX(AF37:AG37),AF37:AG37,0))</f>
        <v>2</v>
      </c>
      <c r="AI37" s="314">
        <f>I37</f>
        <v>0.99031915760316114</v>
      </c>
      <c r="AJ37" s="314">
        <f>Q37</f>
        <v>1.0298845758166999</v>
      </c>
      <c r="AK37" s="313">
        <f t="shared" ref="AK37:AK40" si="27">IF(COUNTBLANK(AI37:AJ37)&gt;0,3,MATCH(MAX(AI37:AJ37),AI37:AJ37,0))</f>
        <v>2</v>
      </c>
      <c r="AL37" s="314">
        <f>J37</f>
        <v>0.80661661681374552</v>
      </c>
      <c r="AM37" s="314">
        <f>R37</f>
        <v>1.1875099523885937</v>
      </c>
      <c r="AN37" s="313">
        <f t="shared" ref="AN37:AN40" si="28">IF(COUNTBLANK(AL37:AM37)&gt;0,3,MATCH(MAX(AL37:AM37),AL37:AM37,0))</f>
        <v>2</v>
      </c>
    </row>
    <row r="38" spans="3:40" x14ac:dyDescent="0.35">
      <c r="C38" s="86" t="s">
        <v>82</v>
      </c>
      <c r="D38" s="308" t="str">
        <f>IFERROR(AVERAGEIFS(EarningsPerDay[$/Mile],EarningsPerDay[Primary Area],$C38,EarningsPerDay[DOW],D$35,EarningsPerDay[Quarter],Scheduling!$R$17,EarningsPerDay[Type],"Hourly"),"")</f>
        <v/>
      </c>
      <c r="E38" s="308" t="str">
        <f>IFERROR(AVERAGEIFS(EarningsPerDay[$/Mile],EarningsPerDay[Primary Area],$C38,EarningsPerDay[DOW],E$35,EarningsPerDay[Quarter],Scheduling!$R$17,EarningsPerDay[Type],"Hourly"),"")</f>
        <v/>
      </c>
      <c r="F38" s="308" t="str">
        <f>IFERROR(AVERAGEIFS(EarningsPerDay[$/Mile],EarningsPerDay[Primary Area],$C38,EarningsPerDay[DOW],F$35,EarningsPerDay[Quarter],Scheduling!$R$17,EarningsPerDay[Type],"Hourly"),"")</f>
        <v/>
      </c>
      <c r="G38" s="308">
        <f>IFERROR(AVERAGEIFS(EarningsPerDay[$/Mile],EarningsPerDay[Primary Area],$C38,EarningsPerDay[DOW],G$35,EarningsPerDay[Quarter],Scheduling!$R$17,EarningsPerDay[Type],"Hourly"),"")</f>
        <v>1.0618981481481482</v>
      </c>
      <c r="H38" s="308" t="str">
        <f>IFERROR(AVERAGEIFS(EarningsPerDay[$/Mile],EarningsPerDay[Primary Area],$C38,EarningsPerDay[DOW],H$35,EarningsPerDay[Quarter],Scheduling!$R$17,EarningsPerDay[Type],"Hourly"),"")</f>
        <v/>
      </c>
      <c r="I38" s="308">
        <f>IFERROR(AVERAGEIFS(EarningsPerDay[$/Mile],EarningsPerDay[Primary Area],$C38,EarningsPerDay[DOW],I$35,EarningsPerDay[Quarter],Scheduling!$R$17,EarningsPerDay[Type],"Hourly"),"")</f>
        <v>1.6895312500000002</v>
      </c>
      <c r="J38" s="308" t="str">
        <f>IFERROR(AVERAGEIFS(EarningsPerDay[$/Mile],EarningsPerDay[Primary Area],$C38,EarningsPerDay[DOW],J$35,EarningsPerDay[Quarter],Scheduling!$R$17,EarningsPerDay[Type],"Hourly"),"")</f>
        <v/>
      </c>
      <c r="L38" s="308">
        <f>IFERROR(AVERAGEIFS(EarningsPerDay[$/Mile],EarningsPerDay[Primary Area],$C38,EarningsPerDay[DOW],L$35,EarningsPerDay[Quarter],Scheduling!$R$17,EarningsPerDay[Type],"Order"),"")</f>
        <v>0.94200113186191281</v>
      </c>
      <c r="M38" s="308">
        <f>IFERROR(AVERAGEIFS(EarningsPerDay[$/Mile],EarningsPerDay[Primary Area],$C38,EarningsPerDay[DOW],M$35,EarningsPerDay[Quarter],Scheduling!$R$17,EarningsPerDay[Type],"Order"),"")</f>
        <v>0.89092662002332157</v>
      </c>
      <c r="N38" s="308">
        <f>IFERROR(AVERAGEIFS(EarningsPerDay[$/Mile],EarningsPerDay[Primary Area],$C38,EarningsPerDay[DOW],N$35,EarningsPerDay[Quarter],Scheduling!$R$17,EarningsPerDay[Type],"Order"),"")</f>
        <v>0.75384737694739368</v>
      </c>
      <c r="O38" s="308">
        <f>IFERROR(AVERAGEIFS(EarningsPerDay[$/Mile],EarningsPerDay[Primary Area],$C38,EarningsPerDay[DOW],O$35,EarningsPerDay[Quarter],Scheduling!$R$17,EarningsPerDay[Type],"Order"),"")</f>
        <v>1.4963436803436843</v>
      </c>
      <c r="P38" s="308">
        <f>IFERROR(AVERAGEIFS(EarningsPerDay[$/Mile],EarningsPerDay[Primary Area],$C38,EarningsPerDay[DOW],P$35,EarningsPerDay[Quarter],Scheduling!$R$17,EarningsPerDay[Type],"Order"),"")</f>
        <v>1.0477974193381054</v>
      </c>
      <c r="Q38" s="308">
        <f>IFERROR(AVERAGEIFS(EarningsPerDay[$/Mile],EarningsPerDay[Primary Area],$C38,EarningsPerDay[DOW],Q$35,EarningsPerDay[Quarter],Scheduling!$R$17,EarningsPerDay[Type],"Order"),"")</f>
        <v>1.4104445279511328</v>
      </c>
      <c r="R38" s="308">
        <f>IFERROR(AVERAGEIFS(EarningsPerDay[$/Mile],EarningsPerDay[Primary Area],$C38,EarningsPerDay[DOW],R$35,EarningsPerDay[Quarter],Scheduling!$R$17,EarningsPerDay[Type],"Order"),"")</f>
        <v>1.147511677681337</v>
      </c>
      <c r="T38" s="314" t="str">
        <f>D38</f>
        <v/>
      </c>
      <c r="U38" s="314">
        <f>L38</f>
        <v>0.94200113186191281</v>
      </c>
      <c r="V38" s="313">
        <f t="shared" si="22"/>
        <v>3</v>
      </c>
      <c r="W38" s="314" t="str">
        <f>E38</f>
        <v/>
      </c>
      <c r="X38" s="314">
        <f>M38</f>
        <v>0.89092662002332157</v>
      </c>
      <c r="Y38" s="313">
        <f t="shared" si="23"/>
        <v>3</v>
      </c>
      <c r="Z38" s="314" t="str">
        <f>F38</f>
        <v/>
      </c>
      <c r="AA38" s="314">
        <f>N38</f>
        <v>0.75384737694739368</v>
      </c>
      <c r="AB38" s="313">
        <f t="shared" si="24"/>
        <v>3</v>
      </c>
      <c r="AC38" s="314">
        <f>G38</f>
        <v>1.0618981481481482</v>
      </c>
      <c r="AD38" s="314">
        <f>O38</f>
        <v>1.4963436803436843</v>
      </c>
      <c r="AE38" s="313">
        <f t="shared" si="25"/>
        <v>2</v>
      </c>
      <c r="AF38" s="314" t="str">
        <f>H38</f>
        <v/>
      </c>
      <c r="AG38" s="314">
        <f>P38</f>
        <v>1.0477974193381054</v>
      </c>
      <c r="AH38" s="313">
        <f t="shared" si="26"/>
        <v>3</v>
      </c>
      <c r="AI38" s="314">
        <f>I38</f>
        <v>1.6895312500000002</v>
      </c>
      <c r="AJ38" s="314">
        <f>Q38</f>
        <v>1.4104445279511328</v>
      </c>
      <c r="AK38" s="313">
        <f t="shared" si="27"/>
        <v>1</v>
      </c>
      <c r="AL38" s="314" t="str">
        <f>J38</f>
        <v/>
      </c>
      <c r="AM38" s="314">
        <f>R38</f>
        <v>1.147511677681337</v>
      </c>
      <c r="AN38" s="313">
        <f t="shared" si="28"/>
        <v>3</v>
      </c>
    </row>
    <row r="39" spans="3:40" ht="15" thickBot="1" x14ac:dyDescent="0.4">
      <c r="C39" s="87" t="s">
        <v>85</v>
      </c>
      <c r="D39" s="308" t="str">
        <f>IFERROR(AVERAGEIFS(EarningsPerDay[$/Mile],EarningsPerDay[Primary Area],$C39,EarningsPerDay[DOW],D$35,EarningsPerDay[Quarter],Scheduling!$R$17,EarningsPerDay[Type],"Hourly"),"")</f>
        <v/>
      </c>
      <c r="E39" s="308" t="str">
        <f>IFERROR(AVERAGEIFS(EarningsPerDay[$/Mile],EarningsPerDay[Primary Area],$C39,EarningsPerDay[DOW],E$35,EarningsPerDay[Quarter],Scheduling!$R$17,EarningsPerDay[Type],"Hourly"),"")</f>
        <v/>
      </c>
      <c r="F39" s="308">
        <f>IFERROR(AVERAGEIFS(EarningsPerDay[$/Mile],EarningsPerDay[Primary Area],$C39,EarningsPerDay[DOW],F$35,EarningsPerDay[Quarter],Scheduling!$R$17,EarningsPerDay[Type],"Hourly"),"")</f>
        <v>0.89795918367346939</v>
      </c>
      <c r="G39" s="308" t="str">
        <f>IFERROR(AVERAGEIFS(EarningsPerDay[$/Mile],EarningsPerDay[Primary Area],$C39,EarningsPerDay[DOW],G$35,EarningsPerDay[Quarter],Scheduling!$R$17,EarningsPerDay[Type],"Hourly"),"")</f>
        <v/>
      </c>
      <c r="H39" s="308" t="str">
        <f>IFERROR(AVERAGEIFS(EarningsPerDay[$/Mile],EarningsPerDay[Primary Area],$C39,EarningsPerDay[DOW],H$35,EarningsPerDay[Quarter],Scheduling!$R$17,EarningsPerDay[Type],"Hourly"),"")</f>
        <v/>
      </c>
      <c r="I39" s="308">
        <f>IFERROR(AVERAGEIFS(EarningsPerDay[$/Mile],EarningsPerDay[Primary Area],$C39,EarningsPerDay[DOW],I$35,EarningsPerDay[Quarter],Scheduling!$R$17,EarningsPerDay[Type],"Hourly"),"")</f>
        <v>1.1061734693877552</v>
      </c>
      <c r="J39" s="308">
        <f>IFERROR(AVERAGEIFS(EarningsPerDay[$/Mile],EarningsPerDay[Primary Area],$C39,EarningsPerDay[DOW],J$35,EarningsPerDay[Quarter],Scheduling!$R$17,EarningsPerDay[Type],"Hourly"),"")</f>
        <v>0.71861111111111109</v>
      </c>
      <c r="L39" s="308">
        <f>IFERROR(AVERAGEIFS(EarningsPerDay[$/Mile],EarningsPerDay[Primary Area],$C39,EarningsPerDay[DOW],L$35,EarningsPerDay[Quarter],Scheduling!$R$17,EarningsPerDay[Type],"Order"),"")</f>
        <v>1.1309012067502424</v>
      </c>
      <c r="M39" s="308">
        <f>IFERROR(AVERAGEIFS(EarningsPerDay[$/Mile],EarningsPerDay[Primary Area],$C39,EarningsPerDay[DOW],M$35,EarningsPerDay[Quarter],Scheduling!$R$17,EarningsPerDay[Type],"Order"),"")</f>
        <v>0.93099194407870423</v>
      </c>
      <c r="N39" s="308">
        <f>IFERROR(AVERAGEIFS(EarningsPerDay[$/Mile],EarningsPerDay[Primary Area],$C39,EarningsPerDay[DOW],N$35,EarningsPerDay[Quarter],Scheduling!$R$17,EarningsPerDay[Type],"Order"),"")</f>
        <v>0.72134615384615386</v>
      </c>
      <c r="O39" s="308">
        <f>IFERROR(AVERAGEIFS(EarningsPerDay[$/Mile],EarningsPerDay[Primary Area],$C39,EarningsPerDay[DOW],O$35,EarningsPerDay[Quarter],Scheduling!$R$17,EarningsPerDay[Type],"Order"),"")</f>
        <v>0.98794365681306351</v>
      </c>
      <c r="P39" s="308">
        <f>IFERROR(AVERAGEIFS(EarningsPerDay[$/Mile],EarningsPerDay[Primary Area],$C39,EarningsPerDay[DOW],P$35,EarningsPerDay[Quarter],Scheduling!$R$17,EarningsPerDay[Type],"Order"),"")</f>
        <v>0.84718287716213592</v>
      </c>
      <c r="Q39" s="308">
        <f>IFERROR(AVERAGEIFS(EarningsPerDay[$/Mile],EarningsPerDay[Primary Area],$C39,EarningsPerDay[DOW],Q$35,EarningsPerDay[Quarter],Scheduling!$R$17,EarningsPerDay[Type],"Order"),"")</f>
        <v>0.93353852801214532</v>
      </c>
      <c r="R39" s="308">
        <f>IFERROR(AVERAGEIFS(EarningsPerDay[$/Mile],EarningsPerDay[Primary Area],$C39,EarningsPerDay[DOW],R$35,EarningsPerDay[Quarter],Scheduling!$R$17,EarningsPerDay[Type],"Order"),"")</f>
        <v>0.98488227014503027</v>
      </c>
      <c r="T39" s="314" t="str">
        <f>D39</f>
        <v/>
      </c>
      <c r="U39" s="314">
        <f>L39</f>
        <v>1.1309012067502424</v>
      </c>
      <c r="V39" s="313">
        <f t="shared" si="22"/>
        <v>3</v>
      </c>
      <c r="W39" s="314" t="str">
        <f>E39</f>
        <v/>
      </c>
      <c r="X39" s="314">
        <f>M39</f>
        <v>0.93099194407870423</v>
      </c>
      <c r="Y39" s="313">
        <f t="shared" si="23"/>
        <v>3</v>
      </c>
      <c r="Z39" s="314">
        <f>F39</f>
        <v>0.89795918367346939</v>
      </c>
      <c r="AA39" s="314">
        <f>N39</f>
        <v>0.72134615384615386</v>
      </c>
      <c r="AB39" s="313">
        <f t="shared" si="24"/>
        <v>1</v>
      </c>
      <c r="AC39" s="314" t="str">
        <f>G39</f>
        <v/>
      </c>
      <c r="AD39" s="314">
        <f>O39</f>
        <v>0.98794365681306351</v>
      </c>
      <c r="AE39" s="313">
        <f t="shared" si="25"/>
        <v>3</v>
      </c>
      <c r="AF39" s="314" t="str">
        <f>H39</f>
        <v/>
      </c>
      <c r="AG39" s="314">
        <f>P39</f>
        <v>0.84718287716213592</v>
      </c>
      <c r="AH39" s="313">
        <f t="shared" si="26"/>
        <v>3</v>
      </c>
      <c r="AI39" s="314">
        <f>I39</f>
        <v>1.1061734693877552</v>
      </c>
      <c r="AJ39" s="314">
        <f>Q39</f>
        <v>0.93353852801214532</v>
      </c>
      <c r="AK39" s="313">
        <f t="shared" si="27"/>
        <v>1</v>
      </c>
      <c r="AL39" s="314">
        <f>J39</f>
        <v>0.71861111111111109</v>
      </c>
      <c r="AM39" s="314">
        <f>R39</f>
        <v>0.98488227014503027</v>
      </c>
      <c r="AN39" s="313">
        <f t="shared" si="28"/>
        <v>2</v>
      </c>
    </row>
    <row r="40" spans="3:40" ht="15" thickBot="1" x14ac:dyDescent="0.4">
      <c r="C40" s="53" t="s">
        <v>41</v>
      </c>
      <c r="D40" s="80">
        <f t="shared" ref="D40:J40" si="29">MAX(D36:D39)</f>
        <v>1.0495312499999998</v>
      </c>
      <c r="E40" s="80">
        <f t="shared" si="29"/>
        <v>0.87711100672111009</v>
      </c>
      <c r="F40" s="80">
        <f t="shared" si="29"/>
        <v>1.0711676838619619</v>
      </c>
      <c r="G40" s="80">
        <f t="shared" si="29"/>
        <v>1.0618981481481482</v>
      </c>
      <c r="H40" s="80">
        <f t="shared" si="29"/>
        <v>0.96095808383233539</v>
      </c>
      <c r="I40" s="80">
        <f t="shared" si="29"/>
        <v>1.6895312500000002</v>
      </c>
      <c r="J40" s="80">
        <f t="shared" si="29"/>
        <v>0.95834868704261722</v>
      </c>
      <c r="L40" s="80">
        <f t="shared" ref="L40:R40" si="30">MAX(L36:L39)</f>
        <v>1.1309012067502424</v>
      </c>
      <c r="M40" s="80">
        <f t="shared" si="30"/>
        <v>0.94384542048636366</v>
      </c>
      <c r="N40" s="80">
        <f t="shared" si="30"/>
        <v>0.98132811792105057</v>
      </c>
      <c r="O40" s="80">
        <f t="shared" si="30"/>
        <v>1.4963436803436843</v>
      </c>
      <c r="P40" s="80">
        <f t="shared" si="30"/>
        <v>1.1154883054579368</v>
      </c>
      <c r="Q40" s="80">
        <f t="shared" si="30"/>
        <v>1.4104445279511328</v>
      </c>
      <c r="R40" s="80">
        <f t="shared" si="30"/>
        <v>1.1875099523885937</v>
      </c>
      <c r="T40" s="314">
        <f>D40</f>
        <v>1.0495312499999998</v>
      </c>
      <c r="U40" s="314">
        <f>L40</f>
        <v>1.1309012067502424</v>
      </c>
      <c r="V40" s="313">
        <f t="shared" si="22"/>
        <v>2</v>
      </c>
      <c r="W40" s="314">
        <f>E40</f>
        <v>0.87711100672111009</v>
      </c>
      <c r="X40" s="314">
        <f>M40</f>
        <v>0.94384542048636366</v>
      </c>
      <c r="Y40" s="313">
        <f t="shared" si="23"/>
        <v>2</v>
      </c>
      <c r="Z40" s="314">
        <f>F40</f>
        <v>1.0711676838619619</v>
      </c>
      <c r="AA40" s="314">
        <f>N40</f>
        <v>0.98132811792105057</v>
      </c>
      <c r="AB40" s="313">
        <f t="shared" si="24"/>
        <v>1</v>
      </c>
      <c r="AC40" s="314">
        <f>G40</f>
        <v>1.0618981481481482</v>
      </c>
      <c r="AD40" s="314">
        <f>O40</f>
        <v>1.4963436803436843</v>
      </c>
      <c r="AE40" s="313">
        <f t="shared" si="25"/>
        <v>2</v>
      </c>
      <c r="AF40" s="314">
        <f>H40</f>
        <v>0.96095808383233539</v>
      </c>
      <c r="AG40" s="314">
        <f>P40</f>
        <v>1.1154883054579368</v>
      </c>
      <c r="AH40" s="313">
        <f t="shared" si="26"/>
        <v>2</v>
      </c>
      <c r="AI40" s="314">
        <f>I40</f>
        <v>1.6895312500000002</v>
      </c>
      <c r="AJ40" s="314">
        <f>Q40</f>
        <v>1.4104445279511328</v>
      </c>
      <c r="AK40" s="313">
        <f t="shared" si="27"/>
        <v>1</v>
      </c>
      <c r="AL40" s="314">
        <f>J40</f>
        <v>0.95834868704261722</v>
      </c>
      <c r="AM40" s="314">
        <f>R40</f>
        <v>1.1875099523885937</v>
      </c>
      <c r="AN40" s="313">
        <f t="shared" si="28"/>
        <v>2</v>
      </c>
    </row>
    <row r="41" spans="3:40" ht="15" thickBot="1" x14ac:dyDescent="0.4">
      <c r="C41" s="53" t="s">
        <v>87</v>
      </c>
      <c r="D41" s="54">
        <f t="shared" ref="D41:J41" si="31">_xlfn.RANK.EQ(D40,$D$40:$J$40,0)</f>
        <v>4</v>
      </c>
      <c r="E41" s="54">
        <f t="shared" si="31"/>
        <v>7</v>
      </c>
      <c r="F41" s="54">
        <f t="shared" si="31"/>
        <v>2</v>
      </c>
      <c r="G41" s="54">
        <f t="shared" si="31"/>
        <v>3</v>
      </c>
      <c r="H41" s="54">
        <f t="shared" si="31"/>
        <v>5</v>
      </c>
      <c r="I41" s="54">
        <f t="shared" si="31"/>
        <v>1</v>
      </c>
      <c r="J41" s="54">
        <f t="shared" si="31"/>
        <v>6</v>
      </c>
      <c r="L41" s="54">
        <f>_xlfn.RANK.EQ(L40,$L$40:$R$40,0)</f>
        <v>4</v>
      </c>
      <c r="M41" s="54">
        <f t="shared" ref="M41:R41" si="32">_xlfn.RANK.EQ(M40,$L$40:$R$40,0)</f>
        <v>7</v>
      </c>
      <c r="N41" s="54">
        <f t="shared" si="32"/>
        <v>6</v>
      </c>
      <c r="O41" s="54">
        <f t="shared" si="32"/>
        <v>1</v>
      </c>
      <c r="P41" s="54">
        <f t="shared" si="32"/>
        <v>5</v>
      </c>
      <c r="Q41" s="54">
        <f t="shared" si="32"/>
        <v>2</v>
      </c>
      <c r="R41" s="54">
        <f t="shared" si="32"/>
        <v>3</v>
      </c>
      <c r="T41" s="528"/>
      <c r="U41" s="529"/>
      <c r="V41" s="529"/>
      <c r="W41" s="529"/>
      <c r="X41" s="529"/>
      <c r="Y41" s="529"/>
      <c r="Z41" s="529"/>
      <c r="AA41" s="529"/>
      <c r="AB41" s="529"/>
      <c r="AC41" s="529"/>
      <c r="AD41" s="529"/>
      <c r="AE41" s="529"/>
      <c r="AF41" s="529"/>
      <c r="AG41" s="529"/>
      <c r="AH41" s="529"/>
      <c r="AI41" s="529"/>
      <c r="AJ41" s="529"/>
      <c r="AK41" s="529"/>
      <c r="AL41" s="529"/>
      <c r="AM41" s="529"/>
      <c r="AN41" s="530"/>
    </row>
    <row r="42" spans="3:40" x14ac:dyDescent="0.35">
      <c r="T42" s="531"/>
      <c r="U42" s="481"/>
      <c r="V42" s="481"/>
      <c r="W42" s="481"/>
      <c r="X42" s="481"/>
      <c r="Y42" s="481"/>
      <c r="Z42" s="481"/>
      <c r="AA42" s="481"/>
      <c r="AB42" s="481"/>
      <c r="AC42" s="481"/>
      <c r="AD42" s="481"/>
      <c r="AE42" s="481"/>
      <c r="AF42" s="481"/>
      <c r="AG42" s="481"/>
      <c r="AH42" s="481"/>
      <c r="AI42" s="481"/>
      <c r="AJ42" s="481"/>
      <c r="AK42" s="481"/>
      <c r="AL42" s="481"/>
      <c r="AM42" s="481"/>
      <c r="AN42" s="532"/>
    </row>
    <row r="43" spans="3:40" x14ac:dyDescent="0.35">
      <c r="C43" s="491" t="s">
        <v>311</v>
      </c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T43" s="531"/>
      <c r="U43" s="481"/>
      <c r="V43" s="481"/>
      <c r="W43" s="481"/>
      <c r="X43" s="481"/>
      <c r="Y43" s="481"/>
      <c r="Z43" s="481"/>
      <c r="AA43" s="481"/>
      <c r="AB43" s="481"/>
      <c r="AC43" s="481"/>
      <c r="AD43" s="481"/>
      <c r="AE43" s="481"/>
      <c r="AF43" s="481"/>
      <c r="AG43" s="481"/>
      <c r="AH43" s="481"/>
      <c r="AI43" s="481"/>
      <c r="AJ43" s="481"/>
      <c r="AK43" s="481"/>
      <c r="AL43" s="481"/>
      <c r="AM43" s="481"/>
      <c r="AN43" s="532"/>
    </row>
    <row r="44" spans="3:40" x14ac:dyDescent="0.35">
      <c r="C44" s="97" t="s">
        <v>74</v>
      </c>
      <c r="D44" s="302" t="s">
        <v>45</v>
      </c>
      <c r="E44" s="302" t="s">
        <v>46</v>
      </c>
      <c r="F44" s="302" t="s">
        <v>47</v>
      </c>
      <c r="G44" s="302" t="s">
        <v>48</v>
      </c>
      <c r="H44" s="302" t="s">
        <v>49</v>
      </c>
      <c r="I44" s="302" t="s">
        <v>50</v>
      </c>
      <c r="J44" s="302" t="s">
        <v>51</v>
      </c>
      <c r="K44" s="321"/>
      <c r="L44" s="302" t="s">
        <v>45</v>
      </c>
      <c r="M44" s="302" t="s">
        <v>46</v>
      </c>
      <c r="N44" s="302" t="s">
        <v>47</v>
      </c>
      <c r="O44" s="302" t="s">
        <v>48</v>
      </c>
      <c r="P44" s="302" t="s">
        <v>49</v>
      </c>
      <c r="Q44" s="302" t="s">
        <v>50</v>
      </c>
      <c r="R44" s="302" t="s">
        <v>51</v>
      </c>
      <c r="T44" s="533"/>
      <c r="U44" s="534"/>
      <c r="V44" s="534"/>
      <c r="W44" s="534"/>
      <c r="X44" s="534"/>
      <c r="Y44" s="534"/>
      <c r="Z44" s="534"/>
      <c r="AA44" s="534"/>
      <c r="AB44" s="534"/>
      <c r="AC44" s="534"/>
      <c r="AD44" s="534"/>
      <c r="AE44" s="534"/>
      <c r="AF44" s="534"/>
      <c r="AG44" s="534"/>
      <c r="AH44" s="534"/>
      <c r="AI44" s="534"/>
      <c r="AJ44" s="534"/>
      <c r="AK44" s="534"/>
      <c r="AL44" s="534"/>
      <c r="AM44" s="534"/>
      <c r="AN44" s="535"/>
    </row>
    <row r="45" spans="3:40" x14ac:dyDescent="0.35">
      <c r="C45" s="86" t="s">
        <v>174</v>
      </c>
      <c r="D45" s="99" t="str">
        <f>IFERROR(AVERAGEIFS(EarningsPerDay[Mi./Trip],EarningsPerDay[Primary Area],$C45,EarningsPerDay[DOW],D$44,EarningsPerDay[Quarter],Scheduling!$R$17,EarningsPerDay[Type],"Hourly"),"")</f>
        <v/>
      </c>
      <c r="E45" s="99">
        <f>IFERROR(AVERAGEIFS(EarningsPerDay[Mi./Trip],EarningsPerDay[Primary Area],$C45,EarningsPerDay[DOW],E$44,EarningsPerDay[Quarter],Scheduling!$R$17,EarningsPerDay[Type],"Hourly"),"")</f>
        <v>17.2</v>
      </c>
      <c r="F45" s="99" t="str">
        <f>IFERROR(AVERAGEIFS(EarningsPerDay[Mi./Trip],EarningsPerDay[Primary Area],$C45,EarningsPerDay[DOW],F$44,EarningsPerDay[Quarter],Scheduling!$R$17,EarningsPerDay[Type],"Hourly"),"")</f>
        <v/>
      </c>
      <c r="G45" s="99">
        <f>IFERROR(AVERAGEIFS(EarningsPerDay[Mi./Trip],EarningsPerDay[Primary Area],$C45,EarningsPerDay[DOW],G$44,EarningsPerDay[Quarter],Scheduling!$R$17,EarningsPerDay[Type],"Hourly"),"")</f>
        <v>17.75</v>
      </c>
      <c r="H45" s="99" t="str">
        <f>IFERROR(AVERAGEIFS(EarningsPerDay[Mi./Trip],EarningsPerDay[Primary Area],$C45,EarningsPerDay[DOW],H$44,EarningsPerDay[Quarter],Scheduling!$R$17,EarningsPerDay[Type],"Hourly"),"")</f>
        <v/>
      </c>
      <c r="I45" s="99">
        <f>IFERROR(AVERAGEIFS(EarningsPerDay[Mi./Trip],EarningsPerDay[Primary Area],$C45,EarningsPerDay[DOW],I$44,EarningsPerDay[Quarter],Scheduling!$R$17,EarningsPerDay[Type],"Hourly"),"")</f>
        <v>17.333333333333332</v>
      </c>
      <c r="J45" s="99">
        <f>IFERROR(AVERAGEIFS(EarningsPerDay[Mi./Trip],EarningsPerDay[Primary Area],$C45,EarningsPerDay[DOW],J$44,EarningsPerDay[Quarter],Scheduling!$R$17,EarningsPerDay[Type],"Hourly"),"")</f>
        <v>12.805194805194805</v>
      </c>
      <c r="L45" s="99">
        <f>IFERROR(AVERAGEIFS(EarningsPerDay[Mi./Trip],EarningsPerDay[Primary Area],$C45,EarningsPerDay[DOW],L$44,EarningsPerDay[Quarter],Scheduling!$R$17,EarningsPerDay[Type],"Order"),"")</f>
        <v>11.304563492063492</v>
      </c>
      <c r="M45" s="99">
        <f>IFERROR(AVERAGEIFS(EarningsPerDay[Mi./Trip],EarningsPerDay[Primary Area],$C45,EarningsPerDay[DOW],M$44,EarningsPerDay[Quarter],Scheduling!$R$17,EarningsPerDay[Type],"Order"),"")</f>
        <v>13.25</v>
      </c>
      <c r="N45" s="99">
        <f>IFERROR(AVERAGEIFS(EarningsPerDay[Mi./Trip],EarningsPerDay[Primary Area],$C45,EarningsPerDay[DOW],N$44,EarningsPerDay[Quarter],Scheduling!$R$17,EarningsPerDay[Type],"Order"),"")</f>
        <v>12.439393939393939</v>
      </c>
      <c r="O45" s="99">
        <f>IFERROR(AVERAGEIFS(EarningsPerDay[Mi./Trip],EarningsPerDay[Primary Area],$C45,EarningsPerDay[DOW],O$44,EarningsPerDay[Quarter],Scheduling!$R$17,EarningsPerDay[Type],"Order"),"")</f>
        <v>23.25</v>
      </c>
      <c r="P45" s="99">
        <f>IFERROR(AVERAGEIFS(EarningsPerDay[Mi./Trip],EarningsPerDay[Primary Area],$C45,EarningsPerDay[DOW],P$44,EarningsPerDay[Quarter],Scheduling!$R$17,EarningsPerDay[Type],"Order"),"")</f>
        <v>15.284615384615384</v>
      </c>
      <c r="Q45" s="99">
        <f>IFERROR(AVERAGEIFS(EarningsPerDay[Mi./Trip],EarningsPerDay[Primary Area],$C45,EarningsPerDay[DOW],Q$44,EarningsPerDay[Quarter],Scheduling!$R$17,EarningsPerDay[Type],"Order"),"")</f>
        <v>14.25</v>
      </c>
      <c r="R45" s="99">
        <f>IFERROR(AVERAGEIFS(EarningsPerDay[Mi./Trip],EarningsPerDay[Primary Area],$C45,EarningsPerDay[DOW],R$44,EarningsPerDay[Quarter],Scheduling!$R$17,EarningsPerDay[Type],"Order"),"")</f>
        <v>6.384615384615385</v>
      </c>
      <c r="T45" s="313" t="str">
        <f>D45</f>
        <v/>
      </c>
      <c r="U45" s="313">
        <f>L45</f>
        <v>11.304563492063492</v>
      </c>
      <c r="V45" s="313">
        <f>IF(COUNTBLANK(T45:U45)&gt;0,3,MATCH(MIN(T45:U45),T45:U45,0))</f>
        <v>3</v>
      </c>
      <c r="W45" s="313">
        <f>E45</f>
        <v>17.2</v>
      </c>
      <c r="X45" s="313">
        <f>M45</f>
        <v>13.25</v>
      </c>
      <c r="Y45" s="313">
        <f>IF(COUNTBLANK(W45:X45)&gt;0,3,MATCH(MIN(W45:X45),W45:X45,0))</f>
        <v>2</v>
      </c>
      <c r="Z45" s="313" t="str">
        <f>F45</f>
        <v/>
      </c>
      <c r="AA45" s="313">
        <f>N45</f>
        <v>12.439393939393939</v>
      </c>
      <c r="AB45" s="313">
        <f>IF(COUNTBLANK(Z45:AA45)&gt;0,3,MATCH(MIN(Z45:AA45),Z45:AA45,0))</f>
        <v>3</v>
      </c>
      <c r="AC45" s="313">
        <f>G45</f>
        <v>17.75</v>
      </c>
      <c r="AD45" s="313">
        <f>O45</f>
        <v>23.25</v>
      </c>
      <c r="AE45" s="313">
        <f>IF(COUNTBLANK(AC45:AD45)&gt;0,3,MATCH(MIN(AC45:AD45),AC45:AD45,0))</f>
        <v>1</v>
      </c>
      <c r="AF45" s="313" t="str">
        <f>H45</f>
        <v/>
      </c>
      <c r="AG45" s="313">
        <f>P45</f>
        <v>15.284615384615384</v>
      </c>
      <c r="AH45" s="313">
        <f>IF(COUNTBLANK(AF45:AG45)&gt;0,3,MATCH(MIN(AF45:AG45),AF45:AG45,0))</f>
        <v>3</v>
      </c>
      <c r="AI45" s="313">
        <f>I45</f>
        <v>17.333333333333332</v>
      </c>
      <c r="AJ45" s="313">
        <f>Q45</f>
        <v>14.25</v>
      </c>
      <c r="AK45" s="313">
        <f>IF(COUNTBLANK(AI45:AJ45)&gt;0,3,MATCH(MIN(AI45:AJ45),AI45:AJ45,0))</f>
        <v>2</v>
      </c>
      <c r="AL45" s="313">
        <f>J45</f>
        <v>12.805194805194805</v>
      </c>
      <c r="AM45" s="313">
        <f>R45</f>
        <v>6.384615384615385</v>
      </c>
      <c r="AN45" s="313">
        <f>IF(COUNTBLANK(AL45:AM45)&gt;0,3,MATCH(MIN(AL45:AM45),AL45:AM45,0))</f>
        <v>2</v>
      </c>
    </row>
    <row r="46" spans="3:40" x14ac:dyDescent="0.35">
      <c r="C46" s="85" t="s">
        <v>80</v>
      </c>
      <c r="D46" s="99">
        <f>IFERROR(AVERAGEIFS(EarningsPerDay[Mi./Trip],EarningsPerDay[Primary Area],$C46,EarningsPerDay[DOW],D$44,EarningsPerDay[Quarter],Scheduling!$R$17,EarningsPerDay[Type],"Hourly"),"")</f>
        <v>7.1111111111111107</v>
      </c>
      <c r="E46" s="99">
        <f>IFERROR(AVERAGEIFS(EarningsPerDay[Mi./Trip],EarningsPerDay[Primary Area],$C46,EarningsPerDay[DOW],E$44,EarningsPerDay[Quarter],Scheduling!$R$17,EarningsPerDay[Type],"Hourly"),"")</f>
        <v>13.441558441558442</v>
      </c>
      <c r="F46" s="99">
        <f>IFERROR(AVERAGEIFS(EarningsPerDay[Mi./Trip],EarningsPerDay[Primary Area],$C46,EarningsPerDay[DOW],F$44,EarningsPerDay[Quarter],Scheduling!$R$17,EarningsPerDay[Type],"Hourly"),"")</f>
        <v>10.629761904761905</v>
      </c>
      <c r="G46" s="99">
        <f>IFERROR(AVERAGEIFS(EarningsPerDay[Mi./Trip],EarningsPerDay[Primary Area],$C46,EarningsPerDay[DOW],G$44,EarningsPerDay[Quarter],Scheduling!$R$17,EarningsPerDay[Type],"Hourly"),"")</f>
        <v>11.75</v>
      </c>
      <c r="H46" s="99">
        <f>IFERROR(AVERAGEIFS(EarningsPerDay[Mi./Trip],EarningsPerDay[Primary Area],$C46,EarningsPerDay[DOW],H$44,EarningsPerDay[Quarter],Scheduling!$R$17,EarningsPerDay[Type],"Hourly"),"")</f>
        <v>13.916666666666666</v>
      </c>
      <c r="I46" s="99">
        <f>IFERROR(AVERAGEIFS(EarningsPerDay[Mi./Trip],EarningsPerDay[Primary Area],$C46,EarningsPerDay[DOW],I$44,EarningsPerDay[Quarter],Scheduling!$R$17,EarningsPerDay[Type],"Hourly"),"")</f>
        <v>11.213675213675211</v>
      </c>
      <c r="J46" s="99">
        <f>IFERROR(AVERAGEIFS(EarningsPerDay[Mi./Trip],EarningsPerDay[Primary Area],$C46,EarningsPerDay[DOW],J$44,EarningsPerDay[Quarter],Scheduling!$R$17,EarningsPerDay[Type],"Hourly"),"")</f>
        <v>12.564393939393939</v>
      </c>
      <c r="L46" s="99">
        <f>IFERROR(AVERAGEIFS(EarningsPerDay[Mi./Trip],EarningsPerDay[Primary Area],$C46,EarningsPerDay[DOW],L$44,EarningsPerDay[Quarter],Scheduling!$R$17,EarningsPerDay[Type],"Order"),"")</f>
        <v>10.973192891213722</v>
      </c>
      <c r="M46" s="99">
        <f>IFERROR(AVERAGEIFS(EarningsPerDay[Mi./Trip],EarningsPerDay[Primary Area],$C46,EarningsPerDay[DOW],M$44,EarningsPerDay[Quarter],Scheduling!$R$17,EarningsPerDay[Type],"Order"),"")</f>
        <v>11.431452586991801</v>
      </c>
      <c r="N46" s="99">
        <f>IFERROR(AVERAGEIFS(EarningsPerDay[Mi./Trip],EarningsPerDay[Primary Area],$C46,EarningsPerDay[DOW],N$44,EarningsPerDay[Quarter],Scheduling!$R$17,EarningsPerDay[Type],"Order"),"")</f>
        <v>11.975603075449566</v>
      </c>
      <c r="O46" s="99">
        <f>IFERROR(AVERAGEIFS(EarningsPerDay[Mi./Trip],EarningsPerDay[Primary Area],$C46,EarningsPerDay[DOW],O$44,EarningsPerDay[Quarter],Scheduling!$R$17,EarningsPerDay[Type],"Order"),"")</f>
        <v>10.693549926704689</v>
      </c>
      <c r="P46" s="99">
        <f>IFERROR(AVERAGEIFS(EarningsPerDay[Mi./Trip],EarningsPerDay[Primary Area],$C46,EarningsPerDay[DOW],P$44,EarningsPerDay[Quarter],Scheduling!$R$17,EarningsPerDay[Type],"Order"),"")</f>
        <v>10.340530996780995</v>
      </c>
      <c r="Q46" s="99">
        <f>IFERROR(AVERAGEIFS(EarningsPerDay[Mi./Trip],EarningsPerDay[Primary Area],$C46,EarningsPerDay[DOW],Q$44,EarningsPerDay[Quarter],Scheduling!$R$17,EarningsPerDay[Type],"Order"),"")</f>
        <v>12.185414844670898</v>
      </c>
      <c r="R46" s="99">
        <f>IFERROR(AVERAGEIFS(EarningsPerDay[Mi./Trip],EarningsPerDay[Primary Area],$C46,EarningsPerDay[DOW],R$44,EarningsPerDay[Quarter],Scheduling!$R$17,EarningsPerDay[Type],"Order"),"")</f>
        <v>9.5919448442504009</v>
      </c>
      <c r="T46" s="313">
        <f>D46</f>
        <v>7.1111111111111107</v>
      </c>
      <c r="U46" s="313">
        <f>L46</f>
        <v>10.973192891213722</v>
      </c>
      <c r="V46" s="313">
        <f t="shared" ref="V46:V49" si="33">IF(COUNTBLANK(T46:U46)&gt;0,3,MATCH(MIN(T46:U46),T46:U46,0))</f>
        <v>1</v>
      </c>
      <c r="W46" s="313">
        <f>E46</f>
        <v>13.441558441558442</v>
      </c>
      <c r="X46" s="313">
        <f>M46</f>
        <v>11.431452586991801</v>
      </c>
      <c r="Y46" s="313">
        <f t="shared" ref="Y46:Y49" si="34">IF(COUNTBLANK(W46:X46)&gt;0,3,MATCH(MIN(W46:X46),W46:X46,0))</f>
        <v>2</v>
      </c>
      <c r="Z46" s="313">
        <f>F46</f>
        <v>10.629761904761905</v>
      </c>
      <c r="AA46" s="313">
        <f>N46</f>
        <v>11.975603075449566</v>
      </c>
      <c r="AB46" s="313">
        <f t="shared" ref="AB46:AB49" si="35">IF(COUNTBLANK(Z46:AA46)&gt;0,3,MATCH(MIN(Z46:AA46),Z46:AA46,0))</f>
        <v>1</v>
      </c>
      <c r="AC46" s="313">
        <f>G46</f>
        <v>11.75</v>
      </c>
      <c r="AD46" s="313">
        <f>O46</f>
        <v>10.693549926704689</v>
      </c>
      <c r="AE46" s="313">
        <f t="shared" ref="AE46:AE49" si="36">IF(COUNTBLANK(AC46:AD46)&gt;0,3,MATCH(MIN(AC46:AD46),AC46:AD46,0))</f>
        <v>2</v>
      </c>
      <c r="AF46" s="313">
        <f>H46</f>
        <v>13.916666666666666</v>
      </c>
      <c r="AG46" s="313">
        <f>P46</f>
        <v>10.340530996780995</v>
      </c>
      <c r="AH46" s="313">
        <f t="shared" ref="AH46:AH49" si="37">IF(COUNTBLANK(AF46:AG46)&gt;0,3,MATCH(MIN(AF46:AG46),AF46:AG46,0))</f>
        <v>2</v>
      </c>
      <c r="AI46" s="313">
        <f>I46</f>
        <v>11.213675213675211</v>
      </c>
      <c r="AJ46" s="313">
        <f>Q46</f>
        <v>12.185414844670898</v>
      </c>
      <c r="AK46" s="313">
        <f t="shared" ref="AK46:AK49" si="38">IF(COUNTBLANK(AI46:AJ46)&gt;0,3,MATCH(MIN(AI46:AJ46),AI46:AJ46,0))</f>
        <v>1</v>
      </c>
      <c r="AL46" s="313">
        <f>J46</f>
        <v>12.564393939393939</v>
      </c>
      <c r="AM46" s="313">
        <f>R46</f>
        <v>9.5919448442504009</v>
      </c>
      <c r="AN46" s="313">
        <f t="shared" ref="AN46:AN49" si="39">IF(COUNTBLANK(AL46:AM46)&gt;0,3,MATCH(MIN(AL46:AM46),AL46:AM46,0))</f>
        <v>2</v>
      </c>
    </row>
    <row r="47" spans="3:40" x14ac:dyDescent="0.35">
      <c r="C47" s="86" t="s">
        <v>82</v>
      </c>
      <c r="D47" s="99" t="str">
        <f>IFERROR(AVERAGEIFS(EarningsPerDay[Mi./Trip],EarningsPerDay[Primary Area],$C47,EarningsPerDay[DOW],D$44,EarningsPerDay[Quarter],Scheduling!$R$17,EarningsPerDay[Type],"Hourly"),"")</f>
        <v/>
      </c>
      <c r="E47" s="99" t="str">
        <f>IFERROR(AVERAGEIFS(EarningsPerDay[Mi./Trip],EarningsPerDay[Primary Area],$C47,EarningsPerDay[DOW],E$44,EarningsPerDay[Quarter],Scheduling!$R$17,EarningsPerDay[Type],"Hourly"),"")</f>
        <v/>
      </c>
      <c r="F47" s="99" t="str">
        <f>IFERROR(AVERAGEIFS(EarningsPerDay[Mi./Trip],EarningsPerDay[Primary Area],$C47,EarningsPerDay[DOW],F$44,EarningsPerDay[Quarter],Scheduling!$R$17,EarningsPerDay[Type],"Hourly"),"")</f>
        <v/>
      </c>
      <c r="G47" s="99">
        <f>IFERROR(AVERAGEIFS(EarningsPerDay[Mi./Trip],EarningsPerDay[Primary Area],$C47,EarningsPerDay[DOW],G$44,EarningsPerDay[Quarter],Scheduling!$R$17,EarningsPerDay[Type],"Hourly"),"")</f>
        <v>8.6666666666666679</v>
      </c>
      <c r="H47" s="99" t="str">
        <f>IFERROR(AVERAGEIFS(EarningsPerDay[Mi./Trip],EarningsPerDay[Primary Area],$C47,EarningsPerDay[DOW],H$44,EarningsPerDay[Quarter],Scheduling!$R$17,EarningsPerDay[Type],"Hourly"),"")</f>
        <v/>
      </c>
      <c r="I47" s="99">
        <f>IFERROR(AVERAGEIFS(EarningsPerDay[Mi./Trip],EarningsPerDay[Primary Area],$C47,EarningsPerDay[DOW],I$44,EarningsPerDay[Quarter],Scheduling!$R$17,EarningsPerDay[Type],"Hourly"),"")</f>
        <v>10.666666666666666</v>
      </c>
      <c r="J47" s="99" t="str">
        <f>IFERROR(AVERAGEIFS(EarningsPerDay[Mi./Trip],EarningsPerDay[Primary Area],$C47,EarningsPerDay[DOW],J$44,EarningsPerDay[Quarter],Scheduling!$R$17,EarningsPerDay[Type],"Hourly"),"")</f>
        <v/>
      </c>
      <c r="L47" s="99">
        <f>IFERROR(AVERAGEIFS(EarningsPerDay[Mi./Trip],EarningsPerDay[Primary Area],$C47,EarningsPerDay[DOW],L$44,EarningsPerDay[Quarter],Scheduling!$R$17,EarningsPerDay[Type],"Order"),"")</f>
        <v>8.328125</v>
      </c>
      <c r="M47" s="99">
        <f>IFERROR(AVERAGEIFS(EarningsPerDay[Mi./Trip],EarningsPerDay[Primary Area],$C47,EarningsPerDay[DOW],M$44,EarningsPerDay[Quarter],Scheduling!$R$17,EarningsPerDay[Type],"Order"),"")</f>
        <v>9.1873015873015884</v>
      </c>
      <c r="N47" s="99">
        <f>IFERROR(AVERAGEIFS(EarningsPerDay[Mi./Trip],EarningsPerDay[Primary Area],$C47,EarningsPerDay[DOW],N$44,EarningsPerDay[Quarter],Scheduling!$R$17,EarningsPerDay[Type],"Order"),"")</f>
        <v>9.9432359307359306</v>
      </c>
      <c r="O47" s="99">
        <f>IFERROR(AVERAGEIFS(EarningsPerDay[Mi./Trip],EarningsPerDay[Primary Area],$C47,EarningsPerDay[DOW],O$44,EarningsPerDay[Quarter],Scheduling!$R$17,EarningsPerDay[Type],"Order"),"")</f>
        <v>7.6542124542124554</v>
      </c>
      <c r="P47" s="99">
        <f>IFERROR(AVERAGEIFS(EarningsPerDay[Mi./Trip],EarningsPerDay[Primary Area],$C47,EarningsPerDay[DOW],P$44,EarningsPerDay[Quarter],Scheduling!$R$17,EarningsPerDay[Type],"Order"),"")</f>
        <v>8.5078787878787878</v>
      </c>
      <c r="Q47" s="99">
        <f>IFERROR(AVERAGEIFS(EarningsPerDay[Mi./Trip],EarningsPerDay[Primary Area],$C47,EarningsPerDay[DOW],Q$44,EarningsPerDay[Quarter],Scheduling!$R$17,EarningsPerDay[Type],"Order"),"")</f>
        <v>7.5646258503401356</v>
      </c>
      <c r="R47" s="99">
        <f>IFERROR(AVERAGEIFS(EarningsPerDay[Mi./Trip],EarningsPerDay[Primary Area],$C47,EarningsPerDay[DOW],R$44,EarningsPerDay[Quarter],Scheduling!$R$17,EarningsPerDay[Type],"Order"),"")</f>
        <v>9.3060784313725495</v>
      </c>
      <c r="T47" s="313" t="str">
        <f>D47</f>
        <v/>
      </c>
      <c r="U47" s="313">
        <f>L47</f>
        <v>8.328125</v>
      </c>
      <c r="V47" s="313">
        <f t="shared" si="33"/>
        <v>3</v>
      </c>
      <c r="W47" s="313" t="str">
        <f>E47</f>
        <v/>
      </c>
      <c r="X47" s="313">
        <f>M47</f>
        <v>9.1873015873015884</v>
      </c>
      <c r="Y47" s="313">
        <f t="shared" si="34"/>
        <v>3</v>
      </c>
      <c r="Z47" s="313" t="str">
        <f>F47</f>
        <v/>
      </c>
      <c r="AA47" s="313">
        <f>N47</f>
        <v>9.9432359307359306</v>
      </c>
      <c r="AB47" s="313">
        <f t="shared" si="35"/>
        <v>3</v>
      </c>
      <c r="AC47" s="313">
        <f>G47</f>
        <v>8.6666666666666679</v>
      </c>
      <c r="AD47" s="313">
        <f>O47</f>
        <v>7.6542124542124554</v>
      </c>
      <c r="AE47" s="313">
        <f t="shared" si="36"/>
        <v>2</v>
      </c>
      <c r="AF47" s="313" t="str">
        <f>H47</f>
        <v/>
      </c>
      <c r="AG47" s="313">
        <f>P47</f>
        <v>8.5078787878787878</v>
      </c>
      <c r="AH47" s="313">
        <f t="shared" si="37"/>
        <v>3</v>
      </c>
      <c r="AI47" s="313">
        <f>I47</f>
        <v>10.666666666666666</v>
      </c>
      <c r="AJ47" s="313">
        <f>Q47</f>
        <v>7.5646258503401356</v>
      </c>
      <c r="AK47" s="313">
        <f t="shared" si="38"/>
        <v>2</v>
      </c>
      <c r="AL47" s="313" t="str">
        <f>J47</f>
        <v/>
      </c>
      <c r="AM47" s="313">
        <f>R47</f>
        <v>9.3060784313725495</v>
      </c>
      <c r="AN47" s="313">
        <f t="shared" si="39"/>
        <v>3</v>
      </c>
    </row>
    <row r="48" spans="3:40" ht="15" thickBot="1" x14ac:dyDescent="0.4">
      <c r="C48" s="87" t="s">
        <v>85</v>
      </c>
      <c r="D48" s="99" t="str">
        <f>IFERROR(AVERAGEIFS(EarningsPerDay[Mi./Trip],EarningsPerDay[Primary Area],$C48,EarningsPerDay[DOW],D$44,EarningsPerDay[Quarter],Scheduling!$R$17,EarningsPerDay[Type],"Hourly"),"")</f>
        <v/>
      </c>
      <c r="E48" s="99" t="str">
        <f>IFERROR(AVERAGEIFS(EarningsPerDay[Mi./Trip],EarningsPerDay[Primary Area],$C48,EarningsPerDay[DOW],E$44,EarningsPerDay[Quarter],Scheduling!$R$17,EarningsPerDay[Type],"Hourly"),"")</f>
        <v/>
      </c>
      <c r="F48" s="99">
        <f>IFERROR(AVERAGEIFS(EarningsPerDay[Mi./Trip],EarningsPerDay[Primary Area],$C48,EarningsPerDay[DOW],F$44,EarningsPerDay[Quarter],Scheduling!$R$17,EarningsPerDay[Type],"Hourly"),"")</f>
        <v>16.333333333333332</v>
      </c>
      <c r="G48" s="99" t="str">
        <f>IFERROR(AVERAGEIFS(EarningsPerDay[Mi./Trip],EarningsPerDay[Primary Area],$C48,EarningsPerDay[DOW],G$44,EarningsPerDay[Quarter],Scheduling!$R$17,EarningsPerDay[Type],"Hourly"),"")</f>
        <v/>
      </c>
      <c r="H48" s="99" t="str">
        <f>IFERROR(AVERAGEIFS(EarningsPerDay[Mi./Trip],EarningsPerDay[Primary Area],$C48,EarningsPerDay[DOW],H$44,EarningsPerDay[Quarter],Scheduling!$R$17,EarningsPerDay[Type],"Hourly"),"")</f>
        <v/>
      </c>
      <c r="I48" s="99">
        <f>IFERROR(AVERAGEIFS(EarningsPerDay[Mi./Trip],EarningsPerDay[Primary Area],$C48,EarningsPerDay[DOW],I$44,EarningsPerDay[Quarter],Scheduling!$R$17,EarningsPerDay[Type],"Hourly"),"")</f>
        <v>11.529411764705882</v>
      </c>
      <c r="J48" s="99">
        <f>IFERROR(AVERAGEIFS(EarningsPerDay[Mi./Trip],EarningsPerDay[Primary Area],$C48,EarningsPerDay[DOW],J$44,EarningsPerDay[Quarter],Scheduling!$R$17,EarningsPerDay[Type],"Hourly"),"")</f>
        <v>18</v>
      </c>
      <c r="L48" s="99">
        <f>IFERROR(AVERAGEIFS(EarningsPerDay[Mi./Trip],EarningsPerDay[Primary Area],$C48,EarningsPerDay[DOW],L$44,EarningsPerDay[Quarter],Scheduling!$R$17,EarningsPerDay[Type],"Order"),"")</f>
        <v>11.361691086691089</v>
      </c>
      <c r="M48" s="99">
        <f>IFERROR(AVERAGEIFS(EarningsPerDay[Mi./Trip],EarningsPerDay[Primary Area],$C48,EarningsPerDay[DOW],M$44,EarningsPerDay[Quarter],Scheduling!$R$17,EarningsPerDay[Type],"Order"),"")</f>
        <v>12.605351592851591</v>
      </c>
      <c r="N48" s="99">
        <f>IFERROR(AVERAGEIFS(EarningsPerDay[Mi./Trip],EarningsPerDay[Primary Area],$C48,EarningsPerDay[DOW],N$44,EarningsPerDay[Quarter],Scheduling!$R$17,EarningsPerDay[Type],"Order"),"")</f>
        <v>14.857142857142858</v>
      </c>
      <c r="O48" s="99">
        <f>IFERROR(AVERAGEIFS(EarningsPerDay[Mi./Trip],EarningsPerDay[Primary Area],$C48,EarningsPerDay[DOW],O$44,EarningsPerDay[Quarter],Scheduling!$R$17,EarningsPerDay[Type],"Order"),"")</f>
        <v>9.8594890603223941</v>
      </c>
      <c r="P48" s="99">
        <f>IFERROR(AVERAGEIFS(EarningsPerDay[Mi./Trip],EarningsPerDay[Primary Area],$C48,EarningsPerDay[DOW],P$44,EarningsPerDay[Quarter],Scheduling!$R$17,EarningsPerDay[Type],"Order"),"")</f>
        <v>13.733989470125833</v>
      </c>
      <c r="Q48" s="99">
        <f>IFERROR(AVERAGEIFS(EarningsPerDay[Mi./Trip],EarningsPerDay[Primary Area],$C48,EarningsPerDay[DOW],Q$44,EarningsPerDay[Quarter],Scheduling!$R$17,EarningsPerDay[Type],"Order"),"")</f>
        <v>13.484908662935402</v>
      </c>
      <c r="R48" s="99">
        <f>IFERROR(AVERAGEIFS(EarningsPerDay[Mi./Trip],EarningsPerDay[Primary Area],$C48,EarningsPerDay[DOW],R$44,EarningsPerDay[Quarter],Scheduling!$R$17,EarningsPerDay[Type],"Order"),"")</f>
        <v>11.805555555555555</v>
      </c>
      <c r="T48" s="313" t="str">
        <f>D48</f>
        <v/>
      </c>
      <c r="U48" s="313">
        <f>L48</f>
        <v>11.361691086691089</v>
      </c>
      <c r="V48" s="313">
        <f t="shared" si="33"/>
        <v>3</v>
      </c>
      <c r="W48" s="313" t="str">
        <f>E48</f>
        <v/>
      </c>
      <c r="X48" s="313">
        <f>M48</f>
        <v>12.605351592851591</v>
      </c>
      <c r="Y48" s="313">
        <f t="shared" si="34"/>
        <v>3</v>
      </c>
      <c r="Z48" s="313">
        <f>F48</f>
        <v>16.333333333333332</v>
      </c>
      <c r="AA48" s="313">
        <f>N48</f>
        <v>14.857142857142858</v>
      </c>
      <c r="AB48" s="313">
        <f t="shared" si="35"/>
        <v>2</v>
      </c>
      <c r="AC48" s="313" t="str">
        <f>G48</f>
        <v/>
      </c>
      <c r="AD48" s="313">
        <f>O48</f>
        <v>9.8594890603223941</v>
      </c>
      <c r="AE48" s="313">
        <f t="shared" si="36"/>
        <v>3</v>
      </c>
      <c r="AF48" s="313" t="str">
        <f>H48</f>
        <v/>
      </c>
      <c r="AG48" s="313">
        <f>P48</f>
        <v>13.733989470125833</v>
      </c>
      <c r="AH48" s="313">
        <f t="shared" si="37"/>
        <v>3</v>
      </c>
      <c r="AI48" s="313">
        <f>I48</f>
        <v>11.529411764705882</v>
      </c>
      <c r="AJ48" s="313">
        <f>Q48</f>
        <v>13.484908662935402</v>
      </c>
      <c r="AK48" s="313">
        <f t="shared" si="38"/>
        <v>1</v>
      </c>
      <c r="AL48" s="313">
        <f>J48</f>
        <v>18</v>
      </c>
      <c r="AM48" s="313">
        <f>R48</f>
        <v>11.805555555555555</v>
      </c>
      <c r="AN48" s="313">
        <f t="shared" si="39"/>
        <v>2</v>
      </c>
    </row>
    <row r="49" spans="3:40" ht="15" thickBot="1" x14ac:dyDescent="0.4">
      <c r="C49" s="53" t="s">
        <v>40</v>
      </c>
      <c r="D49" s="95">
        <f t="shared" ref="D49:J49" si="40">_xlfn.MINIFS(D45:D48,D45:D48,"&lt;&gt;0")</f>
        <v>7.1111111111111107</v>
      </c>
      <c r="E49" s="95">
        <f t="shared" si="40"/>
        <v>13.441558441558442</v>
      </c>
      <c r="F49" s="95">
        <f t="shared" si="40"/>
        <v>10.629761904761905</v>
      </c>
      <c r="G49" s="95">
        <f t="shared" si="40"/>
        <v>8.6666666666666679</v>
      </c>
      <c r="H49" s="95">
        <f t="shared" si="40"/>
        <v>13.916666666666666</v>
      </c>
      <c r="I49" s="95">
        <f t="shared" si="40"/>
        <v>10.666666666666666</v>
      </c>
      <c r="J49" s="95">
        <f t="shared" si="40"/>
        <v>12.564393939393939</v>
      </c>
      <c r="L49" s="95">
        <f t="shared" ref="L49:R49" si="41">_xlfn.MINIFS(L45:L48,L45:L48,"&lt;&gt;0")</f>
        <v>8.328125</v>
      </c>
      <c r="M49" s="95">
        <f t="shared" si="41"/>
        <v>9.1873015873015884</v>
      </c>
      <c r="N49" s="95">
        <f t="shared" si="41"/>
        <v>9.9432359307359306</v>
      </c>
      <c r="O49" s="95">
        <f t="shared" si="41"/>
        <v>7.6542124542124554</v>
      </c>
      <c r="P49" s="95">
        <f t="shared" si="41"/>
        <v>8.5078787878787878</v>
      </c>
      <c r="Q49" s="95">
        <f t="shared" si="41"/>
        <v>7.5646258503401356</v>
      </c>
      <c r="R49" s="95">
        <f t="shared" si="41"/>
        <v>6.384615384615385</v>
      </c>
      <c r="T49" s="313">
        <f>D49</f>
        <v>7.1111111111111107</v>
      </c>
      <c r="U49" s="313">
        <f>L49</f>
        <v>8.328125</v>
      </c>
      <c r="V49" s="313">
        <f t="shared" si="33"/>
        <v>1</v>
      </c>
      <c r="W49" s="313">
        <f>E49</f>
        <v>13.441558441558442</v>
      </c>
      <c r="X49" s="313">
        <f>M49</f>
        <v>9.1873015873015884</v>
      </c>
      <c r="Y49" s="313">
        <f t="shared" si="34"/>
        <v>2</v>
      </c>
      <c r="Z49" s="313">
        <f>F49</f>
        <v>10.629761904761905</v>
      </c>
      <c r="AA49" s="313">
        <f>N49</f>
        <v>9.9432359307359306</v>
      </c>
      <c r="AB49" s="313">
        <f t="shared" si="35"/>
        <v>2</v>
      </c>
      <c r="AC49" s="313">
        <f>G49</f>
        <v>8.6666666666666679</v>
      </c>
      <c r="AD49" s="313">
        <f>O49</f>
        <v>7.6542124542124554</v>
      </c>
      <c r="AE49" s="313">
        <f t="shared" si="36"/>
        <v>2</v>
      </c>
      <c r="AF49" s="313">
        <f>H49</f>
        <v>13.916666666666666</v>
      </c>
      <c r="AG49" s="313">
        <f>P49</f>
        <v>8.5078787878787878</v>
      </c>
      <c r="AH49" s="313">
        <f t="shared" si="37"/>
        <v>2</v>
      </c>
      <c r="AI49" s="313">
        <f>I49</f>
        <v>10.666666666666666</v>
      </c>
      <c r="AJ49" s="313">
        <f>Q49</f>
        <v>7.5646258503401356</v>
      </c>
      <c r="AK49" s="313">
        <f t="shared" si="38"/>
        <v>2</v>
      </c>
      <c r="AL49" s="313">
        <f>J49</f>
        <v>12.564393939393939</v>
      </c>
      <c r="AM49" s="313">
        <f>R49</f>
        <v>6.384615384615385</v>
      </c>
      <c r="AN49" s="313">
        <f t="shared" si="39"/>
        <v>2</v>
      </c>
    </row>
    <row r="50" spans="3:40" ht="15" thickBot="1" x14ac:dyDescent="0.4">
      <c r="C50" s="53" t="s">
        <v>87</v>
      </c>
      <c r="D50" s="54">
        <f t="shared" ref="D50:J50" si="42">_xlfn.RANK.EQ(D49,$D$49:$J$49,1)</f>
        <v>1</v>
      </c>
      <c r="E50" s="54">
        <f t="shared" si="42"/>
        <v>6</v>
      </c>
      <c r="F50" s="54">
        <f t="shared" si="42"/>
        <v>3</v>
      </c>
      <c r="G50" s="54">
        <f t="shared" si="42"/>
        <v>2</v>
      </c>
      <c r="H50" s="54">
        <f t="shared" si="42"/>
        <v>7</v>
      </c>
      <c r="I50" s="54">
        <f t="shared" si="42"/>
        <v>4</v>
      </c>
      <c r="J50" s="54">
        <f t="shared" si="42"/>
        <v>5</v>
      </c>
      <c r="L50" s="54">
        <f>_xlfn.RANK.EQ(L49,$L$49:$R$49,1)</f>
        <v>4</v>
      </c>
      <c r="M50" s="54">
        <f t="shared" ref="M50:R50" si="43">_xlfn.RANK.EQ(M49,$L$49:$R$49,1)</f>
        <v>6</v>
      </c>
      <c r="N50" s="54">
        <f t="shared" si="43"/>
        <v>7</v>
      </c>
      <c r="O50" s="54">
        <f t="shared" si="43"/>
        <v>3</v>
      </c>
      <c r="P50" s="54">
        <f t="shared" si="43"/>
        <v>5</v>
      </c>
      <c r="Q50" s="54">
        <f t="shared" si="43"/>
        <v>2</v>
      </c>
      <c r="R50" s="54">
        <f t="shared" si="43"/>
        <v>1</v>
      </c>
      <c r="T50" s="528"/>
      <c r="U50" s="529"/>
      <c r="V50" s="529"/>
      <c r="W50" s="529"/>
      <c r="X50" s="529"/>
      <c r="Y50" s="529"/>
      <c r="Z50" s="529"/>
      <c r="AA50" s="529"/>
      <c r="AB50" s="529"/>
      <c r="AC50" s="529"/>
      <c r="AD50" s="529"/>
      <c r="AE50" s="529"/>
      <c r="AF50" s="529"/>
      <c r="AG50" s="529"/>
      <c r="AH50" s="529"/>
      <c r="AI50" s="529"/>
      <c r="AJ50" s="529"/>
      <c r="AK50" s="529"/>
      <c r="AL50" s="529"/>
      <c r="AM50" s="529"/>
      <c r="AN50" s="530"/>
    </row>
    <row r="51" spans="3:40" x14ac:dyDescent="0.35">
      <c r="T51" s="531"/>
      <c r="U51" s="481"/>
      <c r="V51" s="481"/>
      <c r="W51" s="481"/>
      <c r="X51" s="481"/>
      <c r="Y51" s="481"/>
      <c r="Z51" s="481"/>
      <c r="AA51" s="481"/>
      <c r="AB51" s="481"/>
      <c r="AC51" s="481"/>
      <c r="AD51" s="481"/>
      <c r="AE51" s="481"/>
      <c r="AF51" s="481"/>
      <c r="AG51" s="481"/>
      <c r="AH51" s="481"/>
      <c r="AI51" s="481"/>
      <c r="AJ51" s="481"/>
      <c r="AK51" s="481"/>
      <c r="AL51" s="481"/>
      <c r="AM51" s="481"/>
      <c r="AN51" s="532"/>
    </row>
    <row r="52" spans="3:40" x14ac:dyDescent="0.35">
      <c r="C52" s="491" t="s">
        <v>310</v>
      </c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T52" s="531"/>
      <c r="U52" s="481"/>
      <c r="V52" s="481"/>
      <c r="W52" s="481"/>
      <c r="X52" s="481"/>
      <c r="Y52" s="481"/>
      <c r="Z52" s="481"/>
      <c r="AA52" s="481"/>
      <c r="AB52" s="481"/>
      <c r="AC52" s="481"/>
      <c r="AD52" s="481"/>
      <c r="AE52" s="481"/>
      <c r="AF52" s="481"/>
      <c r="AG52" s="481"/>
      <c r="AH52" s="481"/>
      <c r="AI52" s="481"/>
      <c r="AJ52" s="481"/>
      <c r="AK52" s="481"/>
      <c r="AL52" s="481"/>
      <c r="AM52" s="481"/>
      <c r="AN52" s="532"/>
    </row>
    <row r="53" spans="3:40" x14ac:dyDescent="0.35">
      <c r="C53" s="97" t="s">
        <v>74</v>
      </c>
      <c r="D53" s="302" t="s">
        <v>45</v>
      </c>
      <c r="E53" s="302" t="s">
        <v>46</v>
      </c>
      <c r="F53" s="302" t="s">
        <v>47</v>
      </c>
      <c r="G53" s="302" t="s">
        <v>48</v>
      </c>
      <c r="H53" s="302" t="s">
        <v>49</v>
      </c>
      <c r="I53" s="302" t="s">
        <v>50</v>
      </c>
      <c r="J53" s="302" t="s">
        <v>51</v>
      </c>
      <c r="K53" s="321"/>
      <c r="L53" s="302" t="s">
        <v>45</v>
      </c>
      <c r="M53" s="302" t="s">
        <v>46</v>
      </c>
      <c r="N53" s="302" t="s">
        <v>47</v>
      </c>
      <c r="O53" s="302" t="s">
        <v>48</v>
      </c>
      <c r="P53" s="302" t="s">
        <v>49</v>
      </c>
      <c r="Q53" s="302" t="s">
        <v>50</v>
      </c>
      <c r="R53" s="302" t="s">
        <v>51</v>
      </c>
      <c r="T53" s="533"/>
      <c r="U53" s="534"/>
      <c r="V53" s="534"/>
      <c r="W53" s="534"/>
      <c r="X53" s="534"/>
      <c r="Y53" s="534"/>
      <c r="Z53" s="534"/>
      <c r="AA53" s="534"/>
      <c r="AB53" s="534"/>
      <c r="AC53" s="534"/>
      <c r="AD53" s="534"/>
      <c r="AE53" s="534"/>
      <c r="AF53" s="534"/>
      <c r="AG53" s="534"/>
      <c r="AH53" s="534"/>
      <c r="AI53" s="534"/>
      <c r="AJ53" s="534"/>
      <c r="AK53" s="534"/>
      <c r="AL53" s="534"/>
      <c r="AM53" s="534"/>
      <c r="AN53" s="535"/>
    </row>
    <row r="54" spans="3:40" x14ac:dyDescent="0.35">
      <c r="C54" s="86" t="s">
        <v>174</v>
      </c>
      <c r="D54" s="101" t="str">
        <f>IFERROR(AVERAGEIFS(EarningsPerDay[Estimated Time Spent Per Trip],EarningsPerDay[Primary Area],$C54,EarningsPerDay[DOW],D$53,EarningsPerDay[Quarter],Scheduling!$R$17,EarningsPerDay[Type],"Hourly"),"")</f>
        <v/>
      </c>
      <c r="E54" s="101">
        <f>IFERROR(AVERAGEIFS(EarningsPerDay[Estimated Time Spent Per Trip],EarningsPerDay[Primary Area],$C54,EarningsPerDay[DOW],E$53,EarningsPerDay[Quarter],Scheduling!$R$17,EarningsPerDay[Type],"Hourly"),"")</f>
        <v>2.6541666666666668E-2</v>
      </c>
      <c r="F54" s="101" t="str">
        <f>IFERROR(AVERAGEIFS(EarningsPerDay[Estimated Time Spent Per Trip],EarningsPerDay[Primary Area],$C54,EarningsPerDay[DOW],F$53,EarningsPerDay[Quarter],Scheduling!$R$17,EarningsPerDay[Type],"Hourly"),"")</f>
        <v/>
      </c>
      <c r="G54" s="101">
        <f>IFERROR(AVERAGEIFS(EarningsPerDay[Estimated Time Spent Per Trip],EarningsPerDay[Primary Area],$C54,EarningsPerDay[DOW],G$53,EarningsPerDay[Quarter],Scheduling!$R$17,EarningsPerDay[Type],"Hourly"),"")</f>
        <v>2.614583333333333E-2</v>
      </c>
      <c r="H54" s="101" t="str">
        <f>IFERROR(AVERAGEIFS(EarningsPerDay[Estimated Time Spent Per Trip],EarningsPerDay[Primary Area],$C54,EarningsPerDay[DOW],H$53,EarningsPerDay[Quarter],Scheduling!$R$17,EarningsPerDay[Type],"Hourly"),"")</f>
        <v/>
      </c>
      <c r="I54" s="101">
        <f>IFERROR(AVERAGEIFS(EarningsPerDay[Estimated Time Spent Per Trip],EarningsPerDay[Primary Area],$C54,EarningsPerDay[DOW],I$53,EarningsPerDay[Quarter],Scheduling!$R$17,EarningsPerDay[Type],"Hourly"),"")</f>
        <v>2.4305555555555556E-2</v>
      </c>
      <c r="J54" s="101">
        <f>IFERROR(AVERAGEIFS(EarningsPerDay[Estimated Time Spent Per Trip],EarningsPerDay[Primary Area],$C54,EarningsPerDay[DOW],J$53,EarningsPerDay[Quarter],Scheduling!$R$17,EarningsPerDay[Type],"Hourly"),"")</f>
        <v>2.3198051948051947E-2</v>
      </c>
      <c r="L54" s="101">
        <f>IFERROR(AVERAGEIFS(EarningsPerDay[Estimated Time Spent Per Trip],EarningsPerDay[Primary Area],$C54,EarningsPerDay[DOW],L$53,EarningsPerDay[Quarter],Scheduling!$R$17,EarningsPerDay[Type],"Order"),"")</f>
        <v>2.1506283068783071E-2</v>
      </c>
      <c r="M54" s="101">
        <f>IFERROR(AVERAGEIFS(EarningsPerDay[Estimated Time Spent Per Trip],EarningsPerDay[Primary Area],$C54,EarningsPerDay[DOW],M$53,EarningsPerDay[Quarter],Scheduling!$R$17,EarningsPerDay[Type],"Order"),"")</f>
        <v>2.2916666666666669E-2</v>
      </c>
      <c r="N54" s="101">
        <f>IFERROR(AVERAGEIFS(EarningsPerDay[Estimated Time Spent Per Trip],EarningsPerDay[Primary Area],$C54,EarningsPerDay[DOW],N$53,EarningsPerDay[Quarter],Scheduling!$R$17,EarningsPerDay[Type],"Order"),"")</f>
        <v>2.2750420875420879E-2</v>
      </c>
      <c r="O54" s="101">
        <f>IFERROR(AVERAGEIFS(EarningsPerDay[Estimated Time Spent Per Trip],EarningsPerDay[Primary Area],$C54,EarningsPerDay[DOW],O$53,EarningsPerDay[Quarter],Scheduling!$R$17,EarningsPerDay[Type],"Order"),"")</f>
        <v>3.5624999999999997E-2</v>
      </c>
      <c r="P54" s="101">
        <f>IFERROR(AVERAGEIFS(EarningsPerDay[Estimated Time Spent Per Trip],EarningsPerDay[Primary Area],$C54,EarningsPerDay[DOW],P$53,EarningsPerDay[Quarter],Scheduling!$R$17,EarningsPerDay[Type],"Order"),"")</f>
        <v>2.484188034188034E-2</v>
      </c>
      <c r="Q54" s="101">
        <f>IFERROR(AVERAGEIFS(EarningsPerDay[Estimated Time Spent Per Trip],EarningsPerDay[Primary Area],$C54,EarningsPerDay[DOW],Q$53,EarningsPerDay[Quarter],Scheduling!$R$17,EarningsPerDay[Type],"Order"),"")</f>
        <v>2.6406250000000003E-2</v>
      </c>
      <c r="R54" s="101">
        <f>IFERROR(AVERAGEIFS(EarningsPerDay[Estimated Time Spent Per Trip],EarningsPerDay[Primary Area],$C54,EarningsPerDay[DOW],R$53,EarningsPerDay[Quarter],Scheduling!$R$17,EarningsPerDay[Type],"Order"),"")</f>
        <v>1.0961538461538462E-2</v>
      </c>
      <c r="T54" s="315" t="str">
        <f>D54</f>
        <v/>
      </c>
      <c r="U54" s="315">
        <f>L54</f>
        <v>2.1506283068783071E-2</v>
      </c>
      <c r="V54" s="313">
        <f>IF(COUNTBLANK(T54:U54)&gt;0,3,MATCH(MIN(T54:U54),T54:U54,0))</f>
        <v>3</v>
      </c>
      <c r="W54" s="315" t="str">
        <f>F54</f>
        <v/>
      </c>
      <c r="X54" s="315">
        <f>M54</f>
        <v>2.2916666666666669E-2</v>
      </c>
      <c r="Y54" s="313">
        <f>IF(COUNTBLANK(W54:X54)&gt;0,3,MATCH(MIN(W54:X54),W54:X54,0))</f>
        <v>3</v>
      </c>
      <c r="Z54" s="315" t="str">
        <f>F54</f>
        <v/>
      </c>
      <c r="AA54" s="315">
        <f>N54</f>
        <v>2.2750420875420879E-2</v>
      </c>
      <c r="AB54" s="313">
        <f>IF(COUNTBLANK(Z54:AA54)&gt;0,3,MATCH(MIN(Z54:AA54),Z54:AA54,0))</f>
        <v>3</v>
      </c>
      <c r="AC54" s="315">
        <f>G54</f>
        <v>2.614583333333333E-2</v>
      </c>
      <c r="AD54" s="315">
        <f>O54</f>
        <v>3.5624999999999997E-2</v>
      </c>
      <c r="AE54" s="313">
        <f>IF(COUNTBLANK(AC54:AD54)&gt;0,3,MATCH(MIN(AC54:AD54),AC54:AD54,0))</f>
        <v>1</v>
      </c>
      <c r="AF54" s="315" t="str">
        <f>H54</f>
        <v/>
      </c>
      <c r="AG54" s="315">
        <f>P54</f>
        <v>2.484188034188034E-2</v>
      </c>
      <c r="AH54" s="313">
        <f>IF(COUNTBLANK(AF54:AG54)&gt;0,3,MATCH(MIN(AF54:AG54),AF54:AG54,0))</f>
        <v>3</v>
      </c>
      <c r="AI54" s="315">
        <f>I54</f>
        <v>2.4305555555555556E-2</v>
      </c>
      <c r="AJ54" s="315">
        <f>Q54</f>
        <v>2.6406250000000003E-2</v>
      </c>
      <c r="AK54" s="313">
        <f>IF(COUNTBLANK(AI54:AJ54)&gt;0,3,MATCH(MIN(AI54:AJ54),AI54:AJ54,0))</f>
        <v>1</v>
      </c>
      <c r="AL54" s="315">
        <f>J54</f>
        <v>2.3198051948051947E-2</v>
      </c>
      <c r="AM54" s="315">
        <f>R54</f>
        <v>1.0961538461538462E-2</v>
      </c>
      <c r="AN54" s="313">
        <f>IF(COUNTBLANK(AL54:AM54)&gt;0,3,MATCH(MIN(AL54:AM54),AL54:AM54,0))</f>
        <v>2</v>
      </c>
    </row>
    <row r="55" spans="3:40" x14ac:dyDescent="0.35">
      <c r="C55" s="85" t="s">
        <v>80</v>
      </c>
      <c r="D55" s="101">
        <f>IFERROR(AVERAGEIFS(EarningsPerDay[Estimated Time Spent Per Trip],EarningsPerDay[Primary Area],$C55,EarningsPerDay[DOW],D$53,EarningsPerDay[Quarter],Scheduling!$R$17,EarningsPerDay[Type],"Hourly"),"")</f>
        <v>1.6666666666666666E-2</v>
      </c>
      <c r="E55" s="101">
        <f>IFERROR(AVERAGEIFS(EarningsPerDay[Estimated Time Spent Per Trip],EarningsPerDay[Primary Area],$C55,EarningsPerDay[DOW],E$53,EarningsPerDay[Quarter],Scheduling!$R$17,EarningsPerDay[Type],"Hourly"),"")</f>
        <v>2.0895562770562773E-2</v>
      </c>
      <c r="F55" s="101">
        <f>IFERROR(AVERAGEIFS(EarningsPerDay[Estimated Time Spent Per Trip],EarningsPerDay[Primary Area],$C55,EarningsPerDay[DOW],F$53,EarningsPerDay[Quarter],Scheduling!$R$17,EarningsPerDay[Type],"Hourly"),"")</f>
        <v>2.0910714285714286E-2</v>
      </c>
      <c r="G55" s="101">
        <f>IFERROR(AVERAGEIFS(EarningsPerDay[Estimated Time Spent Per Trip],EarningsPerDay[Primary Area],$C55,EarningsPerDay[DOW],G$53,EarningsPerDay[Quarter],Scheduling!$R$17,EarningsPerDay[Type],"Hourly"),"")</f>
        <v>2.1250000000000002E-2</v>
      </c>
      <c r="H55" s="101">
        <f>IFERROR(AVERAGEIFS(EarningsPerDay[Estimated Time Spent Per Trip],EarningsPerDay[Primary Area],$C55,EarningsPerDay[DOW],H$53,EarningsPerDay[Quarter],Scheduling!$R$17,EarningsPerDay[Type],"Hourly"),"")</f>
        <v>2.3680555555555555E-2</v>
      </c>
      <c r="I55" s="101">
        <f>IFERROR(AVERAGEIFS(EarningsPerDay[Estimated Time Spent Per Trip],EarningsPerDay[Primary Area],$C55,EarningsPerDay[DOW],I$53,EarningsPerDay[Quarter],Scheduling!$R$17,EarningsPerDay[Type],"Hourly"),"")</f>
        <v>2.1594373219373218E-2</v>
      </c>
      <c r="J55" s="101">
        <f>IFERROR(AVERAGEIFS(EarningsPerDay[Estimated Time Spent Per Trip],EarningsPerDay[Primary Area],$C55,EarningsPerDay[DOW],J$53,EarningsPerDay[Quarter],Scheduling!$R$17,EarningsPerDay[Type],"Hourly"),"")</f>
        <v>1.9794359031491383E-2</v>
      </c>
      <c r="L55" s="101">
        <f>IFERROR(AVERAGEIFS(EarningsPerDay[Estimated Time Spent Per Trip],EarningsPerDay[Primary Area],$C55,EarningsPerDay[DOW],L$53,EarningsPerDay[Quarter],Scheduling!$R$17,EarningsPerDay[Type],"Order"),"")</f>
        <v>2.0758928571428567E-2</v>
      </c>
      <c r="M55" s="101">
        <f>IFERROR(AVERAGEIFS(EarningsPerDay[Estimated Time Spent Per Trip],EarningsPerDay[Primary Area],$C55,EarningsPerDay[DOW],M$53,EarningsPerDay[Quarter],Scheduling!$R$17,EarningsPerDay[Type],"Order"),"")</f>
        <v>2.1016417950241478E-2</v>
      </c>
      <c r="N55" s="101">
        <f>IFERROR(AVERAGEIFS(EarningsPerDay[Estimated Time Spent Per Trip],EarningsPerDay[Primary Area],$C55,EarningsPerDay[DOW],N$53,EarningsPerDay[Quarter],Scheduling!$R$17,EarningsPerDay[Type],"Order"),"")</f>
        <v>2.1603732737778797E-2</v>
      </c>
      <c r="O55" s="101">
        <f>IFERROR(AVERAGEIFS(EarningsPerDay[Estimated Time Spent Per Trip],EarningsPerDay[Primary Area],$C55,EarningsPerDay[DOW],O$53,EarningsPerDay[Quarter],Scheduling!$R$17,EarningsPerDay[Type],"Order"),"")</f>
        <v>1.9474560657596372E-2</v>
      </c>
      <c r="P55" s="101">
        <f>IFERROR(AVERAGEIFS(EarningsPerDay[Estimated Time Spent Per Trip],EarningsPerDay[Primary Area],$C55,EarningsPerDay[DOW],P$53,EarningsPerDay[Quarter],Scheduling!$R$17,EarningsPerDay[Type],"Order"),"")</f>
        <v>1.9650775844525844E-2</v>
      </c>
      <c r="Q55" s="101">
        <f>IFERROR(AVERAGEIFS(EarningsPerDay[Estimated Time Spent Per Trip],EarningsPerDay[Primary Area],$C55,EarningsPerDay[DOW],Q$53,EarningsPerDay[Quarter],Scheduling!$R$17,EarningsPerDay[Type],"Order"),"")</f>
        <v>2.0781903701994533E-2</v>
      </c>
      <c r="R55" s="101">
        <f>IFERROR(AVERAGEIFS(EarningsPerDay[Estimated Time Spent Per Trip],EarningsPerDay[Primary Area],$C55,EarningsPerDay[DOW],R$53,EarningsPerDay[Quarter],Scheduling!$R$17,EarningsPerDay[Type],"Order"),"")</f>
        <v>1.8385871998371998E-2</v>
      </c>
      <c r="T55" s="315">
        <f>D55</f>
        <v>1.6666666666666666E-2</v>
      </c>
      <c r="U55" s="315">
        <f>L55</f>
        <v>2.0758928571428567E-2</v>
      </c>
      <c r="V55" s="313">
        <f t="shared" ref="V55:V58" si="44">IF(COUNTBLANK(T55:U55)&gt;0,3,MATCH(MIN(T55:U55),T55:U55,0))</f>
        <v>1</v>
      </c>
      <c r="W55" s="315">
        <f>F55</f>
        <v>2.0910714285714286E-2</v>
      </c>
      <c r="X55" s="315">
        <f>M55</f>
        <v>2.1016417950241478E-2</v>
      </c>
      <c r="Y55" s="313">
        <f t="shared" ref="Y55:Y58" si="45">IF(COUNTBLANK(W55:X55)&gt;0,3,MATCH(MIN(W55:X55),W55:X55,0))</f>
        <v>1</v>
      </c>
      <c r="Z55" s="315">
        <f>F55</f>
        <v>2.0910714285714286E-2</v>
      </c>
      <c r="AA55" s="315">
        <f>N55</f>
        <v>2.1603732737778797E-2</v>
      </c>
      <c r="AB55" s="313">
        <f t="shared" ref="AB55:AB58" si="46">IF(COUNTBLANK(Z55:AA55)&gt;0,3,MATCH(MIN(Z55:AA55),Z55:AA55,0))</f>
        <v>1</v>
      </c>
      <c r="AC55" s="315">
        <f>G55</f>
        <v>2.1250000000000002E-2</v>
      </c>
      <c r="AD55" s="315">
        <f>O55</f>
        <v>1.9474560657596372E-2</v>
      </c>
      <c r="AE55" s="313">
        <f t="shared" ref="AE55:AE58" si="47">IF(COUNTBLANK(AC55:AD55)&gt;0,3,MATCH(MIN(AC55:AD55),AC55:AD55,0))</f>
        <v>2</v>
      </c>
      <c r="AF55" s="315">
        <f>H55</f>
        <v>2.3680555555555555E-2</v>
      </c>
      <c r="AG55" s="315">
        <f>P55</f>
        <v>1.9650775844525844E-2</v>
      </c>
      <c r="AH55" s="313">
        <f t="shared" ref="AH55:AH58" si="48">IF(COUNTBLANK(AF55:AG55)&gt;0,3,MATCH(MIN(AF55:AG55),AF55:AG55,0))</f>
        <v>2</v>
      </c>
      <c r="AI55" s="315">
        <f>I55</f>
        <v>2.1594373219373218E-2</v>
      </c>
      <c r="AJ55" s="315">
        <f>Q55</f>
        <v>2.0781903701994533E-2</v>
      </c>
      <c r="AK55" s="313">
        <f t="shared" ref="AK55:AK58" si="49">IF(COUNTBLANK(AI55:AJ55)&gt;0,3,MATCH(MIN(AI55:AJ55),AI55:AJ55,0))</f>
        <v>2</v>
      </c>
      <c r="AL55" s="315">
        <f>J55</f>
        <v>1.9794359031491383E-2</v>
      </c>
      <c r="AM55" s="315">
        <f>R55</f>
        <v>1.8385871998371998E-2</v>
      </c>
      <c r="AN55" s="313">
        <f t="shared" ref="AN55:AN58" si="50">IF(COUNTBLANK(AL55:AM55)&gt;0,3,MATCH(MIN(AL55:AM55),AL55:AM55,0))</f>
        <v>2</v>
      </c>
    </row>
    <row r="56" spans="3:40" x14ac:dyDescent="0.35">
      <c r="C56" s="86" t="s">
        <v>82</v>
      </c>
      <c r="D56" s="101" t="str">
        <f>IFERROR(AVERAGEIFS(EarningsPerDay[Estimated Time Spent Per Trip],EarningsPerDay[Primary Area],$C56,EarningsPerDay[DOW],D$53,EarningsPerDay[Quarter],Scheduling!$R$17,EarningsPerDay[Type],"Hourly"),"")</f>
        <v/>
      </c>
      <c r="E56" s="101" t="str">
        <f>IFERROR(AVERAGEIFS(EarningsPerDay[Estimated Time Spent Per Trip],EarningsPerDay[Primary Area],$C56,EarningsPerDay[DOW],E$53,EarningsPerDay[Quarter],Scheduling!$R$17,EarningsPerDay[Type],"Hourly"),"")</f>
        <v/>
      </c>
      <c r="F56" s="101" t="str">
        <f>IFERROR(AVERAGEIFS(EarningsPerDay[Estimated Time Spent Per Trip],EarningsPerDay[Primary Area],$C56,EarningsPerDay[DOW],F$53,EarningsPerDay[Quarter],Scheduling!$R$17,EarningsPerDay[Type],"Hourly"),"")</f>
        <v/>
      </c>
      <c r="G56" s="101">
        <f>IFERROR(AVERAGEIFS(EarningsPerDay[Estimated Time Spent Per Trip],EarningsPerDay[Primary Area],$C56,EarningsPerDay[DOW],G$53,EarningsPerDay[Quarter],Scheduling!$R$17,EarningsPerDay[Type],"Hourly"),"")</f>
        <v>1.7314814814814818E-2</v>
      </c>
      <c r="H56" s="101" t="str">
        <f>IFERROR(AVERAGEIFS(EarningsPerDay[Estimated Time Spent Per Trip],EarningsPerDay[Primary Area],$C56,EarningsPerDay[DOW],H$53,EarningsPerDay[Quarter],Scheduling!$R$17,EarningsPerDay[Type],"Hourly"),"")</f>
        <v/>
      </c>
      <c r="I56" s="101">
        <f>IFERROR(AVERAGEIFS(EarningsPerDay[Estimated Time Spent Per Trip],EarningsPerDay[Primary Area],$C56,EarningsPerDay[DOW],I$53,EarningsPerDay[Quarter],Scheduling!$R$17,EarningsPerDay[Type],"Hourly"),"")</f>
        <v>2.7291666666666669E-2</v>
      </c>
      <c r="J56" s="101" t="str">
        <f>IFERROR(AVERAGEIFS(EarningsPerDay[Estimated Time Spent Per Trip],EarningsPerDay[Primary Area],$C56,EarningsPerDay[DOW],J$53,EarningsPerDay[Quarter],Scheduling!$R$17,EarningsPerDay[Type],"Hourly"),"")</f>
        <v/>
      </c>
      <c r="L56" s="101">
        <f>IFERROR(AVERAGEIFS(EarningsPerDay[Estimated Time Spent Per Trip],EarningsPerDay[Primary Area],$C56,EarningsPerDay[DOW],L$53,EarningsPerDay[Quarter],Scheduling!$R$17,EarningsPerDay[Type],"Order"),"")</f>
        <v>1.9010416666666669E-2</v>
      </c>
      <c r="M56" s="101">
        <f>IFERROR(AVERAGEIFS(EarningsPerDay[Estimated Time Spent Per Trip],EarningsPerDay[Primary Area],$C56,EarningsPerDay[DOW],M$53,EarningsPerDay[Quarter],Scheduling!$R$17,EarningsPerDay[Type],"Order"),"")</f>
        <v>2.1302910052910056E-2</v>
      </c>
      <c r="N56" s="101">
        <f>IFERROR(AVERAGEIFS(EarningsPerDay[Estimated Time Spent Per Trip],EarningsPerDay[Primary Area],$C56,EarningsPerDay[DOW],N$53,EarningsPerDay[Quarter],Scheduling!$R$17,EarningsPerDay[Type],"Order"),"")</f>
        <v>1.8993506493506493E-2</v>
      </c>
      <c r="O56" s="101">
        <f>IFERROR(AVERAGEIFS(EarningsPerDay[Estimated Time Spent Per Trip],EarningsPerDay[Primary Area],$C56,EarningsPerDay[DOW],O$53,EarningsPerDay[Quarter],Scheduling!$R$17,EarningsPerDay[Type],"Order"),"")</f>
        <v>1.968348087098087E-2</v>
      </c>
      <c r="P56" s="101">
        <f>IFERROR(AVERAGEIFS(EarningsPerDay[Estimated Time Spent Per Trip],EarningsPerDay[Primary Area],$C56,EarningsPerDay[DOW],P$53,EarningsPerDay[Quarter],Scheduling!$R$17,EarningsPerDay[Type],"Order"),"")</f>
        <v>1.9305844155844153E-2</v>
      </c>
      <c r="Q56" s="101">
        <f>IFERROR(AVERAGEIFS(EarningsPerDay[Estimated Time Spent Per Trip],EarningsPerDay[Primary Area],$C56,EarningsPerDay[DOW],Q$53,EarningsPerDay[Quarter],Scheduling!$R$17,EarningsPerDay[Type],"Order"),"")</f>
        <v>1.8845899470899468E-2</v>
      </c>
      <c r="R56" s="101">
        <f>IFERROR(AVERAGEIFS(EarningsPerDay[Estimated Time Spent Per Trip],EarningsPerDay[Primary Area],$C56,EarningsPerDay[DOW],R$53,EarningsPerDay[Quarter],Scheduling!$R$17,EarningsPerDay[Type],"Order"),"")</f>
        <v>1.988472222222222E-2</v>
      </c>
      <c r="T56" s="315" t="str">
        <f>D56</f>
        <v/>
      </c>
      <c r="U56" s="315">
        <f>L56</f>
        <v>1.9010416666666669E-2</v>
      </c>
      <c r="V56" s="313">
        <f t="shared" si="44"/>
        <v>3</v>
      </c>
      <c r="W56" s="315" t="str">
        <f>F56</f>
        <v/>
      </c>
      <c r="X56" s="315">
        <f>M56</f>
        <v>2.1302910052910056E-2</v>
      </c>
      <c r="Y56" s="313">
        <f t="shared" si="45"/>
        <v>3</v>
      </c>
      <c r="Z56" s="315" t="str">
        <f>F56</f>
        <v/>
      </c>
      <c r="AA56" s="315">
        <f>N56</f>
        <v>1.8993506493506493E-2</v>
      </c>
      <c r="AB56" s="313">
        <f t="shared" si="46"/>
        <v>3</v>
      </c>
      <c r="AC56" s="315">
        <f>G56</f>
        <v>1.7314814814814818E-2</v>
      </c>
      <c r="AD56" s="315">
        <f>O56</f>
        <v>1.968348087098087E-2</v>
      </c>
      <c r="AE56" s="313">
        <f t="shared" si="47"/>
        <v>1</v>
      </c>
      <c r="AF56" s="315" t="str">
        <f>H56</f>
        <v/>
      </c>
      <c r="AG56" s="315">
        <f>P56</f>
        <v>1.9305844155844153E-2</v>
      </c>
      <c r="AH56" s="313">
        <f t="shared" si="48"/>
        <v>3</v>
      </c>
      <c r="AI56" s="315">
        <f>I56</f>
        <v>2.7291666666666669E-2</v>
      </c>
      <c r="AJ56" s="315">
        <f>Q56</f>
        <v>1.8845899470899468E-2</v>
      </c>
      <c r="AK56" s="313">
        <f t="shared" si="49"/>
        <v>2</v>
      </c>
      <c r="AL56" s="315" t="str">
        <f>J56</f>
        <v/>
      </c>
      <c r="AM56" s="315">
        <f>R56</f>
        <v>1.988472222222222E-2</v>
      </c>
      <c r="AN56" s="313">
        <f t="shared" si="50"/>
        <v>3</v>
      </c>
    </row>
    <row r="57" spans="3:40" ht="15" thickBot="1" x14ac:dyDescent="0.4">
      <c r="C57" s="87" t="s">
        <v>85</v>
      </c>
      <c r="D57" s="101" t="str">
        <f>IFERROR(AVERAGEIFS(EarningsPerDay[Estimated Time Spent Per Trip],EarningsPerDay[Primary Area],$C57,EarningsPerDay[DOW],D$53,EarningsPerDay[Quarter],Scheduling!$R$17,EarningsPerDay[Type],"Hourly"),"")</f>
        <v/>
      </c>
      <c r="E57" s="101" t="str">
        <f>IFERROR(AVERAGEIFS(EarningsPerDay[Estimated Time Spent Per Trip],EarningsPerDay[Primary Area],$C57,EarningsPerDay[DOW],E$53,EarningsPerDay[Quarter],Scheduling!$R$17,EarningsPerDay[Type],"Hourly"),"")</f>
        <v/>
      </c>
      <c r="F57" s="101">
        <f>IFERROR(AVERAGEIFS(EarningsPerDay[Estimated Time Spent Per Trip],EarningsPerDay[Primary Area],$C57,EarningsPerDay[DOW],F$53,EarningsPerDay[Quarter],Scheduling!$R$17,EarningsPerDay[Type],"Hourly"),"")</f>
        <v>2.5601851851851851E-2</v>
      </c>
      <c r="G57" s="101" t="str">
        <f>IFERROR(AVERAGEIFS(EarningsPerDay[Estimated Time Spent Per Trip],EarningsPerDay[Primary Area],$C57,EarningsPerDay[DOW],G$53,EarningsPerDay[Quarter],Scheduling!$R$17,EarningsPerDay[Type],"Hourly"),"")</f>
        <v/>
      </c>
      <c r="H57" s="101" t="str">
        <f>IFERROR(AVERAGEIFS(EarningsPerDay[Estimated Time Spent Per Trip],EarningsPerDay[Primary Area],$C57,EarningsPerDay[DOW],H$53,EarningsPerDay[Quarter],Scheduling!$R$17,EarningsPerDay[Type],"Hourly"),"")</f>
        <v/>
      </c>
      <c r="I57" s="101">
        <f>IFERROR(AVERAGEIFS(EarningsPerDay[Estimated Time Spent Per Trip],EarningsPerDay[Primary Area],$C57,EarningsPerDay[DOW],I$53,EarningsPerDay[Quarter],Scheduling!$R$17,EarningsPerDay[Type],"Hourly"),"")</f>
        <v>2.2230392156862747E-2</v>
      </c>
      <c r="J57" s="101">
        <f>IFERROR(AVERAGEIFS(EarningsPerDay[Estimated Time Spent Per Trip],EarningsPerDay[Primary Area],$C57,EarningsPerDay[DOW],J$53,EarningsPerDay[Quarter],Scheduling!$R$17,EarningsPerDay[Type],"Hourly"),"")</f>
        <v>2.6666666666666668E-2</v>
      </c>
      <c r="L57" s="101">
        <f>IFERROR(AVERAGEIFS(EarningsPerDay[Estimated Time Spent Per Trip],EarningsPerDay[Primary Area],$C57,EarningsPerDay[DOW],L$53,EarningsPerDay[Quarter],Scheduling!$R$17,EarningsPerDay[Type],"Order"),"")</f>
        <v>2.3402947361280693E-2</v>
      </c>
      <c r="M57" s="101">
        <f>IFERROR(AVERAGEIFS(EarningsPerDay[Estimated Time Spent Per Trip],EarningsPerDay[Primary Area],$C57,EarningsPerDay[DOW],M$53,EarningsPerDay[Quarter],Scheduling!$R$17,EarningsPerDay[Type],"Order"),"")</f>
        <v>2.2471429033929031E-2</v>
      </c>
      <c r="N57" s="101">
        <f>IFERROR(AVERAGEIFS(EarningsPerDay[Estimated Time Spent Per Trip],EarningsPerDay[Primary Area],$C57,EarningsPerDay[DOW],N$53,EarningsPerDay[Quarter],Scheduling!$R$17,EarningsPerDay[Type],"Order"),"")</f>
        <v>2.2202380952380949E-2</v>
      </c>
      <c r="O57" s="101">
        <f>IFERROR(AVERAGEIFS(EarningsPerDay[Estimated Time Spent Per Trip],EarningsPerDay[Primary Area],$C57,EarningsPerDay[DOW],O$53,EarningsPerDay[Quarter],Scheduling!$R$17,EarningsPerDay[Type],"Order"),"")</f>
        <v>2.0430167761764984E-2</v>
      </c>
      <c r="P57" s="101">
        <f>IFERROR(AVERAGEIFS(EarningsPerDay[Estimated Time Spent Per Trip],EarningsPerDay[Primary Area],$C57,EarningsPerDay[DOW],P$53,EarningsPerDay[Quarter],Scheduling!$R$17,EarningsPerDay[Type],"Order"),"")</f>
        <v>2.5745535714285717E-2</v>
      </c>
      <c r="Q57" s="101">
        <f>IFERROR(AVERAGEIFS(EarningsPerDay[Estimated Time Spent Per Trip],EarningsPerDay[Primary Area],$C57,EarningsPerDay[DOW],Q$53,EarningsPerDay[Quarter],Scheduling!$R$17,EarningsPerDay[Type],"Order"),"")</f>
        <v>2.3282218632402457E-2</v>
      </c>
      <c r="R57" s="101">
        <f>IFERROR(AVERAGEIFS(EarningsPerDay[Estimated Time Spent Per Trip],EarningsPerDay[Primary Area],$C57,EarningsPerDay[DOW],R$53,EarningsPerDay[Quarter],Scheduling!$R$17,EarningsPerDay[Type],"Order"),"")</f>
        <v>2.3428935185185185E-2</v>
      </c>
      <c r="T57" s="315" t="str">
        <f>D57</f>
        <v/>
      </c>
      <c r="U57" s="315">
        <f>L57</f>
        <v>2.3402947361280693E-2</v>
      </c>
      <c r="V57" s="313">
        <f t="shared" si="44"/>
        <v>3</v>
      </c>
      <c r="W57" s="315">
        <f>F57</f>
        <v>2.5601851851851851E-2</v>
      </c>
      <c r="X57" s="315">
        <f>M57</f>
        <v>2.2471429033929031E-2</v>
      </c>
      <c r="Y57" s="313">
        <f t="shared" si="45"/>
        <v>2</v>
      </c>
      <c r="Z57" s="315">
        <f>F57</f>
        <v>2.5601851851851851E-2</v>
      </c>
      <c r="AA57" s="315">
        <f>N57</f>
        <v>2.2202380952380949E-2</v>
      </c>
      <c r="AB57" s="313">
        <f t="shared" si="46"/>
        <v>2</v>
      </c>
      <c r="AC57" s="315" t="str">
        <f>G57</f>
        <v/>
      </c>
      <c r="AD57" s="315">
        <f>O57</f>
        <v>2.0430167761764984E-2</v>
      </c>
      <c r="AE57" s="313">
        <f t="shared" si="47"/>
        <v>3</v>
      </c>
      <c r="AF57" s="315" t="str">
        <f>H57</f>
        <v/>
      </c>
      <c r="AG57" s="315">
        <f>P57</f>
        <v>2.5745535714285717E-2</v>
      </c>
      <c r="AH57" s="313">
        <f t="shared" si="48"/>
        <v>3</v>
      </c>
      <c r="AI57" s="315">
        <f>I57</f>
        <v>2.2230392156862747E-2</v>
      </c>
      <c r="AJ57" s="315">
        <f>Q57</f>
        <v>2.3282218632402457E-2</v>
      </c>
      <c r="AK57" s="313">
        <f t="shared" si="49"/>
        <v>1</v>
      </c>
      <c r="AL57" s="315">
        <f>J57</f>
        <v>2.6666666666666668E-2</v>
      </c>
      <c r="AM57" s="315">
        <f>R57</f>
        <v>2.3428935185185185E-2</v>
      </c>
      <c r="AN57" s="313">
        <f t="shared" si="50"/>
        <v>2</v>
      </c>
    </row>
    <row r="58" spans="3:40" ht="15" thickBot="1" x14ac:dyDescent="0.4">
      <c r="C58" s="53" t="s">
        <v>40</v>
      </c>
      <c r="D58" s="82">
        <f t="shared" ref="D58:J58" si="51">_xlfn.MINIFS(D54:D57,D54:D57,"&lt;&gt;0")</f>
        <v>1.6666666666666666E-2</v>
      </c>
      <c r="E58" s="82">
        <f t="shared" si="51"/>
        <v>2.0895562770562773E-2</v>
      </c>
      <c r="F58" s="82">
        <f t="shared" si="51"/>
        <v>2.0910714285714286E-2</v>
      </c>
      <c r="G58" s="82">
        <f t="shared" si="51"/>
        <v>1.7314814814814818E-2</v>
      </c>
      <c r="H58" s="82">
        <f t="shared" si="51"/>
        <v>2.3680555555555555E-2</v>
      </c>
      <c r="I58" s="82">
        <f t="shared" si="51"/>
        <v>2.1594373219373218E-2</v>
      </c>
      <c r="J58" s="82">
        <f t="shared" si="51"/>
        <v>1.9794359031491383E-2</v>
      </c>
      <c r="L58" s="82">
        <f t="shared" ref="L58:R58" si="52">_xlfn.MINIFS(L54:L57,L54:L57,"&lt;&gt;0")</f>
        <v>1.9010416666666669E-2</v>
      </c>
      <c r="M58" s="82">
        <f t="shared" si="52"/>
        <v>2.1016417950241478E-2</v>
      </c>
      <c r="N58" s="82">
        <f t="shared" si="52"/>
        <v>1.8993506493506493E-2</v>
      </c>
      <c r="O58" s="82">
        <f t="shared" si="52"/>
        <v>1.9474560657596372E-2</v>
      </c>
      <c r="P58" s="82">
        <f t="shared" si="52"/>
        <v>1.9305844155844153E-2</v>
      </c>
      <c r="Q58" s="82">
        <f t="shared" si="52"/>
        <v>1.8845899470899468E-2</v>
      </c>
      <c r="R58" s="82">
        <f t="shared" si="52"/>
        <v>1.0961538461538462E-2</v>
      </c>
      <c r="T58" s="315">
        <f>D58</f>
        <v>1.6666666666666666E-2</v>
      </c>
      <c r="U58" s="315">
        <f>L58</f>
        <v>1.9010416666666669E-2</v>
      </c>
      <c r="V58" s="313">
        <f t="shared" si="44"/>
        <v>1</v>
      </c>
      <c r="W58" s="315">
        <f>F58</f>
        <v>2.0910714285714286E-2</v>
      </c>
      <c r="X58" s="315">
        <f>M58</f>
        <v>2.1016417950241478E-2</v>
      </c>
      <c r="Y58" s="313">
        <f t="shared" si="45"/>
        <v>1</v>
      </c>
      <c r="Z58" s="315">
        <f>F58</f>
        <v>2.0910714285714286E-2</v>
      </c>
      <c r="AA58" s="315">
        <f>N58</f>
        <v>1.8993506493506493E-2</v>
      </c>
      <c r="AB58" s="313">
        <f t="shared" si="46"/>
        <v>2</v>
      </c>
      <c r="AC58" s="315">
        <f>G58</f>
        <v>1.7314814814814818E-2</v>
      </c>
      <c r="AD58" s="315">
        <f>O58</f>
        <v>1.9474560657596372E-2</v>
      </c>
      <c r="AE58" s="313">
        <f t="shared" si="47"/>
        <v>1</v>
      </c>
      <c r="AF58" s="315">
        <f>H58</f>
        <v>2.3680555555555555E-2</v>
      </c>
      <c r="AG58" s="315">
        <f>P58</f>
        <v>1.9305844155844153E-2</v>
      </c>
      <c r="AH58" s="313">
        <f t="shared" si="48"/>
        <v>2</v>
      </c>
      <c r="AI58" s="315">
        <f>I58</f>
        <v>2.1594373219373218E-2</v>
      </c>
      <c r="AJ58" s="315">
        <f>Q58</f>
        <v>1.8845899470899468E-2</v>
      </c>
      <c r="AK58" s="313">
        <f t="shared" si="49"/>
        <v>2</v>
      </c>
      <c r="AL58" s="315">
        <f>J58</f>
        <v>1.9794359031491383E-2</v>
      </c>
      <c r="AM58" s="315">
        <f>R58</f>
        <v>1.0961538461538462E-2</v>
      </c>
      <c r="AN58" s="313">
        <f t="shared" si="50"/>
        <v>2</v>
      </c>
    </row>
    <row r="59" spans="3:40" ht="15" thickBot="1" x14ac:dyDescent="0.4">
      <c r="C59" s="53" t="s">
        <v>87</v>
      </c>
      <c r="D59" s="54">
        <f t="shared" ref="D59:J59" si="53">_xlfn.RANK.EQ(D58,$D$58:$J$58,1)</f>
        <v>1</v>
      </c>
      <c r="E59" s="54">
        <f t="shared" si="53"/>
        <v>4</v>
      </c>
      <c r="F59" s="54">
        <f t="shared" si="53"/>
        <v>5</v>
      </c>
      <c r="G59" s="54">
        <f t="shared" si="53"/>
        <v>2</v>
      </c>
      <c r="H59" s="54">
        <f t="shared" si="53"/>
        <v>7</v>
      </c>
      <c r="I59" s="54">
        <f t="shared" si="53"/>
        <v>6</v>
      </c>
      <c r="J59" s="54">
        <f t="shared" si="53"/>
        <v>3</v>
      </c>
      <c r="L59" s="54">
        <f>_xlfn.RANK.EQ(L58,$L$58:$R$58,1)</f>
        <v>4</v>
      </c>
      <c r="M59" s="54">
        <f t="shared" ref="M59:R59" si="54">_xlfn.RANK.EQ(M58,$L$58:$R$58,1)</f>
        <v>7</v>
      </c>
      <c r="N59" s="54">
        <f t="shared" si="54"/>
        <v>3</v>
      </c>
      <c r="O59" s="54">
        <f t="shared" si="54"/>
        <v>6</v>
      </c>
      <c r="P59" s="54">
        <f t="shared" si="54"/>
        <v>5</v>
      </c>
      <c r="Q59" s="54">
        <f t="shared" si="54"/>
        <v>2</v>
      </c>
      <c r="R59" s="54">
        <f t="shared" si="54"/>
        <v>1</v>
      </c>
      <c r="T59" s="528"/>
      <c r="U59" s="529"/>
      <c r="V59" s="529"/>
      <c r="W59" s="529"/>
      <c r="X59" s="529"/>
      <c r="Y59" s="529"/>
      <c r="Z59" s="529"/>
      <c r="AA59" s="529"/>
      <c r="AB59" s="529"/>
      <c r="AC59" s="529"/>
      <c r="AD59" s="529"/>
      <c r="AE59" s="529"/>
      <c r="AF59" s="529"/>
      <c r="AG59" s="529"/>
      <c r="AH59" s="529"/>
      <c r="AI59" s="529"/>
      <c r="AJ59" s="529"/>
      <c r="AK59" s="529"/>
      <c r="AL59" s="529"/>
      <c r="AM59" s="529"/>
      <c r="AN59" s="530"/>
    </row>
    <row r="60" spans="3:40" x14ac:dyDescent="0.35">
      <c r="T60" s="531"/>
      <c r="U60" s="481"/>
      <c r="V60" s="481"/>
      <c r="W60" s="481"/>
      <c r="X60" s="481"/>
      <c r="Y60" s="481"/>
      <c r="Z60" s="481"/>
      <c r="AA60" s="481"/>
      <c r="AB60" s="481"/>
      <c r="AC60" s="481"/>
      <c r="AD60" s="481"/>
      <c r="AE60" s="481"/>
      <c r="AF60" s="481"/>
      <c r="AG60" s="481"/>
      <c r="AH60" s="481"/>
      <c r="AI60" s="481"/>
      <c r="AJ60" s="481"/>
      <c r="AK60" s="481"/>
      <c r="AL60" s="481"/>
      <c r="AM60" s="481"/>
      <c r="AN60" s="532"/>
    </row>
    <row r="61" spans="3:40" x14ac:dyDescent="0.35">
      <c r="C61" s="491" t="s">
        <v>314</v>
      </c>
      <c r="D61" s="491"/>
      <c r="E61" s="491"/>
      <c r="F61" s="491"/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1"/>
      <c r="R61" s="491"/>
      <c r="T61" s="531"/>
      <c r="U61" s="481"/>
      <c r="V61" s="481"/>
      <c r="W61" s="481"/>
      <c r="X61" s="481"/>
      <c r="Y61" s="481"/>
      <c r="Z61" s="481"/>
      <c r="AA61" s="481"/>
      <c r="AB61" s="481"/>
      <c r="AC61" s="481"/>
      <c r="AD61" s="481"/>
      <c r="AE61" s="481"/>
      <c r="AF61" s="481"/>
      <c r="AG61" s="481"/>
      <c r="AH61" s="481"/>
      <c r="AI61" s="481"/>
      <c r="AJ61" s="481"/>
      <c r="AK61" s="481"/>
      <c r="AL61" s="481"/>
      <c r="AM61" s="481"/>
      <c r="AN61" s="532"/>
    </row>
    <row r="62" spans="3:40" x14ac:dyDescent="0.35">
      <c r="C62" s="97" t="s">
        <v>74</v>
      </c>
      <c r="D62" s="302" t="s">
        <v>45</v>
      </c>
      <c r="E62" s="302" t="s">
        <v>46</v>
      </c>
      <c r="F62" s="302" t="s">
        <v>47</v>
      </c>
      <c r="G62" s="302" t="s">
        <v>48</v>
      </c>
      <c r="H62" s="302" t="s">
        <v>49</v>
      </c>
      <c r="I62" s="302" t="s">
        <v>50</v>
      </c>
      <c r="J62" s="302" t="s">
        <v>51</v>
      </c>
      <c r="K62" s="321"/>
      <c r="L62" s="302" t="s">
        <v>45</v>
      </c>
      <c r="M62" s="302" t="s">
        <v>46</v>
      </c>
      <c r="N62" s="302" t="s">
        <v>47</v>
      </c>
      <c r="O62" s="302" t="s">
        <v>48</v>
      </c>
      <c r="P62" s="302" t="s">
        <v>49</v>
      </c>
      <c r="Q62" s="302" t="s">
        <v>50</v>
      </c>
      <c r="R62" s="302" t="s">
        <v>51</v>
      </c>
      <c r="T62" s="533"/>
      <c r="U62" s="534"/>
      <c r="V62" s="534"/>
      <c r="W62" s="534"/>
      <c r="X62" s="534"/>
      <c r="Y62" s="534"/>
      <c r="Z62" s="534"/>
      <c r="AA62" s="534"/>
      <c r="AB62" s="534"/>
      <c r="AC62" s="534"/>
      <c r="AD62" s="534"/>
      <c r="AE62" s="534"/>
      <c r="AF62" s="534"/>
      <c r="AG62" s="534"/>
      <c r="AH62" s="534"/>
      <c r="AI62" s="534"/>
      <c r="AJ62" s="534"/>
      <c r="AK62" s="534"/>
      <c r="AL62" s="534"/>
      <c r="AM62" s="534"/>
      <c r="AN62" s="535"/>
    </row>
    <row r="63" spans="3:40" x14ac:dyDescent="0.35">
      <c r="C63" s="86" t="s">
        <v>174</v>
      </c>
      <c r="D63" s="291" t="str">
        <f>IFERROR(AVERAGEIFS(EarningsPerDay[Trips/Hr],EarningsPerDay[Primary Area],$C63,EarningsPerDay[DOW],D$62,EarningsPerDay[Quarter],Scheduling!$R$17,EarningsPerDay[Type],"Hourly"),"")</f>
        <v/>
      </c>
      <c r="E63" s="291">
        <f>IFERROR(AVERAGEIFS(EarningsPerDay[Trips/Hr],EarningsPerDay[Primary Area],$C63,EarningsPerDay[DOW],E$62,EarningsPerDay[Quarter],Scheduling!$R$17,EarningsPerDay[Type],"Hourly"),"")</f>
        <v>1.5698587127158556</v>
      </c>
      <c r="F63" s="291" t="str">
        <f>IFERROR(AVERAGEIFS(EarningsPerDay[Trips/Hr],EarningsPerDay[Primary Area],$C63,EarningsPerDay[DOW],F$62,EarningsPerDay[Quarter],Scheduling!$R$17,EarningsPerDay[Type],"Hourly"),"")</f>
        <v/>
      </c>
      <c r="G63" s="291">
        <f>IFERROR(AVERAGEIFS(EarningsPerDay[Trips/Hr],EarningsPerDay[Primary Area],$C63,EarningsPerDay[DOW],G$62,EarningsPerDay[Quarter],Scheduling!$R$17,EarningsPerDay[Type],"Hourly"),"")</f>
        <v>1.5936254980079683</v>
      </c>
      <c r="H63" s="291" t="str">
        <f>IFERROR(AVERAGEIFS(EarningsPerDay[Trips/Hr],EarningsPerDay[Primary Area],$C63,EarningsPerDay[DOW],H$62,EarningsPerDay[Quarter],Scheduling!$R$17,EarningsPerDay[Type],"Hourly"),"")</f>
        <v/>
      </c>
      <c r="I63" s="291">
        <f>IFERROR(AVERAGEIFS(EarningsPerDay[Trips/Hr],EarningsPerDay[Primary Area],$C63,EarningsPerDay[DOW],I$62,EarningsPerDay[Quarter],Scheduling!$R$17,EarningsPerDay[Type],"Hourly"),"")</f>
        <v>1.7142857142857142</v>
      </c>
      <c r="J63" s="291">
        <f>IFERROR(AVERAGEIFS(EarningsPerDay[Trips/Hr],EarningsPerDay[Primary Area],$C63,EarningsPerDay[DOW],J$62,EarningsPerDay[Quarter],Scheduling!$R$17,EarningsPerDay[Type],"Hourly"),"")</f>
        <v>1.8564870950978696</v>
      </c>
      <c r="L63" s="291">
        <f>IFERROR(AVERAGEIFS(EarningsPerDay[Trips/Hr],EarningsPerDay[Primary Area],$C63,EarningsPerDay[DOW],L$62,EarningsPerDay[Quarter],Scheduling!$R$17,EarningsPerDay[Type],"Order"),"")</f>
        <v>1.9420158783657269</v>
      </c>
      <c r="M63" s="291">
        <f>IFERROR(AVERAGEIFS(EarningsPerDay[Trips/Hr],EarningsPerDay[Primary Area],$C63,EarningsPerDay[DOW],M$62,EarningsPerDay[Quarter],Scheduling!$R$17,EarningsPerDay[Type],"Order"),"")</f>
        <v>1.8181818181818181</v>
      </c>
      <c r="N63" s="291">
        <f>IFERROR(AVERAGEIFS(EarningsPerDay[Trips/Hr],EarningsPerDay[Primary Area],$C63,EarningsPerDay[DOW],N$62,EarningsPerDay[Quarter],Scheduling!$R$17,EarningsPerDay[Type],"Order"),"")</f>
        <v>1.8380910633187739</v>
      </c>
      <c r="O63" s="291">
        <f>IFERROR(AVERAGEIFS(EarningsPerDay[Trips/Hr],EarningsPerDay[Primary Area],$C63,EarningsPerDay[DOW],O$62,EarningsPerDay[Quarter],Scheduling!$R$17,EarningsPerDay[Type],"Order"),"")</f>
        <v>1.1695906432748537</v>
      </c>
      <c r="P63" s="291">
        <f>IFERROR(AVERAGEIFS(EarningsPerDay[Trips/Hr],EarningsPerDay[Primary Area],$C63,EarningsPerDay[DOW],P$62,EarningsPerDay[Quarter],Scheduling!$R$17,EarningsPerDay[Type],"Order"),"")</f>
        <v>1.8282051282051281</v>
      </c>
      <c r="Q63" s="291">
        <f>IFERROR(AVERAGEIFS(EarningsPerDay[Trips/Hr],EarningsPerDay[Primary Area],$C63,EarningsPerDay[DOW],Q$62,EarningsPerDay[Quarter],Scheduling!$R$17,EarningsPerDay[Type],"Order"),"")</f>
        <v>1.5779092702169624</v>
      </c>
      <c r="R63" s="291">
        <f>IFERROR(AVERAGEIFS(EarningsPerDay[Trips/Hr],EarningsPerDay[Primary Area],$C63,EarningsPerDay[DOW],R$62,EarningsPerDay[Quarter],Scheduling!$R$17,EarningsPerDay[Type],"Order"),"")</f>
        <v>3.801169590643275</v>
      </c>
      <c r="T63" s="316" t="str">
        <f>D63</f>
        <v/>
      </c>
      <c r="U63" s="316">
        <f>L63</f>
        <v>1.9420158783657269</v>
      </c>
      <c r="V63" s="313">
        <f>IF(COUNTBLANK(T63:U63)&gt;0,3,MATCH(MAX(T63:U63),T63:U63,0))</f>
        <v>3</v>
      </c>
      <c r="W63" s="316">
        <f>E63</f>
        <v>1.5698587127158556</v>
      </c>
      <c r="X63" s="316">
        <f>M63</f>
        <v>1.8181818181818181</v>
      </c>
      <c r="Y63" s="313">
        <f>IF(COUNTBLANK(W63:X63)&gt;0,3,MATCH(MAX(W63:X63),W63:X63,0))</f>
        <v>2</v>
      </c>
      <c r="Z63" s="316" t="str">
        <f>F63</f>
        <v/>
      </c>
      <c r="AA63" s="316">
        <f>N63</f>
        <v>1.8380910633187739</v>
      </c>
      <c r="AB63" s="313">
        <f>IF(COUNTBLANK(Z63:AA63)&gt;0,3,MATCH(MAX(Z63:AA63),Z63:AA63,0))</f>
        <v>3</v>
      </c>
      <c r="AC63" s="316">
        <f>G63</f>
        <v>1.5936254980079683</v>
      </c>
      <c r="AD63" s="316">
        <f>O63</f>
        <v>1.1695906432748537</v>
      </c>
      <c r="AE63" s="313">
        <f>IF(COUNTBLANK(AC63:AD63)&gt;0,3,MATCH(MAX(AC63:AD63),AC63:AD63,0))</f>
        <v>1</v>
      </c>
      <c r="AF63" s="316" t="str">
        <f>H63</f>
        <v/>
      </c>
      <c r="AG63" s="316">
        <f>P63</f>
        <v>1.8282051282051281</v>
      </c>
      <c r="AH63" s="313">
        <f>IF(COUNTBLANK(AF63:AG63)&gt;0,3,MATCH(MAX(AF63:AG63),AF63:AG63,0))</f>
        <v>3</v>
      </c>
      <c r="AI63" s="316">
        <f>I63</f>
        <v>1.7142857142857142</v>
      </c>
      <c r="AJ63" s="316">
        <f>Q63</f>
        <v>1.5779092702169624</v>
      </c>
      <c r="AK63" s="313">
        <f>IF(COUNTBLANK(AI63:AJ63)&gt;0,3,MATCH(MAX(AI63:AJ63),AI63:AJ63,0))</f>
        <v>1</v>
      </c>
      <c r="AL63" s="316">
        <f>J63</f>
        <v>1.8564870950978696</v>
      </c>
      <c r="AM63" s="316">
        <f>R63</f>
        <v>3.801169590643275</v>
      </c>
      <c r="AN63" s="313">
        <f>IF(COUNTBLANK(AL63:AM63)&gt;0,3,MATCH(MAX(AL63:AM63),AL63:AM63,0))</f>
        <v>2</v>
      </c>
    </row>
    <row r="64" spans="3:40" x14ac:dyDescent="0.35">
      <c r="C64" s="85" t="s">
        <v>80</v>
      </c>
      <c r="D64" s="291">
        <f>IFERROR(AVERAGEIFS(EarningsPerDay[Trips/Hr],EarningsPerDay[Primary Area],$C64,EarningsPerDay[DOW],D$62,EarningsPerDay[Quarter],Scheduling!$R$17,EarningsPerDay[Type],"Hourly"),"")</f>
        <v>2.5</v>
      </c>
      <c r="E64" s="291">
        <f>IFERROR(AVERAGEIFS(EarningsPerDay[Trips/Hr],EarningsPerDay[Primary Area],$C64,EarningsPerDay[DOW],E$62,EarningsPerDay[Quarter],Scheduling!$R$17,EarningsPerDay[Type],"Hourly"),"")</f>
        <v>2.0386991183147671</v>
      </c>
      <c r="F64" s="291">
        <f>IFERROR(AVERAGEIFS(EarningsPerDay[Trips/Hr],EarningsPerDay[Primary Area],$C64,EarningsPerDay[DOW],F$62,EarningsPerDay[Quarter],Scheduling!$R$17,EarningsPerDay[Type],"Hourly"),"")</f>
        <v>2.0755113828432812</v>
      </c>
      <c r="G64" s="291">
        <f>IFERROR(AVERAGEIFS(EarningsPerDay[Trips/Hr],EarningsPerDay[Primary Area],$C64,EarningsPerDay[DOW],G$62,EarningsPerDay[Quarter],Scheduling!$R$17,EarningsPerDay[Type],"Hourly"),"")</f>
        <v>1.9607843137254901</v>
      </c>
      <c r="H64" s="291">
        <f>IFERROR(AVERAGEIFS(EarningsPerDay[Trips/Hr],EarningsPerDay[Primary Area],$C64,EarningsPerDay[DOW],H$62,EarningsPerDay[Quarter],Scheduling!$R$17,EarningsPerDay[Type],"Hourly"),"")</f>
        <v>1.7595307917888563</v>
      </c>
      <c r="I64" s="291">
        <f>IFERROR(AVERAGEIFS(EarningsPerDay[Trips/Hr],EarningsPerDay[Primary Area],$C64,EarningsPerDay[DOW],I$62,EarningsPerDay[Quarter],Scheduling!$R$17,EarningsPerDay[Type],"Hourly"),"")</f>
        <v>1.9332309153723031</v>
      </c>
      <c r="J64" s="291">
        <f>IFERROR(AVERAGEIFS(EarningsPerDay[Trips/Hr],EarningsPerDay[Primary Area],$C64,EarningsPerDay[DOW],J$62,EarningsPerDay[Quarter],Scheduling!$R$17,EarningsPerDay[Type],"Hourly"),"")</f>
        <v>2.12391887475657</v>
      </c>
      <c r="L64" s="291">
        <f>IFERROR(AVERAGEIFS(EarningsPerDay[Trips/Hr],EarningsPerDay[Primary Area],$C64,EarningsPerDay[DOW],L$62,EarningsPerDay[Quarter],Scheduling!$R$17,EarningsPerDay[Type],"Order"),"")</f>
        <v>2.0370846392921398</v>
      </c>
      <c r="M64" s="291">
        <f>IFERROR(AVERAGEIFS(EarningsPerDay[Trips/Hr],EarningsPerDay[Primary Area],$C64,EarningsPerDay[DOW],M$62,EarningsPerDay[Quarter],Scheduling!$R$17,EarningsPerDay[Type],"Order"),"")</f>
        <v>2.0509380425206287</v>
      </c>
      <c r="N64" s="291">
        <f>IFERROR(AVERAGEIFS(EarningsPerDay[Trips/Hr],EarningsPerDay[Primary Area],$C64,EarningsPerDay[DOW],N$62,EarningsPerDay[Quarter],Scheduling!$R$17,EarningsPerDay[Type],"Order"),"")</f>
        <v>2.0607650067201799</v>
      </c>
      <c r="O64" s="291">
        <f>IFERROR(AVERAGEIFS(EarningsPerDay[Trips/Hr],EarningsPerDay[Primary Area],$C64,EarningsPerDay[DOW],O$62,EarningsPerDay[Quarter],Scheduling!$R$17,EarningsPerDay[Type],"Order"),"")</f>
        <v>2.2139578198209073</v>
      </c>
      <c r="P64" s="291">
        <f>IFERROR(AVERAGEIFS(EarningsPerDay[Trips/Hr],EarningsPerDay[Primary Area],$C64,EarningsPerDay[DOW],P$62,EarningsPerDay[Quarter],Scheduling!$R$17,EarningsPerDay[Type],"Order"),"")</f>
        <v>2.2197133832908151</v>
      </c>
      <c r="Q64" s="291">
        <f>IFERROR(AVERAGEIFS(EarningsPerDay[Trips/Hr],EarningsPerDay[Primary Area],$C64,EarningsPerDay[DOW],Q$62,EarningsPerDay[Quarter],Scheduling!$R$17,EarningsPerDay[Type],"Order"),"")</f>
        <v>2.1095602894113314</v>
      </c>
      <c r="R64" s="291">
        <f>IFERROR(AVERAGEIFS(EarningsPerDay[Trips/Hr],EarningsPerDay[Primary Area],$C64,EarningsPerDay[DOW],R$62,EarningsPerDay[Quarter],Scheduling!$R$17,EarningsPerDay[Type],"Order"),"")</f>
        <v>2.405745862782195</v>
      </c>
      <c r="T64" s="316">
        <f>D64</f>
        <v>2.5</v>
      </c>
      <c r="U64" s="316">
        <f>L64</f>
        <v>2.0370846392921398</v>
      </c>
      <c r="V64" s="313">
        <f t="shared" ref="V64:V67" si="55">IF(COUNTBLANK(T64:U64)&gt;0,3,MATCH(MAX(T64:U64),T64:U64,0))</f>
        <v>1</v>
      </c>
      <c r="W64" s="316">
        <f>E64</f>
        <v>2.0386991183147671</v>
      </c>
      <c r="X64" s="316">
        <f>M64</f>
        <v>2.0509380425206287</v>
      </c>
      <c r="Y64" s="313">
        <f t="shared" ref="Y64:Y67" si="56">IF(COUNTBLANK(W64:X64)&gt;0,3,MATCH(MAX(W64:X64),W64:X64,0))</f>
        <v>2</v>
      </c>
      <c r="Z64" s="316">
        <f>F64</f>
        <v>2.0755113828432812</v>
      </c>
      <c r="AA64" s="316">
        <f>N64</f>
        <v>2.0607650067201799</v>
      </c>
      <c r="AB64" s="313">
        <f t="shared" ref="AB64:AB67" si="57">IF(COUNTBLANK(Z64:AA64)&gt;0,3,MATCH(MAX(Z64:AA64),Z64:AA64,0))</f>
        <v>1</v>
      </c>
      <c r="AC64" s="316">
        <f>G64</f>
        <v>1.9607843137254901</v>
      </c>
      <c r="AD64" s="316">
        <f>O64</f>
        <v>2.2139578198209073</v>
      </c>
      <c r="AE64" s="313">
        <f t="shared" ref="AE64:AE67" si="58">IF(COUNTBLANK(AC64:AD64)&gt;0,3,MATCH(MAX(AC64:AD64),AC64:AD64,0))</f>
        <v>2</v>
      </c>
      <c r="AF64" s="316">
        <f>H64</f>
        <v>1.7595307917888563</v>
      </c>
      <c r="AG64" s="316">
        <f>P64</f>
        <v>2.2197133832908151</v>
      </c>
      <c r="AH64" s="313">
        <f t="shared" ref="AH64:AH67" si="59">IF(COUNTBLANK(AF64:AG64)&gt;0,3,MATCH(MAX(AF64:AG64),AF64:AG64,0))</f>
        <v>2</v>
      </c>
      <c r="AI64" s="316">
        <f>I64</f>
        <v>1.9332309153723031</v>
      </c>
      <c r="AJ64" s="316">
        <f>Q64</f>
        <v>2.1095602894113314</v>
      </c>
      <c r="AK64" s="313">
        <f t="shared" ref="AK64:AK67" si="60">IF(COUNTBLANK(AI64:AJ64)&gt;0,3,MATCH(MAX(AI64:AJ64),AI64:AJ64,0))</f>
        <v>2</v>
      </c>
      <c r="AL64" s="316">
        <f>J64</f>
        <v>2.12391887475657</v>
      </c>
      <c r="AM64" s="316">
        <f>R64</f>
        <v>2.405745862782195</v>
      </c>
      <c r="AN64" s="313">
        <f t="shared" ref="AN64:AN67" si="61">IF(COUNTBLANK(AL64:AM64)&gt;0,3,MATCH(MAX(AL64:AM64),AL64:AM64,0))</f>
        <v>2</v>
      </c>
    </row>
    <row r="65" spans="2:40" x14ac:dyDescent="0.35">
      <c r="C65" s="86" t="s">
        <v>82</v>
      </c>
      <c r="D65" s="291" t="str">
        <f>IFERROR(AVERAGEIFS(EarningsPerDay[Trips/Hr],EarningsPerDay[Primary Area],$C65,EarningsPerDay[DOW],D$62,EarningsPerDay[Quarter],Scheduling!$R$17,EarningsPerDay[Type],"Hourly"),"")</f>
        <v/>
      </c>
      <c r="E65" s="291" t="str">
        <f>IFERROR(AVERAGEIFS(EarningsPerDay[Trips/Hr],EarningsPerDay[Primary Area],$C65,EarningsPerDay[DOW],E$62,EarningsPerDay[Quarter],Scheduling!$R$17,EarningsPerDay[Type],"Hourly"),"")</f>
        <v/>
      </c>
      <c r="F65" s="291" t="str">
        <f>IFERROR(AVERAGEIFS(EarningsPerDay[Trips/Hr],EarningsPerDay[Primary Area],$C65,EarningsPerDay[DOW],F$62,EarningsPerDay[Quarter],Scheduling!$R$17,EarningsPerDay[Type],"Hourly"),"")</f>
        <v/>
      </c>
      <c r="G65" s="291">
        <f>IFERROR(AVERAGEIFS(EarningsPerDay[Trips/Hr],EarningsPerDay[Primary Area],$C65,EarningsPerDay[DOW],G$62,EarningsPerDay[Quarter],Scheduling!$R$17,EarningsPerDay[Type],"Hourly"),"")</f>
        <v>2.4147727272727271</v>
      </c>
      <c r="H65" s="291" t="str">
        <f>IFERROR(AVERAGEIFS(EarningsPerDay[Trips/Hr],EarningsPerDay[Primary Area],$C65,EarningsPerDay[DOW],H$62,EarningsPerDay[Quarter],Scheduling!$R$17,EarningsPerDay[Type],"Hourly"),"")</f>
        <v/>
      </c>
      <c r="I65" s="291">
        <f>IFERROR(AVERAGEIFS(EarningsPerDay[Trips/Hr],EarningsPerDay[Primary Area],$C65,EarningsPerDay[DOW],I$62,EarningsPerDay[Quarter],Scheduling!$R$17,EarningsPerDay[Type],"Hourly"),"")</f>
        <v>1.5267175572519083</v>
      </c>
      <c r="J65" s="291" t="str">
        <f>IFERROR(AVERAGEIFS(EarningsPerDay[Trips/Hr],EarningsPerDay[Primary Area],$C65,EarningsPerDay[DOW],J$62,EarningsPerDay[Quarter],Scheduling!$R$17,EarningsPerDay[Type],"Hourly"),"")</f>
        <v/>
      </c>
      <c r="L65" s="291">
        <f>IFERROR(AVERAGEIFS(EarningsPerDay[Trips/Hr],EarningsPerDay[Primary Area],$C65,EarningsPerDay[DOW],L$62,EarningsPerDay[Quarter],Scheduling!$R$17,EarningsPerDay[Type],"Order"),"")</f>
        <v>2.1954887218045114</v>
      </c>
      <c r="M65" s="291">
        <f>IFERROR(AVERAGEIFS(EarningsPerDay[Trips/Hr],EarningsPerDay[Primary Area],$C65,EarningsPerDay[DOW],M$62,EarningsPerDay[Quarter],Scheduling!$R$17,EarningsPerDay[Type],"Order"),"")</f>
        <v>2.0438202532287941</v>
      </c>
      <c r="N65" s="291">
        <f>IFERROR(AVERAGEIFS(EarningsPerDay[Trips/Hr],EarningsPerDay[Primary Area],$C65,EarningsPerDay[DOW],N$62,EarningsPerDay[Quarter],Scheduling!$R$17,EarningsPerDay[Type],"Order"),"")</f>
        <v>2.2754548974061168</v>
      </c>
      <c r="O65" s="291">
        <f>IFERROR(AVERAGEIFS(EarningsPerDay[Trips/Hr],EarningsPerDay[Primary Area],$C65,EarningsPerDay[DOW],O$62,EarningsPerDay[Quarter],Scheduling!$R$17,EarningsPerDay[Type],"Order"),"")</f>
        <v>2.2468340173430592</v>
      </c>
      <c r="P65" s="291">
        <f>IFERROR(AVERAGEIFS(EarningsPerDay[Trips/Hr],EarningsPerDay[Primary Area],$C65,EarningsPerDay[DOW],P$62,EarningsPerDay[Quarter],Scheduling!$R$17,EarningsPerDay[Type],"Order"),"")</f>
        <v>2.2364092178879353</v>
      </c>
      <c r="Q65" s="291">
        <f>IFERROR(AVERAGEIFS(EarningsPerDay[Trips/Hr],EarningsPerDay[Primary Area],$C65,EarningsPerDay[DOW],Q$62,EarningsPerDay[Quarter],Scheduling!$R$17,EarningsPerDay[Type],"Order"),"")</f>
        <v>2.3236326389848081</v>
      </c>
      <c r="R65" s="291">
        <f>IFERROR(AVERAGEIFS(EarningsPerDay[Trips/Hr],EarningsPerDay[Primary Area],$C65,EarningsPerDay[DOW],R$62,EarningsPerDay[Quarter],Scheduling!$R$17,EarningsPerDay[Type],"Order"),"")</f>
        <v>2.2594792123171055</v>
      </c>
      <c r="T65" s="316" t="str">
        <f>D65</f>
        <v/>
      </c>
      <c r="U65" s="316">
        <f>L65</f>
        <v>2.1954887218045114</v>
      </c>
      <c r="V65" s="313">
        <f t="shared" si="55"/>
        <v>3</v>
      </c>
      <c r="W65" s="316" t="str">
        <f>E65</f>
        <v/>
      </c>
      <c r="X65" s="316">
        <f>M65</f>
        <v>2.0438202532287941</v>
      </c>
      <c r="Y65" s="313">
        <f t="shared" si="56"/>
        <v>3</v>
      </c>
      <c r="Z65" s="316" t="str">
        <f>F65</f>
        <v/>
      </c>
      <c r="AA65" s="316">
        <f>N65</f>
        <v>2.2754548974061168</v>
      </c>
      <c r="AB65" s="313">
        <f t="shared" si="57"/>
        <v>3</v>
      </c>
      <c r="AC65" s="316">
        <f>G65</f>
        <v>2.4147727272727271</v>
      </c>
      <c r="AD65" s="316">
        <f>O65</f>
        <v>2.2468340173430592</v>
      </c>
      <c r="AE65" s="313">
        <f t="shared" si="58"/>
        <v>1</v>
      </c>
      <c r="AF65" s="316" t="str">
        <f>H65</f>
        <v/>
      </c>
      <c r="AG65" s="316">
        <f>P65</f>
        <v>2.2364092178879353</v>
      </c>
      <c r="AH65" s="313">
        <f t="shared" si="59"/>
        <v>3</v>
      </c>
      <c r="AI65" s="316">
        <f>I65</f>
        <v>1.5267175572519083</v>
      </c>
      <c r="AJ65" s="316">
        <f>Q65</f>
        <v>2.3236326389848081</v>
      </c>
      <c r="AK65" s="313">
        <f t="shared" si="60"/>
        <v>2</v>
      </c>
      <c r="AL65" s="316" t="str">
        <f>J65</f>
        <v/>
      </c>
      <c r="AM65" s="316">
        <f>R65</f>
        <v>2.2594792123171055</v>
      </c>
      <c r="AN65" s="313">
        <f t="shared" si="61"/>
        <v>3</v>
      </c>
    </row>
    <row r="66" spans="2:40" ht="15" thickBot="1" x14ac:dyDescent="0.4">
      <c r="C66" s="87" t="s">
        <v>85</v>
      </c>
      <c r="D66" s="291" t="str">
        <f>IFERROR(AVERAGEIFS(EarningsPerDay[Trips/Hr],EarningsPerDay[Primary Area],$C66,EarningsPerDay[DOW],D$62,EarningsPerDay[Quarter],Scheduling!$R$17,EarningsPerDay[Type],"Hourly"),"")</f>
        <v/>
      </c>
      <c r="E66" s="291" t="str">
        <f>IFERROR(AVERAGEIFS(EarningsPerDay[Trips/Hr],EarningsPerDay[Primary Area],$C66,EarningsPerDay[DOW],E$62,EarningsPerDay[Quarter],Scheduling!$R$17,EarningsPerDay[Type],"Hourly"),"")</f>
        <v/>
      </c>
      <c r="F66" s="291">
        <f>IFERROR(AVERAGEIFS(EarningsPerDay[Trips/Hr],EarningsPerDay[Primary Area],$C66,EarningsPerDay[DOW],F$62,EarningsPerDay[Quarter],Scheduling!$R$17,EarningsPerDay[Type],"Hourly"),"")</f>
        <v>1.6274864376130198</v>
      </c>
      <c r="G66" s="291" t="str">
        <f>IFERROR(AVERAGEIFS(EarningsPerDay[Trips/Hr],EarningsPerDay[Primary Area],$C66,EarningsPerDay[DOW],G$62,EarningsPerDay[Quarter],Scheduling!$R$17,EarningsPerDay[Type],"Hourly"),"")</f>
        <v/>
      </c>
      <c r="H66" s="291" t="str">
        <f>IFERROR(AVERAGEIFS(EarningsPerDay[Trips/Hr],EarningsPerDay[Primary Area],$C66,EarningsPerDay[DOW],H$62,EarningsPerDay[Quarter],Scheduling!$R$17,EarningsPerDay[Type],"Hourly"),"")</f>
        <v/>
      </c>
      <c r="I66" s="291">
        <f>IFERROR(AVERAGEIFS(EarningsPerDay[Trips/Hr],EarningsPerDay[Primary Area],$C66,EarningsPerDay[DOW],I$62,EarningsPerDay[Quarter],Scheduling!$R$17,EarningsPerDay[Type],"Hourly"),"")</f>
        <v>1.8743109151047408</v>
      </c>
      <c r="J66" s="291">
        <f>IFERROR(AVERAGEIFS(EarningsPerDay[Trips/Hr],EarningsPerDay[Primary Area],$C66,EarningsPerDay[DOW],J$62,EarningsPerDay[Quarter],Scheduling!$R$17,EarningsPerDay[Type],"Hourly"),"")</f>
        <v>1.5625</v>
      </c>
      <c r="K66" s="40"/>
      <c r="L66" s="291">
        <f>IFERROR(AVERAGEIFS(EarningsPerDay[Trips/Hr],EarningsPerDay[Primary Area],$C66,EarningsPerDay[DOW],L$62,EarningsPerDay[Quarter],Scheduling!$R$17,EarningsPerDay[Type],"Order"),"")</f>
        <v>1.8186784627618051</v>
      </c>
      <c r="M66" s="291">
        <f>IFERROR(AVERAGEIFS(EarningsPerDay[Trips/Hr],EarningsPerDay[Primary Area],$C66,EarningsPerDay[DOW],M$62,EarningsPerDay[Quarter],Scheduling!$R$17,EarningsPerDay[Type],"Order"),"")</f>
        <v>1.8815550728690031</v>
      </c>
      <c r="N66" s="291">
        <f>IFERROR(AVERAGEIFS(EarningsPerDay[Trips/Hr],EarningsPerDay[Primary Area],$C66,EarningsPerDay[DOW],N$62,EarningsPerDay[Quarter],Scheduling!$R$17,EarningsPerDay[Type],"Order"),"")</f>
        <v>1.8766756032171581</v>
      </c>
      <c r="O66" s="291">
        <f>IFERROR(AVERAGEIFS(EarningsPerDay[Trips/Hr],EarningsPerDay[Primary Area],$C66,EarningsPerDay[DOW],O$62,EarningsPerDay[Quarter],Scheduling!$R$17,EarningsPerDay[Type],"Order"),"")</f>
        <v>2.14688774695253</v>
      </c>
      <c r="P66" s="291">
        <f>IFERROR(AVERAGEIFS(EarningsPerDay[Trips/Hr],EarningsPerDay[Primary Area],$C66,EarningsPerDay[DOW],P$62,EarningsPerDay[Quarter],Scheduling!$R$17,EarningsPerDay[Type],"Order"),"")</f>
        <v>1.6330657589893749</v>
      </c>
      <c r="Q66" s="291">
        <f>IFERROR(AVERAGEIFS(EarningsPerDay[Trips/Hr],EarningsPerDay[Primary Area],$C66,EarningsPerDay[DOW],Q$62,EarningsPerDay[Quarter],Scheduling!$R$17,EarningsPerDay[Type],"Order"),"")</f>
        <v>1.8982800347789557</v>
      </c>
      <c r="R66" s="291">
        <f>IFERROR(AVERAGEIFS(EarningsPerDay[Trips/Hr],EarningsPerDay[Primary Area],$C66,EarningsPerDay[DOW],R$62,EarningsPerDay[Quarter],Scheduling!$R$17,EarningsPerDay[Type],"Order"),"")</f>
        <v>1.9668065566693911</v>
      </c>
      <c r="T66" s="316" t="str">
        <f>D66</f>
        <v/>
      </c>
      <c r="U66" s="316">
        <f>L66</f>
        <v>1.8186784627618051</v>
      </c>
      <c r="V66" s="313">
        <f t="shared" si="55"/>
        <v>3</v>
      </c>
      <c r="W66" s="316" t="str">
        <f>E66</f>
        <v/>
      </c>
      <c r="X66" s="316">
        <f>M66</f>
        <v>1.8815550728690031</v>
      </c>
      <c r="Y66" s="313">
        <f t="shared" si="56"/>
        <v>3</v>
      </c>
      <c r="Z66" s="316">
        <f>F66</f>
        <v>1.6274864376130198</v>
      </c>
      <c r="AA66" s="316">
        <f>N66</f>
        <v>1.8766756032171581</v>
      </c>
      <c r="AB66" s="313">
        <f t="shared" si="57"/>
        <v>2</v>
      </c>
      <c r="AC66" s="316" t="str">
        <f>G66</f>
        <v/>
      </c>
      <c r="AD66" s="316">
        <f>O66</f>
        <v>2.14688774695253</v>
      </c>
      <c r="AE66" s="313">
        <f t="shared" si="58"/>
        <v>3</v>
      </c>
      <c r="AF66" s="316" t="str">
        <f>H66</f>
        <v/>
      </c>
      <c r="AG66" s="316">
        <f>P66</f>
        <v>1.6330657589893749</v>
      </c>
      <c r="AH66" s="313">
        <f t="shared" si="59"/>
        <v>3</v>
      </c>
      <c r="AI66" s="316">
        <f>I66</f>
        <v>1.8743109151047408</v>
      </c>
      <c r="AJ66" s="316">
        <f>Q66</f>
        <v>1.8982800347789557</v>
      </c>
      <c r="AK66" s="313">
        <f t="shared" si="60"/>
        <v>2</v>
      </c>
      <c r="AL66" s="316">
        <f>J66</f>
        <v>1.5625</v>
      </c>
      <c r="AM66" s="316">
        <f>R66</f>
        <v>1.9668065566693911</v>
      </c>
      <c r="AN66" s="313">
        <f t="shared" si="61"/>
        <v>2</v>
      </c>
    </row>
    <row r="67" spans="2:40" ht="15" thickBot="1" x14ac:dyDescent="0.4">
      <c r="C67" s="53" t="s">
        <v>41</v>
      </c>
      <c r="D67" s="292">
        <f>_xlfn.MAXIFS(D63:D66,D63:D66,"&lt;&gt;0")</f>
        <v>2.5</v>
      </c>
      <c r="E67" s="292">
        <f t="shared" ref="E67:J67" si="62">_xlfn.MAXIFS(E63:E66,E63:E66,"&lt;&gt;0")</f>
        <v>2.0386991183147671</v>
      </c>
      <c r="F67" s="292">
        <f t="shared" si="62"/>
        <v>2.0755113828432812</v>
      </c>
      <c r="G67" s="292">
        <f t="shared" si="62"/>
        <v>2.4147727272727271</v>
      </c>
      <c r="H67" s="292">
        <f t="shared" si="62"/>
        <v>1.7595307917888563</v>
      </c>
      <c r="I67" s="292">
        <f t="shared" si="62"/>
        <v>1.9332309153723031</v>
      </c>
      <c r="J67" s="292">
        <f t="shared" si="62"/>
        <v>2.12391887475657</v>
      </c>
      <c r="K67" s="42"/>
      <c r="L67" s="292">
        <f>_xlfn.MAXIFS(L63:L66,L63:L66,"&lt;&gt;0")</f>
        <v>2.1954887218045114</v>
      </c>
      <c r="M67" s="292">
        <f t="shared" ref="M67:R67" si="63">_xlfn.MAXIFS(M63:M66,M63:M66,"&lt;&gt;0")</f>
        <v>2.0509380425206287</v>
      </c>
      <c r="N67" s="292">
        <f t="shared" si="63"/>
        <v>2.2754548974061168</v>
      </c>
      <c r="O67" s="292">
        <f t="shared" si="63"/>
        <v>2.2468340173430592</v>
      </c>
      <c r="P67" s="292">
        <f t="shared" si="63"/>
        <v>2.2364092178879353</v>
      </c>
      <c r="Q67" s="292">
        <f t="shared" si="63"/>
        <v>2.3236326389848081</v>
      </c>
      <c r="R67" s="292">
        <f t="shared" si="63"/>
        <v>3.801169590643275</v>
      </c>
      <c r="T67" s="316">
        <f>D67</f>
        <v>2.5</v>
      </c>
      <c r="U67" s="316">
        <f>L67</f>
        <v>2.1954887218045114</v>
      </c>
      <c r="V67" s="313">
        <f t="shared" si="55"/>
        <v>1</v>
      </c>
      <c r="W67" s="316">
        <f>E67</f>
        <v>2.0386991183147671</v>
      </c>
      <c r="X67" s="316">
        <f>M67</f>
        <v>2.0509380425206287</v>
      </c>
      <c r="Y67" s="313">
        <f t="shared" si="56"/>
        <v>2</v>
      </c>
      <c r="Z67" s="316">
        <f>F67</f>
        <v>2.0755113828432812</v>
      </c>
      <c r="AA67" s="316">
        <f>N67</f>
        <v>2.2754548974061168</v>
      </c>
      <c r="AB67" s="313">
        <f t="shared" si="57"/>
        <v>2</v>
      </c>
      <c r="AC67" s="316">
        <f>G67</f>
        <v>2.4147727272727271</v>
      </c>
      <c r="AD67" s="316">
        <f>O67</f>
        <v>2.2468340173430592</v>
      </c>
      <c r="AE67" s="313">
        <f t="shared" si="58"/>
        <v>1</v>
      </c>
      <c r="AF67" s="316">
        <f>H67</f>
        <v>1.7595307917888563</v>
      </c>
      <c r="AG67" s="316">
        <f>P67</f>
        <v>2.2364092178879353</v>
      </c>
      <c r="AH67" s="313">
        <f t="shared" si="59"/>
        <v>2</v>
      </c>
      <c r="AI67" s="316">
        <f>I67</f>
        <v>1.9332309153723031</v>
      </c>
      <c r="AJ67" s="316">
        <f>Q67</f>
        <v>2.3236326389848081</v>
      </c>
      <c r="AK67" s="313">
        <f t="shared" si="60"/>
        <v>2</v>
      </c>
      <c r="AL67" s="316">
        <f>J67</f>
        <v>2.12391887475657</v>
      </c>
      <c r="AM67" s="316">
        <f>R67</f>
        <v>3.801169590643275</v>
      </c>
      <c r="AN67" s="313">
        <f t="shared" si="61"/>
        <v>2</v>
      </c>
    </row>
    <row r="68" spans="2:40" ht="15" thickBot="1" x14ac:dyDescent="0.4">
      <c r="C68" s="53" t="s">
        <v>87</v>
      </c>
      <c r="D68" s="54">
        <f t="shared" ref="D68:J68" si="64">_xlfn.RANK.EQ(D67,$D$67:$J$67,0)</f>
        <v>1</v>
      </c>
      <c r="E68" s="54">
        <f t="shared" si="64"/>
        <v>5</v>
      </c>
      <c r="F68" s="54">
        <f t="shared" si="64"/>
        <v>4</v>
      </c>
      <c r="G68" s="54">
        <f t="shared" si="64"/>
        <v>2</v>
      </c>
      <c r="H68" s="54">
        <f t="shared" si="64"/>
        <v>7</v>
      </c>
      <c r="I68" s="54">
        <f t="shared" si="64"/>
        <v>6</v>
      </c>
      <c r="J68" s="54">
        <f t="shared" si="64"/>
        <v>3</v>
      </c>
      <c r="L68" s="54">
        <f>_xlfn.RANK.EQ(L67,$L$67:$R$67,0)</f>
        <v>6</v>
      </c>
      <c r="M68" s="54">
        <f t="shared" ref="M68:R68" si="65">_xlfn.RANK.EQ(M67,$L$67:$R$67,0)</f>
        <v>7</v>
      </c>
      <c r="N68" s="54">
        <f t="shared" si="65"/>
        <v>3</v>
      </c>
      <c r="O68" s="54">
        <f t="shared" si="65"/>
        <v>4</v>
      </c>
      <c r="P68" s="54">
        <f t="shared" si="65"/>
        <v>5</v>
      </c>
      <c r="Q68" s="54">
        <f t="shared" si="65"/>
        <v>2</v>
      </c>
      <c r="R68" s="54">
        <f t="shared" si="65"/>
        <v>1</v>
      </c>
    </row>
    <row r="70" spans="2:40" ht="15.65" customHeight="1" x14ac:dyDescent="0.35"/>
    <row r="71" spans="2:40" ht="15.65" customHeight="1" x14ac:dyDescent="0.35"/>
    <row r="72" spans="2:40" ht="15.65" customHeight="1" x14ac:dyDescent="0.35">
      <c r="B72">
        <v>3</v>
      </c>
    </row>
    <row r="73" spans="2:40" ht="15.65" customHeight="1" x14ac:dyDescent="0.35">
      <c r="B73">
        <v>4</v>
      </c>
    </row>
    <row r="74" spans="2:40" ht="15.65" customHeight="1" x14ac:dyDescent="0.35"/>
    <row r="75" spans="2:40" ht="15.65" customHeight="1" x14ac:dyDescent="0.35"/>
  </sheetData>
  <mergeCells count="20">
    <mergeCell ref="L15:R15"/>
    <mergeCell ref="C43:R43"/>
    <mergeCell ref="C34:R34"/>
    <mergeCell ref="C25:R25"/>
    <mergeCell ref="C15:J15"/>
    <mergeCell ref="C16:R16"/>
    <mergeCell ref="AC16:AE16"/>
    <mergeCell ref="AF16:AH16"/>
    <mergeCell ref="T50:AN53"/>
    <mergeCell ref="C52:R52"/>
    <mergeCell ref="C61:R61"/>
    <mergeCell ref="T59:AN62"/>
    <mergeCell ref="AI16:AK16"/>
    <mergeCell ref="AL16:AN16"/>
    <mergeCell ref="T23:AN26"/>
    <mergeCell ref="T32:AN35"/>
    <mergeCell ref="T41:AN44"/>
    <mergeCell ref="T16:V16"/>
    <mergeCell ref="W16:Y16"/>
    <mergeCell ref="Z16:AB16"/>
  </mergeCells>
  <phoneticPr fontId="3" type="noConversion"/>
  <conditionalFormatting sqref="D23:J23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1:J4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:J5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J48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:J2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4:J5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6:J3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J3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7:J3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:J68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3:J6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9:J5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R2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8:R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2:R32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7:R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R4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R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R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5:R4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4:R5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9:R5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8:R6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3:R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J6">
    <cfRule type="colorScale" priority="1">
      <colorScale>
        <cfvo type="num" val="1"/>
        <cfvo type="num" val="2"/>
        <cfvo type="num" val="3"/>
        <color rgb="FF5A8AC6"/>
        <color rgb="FF00FF00"/>
        <color theme="7" tint="0.39997558519241921"/>
      </colorScale>
    </cfRule>
  </conditionalFormatting>
  <conditionalFormatting sqref="D18:J21 L18:R21">
    <cfRule type="cellIs" dxfId="10" priority="21" operator="greaterThan">
      <formula>AVERAGE($D$22:$R$22)</formula>
    </cfRule>
  </conditionalFormatting>
  <conditionalFormatting sqref="D36:R39">
    <cfRule type="cellIs" dxfId="9" priority="14" operator="greaterThan">
      <formula>AVERAGE($D$40:$R$40)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CEAE-6991-4AE5-AFEF-AE580963DC0F}">
  <sheetPr>
    <tabColor theme="8" tint="-0.499984740745262"/>
  </sheetPr>
  <dimension ref="A1:J218"/>
  <sheetViews>
    <sheetView workbookViewId="0">
      <selection sqref="A1:D216"/>
    </sheetView>
  </sheetViews>
  <sheetFormatPr defaultRowHeight="14.5" x14ac:dyDescent="0.35"/>
  <cols>
    <col min="1" max="1" width="6.6328125" bestFit="1" customWidth="1"/>
    <col min="2" max="2" width="10.453125" bestFit="1" customWidth="1"/>
    <col min="3" max="3" width="21.90625" bestFit="1" customWidth="1"/>
    <col min="4" max="4" width="11.81640625" style="106" bestFit="1" customWidth="1"/>
    <col min="5" max="5" width="18.54296875" style="11" bestFit="1" customWidth="1"/>
    <col min="6" max="6" width="7.90625" bestFit="1" customWidth="1"/>
    <col min="7" max="7" width="6.453125" bestFit="1" customWidth="1"/>
    <col min="8" max="8" width="8.54296875" bestFit="1" customWidth="1"/>
    <col min="9" max="10" width="7.90625" bestFit="1" customWidth="1"/>
  </cols>
  <sheetData>
    <row r="1" spans="1:10" ht="15" thickBot="1" x14ac:dyDescent="0.4">
      <c r="A1" t="s">
        <v>333</v>
      </c>
      <c r="B1" t="s">
        <v>99</v>
      </c>
      <c r="C1" t="s">
        <v>98</v>
      </c>
      <c r="D1" s="106" t="s">
        <v>111</v>
      </c>
      <c r="E1"/>
    </row>
    <row r="2" spans="1:10" x14ac:dyDescent="0.35">
      <c r="A2">
        <v>1</v>
      </c>
      <c r="B2" t="s">
        <v>50</v>
      </c>
      <c r="C2" t="s">
        <v>174</v>
      </c>
      <c r="D2" s="106">
        <v>0.75</v>
      </c>
      <c r="F2" s="404" t="s">
        <v>75</v>
      </c>
      <c r="G2" s="416" t="s">
        <v>99</v>
      </c>
      <c r="H2" s="416" t="s">
        <v>336</v>
      </c>
      <c r="I2" s="416" t="s">
        <v>334</v>
      </c>
      <c r="J2" s="123" t="s">
        <v>388</v>
      </c>
    </row>
    <row r="3" spans="1:10" ht="15" thickBot="1" x14ac:dyDescent="0.4">
      <c r="A3">
        <v>1</v>
      </c>
      <c r="B3" t="s">
        <v>50</v>
      </c>
      <c r="C3" t="s">
        <v>174</v>
      </c>
      <c r="D3" s="106">
        <v>0.77083333333333337</v>
      </c>
      <c r="E3"/>
      <c r="F3" s="414">
        <v>2</v>
      </c>
      <c r="G3" s="415" t="s">
        <v>50</v>
      </c>
      <c r="H3" s="415" t="s">
        <v>85</v>
      </c>
      <c r="I3" s="417">
        <f>_xlfn.MINIFS(Profitable_Start_Time_Data__New[Start Time],Profitable_Start_Time_Data__New[QTR],$F$3,Profitable_Start_Time_Data__New[DOW],$G$3,Profitable_Start_Time_Data__New[Primary Area],$H$3)</f>
        <v>0.70833333333333337</v>
      </c>
      <c r="J3" s="418">
        <f>_xlfn.MAXIFS(Profitable_Start_Time_Data__New[Start Time],Profitable_Start_Time_Data__New[QTR],$F$3,Profitable_Start_Time_Data__New[DOW],$G$3,Profitable_Start_Time_Data__New[Primary Area],$H$3)</f>
        <v>0.77083333333333337</v>
      </c>
    </row>
    <row r="4" spans="1:10" x14ac:dyDescent="0.35">
      <c r="A4">
        <v>1</v>
      </c>
      <c r="B4" t="s">
        <v>50</v>
      </c>
      <c r="C4" t="s">
        <v>80</v>
      </c>
      <c r="D4" s="106">
        <v>0.8125</v>
      </c>
      <c r="E4"/>
    </row>
    <row r="5" spans="1:10" x14ac:dyDescent="0.35">
      <c r="A5">
        <v>1</v>
      </c>
      <c r="B5" t="s">
        <v>50</v>
      </c>
      <c r="C5" t="s">
        <v>80</v>
      </c>
      <c r="D5" s="106">
        <v>0.6875</v>
      </c>
      <c r="E5"/>
    </row>
    <row r="6" spans="1:10" x14ac:dyDescent="0.35">
      <c r="A6">
        <v>1</v>
      </c>
      <c r="B6" t="s">
        <v>50</v>
      </c>
      <c r="C6" t="s">
        <v>82</v>
      </c>
      <c r="D6" s="106">
        <v>0.75</v>
      </c>
      <c r="E6"/>
    </row>
    <row r="7" spans="1:10" x14ac:dyDescent="0.35">
      <c r="A7">
        <v>1</v>
      </c>
      <c r="B7" t="s">
        <v>50</v>
      </c>
      <c r="C7" t="s">
        <v>82</v>
      </c>
      <c r="D7" s="106">
        <v>0.75</v>
      </c>
      <c r="E7"/>
    </row>
    <row r="8" spans="1:10" x14ac:dyDescent="0.35">
      <c r="A8">
        <v>1</v>
      </c>
      <c r="B8" t="s">
        <v>50</v>
      </c>
      <c r="C8" t="s">
        <v>85</v>
      </c>
      <c r="D8" s="106">
        <v>0.72916666666666663</v>
      </c>
      <c r="E8"/>
    </row>
    <row r="9" spans="1:10" x14ac:dyDescent="0.35">
      <c r="A9">
        <v>1</v>
      </c>
      <c r="B9" t="s">
        <v>50</v>
      </c>
      <c r="C9" t="s">
        <v>85</v>
      </c>
      <c r="D9" s="106">
        <v>0.75</v>
      </c>
      <c r="E9"/>
    </row>
    <row r="10" spans="1:10" x14ac:dyDescent="0.35">
      <c r="A10">
        <v>1</v>
      </c>
      <c r="B10" t="s">
        <v>46</v>
      </c>
      <c r="C10" t="s">
        <v>174</v>
      </c>
      <c r="D10" s="106">
        <v>0.70833333333333337</v>
      </c>
      <c r="E10"/>
    </row>
    <row r="11" spans="1:10" x14ac:dyDescent="0.35">
      <c r="A11">
        <v>1</v>
      </c>
      <c r="B11" t="s">
        <v>46</v>
      </c>
      <c r="C11" t="s">
        <v>174</v>
      </c>
      <c r="D11" s="106">
        <v>0.70833333333333337</v>
      </c>
      <c r="E11"/>
    </row>
    <row r="12" spans="1:10" x14ac:dyDescent="0.35">
      <c r="A12">
        <v>1</v>
      </c>
      <c r="B12" t="s">
        <v>46</v>
      </c>
      <c r="C12" t="s">
        <v>80</v>
      </c>
      <c r="D12" s="106">
        <v>0.77083333333333337</v>
      </c>
      <c r="E12"/>
    </row>
    <row r="13" spans="1:10" x14ac:dyDescent="0.35">
      <c r="A13">
        <v>1</v>
      </c>
      <c r="B13" t="s">
        <v>46</v>
      </c>
      <c r="C13" t="s">
        <v>80</v>
      </c>
      <c r="D13" s="106">
        <v>0.70833333333333337</v>
      </c>
      <c r="E13"/>
    </row>
    <row r="14" spans="1:10" x14ac:dyDescent="0.35">
      <c r="A14">
        <v>1</v>
      </c>
      <c r="B14" t="s">
        <v>46</v>
      </c>
      <c r="C14" t="s">
        <v>82</v>
      </c>
      <c r="D14" s="106">
        <v>0.72916666666666663</v>
      </c>
      <c r="E14"/>
    </row>
    <row r="15" spans="1:10" x14ac:dyDescent="0.35">
      <c r="A15">
        <v>1</v>
      </c>
      <c r="B15" t="s">
        <v>46</v>
      </c>
      <c r="C15" t="s">
        <v>82</v>
      </c>
      <c r="D15" s="106">
        <v>0.72916666666666663</v>
      </c>
      <c r="E15"/>
    </row>
    <row r="16" spans="1:10" x14ac:dyDescent="0.35">
      <c r="A16">
        <v>1</v>
      </c>
      <c r="B16" t="s">
        <v>46</v>
      </c>
      <c r="C16" t="s">
        <v>85</v>
      </c>
      <c r="D16" s="106">
        <v>0.72916666666666663</v>
      </c>
      <c r="E16"/>
    </row>
    <row r="17" spans="1:5" x14ac:dyDescent="0.35">
      <c r="A17">
        <v>1</v>
      </c>
      <c r="B17" t="s">
        <v>46</v>
      </c>
      <c r="C17" t="s">
        <v>85</v>
      </c>
      <c r="D17" s="106">
        <v>0.5</v>
      </c>
      <c r="E17"/>
    </row>
    <row r="18" spans="1:5" x14ac:dyDescent="0.35">
      <c r="A18">
        <v>1</v>
      </c>
      <c r="B18" t="s">
        <v>51</v>
      </c>
      <c r="C18" t="s">
        <v>174</v>
      </c>
      <c r="D18" s="106">
        <v>0.72916666666666663</v>
      </c>
      <c r="E18"/>
    </row>
    <row r="19" spans="1:5" x14ac:dyDescent="0.35">
      <c r="A19">
        <v>1</v>
      </c>
      <c r="B19" t="s">
        <v>51</v>
      </c>
      <c r="C19" t="s">
        <v>174</v>
      </c>
      <c r="D19" s="106">
        <v>0.8125</v>
      </c>
      <c r="E19"/>
    </row>
    <row r="20" spans="1:5" x14ac:dyDescent="0.35">
      <c r="A20">
        <v>1</v>
      </c>
      <c r="B20" t="s">
        <v>51</v>
      </c>
      <c r="C20" t="s">
        <v>80</v>
      </c>
      <c r="D20" s="106">
        <v>0.54166666666666663</v>
      </c>
      <c r="E20"/>
    </row>
    <row r="21" spans="1:5" x14ac:dyDescent="0.35">
      <c r="A21">
        <v>1</v>
      </c>
      <c r="B21" t="s">
        <v>51</v>
      </c>
      <c r="C21" t="s">
        <v>80</v>
      </c>
      <c r="D21" s="106">
        <v>0.54166666666666663</v>
      </c>
      <c r="E21"/>
    </row>
    <row r="22" spans="1:5" x14ac:dyDescent="0.35">
      <c r="A22">
        <v>1</v>
      </c>
      <c r="B22" t="s">
        <v>51</v>
      </c>
      <c r="C22" t="s">
        <v>82</v>
      </c>
      <c r="D22" s="106">
        <v>0.66666666666666663</v>
      </c>
      <c r="E22"/>
    </row>
    <row r="23" spans="1:5" x14ac:dyDescent="0.35">
      <c r="A23">
        <v>1</v>
      </c>
      <c r="B23" t="s">
        <v>51</v>
      </c>
      <c r="C23" t="s">
        <v>82</v>
      </c>
      <c r="D23" s="106">
        <v>0.47916666666666669</v>
      </c>
      <c r="E23"/>
    </row>
    <row r="24" spans="1:5" x14ac:dyDescent="0.35">
      <c r="A24">
        <v>1</v>
      </c>
      <c r="B24" t="s">
        <v>51</v>
      </c>
      <c r="C24" t="s">
        <v>85</v>
      </c>
      <c r="D24" s="106">
        <v>0.6875</v>
      </c>
      <c r="E24"/>
    </row>
    <row r="25" spans="1:5" x14ac:dyDescent="0.35">
      <c r="A25">
        <v>1</v>
      </c>
      <c r="B25" t="s">
        <v>51</v>
      </c>
      <c r="C25" t="s">
        <v>85</v>
      </c>
      <c r="D25" s="106">
        <v>0.64583333333333337</v>
      </c>
      <c r="E25"/>
    </row>
    <row r="26" spans="1:5" x14ac:dyDescent="0.35">
      <c r="A26">
        <v>1</v>
      </c>
      <c r="B26" t="s">
        <v>45</v>
      </c>
      <c r="C26" t="s">
        <v>174</v>
      </c>
      <c r="D26" s="106">
        <v>0.66666666666666663</v>
      </c>
      <c r="E26"/>
    </row>
    <row r="27" spans="1:5" x14ac:dyDescent="0.35">
      <c r="A27">
        <v>1</v>
      </c>
      <c r="B27" t="s">
        <v>45</v>
      </c>
      <c r="C27" t="s">
        <v>174</v>
      </c>
      <c r="D27" s="106">
        <v>0.75</v>
      </c>
      <c r="E27"/>
    </row>
    <row r="28" spans="1:5" x14ac:dyDescent="0.35">
      <c r="A28">
        <v>1</v>
      </c>
      <c r="B28" t="s">
        <v>45</v>
      </c>
      <c r="C28" t="s">
        <v>80</v>
      </c>
      <c r="D28" s="106">
        <v>0.64583333333333337</v>
      </c>
      <c r="E28"/>
    </row>
    <row r="29" spans="1:5" x14ac:dyDescent="0.35">
      <c r="A29">
        <v>1</v>
      </c>
      <c r="B29" t="s">
        <v>45</v>
      </c>
      <c r="C29" t="s">
        <v>80</v>
      </c>
      <c r="D29" s="106">
        <v>0.64583333333333337</v>
      </c>
      <c r="E29"/>
    </row>
    <row r="30" spans="1:5" x14ac:dyDescent="0.35">
      <c r="A30">
        <v>1</v>
      </c>
      <c r="B30" t="s">
        <v>45</v>
      </c>
      <c r="C30" t="s">
        <v>82</v>
      </c>
      <c r="D30" s="106">
        <v>0.75</v>
      </c>
      <c r="E30"/>
    </row>
    <row r="31" spans="1:5" x14ac:dyDescent="0.35">
      <c r="A31">
        <v>1</v>
      </c>
      <c r="B31" t="s">
        <v>45</v>
      </c>
      <c r="C31" t="s">
        <v>82</v>
      </c>
      <c r="D31" s="106">
        <v>0.70833333333333337</v>
      </c>
      <c r="E31"/>
    </row>
    <row r="32" spans="1:5" x14ac:dyDescent="0.35">
      <c r="A32">
        <v>1</v>
      </c>
      <c r="B32" t="s">
        <v>45</v>
      </c>
      <c r="C32" t="s">
        <v>85</v>
      </c>
      <c r="D32" s="106">
        <v>0.70833333333333337</v>
      </c>
      <c r="E32"/>
    </row>
    <row r="33" spans="1:5" x14ac:dyDescent="0.35">
      <c r="A33">
        <v>1</v>
      </c>
      <c r="B33" t="s">
        <v>45</v>
      </c>
      <c r="C33" t="s">
        <v>85</v>
      </c>
      <c r="D33" s="106">
        <v>0.77083333333333337</v>
      </c>
      <c r="E33"/>
    </row>
    <row r="34" spans="1:5" x14ac:dyDescent="0.35">
      <c r="A34">
        <v>1</v>
      </c>
      <c r="B34" t="s">
        <v>49</v>
      </c>
      <c r="C34" t="s">
        <v>174</v>
      </c>
      <c r="D34" s="106">
        <v>0.75</v>
      </c>
      <c r="E34"/>
    </row>
    <row r="35" spans="1:5" x14ac:dyDescent="0.35">
      <c r="A35">
        <v>1</v>
      </c>
      <c r="B35" t="s">
        <v>49</v>
      </c>
      <c r="C35" t="s">
        <v>174</v>
      </c>
      <c r="D35" s="106">
        <v>0.72916666666666663</v>
      </c>
      <c r="E35"/>
    </row>
    <row r="36" spans="1:5" x14ac:dyDescent="0.35">
      <c r="A36">
        <v>1</v>
      </c>
      <c r="B36" t="s">
        <v>49</v>
      </c>
      <c r="C36" t="s">
        <v>80</v>
      </c>
      <c r="D36" s="106">
        <v>0.72916666666666663</v>
      </c>
      <c r="E36"/>
    </row>
    <row r="37" spans="1:5" x14ac:dyDescent="0.35">
      <c r="A37">
        <v>1</v>
      </c>
      <c r="B37" t="s">
        <v>49</v>
      </c>
      <c r="C37" t="s">
        <v>80</v>
      </c>
      <c r="D37" s="106">
        <v>0.72916666666666663</v>
      </c>
      <c r="E37"/>
    </row>
    <row r="38" spans="1:5" x14ac:dyDescent="0.35">
      <c r="A38">
        <v>1</v>
      </c>
      <c r="B38" t="s">
        <v>49</v>
      </c>
      <c r="C38" t="s">
        <v>82</v>
      </c>
      <c r="D38" s="106">
        <v>0.75</v>
      </c>
      <c r="E38"/>
    </row>
    <row r="39" spans="1:5" x14ac:dyDescent="0.35">
      <c r="A39">
        <v>1</v>
      </c>
      <c r="B39" t="s">
        <v>49</v>
      </c>
      <c r="C39" t="s">
        <v>82</v>
      </c>
      <c r="D39" s="106">
        <v>0.75</v>
      </c>
      <c r="E39"/>
    </row>
    <row r="40" spans="1:5" x14ac:dyDescent="0.35">
      <c r="A40">
        <v>1</v>
      </c>
      <c r="B40" t="s">
        <v>49</v>
      </c>
      <c r="C40" t="s">
        <v>85</v>
      </c>
      <c r="D40" s="106">
        <v>0.79166666666666663</v>
      </c>
      <c r="E40"/>
    </row>
    <row r="41" spans="1:5" x14ac:dyDescent="0.35">
      <c r="A41">
        <v>1</v>
      </c>
      <c r="B41" t="s">
        <v>49</v>
      </c>
      <c r="C41" t="s">
        <v>85</v>
      </c>
      <c r="D41" s="106">
        <v>0.72916666666666663</v>
      </c>
      <c r="E41"/>
    </row>
    <row r="42" spans="1:5" x14ac:dyDescent="0.35">
      <c r="A42">
        <v>1</v>
      </c>
      <c r="B42" t="s">
        <v>47</v>
      </c>
      <c r="C42" t="s">
        <v>174</v>
      </c>
      <c r="D42" s="106">
        <v>0.75</v>
      </c>
      <c r="E42"/>
    </row>
    <row r="43" spans="1:5" x14ac:dyDescent="0.35">
      <c r="A43">
        <v>1</v>
      </c>
      <c r="B43" t="s">
        <v>47</v>
      </c>
      <c r="C43" t="s">
        <v>174</v>
      </c>
      <c r="D43" s="106">
        <v>0.75</v>
      </c>
      <c r="E43"/>
    </row>
    <row r="44" spans="1:5" x14ac:dyDescent="0.35">
      <c r="A44">
        <v>1</v>
      </c>
      <c r="B44" t="s">
        <v>47</v>
      </c>
      <c r="C44" t="s">
        <v>80</v>
      </c>
      <c r="D44" s="106">
        <v>0.70833333333333337</v>
      </c>
      <c r="E44"/>
    </row>
    <row r="45" spans="1:5" x14ac:dyDescent="0.35">
      <c r="A45">
        <v>1</v>
      </c>
      <c r="B45" t="s">
        <v>47</v>
      </c>
      <c r="C45" t="s">
        <v>80</v>
      </c>
      <c r="D45" s="106">
        <v>0.70833333333333337</v>
      </c>
      <c r="E45"/>
    </row>
    <row r="46" spans="1:5" x14ac:dyDescent="0.35">
      <c r="A46">
        <v>1</v>
      </c>
      <c r="B46" t="s">
        <v>47</v>
      </c>
      <c r="C46" t="s">
        <v>82</v>
      </c>
      <c r="D46" s="106">
        <v>0.72916666666666663</v>
      </c>
      <c r="E46"/>
    </row>
    <row r="47" spans="1:5" x14ac:dyDescent="0.35">
      <c r="A47">
        <v>1</v>
      </c>
      <c r="B47" t="s">
        <v>47</v>
      </c>
      <c r="C47" t="s">
        <v>82</v>
      </c>
      <c r="D47" s="106">
        <v>0.72916666666666663</v>
      </c>
      <c r="E47"/>
    </row>
    <row r="48" spans="1:5" x14ac:dyDescent="0.35">
      <c r="A48">
        <v>1</v>
      </c>
      <c r="B48" t="s">
        <v>47</v>
      </c>
      <c r="C48" t="s">
        <v>85</v>
      </c>
      <c r="D48" s="106">
        <v>0.70833333333333337</v>
      </c>
      <c r="E48"/>
    </row>
    <row r="49" spans="1:5" x14ac:dyDescent="0.35">
      <c r="A49">
        <v>1</v>
      </c>
      <c r="B49" t="s">
        <v>47</v>
      </c>
      <c r="C49" t="s">
        <v>85</v>
      </c>
      <c r="D49" s="106">
        <v>0.79166666666666663</v>
      </c>
      <c r="E49"/>
    </row>
    <row r="50" spans="1:5" x14ac:dyDescent="0.35">
      <c r="A50">
        <v>1</v>
      </c>
      <c r="B50" t="s">
        <v>48</v>
      </c>
      <c r="C50" t="s">
        <v>174</v>
      </c>
      <c r="D50" s="106">
        <v>0.70833333333333337</v>
      </c>
      <c r="E50"/>
    </row>
    <row r="51" spans="1:5" x14ac:dyDescent="0.35">
      <c r="A51">
        <v>1</v>
      </c>
      <c r="B51" t="s">
        <v>48</v>
      </c>
      <c r="C51" t="s">
        <v>174</v>
      </c>
      <c r="D51" s="106">
        <v>0.72916666666666663</v>
      </c>
      <c r="E51"/>
    </row>
    <row r="52" spans="1:5" x14ac:dyDescent="0.35">
      <c r="A52">
        <v>1</v>
      </c>
      <c r="B52" t="s">
        <v>48</v>
      </c>
      <c r="C52" t="s">
        <v>80</v>
      </c>
      <c r="D52" s="106">
        <v>0.77083333333333337</v>
      </c>
      <c r="E52"/>
    </row>
    <row r="53" spans="1:5" x14ac:dyDescent="0.35">
      <c r="A53">
        <v>1</v>
      </c>
      <c r="B53" t="s">
        <v>48</v>
      </c>
      <c r="C53" t="s">
        <v>80</v>
      </c>
      <c r="D53" s="106">
        <v>0.72916666666666663</v>
      </c>
      <c r="E53"/>
    </row>
    <row r="54" spans="1:5" x14ac:dyDescent="0.35">
      <c r="A54">
        <v>1</v>
      </c>
      <c r="B54" t="s">
        <v>48</v>
      </c>
      <c r="C54" t="s">
        <v>82</v>
      </c>
      <c r="D54" s="106">
        <v>0.72916666666666663</v>
      </c>
      <c r="E54"/>
    </row>
    <row r="55" spans="1:5" x14ac:dyDescent="0.35">
      <c r="A55">
        <v>1</v>
      </c>
      <c r="B55" t="s">
        <v>48</v>
      </c>
      <c r="C55" t="s">
        <v>82</v>
      </c>
      <c r="D55" s="106">
        <v>0.72916666666666663</v>
      </c>
      <c r="E55"/>
    </row>
    <row r="56" spans="1:5" x14ac:dyDescent="0.35">
      <c r="A56">
        <v>1</v>
      </c>
      <c r="B56" t="s">
        <v>48</v>
      </c>
      <c r="C56" t="s">
        <v>85</v>
      </c>
      <c r="D56" s="106">
        <v>0.64583333333333337</v>
      </c>
      <c r="E56"/>
    </row>
    <row r="57" spans="1:5" x14ac:dyDescent="0.35">
      <c r="A57">
        <v>1</v>
      </c>
      <c r="B57" t="s">
        <v>48</v>
      </c>
      <c r="C57" t="s">
        <v>85</v>
      </c>
      <c r="D57" s="106">
        <v>0.75</v>
      </c>
      <c r="E57"/>
    </row>
    <row r="58" spans="1:5" x14ac:dyDescent="0.35">
      <c r="A58">
        <v>2</v>
      </c>
      <c r="B58" t="s">
        <v>50</v>
      </c>
      <c r="C58" t="s">
        <v>174</v>
      </c>
      <c r="D58" s="106">
        <v>0.70833333333333337</v>
      </c>
      <c r="E58"/>
    </row>
    <row r="59" spans="1:5" x14ac:dyDescent="0.35">
      <c r="A59">
        <v>2</v>
      </c>
      <c r="B59" t="s">
        <v>50</v>
      </c>
      <c r="C59" t="s">
        <v>174</v>
      </c>
      <c r="D59" s="106">
        <v>0.72916666666666663</v>
      </c>
      <c r="E59"/>
    </row>
    <row r="60" spans="1:5" x14ac:dyDescent="0.35">
      <c r="A60">
        <v>2</v>
      </c>
      <c r="B60" t="s">
        <v>50</v>
      </c>
      <c r="C60" t="s">
        <v>80</v>
      </c>
      <c r="D60" s="106">
        <v>0.45833333333333331</v>
      </c>
      <c r="E60"/>
    </row>
    <row r="61" spans="1:5" x14ac:dyDescent="0.35">
      <c r="A61">
        <v>2</v>
      </c>
      <c r="B61" t="s">
        <v>50</v>
      </c>
      <c r="C61" t="s">
        <v>80</v>
      </c>
      <c r="D61" s="106">
        <v>0.75</v>
      </c>
      <c r="E61"/>
    </row>
    <row r="62" spans="1:5" x14ac:dyDescent="0.35">
      <c r="A62">
        <v>2</v>
      </c>
      <c r="B62" t="s">
        <v>50</v>
      </c>
      <c r="C62" t="s">
        <v>82</v>
      </c>
      <c r="D62" s="106">
        <v>0.83333333333333337</v>
      </c>
      <c r="E62"/>
    </row>
    <row r="63" spans="1:5" x14ac:dyDescent="0.35">
      <c r="A63">
        <v>2</v>
      </c>
      <c r="B63" t="s">
        <v>50</v>
      </c>
      <c r="C63" t="s">
        <v>82</v>
      </c>
      <c r="D63" s="106">
        <v>0.875</v>
      </c>
      <c r="E63"/>
    </row>
    <row r="64" spans="1:5" x14ac:dyDescent="0.35">
      <c r="A64">
        <v>2</v>
      </c>
      <c r="B64" t="s">
        <v>50</v>
      </c>
      <c r="C64" t="s">
        <v>85</v>
      </c>
      <c r="D64" s="106">
        <v>0.77083333333333337</v>
      </c>
      <c r="E64"/>
    </row>
    <row r="65" spans="1:5" x14ac:dyDescent="0.35">
      <c r="A65">
        <v>2</v>
      </c>
      <c r="B65" t="s">
        <v>50</v>
      </c>
      <c r="C65" t="s">
        <v>85</v>
      </c>
      <c r="D65" s="106">
        <v>0.70833333333333337</v>
      </c>
      <c r="E65"/>
    </row>
    <row r="66" spans="1:5" x14ac:dyDescent="0.35">
      <c r="A66">
        <v>2</v>
      </c>
      <c r="B66" t="s">
        <v>46</v>
      </c>
      <c r="C66" t="s">
        <v>174</v>
      </c>
      <c r="D66" s="106">
        <v>0.70833333333333337</v>
      </c>
      <c r="E66"/>
    </row>
    <row r="67" spans="1:5" x14ac:dyDescent="0.35">
      <c r="A67">
        <v>2</v>
      </c>
      <c r="B67" t="s">
        <v>46</v>
      </c>
      <c r="C67" t="s">
        <v>174</v>
      </c>
      <c r="D67" s="106">
        <v>0.72916666666666663</v>
      </c>
      <c r="E67"/>
    </row>
    <row r="68" spans="1:5" x14ac:dyDescent="0.35">
      <c r="A68">
        <v>2</v>
      </c>
      <c r="B68" t="s">
        <v>46</v>
      </c>
      <c r="C68" t="s">
        <v>80</v>
      </c>
      <c r="D68" s="106">
        <v>0.5</v>
      </c>
      <c r="E68"/>
    </row>
    <row r="69" spans="1:5" x14ac:dyDescent="0.35">
      <c r="A69">
        <v>2</v>
      </c>
      <c r="B69" t="s">
        <v>46</v>
      </c>
      <c r="C69" t="s">
        <v>80</v>
      </c>
      <c r="D69" s="106">
        <v>0.70833333333333337</v>
      </c>
      <c r="E69"/>
    </row>
    <row r="70" spans="1:5" x14ac:dyDescent="0.35">
      <c r="A70">
        <v>2</v>
      </c>
      <c r="B70" t="s">
        <v>46</v>
      </c>
      <c r="C70" t="s">
        <v>82</v>
      </c>
      <c r="D70" s="106">
        <v>0.77083333333333337</v>
      </c>
      <c r="E70"/>
    </row>
    <row r="71" spans="1:5" x14ac:dyDescent="0.35">
      <c r="A71">
        <v>2</v>
      </c>
      <c r="B71" t="s">
        <v>46</v>
      </c>
      <c r="C71" t="s">
        <v>82</v>
      </c>
      <c r="D71" s="106">
        <v>0.77083333333333337</v>
      </c>
      <c r="E71"/>
    </row>
    <row r="72" spans="1:5" x14ac:dyDescent="0.35">
      <c r="A72">
        <v>2</v>
      </c>
      <c r="B72" t="s">
        <v>46</v>
      </c>
      <c r="C72" t="s">
        <v>85</v>
      </c>
      <c r="D72" s="106">
        <v>0.79166666666666663</v>
      </c>
      <c r="E72"/>
    </row>
    <row r="73" spans="1:5" x14ac:dyDescent="0.35">
      <c r="A73">
        <v>2</v>
      </c>
      <c r="B73" t="s">
        <v>46</v>
      </c>
      <c r="C73" t="s">
        <v>85</v>
      </c>
      <c r="D73" s="106">
        <v>0.70833333333333337</v>
      </c>
      <c r="E73"/>
    </row>
    <row r="74" spans="1:5" x14ac:dyDescent="0.35">
      <c r="A74">
        <v>2</v>
      </c>
      <c r="B74" t="s">
        <v>51</v>
      </c>
      <c r="C74" t="s">
        <v>174</v>
      </c>
      <c r="D74" s="106">
        <v>0.77083333333333337</v>
      </c>
      <c r="E74"/>
    </row>
    <row r="75" spans="1:5" x14ac:dyDescent="0.35">
      <c r="A75">
        <v>2</v>
      </c>
      <c r="B75" t="s">
        <v>51</v>
      </c>
      <c r="C75" t="s">
        <v>174</v>
      </c>
      <c r="D75" s="106">
        <v>0.64583333333333337</v>
      </c>
      <c r="E75"/>
    </row>
    <row r="76" spans="1:5" x14ac:dyDescent="0.35">
      <c r="A76">
        <v>2</v>
      </c>
      <c r="B76" t="s">
        <v>51</v>
      </c>
      <c r="C76" t="s">
        <v>80</v>
      </c>
      <c r="D76" s="106">
        <v>0.64583333333333337</v>
      </c>
      <c r="E76"/>
    </row>
    <row r="77" spans="1:5" x14ac:dyDescent="0.35">
      <c r="A77">
        <v>2</v>
      </c>
      <c r="B77" t="s">
        <v>51</v>
      </c>
      <c r="C77" t="s">
        <v>80</v>
      </c>
      <c r="D77" s="106">
        <v>0.66666666666666663</v>
      </c>
      <c r="E77"/>
    </row>
    <row r="78" spans="1:5" x14ac:dyDescent="0.35">
      <c r="A78">
        <v>2</v>
      </c>
      <c r="B78" t="s">
        <v>51</v>
      </c>
      <c r="C78" t="s">
        <v>82</v>
      </c>
      <c r="D78" s="106">
        <v>0.70833333333333337</v>
      </c>
      <c r="E78"/>
    </row>
    <row r="79" spans="1:5" x14ac:dyDescent="0.35">
      <c r="A79">
        <v>2</v>
      </c>
      <c r="B79" t="s">
        <v>51</v>
      </c>
      <c r="C79" t="s">
        <v>82</v>
      </c>
      <c r="D79" s="106">
        <v>0.70833333333333337</v>
      </c>
      <c r="E79"/>
    </row>
    <row r="80" spans="1:5" x14ac:dyDescent="0.35">
      <c r="A80">
        <v>2</v>
      </c>
      <c r="B80" t="s">
        <v>51</v>
      </c>
      <c r="C80" t="s">
        <v>85</v>
      </c>
      <c r="D80" s="106">
        <v>0.66666666666666663</v>
      </c>
      <c r="E80"/>
    </row>
    <row r="81" spans="1:5" x14ac:dyDescent="0.35">
      <c r="A81">
        <v>2</v>
      </c>
      <c r="B81" t="s">
        <v>51</v>
      </c>
      <c r="C81" t="s">
        <v>85</v>
      </c>
      <c r="D81" s="106">
        <v>0.66666666666666663</v>
      </c>
      <c r="E81"/>
    </row>
    <row r="82" spans="1:5" x14ac:dyDescent="0.35">
      <c r="A82">
        <v>2</v>
      </c>
      <c r="B82" t="s">
        <v>45</v>
      </c>
      <c r="C82" t="s">
        <v>174</v>
      </c>
      <c r="D82" s="106">
        <v>0.75</v>
      </c>
      <c r="E82"/>
    </row>
    <row r="83" spans="1:5" x14ac:dyDescent="0.35">
      <c r="A83">
        <v>2</v>
      </c>
      <c r="B83" t="s">
        <v>45</v>
      </c>
      <c r="C83" t="s">
        <v>174</v>
      </c>
      <c r="D83" s="106">
        <v>0.64583333333333337</v>
      </c>
      <c r="E83"/>
    </row>
    <row r="84" spans="1:5" x14ac:dyDescent="0.35">
      <c r="A84">
        <v>2</v>
      </c>
      <c r="B84" t="s">
        <v>45</v>
      </c>
      <c r="C84" t="s">
        <v>80</v>
      </c>
      <c r="D84" s="106">
        <v>0.70833333333333337</v>
      </c>
      <c r="E84"/>
    </row>
    <row r="85" spans="1:5" x14ac:dyDescent="0.35">
      <c r="A85">
        <v>2</v>
      </c>
      <c r="B85" t="s">
        <v>45</v>
      </c>
      <c r="C85" t="s">
        <v>80</v>
      </c>
      <c r="D85" s="106">
        <v>0.54166666666666663</v>
      </c>
      <c r="E85"/>
    </row>
    <row r="86" spans="1:5" x14ac:dyDescent="0.35">
      <c r="A86">
        <v>2</v>
      </c>
      <c r="B86" t="s">
        <v>45</v>
      </c>
      <c r="C86" t="s">
        <v>82</v>
      </c>
      <c r="D86" s="106">
        <v>0.58333333333333337</v>
      </c>
      <c r="E86"/>
    </row>
    <row r="87" spans="1:5" x14ac:dyDescent="0.35">
      <c r="A87">
        <v>2</v>
      </c>
      <c r="B87" t="s">
        <v>45</v>
      </c>
      <c r="C87" t="s">
        <v>82</v>
      </c>
      <c r="D87" s="106">
        <v>0.75</v>
      </c>
      <c r="E87"/>
    </row>
    <row r="88" spans="1:5" x14ac:dyDescent="0.35">
      <c r="A88">
        <v>2</v>
      </c>
      <c r="B88" t="s">
        <v>45</v>
      </c>
      <c r="C88" t="s">
        <v>85</v>
      </c>
      <c r="D88" s="106">
        <v>0.52083333333333337</v>
      </c>
      <c r="E88"/>
    </row>
    <row r="89" spans="1:5" x14ac:dyDescent="0.35">
      <c r="A89">
        <v>2</v>
      </c>
      <c r="B89" t="s">
        <v>45</v>
      </c>
      <c r="C89" t="s">
        <v>85</v>
      </c>
      <c r="D89" s="106">
        <v>0.75</v>
      </c>
      <c r="E89"/>
    </row>
    <row r="90" spans="1:5" x14ac:dyDescent="0.35">
      <c r="A90">
        <v>2</v>
      </c>
      <c r="B90" t="s">
        <v>49</v>
      </c>
      <c r="C90" t="s">
        <v>174</v>
      </c>
      <c r="D90" s="106">
        <v>0.72916666666666663</v>
      </c>
      <c r="E90"/>
    </row>
    <row r="91" spans="1:5" x14ac:dyDescent="0.35">
      <c r="A91">
        <v>2</v>
      </c>
      <c r="B91" t="s">
        <v>49</v>
      </c>
      <c r="C91" t="s">
        <v>174</v>
      </c>
      <c r="D91" s="106">
        <v>0.75</v>
      </c>
      <c r="E91"/>
    </row>
    <row r="92" spans="1:5" x14ac:dyDescent="0.35">
      <c r="A92">
        <v>2</v>
      </c>
      <c r="B92" t="s">
        <v>49</v>
      </c>
      <c r="C92" t="s">
        <v>80</v>
      </c>
      <c r="D92" s="106">
        <v>0.70833333333333337</v>
      </c>
      <c r="E92"/>
    </row>
    <row r="93" spans="1:5" x14ac:dyDescent="0.35">
      <c r="A93">
        <v>2</v>
      </c>
      <c r="B93" t="s">
        <v>49</v>
      </c>
      <c r="C93" t="s">
        <v>80</v>
      </c>
      <c r="D93" s="106">
        <v>0.70833333333333337</v>
      </c>
      <c r="E93"/>
    </row>
    <row r="94" spans="1:5" x14ac:dyDescent="0.35">
      <c r="A94">
        <v>2</v>
      </c>
      <c r="B94" t="s">
        <v>49</v>
      </c>
      <c r="C94" t="s">
        <v>82</v>
      </c>
      <c r="D94" s="106">
        <v>0.75</v>
      </c>
      <c r="E94"/>
    </row>
    <row r="95" spans="1:5" x14ac:dyDescent="0.35">
      <c r="A95">
        <v>2</v>
      </c>
      <c r="B95" t="s">
        <v>49</v>
      </c>
      <c r="C95" t="s">
        <v>82</v>
      </c>
      <c r="D95" s="106">
        <v>0.75</v>
      </c>
      <c r="E95"/>
    </row>
    <row r="96" spans="1:5" x14ac:dyDescent="0.35">
      <c r="A96">
        <v>2</v>
      </c>
      <c r="B96" t="s">
        <v>49</v>
      </c>
      <c r="C96" t="s">
        <v>85</v>
      </c>
      <c r="D96" s="106">
        <v>0.70833333333333337</v>
      </c>
      <c r="E96"/>
    </row>
    <row r="97" spans="1:5" x14ac:dyDescent="0.35">
      <c r="A97">
        <v>2</v>
      </c>
      <c r="B97" t="s">
        <v>49</v>
      </c>
      <c r="C97" t="s">
        <v>85</v>
      </c>
      <c r="D97" s="106">
        <v>0.72916666666666663</v>
      </c>
      <c r="E97"/>
    </row>
    <row r="98" spans="1:5" x14ac:dyDescent="0.35">
      <c r="A98">
        <v>2</v>
      </c>
      <c r="B98" t="s">
        <v>47</v>
      </c>
      <c r="C98" t="s">
        <v>174</v>
      </c>
      <c r="D98" s="106">
        <v>0.75</v>
      </c>
      <c r="E98"/>
    </row>
    <row r="99" spans="1:5" x14ac:dyDescent="0.35">
      <c r="A99">
        <v>2</v>
      </c>
      <c r="B99" t="s">
        <v>47</v>
      </c>
      <c r="C99" t="s">
        <v>174</v>
      </c>
      <c r="D99" s="106">
        <v>0.70833333333333337</v>
      </c>
      <c r="E99"/>
    </row>
    <row r="100" spans="1:5" x14ac:dyDescent="0.35">
      <c r="A100">
        <v>2</v>
      </c>
      <c r="B100" t="s">
        <v>47</v>
      </c>
      <c r="C100" t="s">
        <v>80</v>
      </c>
      <c r="D100" s="106">
        <v>0.77083333333333337</v>
      </c>
      <c r="E100"/>
    </row>
    <row r="101" spans="1:5" x14ac:dyDescent="0.35">
      <c r="A101">
        <v>2</v>
      </c>
      <c r="B101" t="s">
        <v>47</v>
      </c>
      <c r="C101" t="s">
        <v>80</v>
      </c>
      <c r="D101" s="106">
        <v>0.77083333333333337</v>
      </c>
      <c r="E101"/>
    </row>
    <row r="102" spans="1:5" x14ac:dyDescent="0.35">
      <c r="A102">
        <v>2</v>
      </c>
      <c r="B102" t="s">
        <v>47</v>
      </c>
      <c r="C102" t="s">
        <v>82</v>
      </c>
      <c r="D102" s="106">
        <v>0.77083333333333337</v>
      </c>
      <c r="E102"/>
    </row>
    <row r="103" spans="1:5" x14ac:dyDescent="0.35">
      <c r="A103">
        <v>2</v>
      </c>
      <c r="B103" t="s">
        <v>47</v>
      </c>
      <c r="C103" t="s">
        <v>82</v>
      </c>
      <c r="D103" s="106">
        <v>0.8125</v>
      </c>
      <c r="E103"/>
    </row>
    <row r="104" spans="1:5" x14ac:dyDescent="0.35">
      <c r="A104">
        <v>2</v>
      </c>
      <c r="B104" t="s">
        <v>47</v>
      </c>
      <c r="C104" t="s">
        <v>85</v>
      </c>
      <c r="D104" s="106">
        <v>0.70833333333333337</v>
      </c>
      <c r="E104"/>
    </row>
    <row r="105" spans="1:5" x14ac:dyDescent="0.35">
      <c r="A105">
        <v>2</v>
      </c>
      <c r="B105" t="s">
        <v>47</v>
      </c>
      <c r="C105" t="s">
        <v>85</v>
      </c>
      <c r="D105" s="106">
        <v>0.72916666666666663</v>
      </c>
      <c r="E105"/>
    </row>
    <row r="106" spans="1:5" x14ac:dyDescent="0.35">
      <c r="A106">
        <v>2</v>
      </c>
      <c r="B106" t="s">
        <v>48</v>
      </c>
      <c r="C106" t="s">
        <v>174</v>
      </c>
      <c r="D106" s="106">
        <v>0.77083333333333337</v>
      </c>
      <c r="E106"/>
    </row>
    <row r="107" spans="1:5" x14ac:dyDescent="0.35">
      <c r="A107">
        <v>2</v>
      </c>
      <c r="B107" t="s">
        <v>48</v>
      </c>
      <c r="C107" t="s">
        <v>174</v>
      </c>
      <c r="D107" s="106">
        <v>0.72916666666666663</v>
      </c>
      <c r="E107"/>
    </row>
    <row r="108" spans="1:5" x14ac:dyDescent="0.35">
      <c r="A108">
        <v>2</v>
      </c>
      <c r="B108" t="s">
        <v>48</v>
      </c>
      <c r="C108" t="s">
        <v>80</v>
      </c>
      <c r="D108" s="106">
        <v>0.77083333333333337</v>
      </c>
      <c r="E108"/>
    </row>
    <row r="109" spans="1:5" x14ac:dyDescent="0.35">
      <c r="A109">
        <v>2</v>
      </c>
      <c r="B109" t="s">
        <v>48</v>
      </c>
      <c r="C109" t="s">
        <v>80</v>
      </c>
      <c r="D109" s="106">
        <v>0.77083333333333337</v>
      </c>
      <c r="E109"/>
    </row>
    <row r="110" spans="1:5" x14ac:dyDescent="0.35">
      <c r="A110">
        <v>2</v>
      </c>
      <c r="B110" t="s">
        <v>48</v>
      </c>
      <c r="C110" t="s">
        <v>82</v>
      </c>
      <c r="D110" s="106">
        <v>0.83333333333333337</v>
      </c>
      <c r="E110"/>
    </row>
    <row r="111" spans="1:5" x14ac:dyDescent="0.35">
      <c r="A111">
        <v>2</v>
      </c>
      <c r="B111" t="s">
        <v>48</v>
      </c>
      <c r="C111" t="s">
        <v>82</v>
      </c>
      <c r="D111" s="106">
        <v>0.79166666666666663</v>
      </c>
      <c r="E111"/>
    </row>
    <row r="112" spans="1:5" x14ac:dyDescent="0.35">
      <c r="A112">
        <v>2</v>
      </c>
      <c r="B112" t="s">
        <v>48</v>
      </c>
      <c r="C112" t="s">
        <v>85</v>
      </c>
      <c r="D112" s="106">
        <v>0.79166666666666663</v>
      </c>
      <c r="E112"/>
    </row>
    <row r="113" spans="1:5" x14ac:dyDescent="0.35">
      <c r="A113">
        <v>2</v>
      </c>
      <c r="B113" t="s">
        <v>48</v>
      </c>
      <c r="C113" t="s">
        <v>85</v>
      </c>
      <c r="D113" s="106">
        <v>0.72916666666666663</v>
      </c>
      <c r="E113"/>
    </row>
    <row r="114" spans="1:5" x14ac:dyDescent="0.35">
      <c r="A114">
        <v>3</v>
      </c>
      <c r="B114" t="s">
        <v>50</v>
      </c>
      <c r="C114" t="s">
        <v>174</v>
      </c>
      <c r="D114" s="106">
        <v>0.70833333333333337</v>
      </c>
      <c r="E114"/>
    </row>
    <row r="115" spans="1:5" x14ac:dyDescent="0.35">
      <c r="A115">
        <v>3</v>
      </c>
      <c r="B115" t="s">
        <v>50</v>
      </c>
      <c r="C115" t="s">
        <v>80</v>
      </c>
      <c r="D115" s="106">
        <v>0.79166666666666663</v>
      </c>
      <c r="E115"/>
    </row>
    <row r="116" spans="1:5" x14ac:dyDescent="0.35">
      <c r="A116">
        <v>3</v>
      </c>
      <c r="B116" t="s">
        <v>50</v>
      </c>
      <c r="C116" t="s">
        <v>80</v>
      </c>
      <c r="D116" s="106">
        <v>0.75</v>
      </c>
      <c r="E116"/>
    </row>
    <row r="117" spans="1:5" x14ac:dyDescent="0.35">
      <c r="A117">
        <v>3</v>
      </c>
      <c r="B117" t="s">
        <v>50</v>
      </c>
      <c r="C117" t="s">
        <v>82</v>
      </c>
      <c r="D117" s="106">
        <v>0.77083333333333337</v>
      </c>
      <c r="E117"/>
    </row>
    <row r="118" spans="1:5" x14ac:dyDescent="0.35">
      <c r="A118">
        <v>3</v>
      </c>
      <c r="B118" t="s">
        <v>50</v>
      </c>
      <c r="C118" t="s">
        <v>82</v>
      </c>
      <c r="D118" s="106">
        <v>0.75</v>
      </c>
      <c r="E118"/>
    </row>
    <row r="119" spans="1:5" x14ac:dyDescent="0.35">
      <c r="A119">
        <v>3</v>
      </c>
      <c r="B119" t="s">
        <v>50</v>
      </c>
      <c r="C119" t="s">
        <v>85</v>
      </c>
      <c r="D119" s="106">
        <v>0.70833333333333337</v>
      </c>
      <c r="E119"/>
    </row>
    <row r="120" spans="1:5" x14ac:dyDescent="0.35">
      <c r="A120">
        <v>3</v>
      </c>
      <c r="B120" t="s">
        <v>50</v>
      </c>
      <c r="C120" t="s">
        <v>85</v>
      </c>
      <c r="D120" s="106">
        <v>0.70833333333333337</v>
      </c>
      <c r="E120"/>
    </row>
    <row r="121" spans="1:5" x14ac:dyDescent="0.35">
      <c r="A121">
        <v>3</v>
      </c>
      <c r="B121" t="s">
        <v>46</v>
      </c>
      <c r="C121" t="s">
        <v>174</v>
      </c>
      <c r="D121" s="106">
        <v>0.70833333333333337</v>
      </c>
      <c r="E121"/>
    </row>
    <row r="122" spans="1:5" x14ac:dyDescent="0.35">
      <c r="A122">
        <v>3</v>
      </c>
      <c r="B122" t="s">
        <v>46</v>
      </c>
      <c r="C122" t="s">
        <v>80</v>
      </c>
      <c r="D122" s="106">
        <v>0.75</v>
      </c>
      <c r="E122"/>
    </row>
    <row r="123" spans="1:5" x14ac:dyDescent="0.35">
      <c r="A123">
        <v>3</v>
      </c>
      <c r="B123" t="s">
        <v>46</v>
      </c>
      <c r="C123" t="s">
        <v>80</v>
      </c>
      <c r="D123" s="106">
        <v>0.75</v>
      </c>
      <c r="E123"/>
    </row>
    <row r="124" spans="1:5" x14ac:dyDescent="0.35">
      <c r="A124">
        <v>3</v>
      </c>
      <c r="B124" t="s">
        <v>46</v>
      </c>
      <c r="C124" t="s">
        <v>82</v>
      </c>
      <c r="D124" s="106">
        <v>0.75</v>
      </c>
      <c r="E124"/>
    </row>
    <row r="125" spans="1:5" x14ac:dyDescent="0.35">
      <c r="A125">
        <v>3</v>
      </c>
      <c r="B125" t="s">
        <v>46</v>
      </c>
      <c r="C125" t="s">
        <v>82</v>
      </c>
      <c r="D125" s="106">
        <v>0.75</v>
      </c>
      <c r="E125"/>
    </row>
    <row r="126" spans="1:5" x14ac:dyDescent="0.35">
      <c r="A126">
        <v>3</v>
      </c>
      <c r="B126" t="s">
        <v>46</v>
      </c>
      <c r="C126" t="s">
        <v>85</v>
      </c>
      <c r="D126" s="106">
        <v>0.64583333333333337</v>
      </c>
      <c r="E126"/>
    </row>
    <row r="127" spans="1:5" x14ac:dyDescent="0.35">
      <c r="A127">
        <v>3</v>
      </c>
      <c r="B127" t="s">
        <v>46</v>
      </c>
      <c r="C127" t="s">
        <v>85</v>
      </c>
      <c r="D127" s="106">
        <v>0.77083333333333337</v>
      </c>
      <c r="E127"/>
    </row>
    <row r="128" spans="1:5" x14ac:dyDescent="0.35">
      <c r="A128">
        <v>3</v>
      </c>
      <c r="B128" t="s">
        <v>51</v>
      </c>
      <c r="C128" t="s">
        <v>174</v>
      </c>
      <c r="D128" s="106">
        <v>0.58333333333333337</v>
      </c>
      <c r="E128"/>
    </row>
    <row r="129" spans="1:5" x14ac:dyDescent="0.35">
      <c r="A129">
        <v>3</v>
      </c>
      <c r="B129" t="s">
        <v>51</v>
      </c>
      <c r="C129" t="s">
        <v>174</v>
      </c>
      <c r="D129" s="106">
        <v>0.72916666666666663</v>
      </c>
      <c r="E129"/>
    </row>
    <row r="130" spans="1:5" x14ac:dyDescent="0.35">
      <c r="A130">
        <v>3</v>
      </c>
      <c r="B130" t="s">
        <v>51</v>
      </c>
      <c r="C130" t="s">
        <v>80</v>
      </c>
      <c r="D130" s="106">
        <v>0.6875</v>
      </c>
      <c r="E130"/>
    </row>
    <row r="131" spans="1:5" x14ac:dyDescent="0.35">
      <c r="A131">
        <v>3</v>
      </c>
      <c r="B131" t="s">
        <v>51</v>
      </c>
      <c r="C131" t="s">
        <v>80</v>
      </c>
      <c r="D131" s="106">
        <v>0.66666666666666663</v>
      </c>
      <c r="E131"/>
    </row>
    <row r="132" spans="1:5" x14ac:dyDescent="0.35">
      <c r="A132">
        <v>3</v>
      </c>
      <c r="B132" t="s">
        <v>51</v>
      </c>
      <c r="C132" t="s">
        <v>82</v>
      </c>
      <c r="D132" s="106">
        <v>0.66666666666666663</v>
      </c>
      <c r="E132"/>
    </row>
    <row r="133" spans="1:5" x14ac:dyDescent="0.35">
      <c r="A133">
        <v>3</v>
      </c>
      <c r="B133" t="s">
        <v>51</v>
      </c>
      <c r="C133" t="s">
        <v>82</v>
      </c>
      <c r="D133" s="106">
        <v>0.66666666666666663</v>
      </c>
      <c r="E133"/>
    </row>
    <row r="134" spans="1:5" x14ac:dyDescent="0.35">
      <c r="A134">
        <v>3</v>
      </c>
      <c r="B134" t="s">
        <v>51</v>
      </c>
      <c r="C134" t="s">
        <v>85</v>
      </c>
      <c r="D134" s="106">
        <v>0.72916666666666663</v>
      </c>
      <c r="E134"/>
    </row>
    <row r="135" spans="1:5" x14ac:dyDescent="0.35">
      <c r="A135">
        <v>3</v>
      </c>
      <c r="B135" t="s">
        <v>51</v>
      </c>
      <c r="C135" t="s">
        <v>85</v>
      </c>
      <c r="D135" s="106">
        <v>0.64583333333333337</v>
      </c>
      <c r="E135"/>
    </row>
    <row r="136" spans="1:5" x14ac:dyDescent="0.35">
      <c r="A136">
        <v>3</v>
      </c>
      <c r="B136" t="s">
        <v>45</v>
      </c>
      <c r="C136" t="s">
        <v>174</v>
      </c>
      <c r="D136" s="106">
        <v>0.58333333333333337</v>
      </c>
      <c r="E136"/>
    </row>
    <row r="137" spans="1:5" x14ac:dyDescent="0.35">
      <c r="A137">
        <v>3</v>
      </c>
      <c r="B137" t="s">
        <v>45</v>
      </c>
      <c r="C137" t="s">
        <v>80</v>
      </c>
      <c r="D137" s="106">
        <v>0.72916666666666663</v>
      </c>
      <c r="E137"/>
    </row>
    <row r="138" spans="1:5" x14ac:dyDescent="0.35">
      <c r="A138">
        <v>3</v>
      </c>
      <c r="B138" t="s">
        <v>45</v>
      </c>
      <c r="C138" t="s">
        <v>80</v>
      </c>
      <c r="D138" s="106">
        <v>0.45833333333333331</v>
      </c>
      <c r="E138"/>
    </row>
    <row r="139" spans="1:5" x14ac:dyDescent="0.35">
      <c r="A139">
        <v>3</v>
      </c>
      <c r="B139" t="s">
        <v>45</v>
      </c>
      <c r="C139" t="s">
        <v>82</v>
      </c>
      <c r="D139" s="106">
        <v>0.54166666666666663</v>
      </c>
      <c r="E139"/>
    </row>
    <row r="140" spans="1:5" x14ac:dyDescent="0.35">
      <c r="A140">
        <v>3</v>
      </c>
      <c r="B140" t="s">
        <v>45</v>
      </c>
      <c r="C140" t="s">
        <v>82</v>
      </c>
      <c r="D140" s="106">
        <v>0.72916666666666663</v>
      </c>
      <c r="E140"/>
    </row>
    <row r="141" spans="1:5" x14ac:dyDescent="0.35">
      <c r="A141">
        <v>3</v>
      </c>
      <c r="B141" t="s">
        <v>45</v>
      </c>
      <c r="C141" t="s">
        <v>85</v>
      </c>
      <c r="D141" s="106">
        <v>0.72916666666666663</v>
      </c>
      <c r="E141"/>
    </row>
    <row r="142" spans="1:5" x14ac:dyDescent="0.35">
      <c r="A142">
        <v>3</v>
      </c>
      <c r="B142" t="s">
        <v>45</v>
      </c>
      <c r="C142" t="s">
        <v>85</v>
      </c>
      <c r="D142" s="106">
        <v>0.70833333333333337</v>
      </c>
      <c r="E142"/>
    </row>
    <row r="143" spans="1:5" x14ac:dyDescent="0.35">
      <c r="A143">
        <v>3</v>
      </c>
      <c r="B143" t="s">
        <v>49</v>
      </c>
      <c r="C143" t="s">
        <v>174</v>
      </c>
      <c r="D143" s="106">
        <v>0.72916666666666663</v>
      </c>
      <c r="E143"/>
    </row>
    <row r="144" spans="1:5" x14ac:dyDescent="0.35">
      <c r="A144">
        <v>3</v>
      </c>
      <c r="B144" t="s">
        <v>49</v>
      </c>
      <c r="C144" t="s">
        <v>80</v>
      </c>
      <c r="D144" s="106">
        <v>0.79166666666666663</v>
      </c>
      <c r="E144"/>
    </row>
    <row r="145" spans="1:5" x14ac:dyDescent="0.35">
      <c r="A145">
        <v>3</v>
      </c>
      <c r="B145" t="s">
        <v>49</v>
      </c>
      <c r="C145" t="s">
        <v>80</v>
      </c>
      <c r="D145" s="106">
        <v>0.72916666666666663</v>
      </c>
      <c r="E145"/>
    </row>
    <row r="146" spans="1:5" x14ac:dyDescent="0.35">
      <c r="A146">
        <v>3</v>
      </c>
      <c r="B146" t="s">
        <v>49</v>
      </c>
      <c r="C146" t="s">
        <v>82</v>
      </c>
      <c r="D146" s="106">
        <v>0.72916666666666663</v>
      </c>
      <c r="E146"/>
    </row>
    <row r="147" spans="1:5" x14ac:dyDescent="0.35">
      <c r="A147">
        <v>3</v>
      </c>
      <c r="B147" t="s">
        <v>49</v>
      </c>
      <c r="C147" t="s">
        <v>82</v>
      </c>
      <c r="D147" s="106">
        <v>0.72916666666666663</v>
      </c>
      <c r="E147"/>
    </row>
    <row r="148" spans="1:5" x14ac:dyDescent="0.35">
      <c r="A148">
        <v>3</v>
      </c>
      <c r="B148" t="s">
        <v>49</v>
      </c>
      <c r="C148" t="s">
        <v>85</v>
      </c>
      <c r="D148" s="106">
        <v>0.6875</v>
      </c>
      <c r="E148"/>
    </row>
    <row r="149" spans="1:5" x14ac:dyDescent="0.35">
      <c r="A149">
        <v>3</v>
      </c>
      <c r="B149" t="s">
        <v>49</v>
      </c>
      <c r="C149" t="s">
        <v>85</v>
      </c>
      <c r="D149" s="106">
        <v>0.79166666666666663</v>
      </c>
      <c r="E149"/>
    </row>
    <row r="150" spans="1:5" x14ac:dyDescent="0.35">
      <c r="A150">
        <v>3</v>
      </c>
      <c r="B150" t="s">
        <v>47</v>
      </c>
      <c r="C150" t="s">
        <v>174</v>
      </c>
      <c r="D150" s="106">
        <v>0.72916666666666663</v>
      </c>
      <c r="E150"/>
    </row>
    <row r="151" spans="1:5" x14ac:dyDescent="0.35">
      <c r="A151">
        <v>3</v>
      </c>
      <c r="B151" t="s">
        <v>47</v>
      </c>
      <c r="C151" t="s">
        <v>80</v>
      </c>
      <c r="D151" s="106">
        <v>0.75</v>
      </c>
      <c r="E151"/>
    </row>
    <row r="152" spans="1:5" x14ac:dyDescent="0.35">
      <c r="A152">
        <v>3</v>
      </c>
      <c r="B152" t="s">
        <v>47</v>
      </c>
      <c r="C152" t="s">
        <v>80</v>
      </c>
      <c r="D152" s="106">
        <v>0.75</v>
      </c>
      <c r="E152"/>
    </row>
    <row r="153" spans="1:5" x14ac:dyDescent="0.35">
      <c r="A153">
        <v>3</v>
      </c>
      <c r="B153" t="s">
        <v>47</v>
      </c>
      <c r="C153" t="s">
        <v>82</v>
      </c>
      <c r="D153" s="106">
        <v>0.72916666666666663</v>
      </c>
      <c r="E153"/>
    </row>
    <row r="154" spans="1:5" x14ac:dyDescent="0.35">
      <c r="A154">
        <v>3</v>
      </c>
      <c r="B154" t="s">
        <v>47</v>
      </c>
      <c r="C154" t="s">
        <v>82</v>
      </c>
      <c r="D154" s="106">
        <v>0.72916666666666663</v>
      </c>
      <c r="E154"/>
    </row>
    <row r="155" spans="1:5" x14ac:dyDescent="0.35">
      <c r="A155">
        <v>3</v>
      </c>
      <c r="B155" t="s">
        <v>47</v>
      </c>
      <c r="C155" t="s">
        <v>85</v>
      </c>
      <c r="D155" s="106">
        <v>0.70833333333333337</v>
      </c>
      <c r="E155"/>
    </row>
    <row r="156" spans="1:5" x14ac:dyDescent="0.35">
      <c r="A156">
        <v>3</v>
      </c>
      <c r="B156" t="s">
        <v>47</v>
      </c>
      <c r="C156" t="s">
        <v>85</v>
      </c>
      <c r="D156" s="106">
        <v>0.6875</v>
      </c>
      <c r="E156"/>
    </row>
    <row r="157" spans="1:5" x14ac:dyDescent="0.35">
      <c r="A157">
        <v>3</v>
      </c>
      <c r="B157" t="s">
        <v>48</v>
      </c>
      <c r="C157" t="s">
        <v>174</v>
      </c>
      <c r="D157" s="106">
        <v>0.75</v>
      </c>
      <c r="E157"/>
    </row>
    <row r="158" spans="1:5" x14ac:dyDescent="0.35">
      <c r="A158">
        <v>3</v>
      </c>
      <c r="B158" t="s">
        <v>48</v>
      </c>
      <c r="C158" t="s">
        <v>80</v>
      </c>
      <c r="D158" s="106">
        <v>0.70833333333333337</v>
      </c>
      <c r="E158"/>
    </row>
    <row r="159" spans="1:5" x14ac:dyDescent="0.35">
      <c r="A159">
        <v>3</v>
      </c>
      <c r="B159" t="s">
        <v>48</v>
      </c>
      <c r="C159" t="s">
        <v>80</v>
      </c>
      <c r="D159" s="106">
        <v>0.70833333333333337</v>
      </c>
      <c r="E159"/>
    </row>
    <row r="160" spans="1:5" x14ac:dyDescent="0.35">
      <c r="A160">
        <v>3</v>
      </c>
      <c r="B160" t="s">
        <v>48</v>
      </c>
      <c r="C160" t="s">
        <v>82</v>
      </c>
      <c r="D160" s="106">
        <v>0.79166666666666663</v>
      </c>
      <c r="E160"/>
    </row>
    <row r="161" spans="1:5" x14ac:dyDescent="0.35">
      <c r="A161">
        <v>3</v>
      </c>
      <c r="B161" t="s">
        <v>48</v>
      </c>
      <c r="C161" t="s">
        <v>82</v>
      </c>
      <c r="D161" s="106">
        <v>0.79166666666666663</v>
      </c>
      <c r="E161"/>
    </row>
    <row r="162" spans="1:5" x14ac:dyDescent="0.35">
      <c r="A162">
        <v>3</v>
      </c>
      <c r="B162" t="s">
        <v>48</v>
      </c>
      <c r="C162" t="s">
        <v>85</v>
      </c>
      <c r="D162" s="106">
        <v>0.70833333333333337</v>
      </c>
      <c r="E162"/>
    </row>
    <row r="163" spans="1:5" x14ac:dyDescent="0.35">
      <c r="A163">
        <v>3</v>
      </c>
      <c r="B163" t="s">
        <v>48</v>
      </c>
      <c r="C163" t="s">
        <v>85</v>
      </c>
      <c r="D163" s="106">
        <v>0.72916666666666663</v>
      </c>
      <c r="E163"/>
    </row>
    <row r="164" spans="1:5" x14ac:dyDescent="0.35">
      <c r="A164">
        <v>4</v>
      </c>
      <c r="B164" t="s">
        <v>50</v>
      </c>
      <c r="C164" t="s">
        <v>174</v>
      </c>
      <c r="D164" s="106">
        <v>0.54166666666666663</v>
      </c>
      <c r="E164"/>
    </row>
    <row r="165" spans="1:5" x14ac:dyDescent="0.35">
      <c r="A165">
        <v>4</v>
      </c>
      <c r="B165" t="s">
        <v>50</v>
      </c>
      <c r="C165" t="s">
        <v>174</v>
      </c>
      <c r="D165" s="106">
        <v>0.70833333333333337</v>
      </c>
      <c r="E165"/>
    </row>
    <row r="166" spans="1:5" x14ac:dyDescent="0.35">
      <c r="A166">
        <v>4</v>
      </c>
      <c r="B166" t="s">
        <v>50</v>
      </c>
      <c r="C166" t="s">
        <v>80</v>
      </c>
      <c r="D166" s="106">
        <v>0.45833333333333331</v>
      </c>
      <c r="E166"/>
    </row>
    <row r="167" spans="1:5" x14ac:dyDescent="0.35">
      <c r="A167">
        <v>4</v>
      </c>
      <c r="B167" t="s">
        <v>50</v>
      </c>
      <c r="C167" t="s">
        <v>80</v>
      </c>
      <c r="D167" s="106">
        <v>0.79166666666666663</v>
      </c>
      <c r="E167"/>
    </row>
    <row r="168" spans="1:5" x14ac:dyDescent="0.35">
      <c r="A168">
        <v>4</v>
      </c>
      <c r="B168" t="s">
        <v>50</v>
      </c>
      <c r="C168" t="s">
        <v>82</v>
      </c>
      <c r="D168" s="106">
        <v>0.72916666666666663</v>
      </c>
      <c r="E168"/>
    </row>
    <row r="169" spans="1:5" x14ac:dyDescent="0.35">
      <c r="A169">
        <v>4</v>
      </c>
      <c r="B169" t="s">
        <v>50</v>
      </c>
      <c r="C169" t="s">
        <v>82</v>
      </c>
      <c r="D169" s="106">
        <v>0.91666666666666663</v>
      </c>
      <c r="E169"/>
    </row>
    <row r="170" spans="1:5" x14ac:dyDescent="0.35">
      <c r="A170">
        <v>4</v>
      </c>
      <c r="B170" t="s">
        <v>50</v>
      </c>
      <c r="C170" t="s">
        <v>85</v>
      </c>
      <c r="D170" s="106">
        <v>0.79166666666666663</v>
      </c>
      <c r="E170"/>
    </row>
    <row r="171" spans="1:5" x14ac:dyDescent="0.35">
      <c r="A171">
        <v>4</v>
      </c>
      <c r="B171" t="s">
        <v>50</v>
      </c>
      <c r="C171" t="s">
        <v>85</v>
      </c>
      <c r="D171" s="106">
        <v>0.75</v>
      </c>
      <c r="E171"/>
    </row>
    <row r="172" spans="1:5" x14ac:dyDescent="0.35">
      <c r="A172">
        <v>4</v>
      </c>
      <c r="B172" t="s">
        <v>46</v>
      </c>
      <c r="C172" t="s">
        <v>174</v>
      </c>
      <c r="D172" s="106">
        <v>0.70833333333333337</v>
      </c>
      <c r="E172"/>
    </row>
    <row r="173" spans="1:5" x14ac:dyDescent="0.35">
      <c r="A173">
        <v>4</v>
      </c>
      <c r="B173" t="s">
        <v>46</v>
      </c>
      <c r="C173" t="s">
        <v>174</v>
      </c>
      <c r="D173" s="106">
        <v>0.72916666666666663</v>
      </c>
      <c r="E173"/>
    </row>
    <row r="174" spans="1:5" x14ac:dyDescent="0.35">
      <c r="A174">
        <v>4</v>
      </c>
      <c r="B174" t="s">
        <v>46</v>
      </c>
      <c r="C174" t="s">
        <v>80</v>
      </c>
      <c r="D174" s="106">
        <v>0.70833333333333337</v>
      </c>
      <c r="E174"/>
    </row>
    <row r="175" spans="1:5" x14ac:dyDescent="0.35">
      <c r="A175">
        <v>4</v>
      </c>
      <c r="B175" t="s">
        <v>46</v>
      </c>
      <c r="C175" t="s">
        <v>80</v>
      </c>
      <c r="D175" s="106">
        <v>0.77083333333333337</v>
      </c>
      <c r="E175"/>
    </row>
    <row r="176" spans="1:5" x14ac:dyDescent="0.35">
      <c r="A176">
        <v>4</v>
      </c>
      <c r="B176" t="s">
        <v>46</v>
      </c>
      <c r="C176" t="s">
        <v>82</v>
      </c>
      <c r="D176" s="106">
        <v>0.54166666666666663</v>
      </c>
      <c r="E176"/>
    </row>
    <row r="177" spans="1:5" x14ac:dyDescent="0.35">
      <c r="A177">
        <v>4</v>
      </c>
      <c r="B177" t="s">
        <v>46</v>
      </c>
      <c r="C177" t="s">
        <v>82</v>
      </c>
      <c r="D177" s="106">
        <v>0.70833333333333337</v>
      </c>
      <c r="E177"/>
    </row>
    <row r="178" spans="1:5" x14ac:dyDescent="0.35">
      <c r="A178">
        <v>4</v>
      </c>
      <c r="B178" t="s">
        <v>46</v>
      </c>
      <c r="C178" t="s">
        <v>85</v>
      </c>
      <c r="D178" s="106">
        <v>0.70833333333333337</v>
      </c>
      <c r="E178"/>
    </row>
    <row r="179" spans="1:5" x14ac:dyDescent="0.35">
      <c r="A179">
        <v>4</v>
      </c>
      <c r="B179" t="s">
        <v>46</v>
      </c>
      <c r="C179" t="s">
        <v>85</v>
      </c>
      <c r="D179" s="106">
        <v>0.70833333333333337</v>
      </c>
      <c r="E179"/>
    </row>
    <row r="180" spans="1:5" x14ac:dyDescent="0.35">
      <c r="A180">
        <v>4</v>
      </c>
      <c r="B180" t="s">
        <v>51</v>
      </c>
      <c r="C180" t="s">
        <v>174</v>
      </c>
      <c r="D180" s="106">
        <v>0.6875</v>
      </c>
      <c r="E180"/>
    </row>
    <row r="181" spans="1:5" x14ac:dyDescent="0.35">
      <c r="A181">
        <v>4</v>
      </c>
      <c r="B181" t="s">
        <v>51</v>
      </c>
      <c r="C181" t="s">
        <v>174</v>
      </c>
      <c r="D181" s="106">
        <v>0.72916666666666663</v>
      </c>
      <c r="E181"/>
    </row>
    <row r="182" spans="1:5" x14ac:dyDescent="0.35">
      <c r="A182">
        <v>4</v>
      </c>
      <c r="B182" t="s">
        <v>51</v>
      </c>
      <c r="C182" t="s">
        <v>80</v>
      </c>
      <c r="D182" s="106">
        <v>0.64583333333333337</v>
      </c>
      <c r="E182"/>
    </row>
    <row r="183" spans="1:5" x14ac:dyDescent="0.35">
      <c r="A183">
        <v>4</v>
      </c>
      <c r="B183" t="s">
        <v>51</v>
      </c>
      <c r="C183" t="s">
        <v>80</v>
      </c>
      <c r="D183" s="106">
        <v>0.625</v>
      </c>
      <c r="E183"/>
    </row>
    <row r="184" spans="1:5" x14ac:dyDescent="0.35">
      <c r="A184">
        <v>4</v>
      </c>
      <c r="B184" t="s">
        <v>51</v>
      </c>
      <c r="C184" t="s">
        <v>82</v>
      </c>
      <c r="D184" s="106">
        <v>0.60416666666666663</v>
      </c>
      <c r="E184"/>
    </row>
    <row r="185" spans="1:5" x14ac:dyDescent="0.35">
      <c r="A185">
        <v>4</v>
      </c>
      <c r="B185" t="s">
        <v>51</v>
      </c>
      <c r="C185" t="s">
        <v>82</v>
      </c>
      <c r="D185" s="106">
        <v>0.66666666666666663</v>
      </c>
      <c r="E185"/>
    </row>
    <row r="186" spans="1:5" x14ac:dyDescent="0.35">
      <c r="A186">
        <v>4</v>
      </c>
      <c r="B186" t="s">
        <v>51</v>
      </c>
      <c r="C186" t="s">
        <v>85</v>
      </c>
      <c r="D186" s="106">
        <v>0.5625</v>
      </c>
      <c r="E186"/>
    </row>
    <row r="187" spans="1:5" x14ac:dyDescent="0.35">
      <c r="A187">
        <v>4</v>
      </c>
      <c r="B187" t="s">
        <v>51</v>
      </c>
      <c r="C187" t="s">
        <v>85</v>
      </c>
      <c r="D187" s="106">
        <v>0.75</v>
      </c>
      <c r="E187"/>
    </row>
    <row r="188" spans="1:5" x14ac:dyDescent="0.35">
      <c r="A188">
        <v>4</v>
      </c>
      <c r="B188" t="s">
        <v>45</v>
      </c>
      <c r="C188" t="s">
        <v>174</v>
      </c>
      <c r="D188" s="106">
        <v>0.5</v>
      </c>
      <c r="E188"/>
    </row>
    <row r="189" spans="1:5" x14ac:dyDescent="0.35">
      <c r="A189">
        <v>4</v>
      </c>
      <c r="B189" t="s">
        <v>45</v>
      </c>
      <c r="C189" t="s">
        <v>174</v>
      </c>
      <c r="D189" s="106">
        <v>0.77083333333333337</v>
      </c>
      <c r="E189"/>
    </row>
    <row r="190" spans="1:5" x14ac:dyDescent="0.35">
      <c r="A190">
        <v>4</v>
      </c>
      <c r="B190" t="s">
        <v>45</v>
      </c>
      <c r="C190" t="s">
        <v>80</v>
      </c>
      <c r="D190" s="106">
        <v>0.64583333333333337</v>
      </c>
      <c r="E190"/>
    </row>
    <row r="191" spans="1:5" x14ac:dyDescent="0.35">
      <c r="A191">
        <v>4</v>
      </c>
      <c r="B191" t="s">
        <v>45</v>
      </c>
      <c r="C191" t="s">
        <v>80</v>
      </c>
      <c r="D191" s="106">
        <v>0.72916666666666663</v>
      </c>
      <c r="E191"/>
    </row>
    <row r="192" spans="1:5" x14ac:dyDescent="0.35">
      <c r="A192">
        <v>4</v>
      </c>
      <c r="B192" t="s">
        <v>45</v>
      </c>
      <c r="C192" t="s">
        <v>82</v>
      </c>
      <c r="D192" s="106">
        <v>0.72916666666666663</v>
      </c>
      <c r="E192"/>
    </row>
    <row r="193" spans="1:5" x14ac:dyDescent="0.35">
      <c r="A193">
        <v>4</v>
      </c>
      <c r="B193" t="s">
        <v>45</v>
      </c>
      <c r="C193" t="s">
        <v>82</v>
      </c>
      <c r="D193" s="106">
        <v>0.83333333333333337</v>
      </c>
      <c r="E193"/>
    </row>
    <row r="194" spans="1:5" x14ac:dyDescent="0.35">
      <c r="A194">
        <v>4</v>
      </c>
      <c r="B194" t="s">
        <v>45</v>
      </c>
      <c r="C194" t="s">
        <v>85</v>
      </c>
      <c r="D194" s="106">
        <v>0.72916666666666663</v>
      </c>
      <c r="E194"/>
    </row>
    <row r="195" spans="1:5" x14ac:dyDescent="0.35">
      <c r="A195">
        <v>4</v>
      </c>
      <c r="B195" t="s">
        <v>45</v>
      </c>
      <c r="C195" t="s">
        <v>85</v>
      </c>
      <c r="D195" s="106">
        <v>0.79166666666666663</v>
      </c>
      <c r="E195"/>
    </row>
    <row r="196" spans="1:5" x14ac:dyDescent="0.35">
      <c r="A196">
        <v>4</v>
      </c>
      <c r="B196" t="s">
        <v>49</v>
      </c>
      <c r="C196" t="s">
        <v>174</v>
      </c>
      <c r="D196" s="106">
        <v>0.66666666666666663</v>
      </c>
      <c r="E196"/>
    </row>
    <row r="197" spans="1:5" x14ac:dyDescent="0.35">
      <c r="A197">
        <v>4</v>
      </c>
      <c r="B197" t="s">
        <v>49</v>
      </c>
      <c r="C197" t="s">
        <v>174</v>
      </c>
      <c r="D197" s="106">
        <v>0.77083333333333337</v>
      </c>
      <c r="E197"/>
    </row>
    <row r="198" spans="1:5" x14ac:dyDescent="0.35">
      <c r="A198">
        <v>4</v>
      </c>
      <c r="B198" t="s">
        <v>49</v>
      </c>
      <c r="C198" t="s">
        <v>80</v>
      </c>
      <c r="D198" s="106">
        <v>0.70833333333333337</v>
      </c>
      <c r="E198"/>
    </row>
    <row r="199" spans="1:5" x14ac:dyDescent="0.35">
      <c r="A199">
        <v>4</v>
      </c>
      <c r="B199" t="s">
        <v>49</v>
      </c>
      <c r="C199" t="s">
        <v>80</v>
      </c>
      <c r="D199" s="106">
        <v>0.70833333333333337</v>
      </c>
      <c r="E199"/>
    </row>
    <row r="200" spans="1:5" x14ac:dyDescent="0.35">
      <c r="A200">
        <v>4</v>
      </c>
      <c r="B200" t="s">
        <v>49</v>
      </c>
      <c r="C200" t="s">
        <v>82</v>
      </c>
      <c r="D200" s="106">
        <v>0.4375</v>
      </c>
      <c r="E200"/>
    </row>
    <row r="201" spans="1:5" x14ac:dyDescent="0.35">
      <c r="A201">
        <v>4</v>
      </c>
      <c r="B201" t="s">
        <v>49</v>
      </c>
      <c r="C201" t="s">
        <v>82</v>
      </c>
      <c r="D201" s="106">
        <v>0.77083333333333337</v>
      </c>
      <c r="E201"/>
    </row>
    <row r="202" spans="1:5" x14ac:dyDescent="0.35">
      <c r="A202">
        <v>4</v>
      </c>
      <c r="B202" t="s">
        <v>49</v>
      </c>
      <c r="C202" t="s">
        <v>85</v>
      </c>
      <c r="D202" s="106">
        <v>0.75</v>
      </c>
      <c r="E202"/>
    </row>
    <row r="203" spans="1:5" x14ac:dyDescent="0.35">
      <c r="A203">
        <v>4</v>
      </c>
      <c r="B203" t="s">
        <v>49</v>
      </c>
      <c r="C203" t="s">
        <v>85</v>
      </c>
      <c r="D203" s="106">
        <v>0.75</v>
      </c>
      <c r="E203"/>
    </row>
    <row r="204" spans="1:5" x14ac:dyDescent="0.35">
      <c r="A204">
        <v>4</v>
      </c>
      <c r="B204" t="s">
        <v>47</v>
      </c>
      <c r="C204" t="s">
        <v>174</v>
      </c>
      <c r="D204" s="106">
        <v>0.70833333333333337</v>
      </c>
      <c r="E204"/>
    </row>
    <row r="205" spans="1:5" x14ac:dyDescent="0.35">
      <c r="A205">
        <v>4</v>
      </c>
      <c r="B205" t="s">
        <v>47</v>
      </c>
      <c r="C205" t="s">
        <v>80</v>
      </c>
      <c r="D205" s="106">
        <v>0.70833333333333337</v>
      </c>
      <c r="E205"/>
    </row>
    <row r="206" spans="1:5" x14ac:dyDescent="0.35">
      <c r="A206">
        <v>4</v>
      </c>
      <c r="B206" t="s">
        <v>47</v>
      </c>
      <c r="C206" t="s">
        <v>80</v>
      </c>
      <c r="D206" s="106">
        <v>0.5</v>
      </c>
      <c r="E206"/>
    </row>
    <row r="207" spans="1:5" x14ac:dyDescent="0.35">
      <c r="A207">
        <v>4</v>
      </c>
      <c r="B207" t="s">
        <v>47</v>
      </c>
      <c r="C207" t="s">
        <v>82</v>
      </c>
      <c r="D207" s="106">
        <v>0.75</v>
      </c>
      <c r="E207"/>
    </row>
    <row r="208" spans="1:5" x14ac:dyDescent="0.35">
      <c r="A208">
        <v>4</v>
      </c>
      <c r="B208" t="s">
        <v>47</v>
      </c>
      <c r="C208" t="s">
        <v>82</v>
      </c>
      <c r="D208" s="106">
        <v>0.58333333333333337</v>
      </c>
    </row>
    <row r="209" spans="1:4" x14ac:dyDescent="0.35">
      <c r="A209">
        <v>4</v>
      </c>
      <c r="B209" t="s">
        <v>47</v>
      </c>
      <c r="C209" t="s">
        <v>85</v>
      </c>
      <c r="D209" s="106">
        <v>0.8125</v>
      </c>
    </row>
    <row r="210" spans="1:4" x14ac:dyDescent="0.35">
      <c r="A210">
        <v>4</v>
      </c>
      <c r="B210" t="s">
        <v>47</v>
      </c>
      <c r="C210" t="s">
        <v>85</v>
      </c>
      <c r="D210" s="106">
        <v>0.72916666666666663</v>
      </c>
    </row>
    <row r="211" spans="1:4" x14ac:dyDescent="0.35">
      <c r="A211">
        <v>4</v>
      </c>
      <c r="B211" t="s">
        <v>48</v>
      </c>
      <c r="C211" t="s">
        <v>174</v>
      </c>
      <c r="D211" s="106">
        <v>0.77083333333333337</v>
      </c>
    </row>
    <row r="212" spans="1:4" x14ac:dyDescent="0.35">
      <c r="A212">
        <v>4</v>
      </c>
      <c r="B212" t="s">
        <v>48</v>
      </c>
      <c r="C212" t="s">
        <v>174</v>
      </c>
      <c r="D212" s="106">
        <v>0.70833333333333337</v>
      </c>
    </row>
    <row r="213" spans="1:4" x14ac:dyDescent="0.35">
      <c r="A213">
        <v>4</v>
      </c>
      <c r="B213" t="s">
        <v>48</v>
      </c>
      <c r="C213" t="s">
        <v>80</v>
      </c>
      <c r="D213" s="106">
        <v>0.77083333333333337</v>
      </c>
    </row>
    <row r="214" spans="1:4" x14ac:dyDescent="0.35">
      <c r="A214">
        <v>4</v>
      </c>
      <c r="B214" t="s">
        <v>48</v>
      </c>
      <c r="C214" t="s">
        <v>80</v>
      </c>
      <c r="D214" s="106">
        <v>0.625</v>
      </c>
    </row>
    <row r="215" spans="1:4" x14ac:dyDescent="0.35">
      <c r="A215">
        <v>4</v>
      </c>
      <c r="B215" t="s">
        <v>48</v>
      </c>
      <c r="C215" t="s">
        <v>82</v>
      </c>
      <c r="D215" s="106">
        <v>0.77083333333333337</v>
      </c>
    </row>
    <row r="216" spans="1:4" x14ac:dyDescent="0.35">
      <c r="A216">
        <v>4</v>
      </c>
      <c r="B216" t="s">
        <v>48</v>
      </c>
      <c r="C216" t="s">
        <v>82</v>
      </c>
      <c r="D216" s="106">
        <v>0.72916666666666663</v>
      </c>
    </row>
    <row r="217" spans="1:4" x14ac:dyDescent="0.35">
      <c r="A217">
        <v>4</v>
      </c>
      <c r="B217" t="s">
        <v>48</v>
      </c>
      <c r="C217" t="s">
        <v>85</v>
      </c>
      <c r="D217" s="106">
        <v>0.72916666666666663</v>
      </c>
    </row>
    <row r="218" spans="1:4" x14ac:dyDescent="0.35">
      <c r="A218">
        <v>4</v>
      </c>
      <c r="B218" t="s">
        <v>48</v>
      </c>
      <c r="C218" t="s">
        <v>85</v>
      </c>
      <c r="D218" s="106">
        <v>0.70833333333333337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888393-66AC-4469-8A81-C54255E7541A}">
          <x14:formula1>
            <xm:f>Scheduling!$O$3:$O$9</xm:f>
          </x14:formula1>
          <xm:sqref>G3</xm:sqref>
        </x14:dataValidation>
        <x14:dataValidation type="list" allowBlank="1" showInputMessage="1" showErrorMessage="1" xr:uid="{AE182AC1-031F-461C-AE11-60D5C01DAF0F}">
          <x14:formula1>
            <xm:f>Scheduling!$D$8:$D$11</xm:f>
          </x14:formula1>
          <xm:sqref>H3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1515-514B-48DF-B83D-D7B3BEAE2693}">
  <sheetPr codeName="Sheet16">
    <tabColor rgb="FF00FF00"/>
  </sheetPr>
  <dimension ref="B1:AL284"/>
  <sheetViews>
    <sheetView topLeftCell="AA1" workbookViewId="0">
      <selection activeCell="AJ5" sqref="AJ5"/>
    </sheetView>
  </sheetViews>
  <sheetFormatPr defaultRowHeight="14.5" x14ac:dyDescent="0.35"/>
  <cols>
    <col min="2" max="2" width="12.81640625" bestFit="1" customWidth="1"/>
    <col min="3" max="3" width="13.6328125" bestFit="1" customWidth="1"/>
    <col min="4" max="4" width="13.54296875" bestFit="1" customWidth="1"/>
    <col min="5" max="5" width="7.36328125" bestFit="1" customWidth="1"/>
    <col min="6" max="6" width="18.36328125" bestFit="1" customWidth="1"/>
    <col min="7" max="7" width="9.36328125" bestFit="1" customWidth="1"/>
    <col min="8" max="8" width="8" bestFit="1" customWidth="1"/>
    <col min="9" max="10" width="7.36328125" bestFit="1" customWidth="1"/>
    <col min="11" max="11" width="9.6328125" bestFit="1" customWidth="1"/>
    <col min="12" max="12" width="7.36328125" bestFit="1" customWidth="1"/>
    <col min="13" max="13" width="9.36328125" bestFit="1" customWidth="1"/>
    <col min="14" max="14" width="16.08984375" bestFit="1" customWidth="1"/>
    <col min="15" max="15" width="5.90625" bestFit="1" customWidth="1"/>
    <col min="16" max="16" width="15.90625" bestFit="1" customWidth="1"/>
    <col min="17" max="17" width="15.54296875" bestFit="1" customWidth="1"/>
    <col min="18" max="18" width="22.6328125" bestFit="1" customWidth="1"/>
    <col min="19" max="19" width="8.453125" bestFit="1" customWidth="1"/>
    <col min="20" max="20" width="8.1796875" bestFit="1" customWidth="1"/>
    <col min="21" max="21" width="10.81640625" bestFit="1" customWidth="1"/>
    <col min="22" max="22" width="5.54296875" bestFit="1" customWidth="1"/>
    <col min="23" max="23" width="16.36328125" bestFit="1" customWidth="1"/>
    <col min="24" max="24" width="15.54296875" bestFit="1" customWidth="1"/>
    <col min="25" max="25" width="22.6328125" bestFit="1" customWidth="1"/>
    <col min="26" max="26" width="21.90625" bestFit="1" customWidth="1"/>
    <col min="27" max="27" width="7.6328125" bestFit="1" customWidth="1"/>
    <col min="28" max="28" width="8.08984375" bestFit="1" customWidth="1"/>
    <col min="29" max="29" width="8" bestFit="1" customWidth="1"/>
    <col min="30" max="30" width="10.90625" bestFit="1" customWidth="1"/>
    <col min="31" max="31" width="8.81640625" bestFit="1" customWidth="1"/>
    <col min="32" max="32" width="6.08984375" bestFit="1" customWidth="1"/>
    <col min="33" max="33" width="8.54296875" bestFit="1" customWidth="1"/>
    <col min="34" max="34" width="14" bestFit="1" customWidth="1"/>
    <col min="35" max="35" width="21" bestFit="1" customWidth="1"/>
    <col min="36" max="36" width="6.36328125" bestFit="1" customWidth="1"/>
    <col min="37" max="37" width="14.6328125" bestFit="1" customWidth="1"/>
    <col min="38" max="38" width="14.54296875" bestFit="1" customWidth="1"/>
    <col min="39" max="39" width="19.08984375" bestFit="1" customWidth="1"/>
    <col min="40" max="40" width="10.36328125" bestFit="1" customWidth="1"/>
    <col min="41" max="41" width="14" bestFit="1" customWidth="1"/>
    <col min="42" max="42" width="8.36328125" bestFit="1" customWidth="1"/>
    <col min="43" max="43" width="6.36328125" bestFit="1" customWidth="1"/>
    <col min="44" max="44" width="16.36328125" bestFit="1" customWidth="1"/>
    <col min="45" max="45" width="14.6328125" bestFit="1" customWidth="1"/>
    <col min="46" max="46" width="10.36328125" bestFit="1" customWidth="1"/>
    <col min="47" max="47" width="12.90625" bestFit="1" customWidth="1"/>
    <col min="48" max="48" width="10.6328125" bestFit="1" customWidth="1"/>
  </cols>
  <sheetData>
    <row r="1" spans="2:38" x14ac:dyDescent="0.35">
      <c r="B1" s="6" t="s">
        <v>215</v>
      </c>
      <c r="C1" t="s" vm="1">
        <v>100</v>
      </c>
      <c r="Z1" s="485" t="s">
        <v>217</v>
      </c>
      <c r="AA1" s="485"/>
      <c r="AB1" s="485"/>
      <c r="AC1" s="485"/>
      <c r="AD1" s="485"/>
      <c r="AI1" s="6" t="s">
        <v>75</v>
      </c>
      <c r="AJ1" t="s">
        <v>300</v>
      </c>
      <c r="AL1" s="6" t="s">
        <v>238</v>
      </c>
    </row>
    <row r="2" spans="2:38" x14ac:dyDescent="0.35">
      <c r="B2" s="6" t="s">
        <v>99</v>
      </c>
      <c r="C2" t="s" vm="2">
        <v>51</v>
      </c>
      <c r="Z2" s="89"/>
      <c r="AA2" s="13" t="s">
        <v>100</v>
      </c>
      <c r="AB2" s="13" t="s">
        <v>101</v>
      </c>
      <c r="AC2" s="13" t="s">
        <v>76</v>
      </c>
      <c r="AD2" s="13" t="s">
        <v>102</v>
      </c>
      <c r="AI2" s="6" t="s">
        <v>99</v>
      </c>
      <c r="AJ2" t="s">
        <v>300</v>
      </c>
      <c r="AL2" s="195">
        <v>29.5</v>
      </c>
    </row>
    <row r="3" spans="2:38" x14ac:dyDescent="0.35">
      <c r="Z3" s="30" t="s">
        <v>45</v>
      </c>
      <c r="AA3" s="89">
        <f>COUNTIFS(EarningsPerDay[DOW],Trends!$Z3,EarningsPerDay[Week '#],"&gt;=1",EarningsPerDay[Week '#],"&lt;=13")</f>
        <v>28</v>
      </c>
      <c r="AB3" s="89">
        <f>COUNTIFS(EarningsPerDay[DOW],Trends!$Z3,EarningsPerDay[Week '#],"&gt;13",EarningsPerDay[Week '#],"&lt;=26")</f>
        <v>24</v>
      </c>
      <c r="AC3" s="89">
        <f>COUNTIFS(EarningsPerDay[DOW],Trends!$Z3,EarningsPerDay[Week '#],"&gt;26",EarningsPerDay[Week '#],"&lt;=39")</f>
        <v>22</v>
      </c>
      <c r="AD3" s="89">
        <f>COUNTIFS(EarningsPerDay[DOW],Trends!$Z3,EarningsPerDay[Week '#],"&gt;39",EarningsPerDay[Week '#],"&lt;=52")</f>
        <v>25</v>
      </c>
      <c r="AL3" s="195">
        <v>32</v>
      </c>
    </row>
    <row r="4" spans="2:38" x14ac:dyDescent="0.35">
      <c r="B4" s="6" t="s">
        <v>8</v>
      </c>
      <c r="C4" t="s">
        <v>120</v>
      </c>
      <c r="Z4" s="30" t="s">
        <v>46</v>
      </c>
      <c r="AA4" s="89">
        <f>COUNTIFS(EarningsPerDay[DOW],Trends!$Z4,EarningsPerDay[Week '#],"&gt;=1",EarningsPerDay[Week '#],"&lt;=13")</f>
        <v>31</v>
      </c>
      <c r="AB4" s="89">
        <f>COUNTIFS(EarningsPerDay[DOW],Trends!$Z4,EarningsPerDay[Week '#],"&gt;13",EarningsPerDay[Week '#],"&lt;=26")</f>
        <v>30</v>
      </c>
      <c r="AC4" s="89">
        <f>COUNTIFS(EarningsPerDay[DOW],Trends!$Z4,EarningsPerDay[Week '#],"&gt;26",EarningsPerDay[Week '#],"&lt;=39")</f>
        <v>33</v>
      </c>
      <c r="AD4" s="89">
        <f>COUNTIFS(EarningsPerDay[DOW],Trends!$Z4,EarningsPerDay[Week '#],"&gt;39",EarningsPerDay[Week '#],"&lt;=52")</f>
        <v>44</v>
      </c>
      <c r="AI4" s="6" t="s">
        <v>237</v>
      </c>
      <c r="AL4" s="195">
        <v>26.6</v>
      </c>
    </row>
    <row r="5" spans="2:38" x14ac:dyDescent="0.35">
      <c r="B5" s="40">
        <v>44198</v>
      </c>
      <c r="C5">
        <v>4</v>
      </c>
      <c r="Z5" s="30" t="s">
        <v>47</v>
      </c>
      <c r="AA5" s="89">
        <f>COUNTIFS(EarningsPerDay[DOW],Trends!$Z5,EarningsPerDay[Week '#],"&gt;=1",EarningsPerDay[Week '#],"&lt;=13")</f>
        <v>35</v>
      </c>
      <c r="AB5" s="89">
        <f>COUNTIFS(EarningsPerDay[DOW],Trends!$Z5,EarningsPerDay[Week '#],"&gt;13",EarningsPerDay[Week '#],"&lt;=26")</f>
        <v>30</v>
      </c>
      <c r="AC5" s="89">
        <f>COUNTIFS(EarningsPerDay[DOW],Trends!$Z5,EarningsPerDay[Week '#],"&gt;26",EarningsPerDay[Week '#],"&lt;=39")</f>
        <v>30</v>
      </c>
      <c r="AD5" s="89">
        <f>COUNTIFS(EarningsPerDay[DOW],Trends!$Z5,EarningsPerDay[Week '#],"&gt;39",EarningsPerDay[Week '#],"&lt;=52")</f>
        <v>33</v>
      </c>
      <c r="AI5" s="7" t="s">
        <v>230</v>
      </c>
      <c r="AL5" s="195">
        <v>34.200000000000003</v>
      </c>
    </row>
    <row r="6" spans="2:38" x14ac:dyDescent="0.35">
      <c r="B6" s="40">
        <v>44226</v>
      </c>
      <c r="C6">
        <v>7</v>
      </c>
      <c r="Z6" s="30" t="s">
        <v>48</v>
      </c>
      <c r="AA6" s="89">
        <f>COUNTIFS(EarningsPerDay[DOW],Trends!$Z6,EarningsPerDay[Week '#],"&gt;=1",EarningsPerDay[Week '#],"&lt;=13")</f>
        <v>29</v>
      </c>
      <c r="AB6" s="89">
        <f>COUNTIFS(EarningsPerDay[DOW],Trends!$Z6,EarningsPerDay[Week '#],"&gt;13",EarningsPerDay[Week '#],"&lt;=26")</f>
        <v>35</v>
      </c>
      <c r="AC6" s="89">
        <f>COUNTIFS(EarningsPerDay[DOW],Trends!$Z6,EarningsPerDay[Week '#],"&gt;26",EarningsPerDay[Week '#],"&lt;=39")</f>
        <v>33</v>
      </c>
      <c r="AD6" s="89">
        <f>COUNTIFS(EarningsPerDay[DOW],Trends!$Z6,EarningsPerDay[Week '#],"&gt;39",EarningsPerDay[Week '#],"&lt;=52")</f>
        <v>22</v>
      </c>
      <c r="AI6" s="7" t="s">
        <v>281</v>
      </c>
      <c r="AL6" s="195">
        <v>32.4</v>
      </c>
    </row>
    <row r="7" spans="2:38" x14ac:dyDescent="0.35">
      <c r="B7" s="40">
        <v>44247</v>
      </c>
      <c r="C7">
        <v>10</v>
      </c>
      <c r="Z7" s="30" t="s">
        <v>49</v>
      </c>
      <c r="AA7" s="89">
        <f>COUNTIFS(EarningsPerDay[DOW],Trends!$Z7,EarningsPerDay[Week '#],"&gt;=1",EarningsPerDay[Week '#],"&lt;=13")</f>
        <v>30</v>
      </c>
      <c r="AB7" s="89">
        <f>COUNTIFS(EarningsPerDay[DOW],Trends!$Z7,EarningsPerDay[Week '#],"&gt;13",EarningsPerDay[Week '#],"&lt;=26")</f>
        <v>33</v>
      </c>
      <c r="AC7" s="89">
        <f>COUNTIFS(EarningsPerDay[DOW],Trends!$Z7,EarningsPerDay[Week '#],"&gt;26",EarningsPerDay[Week '#],"&lt;=39")</f>
        <v>32</v>
      </c>
      <c r="AD7" s="89">
        <f>COUNTIFS(EarningsPerDay[DOW],Trends!$Z7,EarningsPerDay[Week '#],"&gt;39",EarningsPerDay[Week '#],"&lt;=52")</f>
        <v>21</v>
      </c>
      <c r="AI7" s="7" t="s">
        <v>242</v>
      </c>
      <c r="AL7" s="195">
        <v>29.1</v>
      </c>
    </row>
    <row r="8" spans="2:38" x14ac:dyDescent="0.35">
      <c r="B8" s="40">
        <v>44254</v>
      </c>
      <c r="C8">
        <v>8</v>
      </c>
      <c r="Z8" s="30" t="s">
        <v>50</v>
      </c>
      <c r="AA8" s="89">
        <f>COUNTIFS(EarningsPerDay[DOW],Trends!$Z8,EarningsPerDay[Week '#],"&gt;=1",EarningsPerDay[Week '#],"&lt;=13")</f>
        <v>38</v>
      </c>
      <c r="AB8" s="89">
        <f>COUNTIFS(EarningsPerDay[DOW],Trends!$Z8,EarningsPerDay[Week '#],"&gt;13",EarningsPerDay[Week '#],"&lt;=26")</f>
        <v>41</v>
      </c>
      <c r="AC8" s="89">
        <f>COUNTIFS(EarningsPerDay[DOW],Trends!$Z8,EarningsPerDay[Week '#],"&gt;26",EarningsPerDay[Week '#],"&lt;=39")</f>
        <v>37</v>
      </c>
      <c r="AD8" s="89">
        <f>COUNTIFS(EarningsPerDay[DOW],Trends!$Z8,EarningsPerDay[Week '#],"&gt;39",EarningsPerDay[Week '#],"&lt;=52")</f>
        <v>37</v>
      </c>
      <c r="AI8" s="7" t="s">
        <v>243</v>
      </c>
      <c r="AL8" s="195">
        <v>17.600000000000001</v>
      </c>
    </row>
    <row r="9" spans="2:38" x14ac:dyDescent="0.35">
      <c r="B9" s="40">
        <v>44261</v>
      </c>
      <c r="C9">
        <v>2</v>
      </c>
      <c r="Z9" s="30" t="s">
        <v>51</v>
      </c>
      <c r="AA9" s="89">
        <f>COUNTIFS(EarningsPerDay[DOW],Trends!$Z9,EarningsPerDay[Week '#],"&gt;=1",EarningsPerDay[Week '#],"&lt;=13")</f>
        <v>41</v>
      </c>
      <c r="AB9" s="89">
        <f>COUNTIFS(EarningsPerDay[DOW],Trends!$Z9,EarningsPerDay[Week '#],"&gt;13",EarningsPerDay[Week '#],"&lt;=26")</f>
        <v>32</v>
      </c>
      <c r="AC9" s="89">
        <f>COUNTIFS(EarningsPerDay[DOW],Trends!$Z9,EarningsPerDay[Week '#],"&gt;26",EarningsPerDay[Week '#],"&lt;=39")</f>
        <v>33</v>
      </c>
      <c r="AD9" s="89">
        <f>COUNTIFS(EarningsPerDay[DOW],Trends!$Z9,EarningsPerDay[Week '#],"&gt;39",EarningsPerDay[Week '#],"&lt;=52")</f>
        <v>23</v>
      </c>
      <c r="AI9" s="7" t="s">
        <v>276</v>
      </c>
      <c r="AL9" s="195">
        <v>21.2</v>
      </c>
    </row>
    <row r="10" spans="2:38" x14ac:dyDescent="0.35">
      <c r="B10" s="40">
        <v>44282</v>
      </c>
      <c r="C10">
        <v>17</v>
      </c>
      <c r="AI10" s="7" t="s">
        <v>249</v>
      </c>
      <c r="AL10" s="195">
        <v>31.9</v>
      </c>
    </row>
    <row r="11" spans="2:38" x14ac:dyDescent="0.35">
      <c r="B11" s="40">
        <v>44576</v>
      </c>
      <c r="C11">
        <v>14</v>
      </c>
      <c r="Z11" s="6" t="s">
        <v>75</v>
      </c>
      <c r="AA11" t="s">
        <v>287</v>
      </c>
      <c r="AI11" s="7" t="s">
        <v>285</v>
      </c>
      <c r="AL11" s="195">
        <v>16.3</v>
      </c>
    </row>
    <row r="12" spans="2:38" x14ac:dyDescent="0.35">
      <c r="B12" s="40">
        <v>44604</v>
      </c>
      <c r="C12">
        <v>14</v>
      </c>
      <c r="AI12" s="7" t="s">
        <v>231</v>
      </c>
      <c r="AL12" s="195">
        <v>26.4</v>
      </c>
    </row>
    <row r="13" spans="2:38" x14ac:dyDescent="0.35">
      <c r="B13" s="40">
        <v>44632</v>
      </c>
      <c r="C13">
        <v>11</v>
      </c>
      <c r="Z13" s="6" t="s">
        <v>218</v>
      </c>
      <c r="AA13" s="6" t="s">
        <v>99</v>
      </c>
      <c r="AI13" s="7" t="s">
        <v>325</v>
      </c>
      <c r="AL13" s="195">
        <v>36.1</v>
      </c>
    </row>
    <row r="14" spans="2:38" x14ac:dyDescent="0.35">
      <c r="B14" s="40">
        <v>44639</v>
      </c>
      <c r="C14">
        <v>23</v>
      </c>
      <c r="Z14" s="6" t="s">
        <v>219</v>
      </c>
      <c r="AA14" t="s">
        <v>45</v>
      </c>
      <c r="AB14" t="s">
        <v>46</v>
      </c>
      <c r="AC14" t="s">
        <v>47</v>
      </c>
      <c r="AD14" t="s">
        <v>48</v>
      </c>
      <c r="AE14" t="s">
        <v>49</v>
      </c>
      <c r="AF14" t="s">
        <v>50</v>
      </c>
      <c r="AG14" t="s">
        <v>51</v>
      </c>
      <c r="AI14" s="7" t="s">
        <v>236</v>
      </c>
      <c r="AL14" s="195">
        <v>41.8</v>
      </c>
    </row>
    <row r="15" spans="2:38" x14ac:dyDescent="0.35">
      <c r="B15" s="40">
        <v>44646</v>
      </c>
      <c r="C15">
        <v>9</v>
      </c>
      <c r="Z15" s="7" t="s">
        <v>174</v>
      </c>
      <c r="AA15" s="232">
        <v>0.16666666666666666</v>
      </c>
      <c r="AB15" s="232">
        <v>6.6666666666666666E-2</v>
      </c>
      <c r="AC15" s="232">
        <v>0.1</v>
      </c>
      <c r="AD15" s="232">
        <v>5.7142857142857141E-2</v>
      </c>
      <c r="AE15" s="232">
        <v>9.0909090909090912E-2</v>
      </c>
      <c r="AF15" s="232">
        <v>4.878048780487805E-2</v>
      </c>
      <c r="AG15" s="232">
        <v>9.375E-2</v>
      </c>
      <c r="AI15" s="7" t="s">
        <v>245</v>
      </c>
      <c r="AL15" s="195">
        <v>5.5</v>
      </c>
    </row>
    <row r="16" spans="2:38" x14ac:dyDescent="0.35">
      <c r="B16" s="40">
        <v>44947</v>
      </c>
      <c r="C16">
        <v>13</v>
      </c>
      <c r="Z16" s="7" t="s">
        <v>80</v>
      </c>
      <c r="AA16" s="232">
        <v>0.375</v>
      </c>
      <c r="AB16" s="232">
        <v>0.6333333333333333</v>
      </c>
      <c r="AC16" s="232">
        <v>0.73333333333333328</v>
      </c>
      <c r="AD16" s="232">
        <v>0.42857142857142855</v>
      </c>
      <c r="AE16" s="232">
        <v>0.63636363636363635</v>
      </c>
      <c r="AF16" s="232">
        <v>0.48780487804878048</v>
      </c>
      <c r="AG16" s="232">
        <v>0.5625</v>
      </c>
      <c r="AI16" s="7" t="s">
        <v>235</v>
      </c>
      <c r="AL16" s="195">
        <v>28.6</v>
      </c>
    </row>
    <row r="17" spans="2:38" x14ac:dyDescent="0.35">
      <c r="B17" s="40">
        <v>44954</v>
      </c>
      <c r="C17">
        <v>11</v>
      </c>
      <c r="Z17" s="7" t="s">
        <v>82</v>
      </c>
      <c r="AA17" s="232">
        <v>8.3333333333333329E-2</v>
      </c>
      <c r="AB17" s="232">
        <v>0.1</v>
      </c>
      <c r="AC17" s="232">
        <v>0.1</v>
      </c>
      <c r="AD17" s="232">
        <v>0.25714285714285712</v>
      </c>
      <c r="AE17" s="232">
        <v>0.15151515151515152</v>
      </c>
      <c r="AF17" s="232">
        <v>0.1951219512195122</v>
      </c>
      <c r="AG17" s="232">
        <v>0.15625</v>
      </c>
      <c r="AI17" s="7" t="s">
        <v>234</v>
      </c>
      <c r="AL17" s="195">
        <v>20.6</v>
      </c>
    </row>
    <row r="18" spans="2:38" x14ac:dyDescent="0.35">
      <c r="B18" s="40">
        <v>44968</v>
      </c>
      <c r="C18">
        <v>10</v>
      </c>
      <c r="Z18" s="7" t="s">
        <v>85</v>
      </c>
      <c r="AA18" s="232">
        <v>0.375</v>
      </c>
      <c r="AB18" s="232">
        <v>0.2</v>
      </c>
      <c r="AC18" s="232">
        <v>6.6666666666666666E-2</v>
      </c>
      <c r="AD18" s="232">
        <v>0.25714285714285712</v>
      </c>
      <c r="AE18" s="232">
        <v>0.12121212121212122</v>
      </c>
      <c r="AF18" s="232">
        <v>0.26829268292682928</v>
      </c>
      <c r="AG18" s="232">
        <v>0.1875</v>
      </c>
      <c r="AI18" s="7" t="s">
        <v>232</v>
      </c>
      <c r="AL18" s="195">
        <v>25.3</v>
      </c>
    </row>
    <row r="19" spans="2:38" x14ac:dyDescent="0.35">
      <c r="B19" s="40">
        <v>44989</v>
      </c>
      <c r="C19">
        <v>7</v>
      </c>
      <c r="AI19" s="7" t="s">
        <v>233</v>
      </c>
      <c r="AL19" s="195">
        <v>40</v>
      </c>
    </row>
    <row r="20" spans="2:38" x14ac:dyDescent="0.35">
      <c r="B20" s="40">
        <v>44996</v>
      </c>
      <c r="C20">
        <v>11</v>
      </c>
      <c r="AI20" s="7" t="s">
        <v>421</v>
      </c>
      <c r="AL20" s="195">
        <v>56.3</v>
      </c>
    </row>
    <row r="21" spans="2:38" x14ac:dyDescent="0.35">
      <c r="B21" s="40">
        <v>45003</v>
      </c>
      <c r="C21">
        <v>9</v>
      </c>
      <c r="AI21" s="7" t="s">
        <v>88</v>
      </c>
      <c r="AL21" s="195">
        <v>32.299999999999997</v>
      </c>
    </row>
    <row r="22" spans="2:38" x14ac:dyDescent="0.35">
      <c r="B22" s="40">
        <v>45010</v>
      </c>
      <c r="C22">
        <v>8</v>
      </c>
      <c r="AL22" s="195">
        <v>29.3</v>
      </c>
    </row>
    <row r="23" spans="2:38" x14ac:dyDescent="0.35">
      <c r="B23" s="40">
        <v>45297</v>
      </c>
      <c r="C23">
        <v>10</v>
      </c>
      <c r="AL23" s="195">
        <v>42.3</v>
      </c>
    </row>
    <row r="24" spans="2:38" x14ac:dyDescent="0.35">
      <c r="B24" s="40">
        <v>45304</v>
      </c>
      <c r="C24">
        <v>6</v>
      </c>
      <c r="AL24" s="195">
        <v>54.2</v>
      </c>
    </row>
    <row r="25" spans="2:38" x14ac:dyDescent="0.35">
      <c r="B25" s="40">
        <v>45311</v>
      </c>
      <c r="C25">
        <v>12</v>
      </c>
      <c r="AL25" s="195">
        <v>64.3</v>
      </c>
    </row>
    <row r="26" spans="2:38" x14ac:dyDescent="0.35">
      <c r="B26" s="40">
        <v>45318</v>
      </c>
      <c r="C26">
        <v>8</v>
      </c>
      <c r="Z26" s="6" t="s">
        <v>75</v>
      </c>
      <c r="AA26" t="s">
        <v>305</v>
      </c>
      <c r="AL26" s="195">
        <v>53.6</v>
      </c>
    </row>
    <row r="27" spans="2:38" x14ac:dyDescent="0.35">
      <c r="B27" s="40">
        <v>45332</v>
      </c>
      <c r="C27">
        <v>8</v>
      </c>
      <c r="AL27" s="195">
        <v>38.9</v>
      </c>
    </row>
    <row r="28" spans="2:38" x14ac:dyDescent="0.35">
      <c r="B28" s="40">
        <v>45339</v>
      </c>
      <c r="C28">
        <v>11</v>
      </c>
      <c r="Z28" s="6" t="s">
        <v>218</v>
      </c>
      <c r="AA28" s="6" t="s">
        <v>99</v>
      </c>
      <c r="AL28" s="195">
        <v>56.4</v>
      </c>
    </row>
    <row r="29" spans="2:38" x14ac:dyDescent="0.35">
      <c r="B29" s="40">
        <v>45346</v>
      </c>
      <c r="C29">
        <v>10</v>
      </c>
      <c r="Z29" s="6" t="s">
        <v>219</v>
      </c>
      <c r="AA29" t="s">
        <v>45</v>
      </c>
      <c r="AB29" t="s">
        <v>46</v>
      </c>
      <c r="AC29" t="s">
        <v>47</v>
      </c>
      <c r="AD29" t="s">
        <v>48</v>
      </c>
      <c r="AE29" t="s">
        <v>49</v>
      </c>
      <c r="AF29" t="s">
        <v>50</v>
      </c>
      <c r="AG29" t="s">
        <v>51</v>
      </c>
      <c r="AL29" s="195">
        <v>40.799999999999997</v>
      </c>
    </row>
    <row r="30" spans="2:38" x14ac:dyDescent="0.35">
      <c r="B30" s="40">
        <v>45353</v>
      </c>
      <c r="C30">
        <v>9</v>
      </c>
      <c r="Z30" s="7" t="s">
        <v>174</v>
      </c>
      <c r="AA30" s="232">
        <v>4.5454545454545456E-2</v>
      </c>
      <c r="AB30" s="232">
        <v>3.0303030303030304E-2</v>
      </c>
      <c r="AC30" s="232">
        <v>3.3333333333333333E-2</v>
      </c>
      <c r="AD30" s="232">
        <v>3.0303030303030304E-2</v>
      </c>
      <c r="AE30" s="232">
        <v>3.125E-2</v>
      </c>
      <c r="AF30" s="232">
        <v>2.7027027027027029E-2</v>
      </c>
      <c r="AG30" s="232">
        <v>6.0606060606060608E-2</v>
      </c>
      <c r="AL30" s="195">
        <v>50.9</v>
      </c>
    </row>
    <row r="31" spans="2:38" x14ac:dyDescent="0.35">
      <c r="B31" s="40">
        <v>45360</v>
      </c>
      <c r="C31">
        <v>17</v>
      </c>
      <c r="Z31" s="7" t="s">
        <v>80</v>
      </c>
      <c r="AA31" s="232">
        <v>0.45454545454545453</v>
      </c>
      <c r="AB31" s="232">
        <v>0.18181818181818182</v>
      </c>
      <c r="AC31" s="232">
        <v>0.43333333333333335</v>
      </c>
      <c r="AD31" s="232">
        <v>0.45454545454545453</v>
      </c>
      <c r="AE31" s="232">
        <v>0.15625</v>
      </c>
      <c r="AF31" s="232">
        <v>0.45945945945945948</v>
      </c>
      <c r="AG31" s="232">
        <v>0.33333333333333331</v>
      </c>
      <c r="AL31" s="195">
        <v>61.9</v>
      </c>
    </row>
    <row r="32" spans="2:38" x14ac:dyDescent="0.35">
      <c r="B32" s="40">
        <v>45367</v>
      </c>
      <c r="C32">
        <v>6</v>
      </c>
      <c r="Z32" s="7" t="s">
        <v>82</v>
      </c>
      <c r="AA32" s="232">
        <v>0.22727272727272727</v>
      </c>
      <c r="AB32" s="232">
        <v>9.0909090909090912E-2</v>
      </c>
      <c r="AC32" s="232">
        <v>0.16666666666666666</v>
      </c>
      <c r="AD32" s="232">
        <v>0.15151515151515152</v>
      </c>
      <c r="AE32" s="232">
        <v>0.34375</v>
      </c>
      <c r="AF32" s="232">
        <v>0.10810810810810811</v>
      </c>
      <c r="AG32" s="232">
        <v>0.42424242424242425</v>
      </c>
      <c r="AL32" s="195">
        <v>44.4</v>
      </c>
    </row>
    <row r="33" spans="2:38" x14ac:dyDescent="0.35">
      <c r="B33" s="40">
        <v>45668</v>
      </c>
      <c r="C33">
        <v>16</v>
      </c>
      <c r="Z33" s="7" t="s">
        <v>85</v>
      </c>
      <c r="AA33" s="232">
        <v>0.27272727272727271</v>
      </c>
      <c r="AB33" s="232">
        <v>0.69696969696969702</v>
      </c>
      <c r="AC33" s="232">
        <v>0.36666666666666664</v>
      </c>
      <c r="AD33" s="232">
        <v>0.36363636363636365</v>
      </c>
      <c r="AE33" s="232">
        <v>0.46875</v>
      </c>
      <c r="AF33" s="232">
        <v>0.40540540540540543</v>
      </c>
      <c r="AG33" s="232">
        <v>0.18181818181818182</v>
      </c>
      <c r="AL33" s="195">
        <v>56.8</v>
      </c>
    </row>
    <row r="34" spans="2:38" x14ac:dyDescent="0.35">
      <c r="B34" s="40">
        <v>45675</v>
      </c>
      <c r="C34">
        <v>8</v>
      </c>
      <c r="AL34" s="195">
        <v>61.1</v>
      </c>
    </row>
    <row r="35" spans="2:38" x14ac:dyDescent="0.35">
      <c r="B35" s="40">
        <v>45689</v>
      </c>
      <c r="C35">
        <v>3</v>
      </c>
      <c r="H35" t="s">
        <v>239</v>
      </c>
      <c r="I35" t="s">
        <v>126</v>
      </c>
      <c r="J35" t="s">
        <v>129</v>
      </c>
      <c r="K35" t="s">
        <v>240</v>
      </c>
      <c r="L35" t="s">
        <v>179</v>
      </c>
      <c r="M35" t="s">
        <v>241</v>
      </c>
      <c r="AL35" s="195">
        <v>50</v>
      </c>
    </row>
    <row r="36" spans="2:38" x14ac:dyDescent="0.35">
      <c r="B36" s="40">
        <v>45703</v>
      </c>
      <c r="C36">
        <v>6</v>
      </c>
      <c r="H36">
        <v>1</v>
      </c>
      <c r="I36" s="236">
        <f>IFERROR(AVERAGEIFS(EarningsPerDay[Gross $/Hour],EarningsPerDay[Week '#],$H36,EarningsPerDay[Year],I$35),"")</f>
        <v>20.931317204301074</v>
      </c>
      <c r="J36" s="236">
        <f>IFERROR(AVERAGEIFS(EarningsPerDay[Gross $/Hour],EarningsPerDay[Week '#],$H36,EarningsPerDay[Year],J$35),"")</f>
        <v>16.590063112729197</v>
      </c>
      <c r="K36" s="232">
        <f>IFERROR((AveragesPerWeek[[#This Row],[2022]]-AveragesPerWeek[[#This Row],[2021]])/AveragesPerWeek[[#This Row],[2021]],"")</f>
        <v>-0.20740472513979261</v>
      </c>
      <c r="L36" s="236">
        <f>IFERROR(AVERAGEIFS(EarningsPerDay[Gross $/Hour],EarningsPerDay[Week '#],$H36,EarningsPerDay[Year],L$35),"")</f>
        <v>22.777099358974358</v>
      </c>
      <c r="M36" s="232">
        <f>IFERROR((AveragesPerWeek[[#This Row],[2023]]-AveragesPerWeek[[#This Row],[2022]])/AveragesPerWeek[[#This Row],[2022]],"")</f>
        <v>0.37293626939236785</v>
      </c>
      <c r="AL36" s="195">
        <v>58.7</v>
      </c>
    </row>
    <row r="37" spans="2:38" x14ac:dyDescent="0.35">
      <c r="B37" s="40">
        <v>45710</v>
      </c>
      <c r="C37">
        <v>11</v>
      </c>
      <c r="H37">
        <v>2</v>
      </c>
      <c r="I37" s="236">
        <f>IFERROR(AVERAGEIFS(EarningsPerDay[Gross $/Hour],EarningsPerDay[Week '#],$H37,EarningsPerDay[Year],I$35),"")</f>
        <v>7.7675677336118447</v>
      </c>
      <c r="J37" s="236" t="str">
        <f>IFERROR(AVERAGEIFS(EarningsPerDay[Gross $/Hour],EarningsPerDay[Week '#],$H37,EarningsPerDay[Year],J$35),"")</f>
        <v/>
      </c>
      <c r="K37" s="232" t="str">
        <f>IFERROR((AveragesPerWeek[[#This Row],[2022]]-AveragesPerWeek[[#This Row],[2021]])/AveragesPerWeek[[#This Row],[2021]],"")</f>
        <v/>
      </c>
      <c r="L37" s="236">
        <f>IFERROR(AVERAGEIFS(EarningsPerDay[Gross $/Hour],EarningsPerDay[Week '#],$H37,EarningsPerDay[Year],L$35),"")</f>
        <v>16.497061557495691</v>
      </c>
      <c r="M37" s="232" t="str">
        <f>IFERROR((AveragesPerWeek[[#This Row],[2023]]-AveragesPerWeek[[#This Row],[2022]])/AveragesPerWeek[[#This Row],[2022]],"")</f>
        <v/>
      </c>
      <c r="AL37" s="195">
        <v>59.6</v>
      </c>
    </row>
    <row r="38" spans="2:38" x14ac:dyDescent="0.35">
      <c r="B38" s="40">
        <v>45717</v>
      </c>
      <c r="C38">
        <v>12</v>
      </c>
      <c r="H38">
        <v>3</v>
      </c>
      <c r="I38" s="236">
        <f>IFERROR(AVERAGEIFS(EarningsPerDay[Gross $/Hour],EarningsPerDay[Week '#],$H38,EarningsPerDay[Year],I$35),"")</f>
        <v>9.8045454545454565</v>
      </c>
      <c r="J38" s="236">
        <f>IFERROR(AVERAGEIFS(EarningsPerDay[Gross $/Hour],EarningsPerDay[Week '#],$H38,EarningsPerDay[Year],J$35),"")</f>
        <v>19.136790293040292</v>
      </c>
      <c r="K38" s="232">
        <f>IFERROR((AveragesPerWeek[[#This Row],[2022]]-AveragesPerWeek[[#This Row],[2021]])/AveragesPerWeek[[#This Row],[2021]],"")</f>
        <v>0.95182840262812396</v>
      </c>
      <c r="L38" s="236">
        <f>IFERROR(AVERAGEIFS(EarningsPerDay[Gross $/Hour],EarningsPerDay[Week '#],$H38,EarningsPerDay[Year],L$35),"")</f>
        <v>17.488812941370703</v>
      </c>
      <c r="M38" s="232">
        <f>IFERROR((AveragesPerWeek[[#This Row],[2023]]-AveragesPerWeek[[#This Row],[2022]])/AveragesPerWeek[[#This Row],[2022]],"")</f>
        <v>-8.6115661322208686E-2</v>
      </c>
      <c r="AL38" s="195">
        <v>53.8</v>
      </c>
    </row>
    <row r="39" spans="2:38" x14ac:dyDescent="0.35">
      <c r="B39" s="40">
        <v>45724</v>
      </c>
      <c r="C39">
        <v>13</v>
      </c>
      <c r="H39">
        <v>4</v>
      </c>
      <c r="I39" s="236" t="str">
        <f>IFERROR(AVERAGEIFS(EarningsPerDay[Gross $/Hour],EarningsPerDay[Week '#],$H39,EarningsPerDay[Year],I$35),"")</f>
        <v/>
      </c>
      <c r="J39" s="236" t="str">
        <f>IFERROR(AVERAGEIFS(EarningsPerDay[Gross $/Hour],EarningsPerDay[Week '#],$H39,EarningsPerDay[Year],J$35),"")</f>
        <v/>
      </c>
      <c r="K39" s="232" t="str">
        <f>IFERROR((AveragesPerWeek[[#This Row],[2022]]-AveragesPerWeek[[#This Row],[2021]])/AveragesPerWeek[[#This Row],[2021]],"")</f>
        <v/>
      </c>
      <c r="L39" s="236">
        <f>IFERROR(AVERAGEIFS(EarningsPerDay[Gross $/Hour],EarningsPerDay[Week '#],$H39,EarningsPerDay[Year],L$35),"")</f>
        <v>17.929220677273168</v>
      </c>
      <c r="M39" s="232" t="str">
        <f>IFERROR((AveragesPerWeek[[#This Row],[2023]]-AveragesPerWeek[[#This Row],[2022]])/AveragesPerWeek[[#This Row],[2022]],"")</f>
        <v/>
      </c>
      <c r="AL39" s="195">
        <v>67</v>
      </c>
    </row>
    <row r="40" spans="2:38" x14ac:dyDescent="0.35">
      <c r="B40" s="40">
        <v>45738</v>
      </c>
      <c r="C40">
        <v>10</v>
      </c>
      <c r="H40">
        <v>5</v>
      </c>
      <c r="I40" s="236">
        <f>IFERROR(AVERAGEIFS(EarningsPerDay[Gross $/Hour],EarningsPerDay[Week '#],$H40,EarningsPerDay[Year],I$35),"")</f>
        <v>8.8591340920336474</v>
      </c>
      <c r="J40" s="236">
        <f>IFERROR(AVERAGEIFS(EarningsPerDay[Gross $/Hour],EarningsPerDay[Week '#],$H40,EarningsPerDay[Year],J$35),"")</f>
        <v>21.349999999999998</v>
      </c>
      <c r="K40" s="232">
        <f>IFERROR((AveragesPerWeek[[#This Row],[2022]]-AveragesPerWeek[[#This Row],[2021]])/AveragesPerWeek[[#This Row],[2021]],"")</f>
        <v>1.4099420753997218</v>
      </c>
      <c r="L40" s="236">
        <f>IFERROR(AVERAGEIFS(EarningsPerDay[Gross $/Hour],EarningsPerDay[Week '#],$H40,EarningsPerDay[Year],L$35),"")</f>
        <v>17.594533507566975</v>
      </c>
      <c r="M40" s="232">
        <f>IFERROR((AveragesPerWeek[[#This Row],[2023]]-AveragesPerWeek[[#This Row],[2022]])/AveragesPerWeek[[#This Row],[2022]],"")</f>
        <v>-0.17590006990318607</v>
      </c>
      <c r="AL40" s="195">
        <v>73.8</v>
      </c>
    </row>
    <row r="41" spans="2:38" x14ac:dyDescent="0.35">
      <c r="B41" s="40">
        <v>46025</v>
      </c>
      <c r="C41">
        <v>9</v>
      </c>
      <c r="H41">
        <v>6</v>
      </c>
      <c r="I41" s="236">
        <f>IFERROR(AVERAGEIFS(EarningsPerDay[Gross $/Hour],EarningsPerDay[Week '#],$H41,EarningsPerDay[Year],I$35),"")</f>
        <v>12.077864392148248</v>
      </c>
      <c r="J41" s="236">
        <f>IFERROR(AVERAGEIFS(EarningsPerDay[Gross $/Hour],EarningsPerDay[Week '#],$H41,EarningsPerDay[Year],J$35),"")</f>
        <v>22.356000000000002</v>
      </c>
      <c r="K41" s="232">
        <f>IFERROR((AveragesPerWeek[[#This Row],[2022]]-AveragesPerWeek[[#This Row],[2021]])/AveragesPerWeek[[#This Row],[2021]],"")</f>
        <v>0.85098948573503708</v>
      </c>
      <c r="L41" s="236">
        <f>IFERROR(AVERAGEIFS(EarningsPerDay[Gross $/Hour],EarningsPerDay[Week '#],$H41,EarningsPerDay[Year],L$35),"")</f>
        <v>30.216483122597555</v>
      </c>
      <c r="M41" s="232">
        <f>IFERROR((AveragesPerWeek[[#This Row],[2023]]-AveragesPerWeek[[#This Row],[2022]])/AveragesPerWeek[[#This Row],[2022]],"")</f>
        <v>0.35160507794764506</v>
      </c>
      <c r="AL41" s="195">
        <v>77.400000000000006</v>
      </c>
    </row>
    <row r="42" spans="2:38" x14ac:dyDescent="0.35">
      <c r="B42" s="40">
        <v>46039</v>
      </c>
      <c r="C42">
        <v>11</v>
      </c>
      <c r="H42">
        <v>7</v>
      </c>
      <c r="I42" s="236">
        <f>IFERROR(AVERAGEIFS(EarningsPerDay[Gross $/Hour],EarningsPerDay[Week '#],$H42,EarningsPerDay[Year],I$35),"")</f>
        <v>27.980799999999999</v>
      </c>
      <c r="J42" s="236">
        <f>IFERROR(AVERAGEIFS(EarningsPerDay[Gross $/Hour],EarningsPerDay[Week '#],$H42,EarningsPerDay[Year],J$35),"")</f>
        <v>26.101515151515152</v>
      </c>
      <c r="K42" s="232">
        <f>IFERROR((AveragesPerWeek[[#This Row],[2022]]-AveragesPerWeek[[#This Row],[2021]])/AveragesPerWeek[[#This Row],[2021]],"")</f>
        <v>-6.7163370900218969E-2</v>
      </c>
      <c r="L42" s="236">
        <f>IFERROR(AVERAGEIFS(EarningsPerDay[Gross $/Hour],EarningsPerDay[Week '#],$H42,EarningsPerDay[Year],L$35),"")</f>
        <v>23.679469066509558</v>
      </c>
      <c r="M42" s="232">
        <f>IFERROR((AveragesPerWeek[[#This Row],[2023]]-AveragesPerWeek[[#This Row],[2022]])/AveragesPerWeek[[#This Row],[2022]],"")</f>
        <v>-9.279331375768804E-2</v>
      </c>
      <c r="AL42" s="195">
        <v>73.400000000000006</v>
      </c>
    </row>
    <row r="43" spans="2:38" x14ac:dyDescent="0.35">
      <c r="B43" s="40">
        <v>46046</v>
      </c>
      <c r="C43">
        <v>8</v>
      </c>
      <c r="H43">
        <v>8</v>
      </c>
      <c r="I43" s="236">
        <f>IFERROR(AVERAGEIFS(EarningsPerDay[Gross $/Hour],EarningsPerDay[Week '#],$H43,EarningsPerDay[Year],I$35),"")</f>
        <v>18.483619252673982</v>
      </c>
      <c r="J43" s="236">
        <f>IFERROR(AVERAGEIFS(EarningsPerDay[Gross $/Hour],EarningsPerDay[Week '#],$H43,EarningsPerDay[Year],J$35),"")</f>
        <v>27.1875</v>
      </c>
      <c r="K43" s="232">
        <f>IFERROR((AveragesPerWeek[[#This Row],[2022]]-AveragesPerWeek[[#This Row],[2021]])/AveragesPerWeek[[#This Row],[2021]],"")</f>
        <v>0.4708969941623769</v>
      </c>
      <c r="L43" s="236">
        <f>IFERROR(AVERAGEIFS(EarningsPerDay[Gross $/Hour],EarningsPerDay[Week '#],$H43,EarningsPerDay[Year],L$35),"")</f>
        <v>25.255133563963955</v>
      </c>
      <c r="M43" s="232">
        <f>IFERROR((AveragesPerWeek[[#This Row],[2023]]-AveragesPerWeek[[#This Row],[2022]])/AveragesPerWeek[[#This Row],[2022]],"")</f>
        <v>-7.1075547072590145E-2</v>
      </c>
      <c r="AL43" s="195">
        <v>77.900000000000006</v>
      </c>
    </row>
    <row r="44" spans="2:38" x14ac:dyDescent="0.35">
      <c r="B44" s="40">
        <v>46067</v>
      </c>
      <c r="C44">
        <v>3</v>
      </c>
      <c r="H44">
        <v>9</v>
      </c>
      <c r="I44" s="236">
        <f>IFERROR(AVERAGEIFS(EarningsPerDay[Gross $/Hour],EarningsPerDay[Week '#],$H44,EarningsPerDay[Year],I$35),"")</f>
        <v>15.040358744394618</v>
      </c>
      <c r="J44" s="236">
        <f>IFERROR(AVERAGEIFS(EarningsPerDay[Gross $/Hour],EarningsPerDay[Week '#],$H44,EarningsPerDay[Year],J$35),"")</f>
        <v>22.307159090909089</v>
      </c>
      <c r="K44" s="232">
        <f>IFERROR((AveragesPerWeek[[#This Row],[2022]]-AveragesPerWeek[[#This Row],[2021]])/AveragesPerWeek[[#This Row],[2021]],"")</f>
        <v>0.48315339215048508</v>
      </c>
      <c r="L44" s="236">
        <f>IFERROR(AVERAGEIFS(EarningsPerDay[Gross $/Hour],EarningsPerDay[Week '#],$H44,EarningsPerDay[Year],L$35),"")</f>
        <v>27.184000762648669</v>
      </c>
      <c r="M44" s="232">
        <f>IFERROR((AveragesPerWeek[[#This Row],[2023]]-AveragesPerWeek[[#This Row],[2022]])/AveragesPerWeek[[#This Row],[2022]],"")</f>
        <v>0.21862226614625507</v>
      </c>
      <c r="AL44" s="195">
        <v>62.2</v>
      </c>
    </row>
    <row r="45" spans="2:38" x14ac:dyDescent="0.35">
      <c r="B45" s="40">
        <v>46074</v>
      </c>
      <c r="C45">
        <v>10</v>
      </c>
      <c r="H45">
        <v>10</v>
      </c>
      <c r="I45" s="236">
        <f>IFERROR(AVERAGEIFS(EarningsPerDay[Gross $/Hour],EarningsPerDay[Week '#],$H45,EarningsPerDay[Year],I$35),"")</f>
        <v>29.097811624649864</v>
      </c>
      <c r="J45" s="236">
        <f>IFERROR(AVERAGEIFS(EarningsPerDay[Gross $/Hour],EarningsPerDay[Week '#],$H45,EarningsPerDay[Year],J$35),"")</f>
        <v>23.084905660377359</v>
      </c>
      <c r="K45" s="232">
        <f>IFERROR((AveragesPerWeek[[#This Row],[2022]]-AveragesPerWeek[[#This Row],[2021]])/AveragesPerWeek[[#This Row],[2021]],"")</f>
        <v>-0.20664461100499887</v>
      </c>
      <c r="L45" s="236">
        <f>IFERROR(AVERAGEIFS(EarningsPerDay[Gross $/Hour],EarningsPerDay[Week '#],$H45,EarningsPerDay[Year],L$35),"")</f>
        <v>26.036542379708603</v>
      </c>
      <c r="M45" s="232">
        <f>IFERROR((AveragesPerWeek[[#This Row],[2023]]-AveragesPerWeek[[#This Row],[2022]])/AveragesPerWeek[[#This Row],[2022]],"")</f>
        <v>0.1278600295255872</v>
      </c>
      <c r="AL45" s="195">
        <v>71.3</v>
      </c>
    </row>
    <row r="46" spans="2:38" x14ac:dyDescent="0.35">
      <c r="H46">
        <v>11</v>
      </c>
      <c r="I46" s="236">
        <f>IFERROR(AVERAGEIFS(EarningsPerDay[Gross $/Hour],EarningsPerDay[Week '#],$H46,EarningsPerDay[Year],I$35),"")</f>
        <v>30.037023713940471</v>
      </c>
      <c r="J46" s="236">
        <f>IFERROR(AVERAGEIFS(EarningsPerDay[Gross $/Hour],EarningsPerDay[Week '#],$H46,EarningsPerDay[Year],J$35),"")</f>
        <v>31.809275362318843</v>
      </c>
      <c r="K46" s="232">
        <f>IFERROR((AveragesPerWeek[[#This Row],[2022]]-AveragesPerWeek[[#This Row],[2021]])/AveragesPerWeek[[#This Row],[2021]],"")</f>
        <v>5.9002238878809191E-2</v>
      </c>
      <c r="L46" s="236">
        <f>IFERROR(AVERAGEIFS(EarningsPerDay[Gross $/Hour],EarningsPerDay[Week '#],$H46,EarningsPerDay[Year],L$35),"")</f>
        <v>19.431628295255685</v>
      </c>
      <c r="M46" s="232">
        <f>IFERROR((AveragesPerWeek[[#This Row],[2023]]-AveragesPerWeek[[#This Row],[2022]])/AveragesPerWeek[[#This Row],[2022]],"")</f>
        <v>-0.3891206865317553</v>
      </c>
      <c r="AL46" s="195">
        <v>54.1</v>
      </c>
    </row>
    <row r="47" spans="2:38" x14ac:dyDescent="0.35">
      <c r="H47">
        <v>12</v>
      </c>
      <c r="I47" s="236">
        <f>IFERROR(AVERAGEIFS(EarningsPerDay[Gross $/Hour],EarningsPerDay[Week '#],$H47,EarningsPerDay[Year],I$35),"")</f>
        <v>35.810024286581658</v>
      </c>
      <c r="J47" s="236">
        <f>IFERROR(AVERAGEIFS(EarningsPerDay[Gross $/Hour],EarningsPerDay[Week '#],$H47,EarningsPerDay[Year],J$35),"")</f>
        <v>23.808017676767676</v>
      </c>
      <c r="K47" s="232">
        <f>IFERROR((AveragesPerWeek[[#This Row],[2022]]-AveragesPerWeek[[#This Row],[2021]])/AveragesPerWeek[[#This Row],[2021]],"")</f>
        <v>-0.3351577344311169</v>
      </c>
      <c r="L47" s="236">
        <f>IFERROR(AVERAGEIFS(EarningsPerDay[Gross $/Hour],EarningsPerDay[Week '#],$H47,EarningsPerDay[Year],L$35),"")</f>
        <v>16.60796663999421</v>
      </c>
      <c r="M47" s="232">
        <f>IFERROR((AveragesPerWeek[[#This Row],[2023]]-AveragesPerWeek[[#This Row],[2022]])/AveragesPerWeek[[#This Row],[2022]],"")</f>
        <v>-0.30242127398113516</v>
      </c>
      <c r="AL47" s="195">
        <v>74.5</v>
      </c>
    </row>
    <row r="48" spans="2:38" x14ac:dyDescent="0.35">
      <c r="H48">
        <v>13</v>
      </c>
      <c r="I48" s="236">
        <f>IFERROR(AVERAGEIFS(EarningsPerDay[Gross $/Hour],EarningsPerDay[Week '#],$H48,EarningsPerDay[Year],I$35),"")</f>
        <v>33.768427458617332</v>
      </c>
      <c r="J48" s="236">
        <f>IFERROR(AVERAGEIFS(EarningsPerDay[Gross $/Hour],EarningsPerDay[Week '#],$H48,EarningsPerDay[Year],J$35),"")</f>
        <v>23.972568216097628</v>
      </c>
      <c r="K48" s="232">
        <f>IFERROR((AveragesPerWeek[[#This Row],[2022]]-AveragesPerWeek[[#This Row],[2021]])/AveragesPerWeek[[#This Row],[2021]],"")</f>
        <v>-0.29008929286163454</v>
      </c>
      <c r="L48" s="236">
        <f>IFERROR(AVERAGEIFS(EarningsPerDay[Gross $/Hour],EarningsPerDay[Week '#],$H48,EarningsPerDay[Year],L$35),"")</f>
        <v>23.572724630477396</v>
      </c>
      <c r="M48" s="232">
        <f>IFERROR((AveragesPerWeek[[#This Row],[2023]]-AveragesPerWeek[[#This Row],[2022]])/AveragesPerWeek[[#This Row],[2022]],"")</f>
        <v>-1.6679213591797654E-2</v>
      </c>
      <c r="AL48" s="195">
        <v>77</v>
      </c>
    </row>
    <row r="49" spans="8:38" x14ac:dyDescent="0.35">
      <c r="H49">
        <v>14</v>
      </c>
      <c r="I49" s="236">
        <f>IFERROR(AVERAGEIFS(EarningsPerDay[Gross $/Hour],EarningsPerDay[Week '#],$H49,EarningsPerDay[Year],I$35),"")</f>
        <v>29.783333333333331</v>
      </c>
      <c r="J49" s="236">
        <f>IFERROR(AVERAGEIFS(EarningsPerDay[Gross $/Hour],EarningsPerDay[Week '#],$H49,EarningsPerDay[Year],J$35),"")</f>
        <v>25.041120448179271</v>
      </c>
      <c r="K49" s="232">
        <f>IFERROR((AveragesPerWeek[[#This Row],[2022]]-AveragesPerWeek[[#This Row],[2021]])/AveragesPerWeek[[#This Row],[2021]],"")</f>
        <v>-0.15922371186863102</v>
      </c>
      <c r="L49" s="236">
        <f>IFERROR(AVERAGEIFS(EarningsPerDay[Gross $/Hour],EarningsPerDay[Week '#],$H49,EarningsPerDay[Year],L$35),"")</f>
        <v>18.867533708858716</v>
      </c>
      <c r="M49" s="232">
        <f>IFERROR((AveragesPerWeek[[#This Row],[2023]]-AveragesPerWeek[[#This Row],[2022]])/AveragesPerWeek[[#This Row],[2022]],"")</f>
        <v>-0.24653795951728008</v>
      </c>
      <c r="AL49" s="195">
        <v>85</v>
      </c>
    </row>
    <row r="50" spans="8:38" x14ac:dyDescent="0.35">
      <c r="H50">
        <v>15</v>
      </c>
      <c r="I50" s="236" t="str">
        <f>IFERROR(AVERAGEIFS(EarningsPerDay[Gross $/Hour],EarningsPerDay[Week '#],$H50,EarningsPerDay[Year],I$35),"")</f>
        <v/>
      </c>
      <c r="J50" s="236">
        <f>IFERROR(AVERAGEIFS(EarningsPerDay[Gross $/Hour],EarningsPerDay[Week '#],$H50,EarningsPerDay[Year],J$35),"")</f>
        <v>37.01052631578947</v>
      </c>
      <c r="K50" s="232" t="str">
        <f>IFERROR((AveragesPerWeek[[#This Row],[2022]]-AveragesPerWeek[[#This Row],[2021]])/AveragesPerWeek[[#This Row],[2021]],"")</f>
        <v/>
      </c>
      <c r="L50" s="236">
        <f>IFERROR(AVERAGEIFS(EarningsPerDay[Gross $/Hour],EarningsPerDay[Week '#],$H50,EarningsPerDay[Year],L$35),"")</f>
        <v>13.421052631578949</v>
      </c>
      <c r="M50" s="232">
        <f>IFERROR((AveragesPerWeek[[#This Row],[2023]]-AveragesPerWeek[[#This Row],[2022]])/AveragesPerWeek[[#This Row],[2022]],"")</f>
        <v>-0.63737201365187701</v>
      </c>
      <c r="AL50" s="195">
        <v>90.1</v>
      </c>
    </row>
    <row r="51" spans="8:38" x14ac:dyDescent="0.35">
      <c r="H51">
        <v>16</v>
      </c>
      <c r="I51" s="236">
        <f>IFERROR(AVERAGEIFS(EarningsPerDay[Gross $/Hour],EarningsPerDay[Week '#],$H51,EarningsPerDay[Year],I$35),"")</f>
        <v>22.33233368952472</v>
      </c>
      <c r="J51" s="236" t="str">
        <f>IFERROR(AVERAGEIFS(EarningsPerDay[Gross $/Hour],EarningsPerDay[Week '#],$H51,EarningsPerDay[Year],J$35),"")</f>
        <v/>
      </c>
      <c r="K51" s="232" t="str">
        <f>IFERROR((AveragesPerWeek[[#This Row],[2022]]-AveragesPerWeek[[#This Row],[2021]])/AveragesPerWeek[[#This Row],[2021]],"")</f>
        <v/>
      </c>
      <c r="L51" s="236">
        <f>IFERROR(AVERAGEIFS(EarningsPerDay[Gross $/Hour],EarningsPerDay[Week '#],$H51,EarningsPerDay[Year],L$35),"")</f>
        <v>23.869328809070595</v>
      </c>
      <c r="M51" s="232" t="str">
        <f>IFERROR((AveragesPerWeek[[#This Row],[2023]]-AveragesPerWeek[[#This Row],[2022]])/AveragesPerWeek[[#This Row],[2022]],"")</f>
        <v/>
      </c>
      <c r="AL51" s="195">
        <v>80.099999999999994</v>
      </c>
    </row>
    <row r="52" spans="8:38" x14ac:dyDescent="0.35">
      <c r="H52">
        <v>17</v>
      </c>
      <c r="I52" s="236">
        <f>IFERROR(AVERAGEIFS(EarningsPerDay[Gross $/Hour],EarningsPerDay[Week '#],$H52,EarningsPerDay[Year],I$35),"")</f>
        <v>21.578947368421055</v>
      </c>
      <c r="J52" s="236">
        <f>IFERROR(AVERAGEIFS(EarningsPerDay[Gross $/Hour],EarningsPerDay[Week '#],$H52,EarningsPerDay[Year],J$35),"")</f>
        <v>23.301190476190477</v>
      </c>
      <c r="K52" s="232">
        <f>IFERROR((AveragesPerWeek[[#This Row],[2022]]-AveragesPerWeek[[#This Row],[2021]])/AveragesPerWeek[[#This Row],[2021]],"")</f>
        <v>7.9811265969802495E-2</v>
      </c>
      <c r="L52" s="236">
        <f>IFERROR(AVERAGEIFS(EarningsPerDay[Gross $/Hour],EarningsPerDay[Week '#],$H52,EarningsPerDay[Year],L$35),"")</f>
        <v>23.821618565539769</v>
      </c>
      <c r="M52" s="232">
        <f>IFERROR((AveragesPerWeek[[#This Row],[2023]]-AveragesPerWeek[[#This Row],[2022]])/AveragesPerWeek[[#This Row],[2022]],"")</f>
        <v>2.2334828337679701E-2</v>
      </c>
      <c r="AL52" s="195">
        <v>67.2</v>
      </c>
    </row>
    <row r="53" spans="8:38" x14ac:dyDescent="0.35">
      <c r="H53">
        <v>18</v>
      </c>
      <c r="I53" s="236">
        <f>IFERROR(AVERAGEIFS(EarningsPerDay[Gross $/Hour],EarningsPerDay[Week '#],$H53,EarningsPerDay[Year],I$35),"")</f>
        <v>11.714285714285715</v>
      </c>
      <c r="J53" s="236" t="str">
        <f>IFERROR(AVERAGEIFS(EarningsPerDay[Gross $/Hour],EarningsPerDay[Week '#],$H53,EarningsPerDay[Year],J$35),"")</f>
        <v/>
      </c>
      <c r="K53" s="232" t="str">
        <f>IFERROR((AveragesPerWeek[[#This Row],[2022]]-AveragesPerWeek[[#This Row],[2021]])/AveragesPerWeek[[#This Row],[2021]],"")</f>
        <v/>
      </c>
      <c r="L53" s="236">
        <f>IFERROR(AVERAGEIFS(EarningsPerDay[Gross $/Hour],EarningsPerDay[Week '#],$H53,EarningsPerDay[Year],L$35),"")</f>
        <v>24.186341417376806</v>
      </c>
      <c r="M53" s="232" t="str">
        <f>IFERROR((AveragesPerWeek[[#This Row],[2023]]-AveragesPerWeek[[#This Row],[2022]])/AveragesPerWeek[[#This Row],[2022]],"")</f>
        <v/>
      </c>
      <c r="AL53" s="195">
        <v>83</v>
      </c>
    </row>
    <row r="54" spans="8:38" x14ac:dyDescent="0.35">
      <c r="H54">
        <v>19</v>
      </c>
      <c r="I54" s="236">
        <f>IFERROR(AVERAGEIFS(EarningsPerDay[Gross $/Hour],EarningsPerDay[Week '#],$H54,EarningsPerDay[Year],I$35),"")</f>
        <v>22.464483479169385</v>
      </c>
      <c r="J54" s="236">
        <f>IFERROR(AVERAGEIFS(EarningsPerDay[Gross $/Hour],EarningsPerDay[Week '#],$H54,EarningsPerDay[Year],J$35),"")</f>
        <v>20.1018837156995</v>
      </c>
      <c r="K54" s="232">
        <f>IFERROR((AveragesPerWeek[[#This Row],[2022]]-AveragesPerWeek[[#This Row],[2021]])/AveragesPerWeek[[#This Row],[2021]],"")</f>
        <v>-0.10517044674811461</v>
      </c>
      <c r="L54" s="236">
        <f>IFERROR(AVERAGEIFS(EarningsPerDay[Gross $/Hour],EarningsPerDay[Week '#],$H54,EarningsPerDay[Year],L$35),"")</f>
        <v>19.094283325392315</v>
      </c>
      <c r="M54" s="232">
        <f>IFERROR((AveragesPerWeek[[#This Row],[2023]]-AveragesPerWeek[[#This Row],[2022]])/AveragesPerWeek[[#This Row],[2022]],"")</f>
        <v>-5.0124675107947887E-2</v>
      </c>
      <c r="AL54" s="195">
        <v>83.8</v>
      </c>
    </row>
    <row r="55" spans="8:38" x14ac:dyDescent="0.35">
      <c r="H55">
        <v>20</v>
      </c>
      <c r="I55" s="236">
        <f>IFERROR(AVERAGEIFS(EarningsPerDay[Gross $/Hour],EarningsPerDay[Week '#],$H55,EarningsPerDay[Year],I$35),"")</f>
        <v>39.680783353733162</v>
      </c>
      <c r="J55" s="236">
        <f>IFERROR(AVERAGEIFS(EarningsPerDay[Gross $/Hour],EarningsPerDay[Week '#],$H55,EarningsPerDay[Year],J$35),"")</f>
        <v>18.921497761497761</v>
      </c>
      <c r="K55" s="232">
        <f>IFERROR((AveragesPerWeek[[#This Row],[2022]]-AveragesPerWeek[[#This Row],[2021]])/AveragesPerWeek[[#This Row],[2021]],"")</f>
        <v>-0.52315715159091913</v>
      </c>
      <c r="L55" s="236">
        <f>IFERROR(AVERAGEIFS(EarningsPerDay[Gross $/Hour],EarningsPerDay[Week '#],$H55,EarningsPerDay[Year],L$35),"")</f>
        <v>19.087822825758522</v>
      </c>
      <c r="M55" s="232">
        <f>IFERROR((AveragesPerWeek[[#This Row],[2023]]-AveragesPerWeek[[#This Row],[2022]])/AveragesPerWeek[[#This Row],[2022]],"")</f>
        <v>8.7902694785190749E-3</v>
      </c>
      <c r="AL55" s="195">
        <v>70.2</v>
      </c>
    </row>
    <row r="56" spans="8:38" x14ac:dyDescent="0.35">
      <c r="H56">
        <v>21</v>
      </c>
      <c r="I56" s="236">
        <f>IFERROR(AVERAGEIFS(EarningsPerDay[Gross $/Hour],EarningsPerDay[Week '#],$H56,EarningsPerDay[Year],I$35),"")</f>
        <v>22.649942029477305</v>
      </c>
      <c r="J56" s="236">
        <f>IFERROR(AVERAGEIFS(EarningsPerDay[Gross $/Hour],EarningsPerDay[Week '#],$H56,EarningsPerDay[Year],J$35),"")</f>
        <v>14.590524193548386</v>
      </c>
      <c r="K56" s="232">
        <f>IFERROR((AveragesPerWeek[[#This Row],[2022]]-AveragesPerWeek[[#This Row],[2021]])/AveragesPerWeek[[#This Row],[2021]],"")</f>
        <v>-0.35582509771725479</v>
      </c>
      <c r="L56" s="236">
        <f>IFERROR(AVERAGEIFS(EarningsPerDay[Gross $/Hour],EarningsPerDay[Week '#],$H56,EarningsPerDay[Year],L$35),"")</f>
        <v>12.351564722617356</v>
      </c>
      <c r="M56" s="232">
        <f>IFERROR((AveragesPerWeek[[#This Row],[2023]]-AveragesPerWeek[[#This Row],[2022]])/AveragesPerWeek[[#This Row],[2022]],"")</f>
        <v>-0.15345298367834173</v>
      </c>
      <c r="AL56" s="195">
        <v>67.900000000000006</v>
      </c>
    </row>
    <row r="57" spans="8:38" x14ac:dyDescent="0.35">
      <c r="H57">
        <v>22</v>
      </c>
      <c r="I57" s="236">
        <f>IFERROR(AVERAGEIFS(EarningsPerDay[Gross $/Hour],EarningsPerDay[Week '#],$H57,EarningsPerDay[Year],I$35),"")</f>
        <v>24.651414677276744</v>
      </c>
      <c r="J57" s="236">
        <f>IFERROR(AVERAGEIFS(EarningsPerDay[Gross $/Hour],EarningsPerDay[Week '#],$H57,EarningsPerDay[Year],J$35),"")</f>
        <v>19.192982456140353</v>
      </c>
      <c r="K57" s="232">
        <f>IFERROR((AveragesPerWeek[[#This Row],[2022]]-AveragesPerWeek[[#This Row],[2021]])/AveragesPerWeek[[#This Row],[2021]],"")</f>
        <v>-0.22142470493459676</v>
      </c>
      <c r="L57" s="236">
        <f>IFERROR(AVERAGEIFS(EarningsPerDay[Gross $/Hour],EarningsPerDay[Week '#],$H57,EarningsPerDay[Year],L$35),"")</f>
        <v>21.819435735239619</v>
      </c>
      <c r="M57" s="232">
        <f>IFERROR((AveragesPerWeek[[#This Row],[2023]]-AveragesPerWeek[[#This Row],[2022]])/AveragesPerWeek[[#This Row],[2022]],"")</f>
        <v>0.13684445786897453</v>
      </c>
      <c r="AL57" s="195">
        <v>93.1</v>
      </c>
    </row>
    <row r="58" spans="8:38" x14ac:dyDescent="0.35">
      <c r="H58">
        <v>23</v>
      </c>
      <c r="I58" s="236">
        <f>IFERROR(AVERAGEIFS(EarningsPerDay[Gross $/Hour],EarningsPerDay[Week '#],$H58,EarningsPerDay[Year],I$35),"")</f>
        <v>23.071904761904761</v>
      </c>
      <c r="J58" s="236">
        <f>IFERROR(AVERAGEIFS(EarningsPerDay[Gross $/Hour],EarningsPerDay[Week '#],$H58,EarningsPerDay[Year],J$35),"")</f>
        <v>27.046520146520148</v>
      </c>
      <c r="K58" s="232">
        <f>IFERROR((AveragesPerWeek[[#This Row],[2022]]-AveragesPerWeek[[#This Row],[2021]])/AveragesPerWeek[[#This Row],[2021]],"")</f>
        <v>0.17227079539518919</v>
      </c>
      <c r="L58" s="236">
        <f>IFERROR(AVERAGEIFS(EarningsPerDay[Gross $/Hour],EarningsPerDay[Week '#],$H58,EarningsPerDay[Year],L$35),"")</f>
        <v>19.242937917418359</v>
      </c>
      <c r="M58" s="232">
        <f>IFERROR((AveragesPerWeek[[#This Row],[2023]]-AveragesPerWeek[[#This Row],[2022]])/AveragesPerWeek[[#This Row],[2022]],"")</f>
        <v>-0.28852444554150197</v>
      </c>
      <c r="AL58" s="195">
        <v>95.3</v>
      </c>
    </row>
    <row r="59" spans="8:38" x14ac:dyDescent="0.35">
      <c r="H59">
        <v>24</v>
      </c>
      <c r="I59" s="236">
        <f>IFERROR(AVERAGEIFS(EarningsPerDay[Gross $/Hour],EarningsPerDay[Week '#],$H59,EarningsPerDay[Year],I$35),"")</f>
        <v>12.266666666666666</v>
      </c>
      <c r="J59" s="236">
        <f>IFERROR(AVERAGEIFS(EarningsPerDay[Gross $/Hour],EarningsPerDay[Week '#],$H59,EarningsPerDay[Year],J$35),"")</f>
        <v>17.736089006674021</v>
      </c>
      <c r="K59" s="232">
        <f>IFERROR((AveragesPerWeek[[#This Row],[2022]]-AveragesPerWeek[[#This Row],[2021]])/AveragesPerWeek[[#This Row],[2021]],"")</f>
        <v>0.44587682119625183</v>
      </c>
      <c r="L59" s="236">
        <f>IFERROR(AVERAGEIFS(EarningsPerDay[Gross $/Hour],EarningsPerDay[Week '#],$H59,EarningsPerDay[Year],L$35),"")</f>
        <v>24.536963956853459</v>
      </c>
      <c r="M59" s="232">
        <f>IFERROR((AveragesPerWeek[[#This Row],[2023]]-AveragesPerWeek[[#This Row],[2022]])/AveragesPerWeek[[#This Row],[2022]],"")</f>
        <v>0.38344839990486601</v>
      </c>
      <c r="AL59" s="195">
        <v>58.1</v>
      </c>
    </row>
    <row r="60" spans="8:38" x14ac:dyDescent="0.35">
      <c r="H60">
        <v>25</v>
      </c>
      <c r="I60" s="236">
        <f>IFERROR(AVERAGEIFS(EarningsPerDay[Gross $/Hour],EarningsPerDay[Week '#],$H60,EarningsPerDay[Year],I$35),"")</f>
        <v>23.968128686979259</v>
      </c>
      <c r="J60" s="236">
        <f>IFERROR(AVERAGEIFS(EarningsPerDay[Gross $/Hour],EarningsPerDay[Week '#],$H60,EarningsPerDay[Year],J$35),"")</f>
        <v>21.038970588235294</v>
      </c>
      <c r="K60" s="232">
        <f>IFERROR((AveragesPerWeek[[#This Row],[2022]]-AveragesPerWeek[[#This Row],[2021]])/AveragesPerWeek[[#This Row],[2021]],"")</f>
        <v>-0.12221054622154282</v>
      </c>
      <c r="L60" s="236" t="str">
        <f>IFERROR(AVERAGEIFS(EarningsPerDay[Gross $/Hour],EarningsPerDay[Week '#],$H60,EarningsPerDay[Year],L$35),"")</f>
        <v/>
      </c>
      <c r="M60" s="232" t="str">
        <f>IFERROR((AveragesPerWeek[[#This Row],[2023]]-AveragesPerWeek[[#This Row],[2022]])/AveragesPerWeek[[#This Row],[2022]],"")</f>
        <v/>
      </c>
      <c r="AL60" s="195">
        <v>58.2</v>
      </c>
    </row>
    <row r="61" spans="8:38" x14ac:dyDescent="0.35">
      <c r="H61">
        <v>26</v>
      </c>
      <c r="I61" s="236">
        <f>IFERROR(AVERAGEIFS(EarningsPerDay[Gross $/Hour],EarningsPerDay[Week '#],$H61,EarningsPerDay[Year],I$35),"")</f>
        <v>21.284027777777776</v>
      </c>
      <c r="J61" s="236">
        <f>IFERROR(AVERAGEIFS(EarningsPerDay[Gross $/Hour],EarningsPerDay[Week '#],$H61,EarningsPerDay[Year],J$35),"")</f>
        <v>19.67806789831657</v>
      </c>
      <c r="K61" s="232">
        <f>IFERROR((AveragesPerWeek[[#This Row],[2022]]-AveragesPerWeek[[#This Row],[2021]])/AveragesPerWeek[[#This Row],[2021]],"")</f>
        <v>-7.545375791784846E-2</v>
      </c>
      <c r="L61" s="236">
        <f>IFERROR(AVERAGEIFS(EarningsPerDay[Gross $/Hour],EarningsPerDay[Week '#],$H61,EarningsPerDay[Year],L$35),"")</f>
        <v>18.648818421295484</v>
      </c>
      <c r="M61" s="232">
        <f>IFERROR((AveragesPerWeek[[#This Row],[2023]]-AveragesPerWeek[[#This Row],[2022]])/AveragesPerWeek[[#This Row],[2022]],"")</f>
        <v>-5.230439707493522E-2</v>
      </c>
      <c r="AL61" s="195">
        <v>69.599999999999994</v>
      </c>
    </row>
    <row r="62" spans="8:38" x14ac:dyDescent="0.35">
      <c r="H62">
        <v>27</v>
      </c>
      <c r="I62" s="236">
        <f>IFERROR(AVERAGEIFS(EarningsPerDay[Gross $/Hour],EarningsPerDay[Week '#],$H62,EarningsPerDay[Year],I$35),"")</f>
        <v>16.431725146198829</v>
      </c>
      <c r="J62" s="236">
        <f>IFERROR(AVERAGEIFS(EarningsPerDay[Gross $/Hour],EarningsPerDay[Week '#],$H62,EarningsPerDay[Year],J$35),"")</f>
        <v>17.681713081202563</v>
      </c>
      <c r="K62" s="232">
        <f>IFERROR((AveragesPerWeek[[#This Row],[2022]]-AveragesPerWeek[[#This Row],[2021]])/AveragesPerWeek[[#This Row],[2021]],"")</f>
        <v>7.6071619010307942E-2</v>
      </c>
      <c r="L62" s="236" t="str">
        <f>IFERROR(AVERAGEIFS(EarningsPerDay[Gross $/Hour],EarningsPerDay[Week '#],$H62,EarningsPerDay[Year],L$35),"")</f>
        <v/>
      </c>
      <c r="M62" s="232" t="str">
        <f>IFERROR((AveragesPerWeek[[#This Row],[2023]]-AveragesPerWeek[[#This Row],[2022]])/AveragesPerWeek[[#This Row],[2022]],"")</f>
        <v/>
      </c>
      <c r="AL62" s="195">
        <v>74.3</v>
      </c>
    </row>
    <row r="63" spans="8:38" x14ac:dyDescent="0.35">
      <c r="H63">
        <v>28</v>
      </c>
      <c r="I63" s="236" t="str">
        <f>IFERROR(AVERAGEIFS(EarningsPerDay[Gross $/Hour],EarningsPerDay[Week '#],$H63,EarningsPerDay[Year],I$35),"")</f>
        <v/>
      </c>
      <c r="J63" s="236">
        <f>IFERROR(AVERAGEIFS(EarningsPerDay[Gross $/Hour],EarningsPerDay[Week '#],$H63,EarningsPerDay[Year],J$35),"")</f>
        <v>20.782512221518321</v>
      </c>
      <c r="K63" s="232" t="str">
        <f>IFERROR((AveragesPerWeek[[#This Row],[2022]]-AveragesPerWeek[[#This Row],[2021]])/AveragesPerWeek[[#This Row],[2021]],"")</f>
        <v/>
      </c>
      <c r="L63" s="236">
        <f>IFERROR(AVERAGEIFS(EarningsPerDay[Gross $/Hour],EarningsPerDay[Week '#],$H63,EarningsPerDay[Year],L$35),"")</f>
        <v>19.564672470064771</v>
      </c>
      <c r="M63" s="232">
        <f>IFERROR((AveragesPerWeek[[#This Row],[2023]]-AveragesPerWeek[[#This Row],[2022]])/AveragesPerWeek[[#This Row],[2022]],"")</f>
        <v>-5.8599255877862168E-2</v>
      </c>
      <c r="AL63" s="195">
        <v>74.2</v>
      </c>
    </row>
    <row r="64" spans="8:38" x14ac:dyDescent="0.35">
      <c r="H64">
        <v>29</v>
      </c>
      <c r="I64" s="236" t="str">
        <f>IFERROR(AVERAGEIFS(EarningsPerDay[Gross $/Hour],EarningsPerDay[Week '#],$H64,EarningsPerDay[Year],I$35),"")</f>
        <v/>
      </c>
      <c r="J64" s="236">
        <f>IFERROR(AVERAGEIFS(EarningsPerDay[Gross $/Hour],EarningsPerDay[Week '#],$H64,EarningsPerDay[Year],J$35),"")</f>
        <v>25.175618348897345</v>
      </c>
      <c r="K64" s="232" t="str">
        <f>IFERROR((AveragesPerWeek[[#This Row],[2022]]-AveragesPerWeek[[#This Row],[2021]])/AveragesPerWeek[[#This Row],[2021]],"")</f>
        <v/>
      </c>
      <c r="L64" s="236">
        <f>IFERROR(AVERAGEIFS(EarningsPerDay[Gross $/Hour],EarningsPerDay[Week '#],$H64,EarningsPerDay[Year],L$35),"")</f>
        <v>17.909543915985623</v>
      </c>
      <c r="M64" s="232">
        <f>IFERROR((AveragesPerWeek[[#This Row],[2023]]-AveragesPerWeek[[#This Row],[2022]])/AveragesPerWeek[[#This Row],[2022]],"")</f>
        <v>-0.28861553000266094</v>
      </c>
      <c r="AL64" s="195">
        <v>82.2</v>
      </c>
    </row>
    <row r="65" spans="8:38" x14ac:dyDescent="0.35">
      <c r="H65">
        <v>30</v>
      </c>
      <c r="I65" s="236">
        <f>IFERROR(AVERAGEIFS(EarningsPerDay[Gross $/Hour],EarningsPerDay[Week '#],$H65,EarningsPerDay[Year],I$35),"")</f>
        <v>11.428571428571429</v>
      </c>
      <c r="J65" s="236">
        <f>IFERROR(AVERAGEIFS(EarningsPerDay[Gross $/Hour],EarningsPerDay[Week '#],$H65,EarningsPerDay[Year],J$35),"")</f>
        <v>24.927683843263551</v>
      </c>
      <c r="K65" s="232">
        <f>IFERROR((AveragesPerWeek[[#This Row],[2022]]-AveragesPerWeek[[#This Row],[2021]])/AveragesPerWeek[[#This Row],[2021]],"")</f>
        <v>1.1811723362855606</v>
      </c>
      <c r="L65" s="236">
        <f>IFERROR(AVERAGEIFS(EarningsPerDay[Gross $/Hour],EarningsPerDay[Week '#],$H65,EarningsPerDay[Year],L$35),"")</f>
        <v>21.390229685272146</v>
      </c>
      <c r="M65" s="232">
        <f>IFERROR((AveragesPerWeek[[#This Row],[2023]]-AveragesPerWeek[[#This Row],[2022]])/AveragesPerWeek[[#This Row],[2022]],"")</f>
        <v>-0.14190865786944604</v>
      </c>
      <c r="AL65" s="195">
        <v>73.099999999999994</v>
      </c>
    </row>
    <row r="66" spans="8:38" x14ac:dyDescent="0.35">
      <c r="H66">
        <v>31</v>
      </c>
      <c r="I66" s="236">
        <f>IFERROR(AVERAGEIFS(EarningsPerDay[Gross $/Hour],EarningsPerDay[Week '#],$H66,EarningsPerDay[Year],I$35),"")</f>
        <v>19.065789473684212</v>
      </c>
      <c r="J66" s="236" t="str">
        <f>IFERROR(AVERAGEIFS(EarningsPerDay[Gross $/Hour],EarningsPerDay[Week '#],$H66,EarningsPerDay[Year],J$35),"")</f>
        <v/>
      </c>
      <c r="K66" s="232" t="str">
        <f>IFERROR((AveragesPerWeek[[#This Row],[2022]]-AveragesPerWeek[[#This Row],[2021]])/AveragesPerWeek[[#This Row],[2021]],"")</f>
        <v/>
      </c>
      <c r="L66" s="236">
        <f>IFERROR(AVERAGEIFS(EarningsPerDay[Gross $/Hour],EarningsPerDay[Week '#],$H66,EarningsPerDay[Year],L$35),"")</f>
        <v>18.945805593449247</v>
      </c>
      <c r="M66" s="232" t="str">
        <f>IFERROR((AveragesPerWeek[[#This Row],[2023]]-AveragesPerWeek[[#This Row],[2022]])/AveragesPerWeek[[#This Row],[2022]],"")</f>
        <v/>
      </c>
      <c r="AL66" s="195">
        <v>72</v>
      </c>
    </row>
    <row r="67" spans="8:38" x14ac:dyDescent="0.35">
      <c r="H67">
        <v>32</v>
      </c>
      <c r="I67" s="236" t="str">
        <f>IFERROR(AVERAGEIFS(EarningsPerDay[Gross $/Hour],EarningsPerDay[Week '#],$H67,EarningsPerDay[Year],I$35),"")</f>
        <v/>
      </c>
      <c r="J67" s="236" t="str">
        <f>IFERROR(AVERAGEIFS(EarningsPerDay[Gross $/Hour],EarningsPerDay[Week '#],$H67,EarningsPerDay[Year],J$35),"")</f>
        <v/>
      </c>
      <c r="K67" s="232" t="str">
        <f>IFERROR((AveragesPerWeek[[#This Row],[2022]]-AveragesPerWeek[[#This Row],[2021]])/AveragesPerWeek[[#This Row],[2021]],"")</f>
        <v/>
      </c>
      <c r="L67" s="236">
        <f>IFERROR(AVERAGEIFS(EarningsPerDay[Gross $/Hour],EarningsPerDay[Week '#],$H67,EarningsPerDay[Year],L$35),"")</f>
        <v>18.293959059769243</v>
      </c>
      <c r="M67" s="232" t="str">
        <f>IFERROR((AveragesPerWeek[[#This Row],[2023]]-AveragesPerWeek[[#This Row],[2022]])/AveragesPerWeek[[#This Row],[2022]],"")</f>
        <v/>
      </c>
      <c r="P67" s="6" t="s">
        <v>75</v>
      </c>
      <c r="Q67" t="s">
        <v>278</v>
      </c>
      <c r="AL67" s="195">
        <v>69.7</v>
      </c>
    </row>
    <row r="68" spans="8:38" x14ac:dyDescent="0.35">
      <c r="H68">
        <v>33</v>
      </c>
      <c r="I68" s="236" t="str">
        <f>IFERROR(AVERAGEIFS(EarningsPerDay[Gross $/Hour],EarningsPerDay[Week '#],$H68,EarningsPerDay[Year],I$35),"")</f>
        <v/>
      </c>
      <c r="J68" s="236">
        <f>IFERROR(AVERAGEIFS(EarningsPerDay[Gross $/Hour],EarningsPerDay[Week '#],$H68,EarningsPerDay[Year],J$35),"")</f>
        <v>17.359131545338442</v>
      </c>
      <c r="K68" s="232" t="str">
        <f>IFERROR((AveragesPerWeek[[#This Row],[2022]]-AveragesPerWeek[[#This Row],[2021]])/AveragesPerWeek[[#This Row],[2021]],"")</f>
        <v/>
      </c>
      <c r="L68" s="236">
        <f>IFERROR(AVERAGEIFS(EarningsPerDay[Gross $/Hour],EarningsPerDay[Week '#],$H68,EarningsPerDay[Year],L$35),"")</f>
        <v>18.13709132800901</v>
      </c>
      <c r="M68" s="232">
        <f>IFERROR((AveragesPerWeek[[#This Row],[2023]]-AveragesPerWeek[[#This Row],[2022]])/AveragesPerWeek[[#This Row],[2022]],"")</f>
        <v>4.4815593489726045E-2</v>
      </c>
      <c r="P68" s="6" t="s">
        <v>99</v>
      </c>
      <c r="Q68" t="s">
        <v>46</v>
      </c>
      <c r="AL68" s="195">
        <v>55.4</v>
      </c>
    </row>
    <row r="69" spans="8:38" x14ac:dyDescent="0.35">
      <c r="H69">
        <v>34</v>
      </c>
      <c r="I69" s="236" t="str">
        <f>IFERROR(AVERAGEIFS(EarningsPerDay[Gross $/Hour],EarningsPerDay[Week '#],$H69,EarningsPerDay[Year],I$35),"")</f>
        <v/>
      </c>
      <c r="J69" s="236">
        <f>IFERROR(AVERAGEIFS(EarningsPerDay[Gross $/Hour],EarningsPerDay[Week '#],$H69,EarningsPerDay[Year],J$35),"")</f>
        <v>20.826728076200865</v>
      </c>
      <c r="K69" s="232" t="str">
        <f>IFERROR((AveragesPerWeek[[#This Row],[2022]]-AveragesPerWeek[[#This Row],[2021]])/AveragesPerWeek[[#This Row],[2021]],"")</f>
        <v/>
      </c>
      <c r="L69" s="236">
        <f>IFERROR(AVERAGEIFS(EarningsPerDay[Gross $/Hour],EarningsPerDay[Week '#],$H69,EarningsPerDay[Year],L$35),"")</f>
        <v>20.353351932949366</v>
      </c>
      <c r="M69" s="232">
        <f>IFERROR((AveragesPerWeek[[#This Row],[2023]]-AveragesPerWeek[[#This Row],[2022]])/AveragesPerWeek[[#This Row],[2022]],"")</f>
        <v>-2.2729261241588701E-2</v>
      </c>
      <c r="AL69" s="195">
        <v>67.599999999999994</v>
      </c>
    </row>
    <row r="70" spans="8:38" x14ac:dyDescent="0.35">
      <c r="H70">
        <v>35</v>
      </c>
      <c r="I70" s="236" t="str">
        <f>IFERROR(AVERAGEIFS(EarningsPerDay[Gross $/Hour],EarningsPerDay[Week '#],$H70,EarningsPerDay[Year],I$35),"")</f>
        <v/>
      </c>
      <c r="J70" s="236">
        <f>IFERROR(AVERAGEIFS(EarningsPerDay[Gross $/Hour],EarningsPerDay[Week '#],$H70,EarningsPerDay[Year],J$35),"")</f>
        <v>18.986450102429032</v>
      </c>
      <c r="K70" s="232" t="str">
        <f>IFERROR((AveragesPerWeek[[#This Row],[2022]]-AveragesPerWeek[[#This Row],[2021]])/AveragesPerWeek[[#This Row],[2021]],"")</f>
        <v/>
      </c>
      <c r="L70" s="236">
        <f>IFERROR(AVERAGEIFS(EarningsPerDay[Gross $/Hour],EarningsPerDay[Week '#],$H70,EarningsPerDay[Year],L$35),"")</f>
        <v>20.25594694148036</v>
      </c>
      <c r="M70" s="232">
        <f>IFERROR((AveragesPerWeek[[#This Row],[2023]]-AveragesPerWeek[[#This Row],[2022]])/AveragesPerWeek[[#This Row],[2022]],"")</f>
        <v>6.6863306842647491E-2</v>
      </c>
      <c r="Q70" s="6" t="s">
        <v>77</v>
      </c>
      <c r="AL70" s="195">
        <v>74.599999999999994</v>
      </c>
    </row>
    <row r="71" spans="8:38" x14ac:dyDescent="0.35">
      <c r="H71">
        <v>36</v>
      </c>
      <c r="I71" s="236">
        <f>IFERROR(AVERAGEIFS(EarningsPerDay[Gross $/Hour],EarningsPerDay[Week '#],$H71,EarningsPerDay[Year],I$35),"")</f>
        <v>18.937944664031619</v>
      </c>
      <c r="J71" s="236">
        <f>IFERROR(AVERAGEIFS(EarningsPerDay[Gross $/Hour],EarningsPerDay[Week '#],$H71,EarningsPerDay[Year],J$35),"")</f>
        <v>21.01952211341732</v>
      </c>
      <c r="K71" s="232">
        <f>IFERROR((AveragesPerWeek[[#This Row],[2022]]-AveragesPerWeek[[#This Row],[2021]])/AveragesPerWeek[[#This Row],[2021]],"")</f>
        <v>0.10991570026810729</v>
      </c>
      <c r="L71" s="236">
        <f>IFERROR(AVERAGEIFS(EarningsPerDay[Gross $/Hour],EarningsPerDay[Week '#],$H71,EarningsPerDay[Year],L$35),"")</f>
        <v>20.393879947756961</v>
      </c>
      <c r="M71" s="232">
        <f>IFERROR((AveragesPerWeek[[#This Row],[2023]]-AveragesPerWeek[[#This Row],[2022]])/AveragesPerWeek[[#This Row],[2022]],"")</f>
        <v>-2.9764813980285271E-2</v>
      </c>
      <c r="P71" s="6" t="s">
        <v>237</v>
      </c>
      <c r="Q71" t="s">
        <v>174</v>
      </c>
      <c r="R71" t="s">
        <v>80</v>
      </c>
      <c r="S71" t="s">
        <v>82</v>
      </c>
      <c r="T71" t="s">
        <v>85</v>
      </c>
      <c r="U71" t="s">
        <v>88</v>
      </c>
      <c r="AL71" s="195">
        <v>42.9</v>
      </c>
    </row>
    <row r="72" spans="8:38" x14ac:dyDescent="0.35">
      <c r="H72">
        <v>37</v>
      </c>
      <c r="I72" s="236">
        <f>IFERROR(AVERAGEIFS(EarningsPerDay[Gross $/Hour],EarningsPerDay[Week '#],$H72,EarningsPerDay[Year],I$35),"")</f>
        <v>33.595161290322579</v>
      </c>
      <c r="J72" s="236">
        <f>IFERROR(AVERAGEIFS(EarningsPerDay[Gross $/Hour],EarningsPerDay[Week '#],$H72,EarningsPerDay[Year],J$35),"")</f>
        <v>26.26394478011483</v>
      </c>
      <c r="K72" s="232">
        <f>IFERROR((AveragesPerWeek[[#This Row],[2022]]-AveragesPerWeek[[#This Row],[2021]])/AveragesPerWeek[[#This Row],[2021]],"")</f>
        <v>-0.21822239360165177</v>
      </c>
      <c r="L72" s="236">
        <f>IFERROR(AVERAGEIFS(EarningsPerDay[Gross $/Hour],EarningsPerDay[Week '#],$H72,EarningsPerDay[Year],L$35),"")</f>
        <v>26.829107037578815</v>
      </c>
      <c r="M72" s="232">
        <f>IFERROR((AveragesPerWeek[[#This Row],[2023]]-AveragesPerWeek[[#This Row],[2022]])/AveragesPerWeek[[#This Row],[2022]],"")</f>
        <v>2.151855946224367E-2</v>
      </c>
      <c r="P72" s="7" t="s">
        <v>230</v>
      </c>
      <c r="Q72" s="11"/>
      <c r="R72" s="11"/>
      <c r="S72" s="11"/>
      <c r="T72" s="11"/>
      <c r="U72" s="11"/>
      <c r="AL72" s="195">
        <v>43.9</v>
      </c>
    </row>
    <row r="73" spans="8:38" x14ac:dyDescent="0.35">
      <c r="H73">
        <v>38</v>
      </c>
      <c r="I73" s="236">
        <f>IFERROR(AVERAGEIFS(EarningsPerDay[Gross $/Hour],EarningsPerDay[Week '#],$H73,EarningsPerDay[Year],I$35),"")</f>
        <v>12.741935483870968</v>
      </c>
      <c r="J73" s="236">
        <f>IFERROR(AVERAGEIFS(EarningsPerDay[Gross $/Hour],EarningsPerDay[Week '#],$H73,EarningsPerDay[Year],J$35),"")</f>
        <v>17.075648043191137</v>
      </c>
      <c r="K73" s="232">
        <f>IFERROR((AveragesPerWeek[[#This Row],[2022]]-AveragesPerWeek[[#This Row],[2021]])/AveragesPerWeek[[#This Row],[2021]],"")</f>
        <v>0.3401141502251272</v>
      </c>
      <c r="L73" s="236">
        <f>IFERROR(AVERAGEIFS(EarningsPerDay[Gross $/Hour],EarningsPerDay[Week '#],$H73,EarningsPerDay[Year],L$35),"")</f>
        <v>23.881947901505775</v>
      </c>
      <c r="M73" s="232">
        <f>IFERROR((AveragesPerWeek[[#This Row],[2023]]-AveragesPerWeek[[#This Row],[2022]])/AveragesPerWeek[[#This Row],[2022]],"")</f>
        <v>0.39859686971169622</v>
      </c>
      <c r="P73" s="7" t="s">
        <v>231</v>
      </c>
      <c r="Q73" s="11"/>
      <c r="R73" s="11"/>
      <c r="S73" s="11"/>
      <c r="T73" s="11"/>
      <c r="U73" s="11"/>
      <c r="AL73" s="195">
        <v>47.5</v>
      </c>
    </row>
    <row r="74" spans="8:38" x14ac:dyDescent="0.35">
      <c r="H74">
        <v>39</v>
      </c>
      <c r="I74" s="236">
        <f>IFERROR(AVERAGEIFS(EarningsPerDay[Gross $/Hour],EarningsPerDay[Week '#],$H74,EarningsPerDay[Year],I$35),"")</f>
        <v>24.575342465753415</v>
      </c>
      <c r="J74" s="236">
        <f>IFERROR(AVERAGEIFS(EarningsPerDay[Gross $/Hour],EarningsPerDay[Week '#],$H74,EarningsPerDay[Year],J$35),"")</f>
        <v>18.516449584597758</v>
      </c>
      <c r="K74" s="232">
        <f>IFERROR((AveragesPerWeek[[#This Row],[2022]]-AveragesPerWeek[[#This Row],[2021]])/AveragesPerWeek[[#This Row],[2021]],"")</f>
        <v>-0.24654357877612215</v>
      </c>
      <c r="L74" s="236">
        <f>IFERROR(AVERAGEIFS(EarningsPerDay[Gross $/Hour],EarningsPerDay[Week '#],$H74,EarningsPerDay[Year],L$35),"")</f>
        <v>18.457835873545363</v>
      </c>
      <c r="M74" s="232">
        <f>IFERROR((AveragesPerWeek[[#This Row],[2023]]-AveragesPerWeek[[#This Row],[2022]])/AveragesPerWeek[[#This Row],[2022]],"")</f>
        <v>-3.1654940535225874E-3</v>
      </c>
      <c r="P74" s="7" t="s">
        <v>249</v>
      </c>
      <c r="Q74" s="11"/>
      <c r="R74" s="11"/>
      <c r="S74" s="11"/>
      <c r="T74" s="11"/>
      <c r="U74" s="11"/>
      <c r="AL74" s="195">
        <v>48.2</v>
      </c>
    </row>
    <row r="75" spans="8:38" x14ac:dyDescent="0.35">
      <c r="H75">
        <v>40</v>
      </c>
      <c r="I75" s="236">
        <f>IFERROR(AVERAGEIFS(EarningsPerDay[Gross $/Hour],EarningsPerDay[Week '#],$H75,EarningsPerDay[Year],I$35),"")</f>
        <v>17.023809523809526</v>
      </c>
      <c r="J75" s="236">
        <f>IFERROR(AVERAGEIFS(EarningsPerDay[Gross $/Hour],EarningsPerDay[Week '#],$H75,EarningsPerDay[Year],J$35),"")</f>
        <v>16.586847619093994</v>
      </c>
      <c r="K75" s="232">
        <f>IFERROR((AveragesPerWeek[[#This Row],[2022]]-AveragesPerWeek[[#This Row],[2021]])/AveragesPerWeek[[#This Row],[2021]],"")</f>
        <v>-2.5667692304968258E-2</v>
      </c>
      <c r="L75" s="236">
        <f>IFERROR(AVERAGEIFS(EarningsPerDay[Gross $/Hour],EarningsPerDay[Week '#],$H75,EarningsPerDay[Year],L$35),"")</f>
        <v>20.847655849302761</v>
      </c>
      <c r="M75" s="232">
        <f>IFERROR((AveragesPerWeek[[#This Row],[2023]]-AveragesPerWeek[[#This Row],[2022]])/AveragesPerWeek[[#This Row],[2022]],"")</f>
        <v>0.25687872271183859</v>
      </c>
      <c r="P75" s="7" t="s">
        <v>236</v>
      </c>
      <c r="Q75" s="11"/>
      <c r="R75" s="11"/>
      <c r="S75" s="11"/>
      <c r="T75" s="11"/>
      <c r="U75" s="11"/>
      <c r="AL75" s="195">
        <v>60.5</v>
      </c>
    </row>
    <row r="76" spans="8:38" x14ac:dyDescent="0.35">
      <c r="H76">
        <v>41</v>
      </c>
      <c r="I76" s="236">
        <f>IFERROR(AVERAGEIFS(EarningsPerDay[Gross $/Hour],EarningsPerDay[Week '#],$H76,EarningsPerDay[Year],I$35),"")</f>
        <v>18.75</v>
      </c>
      <c r="J76" s="236">
        <f>IFERROR(AVERAGEIFS(EarningsPerDay[Gross $/Hour],EarningsPerDay[Week '#],$H76,EarningsPerDay[Year],J$35),"")</f>
        <v>28.903069770904306</v>
      </c>
      <c r="K76" s="232">
        <f>IFERROR((AveragesPerWeek[[#This Row],[2022]]-AveragesPerWeek[[#This Row],[2021]])/AveragesPerWeek[[#This Row],[2021]],"")</f>
        <v>0.54149705444822971</v>
      </c>
      <c r="L76" s="236">
        <f>IFERROR(AVERAGEIFS(EarningsPerDay[Gross $/Hour],EarningsPerDay[Week '#],$H76,EarningsPerDay[Year],L$35),"")</f>
        <v>21.448245811734655</v>
      </c>
      <c r="M76" s="232">
        <f>IFERROR((AveragesPerWeek[[#This Row],[2023]]-AveragesPerWeek[[#This Row],[2022]])/AveragesPerWeek[[#This Row],[2022]],"")</f>
        <v>-0.25792498922291496</v>
      </c>
      <c r="P76" s="7" t="s">
        <v>235</v>
      </c>
      <c r="Q76" s="11"/>
      <c r="R76" s="11"/>
      <c r="S76" s="11"/>
      <c r="T76" s="11"/>
      <c r="U76" s="11"/>
      <c r="AL76" s="195">
        <v>54.9</v>
      </c>
    </row>
    <row r="77" spans="8:38" x14ac:dyDescent="0.35">
      <c r="H77">
        <v>42</v>
      </c>
      <c r="I77" s="236">
        <f>IFERROR(AVERAGEIFS(EarningsPerDay[Gross $/Hour],EarningsPerDay[Week '#],$H77,EarningsPerDay[Year],I$35),"")</f>
        <v>19.021739130434785</v>
      </c>
      <c r="J77" s="236">
        <f>IFERROR(AVERAGEIFS(EarningsPerDay[Gross $/Hour],EarningsPerDay[Week '#],$H77,EarningsPerDay[Year],J$35),"")</f>
        <v>15.143399506819614</v>
      </c>
      <c r="K77" s="232">
        <f>IFERROR((AveragesPerWeek[[#This Row],[2022]]-AveragesPerWeek[[#This Row],[2021]])/AveragesPerWeek[[#This Row],[2021]],"")</f>
        <v>-0.20388985449862609</v>
      </c>
      <c r="L77" s="236">
        <f>IFERROR(AVERAGEIFS(EarningsPerDay[Gross $/Hour],EarningsPerDay[Week '#],$H77,EarningsPerDay[Year],L$35),"")</f>
        <v>24.528006739196606</v>
      </c>
      <c r="M77" s="232">
        <f>IFERROR((AveragesPerWeek[[#This Row],[2023]]-AveragesPerWeek[[#This Row],[2022]])/AveragesPerWeek[[#This Row],[2022]],"")</f>
        <v>0.61971601740750271</v>
      </c>
      <c r="P77" s="7" t="s">
        <v>233</v>
      </c>
      <c r="Q77" s="11"/>
      <c r="R77" s="11"/>
      <c r="S77" s="11"/>
      <c r="T77" s="11"/>
      <c r="U77" s="11"/>
      <c r="AL77" s="195">
        <v>57.1</v>
      </c>
    </row>
    <row r="78" spans="8:38" x14ac:dyDescent="0.35">
      <c r="H78">
        <v>43</v>
      </c>
      <c r="I78" s="236">
        <f>IFERROR(AVERAGEIFS(EarningsPerDay[Gross $/Hour],EarningsPerDay[Week '#],$H78,EarningsPerDay[Year],I$35),"")</f>
        <v>25.464814814814815</v>
      </c>
      <c r="J78" s="236" t="str">
        <f>IFERROR(AVERAGEIFS(EarningsPerDay[Gross $/Hour],EarningsPerDay[Week '#],$H78,EarningsPerDay[Year],J$35),"")</f>
        <v/>
      </c>
      <c r="K78" s="232" t="str">
        <f>IFERROR((AveragesPerWeek[[#This Row],[2022]]-AveragesPerWeek[[#This Row],[2021]])/AveragesPerWeek[[#This Row],[2021]],"")</f>
        <v/>
      </c>
      <c r="L78" s="236">
        <f>IFERROR(AVERAGEIFS(EarningsPerDay[Gross $/Hour],EarningsPerDay[Week '#],$H78,EarningsPerDay[Year],L$35),"")</f>
        <v>24.482234522345223</v>
      </c>
      <c r="M78" s="232" t="str">
        <f>IFERROR((AveragesPerWeek[[#This Row],[2023]]-AveragesPerWeek[[#This Row],[2022]])/AveragesPerWeek[[#This Row],[2022]],"")</f>
        <v/>
      </c>
      <c r="P78" s="7" t="s">
        <v>234</v>
      </c>
      <c r="Q78" s="11"/>
      <c r="R78" s="11"/>
      <c r="S78" s="11"/>
      <c r="T78" s="11"/>
      <c r="U78" s="11"/>
      <c r="AL78" s="195">
        <v>39.1</v>
      </c>
    </row>
    <row r="79" spans="8:38" x14ac:dyDescent="0.35">
      <c r="H79">
        <v>44</v>
      </c>
      <c r="I79" s="236">
        <f>IFERROR(AVERAGEIFS(EarningsPerDay[Gross $/Hour],EarningsPerDay[Week '#],$H79,EarningsPerDay[Year],I$35),"")</f>
        <v>20.56666666666667</v>
      </c>
      <c r="J79" s="236" t="str">
        <f>IFERROR(AVERAGEIFS(EarningsPerDay[Gross $/Hour],EarningsPerDay[Week '#],$H79,EarningsPerDay[Year],J$35),"")</f>
        <v/>
      </c>
      <c r="K79" s="232" t="str">
        <f>IFERROR((AveragesPerWeek[[#This Row],[2022]]-AveragesPerWeek[[#This Row],[2021]])/AveragesPerWeek[[#This Row],[2021]],"")</f>
        <v/>
      </c>
      <c r="L79" s="236">
        <f>IFERROR(AVERAGEIFS(EarningsPerDay[Gross $/Hour],EarningsPerDay[Week '#],$H79,EarningsPerDay[Year],L$35),"")</f>
        <v>24.561104958549357</v>
      </c>
      <c r="M79" s="232" t="str">
        <f>IFERROR((AveragesPerWeek[[#This Row],[2023]]-AveragesPerWeek[[#This Row],[2022]])/AveragesPerWeek[[#This Row],[2022]],"")</f>
        <v/>
      </c>
      <c r="P79" s="7" t="s">
        <v>325</v>
      </c>
      <c r="Q79" s="11"/>
      <c r="R79" s="11"/>
      <c r="S79" s="11"/>
      <c r="T79" s="11"/>
      <c r="U79" s="11"/>
      <c r="AL79" s="195">
        <v>37.1</v>
      </c>
    </row>
    <row r="80" spans="8:38" x14ac:dyDescent="0.35">
      <c r="H80">
        <v>45</v>
      </c>
      <c r="I80" s="236">
        <f>IFERROR(AVERAGEIFS(EarningsPerDay[Gross $/Hour],EarningsPerDay[Week '#],$H80,EarningsPerDay[Year],I$35),"")</f>
        <v>24.611223571749886</v>
      </c>
      <c r="J80" s="236">
        <f>IFERROR(AVERAGEIFS(EarningsPerDay[Gross $/Hour],EarningsPerDay[Week '#],$H80,EarningsPerDay[Year],J$35),"")</f>
        <v>17.310909090909092</v>
      </c>
      <c r="K80" s="232">
        <f>IFERROR((AveragesPerWeek[[#This Row],[2022]]-AveragesPerWeek[[#This Row],[2021]])/AveragesPerWeek[[#This Row],[2021]],"")</f>
        <v>-0.2966254180560326</v>
      </c>
      <c r="L80" s="236">
        <f>IFERROR(AVERAGEIFS(EarningsPerDay[Gross $/Hour],EarningsPerDay[Week '#],$H80,EarningsPerDay[Year],L$35),"")</f>
        <v>25.347777096818433</v>
      </c>
      <c r="M80" s="232">
        <f>IFERROR((AveragesPerWeek[[#This Row],[2023]]-AveragesPerWeek[[#This Row],[2022]])/AveragesPerWeek[[#This Row],[2022]],"")</f>
        <v>0.46426608583658618</v>
      </c>
      <c r="P80" s="7" t="s">
        <v>88</v>
      </c>
      <c r="Q80" s="11"/>
      <c r="R80" s="11"/>
      <c r="S80" s="11"/>
      <c r="T80" s="11"/>
      <c r="U80" s="11"/>
      <c r="AL80" s="195">
        <v>38.700000000000003</v>
      </c>
    </row>
    <row r="81" spans="8:38" x14ac:dyDescent="0.35">
      <c r="H81">
        <v>46</v>
      </c>
      <c r="I81" s="236">
        <f>IFERROR(AVERAGEIFS(EarningsPerDay[Gross $/Hour],EarningsPerDay[Week '#],$H81,EarningsPerDay[Year],I$35),"")</f>
        <v>27.803261385199239</v>
      </c>
      <c r="J81" s="236">
        <f>IFERROR(AVERAGEIFS(EarningsPerDay[Gross $/Hour],EarningsPerDay[Week '#],$H81,EarningsPerDay[Year],J$35),"")</f>
        <v>16.128159630215769</v>
      </c>
      <c r="K81" s="232">
        <f>IFERROR((AveragesPerWeek[[#This Row],[2022]]-AveragesPerWeek[[#This Row],[2021]])/AveragesPerWeek[[#This Row],[2021]],"")</f>
        <v>-0.41991842587210226</v>
      </c>
      <c r="L81" s="236">
        <f>IFERROR(AVERAGEIFS(EarningsPerDay[Gross $/Hour],EarningsPerDay[Week '#],$H81,EarningsPerDay[Year],L$35),"")</f>
        <v>22.770039191830648</v>
      </c>
      <c r="M81" s="232">
        <f>IFERROR((AveragesPerWeek[[#This Row],[2023]]-AveragesPerWeek[[#This Row],[2022]])/AveragesPerWeek[[#This Row],[2022]],"")</f>
        <v>0.41181881342316679</v>
      </c>
      <c r="P81" s="6" t="s">
        <v>75</v>
      </c>
      <c r="Q81" t="s">
        <v>287</v>
      </c>
      <c r="AL81" s="195">
        <v>58.6</v>
      </c>
    </row>
    <row r="82" spans="8:38" x14ac:dyDescent="0.35">
      <c r="H82">
        <v>47</v>
      </c>
      <c r="I82" s="236">
        <f>IFERROR(AVERAGEIFS(EarningsPerDay[Gross $/Hour],EarningsPerDay[Week '#],$H82,EarningsPerDay[Year],I$35),"")</f>
        <v>17.386291334598354</v>
      </c>
      <c r="J82" s="236">
        <f>IFERROR(AVERAGEIFS(EarningsPerDay[Gross $/Hour],EarningsPerDay[Week '#],$H82,EarningsPerDay[Year],J$35),"")</f>
        <v>23.691586538461536</v>
      </c>
      <c r="K82" s="232">
        <f>IFERROR((AveragesPerWeek[[#This Row],[2022]]-AveragesPerWeek[[#This Row],[2021]])/AveragesPerWeek[[#This Row],[2021]],"")</f>
        <v>0.36265901005096912</v>
      </c>
      <c r="L82" s="236">
        <f>IFERROR(AVERAGEIFS(EarningsPerDay[Gross $/Hour],EarningsPerDay[Week '#],$H82,EarningsPerDay[Year],L$35),"")</f>
        <v>20.824741695884022</v>
      </c>
      <c r="M82" s="232">
        <f>IFERROR((AveragesPerWeek[[#This Row],[2023]]-AveragesPerWeek[[#This Row],[2022]])/AveragesPerWeek[[#This Row],[2022]],"")</f>
        <v>-0.12100687465245959</v>
      </c>
      <c r="P82" s="6" t="s">
        <v>99</v>
      </c>
      <c r="Q82" t="s">
        <v>300</v>
      </c>
      <c r="AL82" s="195">
        <v>42.4</v>
      </c>
    </row>
    <row r="83" spans="8:38" x14ac:dyDescent="0.35">
      <c r="H83">
        <v>48</v>
      </c>
      <c r="I83" s="236">
        <f>IFERROR(AVERAGEIFS(EarningsPerDay[Gross $/Hour],EarningsPerDay[Week '#],$H83,EarningsPerDay[Year],I$35),"")</f>
        <v>26.47919254658385</v>
      </c>
      <c r="J83" s="236">
        <f>IFERROR(AVERAGEIFS(EarningsPerDay[Gross $/Hour],EarningsPerDay[Week '#],$H83,EarningsPerDay[Year],J$35),"")</f>
        <v>20.056242574862985</v>
      </c>
      <c r="K83" s="232">
        <f>IFERROR((AveragesPerWeek[[#This Row],[2022]]-AveragesPerWeek[[#This Row],[2021]])/AveragesPerWeek[[#This Row],[2021]],"")</f>
        <v>-0.24256593022695877</v>
      </c>
      <c r="L83" s="236">
        <f>IFERROR(AVERAGEIFS(EarningsPerDay[Gross $/Hour],EarningsPerDay[Week '#],$H83,EarningsPerDay[Year],L$35),"")</f>
        <v>21.403945905389069</v>
      </c>
      <c r="M83" s="232">
        <f>IFERROR((AveragesPerWeek[[#This Row],[2023]]-AveragesPerWeek[[#This Row],[2022]])/AveragesPerWeek[[#This Row],[2022]],"")</f>
        <v>6.719620215479423E-2</v>
      </c>
      <c r="AL83" s="195">
        <v>52</v>
      </c>
    </row>
    <row r="84" spans="8:38" x14ac:dyDescent="0.35">
      <c r="H84">
        <v>49</v>
      </c>
      <c r="I84" s="236">
        <f>IFERROR(AVERAGEIFS(EarningsPerDay[Gross $/Hour],EarningsPerDay[Week '#],$H84,EarningsPerDay[Year],I$35),"")</f>
        <v>20.666473224360832</v>
      </c>
      <c r="J84" s="236">
        <f>IFERROR(AVERAGEIFS(EarningsPerDay[Gross $/Hour],EarningsPerDay[Week '#],$H84,EarningsPerDay[Year],J$35),"")</f>
        <v>12.747675854989785</v>
      </c>
      <c r="K84" s="232">
        <f>IFERROR((AveragesPerWeek[[#This Row],[2022]]-AveragesPerWeek[[#This Row],[2021]])/AveragesPerWeek[[#This Row],[2021]],"")</f>
        <v>-0.38317120117218056</v>
      </c>
      <c r="L84" s="236">
        <f>IFERROR(AVERAGEIFS(EarningsPerDay[Gross $/Hour],EarningsPerDay[Week '#],$H84,EarningsPerDay[Year],L$35),"")</f>
        <v>24.994818646256494</v>
      </c>
      <c r="M84" s="232">
        <f>IFERROR((AveragesPerWeek[[#This Row],[2023]]-AveragesPerWeek[[#This Row],[2022]])/AveragesPerWeek[[#This Row],[2022]],"")</f>
        <v>0.96073534741415989</v>
      </c>
      <c r="P84" s="6" t="s">
        <v>279</v>
      </c>
      <c r="Q84" s="6" t="s">
        <v>77</v>
      </c>
      <c r="AL84" s="195">
        <v>30.7</v>
      </c>
    </row>
    <row r="85" spans="8:38" x14ac:dyDescent="0.35">
      <c r="H85">
        <v>50</v>
      </c>
      <c r="I85" s="236">
        <f>IFERROR(AVERAGEIFS(EarningsPerDay[Gross $/Hour],EarningsPerDay[Week '#],$H85,EarningsPerDay[Year],I$35),"")</f>
        <v>23.595296199701938</v>
      </c>
      <c r="J85" s="236">
        <f>IFERROR(AVERAGEIFS(EarningsPerDay[Gross $/Hour],EarningsPerDay[Week '#],$H85,EarningsPerDay[Year],J$35),"")</f>
        <v>21.228495391705071</v>
      </c>
      <c r="K85" s="232">
        <f>IFERROR((AveragesPerWeek[[#This Row],[2022]]-AveragesPerWeek[[#This Row],[2021]])/AveragesPerWeek[[#This Row],[2021]],"")</f>
        <v>-0.10030816260856117</v>
      </c>
      <c r="L85" s="236">
        <f>IFERROR(AVERAGEIFS(EarningsPerDay[Gross $/Hour],EarningsPerDay[Week '#],$H85,EarningsPerDay[Year],L$35),"")</f>
        <v>20.266630591630591</v>
      </c>
      <c r="M85" s="232">
        <f>IFERROR((AveragesPerWeek[[#This Row],[2023]]-AveragesPerWeek[[#This Row],[2022]])/AveragesPerWeek[[#This Row],[2022]],"")</f>
        <v>-4.5310078850445697E-2</v>
      </c>
      <c r="P85" s="6" t="s">
        <v>237</v>
      </c>
      <c r="Q85" t="s">
        <v>174</v>
      </c>
      <c r="R85" t="s">
        <v>80</v>
      </c>
      <c r="S85" t="s">
        <v>82</v>
      </c>
      <c r="T85" t="s">
        <v>85</v>
      </c>
      <c r="U85" t="s">
        <v>88</v>
      </c>
      <c r="AL85" s="195">
        <v>30.6</v>
      </c>
    </row>
    <row r="86" spans="8:38" x14ac:dyDescent="0.35">
      <c r="H86">
        <v>51</v>
      </c>
      <c r="I86" s="236">
        <f>IFERROR(AVERAGEIFS(EarningsPerDay[Gross $/Hour],EarningsPerDay[Week '#],$H86,EarningsPerDay[Year],I$35),"")</f>
        <v>22.728571428571428</v>
      </c>
      <c r="J86" s="236">
        <f>IFERROR(AVERAGEIFS(EarningsPerDay[Gross $/Hour],EarningsPerDay[Week '#],$H86,EarningsPerDay[Year],J$35),"")</f>
        <v>18.929379790107106</v>
      </c>
      <c r="K86" s="232">
        <f>IFERROR((AveragesPerWeek[[#This Row],[2022]]-AveragesPerWeek[[#This Row],[2021]])/AveragesPerWeek[[#This Row],[2021]],"")</f>
        <v>-0.16715488038497961</v>
      </c>
      <c r="L86" s="236">
        <f>IFERROR(AVERAGEIFS(EarningsPerDay[Gross $/Hour],EarningsPerDay[Week '#],$H86,EarningsPerDay[Year],L$35),"")</f>
        <v>23.671458146964856</v>
      </c>
      <c r="M86" s="232">
        <f>IFERROR((AveragesPerWeek[[#This Row],[2023]]-AveragesPerWeek[[#This Row],[2022]])/AveragesPerWeek[[#This Row],[2022]],"")</f>
        <v>0.25051419589225316</v>
      </c>
      <c r="P86" s="7" t="s">
        <v>245</v>
      </c>
      <c r="Q86" s="11"/>
      <c r="R86" s="11">
        <v>12.037892156862746</v>
      </c>
      <c r="S86" s="11"/>
      <c r="T86" s="11"/>
      <c r="U86" s="11">
        <v>12.037892156862746</v>
      </c>
      <c r="AL86" s="195">
        <v>31.7</v>
      </c>
    </row>
    <row r="87" spans="8:38" x14ac:dyDescent="0.35">
      <c r="H87">
        <v>52</v>
      </c>
      <c r="I87" s="236">
        <f>IFERROR(AVERAGEIFS(EarningsPerDay[Gross $/Hour],EarningsPerDay[Week '#],$H87,EarningsPerDay[Year],I$35),"")</f>
        <v>18.129930394431554</v>
      </c>
      <c r="J87" s="236">
        <f>IFERROR(AVERAGEIFS(EarningsPerDay[Gross $/Hour],EarningsPerDay[Week '#],$H87,EarningsPerDay[Year],J$35),"")</f>
        <v>21.319151416160931</v>
      </c>
      <c r="K87" s="232">
        <f>IFERROR((AveragesPerWeek[[#This Row],[2022]]-AveragesPerWeek[[#This Row],[2021]])/AveragesPerWeek[[#This Row],[2021]],"")</f>
        <v>0.17590917076597923</v>
      </c>
      <c r="L87" s="236" t="str">
        <f>IFERROR(AVERAGEIFS(EarningsPerDay[Gross $/Hour],EarningsPerDay[Week '#],$H87,EarningsPerDay[Year],L$35),"")</f>
        <v/>
      </c>
      <c r="M87" s="232" t="str">
        <f>IFERROR((AveragesPerWeek[[#This Row],[2023]]-AveragesPerWeek[[#This Row],[2022]])/AveragesPerWeek[[#This Row],[2022]],"")</f>
        <v/>
      </c>
      <c r="P87" s="7" t="s">
        <v>285</v>
      </c>
      <c r="Q87" s="11">
        <v>7.3242857142857138</v>
      </c>
      <c r="R87" s="11">
        <v>12.333682946682947</v>
      </c>
      <c r="S87" s="11"/>
      <c r="T87" s="11"/>
      <c r="U87" s="11">
        <v>11.618054770626198</v>
      </c>
      <c r="AL87" s="195">
        <v>31.5</v>
      </c>
    </row>
    <row r="88" spans="8:38" x14ac:dyDescent="0.35">
      <c r="P88" s="7" t="s">
        <v>276</v>
      </c>
      <c r="Q88" s="11"/>
      <c r="R88" s="11">
        <v>10.47184523809524</v>
      </c>
      <c r="S88" s="11"/>
      <c r="T88" s="11">
        <v>12.272611111111111</v>
      </c>
      <c r="U88" s="11">
        <v>11.372228174603174</v>
      </c>
      <c r="AL88" s="195">
        <v>23</v>
      </c>
    </row>
    <row r="89" spans="8:38" x14ac:dyDescent="0.35">
      <c r="P89" s="7" t="s">
        <v>231</v>
      </c>
      <c r="Q89" s="11">
        <v>8.5741826923076907</v>
      </c>
      <c r="R89" s="11">
        <v>11.635622680890538</v>
      </c>
      <c r="S89" s="11">
        <v>13.245284126984126</v>
      </c>
      <c r="T89" s="11">
        <v>8.74</v>
      </c>
      <c r="U89" s="11">
        <v>11.340077872359124</v>
      </c>
      <c r="AL89" s="195">
        <v>44.2</v>
      </c>
    </row>
    <row r="90" spans="8:38" x14ac:dyDescent="0.35">
      <c r="P90" s="7" t="s">
        <v>249</v>
      </c>
      <c r="Q90" s="11">
        <v>10.063666666666666</v>
      </c>
      <c r="R90" s="11">
        <v>10.859131623931626</v>
      </c>
      <c r="S90" s="11">
        <v>9.8835119047619031</v>
      </c>
      <c r="T90" s="11">
        <v>12.152141397441172</v>
      </c>
      <c r="U90" s="11">
        <v>11.187328801444513</v>
      </c>
      <c r="AL90" s="195">
        <v>41.1</v>
      </c>
    </row>
    <row r="91" spans="8:38" x14ac:dyDescent="0.35">
      <c r="P91" s="7" t="s">
        <v>281</v>
      </c>
      <c r="Q91" s="11">
        <v>8.468</v>
      </c>
      <c r="R91" s="11">
        <v>12.292236652236653</v>
      </c>
      <c r="S91" s="11">
        <v>9.1325000000000003</v>
      </c>
      <c r="T91" s="11"/>
      <c r="U91" s="11">
        <v>11.128241101491101</v>
      </c>
      <c r="AL91" s="195">
        <v>32.799999999999997</v>
      </c>
    </row>
    <row r="92" spans="8:38" x14ac:dyDescent="0.35">
      <c r="P92" s="7" t="s">
        <v>230</v>
      </c>
      <c r="Q92" s="11">
        <v>11.505833333333333</v>
      </c>
      <c r="R92" s="11">
        <v>10.721089001174478</v>
      </c>
      <c r="S92" s="11">
        <v>10.019315268065268</v>
      </c>
      <c r="T92" s="11">
        <v>11.083555816732284</v>
      </c>
      <c r="U92" s="11">
        <v>10.713596536119413</v>
      </c>
      <c r="AL92" s="195">
        <v>37.799999999999997</v>
      </c>
    </row>
    <row r="93" spans="8:38" x14ac:dyDescent="0.35">
      <c r="P93" s="7" t="s">
        <v>234</v>
      </c>
      <c r="Q93" s="11"/>
      <c r="R93" s="11">
        <v>10.724285714285713</v>
      </c>
      <c r="S93" s="11">
        <v>9.3990909090909085</v>
      </c>
      <c r="T93" s="11"/>
      <c r="U93" s="11">
        <v>10.061688311688311</v>
      </c>
      <c r="AL93" s="195">
        <v>24.1</v>
      </c>
    </row>
    <row r="94" spans="8:38" x14ac:dyDescent="0.35">
      <c r="P94" s="7" t="s">
        <v>236</v>
      </c>
      <c r="Q94" s="11">
        <v>10.535972222222222</v>
      </c>
      <c r="R94" s="11">
        <v>10.540671601126148</v>
      </c>
      <c r="S94" s="11">
        <v>7.103072472258134</v>
      </c>
      <c r="T94" s="11">
        <v>10.870758818958818</v>
      </c>
      <c r="U94" s="11">
        <v>9.9902461836663026</v>
      </c>
      <c r="AL94" s="195">
        <v>19.7</v>
      </c>
    </row>
    <row r="95" spans="8:38" x14ac:dyDescent="0.35">
      <c r="P95" s="7" t="s">
        <v>235</v>
      </c>
      <c r="Q95" s="11"/>
      <c r="R95" s="11"/>
      <c r="S95" s="11"/>
      <c r="T95" s="11">
        <v>9.9343333333333348</v>
      </c>
      <c r="U95" s="11">
        <v>9.9343333333333348</v>
      </c>
      <c r="AL95" s="195">
        <v>29.7</v>
      </c>
    </row>
    <row r="96" spans="8:38" x14ac:dyDescent="0.35">
      <c r="P96" s="7" t="s">
        <v>232</v>
      </c>
      <c r="Q96" s="11">
        <v>11.858181818181817</v>
      </c>
      <c r="R96" s="11"/>
      <c r="S96" s="11">
        <v>7.65</v>
      </c>
      <c r="T96" s="11"/>
      <c r="U96" s="11">
        <v>9.7540909090909089</v>
      </c>
      <c r="AL96" s="195">
        <v>24.4</v>
      </c>
    </row>
    <row r="97" spans="16:38" x14ac:dyDescent="0.35">
      <c r="P97" s="7" t="s">
        <v>325</v>
      </c>
      <c r="Q97" s="11">
        <v>11.003492063492063</v>
      </c>
      <c r="R97" s="11">
        <v>9.6304040404040396</v>
      </c>
      <c r="S97" s="11">
        <v>8.1708229548229543</v>
      </c>
      <c r="T97" s="11"/>
      <c r="U97" s="11">
        <v>9.2868320074986741</v>
      </c>
      <c r="AL97" s="195">
        <v>23.6</v>
      </c>
    </row>
    <row r="98" spans="16:38" x14ac:dyDescent="0.35">
      <c r="P98" s="7" t="s">
        <v>233</v>
      </c>
      <c r="Q98" s="11"/>
      <c r="R98" s="11">
        <v>8.5</v>
      </c>
      <c r="S98" s="11"/>
      <c r="T98" s="11"/>
      <c r="U98" s="11">
        <v>8.5</v>
      </c>
      <c r="AL98" s="195">
        <v>16.7</v>
      </c>
    </row>
    <row r="99" spans="16:38" x14ac:dyDescent="0.35">
      <c r="P99" s="7" t="s">
        <v>88</v>
      </c>
      <c r="Q99" s="11">
        <v>10.042451121977438</v>
      </c>
      <c r="R99" s="11">
        <v>10.914244027780676</v>
      </c>
      <c r="S99" s="11">
        <v>9.483828726735446</v>
      </c>
      <c r="T99" s="11">
        <v>11.286525714342673</v>
      </c>
      <c r="U99" s="11">
        <v>10.69588242120987</v>
      </c>
      <c r="AL99" s="195">
        <v>17.3</v>
      </c>
    </row>
    <row r="100" spans="16:38" x14ac:dyDescent="0.35">
      <c r="AL100" s="195">
        <v>11</v>
      </c>
    </row>
    <row r="101" spans="16:38" x14ac:dyDescent="0.35">
      <c r="AL101" s="195">
        <v>27.8</v>
      </c>
    </row>
    <row r="102" spans="16:38" x14ac:dyDescent="0.35">
      <c r="AL102" s="195">
        <v>36.5</v>
      </c>
    </row>
    <row r="103" spans="16:38" x14ac:dyDescent="0.35">
      <c r="AL103" s="195">
        <v>22.8</v>
      </c>
    </row>
    <row r="104" spans="16:38" x14ac:dyDescent="0.35">
      <c r="AL104" s="195">
        <v>49</v>
      </c>
    </row>
    <row r="105" spans="16:38" x14ac:dyDescent="0.35">
      <c r="AL105" s="195">
        <v>49.1</v>
      </c>
    </row>
    <row r="106" spans="16:38" x14ac:dyDescent="0.35">
      <c r="AL106" s="195">
        <v>43.1</v>
      </c>
    </row>
    <row r="107" spans="16:38" x14ac:dyDescent="0.35">
      <c r="AL107" s="195">
        <v>53</v>
      </c>
    </row>
    <row r="108" spans="16:38" x14ac:dyDescent="0.35">
      <c r="AL108" s="195">
        <v>48.4</v>
      </c>
    </row>
    <row r="109" spans="16:38" x14ac:dyDescent="0.35">
      <c r="AL109" s="195">
        <v>46.8</v>
      </c>
    </row>
    <row r="110" spans="16:38" x14ac:dyDescent="0.35">
      <c r="AL110" s="195">
        <v>44.5</v>
      </c>
    </row>
    <row r="111" spans="16:38" x14ac:dyDescent="0.35">
      <c r="AL111" s="195">
        <v>50.8</v>
      </c>
    </row>
    <row r="112" spans="16:38" x14ac:dyDescent="0.35">
      <c r="AL112" s="195">
        <v>45.2</v>
      </c>
    </row>
    <row r="113" spans="38:38" x14ac:dyDescent="0.35">
      <c r="AL113" s="195">
        <v>54.5</v>
      </c>
    </row>
    <row r="114" spans="38:38" x14ac:dyDescent="0.35">
      <c r="AL114" s="195">
        <v>58.3</v>
      </c>
    </row>
    <row r="115" spans="38:38" x14ac:dyDescent="0.35">
      <c r="AL115" s="195">
        <v>48.9</v>
      </c>
    </row>
    <row r="116" spans="38:38" x14ac:dyDescent="0.35">
      <c r="AL116" s="195">
        <v>65.5</v>
      </c>
    </row>
    <row r="117" spans="38:38" x14ac:dyDescent="0.35">
      <c r="AL117" s="195">
        <v>57.8</v>
      </c>
    </row>
    <row r="118" spans="38:38" x14ac:dyDescent="0.35">
      <c r="AL118" s="195">
        <v>78.599999999999994</v>
      </c>
    </row>
    <row r="119" spans="38:38" x14ac:dyDescent="0.35">
      <c r="AL119" s="195">
        <v>77.5</v>
      </c>
    </row>
    <row r="120" spans="38:38" x14ac:dyDescent="0.35">
      <c r="AL120" s="195">
        <v>86.8</v>
      </c>
    </row>
    <row r="121" spans="38:38" x14ac:dyDescent="0.35">
      <c r="AL121" s="195">
        <v>69.900000000000006</v>
      </c>
    </row>
    <row r="122" spans="38:38" x14ac:dyDescent="0.35">
      <c r="AL122" s="195">
        <v>62.6</v>
      </c>
    </row>
    <row r="123" spans="38:38" x14ac:dyDescent="0.35">
      <c r="AL123" s="195">
        <v>55.3</v>
      </c>
    </row>
    <row r="124" spans="38:38" x14ac:dyDescent="0.35">
      <c r="AL124" s="195">
        <v>62.7</v>
      </c>
    </row>
    <row r="125" spans="38:38" x14ac:dyDescent="0.35">
      <c r="AL125" s="195">
        <v>73.5</v>
      </c>
    </row>
    <row r="126" spans="38:38" x14ac:dyDescent="0.35">
      <c r="AL126" s="195">
        <v>74</v>
      </c>
    </row>
    <row r="127" spans="38:38" x14ac:dyDescent="0.35">
      <c r="AL127" s="195">
        <v>76.3</v>
      </c>
    </row>
    <row r="128" spans="38:38" x14ac:dyDescent="0.35">
      <c r="AL128" s="195">
        <v>78.2</v>
      </c>
    </row>
    <row r="129" spans="38:38" x14ac:dyDescent="0.35">
      <c r="AL129" s="195">
        <v>71.2</v>
      </c>
    </row>
    <row r="130" spans="38:38" x14ac:dyDescent="0.35">
      <c r="AL130" s="195">
        <v>87.6</v>
      </c>
    </row>
    <row r="131" spans="38:38" x14ac:dyDescent="0.35">
      <c r="AL131" s="195">
        <v>88.2</v>
      </c>
    </row>
    <row r="132" spans="38:38" x14ac:dyDescent="0.35">
      <c r="AL132" s="195">
        <v>76.5</v>
      </c>
    </row>
    <row r="133" spans="38:38" x14ac:dyDescent="0.35">
      <c r="AL133" s="195">
        <v>78.3</v>
      </c>
    </row>
    <row r="134" spans="38:38" x14ac:dyDescent="0.35">
      <c r="AL134" s="195">
        <v>83.9</v>
      </c>
    </row>
    <row r="135" spans="38:38" x14ac:dyDescent="0.35">
      <c r="AL135" s="195">
        <v>80.3</v>
      </c>
    </row>
    <row r="136" spans="38:38" x14ac:dyDescent="0.35">
      <c r="AL136" s="195">
        <v>76</v>
      </c>
    </row>
    <row r="137" spans="38:38" x14ac:dyDescent="0.35">
      <c r="AL137" s="195">
        <v>76.7</v>
      </c>
    </row>
    <row r="138" spans="38:38" x14ac:dyDescent="0.35">
      <c r="AL138" s="195">
        <v>81.599999999999994</v>
      </c>
    </row>
    <row r="139" spans="38:38" x14ac:dyDescent="0.35">
      <c r="AL139" s="195">
        <v>84</v>
      </c>
    </row>
    <row r="140" spans="38:38" x14ac:dyDescent="0.35">
      <c r="AL140" s="195">
        <v>81.7</v>
      </c>
    </row>
    <row r="141" spans="38:38" x14ac:dyDescent="0.35">
      <c r="AL141" s="195">
        <v>81.8</v>
      </c>
    </row>
    <row r="142" spans="38:38" x14ac:dyDescent="0.35">
      <c r="AL142" s="195">
        <v>85.2</v>
      </c>
    </row>
    <row r="143" spans="38:38" x14ac:dyDescent="0.35">
      <c r="AL143" s="195">
        <v>90.7</v>
      </c>
    </row>
    <row r="144" spans="38:38" x14ac:dyDescent="0.35">
      <c r="AL144" s="195">
        <v>89.9</v>
      </c>
    </row>
    <row r="145" spans="38:38" x14ac:dyDescent="0.35">
      <c r="AL145" s="195">
        <v>73.2</v>
      </c>
    </row>
    <row r="146" spans="38:38" x14ac:dyDescent="0.35">
      <c r="AL146" s="195">
        <v>70.7</v>
      </c>
    </row>
    <row r="147" spans="38:38" x14ac:dyDescent="0.35">
      <c r="AL147" s="195">
        <v>74.400000000000006</v>
      </c>
    </row>
    <row r="148" spans="38:38" x14ac:dyDescent="0.35">
      <c r="AL148" s="195">
        <v>68</v>
      </c>
    </row>
    <row r="149" spans="38:38" x14ac:dyDescent="0.35">
      <c r="AL149" s="195">
        <v>69</v>
      </c>
    </row>
    <row r="150" spans="38:38" x14ac:dyDescent="0.35">
      <c r="AL150" s="195">
        <v>83.3</v>
      </c>
    </row>
    <row r="151" spans="38:38" x14ac:dyDescent="0.35">
      <c r="AL151" s="195">
        <v>85.9</v>
      </c>
    </row>
    <row r="152" spans="38:38" x14ac:dyDescent="0.35">
      <c r="AL152" s="195">
        <v>76.900000000000006</v>
      </c>
    </row>
    <row r="153" spans="38:38" x14ac:dyDescent="0.35">
      <c r="AL153" s="195">
        <v>91.7</v>
      </c>
    </row>
    <row r="154" spans="38:38" x14ac:dyDescent="0.35">
      <c r="AL154" s="195">
        <v>79.8</v>
      </c>
    </row>
    <row r="155" spans="38:38" x14ac:dyDescent="0.35">
      <c r="AL155" s="195">
        <v>71</v>
      </c>
    </row>
    <row r="156" spans="38:38" x14ac:dyDescent="0.35">
      <c r="AL156" s="195">
        <v>62.3</v>
      </c>
    </row>
    <row r="157" spans="38:38" x14ac:dyDescent="0.35">
      <c r="AL157" s="195">
        <v>73.7</v>
      </c>
    </row>
    <row r="158" spans="38:38" x14ac:dyDescent="0.35">
      <c r="AL158" s="195">
        <v>79.3</v>
      </c>
    </row>
    <row r="159" spans="38:38" x14ac:dyDescent="0.35">
      <c r="AL159" s="195">
        <v>82.5</v>
      </c>
    </row>
    <row r="160" spans="38:38" x14ac:dyDescent="0.35">
      <c r="AL160" s="195">
        <v>79.5</v>
      </c>
    </row>
    <row r="161" spans="38:38" x14ac:dyDescent="0.35">
      <c r="AL161" s="195">
        <v>72.7</v>
      </c>
    </row>
    <row r="162" spans="38:38" x14ac:dyDescent="0.35">
      <c r="AL162" s="195">
        <v>65.900000000000006</v>
      </c>
    </row>
    <row r="163" spans="38:38" x14ac:dyDescent="0.35">
      <c r="AL163" s="195">
        <v>66.900000000000006</v>
      </c>
    </row>
    <row r="164" spans="38:38" x14ac:dyDescent="0.35">
      <c r="AL164" s="195">
        <v>66.8</v>
      </c>
    </row>
    <row r="165" spans="38:38" x14ac:dyDescent="0.35">
      <c r="AL165" s="195">
        <v>63.5</v>
      </c>
    </row>
    <row r="166" spans="38:38" x14ac:dyDescent="0.35">
      <c r="AL166" s="195">
        <v>64.599999999999994</v>
      </c>
    </row>
    <row r="167" spans="38:38" x14ac:dyDescent="0.35">
      <c r="AL167" s="195">
        <v>71.099999999999994</v>
      </c>
    </row>
    <row r="168" spans="38:38" x14ac:dyDescent="0.35">
      <c r="AL168" s="195">
        <v>70.5</v>
      </c>
    </row>
    <row r="169" spans="38:38" x14ac:dyDescent="0.35">
      <c r="AL169" s="195">
        <v>67.7</v>
      </c>
    </row>
    <row r="170" spans="38:38" x14ac:dyDescent="0.35">
      <c r="AL170" s="195">
        <v>63.1</v>
      </c>
    </row>
    <row r="171" spans="38:38" x14ac:dyDescent="0.35">
      <c r="AL171" s="195">
        <v>57.3</v>
      </c>
    </row>
    <row r="172" spans="38:38" x14ac:dyDescent="0.35">
      <c r="AL172" s="195">
        <v>69.5</v>
      </c>
    </row>
    <row r="173" spans="38:38" x14ac:dyDescent="0.35">
      <c r="AL173" s="195">
        <v>57.2</v>
      </c>
    </row>
    <row r="174" spans="38:38" x14ac:dyDescent="0.35">
      <c r="AL174" s="195">
        <v>65.7</v>
      </c>
    </row>
    <row r="175" spans="38:38" x14ac:dyDescent="0.35">
      <c r="AL175" s="195">
        <v>44.9</v>
      </c>
    </row>
    <row r="176" spans="38:38" x14ac:dyDescent="0.35">
      <c r="AL176" s="195">
        <v>65.099999999999994</v>
      </c>
    </row>
    <row r="177" spans="38:38" x14ac:dyDescent="0.35">
      <c r="AL177" s="195">
        <v>68.3</v>
      </c>
    </row>
    <row r="178" spans="38:38" x14ac:dyDescent="0.35">
      <c r="AL178" s="195">
        <v>70</v>
      </c>
    </row>
    <row r="179" spans="38:38" x14ac:dyDescent="0.35">
      <c r="AL179" s="195">
        <v>33.6</v>
      </c>
    </row>
    <row r="180" spans="38:38" x14ac:dyDescent="0.35">
      <c r="AL180" s="195">
        <v>37.6</v>
      </c>
    </row>
    <row r="181" spans="38:38" x14ac:dyDescent="0.35">
      <c r="AL181" s="195">
        <v>42.5</v>
      </c>
    </row>
    <row r="182" spans="38:38" x14ac:dyDescent="0.35">
      <c r="AL182" s="195">
        <v>34.799999999999997</v>
      </c>
    </row>
    <row r="183" spans="38:38" x14ac:dyDescent="0.35">
      <c r="AL183" s="195">
        <v>53.7</v>
      </c>
    </row>
    <row r="184" spans="38:38" x14ac:dyDescent="0.35">
      <c r="AL184" s="195">
        <v>40.9</v>
      </c>
    </row>
    <row r="185" spans="38:38" x14ac:dyDescent="0.35">
      <c r="AL185" s="195">
        <v>36.4</v>
      </c>
    </row>
    <row r="186" spans="38:38" x14ac:dyDescent="0.35">
      <c r="AL186" s="195">
        <v>35.4</v>
      </c>
    </row>
    <row r="187" spans="38:38" x14ac:dyDescent="0.35">
      <c r="AL187" s="195">
        <v>38.1</v>
      </c>
    </row>
    <row r="188" spans="38:38" x14ac:dyDescent="0.35">
      <c r="AL188" s="195">
        <v>51.3</v>
      </c>
    </row>
    <row r="189" spans="38:38" x14ac:dyDescent="0.35">
      <c r="AL189" s="195">
        <v>46.1</v>
      </c>
    </row>
    <row r="190" spans="38:38" x14ac:dyDescent="0.35">
      <c r="AL190" s="195">
        <v>34.9</v>
      </c>
    </row>
    <row r="191" spans="38:38" x14ac:dyDescent="0.35">
      <c r="AL191" s="195">
        <v>26.7</v>
      </c>
    </row>
    <row r="192" spans="38:38" x14ac:dyDescent="0.35">
      <c r="AL192" s="195">
        <v>27.3</v>
      </c>
    </row>
    <row r="193" spans="38:38" x14ac:dyDescent="0.35">
      <c r="AL193" s="195">
        <v>34.6</v>
      </c>
    </row>
    <row r="194" spans="38:38" x14ac:dyDescent="0.35">
      <c r="AL194" s="195">
        <v>29.9</v>
      </c>
    </row>
    <row r="195" spans="38:38" x14ac:dyDescent="0.35">
      <c r="AL195" s="195">
        <v>27.7</v>
      </c>
    </row>
    <row r="196" spans="38:38" x14ac:dyDescent="0.35">
      <c r="AL196" s="195">
        <v>27.5</v>
      </c>
    </row>
    <row r="197" spans="38:38" x14ac:dyDescent="0.35">
      <c r="AL197" s="195">
        <v>31</v>
      </c>
    </row>
    <row r="198" spans="38:38" x14ac:dyDescent="0.35">
      <c r="AL198" s="195">
        <v>50.7</v>
      </c>
    </row>
    <row r="199" spans="38:38" x14ac:dyDescent="0.35">
      <c r="AL199" s="195">
        <v>44.1</v>
      </c>
    </row>
    <row r="200" spans="38:38" x14ac:dyDescent="0.35">
      <c r="AL200" s="195">
        <v>32.200000000000003</v>
      </c>
    </row>
    <row r="201" spans="38:38" x14ac:dyDescent="0.35">
      <c r="AL201" s="195">
        <v>30.5</v>
      </c>
    </row>
    <row r="202" spans="38:38" x14ac:dyDescent="0.35">
      <c r="AL202" s="195">
        <v>34.1</v>
      </c>
    </row>
    <row r="203" spans="38:38" x14ac:dyDescent="0.35">
      <c r="AL203" s="195">
        <v>27</v>
      </c>
    </row>
    <row r="204" spans="38:38" x14ac:dyDescent="0.35">
      <c r="AL204" s="195">
        <v>27.1</v>
      </c>
    </row>
    <row r="205" spans="38:38" x14ac:dyDescent="0.35">
      <c r="AL205" s="195">
        <v>32.1</v>
      </c>
    </row>
    <row r="206" spans="38:38" x14ac:dyDescent="0.35">
      <c r="AL206" s="195">
        <v>51.9</v>
      </c>
    </row>
    <row r="207" spans="38:38" x14ac:dyDescent="0.35">
      <c r="AL207" s="195">
        <v>27.9</v>
      </c>
    </row>
    <row r="208" spans="38:38" x14ac:dyDescent="0.35">
      <c r="AL208" s="195">
        <v>42</v>
      </c>
    </row>
    <row r="209" spans="38:38" x14ac:dyDescent="0.35">
      <c r="AL209" s="195">
        <v>26.1</v>
      </c>
    </row>
    <row r="210" spans="38:38" x14ac:dyDescent="0.35">
      <c r="AL210" s="195">
        <v>39.5</v>
      </c>
    </row>
    <row r="211" spans="38:38" x14ac:dyDescent="0.35">
      <c r="AL211" s="195">
        <v>51.4</v>
      </c>
    </row>
    <row r="212" spans="38:38" x14ac:dyDescent="0.35">
      <c r="AL212" s="195">
        <v>37.200000000000003</v>
      </c>
    </row>
    <row r="213" spans="38:38" x14ac:dyDescent="0.35">
      <c r="AL213" s="195">
        <v>42.1</v>
      </c>
    </row>
    <row r="214" spans="38:38" x14ac:dyDescent="0.35">
      <c r="AL214" s="195">
        <v>14.3</v>
      </c>
    </row>
    <row r="215" spans="38:38" x14ac:dyDescent="0.35">
      <c r="AL215" s="195">
        <v>18.399999999999999</v>
      </c>
    </row>
    <row r="216" spans="38:38" x14ac:dyDescent="0.35">
      <c r="AL216" s="195">
        <v>26.8</v>
      </c>
    </row>
    <row r="217" spans="38:38" x14ac:dyDescent="0.35">
      <c r="AL217" s="195">
        <v>34.4</v>
      </c>
    </row>
    <row r="218" spans="38:38" x14ac:dyDescent="0.35">
      <c r="AL218" s="195">
        <v>35.9</v>
      </c>
    </row>
    <row r="219" spans="38:38" x14ac:dyDescent="0.35">
      <c r="AL219" s="195">
        <v>39.9</v>
      </c>
    </row>
    <row r="220" spans="38:38" x14ac:dyDescent="0.35">
      <c r="AL220" s="195">
        <v>44.3</v>
      </c>
    </row>
    <row r="221" spans="38:38" x14ac:dyDescent="0.35">
      <c r="AL221" s="195">
        <v>38.299999999999997</v>
      </c>
    </row>
    <row r="222" spans="38:38" x14ac:dyDescent="0.35">
      <c r="AL222" s="195">
        <v>45</v>
      </c>
    </row>
    <row r="223" spans="38:38" x14ac:dyDescent="0.35">
      <c r="AL223" s="195">
        <v>28.4</v>
      </c>
    </row>
    <row r="224" spans="38:38" x14ac:dyDescent="0.35">
      <c r="AL224" s="195">
        <v>31.3</v>
      </c>
    </row>
    <row r="225" spans="38:38" x14ac:dyDescent="0.35">
      <c r="AL225" s="195">
        <v>33.5</v>
      </c>
    </row>
    <row r="226" spans="38:38" x14ac:dyDescent="0.35">
      <c r="AL226" s="195">
        <v>41.9</v>
      </c>
    </row>
    <row r="227" spans="38:38" x14ac:dyDescent="0.35">
      <c r="AL227" s="195">
        <v>52.3</v>
      </c>
    </row>
    <row r="228" spans="38:38" x14ac:dyDescent="0.35">
      <c r="AL228" s="195">
        <v>33</v>
      </c>
    </row>
    <row r="229" spans="38:38" x14ac:dyDescent="0.35">
      <c r="AL229" s="195">
        <v>38.6</v>
      </c>
    </row>
    <row r="230" spans="38:38" x14ac:dyDescent="0.35">
      <c r="AL230" s="195">
        <v>43.8</v>
      </c>
    </row>
    <row r="231" spans="38:38" x14ac:dyDescent="0.35">
      <c r="AL231" s="195">
        <v>78.400000000000006</v>
      </c>
    </row>
    <row r="232" spans="38:38" x14ac:dyDescent="0.35">
      <c r="AL232" s="195">
        <v>66</v>
      </c>
    </row>
    <row r="233" spans="38:38" x14ac:dyDescent="0.35">
      <c r="AL233" s="195">
        <v>54.3</v>
      </c>
    </row>
    <row r="234" spans="38:38" x14ac:dyDescent="0.35">
      <c r="AL234" s="195">
        <v>53.2</v>
      </c>
    </row>
    <row r="235" spans="38:38" x14ac:dyDescent="0.35">
      <c r="AL235" s="195">
        <v>55.1</v>
      </c>
    </row>
    <row r="236" spans="38:38" x14ac:dyDescent="0.35">
      <c r="AL236" s="195">
        <v>45.5</v>
      </c>
    </row>
    <row r="237" spans="38:38" x14ac:dyDescent="0.35">
      <c r="AL237" s="195">
        <v>50.6</v>
      </c>
    </row>
    <row r="238" spans="38:38" x14ac:dyDescent="0.35">
      <c r="AL238" s="195">
        <v>63.4</v>
      </c>
    </row>
    <row r="239" spans="38:38" x14ac:dyDescent="0.35">
      <c r="AL239" s="195">
        <v>74.7</v>
      </c>
    </row>
    <row r="240" spans="38:38" x14ac:dyDescent="0.35">
      <c r="AL240" s="195">
        <v>78.7</v>
      </c>
    </row>
    <row r="241" spans="38:38" x14ac:dyDescent="0.35">
      <c r="AL241" s="195">
        <v>70.099999999999994</v>
      </c>
    </row>
    <row r="242" spans="38:38" x14ac:dyDescent="0.35">
      <c r="AL242" s="195">
        <v>62.4</v>
      </c>
    </row>
    <row r="243" spans="38:38" x14ac:dyDescent="0.35">
      <c r="AL243" s="195">
        <v>64.5</v>
      </c>
    </row>
    <row r="244" spans="38:38" x14ac:dyDescent="0.35">
      <c r="AL244" s="195">
        <v>62.1</v>
      </c>
    </row>
    <row r="245" spans="38:38" x14ac:dyDescent="0.35">
      <c r="AL245" s="195">
        <v>79.900000000000006</v>
      </c>
    </row>
    <row r="246" spans="38:38" x14ac:dyDescent="0.35">
      <c r="AL246" s="195">
        <v>87.4</v>
      </c>
    </row>
    <row r="247" spans="38:38" x14ac:dyDescent="0.35">
      <c r="AL247" s="195">
        <v>46</v>
      </c>
    </row>
    <row r="248" spans="38:38" x14ac:dyDescent="0.35">
      <c r="AL248" s="195">
        <v>62</v>
      </c>
    </row>
    <row r="249" spans="38:38" x14ac:dyDescent="0.35">
      <c r="AL249" s="195">
        <v>64</v>
      </c>
    </row>
    <row r="250" spans="38:38" x14ac:dyDescent="0.35">
      <c r="AL250" s="195">
        <v>78</v>
      </c>
    </row>
    <row r="251" spans="38:38" x14ac:dyDescent="0.35">
      <c r="AL251" s="195">
        <v>82</v>
      </c>
    </row>
    <row r="252" spans="38:38" x14ac:dyDescent="0.35">
      <c r="AL252" s="195">
        <v>75</v>
      </c>
    </row>
    <row r="253" spans="38:38" x14ac:dyDescent="0.35">
      <c r="AL253" s="195">
        <v>79</v>
      </c>
    </row>
    <row r="254" spans="38:38" x14ac:dyDescent="0.35">
      <c r="AL254" s="195">
        <v>73</v>
      </c>
    </row>
    <row r="255" spans="38:38" x14ac:dyDescent="0.35">
      <c r="AL255" s="195">
        <v>81</v>
      </c>
    </row>
    <row r="256" spans="38:38" x14ac:dyDescent="0.35">
      <c r="AL256" s="195">
        <v>63</v>
      </c>
    </row>
    <row r="257" spans="38:38" x14ac:dyDescent="0.35">
      <c r="AL257" s="195">
        <v>59</v>
      </c>
    </row>
    <row r="258" spans="38:38" x14ac:dyDescent="0.35">
      <c r="AL258" s="195">
        <v>57</v>
      </c>
    </row>
    <row r="259" spans="38:38" x14ac:dyDescent="0.35">
      <c r="AL259" s="195">
        <v>61</v>
      </c>
    </row>
    <row r="260" spans="38:38" x14ac:dyDescent="0.35">
      <c r="AL260" s="195">
        <v>55</v>
      </c>
    </row>
    <row r="261" spans="38:38" x14ac:dyDescent="0.35">
      <c r="AL261" s="195">
        <v>54</v>
      </c>
    </row>
    <row r="262" spans="38:38" x14ac:dyDescent="0.35">
      <c r="AL262" s="195">
        <v>48</v>
      </c>
    </row>
    <row r="263" spans="38:38" x14ac:dyDescent="0.35">
      <c r="AL263" s="195">
        <v>36</v>
      </c>
    </row>
    <row r="264" spans="38:38" x14ac:dyDescent="0.35">
      <c r="AL264" s="195">
        <v>39</v>
      </c>
    </row>
    <row r="265" spans="38:38" x14ac:dyDescent="0.35">
      <c r="AL265" s="195">
        <v>34</v>
      </c>
    </row>
    <row r="266" spans="38:38" x14ac:dyDescent="0.35">
      <c r="AL266" s="195">
        <v>43</v>
      </c>
    </row>
    <row r="267" spans="38:38" x14ac:dyDescent="0.35">
      <c r="AL267" s="195">
        <v>28</v>
      </c>
    </row>
    <row r="268" spans="38:38" x14ac:dyDescent="0.35">
      <c r="AL268" s="195">
        <v>30</v>
      </c>
    </row>
    <row r="269" spans="38:38" x14ac:dyDescent="0.35">
      <c r="AL269" s="195">
        <v>37</v>
      </c>
    </row>
    <row r="270" spans="38:38" x14ac:dyDescent="0.35">
      <c r="AL270" s="195">
        <v>25</v>
      </c>
    </row>
    <row r="271" spans="38:38" x14ac:dyDescent="0.35">
      <c r="AL271" s="195">
        <v>21</v>
      </c>
    </row>
    <row r="272" spans="38:38" x14ac:dyDescent="0.35">
      <c r="AL272" s="195">
        <v>16</v>
      </c>
    </row>
    <row r="273" spans="38:38" x14ac:dyDescent="0.35">
      <c r="AL273" s="195">
        <v>19</v>
      </c>
    </row>
    <row r="274" spans="38:38" x14ac:dyDescent="0.35">
      <c r="AL274" s="195">
        <v>13</v>
      </c>
    </row>
    <row r="275" spans="38:38" x14ac:dyDescent="0.35">
      <c r="AL275" s="195">
        <v>18</v>
      </c>
    </row>
    <row r="276" spans="38:38" x14ac:dyDescent="0.35">
      <c r="AL276" s="195">
        <v>41</v>
      </c>
    </row>
    <row r="277" spans="38:38" x14ac:dyDescent="0.35">
      <c r="AL277" s="195">
        <v>88</v>
      </c>
    </row>
    <row r="278" spans="38:38" x14ac:dyDescent="0.35">
      <c r="AL278" s="195">
        <v>9</v>
      </c>
    </row>
    <row r="279" spans="38:38" x14ac:dyDescent="0.35">
      <c r="AL279" s="195">
        <v>12</v>
      </c>
    </row>
    <row r="280" spans="38:38" x14ac:dyDescent="0.35">
      <c r="AL280" s="195">
        <v>10</v>
      </c>
    </row>
    <row r="281" spans="38:38" x14ac:dyDescent="0.35">
      <c r="AL281" s="195">
        <v>86</v>
      </c>
    </row>
    <row r="282" spans="38:38" x14ac:dyDescent="0.35">
      <c r="AL282" s="195">
        <v>90</v>
      </c>
    </row>
    <row r="283" spans="38:38" x14ac:dyDescent="0.35">
      <c r="AL283" s="195">
        <v>14</v>
      </c>
    </row>
    <row r="284" spans="38:38" x14ac:dyDescent="0.35">
      <c r="AL284" s="195" t="s">
        <v>88</v>
      </c>
    </row>
  </sheetData>
  <mergeCells count="1">
    <mergeCell ref="Z1:AD1"/>
  </mergeCells>
  <phoneticPr fontId="3" type="noConversion"/>
  <conditionalFormatting pivot="1" sqref="AA15:AG18">
    <cfRule type="colorScale" priority="23">
      <colorScale>
        <cfvo type="min"/>
        <cfvo type="max"/>
        <color rgb="FFFCFCFF"/>
        <color rgb="FF63BE7B"/>
      </colorScale>
    </cfRule>
  </conditionalFormatting>
  <conditionalFormatting pivot="1" sqref="Q90:T90 Q92:T9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U92:U96 U90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A30:AG33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8"/>
  <drawing r:id="rId9"/>
  <tableParts count="1"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9C430-0028-47F0-82DD-A33C5DAEAEFE}">
  <sheetPr codeName="Sheet19">
    <tabColor rgb="FFFFFF00"/>
  </sheetPr>
  <dimension ref="B1:T35"/>
  <sheetViews>
    <sheetView workbookViewId="0"/>
  </sheetViews>
  <sheetFormatPr defaultRowHeight="14.5" x14ac:dyDescent="0.35"/>
  <cols>
    <col min="3" max="3" width="25.08984375" bestFit="1" customWidth="1"/>
    <col min="5" max="5" width="13.6328125" bestFit="1" customWidth="1"/>
    <col min="8" max="8" width="20.453125" bestFit="1" customWidth="1"/>
    <col min="9" max="9" width="12" bestFit="1" customWidth="1"/>
    <col min="11" max="11" width="12" bestFit="1" customWidth="1"/>
    <col min="13" max="13" width="29.453125" bestFit="1" customWidth="1"/>
    <col min="14" max="14" width="10.36328125" bestFit="1" customWidth="1"/>
    <col min="17" max="17" width="10.36328125" bestFit="1" customWidth="1"/>
    <col min="18" max="18" width="12.54296875" bestFit="1" customWidth="1"/>
    <col min="19" max="19" width="16.453125" bestFit="1" customWidth="1"/>
    <col min="20" max="20" width="12.54296875" bestFit="1" customWidth="1"/>
  </cols>
  <sheetData>
    <row r="1" spans="2:20" x14ac:dyDescent="0.35">
      <c r="H1" s="13"/>
      <c r="M1" s="485" t="s">
        <v>146</v>
      </c>
      <c r="N1" s="485"/>
      <c r="Q1" t="s">
        <v>8</v>
      </c>
      <c r="R1" t="s">
        <v>147</v>
      </c>
      <c r="S1" t="s">
        <v>148</v>
      </c>
      <c r="T1" t="s">
        <v>149</v>
      </c>
    </row>
    <row r="2" spans="2:20" x14ac:dyDescent="0.35">
      <c r="B2" s="58">
        <f>Metrics!C17</f>
        <v>102.63360544217691</v>
      </c>
      <c r="C2" s="58" t="s">
        <v>150</v>
      </c>
      <c r="E2" s="58">
        <v>200000</v>
      </c>
      <c r="F2" t="s">
        <v>28</v>
      </c>
      <c r="H2" t="s">
        <v>151</v>
      </c>
      <c r="I2">
        <v>2500</v>
      </c>
      <c r="J2">
        <f>I2*(I3)</f>
        <v>25.500000000000004</v>
      </c>
      <c r="K2">
        <f>I2*(1+I3)</f>
        <v>2525.5</v>
      </c>
      <c r="M2" s="52" t="s">
        <v>152</v>
      </c>
      <c r="N2" s="65">
        <v>652.88</v>
      </c>
      <c r="Q2" s="70">
        <v>44821</v>
      </c>
      <c r="R2" s="65">
        <v>652.88</v>
      </c>
      <c r="S2" s="66">
        <f t="shared" ref="S2" si="0">R2*$N$4</f>
        <v>37.671176000000003</v>
      </c>
      <c r="T2" s="66">
        <f>MillionairePlan[[#This Row],[Dividend Yield]]/12</f>
        <v>3.139264666666667</v>
      </c>
    </row>
    <row r="3" spans="2:20" x14ac:dyDescent="0.35">
      <c r="E3" s="63">
        <f>E2/B2</f>
        <v>1948.6794713908657</v>
      </c>
      <c r="F3" t="s">
        <v>141</v>
      </c>
      <c r="H3" t="s">
        <v>153</v>
      </c>
      <c r="I3" s="64">
        <v>1.0200000000000001E-2</v>
      </c>
      <c r="M3" s="52" t="s">
        <v>154</v>
      </c>
      <c r="N3" s="65">
        <v>72</v>
      </c>
      <c r="Q3" s="40">
        <f t="shared" ref="Q3" si="1">Q2+(14*26)</f>
        <v>45185</v>
      </c>
      <c r="R3" s="66">
        <f>(($N$3*26)+R2)+MillionairePlan[[#This Row],[Dividend Yield]]</f>
        <v>2670.565576</v>
      </c>
      <c r="S3" s="66">
        <f>(($N$3*26)+R2)*$N$4</f>
        <v>145.685576</v>
      </c>
      <c r="T3" s="66">
        <f>MillionairePlan[[#This Row],[Dividend Yield]]/12</f>
        <v>12.140464666666666</v>
      </c>
    </row>
    <row r="4" spans="2:20" x14ac:dyDescent="0.35">
      <c r="E4" s="4">
        <f>E3/365</f>
        <v>5.33884786682429</v>
      </c>
      <c r="F4" t="s">
        <v>123</v>
      </c>
      <c r="M4" s="52" t="s">
        <v>155</v>
      </c>
      <c r="N4" s="67">
        <v>5.7700000000000001E-2</v>
      </c>
      <c r="Q4" s="40">
        <f t="shared" ref="Q4:Q5" si="2">Q3+(14*26)</f>
        <v>45549</v>
      </c>
      <c r="R4" s="66">
        <f>(($N$3*26)+R3)+MillionairePlan[[#This Row],[Dividend Yield]]</f>
        <v>4804.6716097352</v>
      </c>
      <c r="S4" s="66">
        <f t="shared" ref="S4:S32" si="3">(($N$3*26)+R3)*$N$4</f>
        <v>262.10603373520001</v>
      </c>
      <c r="T4" s="66">
        <f>MillionairePlan[[#This Row],[Dividend Yield]]/12</f>
        <v>21.842169477933336</v>
      </c>
    </row>
    <row r="5" spans="2:20" x14ac:dyDescent="0.35">
      <c r="H5" t="s">
        <v>52</v>
      </c>
      <c r="I5">
        <f>I2*((1+I3)^E4)</f>
        <v>2639.1875602385817</v>
      </c>
      <c r="Q5" s="40">
        <f t="shared" si="2"/>
        <v>45913</v>
      </c>
      <c r="R5" s="66">
        <f>(($N$3*26)+R4)+MillionairePlan[[#This Row],[Dividend Yield]]</f>
        <v>7061.915561616921</v>
      </c>
      <c r="S5" s="66">
        <f t="shared" si="3"/>
        <v>385.24395188172105</v>
      </c>
      <c r="T5" s="66">
        <f>MillionairePlan[[#This Row],[Dividend Yield]]/12</f>
        <v>32.103662656810087</v>
      </c>
    </row>
    <row r="6" spans="2:20" x14ac:dyDescent="0.35">
      <c r="Q6" s="40">
        <f t="shared" ref="Q6:Q16" si="4">Q5+(14*26)</f>
        <v>46277</v>
      </c>
      <c r="R6" s="66">
        <f>(($N$3*26)+R5)+MillionairePlan[[#This Row],[Dividend Yield]]</f>
        <v>9449.4024895222174</v>
      </c>
      <c r="S6" s="66">
        <f t="shared" si="3"/>
        <v>515.4869279052964</v>
      </c>
      <c r="T6" s="66">
        <f>MillionairePlan[[#This Row],[Dividend Yield]]/12</f>
        <v>42.957243992108033</v>
      </c>
    </row>
    <row r="7" spans="2:20" x14ac:dyDescent="0.35">
      <c r="M7" s="52" t="s">
        <v>156</v>
      </c>
      <c r="N7" s="66">
        <f>($N$3*26)+$N$2</f>
        <v>2524.88</v>
      </c>
      <c r="Q7" s="40">
        <f t="shared" si="4"/>
        <v>46641</v>
      </c>
      <c r="R7" s="66">
        <f>(($N$3*26)+R6)+MillionairePlan[[#This Row],[Dividend Yield]]</f>
        <v>11974.64741316765</v>
      </c>
      <c r="S7" s="66">
        <f t="shared" si="3"/>
        <v>653.24492364543198</v>
      </c>
      <c r="T7" s="66">
        <f>MillionairePlan[[#This Row],[Dividend Yield]]/12</f>
        <v>54.437076970452665</v>
      </c>
    </row>
    <row r="8" spans="2:20" ht="15" thickBot="1" x14ac:dyDescent="0.4">
      <c r="M8" s="68" t="s">
        <v>157</v>
      </c>
      <c r="N8" s="69">
        <f>N7*N4</f>
        <v>145.685576</v>
      </c>
      <c r="Q8" s="40">
        <f t="shared" si="4"/>
        <v>47005</v>
      </c>
      <c r="R8" s="66">
        <f>(($N$3*26)+R7)+MillionairePlan[[#This Row],[Dividend Yield]]</f>
        <v>14645.598968907423</v>
      </c>
      <c r="S8" s="66">
        <f t="shared" si="3"/>
        <v>798.95155573977343</v>
      </c>
      <c r="T8" s="66">
        <f>MillionairePlan[[#This Row],[Dividend Yield]]/12</f>
        <v>66.579296311647781</v>
      </c>
    </row>
    <row r="9" spans="2:20" x14ac:dyDescent="0.35">
      <c r="M9" s="52" t="s">
        <v>158</v>
      </c>
      <c r="N9" s="66">
        <f>N7+N8</f>
        <v>2670.565576</v>
      </c>
      <c r="Q9" s="40">
        <f t="shared" si="4"/>
        <v>47369</v>
      </c>
      <c r="R9" s="66">
        <f>(($N$3*26)+R8)+MillionairePlan[[#This Row],[Dividend Yield]]</f>
        <v>17470.66442941338</v>
      </c>
      <c r="S9" s="66">
        <f t="shared" si="3"/>
        <v>953.0654605059583</v>
      </c>
      <c r="T9" s="66">
        <f>MillionairePlan[[#This Row],[Dividend Yield]]/12</f>
        <v>79.422121708829863</v>
      </c>
    </row>
    <row r="10" spans="2:20" x14ac:dyDescent="0.35">
      <c r="Q10" s="40">
        <f t="shared" si="4"/>
        <v>47733</v>
      </c>
      <c r="R10" s="66">
        <f>(($N$3*26)+R9)+MillionairePlan[[#This Row],[Dividend Yield]]</f>
        <v>20458.736166990533</v>
      </c>
      <c r="S10" s="66">
        <f t="shared" si="3"/>
        <v>1116.0717375771521</v>
      </c>
      <c r="T10" s="66">
        <f>MillionairePlan[[#This Row],[Dividend Yield]]/12</f>
        <v>93.005978131429345</v>
      </c>
    </row>
    <row r="11" spans="2:20" x14ac:dyDescent="0.35">
      <c r="Q11" s="40">
        <f t="shared" si="4"/>
        <v>48097</v>
      </c>
      <c r="R11" s="66">
        <f>(($N$3*26)+R10)+MillionairePlan[[#This Row],[Dividend Yield]]</f>
        <v>23619.219643825887</v>
      </c>
      <c r="S11" s="66">
        <f t="shared" si="3"/>
        <v>1288.4834768353537</v>
      </c>
      <c r="T11" s="66">
        <f>MillionairePlan[[#This Row],[Dividend Yield]]/12</f>
        <v>107.3736230696128</v>
      </c>
    </row>
    <row r="12" spans="2:20" x14ac:dyDescent="0.35">
      <c r="Q12" s="40">
        <f t="shared" si="4"/>
        <v>48461</v>
      </c>
      <c r="R12" s="66">
        <f>(($N$3*26)+R11)+MillionairePlan[[#This Row],[Dividend Yield]]</f>
        <v>26962.063017274642</v>
      </c>
      <c r="S12" s="66">
        <f t="shared" si="3"/>
        <v>1470.8433734487537</v>
      </c>
      <c r="T12" s="66">
        <f>MillionairePlan[[#This Row],[Dividend Yield]]/12</f>
        <v>122.57028112072948</v>
      </c>
    </row>
    <row r="13" spans="2:20" x14ac:dyDescent="0.35">
      <c r="Q13" s="40">
        <f t="shared" si="4"/>
        <v>48825</v>
      </c>
      <c r="R13" s="66">
        <f>(($N$3*26)+R12)+MillionairePlan[[#This Row],[Dividend Yield]]</f>
        <v>30497.788453371388</v>
      </c>
      <c r="S13" s="66">
        <f t="shared" si="3"/>
        <v>1663.725436096747</v>
      </c>
      <c r="T13" s="66">
        <f>MillionairePlan[[#This Row],[Dividend Yield]]/12</f>
        <v>138.64378634139558</v>
      </c>
    </row>
    <row r="14" spans="2:20" x14ac:dyDescent="0.35">
      <c r="Q14" s="40">
        <f t="shared" si="4"/>
        <v>49189</v>
      </c>
      <c r="R14" s="66">
        <f>(($N$3*26)+R13)+MillionairePlan[[#This Row],[Dividend Yield]]</f>
        <v>34237.525247130914</v>
      </c>
      <c r="S14" s="66">
        <f t="shared" si="3"/>
        <v>1867.7367937595291</v>
      </c>
      <c r="T14" s="66">
        <f>MillionairePlan[[#This Row],[Dividend Yield]]/12</f>
        <v>155.6447328132941</v>
      </c>
    </row>
    <row r="15" spans="2:20" x14ac:dyDescent="0.35">
      <c r="Q15" s="40">
        <f t="shared" si="4"/>
        <v>49553</v>
      </c>
      <c r="R15" s="66">
        <f>(($N$3*26)+R14)+MillionairePlan[[#This Row],[Dividend Yield]]</f>
        <v>38193.044853890366</v>
      </c>
      <c r="S15" s="66">
        <f t="shared" si="3"/>
        <v>2083.5196067594538</v>
      </c>
      <c r="T15" s="66">
        <f>MillionairePlan[[#This Row],[Dividend Yield]]/12</f>
        <v>173.62663389662114</v>
      </c>
    </row>
    <row r="16" spans="2:20" x14ac:dyDescent="0.35">
      <c r="Q16" s="40">
        <f t="shared" si="4"/>
        <v>49917</v>
      </c>
      <c r="R16" s="66">
        <f>(($N$3*26)+R15)+MillionairePlan[[#This Row],[Dividend Yield]]</f>
        <v>42376.797941959841</v>
      </c>
      <c r="S16" s="66">
        <f t="shared" si="3"/>
        <v>2311.753088069474</v>
      </c>
      <c r="T16" s="66">
        <f>MillionairePlan[[#This Row],[Dividend Yield]]/12</f>
        <v>192.64609067245615</v>
      </c>
    </row>
    <row r="17" spans="17:20" x14ac:dyDescent="0.35">
      <c r="Q17" s="40">
        <f t="shared" ref="Q17:Q32" si="5">Q16+(14*26)</f>
        <v>50281</v>
      </c>
      <c r="R17" s="66">
        <f>(($N$3*26)+R16)+MillionairePlan[[#This Row],[Dividend Yield]]</f>
        <v>46801.953583210925</v>
      </c>
      <c r="S17" s="66">
        <f t="shared" si="3"/>
        <v>2553.1556412510831</v>
      </c>
      <c r="T17" s="66">
        <f>MillionairePlan[[#This Row],[Dividend Yield]]/12</f>
        <v>212.76297010425694</v>
      </c>
    </row>
    <row r="18" spans="17:20" x14ac:dyDescent="0.35">
      <c r="Q18" s="40">
        <f t="shared" si="5"/>
        <v>50645</v>
      </c>
      <c r="R18" s="66">
        <f>(($N$3*26)+R17)+MillionairePlan[[#This Row],[Dividend Yield]]</f>
        <v>51482.440704962195</v>
      </c>
      <c r="S18" s="66">
        <f t="shared" si="3"/>
        <v>2808.4871217512705</v>
      </c>
      <c r="T18" s="66">
        <f>MillionairePlan[[#This Row],[Dividend Yield]]/12</f>
        <v>234.04059347927253</v>
      </c>
    </row>
    <row r="19" spans="17:20" x14ac:dyDescent="0.35">
      <c r="Q19" s="40">
        <f t="shared" si="5"/>
        <v>51009</v>
      </c>
      <c r="R19" s="66">
        <f>(($N$3*26)+R18)+MillionairePlan[[#This Row],[Dividend Yield]]</f>
        <v>56432.991933638514</v>
      </c>
      <c r="S19" s="66">
        <f t="shared" si="3"/>
        <v>3078.5512286763187</v>
      </c>
      <c r="T19" s="66">
        <f>MillionairePlan[[#This Row],[Dividend Yield]]/12</f>
        <v>256.54593572302656</v>
      </c>
    </row>
    <row r="20" spans="17:20" x14ac:dyDescent="0.35">
      <c r="Q20" s="40">
        <f t="shared" si="5"/>
        <v>51373</v>
      </c>
      <c r="R20" s="66">
        <f>(($N$3*26)+R19)+MillionairePlan[[#This Row],[Dividend Yield]]</f>
        <v>61669.189968209459</v>
      </c>
      <c r="S20" s="66">
        <f t="shared" si="3"/>
        <v>3364.1980345709421</v>
      </c>
      <c r="T20" s="66">
        <f>MillionairePlan[[#This Row],[Dividend Yield]]/12</f>
        <v>280.34983621424516</v>
      </c>
    </row>
    <row r="21" spans="17:20" x14ac:dyDescent="0.35">
      <c r="Q21" s="40">
        <f t="shared" si="5"/>
        <v>51737</v>
      </c>
      <c r="R21" s="66">
        <f>(($N$3*26)+R20)+MillionairePlan[[#This Row],[Dividend Yield]]</f>
        <v>67207.516629375139</v>
      </c>
      <c r="S21" s="66">
        <f t="shared" si="3"/>
        <v>3666.3266611656859</v>
      </c>
      <c r="T21" s="66">
        <f>MillionairePlan[[#This Row],[Dividend Yield]]/12</f>
        <v>305.52722176380718</v>
      </c>
    </row>
    <row r="22" spans="17:20" x14ac:dyDescent="0.35">
      <c r="Q22" s="40">
        <f t="shared" si="5"/>
        <v>52101</v>
      </c>
      <c r="R22" s="66">
        <f>(($N$3*26)+R21)+MillionairePlan[[#This Row],[Dividend Yield]]</f>
        <v>73065.40473889008</v>
      </c>
      <c r="S22" s="66">
        <f t="shared" si="3"/>
        <v>3985.8881095149454</v>
      </c>
      <c r="T22" s="66">
        <f>MillionairePlan[[#This Row],[Dividend Yield]]/12</f>
        <v>332.15734245957879</v>
      </c>
    </row>
    <row r="23" spans="17:20" x14ac:dyDescent="0.35">
      <c r="Q23" s="40">
        <f t="shared" si="5"/>
        <v>52465</v>
      </c>
      <c r="R23" s="66">
        <f>(($N$3*26)+R22)+MillionairePlan[[#This Row],[Dividend Yield]]</f>
        <v>79261.292992324044</v>
      </c>
      <c r="S23" s="66">
        <f t="shared" si="3"/>
        <v>4323.8882534339573</v>
      </c>
      <c r="T23" s="66">
        <f>MillionairePlan[[#This Row],[Dividend Yield]]/12</f>
        <v>360.32402111949642</v>
      </c>
    </row>
    <row r="24" spans="17:20" x14ac:dyDescent="0.35">
      <c r="Q24" s="40">
        <f t="shared" si="5"/>
        <v>52829</v>
      </c>
      <c r="R24" s="66">
        <f>(($N$3*26)+R23)+MillionairePlan[[#This Row],[Dividend Yield]]</f>
        <v>85814.683997981148</v>
      </c>
      <c r="S24" s="66">
        <f t="shared" si="3"/>
        <v>4681.3910056570976</v>
      </c>
      <c r="T24" s="66">
        <f>MillionairePlan[[#This Row],[Dividend Yield]]/12</f>
        <v>390.11591713809145</v>
      </c>
    </row>
    <row r="25" spans="17:20" x14ac:dyDescent="0.35">
      <c r="Q25" s="40">
        <f t="shared" si="5"/>
        <v>53193</v>
      </c>
      <c r="R25" s="66">
        <f>(($N$3*26)+R24)+MillionairePlan[[#This Row],[Dividend Yield]]</f>
        <v>92746.205664664667</v>
      </c>
      <c r="S25" s="66">
        <f t="shared" si="3"/>
        <v>5059.5216666835122</v>
      </c>
      <c r="T25" s="66">
        <f>MillionairePlan[[#This Row],[Dividend Yield]]/12</f>
        <v>421.62680555695937</v>
      </c>
    </row>
    <row r="26" spans="17:20" x14ac:dyDescent="0.35">
      <c r="Q26" s="40">
        <f t="shared" si="5"/>
        <v>53557</v>
      </c>
      <c r="R26" s="66">
        <f>(($N$3*26)+R25)+MillionairePlan[[#This Row],[Dividend Yield]]</f>
        <v>100077.67613151582</v>
      </c>
      <c r="S26" s="66">
        <f t="shared" si="3"/>
        <v>5459.4704668511513</v>
      </c>
      <c r="T26" s="66">
        <f>MillionairePlan[[#This Row],[Dividend Yield]]/12</f>
        <v>454.95587223759594</v>
      </c>
    </row>
    <row r="27" spans="17:20" x14ac:dyDescent="0.35">
      <c r="Q27" s="40">
        <f t="shared" si="5"/>
        <v>53921</v>
      </c>
      <c r="R27" s="66">
        <f>(($N$3*26)+R26)+MillionairePlan[[#This Row],[Dividend Yield]]</f>
        <v>107832.17244430429</v>
      </c>
      <c r="S27" s="66">
        <f t="shared" si="3"/>
        <v>5882.496312788463</v>
      </c>
      <c r="T27" s="66">
        <f>MillionairePlan[[#This Row],[Dividend Yield]]/12</f>
        <v>490.20802606570527</v>
      </c>
    </row>
    <row r="28" spans="17:20" x14ac:dyDescent="0.35">
      <c r="Q28" s="40">
        <f t="shared" si="5"/>
        <v>54285</v>
      </c>
      <c r="R28" s="66">
        <f>(($N$3*26)+R27)+MillionairePlan[[#This Row],[Dividend Yield]]</f>
        <v>116034.10319434066</v>
      </c>
      <c r="S28" s="66">
        <f t="shared" si="3"/>
        <v>6329.9307500363575</v>
      </c>
      <c r="T28" s="66">
        <f>MillionairePlan[[#This Row],[Dividend Yield]]/12</f>
        <v>527.4942291696965</v>
      </c>
    </row>
    <row r="29" spans="17:20" x14ac:dyDescent="0.35">
      <c r="Q29" s="40">
        <f t="shared" si="5"/>
        <v>54649</v>
      </c>
      <c r="R29" s="66">
        <f>(($N$3*26)+R28)+MillionairePlan[[#This Row],[Dividend Yield]]</f>
        <v>124709.28534865411</v>
      </c>
      <c r="S29" s="66">
        <f t="shared" si="3"/>
        <v>6803.1821543134556</v>
      </c>
      <c r="T29" s="66">
        <f>MillionairePlan[[#This Row],[Dividend Yield]]/12</f>
        <v>566.93184619278793</v>
      </c>
    </row>
    <row r="30" spans="17:20" x14ac:dyDescent="0.35">
      <c r="Q30" s="40">
        <f t="shared" si="5"/>
        <v>55013</v>
      </c>
      <c r="R30" s="66">
        <f>(($N$3*26)+R29)+MillionairePlan[[#This Row],[Dividend Yield]]</f>
        <v>133885.02551327145</v>
      </c>
      <c r="S30" s="66">
        <f t="shared" si="3"/>
        <v>7303.7401646173421</v>
      </c>
      <c r="T30" s="66">
        <f>MillionairePlan[[#This Row],[Dividend Yield]]/12</f>
        <v>608.64501371811184</v>
      </c>
    </row>
    <row r="31" spans="17:20" x14ac:dyDescent="0.35">
      <c r="Q31" s="40">
        <f t="shared" si="5"/>
        <v>55377</v>
      </c>
      <c r="R31" s="66">
        <f>(($N$3*26)+R30)+MillionairePlan[[#This Row],[Dividend Yield]]</f>
        <v>143590.2058853872</v>
      </c>
      <c r="S31" s="66">
        <f t="shared" si="3"/>
        <v>7833.180372115763</v>
      </c>
      <c r="T31" s="66">
        <f>MillionairePlan[[#This Row],[Dividend Yield]]/12</f>
        <v>652.76503100964692</v>
      </c>
    </row>
    <row r="32" spans="17:20" x14ac:dyDescent="0.35">
      <c r="Q32" s="40">
        <f t="shared" si="5"/>
        <v>55741</v>
      </c>
      <c r="R32" s="66">
        <f>(($N$3*26)+R31)+MillionairePlan[[#This Row],[Dividend Yield]]</f>
        <v>153855.37516497404</v>
      </c>
      <c r="S32" s="66">
        <f t="shared" si="3"/>
        <v>8393.1692795868421</v>
      </c>
      <c r="T32" s="66">
        <f>MillionairePlan[[#This Row],[Dividend Yield]]/12</f>
        <v>699.43077329890355</v>
      </c>
    </row>
    <row r="33" spans="17:20" x14ac:dyDescent="0.35">
      <c r="Q33" s="40"/>
      <c r="R33" s="66"/>
      <c r="S33" s="66"/>
      <c r="T33" s="66"/>
    </row>
    <row r="34" spans="17:20" x14ac:dyDescent="0.35">
      <c r="Q34" s="40"/>
      <c r="R34" s="66"/>
      <c r="S34" s="66"/>
      <c r="T34" s="66"/>
    </row>
    <row r="35" spans="17:20" x14ac:dyDescent="0.35">
      <c r="Q35" s="40"/>
      <c r="R35" s="66"/>
      <c r="S35" s="66"/>
      <c r="T35" s="66"/>
    </row>
  </sheetData>
  <mergeCells count="1">
    <mergeCell ref="M1:N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1E9D6-04F5-47D5-A5C3-FC9A499F7051}">
  <sheetPr codeName="Sheet21">
    <tabColor rgb="FF0070C0"/>
  </sheetPr>
  <dimension ref="B2:H12"/>
  <sheetViews>
    <sheetView workbookViewId="0">
      <selection activeCell="C6" activeCellId="1" sqref="C11 C6"/>
    </sheetView>
  </sheetViews>
  <sheetFormatPr defaultRowHeight="14.5" x14ac:dyDescent="0.35"/>
  <cols>
    <col min="2" max="2" width="10.453125" customWidth="1"/>
    <col min="3" max="3" width="17.54296875" bestFit="1" customWidth="1"/>
    <col min="4" max="4" width="21" bestFit="1" customWidth="1"/>
    <col min="5" max="5" width="14.36328125" customWidth="1"/>
    <col min="6" max="6" width="12.54296875" customWidth="1"/>
    <col min="7" max="7" width="12.453125" customWidth="1"/>
    <col min="8" max="8" width="10.54296875" bestFit="1" customWidth="1"/>
    <col min="13" max="13" width="10.6328125" bestFit="1" customWidth="1"/>
    <col min="14" max="14" width="24.6328125" bestFit="1" customWidth="1"/>
    <col min="15" max="15" width="8.08984375" bestFit="1" customWidth="1"/>
    <col min="18" max="18" width="11" customWidth="1"/>
    <col min="19" max="20" width="8.90625" customWidth="1"/>
    <col min="21" max="22" width="9" bestFit="1" customWidth="1"/>
    <col min="23" max="24" width="8.90625" customWidth="1"/>
  </cols>
  <sheetData>
    <row r="2" spans="2:8" x14ac:dyDescent="0.35">
      <c r="B2" t="s">
        <v>172</v>
      </c>
      <c r="C2" t="s">
        <v>253</v>
      </c>
      <c r="D2" t="s">
        <v>254</v>
      </c>
      <c r="E2" t="s">
        <v>250</v>
      </c>
      <c r="F2" t="s">
        <v>251</v>
      </c>
      <c r="G2" t="s">
        <v>252</v>
      </c>
      <c r="H2" t="s">
        <v>255</v>
      </c>
    </row>
    <row r="3" spans="2:8" x14ac:dyDescent="0.35">
      <c r="B3">
        <v>2021</v>
      </c>
      <c r="C3" s="255">
        <f>SUMIFS(EarningsPerDay[Gross Earnings],EarningsPerDay[Year],Historical_Taxes_Table[[#This Row],[Year]])</f>
        <v>7378.9299999999985</v>
      </c>
      <c r="D3" s="255">
        <v>51459</v>
      </c>
      <c r="E3" s="255">
        <v>547</v>
      </c>
      <c r="F3" s="255">
        <v>84</v>
      </c>
      <c r="G3" s="255">
        <f>SUM(Historical_Taxes_Table[[#This Row],[Federal Owed]:[State Owed]])</f>
        <v>631</v>
      </c>
      <c r="H3" s="256">
        <f>IF(Historical_Taxes_Table[[#This Row],[Total Owed]]=0,"",Historical_Taxes_Table[[#This Row],[Total Owed]]/Historical_Taxes_Table[[#This Row],[Side Gig Earnings]])</f>
        <v>8.5513753349062818E-2</v>
      </c>
    </row>
    <row r="4" spans="2:8" x14ac:dyDescent="0.35">
      <c r="B4">
        <v>2022</v>
      </c>
      <c r="C4" s="255">
        <f>SUMIFS(EarningsPerDay[Gross Earnings],EarningsPerDay[Year],Historical_Taxes_Table[[#This Row],[Year]])</f>
        <v>14033.910000000005</v>
      </c>
      <c r="D4" s="255">
        <v>47028</v>
      </c>
      <c r="E4" s="257">
        <v>924</v>
      </c>
      <c r="F4" s="257">
        <v>153</v>
      </c>
      <c r="G4" s="255">
        <f>SUM(Historical_Taxes_Table[[#This Row],[Federal Owed]:[State Owed]])</f>
        <v>1077</v>
      </c>
      <c r="H4" s="256">
        <f>IF(Historical_Taxes_Table[[#This Row],[Total Owed]]=0,"",Historical_Taxes_Table[[#This Row],[Total Owed]]/Historical_Taxes_Table[[#This Row],[Side Gig Earnings]])</f>
        <v>7.6742689670946981E-2</v>
      </c>
    </row>
    <row r="5" spans="2:8" x14ac:dyDescent="0.35">
      <c r="B5">
        <v>2023</v>
      </c>
      <c r="C5" s="255">
        <f>SUMIFS(EarningsPerDay[Gross Earnings],EarningsPerDay[Year],Historical_Taxes_Table[[#This Row],[Year]])</f>
        <v>18631.82</v>
      </c>
      <c r="D5" s="255">
        <v>49418</v>
      </c>
      <c r="E5" s="255">
        <v>1492</v>
      </c>
      <c r="F5" s="255">
        <v>204</v>
      </c>
      <c r="G5" s="255">
        <f>SUM(Historical_Taxes_Table[[#This Row],[Federal Owed]:[State Owed]])</f>
        <v>1696</v>
      </c>
      <c r="H5" s="256">
        <f>IF(Historical_Taxes_Table[[#This Row],[Total Owed]]=0,"",Historical_Taxes_Table[[#This Row],[Total Owed]]/Historical_Taxes_Table[[#This Row],[Side Gig Earnings]])</f>
        <v>9.1027070892698625E-2</v>
      </c>
    </row>
    <row r="6" spans="2:8" x14ac:dyDescent="0.35">
      <c r="B6">
        <v>2024</v>
      </c>
      <c r="C6" s="255">
        <f>SUMIFS(EarningsPerDay[Gross Earnings],EarningsPerDay[Year],Historical_Taxes_Table[[#This Row],[Year]])</f>
        <v>24066.839999999993</v>
      </c>
      <c r="D6" s="255">
        <v>51258</v>
      </c>
      <c r="E6" s="255">
        <v>2031</v>
      </c>
      <c r="F6" s="255">
        <v>344</v>
      </c>
      <c r="G6" s="255">
        <f>SUM(Historical_Taxes_Table[[#This Row],[Federal Owed]:[State Owed]])</f>
        <v>2375</v>
      </c>
      <c r="H6" s="256">
        <f>IF(Historical_Taxes_Table[[#This Row],[Total Owed]]=0,"",Historical_Taxes_Table[[#This Row],[Total Owed]]/Historical_Taxes_Table[[#This Row],[Side Gig Earnings]])</f>
        <v>9.8683499786428167E-2</v>
      </c>
    </row>
    <row r="7" spans="2:8" x14ac:dyDescent="0.35">
      <c r="B7">
        <v>2025</v>
      </c>
      <c r="C7" s="255">
        <f>SUMIFS(EarningsPerDay[Gross Earnings],EarningsPerDay[Year],Historical_Taxes_Table[[#This Row],[Year]])</f>
        <v>22818.750000000007</v>
      </c>
      <c r="D7" s="255"/>
      <c r="E7" s="255"/>
      <c r="F7" s="255"/>
      <c r="G7" s="255">
        <f>SUM(Historical_Taxes_Table[[#This Row],[Federal Owed]:[State Owed]])</f>
        <v>0</v>
      </c>
      <c r="H7" s="256" t="str">
        <f>IF(Historical_Taxes_Table[[#This Row],[Total Owed]]=0,"",Historical_Taxes_Table[[#This Row],[Total Owed]]/Historical_Taxes_Table[[#This Row],[Side Gig Earnings]])</f>
        <v/>
      </c>
    </row>
    <row r="8" spans="2:8" x14ac:dyDescent="0.35">
      <c r="H8" s="232">
        <f>SUBTOTAL(101,Historical_Taxes_Table[% Taxed])</f>
        <v>8.7991753424784144E-2</v>
      </c>
    </row>
    <row r="10" spans="2:8" x14ac:dyDescent="0.35">
      <c r="C10" s="13" t="s">
        <v>78</v>
      </c>
      <c r="D10" s="13" t="s">
        <v>383</v>
      </c>
    </row>
    <row r="11" spans="2:8" x14ac:dyDescent="0.35">
      <c r="B11" s="89" t="str">
        <f ca="1">YEAR(TODAY()) &amp;" Proj."</f>
        <v>2026 Proj.</v>
      </c>
      <c r="C11" s="258" t="e">
        <f ca="1">IF(WEEKNUM(TODAY())&lt;=4,MAX(Historical_Taxes_Table[Side Gig Earnings]),(VLOOKUP(YEAR(TODAY()),Historical_Taxes_Table[[Year]:[Side Gig Earnings]],2,FALSE)/WEEKNUM(TODAY()))*52)</f>
        <v>#N/A</v>
      </c>
      <c r="D11" s="259" t="e">
        <f ca="1">C11*Historical_Taxes_Table[[#Totals],[% Taxed]]</f>
        <v>#N/A</v>
      </c>
    </row>
    <row r="12" spans="2:8" x14ac:dyDescent="0.35">
      <c r="C12" s="25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4E56073A-8926-47D3-BF44-14D7F76D00D6}">
  <ds:schemaRefs/>
</ds:datastoreItem>
</file>

<file path=customXml/itemProps2.xml><?xml version="1.0" encoding="utf-8"?>
<ds:datastoreItem xmlns:ds="http://schemas.openxmlformats.org/officeDocument/2006/customXml" ds:itemID="{B7C01041-6574-42A4-B856-6DC99414EA20}">
  <ds:schemaRefs/>
</ds:datastoreItem>
</file>

<file path=customXml/itemProps3.xml><?xml version="1.0" encoding="utf-8"?>
<ds:datastoreItem xmlns:ds="http://schemas.openxmlformats.org/officeDocument/2006/customXml" ds:itemID="{FAAA582D-638E-4D77-9ACC-A0ED89909AC7}">
  <ds:schemaRefs/>
</ds:datastoreItem>
</file>

<file path=customXml/itemProps4.xml><?xml version="1.0" encoding="utf-8"?>
<ds:datastoreItem xmlns:ds="http://schemas.openxmlformats.org/officeDocument/2006/customXml" ds:itemID="{7770740B-1D9F-4E61-817D-BF318AAC1412}">
  <ds:schemaRefs/>
</ds:datastoreItem>
</file>

<file path=customXml/itemProps5.xml><?xml version="1.0" encoding="utf-8"?>
<ds:datastoreItem xmlns:ds="http://schemas.openxmlformats.org/officeDocument/2006/customXml" ds:itemID="{19013BB4-7D25-427F-A1CD-3CC52168F5A7}">
  <ds:schemaRefs/>
</ds:datastoreItem>
</file>

<file path=customXml/itemProps6.xml><?xml version="1.0" encoding="utf-8"?>
<ds:datastoreItem xmlns:ds="http://schemas.openxmlformats.org/officeDocument/2006/customXml" ds:itemID="{5B759E07-759A-456F-B90E-C4424310265B}">
  <ds:schemaRefs/>
</ds:datastoreItem>
</file>

<file path=customXml/itemProps7.xml><?xml version="1.0" encoding="utf-8"?>
<ds:datastoreItem xmlns:ds="http://schemas.openxmlformats.org/officeDocument/2006/customXml" ds:itemID="{EB162F6F-A303-4A95-B486-E81A140A4753}">
  <ds:schemaRefs/>
</ds:datastoreItem>
</file>

<file path=customXml/itemProps8.xml><?xml version="1.0" encoding="utf-8"?>
<ds:datastoreItem xmlns:ds="http://schemas.openxmlformats.org/officeDocument/2006/customXml" ds:itemID="{95103156-9D63-4635-BDDF-172BC6F230FF}">
  <ds:schemaRefs/>
</ds:datastoreItem>
</file>

<file path=customXml/itemProps9.xml><?xml version="1.0" encoding="utf-8"?>
<ds:datastoreItem xmlns:ds="http://schemas.openxmlformats.org/officeDocument/2006/customXml" ds:itemID="{E3DFFAE8-A494-4E1D-8633-CE2003B08CBF}">
  <ds:schemaRefs/>
</ds:datastoreItem>
</file>

<file path=customXml/itemProps10.xml><?xml version="1.0" encoding="utf-8"?>
<ds:datastoreItem xmlns:ds="http://schemas.openxmlformats.org/officeDocument/2006/customXml" ds:itemID="{C4532D1A-022D-40DD-B41C-59B7F82A3E3E}">
  <ds:schemaRefs/>
</ds:datastoreItem>
</file>

<file path=customXml/itemProps11.xml><?xml version="1.0" encoding="utf-8"?>
<ds:datastoreItem xmlns:ds="http://schemas.openxmlformats.org/officeDocument/2006/customXml" ds:itemID="{C6D89250-6C57-4003-A886-D4BE0F0C01B2}">
  <ds:schemaRefs/>
</ds:datastoreItem>
</file>

<file path=customXml/itemProps12.xml><?xml version="1.0" encoding="utf-8"?>
<ds:datastoreItem xmlns:ds="http://schemas.openxmlformats.org/officeDocument/2006/customXml" ds:itemID="{B4183BE4-98AA-4E67-94F7-3AECB0E41975}">
  <ds:schemaRefs/>
</ds:datastoreItem>
</file>

<file path=customXml/itemProps13.xml><?xml version="1.0" encoding="utf-8"?>
<ds:datastoreItem xmlns:ds="http://schemas.openxmlformats.org/officeDocument/2006/customXml" ds:itemID="{4573981E-9A88-4863-ADEF-92BEEE677B4C}">
  <ds:schemaRefs/>
</ds:datastoreItem>
</file>

<file path=customXml/itemProps14.xml><?xml version="1.0" encoding="utf-8"?>
<ds:datastoreItem xmlns:ds="http://schemas.openxmlformats.org/officeDocument/2006/customXml" ds:itemID="{F21F4699-7D32-408B-B332-D86C3DF8BBC3}">
  <ds:schemaRefs/>
</ds:datastoreItem>
</file>

<file path=customXml/itemProps15.xml><?xml version="1.0" encoding="utf-8"?>
<ds:datastoreItem xmlns:ds="http://schemas.openxmlformats.org/officeDocument/2006/customXml" ds:itemID="{B18C4289-ED52-46A2-B928-63175D00745E}">
  <ds:schemaRefs/>
</ds:datastoreItem>
</file>

<file path=customXml/itemProps16.xml><?xml version="1.0" encoding="utf-8"?>
<ds:datastoreItem xmlns:ds="http://schemas.openxmlformats.org/officeDocument/2006/customXml" ds:itemID="{B3EC48BB-698D-4BC2-A76D-1F5AFD6D5CFE}">
  <ds:schemaRefs/>
</ds:datastoreItem>
</file>

<file path=customXml/itemProps17.xml><?xml version="1.0" encoding="utf-8"?>
<ds:datastoreItem xmlns:ds="http://schemas.openxmlformats.org/officeDocument/2006/customXml" ds:itemID="{9C354E16-0C2B-4E0F-999D-66F35BA1A62C}">
  <ds:schemaRefs/>
</ds:datastoreItem>
</file>

<file path=customXml/itemProps18.xml><?xml version="1.0" encoding="utf-8"?>
<ds:datastoreItem xmlns:ds="http://schemas.openxmlformats.org/officeDocument/2006/customXml" ds:itemID="{B530F974-A336-45FA-AFD6-E41CD65E8BB8}">
  <ds:schemaRefs/>
</ds:datastoreItem>
</file>

<file path=customXml/itemProps19.xml><?xml version="1.0" encoding="utf-8"?>
<ds:datastoreItem xmlns:ds="http://schemas.openxmlformats.org/officeDocument/2006/customXml" ds:itemID="{80825543-E47F-419B-AC4C-9507491E1D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11</vt:i4>
      </vt:variant>
    </vt:vector>
  </HeadingPairs>
  <TitlesOfParts>
    <vt:vector size="29" baseType="lpstr">
      <vt:lpstr>House Buying Power</vt:lpstr>
      <vt:lpstr>M-Priorities</vt:lpstr>
      <vt:lpstr>Priorities</vt:lpstr>
      <vt:lpstr>Dashboards</vt:lpstr>
      <vt:lpstr>Metrics</vt:lpstr>
      <vt:lpstr>Scheduling</vt:lpstr>
      <vt:lpstr>Data</vt:lpstr>
      <vt:lpstr>Calculator</vt:lpstr>
      <vt:lpstr>CpM</vt:lpstr>
      <vt:lpstr>Seasonality WIP</vt:lpstr>
      <vt:lpstr>Pivots</vt:lpstr>
      <vt:lpstr>Combined _WIP_</vt:lpstr>
      <vt:lpstr>KPIs</vt:lpstr>
      <vt:lpstr>Pay Type Comparison</vt:lpstr>
      <vt:lpstr>Profitable Start Times</vt:lpstr>
      <vt:lpstr>Trends</vt:lpstr>
      <vt:lpstr>Millionaire Plan</vt:lpstr>
      <vt:lpstr>Taxes</vt:lpstr>
      <vt:lpstr>'M-Priorities'!HBPTable</vt:lpstr>
      <vt:lpstr>'Pay Type Comparison'!HBPTable</vt:lpstr>
      <vt:lpstr>Priorities!HBPTable</vt:lpstr>
      <vt:lpstr>HBPTable</vt:lpstr>
      <vt:lpstr>'Pay Type Comparison'!HBPTable2</vt:lpstr>
      <vt:lpstr>Priorities!HBPTable2</vt:lpstr>
      <vt:lpstr>HBPTable2</vt:lpstr>
      <vt:lpstr>pivotable6</vt:lpstr>
      <vt:lpstr>pivottable10</vt:lpstr>
      <vt:lpstr>pivottable6</vt:lpstr>
      <vt:lpstr>QuarterSelector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Luke Napoleon</dc:creator>
  <cp:keywords/>
  <dc:description/>
  <cp:lastModifiedBy>Luke Napoleon</cp:lastModifiedBy>
  <cp:revision/>
  <dcterms:created xsi:type="dcterms:W3CDTF">2021-01-02T16:19:18Z</dcterms:created>
  <dcterms:modified xsi:type="dcterms:W3CDTF">2026-06-11T22:14:03Z</dcterms:modified>
  <cp:category/>
  <cp:contentStatus/>
</cp:coreProperties>
</file>